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Setup\Downloads\Luke_manuscript\"/>
    </mc:Choice>
  </mc:AlternateContent>
  <xr:revisionPtr revIDLastSave="0" documentId="13_ncr:1_{607C0E7B-6516-4D6D-A332-94008891B798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Read_me" sheetId="12" r:id="rId1"/>
    <sheet name="Clean_data_1900-2020" sheetId="6" r:id="rId2"/>
    <sheet name="ICES_data_1903-2018" sheetId="3" r:id="rId3"/>
    <sheet name="Aquaculture_data_1950-2018" sheetId="4" r:id="rId4"/>
    <sheet name="Raw_data_1900-1964" sheetId="1" r:id="rId5"/>
    <sheet name="Raw_data_1965-1974_cwt" sheetId="2" r:id="rId6"/>
    <sheet name="Raw_data_1900-2020" sheetId="5" r:id="rId7"/>
    <sheet name="Recommended_fish_intake" sheetId="8" r:id="rId8"/>
    <sheet name="Price_data" sheetId="9" r:id="rId9"/>
    <sheet name="Conversion_factors" sheetId="10" r:id="rId10"/>
    <sheet name="Calculations" sheetId="7" r:id="rId11"/>
  </sheets>
  <definedNames>
    <definedName name="_xlnm._FilterDatabase" localSheetId="3" hidden="1">'Aquaculture_data_1950-2018'!$A$1:$X$490</definedName>
    <definedName name="_xlnm._FilterDatabase" localSheetId="10" hidden="1">Calculations!$A$1:$AK$1139</definedName>
    <definedName name="_xlnm._FilterDatabase" localSheetId="1" hidden="1">'Clean_data_1900-2020'!$A$1:$R$1139</definedName>
    <definedName name="_xlnm._FilterDatabase" localSheetId="8" hidden="1">Price_data!$A$1:$R$1</definedName>
    <definedName name="_xlnm._FilterDatabase" localSheetId="6" hidden="1">'Raw_data_1900-2020'!$A$1:$U$5306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" i="8" l="1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B39" i="10"/>
  <c r="C39" i="10" s="1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122" i="8"/>
  <c r="C121" i="8"/>
  <c r="C120" i="8"/>
  <c r="C119" i="8"/>
  <c r="C118" i="8"/>
  <c r="C117" i="8"/>
  <c r="C116" i="8"/>
  <c r="C115" i="8"/>
  <c r="C114" i="8"/>
  <c r="C113" i="8"/>
  <c r="C112" i="8"/>
  <c r="C111" i="8"/>
  <c r="J110" i="8"/>
  <c r="M110" i="8" s="1"/>
  <c r="C110" i="8"/>
  <c r="J109" i="8"/>
  <c r="M109" i="8" s="1"/>
  <c r="C109" i="8"/>
  <c r="J108" i="8"/>
  <c r="M108" i="8" s="1"/>
  <c r="C108" i="8"/>
  <c r="J107" i="8"/>
  <c r="M107" i="8" s="1"/>
  <c r="C107" i="8"/>
  <c r="J106" i="8"/>
  <c r="M106" i="8" s="1"/>
  <c r="C106" i="8"/>
  <c r="J105" i="8"/>
  <c r="M105" i="8" s="1"/>
  <c r="C105" i="8"/>
  <c r="J104" i="8"/>
  <c r="M104" i="8" s="1"/>
  <c r="C104" i="8"/>
  <c r="M103" i="8"/>
  <c r="C103" i="8"/>
  <c r="M102" i="8"/>
  <c r="C102" i="8"/>
  <c r="M101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H69" i="8"/>
  <c r="G69" i="8"/>
  <c r="C69" i="8"/>
  <c r="D69" i="8" s="1"/>
  <c r="H68" i="8"/>
  <c r="G68" i="8"/>
  <c r="C68" i="8"/>
  <c r="D68" i="8" s="1"/>
  <c r="H67" i="8"/>
  <c r="G67" i="8"/>
  <c r="C67" i="8"/>
  <c r="D67" i="8" s="1"/>
  <c r="H66" i="8"/>
  <c r="G66" i="8"/>
  <c r="C66" i="8"/>
  <c r="D66" i="8" s="1"/>
  <c r="H65" i="8"/>
  <c r="G65" i="8"/>
  <c r="C65" i="8"/>
  <c r="D65" i="8" s="1"/>
  <c r="H64" i="8"/>
  <c r="G64" i="8"/>
  <c r="C64" i="8"/>
  <c r="D64" i="8" s="1"/>
  <c r="H63" i="8"/>
  <c r="G63" i="8"/>
  <c r="C63" i="8"/>
  <c r="D63" i="8" s="1"/>
  <c r="H62" i="8"/>
  <c r="G62" i="8"/>
  <c r="C62" i="8"/>
  <c r="D62" i="8" s="1"/>
  <c r="H61" i="8"/>
  <c r="G61" i="8"/>
  <c r="C61" i="8"/>
  <c r="D61" i="8" s="1"/>
  <c r="H60" i="8"/>
  <c r="G60" i="8"/>
  <c r="C60" i="8"/>
  <c r="D60" i="8" s="1"/>
  <c r="H59" i="8"/>
  <c r="G59" i="8"/>
  <c r="C59" i="8"/>
  <c r="D59" i="8" s="1"/>
  <c r="H58" i="8"/>
  <c r="G58" i="8"/>
  <c r="C58" i="8"/>
  <c r="D58" i="8" s="1"/>
  <c r="H57" i="8"/>
  <c r="G57" i="8"/>
  <c r="C57" i="8"/>
  <c r="D57" i="8" s="1"/>
  <c r="H56" i="8"/>
  <c r="G56" i="8"/>
  <c r="C56" i="8"/>
  <c r="D56" i="8" s="1"/>
  <c r="H55" i="8"/>
  <c r="G55" i="8"/>
  <c r="C55" i="8"/>
  <c r="D55" i="8" s="1"/>
  <c r="H54" i="8"/>
  <c r="G54" i="8"/>
  <c r="C54" i="8"/>
  <c r="D54" i="8" s="1"/>
  <c r="H53" i="8"/>
  <c r="G53" i="8"/>
  <c r="C53" i="8"/>
  <c r="D53" i="8" s="1"/>
  <c r="H52" i="8"/>
  <c r="G52" i="8"/>
  <c r="C52" i="8"/>
  <c r="D52" i="8" s="1"/>
  <c r="H51" i="8"/>
  <c r="G51" i="8"/>
  <c r="C51" i="8"/>
  <c r="D51" i="8" s="1"/>
  <c r="H50" i="8"/>
  <c r="G50" i="8"/>
  <c r="C50" i="8"/>
  <c r="D50" i="8" s="1"/>
  <c r="H49" i="8"/>
  <c r="G49" i="8"/>
  <c r="C49" i="8"/>
  <c r="D49" i="8" s="1"/>
  <c r="H48" i="8"/>
  <c r="G48" i="8"/>
  <c r="C48" i="8"/>
  <c r="D48" i="8" s="1"/>
  <c r="H47" i="8"/>
  <c r="G47" i="8"/>
  <c r="C47" i="8"/>
  <c r="D47" i="8" s="1"/>
  <c r="H46" i="8"/>
  <c r="G46" i="8"/>
  <c r="C46" i="8"/>
  <c r="D46" i="8" s="1"/>
  <c r="H45" i="8"/>
  <c r="G45" i="8"/>
  <c r="C45" i="8"/>
  <c r="D45" i="8" s="1"/>
  <c r="H44" i="8"/>
  <c r="G44" i="8"/>
  <c r="C44" i="8"/>
  <c r="D44" i="8" s="1"/>
  <c r="H43" i="8"/>
  <c r="G43" i="8"/>
  <c r="C43" i="8"/>
  <c r="D43" i="8" s="1"/>
  <c r="H42" i="8"/>
  <c r="G42" i="8"/>
  <c r="C42" i="8"/>
  <c r="D42" i="8" s="1"/>
  <c r="H41" i="8"/>
  <c r="G41" i="8"/>
  <c r="C41" i="8"/>
  <c r="D41" i="8" s="1"/>
  <c r="H40" i="8"/>
  <c r="G40" i="8"/>
  <c r="C40" i="8"/>
  <c r="D40" i="8" s="1"/>
  <c r="H39" i="8"/>
  <c r="G39" i="8"/>
  <c r="C39" i="8"/>
  <c r="D39" i="8" s="1"/>
  <c r="H38" i="8"/>
  <c r="G38" i="8"/>
  <c r="C38" i="8"/>
  <c r="D38" i="8" s="1"/>
  <c r="H37" i="8"/>
  <c r="G37" i="8"/>
  <c r="C37" i="8"/>
  <c r="D37" i="8" s="1"/>
  <c r="H36" i="8"/>
  <c r="G36" i="8"/>
  <c r="C36" i="8"/>
  <c r="D36" i="8" s="1"/>
  <c r="H35" i="8"/>
  <c r="G35" i="8"/>
  <c r="C35" i="8"/>
  <c r="D35" i="8" s="1"/>
  <c r="H34" i="8"/>
  <c r="G34" i="8"/>
  <c r="C34" i="8"/>
  <c r="D34" i="8" s="1"/>
  <c r="H33" i="8"/>
  <c r="G33" i="8"/>
  <c r="C33" i="8"/>
  <c r="D33" i="8" s="1"/>
  <c r="H32" i="8"/>
  <c r="G32" i="8"/>
  <c r="C32" i="8"/>
  <c r="D32" i="8" s="1"/>
  <c r="H31" i="8"/>
  <c r="G31" i="8"/>
  <c r="C31" i="8"/>
  <c r="D31" i="8" s="1"/>
  <c r="H30" i="8"/>
  <c r="G30" i="8"/>
  <c r="C30" i="8"/>
  <c r="D30" i="8" s="1"/>
  <c r="H29" i="8"/>
  <c r="G29" i="8"/>
  <c r="C29" i="8"/>
  <c r="D29" i="8" s="1"/>
  <c r="H28" i="8"/>
  <c r="G28" i="8"/>
  <c r="C28" i="8"/>
  <c r="D28" i="8" s="1"/>
  <c r="H27" i="8"/>
  <c r="G27" i="8"/>
  <c r="C27" i="8"/>
  <c r="D27" i="8" s="1"/>
  <c r="H26" i="8"/>
  <c r="G26" i="8"/>
  <c r="C26" i="8"/>
  <c r="D26" i="8" s="1"/>
  <c r="H25" i="8"/>
  <c r="G25" i="8"/>
  <c r="C25" i="8"/>
  <c r="D25" i="8" s="1"/>
  <c r="H24" i="8"/>
  <c r="G24" i="8"/>
  <c r="C24" i="8"/>
  <c r="D24" i="8" s="1"/>
  <c r="H23" i="8"/>
  <c r="G23" i="8"/>
  <c r="C23" i="8"/>
  <c r="D23" i="8" s="1"/>
  <c r="H22" i="8"/>
  <c r="G22" i="8"/>
  <c r="C22" i="8"/>
  <c r="D22" i="8" s="1"/>
  <c r="H21" i="8"/>
  <c r="G21" i="8"/>
  <c r="C21" i="8"/>
  <c r="D21" i="8" s="1"/>
  <c r="H20" i="8"/>
  <c r="G20" i="8"/>
  <c r="C20" i="8"/>
  <c r="D20" i="8" s="1"/>
  <c r="H19" i="8"/>
  <c r="G19" i="8"/>
  <c r="C19" i="8"/>
  <c r="D19" i="8" s="1"/>
  <c r="H18" i="8"/>
  <c r="G18" i="8"/>
  <c r="C18" i="8"/>
  <c r="D18" i="8" s="1"/>
  <c r="H17" i="8"/>
  <c r="G17" i="8"/>
  <c r="C17" i="8"/>
  <c r="D17" i="8" s="1"/>
  <c r="H16" i="8"/>
  <c r="G16" i="8"/>
  <c r="C16" i="8"/>
  <c r="D16" i="8" s="1"/>
  <c r="H15" i="8"/>
  <c r="G15" i="8"/>
  <c r="C15" i="8"/>
  <c r="D15" i="8" s="1"/>
  <c r="H14" i="8"/>
  <c r="G14" i="8"/>
  <c r="C14" i="8"/>
  <c r="D14" i="8" s="1"/>
  <c r="H13" i="8"/>
  <c r="G13" i="8"/>
  <c r="C13" i="8"/>
  <c r="D13" i="8" s="1"/>
  <c r="H12" i="8"/>
  <c r="G12" i="8"/>
  <c r="C12" i="8"/>
  <c r="D12" i="8" s="1"/>
  <c r="H11" i="8"/>
  <c r="G11" i="8"/>
  <c r="C11" i="8"/>
  <c r="D11" i="8" s="1"/>
  <c r="H10" i="8"/>
  <c r="G10" i="8"/>
  <c r="C10" i="8"/>
  <c r="D10" i="8" s="1"/>
  <c r="H9" i="8"/>
  <c r="G9" i="8"/>
  <c r="C9" i="8"/>
  <c r="D9" i="8" s="1"/>
  <c r="H8" i="8"/>
  <c r="G8" i="8"/>
  <c r="C8" i="8"/>
  <c r="D8" i="8" s="1"/>
  <c r="H7" i="8"/>
  <c r="G7" i="8"/>
  <c r="C7" i="8"/>
  <c r="D7" i="8" s="1"/>
  <c r="H6" i="8"/>
  <c r="G6" i="8"/>
  <c r="C6" i="8"/>
  <c r="D6" i="8" s="1"/>
  <c r="H5" i="8"/>
  <c r="G5" i="8"/>
  <c r="C5" i="8"/>
  <c r="D5" i="8" s="1"/>
  <c r="H4" i="8"/>
  <c r="G4" i="8"/>
  <c r="C4" i="8"/>
  <c r="D4" i="8" s="1"/>
  <c r="H3" i="8"/>
  <c r="G3" i="8"/>
  <c r="C3" i="8"/>
  <c r="D3" i="8" s="1"/>
  <c r="H2" i="8"/>
  <c r="G2" i="8"/>
  <c r="C2" i="8"/>
  <c r="D2" i="8" s="1"/>
  <c r="T1139" i="7"/>
  <c r="I1139" i="7"/>
  <c r="S1139" i="7" s="1"/>
  <c r="T1138" i="7"/>
  <c r="I1138" i="7"/>
  <c r="S1138" i="7" s="1"/>
  <c r="T1137" i="7"/>
  <c r="I1137" i="7"/>
  <c r="S1137" i="7" s="1"/>
  <c r="T1136" i="7"/>
  <c r="I1136" i="7"/>
  <c r="S1136" i="7" s="1"/>
  <c r="T1135" i="7"/>
  <c r="I1135" i="7"/>
  <c r="S1135" i="7" s="1"/>
  <c r="T1134" i="7"/>
  <c r="I1134" i="7"/>
  <c r="S1134" i="7" s="1"/>
  <c r="T1133" i="7"/>
  <c r="I1133" i="7"/>
  <c r="S1133" i="7" s="1"/>
  <c r="T1132" i="7"/>
  <c r="I1132" i="7"/>
  <c r="S1132" i="7" s="1"/>
  <c r="T1131" i="7"/>
  <c r="I1131" i="7"/>
  <c r="S1131" i="7" s="1"/>
  <c r="T1130" i="7"/>
  <c r="I1130" i="7"/>
  <c r="S1130" i="7" s="1"/>
  <c r="T1129" i="7"/>
  <c r="I1129" i="7"/>
  <c r="S1129" i="7" s="1"/>
  <c r="T1128" i="7"/>
  <c r="I1128" i="7"/>
  <c r="S1128" i="7" s="1"/>
  <c r="I1127" i="7"/>
  <c r="S1127" i="7" s="1"/>
  <c r="I1126" i="7"/>
  <c r="S1126" i="7" s="1"/>
  <c r="I1125" i="7"/>
  <c r="S1125" i="7" s="1"/>
  <c r="I1124" i="7"/>
  <c r="S1124" i="7" s="1"/>
  <c r="I1123" i="7"/>
  <c r="S1123" i="7" s="1"/>
  <c r="I1122" i="7"/>
  <c r="S1122" i="7" s="1"/>
  <c r="I1121" i="7"/>
  <c r="S1121" i="7" s="1"/>
  <c r="I1120" i="7"/>
  <c r="S1120" i="7" s="1"/>
  <c r="I1119" i="7"/>
  <c r="S1119" i="7" s="1"/>
  <c r="I1118" i="7"/>
  <c r="S1118" i="7" s="1"/>
  <c r="I1117" i="7"/>
  <c r="S1117" i="7" s="1"/>
  <c r="I1116" i="7"/>
  <c r="S1116" i="7" s="1"/>
  <c r="I1115" i="7"/>
  <c r="S1115" i="7" s="1"/>
  <c r="I1114" i="7"/>
  <c r="S1114" i="7" s="1"/>
  <c r="I1113" i="7"/>
  <c r="S1113" i="7" s="1"/>
  <c r="I1112" i="7"/>
  <c r="S1112" i="7" s="1"/>
  <c r="I1111" i="7"/>
  <c r="S1111" i="7" s="1"/>
  <c r="I1110" i="7"/>
  <c r="S1110" i="7" s="1"/>
  <c r="I1109" i="7"/>
  <c r="S1109" i="7" s="1"/>
  <c r="I1108" i="7"/>
  <c r="S1108" i="7" s="1"/>
  <c r="I1107" i="7"/>
  <c r="S1107" i="7" s="1"/>
  <c r="I1106" i="7"/>
  <c r="S1106" i="7" s="1"/>
  <c r="I1105" i="7"/>
  <c r="S1105" i="7" s="1"/>
  <c r="I1104" i="7"/>
  <c r="S1104" i="7" s="1"/>
  <c r="I1103" i="7"/>
  <c r="S1103" i="7" s="1"/>
  <c r="I1102" i="7"/>
  <c r="S1102" i="7" s="1"/>
  <c r="I1101" i="7"/>
  <c r="S1101" i="7" s="1"/>
  <c r="I1100" i="7"/>
  <c r="S1100" i="7" s="1"/>
  <c r="I1099" i="7"/>
  <c r="S1099" i="7" s="1"/>
  <c r="I1098" i="7"/>
  <c r="S1098" i="7" s="1"/>
  <c r="I1097" i="7"/>
  <c r="S1097" i="7" s="1"/>
  <c r="I1096" i="7"/>
  <c r="S1096" i="7" s="1"/>
  <c r="I1095" i="7"/>
  <c r="S1095" i="7" s="1"/>
  <c r="I1094" i="7"/>
  <c r="S1094" i="7" s="1"/>
  <c r="I1093" i="7"/>
  <c r="S1093" i="7" s="1"/>
  <c r="I1092" i="7"/>
  <c r="S1092" i="7" s="1"/>
  <c r="I1091" i="7"/>
  <c r="S1091" i="7" s="1"/>
  <c r="I1090" i="7"/>
  <c r="S1090" i="7" s="1"/>
  <c r="I1089" i="7"/>
  <c r="S1089" i="7" s="1"/>
  <c r="I1088" i="7"/>
  <c r="S1088" i="7" s="1"/>
  <c r="I1087" i="7"/>
  <c r="S1087" i="7" s="1"/>
  <c r="I1086" i="7"/>
  <c r="S1086" i="7" s="1"/>
  <c r="I1085" i="7"/>
  <c r="S1085" i="7" s="1"/>
  <c r="I1084" i="7"/>
  <c r="S1084" i="7" s="1"/>
  <c r="I1083" i="7"/>
  <c r="S1083" i="7" s="1"/>
  <c r="I1082" i="7"/>
  <c r="S1082" i="7" s="1"/>
  <c r="I1081" i="7"/>
  <c r="S1081" i="7" s="1"/>
  <c r="I1080" i="7"/>
  <c r="S1080" i="7" s="1"/>
  <c r="I1079" i="7"/>
  <c r="S1079" i="7" s="1"/>
  <c r="H1078" i="7"/>
  <c r="I1078" i="7" s="1"/>
  <c r="S1078" i="7" s="1"/>
  <c r="E1078" i="7"/>
  <c r="F1078" i="7" s="1"/>
  <c r="T1077" i="7"/>
  <c r="H1077" i="7"/>
  <c r="I1077" i="7" s="1"/>
  <c r="S1077" i="7" s="1"/>
  <c r="E1077" i="7"/>
  <c r="F1077" i="7" s="1"/>
  <c r="T1076" i="7"/>
  <c r="H1076" i="7"/>
  <c r="I1076" i="7" s="1"/>
  <c r="S1076" i="7" s="1"/>
  <c r="E1076" i="7"/>
  <c r="F1076" i="7" s="1"/>
  <c r="T1075" i="7"/>
  <c r="H1075" i="7"/>
  <c r="I1075" i="7" s="1"/>
  <c r="S1075" i="7" s="1"/>
  <c r="E1075" i="7"/>
  <c r="F1075" i="7" s="1"/>
  <c r="T1074" i="7"/>
  <c r="H1074" i="7"/>
  <c r="I1074" i="7" s="1"/>
  <c r="S1074" i="7" s="1"/>
  <c r="E1074" i="7"/>
  <c r="F1074" i="7" s="1"/>
  <c r="T1073" i="7"/>
  <c r="H1073" i="7"/>
  <c r="I1073" i="7" s="1"/>
  <c r="S1073" i="7" s="1"/>
  <c r="E1073" i="7"/>
  <c r="F1073" i="7" s="1"/>
  <c r="T1072" i="7"/>
  <c r="H1072" i="7"/>
  <c r="I1072" i="7" s="1"/>
  <c r="S1072" i="7" s="1"/>
  <c r="E1072" i="7"/>
  <c r="F1072" i="7" s="1"/>
  <c r="T1071" i="7"/>
  <c r="H1071" i="7"/>
  <c r="I1071" i="7" s="1"/>
  <c r="S1071" i="7" s="1"/>
  <c r="E1071" i="7"/>
  <c r="F1071" i="7" s="1"/>
  <c r="T1070" i="7"/>
  <c r="H1070" i="7"/>
  <c r="I1070" i="7" s="1"/>
  <c r="S1070" i="7" s="1"/>
  <c r="E1070" i="7"/>
  <c r="F1070" i="7" s="1"/>
  <c r="T1069" i="7"/>
  <c r="H1069" i="7"/>
  <c r="I1069" i="7" s="1"/>
  <c r="S1069" i="7" s="1"/>
  <c r="E1069" i="7"/>
  <c r="F1069" i="7" s="1"/>
  <c r="T1068" i="7"/>
  <c r="H1068" i="7"/>
  <c r="I1068" i="7" s="1"/>
  <c r="S1068" i="7" s="1"/>
  <c r="E1068" i="7"/>
  <c r="F1068" i="7" s="1"/>
  <c r="T1067" i="7"/>
  <c r="H1067" i="7"/>
  <c r="I1067" i="7" s="1"/>
  <c r="S1067" i="7" s="1"/>
  <c r="E1067" i="7"/>
  <c r="F1067" i="7" s="1"/>
  <c r="T1066" i="7"/>
  <c r="H1066" i="7"/>
  <c r="I1066" i="7" s="1"/>
  <c r="S1066" i="7" s="1"/>
  <c r="E1066" i="7"/>
  <c r="F1066" i="7" s="1"/>
  <c r="T1065" i="7"/>
  <c r="H1065" i="7"/>
  <c r="I1065" i="7" s="1"/>
  <c r="S1065" i="7" s="1"/>
  <c r="E1065" i="7"/>
  <c r="F1065" i="7" s="1"/>
  <c r="T1064" i="7"/>
  <c r="H1064" i="7"/>
  <c r="I1064" i="7" s="1"/>
  <c r="S1064" i="7" s="1"/>
  <c r="E1064" i="7"/>
  <c r="F1064" i="7" s="1"/>
  <c r="T1063" i="7"/>
  <c r="H1063" i="7"/>
  <c r="I1063" i="7" s="1"/>
  <c r="S1063" i="7" s="1"/>
  <c r="E1063" i="7"/>
  <c r="F1063" i="7" s="1"/>
  <c r="T1062" i="7"/>
  <c r="H1062" i="7"/>
  <c r="I1062" i="7" s="1"/>
  <c r="S1062" i="7" s="1"/>
  <c r="E1062" i="7"/>
  <c r="F1062" i="7" s="1"/>
  <c r="T1061" i="7"/>
  <c r="H1061" i="7"/>
  <c r="I1061" i="7" s="1"/>
  <c r="S1061" i="7" s="1"/>
  <c r="E1061" i="7"/>
  <c r="F1061" i="7" s="1"/>
  <c r="T1060" i="7"/>
  <c r="H1060" i="7"/>
  <c r="I1060" i="7" s="1"/>
  <c r="S1060" i="7" s="1"/>
  <c r="E1060" i="7"/>
  <c r="F1060" i="7" s="1"/>
  <c r="T1059" i="7"/>
  <c r="H1059" i="7"/>
  <c r="I1059" i="7" s="1"/>
  <c r="S1059" i="7" s="1"/>
  <c r="E1059" i="7"/>
  <c r="F1059" i="7" s="1"/>
  <c r="T1058" i="7"/>
  <c r="H1058" i="7"/>
  <c r="I1058" i="7" s="1"/>
  <c r="S1058" i="7" s="1"/>
  <c r="E1058" i="7"/>
  <c r="F1058" i="7" s="1"/>
  <c r="T1057" i="7"/>
  <c r="H1057" i="7"/>
  <c r="I1057" i="7" s="1"/>
  <c r="S1057" i="7" s="1"/>
  <c r="E1057" i="7"/>
  <c r="F1057" i="7" s="1"/>
  <c r="T1056" i="7"/>
  <c r="H1056" i="7"/>
  <c r="I1056" i="7" s="1"/>
  <c r="S1056" i="7" s="1"/>
  <c r="E1056" i="7"/>
  <c r="F1056" i="7" s="1"/>
  <c r="T1055" i="7"/>
  <c r="H1055" i="7"/>
  <c r="I1055" i="7" s="1"/>
  <c r="S1055" i="7" s="1"/>
  <c r="E1055" i="7"/>
  <c r="F1055" i="7" s="1"/>
  <c r="T1054" i="7"/>
  <c r="H1054" i="7"/>
  <c r="I1054" i="7" s="1"/>
  <c r="S1054" i="7" s="1"/>
  <c r="E1054" i="7"/>
  <c r="F1054" i="7" s="1"/>
  <c r="T1053" i="7"/>
  <c r="H1053" i="7"/>
  <c r="I1053" i="7" s="1"/>
  <c r="S1053" i="7" s="1"/>
  <c r="E1053" i="7"/>
  <c r="F1053" i="7" s="1"/>
  <c r="T1052" i="7"/>
  <c r="H1052" i="7"/>
  <c r="I1052" i="7" s="1"/>
  <c r="S1052" i="7" s="1"/>
  <c r="E1052" i="7"/>
  <c r="F1052" i="7" s="1"/>
  <c r="T1051" i="7"/>
  <c r="H1051" i="7"/>
  <c r="I1051" i="7" s="1"/>
  <c r="S1051" i="7" s="1"/>
  <c r="D1051" i="7"/>
  <c r="E1051" i="7" s="1"/>
  <c r="F1051" i="7" s="1"/>
  <c r="T1050" i="7"/>
  <c r="H1050" i="7"/>
  <c r="I1050" i="7" s="1"/>
  <c r="S1050" i="7" s="1"/>
  <c r="D1050" i="7"/>
  <c r="E1050" i="7" s="1"/>
  <c r="F1050" i="7" s="1"/>
  <c r="T1049" i="7"/>
  <c r="H1049" i="7"/>
  <c r="I1049" i="7" s="1"/>
  <c r="S1049" i="7" s="1"/>
  <c r="D1049" i="7"/>
  <c r="E1049" i="7" s="1"/>
  <c r="F1049" i="7" s="1"/>
  <c r="T1048" i="7"/>
  <c r="I1048" i="7"/>
  <c r="S1048" i="7" s="1"/>
  <c r="D1048" i="7"/>
  <c r="E1048" i="7" s="1"/>
  <c r="F1048" i="7" s="1"/>
  <c r="T1047" i="7"/>
  <c r="I1047" i="7"/>
  <c r="S1047" i="7" s="1"/>
  <c r="D1047" i="7"/>
  <c r="E1047" i="7" s="1"/>
  <c r="F1047" i="7" s="1"/>
  <c r="T1046" i="7"/>
  <c r="I1046" i="7"/>
  <c r="S1046" i="7" s="1"/>
  <c r="D1046" i="7"/>
  <c r="E1046" i="7" s="1"/>
  <c r="F1046" i="7" s="1"/>
  <c r="T1045" i="7"/>
  <c r="I1045" i="7"/>
  <c r="S1045" i="7" s="1"/>
  <c r="T1044" i="7"/>
  <c r="I1044" i="7"/>
  <c r="S1044" i="7" s="1"/>
  <c r="T1043" i="7"/>
  <c r="I1043" i="7"/>
  <c r="S1043" i="7" s="1"/>
  <c r="T1042" i="7"/>
  <c r="I1042" i="7"/>
  <c r="S1042" i="7" s="1"/>
  <c r="T1041" i="7"/>
  <c r="I1041" i="7"/>
  <c r="S1041" i="7" s="1"/>
  <c r="T1040" i="7"/>
  <c r="I1040" i="7"/>
  <c r="S1040" i="7" s="1"/>
  <c r="T1039" i="7"/>
  <c r="I1039" i="7"/>
  <c r="S1039" i="7" s="1"/>
  <c r="T1038" i="7"/>
  <c r="I1038" i="7"/>
  <c r="S1038" i="7" s="1"/>
  <c r="T1037" i="7"/>
  <c r="I1037" i="7"/>
  <c r="S1037" i="7" s="1"/>
  <c r="T1036" i="7"/>
  <c r="I1036" i="7"/>
  <c r="S1036" i="7" s="1"/>
  <c r="T1035" i="7"/>
  <c r="I1035" i="7"/>
  <c r="S1035" i="7" s="1"/>
  <c r="T1034" i="7"/>
  <c r="I1034" i="7"/>
  <c r="S1034" i="7" s="1"/>
  <c r="T1033" i="7"/>
  <c r="I1033" i="7"/>
  <c r="S1033" i="7" s="1"/>
  <c r="T1032" i="7"/>
  <c r="I1032" i="7"/>
  <c r="S1032" i="7" s="1"/>
  <c r="T1031" i="7"/>
  <c r="I1031" i="7"/>
  <c r="S1031" i="7" s="1"/>
  <c r="T1030" i="7"/>
  <c r="I1030" i="7"/>
  <c r="S1030" i="7" s="1"/>
  <c r="T1029" i="7"/>
  <c r="I1029" i="7"/>
  <c r="S1029" i="7" s="1"/>
  <c r="T1028" i="7"/>
  <c r="I1028" i="7"/>
  <c r="S1028" i="7" s="1"/>
  <c r="T1027" i="7"/>
  <c r="I1027" i="7"/>
  <c r="S1027" i="7" s="1"/>
  <c r="T1026" i="7"/>
  <c r="I1026" i="7"/>
  <c r="S1026" i="7" s="1"/>
  <c r="T1025" i="7"/>
  <c r="I1025" i="7"/>
  <c r="S1025" i="7" s="1"/>
  <c r="T1024" i="7"/>
  <c r="I1024" i="7"/>
  <c r="S1024" i="7" s="1"/>
  <c r="T1023" i="7"/>
  <c r="I1023" i="7"/>
  <c r="S1023" i="7" s="1"/>
  <c r="T1022" i="7"/>
  <c r="I1022" i="7"/>
  <c r="S1022" i="7" s="1"/>
  <c r="T1021" i="7"/>
  <c r="I1021" i="7"/>
  <c r="S1021" i="7" s="1"/>
  <c r="T1020" i="7"/>
  <c r="I1020" i="7"/>
  <c r="S1020" i="7" s="1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S963" i="7"/>
  <c r="H963" i="7"/>
  <c r="E963" i="7"/>
  <c r="H962" i="7"/>
  <c r="E962" i="7"/>
  <c r="H961" i="7"/>
  <c r="E961" i="7"/>
  <c r="H960" i="7"/>
  <c r="E960" i="7"/>
  <c r="H959" i="7"/>
  <c r="E959" i="7"/>
  <c r="H958" i="7"/>
  <c r="E958" i="7"/>
  <c r="H957" i="7"/>
  <c r="E957" i="7"/>
  <c r="H956" i="7"/>
  <c r="E956" i="7"/>
  <c r="H955" i="7"/>
  <c r="E955" i="7"/>
  <c r="H954" i="7"/>
  <c r="E954" i="7"/>
  <c r="H953" i="7"/>
  <c r="E953" i="7"/>
  <c r="H952" i="7"/>
  <c r="E952" i="7"/>
  <c r="H951" i="7"/>
  <c r="E951" i="7"/>
  <c r="H950" i="7"/>
  <c r="E950" i="7"/>
  <c r="H949" i="7"/>
  <c r="E949" i="7"/>
  <c r="H948" i="7"/>
  <c r="E948" i="7"/>
  <c r="H947" i="7"/>
  <c r="E947" i="7"/>
  <c r="H946" i="7"/>
  <c r="E946" i="7"/>
  <c r="H945" i="7"/>
  <c r="E945" i="7"/>
  <c r="H944" i="7"/>
  <c r="E944" i="7"/>
  <c r="H943" i="7"/>
  <c r="E943" i="7"/>
  <c r="H942" i="7"/>
  <c r="E942" i="7"/>
  <c r="H941" i="7"/>
  <c r="E941" i="7"/>
  <c r="H940" i="7"/>
  <c r="E940" i="7"/>
  <c r="H939" i="7"/>
  <c r="E939" i="7"/>
  <c r="H938" i="7"/>
  <c r="E938" i="7"/>
  <c r="H937" i="7"/>
  <c r="E937" i="7"/>
  <c r="H936" i="7"/>
  <c r="E936" i="7"/>
  <c r="H935" i="7"/>
  <c r="E935" i="7"/>
  <c r="H934" i="7"/>
  <c r="E934" i="7"/>
  <c r="E933" i="7"/>
  <c r="E932" i="7"/>
  <c r="E931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S846" i="7"/>
  <c r="H846" i="7"/>
  <c r="S845" i="7"/>
  <c r="H845" i="7"/>
  <c r="S844" i="7"/>
  <c r="H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963" i="7" s="1"/>
  <c r="F722" i="7"/>
  <c r="F963" i="7" s="1"/>
  <c r="T721" i="7"/>
  <c r="T962" i="7" s="1"/>
  <c r="S721" i="7"/>
  <c r="S962" i="7" s="1"/>
  <c r="I721" i="7"/>
  <c r="I962" i="7" s="1"/>
  <c r="F721" i="7"/>
  <c r="F962" i="7" s="1"/>
  <c r="T720" i="7"/>
  <c r="T961" i="7" s="1"/>
  <c r="S720" i="7"/>
  <c r="S961" i="7" s="1"/>
  <c r="I720" i="7"/>
  <c r="I961" i="7" s="1"/>
  <c r="F720" i="7"/>
  <c r="F961" i="7" s="1"/>
  <c r="T719" i="7"/>
  <c r="T960" i="7" s="1"/>
  <c r="S719" i="7"/>
  <c r="S960" i="7" s="1"/>
  <c r="I719" i="7"/>
  <c r="I960" i="7" s="1"/>
  <c r="F719" i="7"/>
  <c r="F960" i="7" s="1"/>
  <c r="T718" i="7"/>
  <c r="T959" i="7" s="1"/>
  <c r="S718" i="7"/>
  <c r="S959" i="7" s="1"/>
  <c r="I718" i="7"/>
  <c r="I959" i="7" s="1"/>
  <c r="F718" i="7"/>
  <c r="F959" i="7" s="1"/>
  <c r="T717" i="7"/>
  <c r="T958" i="7" s="1"/>
  <c r="S717" i="7"/>
  <c r="S958" i="7" s="1"/>
  <c r="I717" i="7"/>
  <c r="I958" i="7" s="1"/>
  <c r="F717" i="7"/>
  <c r="F958" i="7" s="1"/>
  <c r="T716" i="7"/>
  <c r="T957" i="7" s="1"/>
  <c r="S716" i="7"/>
  <c r="S957" i="7" s="1"/>
  <c r="I716" i="7"/>
  <c r="I957" i="7" s="1"/>
  <c r="F716" i="7"/>
  <c r="F957" i="7" s="1"/>
  <c r="T715" i="7"/>
  <c r="T956" i="7" s="1"/>
  <c r="S715" i="7"/>
  <c r="S956" i="7" s="1"/>
  <c r="I715" i="7"/>
  <c r="I956" i="7" s="1"/>
  <c r="F715" i="7"/>
  <c r="F956" i="7" s="1"/>
  <c r="T714" i="7"/>
  <c r="T955" i="7" s="1"/>
  <c r="S714" i="7"/>
  <c r="S955" i="7" s="1"/>
  <c r="I714" i="7"/>
  <c r="I955" i="7" s="1"/>
  <c r="F714" i="7"/>
  <c r="F955" i="7" s="1"/>
  <c r="T713" i="7"/>
  <c r="T954" i="7" s="1"/>
  <c r="S713" i="7"/>
  <c r="S954" i="7" s="1"/>
  <c r="I713" i="7"/>
  <c r="I954" i="7" s="1"/>
  <c r="F713" i="7"/>
  <c r="F954" i="7" s="1"/>
  <c r="T712" i="7"/>
  <c r="T953" i="7" s="1"/>
  <c r="S712" i="7"/>
  <c r="S953" i="7" s="1"/>
  <c r="I712" i="7"/>
  <c r="I953" i="7" s="1"/>
  <c r="F712" i="7"/>
  <c r="F953" i="7" s="1"/>
  <c r="T711" i="7"/>
  <c r="T952" i="7" s="1"/>
  <c r="S711" i="7"/>
  <c r="S952" i="7" s="1"/>
  <c r="I711" i="7"/>
  <c r="I952" i="7" s="1"/>
  <c r="F711" i="7"/>
  <c r="F952" i="7" s="1"/>
  <c r="T710" i="7"/>
  <c r="T951" i="7" s="1"/>
  <c r="S710" i="7"/>
  <c r="S951" i="7" s="1"/>
  <c r="I710" i="7"/>
  <c r="I951" i="7" s="1"/>
  <c r="F710" i="7"/>
  <c r="F951" i="7" s="1"/>
  <c r="T709" i="7"/>
  <c r="T950" i="7" s="1"/>
  <c r="S709" i="7"/>
  <c r="S950" i="7" s="1"/>
  <c r="I709" i="7"/>
  <c r="I950" i="7" s="1"/>
  <c r="F709" i="7"/>
  <c r="F950" i="7" s="1"/>
  <c r="T708" i="7"/>
  <c r="T949" i="7" s="1"/>
  <c r="S708" i="7"/>
  <c r="S949" i="7" s="1"/>
  <c r="I708" i="7"/>
  <c r="I949" i="7" s="1"/>
  <c r="F708" i="7"/>
  <c r="F949" i="7" s="1"/>
  <c r="T707" i="7"/>
  <c r="T948" i="7" s="1"/>
  <c r="S707" i="7"/>
  <c r="S948" i="7" s="1"/>
  <c r="I707" i="7"/>
  <c r="I948" i="7" s="1"/>
  <c r="F707" i="7"/>
  <c r="F948" i="7" s="1"/>
  <c r="T706" i="7"/>
  <c r="T947" i="7" s="1"/>
  <c r="S706" i="7"/>
  <c r="S947" i="7" s="1"/>
  <c r="I706" i="7"/>
  <c r="I947" i="7" s="1"/>
  <c r="F706" i="7"/>
  <c r="F947" i="7" s="1"/>
  <c r="T705" i="7"/>
  <c r="T946" i="7" s="1"/>
  <c r="S705" i="7"/>
  <c r="S946" i="7" s="1"/>
  <c r="I705" i="7"/>
  <c r="I946" i="7" s="1"/>
  <c r="F705" i="7"/>
  <c r="F946" i="7" s="1"/>
  <c r="T704" i="7"/>
  <c r="T945" i="7" s="1"/>
  <c r="S704" i="7"/>
  <c r="S945" i="7" s="1"/>
  <c r="I704" i="7"/>
  <c r="I945" i="7" s="1"/>
  <c r="F704" i="7"/>
  <c r="F945" i="7" s="1"/>
  <c r="T703" i="7"/>
  <c r="T944" i="7" s="1"/>
  <c r="S703" i="7"/>
  <c r="S944" i="7" s="1"/>
  <c r="I703" i="7"/>
  <c r="I944" i="7" s="1"/>
  <c r="F703" i="7"/>
  <c r="F944" i="7" s="1"/>
  <c r="T702" i="7"/>
  <c r="T943" i="7" s="1"/>
  <c r="S702" i="7"/>
  <c r="S943" i="7" s="1"/>
  <c r="I702" i="7"/>
  <c r="I943" i="7" s="1"/>
  <c r="F702" i="7"/>
  <c r="F943" i="7" s="1"/>
  <c r="T701" i="7"/>
  <c r="T942" i="7" s="1"/>
  <c r="S701" i="7"/>
  <c r="S942" i="7" s="1"/>
  <c r="I701" i="7"/>
  <c r="I942" i="7" s="1"/>
  <c r="F701" i="7"/>
  <c r="F942" i="7" s="1"/>
  <c r="T700" i="7"/>
  <c r="T941" i="7" s="1"/>
  <c r="S700" i="7"/>
  <c r="S941" i="7" s="1"/>
  <c r="I700" i="7"/>
  <c r="I941" i="7" s="1"/>
  <c r="F700" i="7"/>
  <c r="F941" i="7" s="1"/>
  <c r="T699" i="7"/>
  <c r="T940" i="7" s="1"/>
  <c r="S699" i="7"/>
  <c r="S940" i="7" s="1"/>
  <c r="I699" i="7"/>
  <c r="I940" i="7" s="1"/>
  <c r="F699" i="7"/>
  <c r="F940" i="7" s="1"/>
  <c r="T698" i="7"/>
  <c r="T939" i="7" s="1"/>
  <c r="S698" i="7"/>
  <c r="S939" i="7" s="1"/>
  <c r="I698" i="7"/>
  <c r="I939" i="7" s="1"/>
  <c r="F698" i="7"/>
  <c r="F939" i="7" s="1"/>
  <c r="T697" i="7"/>
  <c r="T938" i="7" s="1"/>
  <c r="S697" i="7"/>
  <c r="S938" i="7" s="1"/>
  <c r="I697" i="7"/>
  <c r="I938" i="7" s="1"/>
  <c r="F697" i="7"/>
  <c r="F938" i="7" s="1"/>
  <c r="T696" i="7"/>
  <c r="T937" i="7" s="1"/>
  <c r="S696" i="7"/>
  <c r="S937" i="7" s="1"/>
  <c r="I696" i="7"/>
  <c r="I937" i="7" s="1"/>
  <c r="F696" i="7"/>
  <c r="F937" i="7" s="1"/>
  <c r="T695" i="7"/>
  <c r="T936" i="7" s="1"/>
  <c r="S695" i="7"/>
  <c r="S936" i="7" s="1"/>
  <c r="I695" i="7"/>
  <c r="I936" i="7" s="1"/>
  <c r="F695" i="7"/>
  <c r="F936" i="7" s="1"/>
  <c r="T694" i="7"/>
  <c r="T935" i="7" s="1"/>
  <c r="S694" i="7"/>
  <c r="S935" i="7" s="1"/>
  <c r="I694" i="7"/>
  <c r="I935" i="7" s="1"/>
  <c r="F694" i="7"/>
  <c r="F935" i="7" s="1"/>
  <c r="T693" i="7"/>
  <c r="T934" i="7" s="1"/>
  <c r="S693" i="7"/>
  <c r="S934" i="7" s="1"/>
  <c r="I693" i="7"/>
  <c r="I934" i="7" s="1"/>
  <c r="F693" i="7"/>
  <c r="F934" i="7" s="1"/>
  <c r="T692" i="7"/>
  <c r="T933" i="7" s="1"/>
  <c r="S692" i="7"/>
  <c r="S933" i="7" s="1"/>
  <c r="I692" i="7"/>
  <c r="F692" i="7"/>
  <c r="F933" i="7" s="1"/>
  <c r="T691" i="7"/>
  <c r="T932" i="7" s="1"/>
  <c r="S691" i="7"/>
  <c r="S932" i="7" s="1"/>
  <c r="I691" i="7"/>
  <c r="F691" i="7"/>
  <c r="F932" i="7" s="1"/>
  <c r="T690" i="7"/>
  <c r="T931" i="7" s="1"/>
  <c r="S690" i="7"/>
  <c r="S931" i="7" s="1"/>
  <c r="I690" i="7"/>
  <c r="F690" i="7"/>
  <c r="F931" i="7" s="1"/>
  <c r="T689" i="7"/>
  <c r="T930" i="7" s="1"/>
  <c r="S689" i="7"/>
  <c r="S930" i="7" s="1"/>
  <c r="I689" i="7"/>
  <c r="T688" i="7"/>
  <c r="T929" i="7" s="1"/>
  <c r="S688" i="7"/>
  <c r="S929" i="7" s="1"/>
  <c r="I688" i="7"/>
  <c r="T687" i="7"/>
  <c r="T928" i="7" s="1"/>
  <c r="S687" i="7"/>
  <c r="S928" i="7" s="1"/>
  <c r="I687" i="7"/>
  <c r="T686" i="7"/>
  <c r="T927" i="7" s="1"/>
  <c r="S686" i="7"/>
  <c r="S927" i="7" s="1"/>
  <c r="I686" i="7"/>
  <c r="T685" i="7"/>
  <c r="T926" i="7" s="1"/>
  <c r="S685" i="7"/>
  <c r="S926" i="7" s="1"/>
  <c r="I685" i="7"/>
  <c r="T684" i="7"/>
  <c r="T925" i="7" s="1"/>
  <c r="S684" i="7"/>
  <c r="S925" i="7" s="1"/>
  <c r="I684" i="7"/>
  <c r="T683" i="7"/>
  <c r="T924" i="7" s="1"/>
  <c r="S683" i="7"/>
  <c r="S924" i="7" s="1"/>
  <c r="I683" i="7"/>
  <c r="T682" i="7"/>
  <c r="T923" i="7" s="1"/>
  <c r="S682" i="7"/>
  <c r="S923" i="7" s="1"/>
  <c r="I682" i="7"/>
  <c r="T681" i="7"/>
  <c r="T922" i="7" s="1"/>
  <c r="S681" i="7"/>
  <c r="S922" i="7" s="1"/>
  <c r="I681" i="7"/>
  <c r="T680" i="7"/>
  <c r="T921" i="7" s="1"/>
  <c r="S680" i="7"/>
  <c r="S921" i="7" s="1"/>
  <c r="I680" i="7"/>
  <c r="T679" i="7"/>
  <c r="T920" i="7" s="1"/>
  <c r="S679" i="7"/>
  <c r="S920" i="7" s="1"/>
  <c r="I679" i="7"/>
  <c r="T678" i="7"/>
  <c r="T919" i="7" s="1"/>
  <c r="S678" i="7"/>
  <c r="S919" i="7" s="1"/>
  <c r="I678" i="7"/>
  <c r="T677" i="7"/>
  <c r="T918" i="7" s="1"/>
  <c r="S677" i="7"/>
  <c r="S918" i="7" s="1"/>
  <c r="I677" i="7"/>
  <c r="T676" i="7"/>
  <c r="T917" i="7" s="1"/>
  <c r="S676" i="7"/>
  <c r="S917" i="7" s="1"/>
  <c r="I676" i="7"/>
  <c r="T675" i="7"/>
  <c r="T916" i="7" s="1"/>
  <c r="S675" i="7"/>
  <c r="S916" i="7" s="1"/>
  <c r="I675" i="7"/>
  <c r="T674" i="7"/>
  <c r="T915" i="7" s="1"/>
  <c r="S674" i="7"/>
  <c r="S915" i="7" s="1"/>
  <c r="I674" i="7"/>
  <c r="T673" i="7"/>
  <c r="T914" i="7" s="1"/>
  <c r="S673" i="7"/>
  <c r="S914" i="7" s="1"/>
  <c r="I673" i="7"/>
  <c r="T672" i="7"/>
  <c r="T913" i="7" s="1"/>
  <c r="S672" i="7"/>
  <c r="S913" i="7" s="1"/>
  <c r="I672" i="7"/>
  <c r="T671" i="7"/>
  <c r="T912" i="7" s="1"/>
  <c r="S671" i="7"/>
  <c r="S912" i="7" s="1"/>
  <c r="I671" i="7"/>
  <c r="T670" i="7"/>
  <c r="T911" i="7" s="1"/>
  <c r="S670" i="7"/>
  <c r="S911" i="7" s="1"/>
  <c r="I670" i="7"/>
  <c r="T669" i="7"/>
  <c r="T910" i="7" s="1"/>
  <c r="S669" i="7"/>
  <c r="S910" i="7" s="1"/>
  <c r="I669" i="7"/>
  <c r="T668" i="7"/>
  <c r="T909" i="7" s="1"/>
  <c r="S668" i="7"/>
  <c r="S909" i="7" s="1"/>
  <c r="I668" i="7"/>
  <c r="T667" i="7"/>
  <c r="T908" i="7" s="1"/>
  <c r="S667" i="7"/>
  <c r="S908" i="7" s="1"/>
  <c r="I667" i="7"/>
  <c r="T666" i="7"/>
  <c r="T907" i="7" s="1"/>
  <c r="S666" i="7"/>
  <c r="S907" i="7" s="1"/>
  <c r="I666" i="7"/>
  <c r="T665" i="7"/>
  <c r="T906" i="7" s="1"/>
  <c r="S665" i="7"/>
  <c r="S906" i="7" s="1"/>
  <c r="I665" i="7"/>
  <c r="T664" i="7"/>
  <c r="T905" i="7" s="1"/>
  <c r="S664" i="7"/>
  <c r="S905" i="7" s="1"/>
  <c r="I664" i="7"/>
  <c r="T663" i="7"/>
  <c r="T904" i="7" s="1"/>
  <c r="S663" i="7"/>
  <c r="S904" i="7" s="1"/>
  <c r="I663" i="7"/>
  <c r="I904" i="7" s="1"/>
  <c r="T662" i="7"/>
  <c r="T903" i="7" s="1"/>
  <c r="S662" i="7"/>
  <c r="S903" i="7" s="1"/>
  <c r="I662" i="7"/>
  <c r="I903" i="7" s="1"/>
  <c r="T661" i="7"/>
  <c r="T902" i="7" s="1"/>
  <c r="S661" i="7"/>
  <c r="S902" i="7" s="1"/>
  <c r="I661" i="7"/>
  <c r="I902" i="7" s="1"/>
  <c r="T660" i="7"/>
  <c r="T901" i="7" s="1"/>
  <c r="S660" i="7"/>
  <c r="S901" i="7" s="1"/>
  <c r="I660" i="7"/>
  <c r="I901" i="7" s="1"/>
  <c r="T659" i="7"/>
  <c r="T900" i="7" s="1"/>
  <c r="S659" i="7"/>
  <c r="S900" i="7" s="1"/>
  <c r="I659" i="7"/>
  <c r="I900" i="7" s="1"/>
  <c r="T658" i="7"/>
  <c r="T899" i="7" s="1"/>
  <c r="S658" i="7"/>
  <c r="S899" i="7" s="1"/>
  <c r="I658" i="7"/>
  <c r="I899" i="7" s="1"/>
  <c r="T657" i="7"/>
  <c r="T898" i="7" s="1"/>
  <c r="S657" i="7"/>
  <c r="S898" i="7" s="1"/>
  <c r="I657" i="7"/>
  <c r="I898" i="7" s="1"/>
  <c r="T656" i="7"/>
  <c r="T897" i="7" s="1"/>
  <c r="S656" i="7"/>
  <c r="S897" i="7" s="1"/>
  <c r="I656" i="7"/>
  <c r="I897" i="7" s="1"/>
  <c r="T655" i="7"/>
  <c r="T896" i="7" s="1"/>
  <c r="S655" i="7"/>
  <c r="S896" i="7" s="1"/>
  <c r="I655" i="7"/>
  <c r="I896" i="7" s="1"/>
  <c r="T654" i="7"/>
  <c r="T895" i="7" s="1"/>
  <c r="S654" i="7"/>
  <c r="S895" i="7" s="1"/>
  <c r="I654" i="7"/>
  <c r="I895" i="7" s="1"/>
  <c r="T653" i="7"/>
  <c r="T894" i="7" s="1"/>
  <c r="S653" i="7"/>
  <c r="S894" i="7" s="1"/>
  <c r="I653" i="7"/>
  <c r="I894" i="7" s="1"/>
  <c r="T652" i="7"/>
  <c r="T893" i="7" s="1"/>
  <c r="S652" i="7"/>
  <c r="S893" i="7" s="1"/>
  <c r="I652" i="7"/>
  <c r="I893" i="7" s="1"/>
  <c r="S651" i="7"/>
  <c r="S892" i="7" s="1"/>
  <c r="I651" i="7"/>
  <c r="I892" i="7" s="1"/>
  <c r="S650" i="7"/>
  <c r="S891" i="7" s="1"/>
  <c r="I650" i="7"/>
  <c r="I891" i="7" s="1"/>
  <c r="S649" i="7"/>
  <c r="S890" i="7" s="1"/>
  <c r="I649" i="7"/>
  <c r="I890" i="7" s="1"/>
  <c r="S648" i="7"/>
  <c r="S889" i="7" s="1"/>
  <c r="I648" i="7"/>
  <c r="I889" i="7" s="1"/>
  <c r="S647" i="7"/>
  <c r="S888" i="7" s="1"/>
  <c r="I647" i="7"/>
  <c r="I888" i="7" s="1"/>
  <c r="S646" i="7"/>
  <c r="S887" i="7" s="1"/>
  <c r="I646" i="7"/>
  <c r="I887" i="7" s="1"/>
  <c r="S645" i="7"/>
  <c r="S886" i="7" s="1"/>
  <c r="I645" i="7"/>
  <c r="I886" i="7" s="1"/>
  <c r="S644" i="7"/>
  <c r="S885" i="7" s="1"/>
  <c r="I644" i="7"/>
  <c r="I885" i="7" s="1"/>
  <c r="S643" i="7"/>
  <c r="S884" i="7" s="1"/>
  <c r="I643" i="7"/>
  <c r="I884" i="7" s="1"/>
  <c r="S642" i="7"/>
  <c r="S883" i="7" s="1"/>
  <c r="I642" i="7"/>
  <c r="I883" i="7" s="1"/>
  <c r="S641" i="7"/>
  <c r="S882" i="7" s="1"/>
  <c r="I641" i="7"/>
  <c r="I882" i="7" s="1"/>
  <c r="S640" i="7"/>
  <c r="S881" i="7" s="1"/>
  <c r="I640" i="7"/>
  <c r="I881" i="7" s="1"/>
  <c r="S639" i="7"/>
  <c r="S880" i="7" s="1"/>
  <c r="I639" i="7"/>
  <c r="I880" i="7" s="1"/>
  <c r="S638" i="7"/>
  <c r="S879" i="7" s="1"/>
  <c r="I638" i="7"/>
  <c r="I879" i="7" s="1"/>
  <c r="S637" i="7"/>
  <c r="S878" i="7" s="1"/>
  <c r="I637" i="7"/>
  <c r="I878" i="7" s="1"/>
  <c r="S636" i="7"/>
  <c r="S877" i="7" s="1"/>
  <c r="I636" i="7"/>
  <c r="I877" i="7" s="1"/>
  <c r="S635" i="7"/>
  <c r="S876" i="7" s="1"/>
  <c r="I635" i="7"/>
  <c r="I876" i="7" s="1"/>
  <c r="S634" i="7"/>
  <c r="S875" i="7" s="1"/>
  <c r="I634" i="7"/>
  <c r="I875" i="7" s="1"/>
  <c r="S633" i="7"/>
  <c r="S874" i="7" s="1"/>
  <c r="I633" i="7"/>
  <c r="I874" i="7" s="1"/>
  <c r="S632" i="7"/>
  <c r="S873" i="7" s="1"/>
  <c r="I632" i="7"/>
  <c r="I873" i="7" s="1"/>
  <c r="S631" i="7"/>
  <c r="S872" i="7" s="1"/>
  <c r="I631" i="7"/>
  <c r="I872" i="7" s="1"/>
  <c r="S630" i="7"/>
  <c r="S871" i="7" s="1"/>
  <c r="I630" i="7"/>
  <c r="I871" i="7" s="1"/>
  <c r="S629" i="7"/>
  <c r="S870" i="7" s="1"/>
  <c r="I629" i="7"/>
  <c r="I870" i="7" s="1"/>
  <c r="S628" i="7"/>
  <c r="S869" i="7" s="1"/>
  <c r="I628" i="7"/>
  <c r="I869" i="7" s="1"/>
  <c r="S627" i="7"/>
  <c r="S868" i="7" s="1"/>
  <c r="I627" i="7"/>
  <c r="I868" i="7" s="1"/>
  <c r="S626" i="7"/>
  <c r="S867" i="7" s="1"/>
  <c r="I626" i="7"/>
  <c r="I867" i="7" s="1"/>
  <c r="S625" i="7"/>
  <c r="S866" i="7" s="1"/>
  <c r="I625" i="7"/>
  <c r="I866" i="7" s="1"/>
  <c r="S624" i="7"/>
  <c r="S865" i="7" s="1"/>
  <c r="I624" i="7"/>
  <c r="I865" i="7" s="1"/>
  <c r="S623" i="7"/>
  <c r="S864" i="7" s="1"/>
  <c r="I623" i="7"/>
  <c r="I864" i="7" s="1"/>
  <c r="S622" i="7"/>
  <c r="S863" i="7" s="1"/>
  <c r="I622" i="7"/>
  <c r="I863" i="7" s="1"/>
  <c r="S621" i="7"/>
  <c r="S862" i="7" s="1"/>
  <c r="I621" i="7"/>
  <c r="I862" i="7" s="1"/>
  <c r="S620" i="7"/>
  <c r="S861" i="7" s="1"/>
  <c r="I620" i="7"/>
  <c r="I861" i="7" s="1"/>
  <c r="S619" i="7"/>
  <c r="S860" i="7" s="1"/>
  <c r="I619" i="7"/>
  <c r="I860" i="7" s="1"/>
  <c r="S618" i="7"/>
  <c r="S859" i="7" s="1"/>
  <c r="I618" i="7"/>
  <c r="I859" i="7" s="1"/>
  <c r="S617" i="7"/>
  <c r="S858" i="7" s="1"/>
  <c r="I617" i="7"/>
  <c r="I858" i="7" s="1"/>
  <c r="S616" i="7"/>
  <c r="S857" i="7" s="1"/>
  <c r="I616" i="7"/>
  <c r="I857" i="7" s="1"/>
  <c r="S615" i="7"/>
  <c r="S856" i="7" s="1"/>
  <c r="I615" i="7"/>
  <c r="I856" i="7" s="1"/>
  <c r="S614" i="7"/>
  <c r="S855" i="7" s="1"/>
  <c r="I614" i="7"/>
  <c r="I855" i="7" s="1"/>
  <c r="S613" i="7"/>
  <c r="S854" i="7" s="1"/>
  <c r="I613" i="7"/>
  <c r="I854" i="7" s="1"/>
  <c r="S612" i="7"/>
  <c r="S853" i="7" s="1"/>
  <c r="I612" i="7"/>
  <c r="I853" i="7" s="1"/>
  <c r="S611" i="7"/>
  <c r="S852" i="7" s="1"/>
  <c r="I611" i="7"/>
  <c r="I852" i="7" s="1"/>
  <c r="S610" i="7"/>
  <c r="S851" i="7" s="1"/>
  <c r="I610" i="7"/>
  <c r="I851" i="7" s="1"/>
  <c r="S609" i="7"/>
  <c r="S850" i="7" s="1"/>
  <c r="I609" i="7"/>
  <c r="I850" i="7" s="1"/>
  <c r="S608" i="7"/>
  <c r="S849" i="7" s="1"/>
  <c r="I608" i="7"/>
  <c r="I849" i="7" s="1"/>
  <c r="S607" i="7"/>
  <c r="S848" i="7" s="1"/>
  <c r="I607" i="7"/>
  <c r="I848" i="7" s="1"/>
  <c r="S606" i="7"/>
  <c r="S847" i="7" s="1"/>
  <c r="I606" i="7"/>
  <c r="I847" i="7" s="1"/>
  <c r="I605" i="7"/>
  <c r="I846" i="7" s="1"/>
  <c r="I604" i="7"/>
  <c r="I845" i="7" s="1"/>
  <c r="I603" i="7"/>
  <c r="I844" i="7" s="1"/>
  <c r="T602" i="7"/>
  <c r="S602" i="7"/>
  <c r="T601" i="7"/>
  <c r="I601" i="7"/>
  <c r="S601" i="7" s="1"/>
  <c r="T600" i="7"/>
  <c r="I600" i="7"/>
  <c r="S600" i="7" s="1"/>
  <c r="T599" i="7"/>
  <c r="I599" i="7"/>
  <c r="S599" i="7" s="1"/>
  <c r="T598" i="7"/>
  <c r="I598" i="7"/>
  <c r="S598" i="7" s="1"/>
  <c r="T597" i="7"/>
  <c r="I597" i="7"/>
  <c r="S597" i="7" s="1"/>
  <c r="T596" i="7"/>
  <c r="I596" i="7"/>
  <c r="S596" i="7" s="1"/>
  <c r="T595" i="7"/>
  <c r="I595" i="7"/>
  <c r="S595" i="7" s="1"/>
  <c r="T594" i="7"/>
  <c r="I594" i="7"/>
  <c r="S594" i="7" s="1"/>
  <c r="T593" i="7"/>
  <c r="I593" i="7"/>
  <c r="S593" i="7" s="1"/>
  <c r="T592" i="7"/>
  <c r="I592" i="7"/>
  <c r="S592" i="7" s="1"/>
  <c r="T591" i="7"/>
  <c r="I591" i="7"/>
  <c r="S591" i="7" s="1"/>
  <c r="T590" i="7"/>
  <c r="I590" i="7"/>
  <c r="S590" i="7" s="1"/>
  <c r="T589" i="7"/>
  <c r="I589" i="7"/>
  <c r="S589" i="7" s="1"/>
  <c r="T588" i="7"/>
  <c r="I588" i="7"/>
  <c r="S588" i="7" s="1"/>
  <c r="T587" i="7"/>
  <c r="I587" i="7"/>
  <c r="S587" i="7" s="1"/>
  <c r="T586" i="7"/>
  <c r="I586" i="7"/>
  <c r="S586" i="7" s="1"/>
  <c r="T585" i="7"/>
  <c r="I585" i="7"/>
  <c r="S585" i="7" s="1"/>
  <c r="T584" i="7"/>
  <c r="I584" i="7"/>
  <c r="S584" i="7" s="1"/>
  <c r="T583" i="7"/>
  <c r="I583" i="7"/>
  <c r="S583" i="7" s="1"/>
  <c r="T582" i="7"/>
  <c r="I582" i="7"/>
  <c r="S582" i="7" s="1"/>
  <c r="T581" i="7"/>
  <c r="I581" i="7"/>
  <c r="S581" i="7" s="1"/>
  <c r="T580" i="7"/>
  <c r="I580" i="7"/>
  <c r="S580" i="7" s="1"/>
  <c r="T579" i="7"/>
  <c r="I579" i="7"/>
  <c r="S579" i="7" s="1"/>
  <c r="T578" i="7"/>
  <c r="I578" i="7"/>
  <c r="S578" i="7" s="1"/>
  <c r="T577" i="7"/>
  <c r="I577" i="7"/>
  <c r="S577" i="7" s="1"/>
  <c r="T576" i="7"/>
  <c r="I576" i="7"/>
  <c r="S576" i="7" s="1"/>
  <c r="T575" i="7"/>
  <c r="I575" i="7"/>
  <c r="S575" i="7" s="1"/>
  <c r="T574" i="7"/>
  <c r="I574" i="7"/>
  <c r="S574" i="7" s="1"/>
  <c r="T573" i="7"/>
  <c r="I573" i="7"/>
  <c r="S573" i="7" s="1"/>
  <c r="T572" i="7"/>
  <c r="I572" i="7"/>
  <c r="S572" i="7" s="1"/>
  <c r="T571" i="7"/>
  <c r="I571" i="7"/>
  <c r="S571" i="7" s="1"/>
  <c r="T570" i="7"/>
  <c r="I570" i="7"/>
  <c r="S570" i="7" s="1"/>
  <c r="T569" i="7"/>
  <c r="I569" i="7"/>
  <c r="S569" i="7" s="1"/>
  <c r="T568" i="7"/>
  <c r="I568" i="7"/>
  <c r="S568" i="7" s="1"/>
  <c r="T567" i="7"/>
  <c r="I567" i="7"/>
  <c r="S567" i="7" s="1"/>
  <c r="T566" i="7"/>
  <c r="I566" i="7"/>
  <c r="S566" i="7" s="1"/>
  <c r="T565" i="7"/>
  <c r="I565" i="7"/>
  <c r="S565" i="7" s="1"/>
  <c r="T564" i="7"/>
  <c r="I564" i="7"/>
  <c r="S564" i="7" s="1"/>
  <c r="T563" i="7"/>
  <c r="I563" i="7"/>
  <c r="S563" i="7" s="1"/>
  <c r="T562" i="7"/>
  <c r="I562" i="7"/>
  <c r="S562" i="7" s="1"/>
  <c r="T561" i="7"/>
  <c r="I561" i="7"/>
  <c r="S561" i="7" s="1"/>
  <c r="T560" i="7"/>
  <c r="I560" i="7"/>
  <c r="S560" i="7" s="1"/>
  <c r="T559" i="7"/>
  <c r="I559" i="7"/>
  <c r="S559" i="7" s="1"/>
  <c r="T558" i="7"/>
  <c r="I558" i="7"/>
  <c r="S558" i="7" s="1"/>
  <c r="T557" i="7"/>
  <c r="I557" i="7"/>
  <c r="S557" i="7" s="1"/>
  <c r="T556" i="7"/>
  <c r="I556" i="7"/>
  <c r="S556" i="7" s="1"/>
  <c r="T555" i="7"/>
  <c r="I555" i="7"/>
  <c r="S555" i="7" s="1"/>
  <c r="T554" i="7"/>
  <c r="I554" i="7"/>
  <c r="S554" i="7" s="1"/>
  <c r="T553" i="7"/>
  <c r="I553" i="7"/>
  <c r="S553" i="7" s="1"/>
  <c r="T552" i="7"/>
  <c r="I552" i="7"/>
  <c r="S552" i="7" s="1"/>
  <c r="T551" i="7"/>
  <c r="I551" i="7"/>
  <c r="S551" i="7" s="1"/>
  <c r="T550" i="7"/>
  <c r="I550" i="7"/>
  <c r="S550" i="7" s="1"/>
  <c r="T549" i="7"/>
  <c r="I549" i="7"/>
  <c r="S549" i="7" s="1"/>
  <c r="T548" i="7"/>
  <c r="I548" i="7"/>
  <c r="S548" i="7" s="1"/>
  <c r="T547" i="7"/>
  <c r="I547" i="7"/>
  <c r="S547" i="7" s="1"/>
  <c r="T546" i="7"/>
  <c r="I546" i="7"/>
  <c r="S546" i="7" s="1"/>
  <c r="T545" i="7"/>
  <c r="I545" i="7"/>
  <c r="S545" i="7" s="1"/>
  <c r="T544" i="7"/>
  <c r="I544" i="7"/>
  <c r="S544" i="7" s="1"/>
  <c r="T543" i="7"/>
  <c r="I543" i="7"/>
  <c r="S543" i="7" s="1"/>
  <c r="T542" i="7"/>
  <c r="I542" i="7"/>
  <c r="S542" i="7" s="1"/>
  <c r="T541" i="7"/>
  <c r="I541" i="7"/>
  <c r="S541" i="7" s="1"/>
  <c r="T540" i="7"/>
  <c r="I540" i="7"/>
  <c r="S540" i="7" s="1"/>
  <c r="T539" i="7"/>
  <c r="I539" i="7"/>
  <c r="S539" i="7" s="1"/>
  <c r="T538" i="7"/>
  <c r="I538" i="7"/>
  <c r="S538" i="7" s="1"/>
  <c r="T537" i="7"/>
  <c r="I537" i="7"/>
  <c r="S537" i="7" s="1"/>
  <c r="T536" i="7"/>
  <c r="I536" i="7"/>
  <c r="S536" i="7" s="1"/>
  <c r="T535" i="7"/>
  <c r="I535" i="7"/>
  <c r="S535" i="7" s="1"/>
  <c r="T534" i="7"/>
  <c r="I534" i="7"/>
  <c r="S534" i="7" s="1"/>
  <c r="T533" i="7"/>
  <c r="I533" i="7"/>
  <c r="S533" i="7" s="1"/>
  <c r="T532" i="7"/>
  <c r="I532" i="7"/>
  <c r="S532" i="7" s="1"/>
  <c r="I531" i="7"/>
  <c r="S531" i="7" s="1"/>
  <c r="I530" i="7"/>
  <c r="S530" i="7" s="1"/>
  <c r="I529" i="7"/>
  <c r="S529" i="7" s="1"/>
  <c r="I528" i="7"/>
  <c r="S528" i="7" s="1"/>
  <c r="I527" i="7"/>
  <c r="S527" i="7" s="1"/>
  <c r="I526" i="7"/>
  <c r="S526" i="7" s="1"/>
  <c r="I525" i="7"/>
  <c r="S525" i="7" s="1"/>
  <c r="I524" i="7"/>
  <c r="S524" i="7" s="1"/>
  <c r="I523" i="7"/>
  <c r="S523" i="7" s="1"/>
  <c r="I522" i="7"/>
  <c r="S522" i="7" s="1"/>
  <c r="I521" i="7"/>
  <c r="S521" i="7" s="1"/>
  <c r="I520" i="7"/>
  <c r="S520" i="7" s="1"/>
  <c r="I519" i="7"/>
  <c r="S519" i="7" s="1"/>
  <c r="I518" i="7"/>
  <c r="S518" i="7" s="1"/>
  <c r="I517" i="7"/>
  <c r="S517" i="7" s="1"/>
  <c r="I516" i="7"/>
  <c r="S516" i="7" s="1"/>
  <c r="I515" i="7"/>
  <c r="S515" i="7" s="1"/>
  <c r="I514" i="7"/>
  <c r="S514" i="7" s="1"/>
  <c r="I513" i="7"/>
  <c r="S513" i="7" s="1"/>
  <c r="I512" i="7"/>
  <c r="S512" i="7" s="1"/>
  <c r="I511" i="7"/>
  <c r="S511" i="7" s="1"/>
  <c r="I510" i="7"/>
  <c r="S510" i="7" s="1"/>
  <c r="I509" i="7"/>
  <c r="S509" i="7" s="1"/>
  <c r="I508" i="7"/>
  <c r="S508" i="7" s="1"/>
  <c r="I507" i="7"/>
  <c r="S507" i="7" s="1"/>
  <c r="I506" i="7"/>
  <c r="S506" i="7" s="1"/>
  <c r="I505" i="7"/>
  <c r="S505" i="7" s="1"/>
  <c r="I504" i="7"/>
  <c r="S504" i="7" s="1"/>
  <c r="I503" i="7"/>
  <c r="S503" i="7" s="1"/>
  <c r="I502" i="7"/>
  <c r="S502" i="7" s="1"/>
  <c r="I501" i="7"/>
  <c r="S501" i="7" s="1"/>
  <c r="I500" i="7"/>
  <c r="S500" i="7" s="1"/>
  <c r="I499" i="7"/>
  <c r="S499" i="7" s="1"/>
  <c r="I498" i="7"/>
  <c r="S498" i="7" s="1"/>
  <c r="I497" i="7"/>
  <c r="S497" i="7" s="1"/>
  <c r="I496" i="7"/>
  <c r="S496" i="7" s="1"/>
  <c r="I495" i="7"/>
  <c r="S495" i="7" s="1"/>
  <c r="I494" i="7"/>
  <c r="S494" i="7" s="1"/>
  <c r="I493" i="7"/>
  <c r="S493" i="7" s="1"/>
  <c r="I492" i="7"/>
  <c r="S492" i="7" s="1"/>
  <c r="I491" i="7"/>
  <c r="S491" i="7" s="1"/>
  <c r="I490" i="7"/>
  <c r="S490" i="7" s="1"/>
  <c r="I489" i="7"/>
  <c r="S489" i="7" s="1"/>
  <c r="I488" i="7"/>
  <c r="S488" i="7" s="1"/>
  <c r="I487" i="7"/>
  <c r="S487" i="7" s="1"/>
  <c r="I486" i="7"/>
  <c r="S486" i="7" s="1"/>
  <c r="I485" i="7"/>
  <c r="S485" i="7" s="1"/>
  <c r="I484" i="7"/>
  <c r="S484" i="7" s="1"/>
  <c r="I483" i="7"/>
  <c r="S483" i="7" s="1"/>
  <c r="H482" i="7"/>
  <c r="I482" i="7" s="1"/>
  <c r="S482" i="7" s="1"/>
  <c r="E482" i="7"/>
  <c r="H481" i="7"/>
  <c r="I481" i="7" s="1"/>
  <c r="S481" i="7" s="1"/>
  <c r="E481" i="7"/>
  <c r="H480" i="7"/>
  <c r="I480" i="7" s="1"/>
  <c r="S480" i="7" s="1"/>
  <c r="E480" i="7"/>
  <c r="H479" i="7"/>
  <c r="I479" i="7" s="1"/>
  <c r="S479" i="7" s="1"/>
  <c r="E479" i="7"/>
  <c r="H478" i="7"/>
  <c r="I478" i="7" s="1"/>
  <c r="S478" i="7" s="1"/>
  <c r="E478" i="7"/>
  <c r="H477" i="7"/>
  <c r="I477" i="7" s="1"/>
  <c r="S477" i="7" s="1"/>
  <c r="E477" i="7"/>
  <c r="H476" i="7"/>
  <c r="I476" i="7" s="1"/>
  <c r="S476" i="7" s="1"/>
  <c r="E476" i="7"/>
  <c r="H475" i="7"/>
  <c r="I475" i="7" s="1"/>
  <c r="S475" i="7" s="1"/>
  <c r="E475" i="7"/>
  <c r="H474" i="7"/>
  <c r="I474" i="7" s="1"/>
  <c r="S474" i="7" s="1"/>
  <c r="E474" i="7"/>
  <c r="H473" i="7"/>
  <c r="I473" i="7" s="1"/>
  <c r="S473" i="7" s="1"/>
  <c r="E473" i="7"/>
  <c r="H472" i="7"/>
  <c r="I472" i="7" s="1"/>
  <c r="S472" i="7" s="1"/>
  <c r="E472" i="7"/>
  <c r="H471" i="7"/>
  <c r="I471" i="7" s="1"/>
  <c r="S471" i="7" s="1"/>
  <c r="E471" i="7"/>
  <c r="H470" i="7"/>
  <c r="I470" i="7" s="1"/>
  <c r="S470" i="7" s="1"/>
  <c r="E470" i="7"/>
  <c r="H469" i="7"/>
  <c r="I469" i="7" s="1"/>
  <c r="S469" i="7" s="1"/>
  <c r="E469" i="7"/>
  <c r="H468" i="7"/>
  <c r="I468" i="7" s="1"/>
  <c r="S468" i="7" s="1"/>
  <c r="E468" i="7"/>
  <c r="H467" i="7"/>
  <c r="I467" i="7" s="1"/>
  <c r="S467" i="7" s="1"/>
  <c r="E467" i="7"/>
  <c r="H466" i="7"/>
  <c r="I466" i="7" s="1"/>
  <c r="S466" i="7" s="1"/>
  <c r="E466" i="7"/>
  <c r="H465" i="7"/>
  <c r="I465" i="7" s="1"/>
  <c r="S465" i="7" s="1"/>
  <c r="E465" i="7"/>
  <c r="H464" i="7"/>
  <c r="I464" i="7" s="1"/>
  <c r="S464" i="7" s="1"/>
  <c r="E464" i="7"/>
  <c r="H463" i="7"/>
  <c r="I463" i="7" s="1"/>
  <c r="S463" i="7" s="1"/>
  <c r="E463" i="7"/>
  <c r="H462" i="7"/>
  <c r="I462" i="7" s="1"/>
  <c r="S462" i="7" s="1"/>
  <c r="E462" i="7"/>
  <c r="H461" i="7"/>
  <c r="I461" i="7" s="1"/>
  <c r="S461" i="7" s="1"/>
  <c r="E461" i="7"/>
  <c r="H460" i="7"/>
  <c r="I460" i="7" s="1"/>
  <c r="S460" i="7" s="1"/>
  <c r="E460" i="7"/>
  <c r="H459" i="7"/>
  <c r="I459" i="7" s="1"/>
  <c r="S459" i="7" s="1"/>
  <c r="E459" i="7"/>
  <c r="H458" i="7"/>
  <c r="I458" i="7" s="1"/>
  <c r="S458" i="7" s="1"/>
  <c r="E458" i="7"/>
  <c r="H457" i="7"/>
  <c r="I457" i="7" s="1"/>
  <c r="S457" i="7" s="1"/>
  <c r="E457" i="7"/>
  <c r="H456" i="7"/>
  <c r="I456" i="7" s="1"/>
  <c r="S456" i="7" s="1"/>
  <c r="E456" i="7"/>
  <c r="H455" i="7"/>
  <c r="I455" i="7" s="1"/>
  <c r="S455" i="7" s="1"/>
  <c r="E455" i="7"/>
  <c r="H454" i="7"/>
  <c r="I454" i="7" s="1"/>
  <c r="S454" i="7" s="1"/>
  <c r="E454" i="7"/>
  <c r="H453" i="7"/>
  <c r="I453" i="7" s="1"/>
  <c r="S453" i="7" s="1"/>
  <c r="E453" i="7"/>
  <c r="I452" i="7"/>
  <c r="S452" i="7" s="1"/>
  <c r="E452" i="7"/>
  <c r="I451" i="7"/>
  <c r="S451" i="7" s="1"/>
  <c r="E451" i="7"/>
  <c r="I450" i="7"/>
  <c r="S450" i="7" s="1"/>
  <c r="E450" i="7"/>
  <c r="I449" i="7"/>
  <c r="S449" i="7" s="1"/>
  <c r="I448" i="7"/>
  <c r="S448" i="7" s="1"/>
  <c r="I447" i="7"/>
  <c r="S447" i="7" s="1"/>
  <c r="I446" i="7"/>
  <c r="S446" i="7" s="1"/>
  <c r="I445" i="7"/>
  <c r="S445" i="7" s="1"/>
  <c r="I444" i="7"/>
  <c r="S444" i="7" s="1"/>
  <c r="I443" i="7"/>
  <c r="S443" i="7" s="1"/>
  <c r="I442" i="7"/>
  <c r="S442" i="7" s="1"/>
  <c r="I441" i="7"/>
  <c r="S441" i="7" s="1"/>
  <c r="I440" i="7"/>
  <c r="S440" i="7" s="1"/>
  <c r="I439" i="7"/>
  <c r="S439" i="7" s="1"/>
  <c r="I438" i="7"/>
  <c r="S438" i="7" s="1"/>
  <c r="I437" i="7"/>
  <c r="S437" i="7" s="1"/>
  <c r="I436" i="7"/>
  <c r="S436" i="7" s="1"/>
  <c r="I435" i="7"/>
  <c r="S435" i="7" s="1"/>
  <c r="I434" i="7"/>
  <c r="S434" i="7" s="1"/>
  <c r="I433" i="7"/>
  <c r="S433" i="7" s="1"/>
  <c r="I432" i="7"/>
  <c r="S432" i="7" s="1"/>
  <c r="I431" i="7"/>
  <c r="S431" i="7" s="1"/>
  <c r="I430" i="7"/>
  <c r="S430" i="7" s="1"/>
  <c r="I429" i="7"/>
  <c r="S429" i="7" s="1"/>
  <c r="I428" i="7"/>
  <c r="S428" i="7" s="1"/>
  <c r="I427" i="7"/>
  <c r="S427" i="7" s="1"/>
  <c r="I426" i="7"/>
  <c r="S426" i="7" s="1"/>
  <c r="I425" i="7"/>
  <c r="S425" i="7" s="1"/>
  <c r="I424" i="7"/>
  <c r="S424" i="7" s="1"/>
  <c r="I423" i="7"/>
  <c r="S423" i="7" s="1"/>
  <c r="I422" i="7"/>
  <c r="S422" i="7" s="1"/>
  <c r="I421" i="7"/>
  <c r="S421" i="7" s="1"/>
  <c r="I420" i="7"/>
  <c r="S420" i="7" s="1"/>
  <c r="I419" i="7"/>
  <c r="S419" i="7" s="1"/>
  <c r="I418" i="7"/>
  <c r="S418" i="7" s="1"/>
  <c r="I417" i="7"/>
  <c r="S417" i="7" s="1"/>
  <c r="I416" i="7"/>
  <c r="S416" i="7" s="1"/>
  <c r="I415" i="7"/>
  <c r="S415" i="7" s="1"/>
  <c r="I414" i="7"/>
  <c r="S414" i="7" s="1"/>
  <c r="I413" i="7"/>
  <c r="S413" i="7" s="1"/>
  <c r="I412" i="7"/>
  <c r="S412" i="7" s="1"/>
  <c r="I411" i="7"/>
  <c r="S411" i="7" s="1"/>
  <c r="I410" i="7"/>
  <c r="S410" i="7" s="1"/>
  <c r="I409" i="7"/>
  <c r="S409" i="7" s="1"/>
  <c r="I408" i="7"/>
  <c r="S408" i="7" s="1"/>
  <c r="I407" i="7"/>
  <c r="S407" i="7" s="1"/>
  <c r="I406" i="7"/>
  <c r="S406" i="7" s="1"/>
  <c r="I405" i="7"/>
  <c r="S405" i="7" s="1"/>
  <c r="I404" i="7"/>
  <c r="S404" i="7" s="1"/>
  <c r="I403" i="7"/>
  <c r="S403" i="7" s="1"/>
  <c r="I402" i="7"/>
  <c r="S402" i="7" s="1"/>
  <c r="I401" i="7"/>
  <c r="S401" i="7" s="1"/>
  <c r="I400" i="7"/>
  <c r="S400" i="7" s="1"/>
  <c r="I399" i="7"/>
  <c r="S399" i="7" s="1"/>
  <c r="I398" i="7"/>
  <c r="S398" i="7" s="1"/>
  <c r="I397" i="7"/>
  <c r="S397" i="7" s="1"/>
  <c r="I396" i="7"/>
  <c r="S396" i="7" s="1"/>
  <c r="I395" i="7"/>
  <c r="S395" i="7" s="1"/>
  <c r="I394" i="7"/>
  <c r="S394" i="7" s="1"/>
  <c r="I393" i="7"/>
  <c r="S393" i="7" s="1"/>
  <c r="I392" i="7"/>
  <c r="S392" i="7" s="1"/>
  <c r="I391" i="7"/>
  <c r="S391" i="7" s="1"/>
  <c r="I390" i="7"/>
  <c r="S390" i="7" s="1"/>
  <c r="I389" i="7"/>
  <c r="S389" i="7" s="1"/>
  <c r="I388" i="7"/>
  <c r="S388" i="7" s="1"/>
  <c r="I387" i="7"/>
  <c r="S387" i="7" s="1"/>
  <c r="I386" i="7"/>
  <c r="S386" i="7" s="1"/>
  <c r="I385" i="7"/>
  <c r="S385" i="7" s="1"/>
  <c r="I384" i="7"/>
  <c r="S384" i="7" s="1"/>
  <c r="I383" i="7"/>
  <c r="S383" i="7" s="1"/>
  <c r="I382" i="7"/>
  <c r="S382" i="7" s="1"/>
  <c r="I381" i="7"/>
  <c r="I380" i="7"/>
  <c r="S380" i="7" s="1"/>
  <c r="I379" i="7"/>
  <c r="S379" i="7" s="1"/>
  <c r="I378" i="7"/>
  <c r="S378" i="7" s="1"/>
  <c r="I377" i="7"/>
  <c r="S377" i="7" s="1"/>
  <c r="I376" i="7"/>
  <c r="S376" i="7" s="1"/>
  <c r="I375" i="7"/>
  <c r="S375" i="7" s="1"/>
  <c r="I374" i="7"/>
  <c r="S374" i="7" s="1"/>
  <c r="I373" i="7"/>
  <c r="S373" i="7" s="1"/>
  <c r="I372" i="7"/>
  <c r="S372" i="7" s="1"/>
  <c r="I371" i="7"/>
  <c r="S371" i="7" s="1"/>
  <c r="I370" i="7"/>
  <c r="S370" i="7" s="1"/>
  <c r="I369" i="7"/>
  <c r="S369" i="7" s="1"/>
  <c r="I368" i="7"/>
  <c r="S368" i="7" s="1"/>
  <c r="I367" i="7"/>
  <c r="S367" i="7" s="1"/>
  <c r="I366" i="7"/>
  <c r="S366" i="7" s="1"/>
  <c r="I365" i="7"/>
  <c r="S365" i="7" s="1"/>
  <c r="I364" i="7"/>
  <c r="S364" i="7" s="1"/>
  <c r="I363" i="7"/>
  <c r="S363" i="7" s="1"/>
  <c r="I362" i="7"/>
  <c r="S362" i="7" s="1"/>
  <c r="I361" i="7"/>
  <c r="S361" i="7" s="1"/>
  <c r="I360" i="7"/>
  <c r="S360" i="7" s="1"/>
  <c r="I359" i="7"/>
  <c r="S359" i="7" s="1"/>
  <c r="I358" i="7"/>
  <c r="S358" i="7" s="1"/>
  <c r="I357" i="7"/>
  <c r="S357" i="7" s="1"/>
  <c r="I356" i="7"/>
  <c r="S356" i="7" s="1"/>
  <c r="I355" i="7"/>
  <c r="S355" i="7" s="1"/>
  <c r="I354" i="7"/>
  <c r="S354" i="7" s="1"/>
  <c r="I353" i="7"/>
  <c r="S353" i="7" s="1"/>
  <c r="I352" i="7"/>
  <c r="S352" i="7" s="1"/>
  <c r="I351" i="7"/>
  <c r="S351" i="7" s="1"/>
  <c r="I350" i="7"/>
  <c r="S350" i="7" s="1"/>
  <c r="I349" i="7"/>
  <c r="S349" i="7" s="1"/>
  <c r="I348" i="7"/>
  <c r="S348" i="7" s="1"/>
  <c r="I347" i="7"/>
  <c r="S347" i="7" s="1"/>
  <c r="I346" i="7"/>
  <c r="S346" i="7" s="1"/>
  <c r="I345" i="7"/>
  <c r="S345" i="7" s="1"/>
  <c r="I344" i="7"/>
  <c r="S344" i="7" s="1"/>
  <c r="I343" i="7"/>
  <c r="S343" i="7" s="1"/>
  <c r="I342" i="7"/>
  <c r="S342" i="7" s="1"/>
  <c r="I341" i="7"/>
  <c r="S341" i="7" s="1"/>
  <c r="I340" i="7"/>
  <c r="S340" i="7" s="1"/>
  <c r="I339" i="7"/>
  <c r="S339" i="7" s="1"/>
  <c r="I338" i="7"/>
  <c r="S338" i="7" s="1"/>
  <c r="I337" i="7"/>
  <c r="S337" i="7" s="1"/>
  <c r="I336" i="7"/>
  <c r="S336" i="7" s="1"/>
  <c r="I335" i="7"/>
  <c r="S335" i="7" s="1"/>
  <c r="I334" i="7"/>
  <c r="S334" i="7" s="1"/>
  <c r="I333" i="7"/>
  <c r="S333" i="7" s="1"/>
  <c r="I332" i="7"/>
  <c r="S332" i="7" s="1"/>
  <c r="I331" i="7"/>
  <c r="S331" i="7" s="1"/>
  <c r="I330" i="7"/>
  <c r="S330" i="7" s="1"/>
  <c r="I329" i="7"/>
  <c r="S329" i="7" s="1"/>
  <c r="I328" i="7"/>
  <c r="S328" i="7" s="1"/>
  <c r="I327" i="7"/>
  <c r="S327" i="7" s="1"/>
  <c r="I326" i="7"/>
  <c r="S326" i="7" s="1"/>
  <c r="I325" i="7"/>
  <c r="S325" i="7" s="1"/>
  <c r="I324" i="7"/>
  <c r="S324" i="7" s="1"/>
  <c r="I323" i="7"/>
  <c r="S323" i="7" s="1"/>
  <c r="I322" i="7"/>
  <c r="S322" i="7" s="1"/>
  <c r="I321" i="7"/>
  <c r="S321" i="7" s="1"/>
  <c r="I320" i="7"/>
  <c r="S320" i="7" s="1"/>
  <c r="I319" i="7"/>
  <c r="S319" i="7" s="1"/>
  <c r="I318" i="7"/>
  <c r="S318" i="7" s="1"/>
  <c r="I317" i="7"/>
  <c r="S317" i="7" s="1"/>
  <c r="I316" i="7"/>
  <c r="S316" i="7" s="1"/>
  <c r="I315" i="7"/>
  <c r="S315" i="7" s="1"/>
  <c r="I314" i="7"/>
  <c r="S314" i="7" s="1"/>
  <c r="I313" i="7"/>
  <c r="S313" i="7" s="1"/>
  <c r="I312" i="7"/>
  <c r="S312" i="7" s="1"/>
  <c r="I311" i="7"/>
  <c r="S311" i="7" s="1"/>
  <c r="I310" i="7"/>
  <c r="S310" i="7" s="1"/>
  <c r="I309" i="7"/>
  <c r="S309" i="7" s="1"/>
  <c r="I308" i="7"/>
  <c r="S308" i="7" s="1"/>
  <c r="I307" i="7"/>
  <c r="S307" i="7" s="1"/>
  <c r="I306" i="7"/>
  <c r="S306" i="7" s="1"/>
  <c r="I305" i="7"/>
  <c r="S305" i="7" s="1"/>
  <c r="I304" i="7"/>
  <c r="S304" i="7" s="1"/>
  <c r="I303" i="7"/>
  <c r="S303" i="7" s="1"/>
  <c r="I302" i="7"/>
  <c r="S302" i="7" s="1"/>
  <c r="I301" i="7"/>
  <c r="S301" i="7" s="1"/>
  <c r="I300" i="7"/>
  <c r="S300" i="7" s="1"/>
  <c r="I299" i="7"/>
  <c r="S299" i="7" s="1"/>
  <c r="I298" i="7"/>
  <c r="S298" i="7" s="1"/>
  <c r="I297" i="7"/>
  <c r="S297" i="7" s="1"/>
  <c r="I296" i="7"/>
  <c r="S296" i="7" s="1"/>
  <c r="I295" i="7"/>
  <c r="S295" i="7" s="1"/>
  <c r="I294" i="7"/>
  <c r="S294" i="7" s="1"/>
  <c r="I293" i="7"/>
  <c r="S293" i="7" s="1"/>
  <c r="I292" i="7"/>
  <c r="S292" i="7" s="1"/>
  <c r="I291" i="7"/>
  <c r="S291" i="7" s="1"/>
  <c r="I290" i="7"/>
  <c r="S290" i="7" s="1"/>
  <c r="I289" i="7"/>
  <c r="S289" i="7" s="1"/>
  <c r="I288" i="7"/>
  <c r="S288" i="7" s="1"/>
  <c r="I287" i="7"/>
  <c r="S287" i="7" s="1"/>
  <c r="I286" i="7"/>
  <c r="S286" i="7" s="1"/>
  <c r="I285" i="7"/>
  <c r="S285" i="7" s="1"/>
  <c r="I284" i="7"/>
  <c r="S284" i="7" s="1"/>
  <c r="I283" i="7"/>
  <c r="S283" i="7" s="1"/>
  <c r="I282" i="7"/>
  <c r="S282" i="7" s="1"/>
  <c r="I281" i="7"/>
  <c r="S281" i="7" s="1"/>
  <c r="I280" i="7"/>
  <c r="S280" i="7" s="1"/>
  <c r="I279" i="7"/>
  <c r="S279" i="7" s="1"/>
  <c r="I278" i="7"/>
  <c r="S278" i="7" s="1"/>
  <c r="I277" i="7"/>
  <c r="S277" i="7" s="1"/>
  <c r="I276" i="7"/>
  <c r="S276" i="7" s="1"/>
  <c r="I275" i="7"/>
  <c r="S275" i="7" s="1"/>
  <c r="I274" i="7"/>
  <c r="S274" i="7" s="1"/>
  <c r="I273" i="7"/>
  <c r="S273" i="7" s="1"/>
  <c r="I272" i="7"/>
  <c r="S272" i="7" s="1"/>
  <c r="I271" i="7"/>
  <c r="S271" i="7" s="1"/>
  <c r="I270" i="7"/>
  <c r="S270" i="7" s="1"/>
  <c r="I269" i="7"/>
  <c r="S269" i="7" s="1"/>
  <c r="I268" i="7"/>
  <c r="S268" i="7" s="1"/>
  <c r="I267" i="7"/>
  <c r="S267" i="7" s="1"/>
  <c r="I266" i="7"/>
  <c r="S266" i="7" s="1"/>
  <c r="I265" i="7"/>
  <c r="S265" i="7" s="1"/>
  <c r="I264" i="7"/>
  <c r="S264" i="7" s="1"/>
  <c r="I263" i="7"/>
  <c r="S263" i="7" s="1"/>
  <c r="I262" i="7"/>
  <c r="S262" i="7" s="1"/>
  <c r="I261" i="7"/>
  <c r="S261" i="7" s="1"/>
  <c r="I260" i="7"/>
  <c r="S260" i="7" s="1"/>
  <c r="I259" i="7"/>
  <c r="S259" i="7" s="1"/>
  <c r="I258" i="7"/>
  <c r="S258" i="7" s="1"/>
  <c r="I257" i="7"/>
  <c r="S257" i="7" s="1"/>
  <c r="I256" i="7"/>
  <c r="S256" i="7" s="1"/>
  <c r="I255" i="7"/>
  <c r="S255" i="7" s="1"/>
  <c r="I254" i="7"/>
  <c r="S254" i="7" s="1"/>
  <c r="I253" i="7"/>
  <c r="S253" i="7" s="1"/>
  <c r="I252" i="7"/>
  <c r="S252" i="7" s="1"/>
  <c r="I251" i="7"/>
  <c r="S251" i="7" s="1"/>
  <c r="I250" i="7"/>
  <c r="S250" i="7" s="1"/>
  <c r="I249" i="7"/>
  <c r="S249" i="7" s="1"/>
  <c r="I248" i="7"/>
  <c r="S248" i="7" s="1"/>
  <c r="I247" i="7"/>
  <c r="S247" i="7" s="1"/>
  <c r="I246" i="7"/>
  <c r="S246" i="7" s="1"/>
  <c r="I245" i="7"/>
  <c r="S245" i="7" s="1"/>
  <c r="I244" i="7"/>
  <c r="S244" i="7" s="1"/>
  <c r="I243" i="7"/>
  <c r="S243" i="7" s="1"/>
  <c r="I242" i="7"/>
  <c r="S242" i="7" s="1"/>
  <c r="H241" i="7"/>
  <c r="I241" i="7" s="1"/>
  <c r="S241" i="7" s="1"/>
  <c r="E241" i="7"/>
  <c r="H240" i="7"/>
  <c r="I240" i="7" s="1"/>
  <c r="S240" i="7" s="1"/>
  <c r="E240" i="7"/>
  <c r="H239" i="7"/>
  <c r="I239" i="7" s="1"/>
  <c r="S239" i="7" s="1"/>
  <c r="E239" i="7"/>
  <c r="H238" i="7"/>
  <c r="I238" i="7" s="1"/>
  <c r="S238" i="7" s="1"/>
  <c r="E238" i="7"/>
  <c r="H237" i="7"/>
  <c r="I237" i="7" s="1"/>
  <c r="S237" i="7" s="1"/>
  <c r="E237" i="7"/>
  <c r="H236" i="7"/>
  <c r="I236" i="7" s="1"/>
  <c r="S236" i="7" s="1"/>
  <c r="E236" i="7"/>
  <c r="H235" i="7"/>
  <c r="I235" i="7" s="1"/>
  <c r="S235" i="7" s="1"/>
  <c r="E235" i="7"/>
  <c r="H234" i="7"/>
  <c r="I234" i="7" s="1"/>
  <c r="S234" i="7" s="1"/>
  <c r="E234" i="7"/>
  <c r="H233" i="7"/>
  <c r="I233" i="7" s="1"/>
  <c r="S233" i="7" s="1"/>
  <c r="E233" i="7"/>
  <c r="H232" i="7"/>
  <c r="I232" i="7" s="1"/>
  <c r="S232" i="7" s="1"/>
  <c r="E232" i="7"/>
  <c r="H231" i="7"/>
  <c r="I231" i="7" s="1"/>
  <c r="S231" i="7" s="1"/>
  <c r="E231" i="7"/>
  <c r="H230" i="7"/>
  <c r="I230" i="7" s="1"/>
  <c r="S230" i="7" s="1"/>
  <c r="E230" i="7"/>
  <c r="H229" i="7"/>
  <c r="I229" i="7" s="1"/>
  <c r="S229" i="7" s="1"/>
  <c r="E229" i="7"/>
  <c r="H228" i="7"/>
  <c r="I228" i="7" s="1"/>
  <c r="S228" i="7" s="1"/>
  <c r="E228" i="7"/>
  <c r="H227" i="7"/>
  <c r="I227" i="7" s="1"/>
  <c r="S227" i="7" s="1"/>
  <c r="E227" i="7"/>
  <c r="H226" i="7"/>
  <c r="I226" i="7" s="1"/>
  <c r="S226" i="7" s="1"/>
  <c r="E226" i="7"/>
  <c r="H225" i="7"/>
  <c r="I225" i="7" s="1"/>
  <c r="S225" i="7" s="1"/>
  <c r="E225" i="7"/>
  <c r="H224" i="7"/>
  <c r="I224" i="7" s="1"/>
  <c r="S224" i="7" s="1"/>
  <c r="E224" i="7"/>
  <c r="H223" i="7"/>
  <c r="I223" i="7" s="1"/>
  <c r="S223" i="7" s="1"/>
  <c r="E223" i="7"/>
  <c r="H222" i="7"/>
  <c r="I222" i="7" s="1"/>
  <c r="S222" i="7" s="1"/>
  <c r="E222" i="7"/>
  <c r="H221" i="7"/>
  <c r="I221" i="7" s="1"/>
  <c r="S221" i="7" s="1"/>
  <c r="E221" i="7"/>
  <c r="H220" i="7"/>
  <c r="I220" i="7" s="1"/>
  <c r="S220" i="7" s="1"/>
  <c r="E220" i="7"/>
  <c r="H219" i="7"/>
  <c r="I219" i="7" s="1"/>
  <c r="S219" i="7" s="1"/>
  <c r="E219" i="7"/>
  <c r="H218" i="7"/>
  <c r="I218" i="7" s="1"/>
  <c r="S218" i="7" s="1"/>
  <c r="E218" i="7"/>
  <c r="H217" i="7"/>
  <c r="I217" i="7" s="1"/>
  <c r="S217" i="7" s="1"/>
  <c r="E217" i="7"/>
  <c r="H216" i="7"/>
  <c r="I216" i="7" s="1"/>
  <c r="S216" i="7" s="1"/>
  <c r="E216" i="7"/>
  <c r="H215" i="7"/>
  <c r="I215" i="7" s="1"/>
  <c r="S215" i="7" s="1"/>
  <c r="E215" i="7"/>
  <c r="H214" i="7"/>
  <c r="I214" i="7" s="1"/>
  <c r="S214" i="7" s="1"/>
  <c r="E214" i="7"/>
  <c r="H213" i="7"/>
  <c r="I213" i="7" s="1"/>
  <c r="S213" i="7" s="1"/>
  <c r="E213" i="7"/>
  <c r="H212" i="7"/>
  <c r="I212" i="7" s="1"/>
  <c r="S212" i="7" s="1"/>
  <c r="E212" i="7"/>
  <c r="I211" i="7"/>
  <c r="S211" i="7" s="1"/>
  <c r="E211" i="7"/>
  <c r="I210" i="7"/>
  <c r="S210" i="7" s="1"/>
  <c r="E210" i="7"/>
  <c r="I209" i="7"/>
  <c r="S209" i="7" s="1"/>
  <c r="E209" i="7"/>
  <c r="I208" i="7"/>
  <c r="S208" i="7" s="1"/>
  <c r="I207" i="7"/>
  <c r="S207" i="7" s="1"/>
  <c r="I206" i="7"/>
  <c r="S206" i="7" s="1"/>
  <c r="I205" i="7"/>
  <c r="S205" i="7" s="1"/>
  <c r="I204" i="7"/>
  <c r="S204" i="7" s="1"/>
  <c r="I203" i="7"/>
  <c r="S203" i="7" s="1"/>
  <c r="I202" i="7"/>
  <c r="S202" i="7" s="1"/>
  <c r="I201" i="7"/>
  <c r="S201" i="7" s="1"/>
  <c r="I200" i="7"/>
  <c r="S200" i="7" s="1"/>
  <c r="I199" i="7"/>
  <c r="S199" i="7" s="1"/>
  <c r="I198" i="7"/>
  <c r="S198" i="7" s="1"/>
  <c r="I197" i="7"/>
  <c r="S197" i="7" s="1"/>
  <c r="I196" i="7"/>
  <c r="S196" i="7" s="1"/>
  <c r="I195" i="7"/>
  <c r="S195" i="7" s="1"/>
  <c r="I194" i="7"/>
  <c r="S194" i="7" s="1"/>
  <c r="I193" i="7"/>
  <c r="S193" i="7" s="1"/>
  <c r="I192" i="7"/>
  <c r="S192" i="7" s="1"/>
  <c r="I191" i="7"/>
  <c r="S191" i="7" s="1"/>
  <c r="I190" i="7"/>
  <c r="S190" i="7" s="1"/>
  <c r="I189" i="7"/>
  <c r="S189" i="7" s="1"/>
  <c r="I188" i="7"/>
  <c r="S188" i="7" s="1"/>
  <c r="I187" i="7"/>
  <c r="S187" i="7" s="1"/>
  <c r="I186" i="7"/>
  <c r="S186" i="7" s="1"/>
  <c r="I185" i="7"/>
  <c r="S185" i="7" s="1"/>
  <c r="I184" i="7"/>
  <c r="S184" i="7" s="1"/>
  <c r="I183" i="7"/>
  <c r="S183" i="7" s="1"/>
  <c r="I182" i="7"/>
  <c r="S182" i="7" s="1"/>
  <c r="I181" i="7"/>
  <c r="S181" i="7" s="1"/>
  <c r="I180" i="7"/>
  <c r="S180" i="7" s="1"/>
  <c r="I179" i="7"/>
  <c r="S179" i="7" s="1"/>
  <c r="I178" i="7"/>
  <c r="S178" i="7" s="1"/>
  <c r="I177" i="7"/>
  <c r="S177" i="7" s="1"/>
  <c r="I176" i="7"/>
  <c r="S176" i="7" s="1"/>
  <c r="I175" i="7"/>
  <c r="S175" i="7" s="1"/>
  <c r="I174" i="7"/>
  <c r="S174" i="7" s="1"/>
  <c r="I173" i="7"/>
  <c r="S173" i="7" s="1"/>
  <c r="I172" i="7"/>
  <c r="S172" i="7" s="1"/>
  <c r="I171" i="7"/>
  <c r="S171" i="7" s="1"/>
  <c r="I170" i="7"/>
  <c r="S170" i="7" s="1"/>
  <c r="I169" i="7"/>
  <c r="S169" i="7" s="1"/>
  <c r="I168" i="7"/>
  <c r="S168" i="7" s="1"/>
  <c r="I167" i="7"/>
  <c r="S167" i="7" s="1"/>
  <c r="I166" i="7"/>
  <c r="S166" i="7" s="1"/>
  <c r="I165" i="7"/>
  <c r="S165" i="7" s="1"/>
  <c r="I164" i="7"/>
  <c r="S164" i="7" s="1"/>
  <c r="I163" i="7"/>
  <c r="S163" i="7" s="1"/>
  <c r="I162" i="7"/>
  <c r="S162" i="7" s="1"/>
  <c r="I161" i="7"/>
  <c r="S161" i="7" s="1"/>
  <c r="I160" i="7"/>
  <c r="S160" i="7" s="1"/>
  <c r="I159" i="7"/>
  <c r="S159" i="7" s="1"/>
  <c r="I158" i="7"/>
  <c r="S158" i="7" s="1"/>
  <c r="I157" i="7"/>
  <c r="S157" i="7" s="1"/>
  <c r="I156" i="7"/>
  <c r="S156" i="7" s="1"/>
  <c r="I155" i="7"/>
  <c r="S155" i="7" s="1"/>
  <c r="I154" i="7"/>
  <c r="S154" i="7" s="1"/>
  <c r="I153" i="7"/>
  <c r="S153" i="7" s="1"/>
  <c r="I152" i="7"/>
  <c r="S152" i="7" s="1"/>
  <c r="I151" i="7"/>
  <c r="S151" i="7" s="1"/>
  <c r="I150" i="7"/>
  <c r="S150" i="7" s="1"/>
  <c r="I149" i="7"/>
  <c r="S149" i="7" s="1"/>
  <c r="I148" i="7"/>
  <c r="S148" i="7" s="1"/>
  <c r="I147" i="7"/>
  <c r="S147" i="7" s="1"/>
  <c r="I146" i="7"/>
  <c r="S146" i="7" s="1"/>
  <c r="I145" i="7"/>
  <c r="S145" i="7" s="1"/>
  <c r="I144" i="7"/>
  <c r="S144" i="7" s="1"/>
  <c r="I143" i="7"/>
  <c r="S143" i="7" s="1"/>
  <c r="I142" i="7"/>
  <c r="S142" i="7" s="1"/>
  <c r="I141" i="7"/>
  <c r="S141" i="7" s="1"/>
  <c r="I140" i="7"/>
  <c r="S140" i="7" s="1"/>
  <c r="I139" i="7"/>
  <c r="S139" i="7" s="1"/>
  <c r="I138" i="7"/>
  <c r="S138" i="7" s="1"/>
  <c r="I137" i="7"/>
  <c r="S137" i="7" s="1"/>
  <c r="I136" i="7"/>
  <c r="S136" i="7" s="1"/>
  <c r="I135" i="7"/>
  <c r="S135" i="7" s="1"/>
  <c r="I134" i="7"/>
  <c r="S134" i="7" s="1"/>
  <c r="I133" i="7"/>
  <c r="S133" i="7" s="1"/>
  <c r="I132" i="7"/>
  <c r="S132" i="7" s="1"/>
  <c r="I131" i="7"/>
  <c r="S131" i="7" s="1"/>
  <c r="I130" i="7"/>
  <c r="S130" i="7" s="1"/>
  <c r="I129" i="7"/>
  <c r="S129" i="7" s="1"/>
  <c r="I128" i="7"/>
  <c r="S128" i="7" s="1"/>
  <c r="I127" i="7"/>
  <c r="S127" i="7" s="1"/>
  <c r="I126" i="7"/>
  <c r="S126" i="7" s="1"/>
  <c r="I125" i="7"/>
  <c r="S125" i="7" s="1"/>
  <c r="I124" i="7"/>
  <c r="S124" i="7" s="1"/>
  <c r="I123" i="7"/>
  <c r="S123" i="7" s="1"/>
  <c r="I122" i="7"/>
  <c r="S122" i="7" s="1"/>
  <c r="H121" i="7"/>
  <c r="I121" i="7" s="1"/>
  <c r="S121" i="7" s="1"/>
  <c r="E121" i="7"/>
  <c r="H120" i="7"/>
  <c r="I120" i="7" s="1"/>
  <c r="S120" i="7" s="1"/>
  <c r="E120" i="7"/>
  <c r="H119" i="7"/>
  <c r="I119" i="7" s="1"/>
  <c r="S119" i="7" s="1"/>
  <c r="E119" i="7"/>
  <c r="H118" i="7"/>
  <c r="I118" i="7" s="1"/>
  <c r="S118" i="7" s="1"/>
  <c r="E118" i="7"/>
  <c r="H117" i="7"/>
  <c r="I117" i="7" s="1"/>
  <c r="S117" i="7" s="1"/>
  <c r="E117" i="7"/>
  <c r="H116" i="7"/>
  <c r="I116" i="7" s="1"/>
  <c r="S116" i="7" s="1"/>
  <c r="E116" i="7"/>
  <c r="H115" i="7"/>
  <c r="I115" i="7" s="1"/>
  <c r="S115" i="7" s="1"/>
  <c r="E115" i="7"/>
  <c r="H114" i="7"/>
  <c r="I114" i="7" s="1"/>
  <c r="S114" i="7" s="1"/>
  <c r="E114" i="7"/>
  <c r="H113" i="7"/>
  <c r="I113" i="7" s="1"/>
  <c r="S113" i="7" s="1"/>
  <c r="E113" i="7"/>
  <c r="H112" i="7"/>
  <c r="I112" i="7" s="1"/>
  <c r="S112" i="7" s="1"/>
  <c r="E112" i="7"/>
  <c r="H111" i="7"/>
  <c r="I111" i="7" s="1"/>
  <c r="S111" i="7" s="1"/>
  <c r="E111" i="7"/>
  <c r="H110" i="7"/>
  <c r="I110" i="7" s="1"/>
  <c r="S110" i="7" s="1"/>
  <c r="E110" i="7"/>
  <c r="H109" i="7"/>
  <c r="I109" i="7" s="1"/>
  <c r="S109" i="7" s="1"/>
  <c r="E109" i="7"/>
  <c r="H108" i="7"/>
  <c r="I108" i="7" s="1"/>
  <c r="S108" i="7" s="1"/>
  <c r="E108" i="7"/>
  <c r="H107" i="7"/>
  <c r="I107" i="7" s="1"/>
  <c r="S107" i="7" s="1"/>
  <c r="E107" i="7"/>
  <c r="H106" i="7"/>
  <c r="I106" i="7" s="1"/>
  <c r="S106" i="7" s="1"/>
  <c r="E106" i="7"/>
  <c r="H105" i="7"/>
  <c r="I105" i="7" s="1"/>
  <c r="S105" i="7" s="1"/>
  <c r="E105" i="7"/>
  <c r="H104" i="7"/>
  <c r="I104" i="7" s="1"/>
  <c r="S104" i="7" s="1"/>
  <c r="E104" i="7"/>
  <c r="H103" i="7"/>
  <c r="I103" i="7" s="1"/>
  <c r="S103" i="7" s="1"/>
  <c r="E103" i="7"/>
  <c r="H102" i="7"/>
  <c r="I102" i="7" s="1"/>
  <c r="S102" i="7" s="1"/>
  <c r="E102" i="7"/>
  <c r="H101" i="7"/>
  <c r="I101" i="7" s="1"/>
  <c r="S101" i="7" s="1"/>
  <c r="E101" i="7"/>
  <c r="H100" i="7"/>
  <c r="I100" i="7" s="1"/>
  <c r="S100" i="7" s="1"/>
  <c r="E100" i="7"/>
  <c r="H99" i="7"/>
  <c r="I99" i="7" s="1"/>
  <c r="S99" i="7" s="1"/>
  <c r="E99" i="7"/>
  <c r="H98" i="7"/>
  <c r="I98" i="7" s="1"/>
  <c r="S98" i="7" s="1"/>
  <c r="E98" i="7"/>
  <c r="H97" i="7"/>
  <c r="I97" i="7" s="1"/>
  <c r="S97" i="7" s="1"/>
  <c r="E97" i="7"/>
  <c r="H96" i="7"/>
  <c r="I96" i="7" s="1"/>
  <c r="S96" i="7" s="1"/>
  <c r="E96" i="7"/>
  <c r="H95" i="7"/>
  <c r="I95" i="7" s="1"/>
  <c r="S95" i="7" s="1"/>
  <c r="E95" i="7"/>
  <c r="H94" i="7"/>
  <c r="I94" i="7" s="1"/>
  <c r="S94" i="7" s="1"/>
  <c r="E94" i="7"/>
  <c r="H93" i="7"/>
  <c r="I93" i="7" s="1"/>
  <c r="S93" i="7" s="1"/>
  <c r="E93" i="7"/>
  <c r="H92" i="7"/>
  <c r="I92" i="7" s="1"/>
  <c r="S92" i="7" s="1"/>
  <c r="E92" i="7"/>
  <c r="I91" i="7"/>
  <c r="S91" i="7" s="1"/>
  <c r="E91" i="7"/>
  <c r="I90" i="7"/>
  <c r="S90" i="7" s="1"/>
  <c r="E90" i="7"/>
  <c r="I89" i="7"/>
  <c r="S89" i="7" s="1"/>
  <c r="E89" i="7"/>
  <c r="I88" i="7"/>
  <c r="S88" i="7" s="1"/>
  <c r="I87" i="7"/>
  <c r="S87" i="7" s="1"/>
  <c r="I86" i="7"/>
  <c r="S86" i="7" s="1"/>
  <c r="I85" i="7"/>
  <c r="S85" i="7" s="1"/>
  <c r="I84" i="7"/>
  <c r="S84" i="7" s="1"/>
  <c r="I83" i="7"/>
  <c r="S83" i="7" s="1"/>
  <c r="I82" i="7"/>
  <c r="S82" i="7" s="1"/>
  <c r="I81" i="7"/>
  <c r="S81" i="7" s="1"/>
  <c r="I80" i="7"/>
  <c r="S80" i="7" s="1"/>
  <c r="I79" i="7"/>
  <c r="S79" i="7" s="1"/>
  <c r="I78" i="7"/>
  <c r="S78" i="7" s="1"/>
  <c r="I77" i="7"/>
  <c r="S77" i="7" s="1"/>
  <c r="I76" i="7"/>
  <c r="S76" i="7" s="1"/>
  <c r="I75" i="7"/>
  <c r="S75" i="7" s="1"/>
  <c r="I74" i="7"/>
  <c r="S74" i="7" s="1"/>
  <c r="I73" i="7"/>
  <c r="S73" i="7" s="1"/>
  <c r="I72" i="7"/>
  <c r="S72" i="7" s="1"/>
  <c r="I71" i="7"/>
  <c r="S71" i="7" s="1"/>
  <c r="I70" i="7"/>
  <c r="S70" i="7" s="1"/>
  <c r="I69" i="7"/>
  <c r="S69" i="7" s="1"/>
  <c r="I68" i="7"/>
  <c r="S68" i="7" s="1"/>
  <c r="I67" i="7"/>
  <c r="S67" i="7" s="1"/>
  <c r="I66" i="7"/>
  <c r="S66" i="7" s="1"/>
  <c r="I65" i="7"/>
  <c r="S65" i="7" s="1"/>
  <c r="I64" i="7"/>
  <c r="S64" i="7" s="1"/>
  <c r="I63" i="7"/>
  <c r="S63" i="7" s="1"/>
  <c r="I62" i="7"/>
  <c r="S62" i="7" s="1"/>
  <c r="I61" i="7"/>
  <c r="S61" i="7" s="1"/>
  <c r="I60" i="7"/>
  <c r="S60" i="7" s="1"/>
  <c r="I59" i="7"/>
  <c r="S59" i="7" s="1"/>
  <c r="I58" i="7"/>
  <c r="S58" i="7" s="1"/>
  <c r="I57" i="7"/>
  <c r="S57" i="7" s="1"/>
  <c r="I56" i="7"/>
  <c r="S56" i="7" s="1"/>
  <c r="I55" i="7"/>
  <c r="S55" i="7" s="1"/>
  <c r="I54" i="7"/>
  <c r="S54" i="7" s="1"/>
  <c r="I53" i="7"/>
  <c r="S53" i="7" s="1"/>
  <c r="I52" i="7"/>
  <c r="S52" i="7" s="1"/>
  <c r="I51" i="7"/>
  <c r="S51" i="7" s="1"/>
  <c r="I50" i="7"/>
  <c r="S50" i="7" s="1"/>
  <c r="I49" i="7"/>
  <c r="S49" i="7" s="1"/>
  <c r="I48" i="7"/>
  <c r="S48" i="7" s="1"/>
  <c r="I47" i="7"/>
  <c r="S47" i="7" s="1"/>
  <c r="I46" i="7"/>
  <c r="S46" i="7" s="1"/>
  <c r="I45" i="7"/>
  <c r="S45" i="7" s="1"/>
  <c r="I44" i="7"/>
  <c r="S44" i="7" s="1"/>
  <c r="I43" i="7"/>
  <c r="S43" i="7" s="1"/>
  <c r="I42" i="7"/>
  <c r="S42" i="7" s="1"/>
  <c r="I41" i="7"/>
  <c r="S41" i="7" s="1"/>
  <c r="I40" i="7"/>
  <c r="S40" i="7" s="1"/>
  <c r="I39" i="7"/>
  <c r="S39" i="7" s="1"/>
  <c r="I38" i="7"/>
  <c r="S38" i="7" s="1"/>
  <c r="I37" i="7"/>
  <c r="S37" i="7" s="1"/>
  <c r="I36" i="7"/>
  <c r="S36" i="7" s="1"/>
  <c r="I35" i="7"/>
  <c r="S35" i="7" s="1"/>
  <c r="I34" i="7"/>
  <c r="S34" i="7" s="1"/>
  <c r="I33" i="7"/>
  <c r="S33" i="7" s="1"/>
  <c r="I32" i="7"/>
  <c r="S32" i="7" s="1"/>
  <c r="I31" i="7"/>
  <c r="S31" i="7" s="1"/>
  <c r="I30" i="7"/>
  <c r="S30" i="7" s="1"/>
  <c r="I29" i="7"/>
  <c r="S29" i="7" s="1"/>
  <c r="I28" i="7"/>
  <c r="S28" i="7" s="1"/>
  <c r="I27" i="7"/>
  <c r="S27" i="7" s="1"/>
  <c r="I26" i="7"/>
  <c r="S26" i="7" s="1"/>
  <c r="I25" i="7"/>
  <c r="S25" i="7" s="1"/>
  <c r="I24" i="7"/>
  <c r="S24" i="7" s="1"/>
  <c r="I23" i="7"/>
  <c r="S23" i="7" s="1"/>
  <c r="I22" i="7"/>
  <c r="S22" i="7" s="1"/>
  <c r="I21" i="7"/>
  <c r="S21" i="7" s="1"/>
  <c r="I20" i="7"/>
  <c r="S20" i="7" s="1"/>
  <c r="I19" i="7"/>
  <c r="S19" i="7" s="1"/>
  <c r="I18" i="7"/>
  <c r="S18" i="7" s="1"/>
  <c r="I17" i="7"/>
  <c r="S17" i="7" s="1"/>
  <c r="I16" i="7"/>
  <c r="S16" i="7" s="1"/>
  <c r="I15" i="7"/>
  <c r="S15" i="7" s="1"/>
  <c r="I14" i="7"/>
  <c r="S14" i="7" s="1"/>
  <c r="I13" i="7"/>
  <c r="S13" i="7" s="1"/>
  <c r="I12" i="7"/>
  <c r="S12" i="7" s="1"/>
  <c r="I11" i="7"/>
  <c r="S11" i="7" s="1"/>
  <c r="I10" i="7"/>
  <c r="S10" i="7" s="1"/>
  <c r="I9" i="7"/>
  <c r="S9" i="7" s="1"/>
  <c r="I8" i="7"/>
  <c r="S8" i="7" s="1"/>
  <c r="I7" i="7"/>
  <c r="S7" i="7" s="1"/>
  <c r="I6" i="7"/>
  <c r="S6" i="7" s="1"/>
  <c r="I5" i="7"/>
  <c r="S5" i="7" s="1"/>
  <c r="I4" i="7"/>
  <c r="S4" i="7" s="1"/>
  <c r="I3" i="7"/>
  <c r="S3" i="7" s="1"/>
  <c r="I2" i="7"/>
  <c r="S2" i="7" s="1"/>
  <c r="U5306" i="5"/>
  <c r="T5306" i="5"/>
  <c r="S5306" i="5"/>
  <c r="R5306" i="5"/>
  <c r="Q5306" i="5"/>
  <c r="P5306" i="5"/>
  <c r="T5305" i="5"/>
  <c r="S5305" i="5"/>
  <c r="R5305" i="5"/>
  <c r="Q5305" i="5"/>
  <c r="E5305" i="5"/>
  <c r="P5305" i="5" s="1"/>
  <c r="D5305" i="5"/>
  <c r="U5305" i="5" s="1"/>
  <c r="U5304" i="5"/>
  <c r="T5304" i="5"/>
  <c r="S5304" i="5"/>
  <c r="R5304" i="5"/>
  <c r="Q5304" i="5"/>
  <c r="P5304" i="5"/>
  <c r="U5303" i="5"/>
  <c r="T5303" i="5"/>
  <c r="S5303" i="5"/>
  <c r="R5303" i="5"/>
  <c r="Q5303" i="5"/>
  <c r="P5303" i="5"/>
  <c r="U5302" i="5"/>
  <c r="T5302" i="5"/>
  <c r="S5302" i="5"/>
  <c r="R5302" i="5"/>
  <c r="Q5302" i="5"/>
  <c r="P5302" i="5"/>
  <c r="U5301" i="5"/>
  <c r="T5301" i="5"/>
  <c r="S5301" i="5"/>
  <c r="R5301" i="5"/>
  <c r="Q5301" i="5"/>
  <c r="P5301" i="5"/>
  <c r="U5300" i="5"/>
  <c r="T5300" i="5"/>
  <c r="S5300" i="5"/>
  <c r="R5300" i="5"/>
  <c r="Q5300" i="5"/>
  <c r="P5300" i="5"/>
  <c r="U5299" i="5"/>
  <c r="T5299" i="5"/>
  <c r="S5299" i="5"/>
  <c r="R5299" i="5"/>
  <c r="Q5299" i="5"/>
  <c r="P5299" i="5"/>
  <c r="U5298" i="5"/>
  <c r="T5298" i="5"/>
  <c r="S5298" i="5"/>
  <c r="R5298" i="5"/>
  <c r="Q5298" i="5"/>
  <c r="P5298" i="5"/>
  <c r="U5297" i="5"/>
  <c r="T5297" i="5"/>
  <c r="S5297" i="5"/>
  <c r="R5297" i="5"/>
  <c r="Q5297" i="5"/>
  <c r="P5297" i="5"/>
  <c r="U743" i="5"/>
  <c r="T743" i="5"/>
  <c r="S743" i="5"/>
  <c r="R743" i="5"/>
  <c r="Q743" i="5"/>
  <c r="P743" i="5"/>
  <c r="U732" i="5"/>
  <c r="T732" i="5"/>
  <c r="S732" i="5"/>
  <c r="R732" i="5"/>
  <c r="Q732" i="5"/>
  <c r="P732" i="5"/>
  <c r="U721" i="5"/>
  <c r="T721" i="5"/>
  <c r="S721" i="5"/>
  <c r="R721" i="5"/>
  <c r="Q721" i="5"/>
  <c r="P721" i="5"/>
  <c r="U11" i="5"/>
  <c r="T11" i="5"/>
  <c r="S11" i="5"/>
  <c r="I11" i="5"/>
  <c r="R11" i="5" s="1"/>
  <c r="H11" i="5"/>
  <c r="G11" i="5"/>
  <c r="Q11" i="5" s="1"/>
  <c r="F11" i="5"/>
  <c r="E11" i="5"/>
  <c r="P11" i="5" s="1"/>
  <c r="D11" i="5"/>
  <c r="U21" i="5"/>
  <c r="T21" i="5"/>
  <c r="S21" i="5"/>
  <c r="I21" i="5"/>
  <c r="R21" i="5" s="1"/>
  <c r="H21" i="5"/>
  <c r="G21" i="5"/>
  <c r="Q21" i="5" s="1"/>
  <c r="F21" i="5"/>
  <c r="E21" i="5"/>
  <c r="P21" i="5" s="1"/>
  <c r="D21" i="5"/>
  <c r="U31" i="5"/>
  <c r="T31" i="5"/>
  <c r="S31" i="5"/>
  <c r="I31" i="5"/>
  <c r="R31" i="5" s="1"/>
  <c r="H31" i="5"/>
  <c r="G31" i="5"/>
  <c r="Q31" i="5" s="1"/>
  <c r="F31" i="5"/>
  <c r="E31" i="5"/>
  <c r="P31" i="5" s="1"/>
  <c r="D31" i="5"/>
  <c r="U48" i="5"/>
  <c r="T48" i="5"/>
  <c r="S48" i="5"/>
  <c r="I48" i="5"/>
  <c r="R48" i="5" s="1"/>
  <c r="H48" i="5"/>
  <c r="G48" i="5"/>
  <c r="Q48" i="5" s="1"/>
  <c r="F48" i="5"/>
  <c r="E48" i="5"/>
  <c r="P48" i="5" s="1"/>
  <c r="D48" i="5"/>
  <c r="U65" i="5"/>
  <c r="T65" i="5"/>
  <c r="S65" i="5"/>
  <c r="I65" i="5"/>
  <c r="R65" i="5" s="1"/>
  <c r="H65" i="5"/>
  <c r="G65" i="5"/>
  <c r="Q65" i="5" s="1"/>
  <c r="F65" i="5"/>
  <c r="E65" i="5"/>
  <c r="P65" i="5" s="1"/>
  <c r="D65" i="5"/>
  <c r="U82" i="5"/>
  <c r="T82" i="5"/>
  <c r="S82" i="5"/>
  <c r="I82" i="5"/>
  <c r="R82" i="5" s="1"/>
  <c r="H82" i="5"/>
  <c r="G82" i="5"/>
  <c r="Q82" i="5" s="1"/>
  <c r="F82" i="5"/>
  <c r="E82" i="5"/>
  <c r="P82" i="5" s="1"/>
  <c r="D82" i="5"/>
  <c r="U99" i="5"/>
  <c r="T99" i="5"/>
  <c r="S99" i="5"/>
  <c r="I99" i="5"/>
  <c r="R99" i="5" s="1"/>
  <c r="H99" i="5"/>
  <c r="G99" i="5"/>
  <c r="Q99" i="5" s="1"/>
  <c r="F99" i="5"/>
  <c r="E99" i="5"/>
  <c r="P99" i="5" s="1"/>
  <c r="D99" i="5"/>
  <c r="U116" i="5"/>
  <c r="T116" i="5"/>
  <c r="S116" i="5"/>
  <c r="I116" i="5"/>
  <c r="R116" i="5" s="1"/>
  <c r="H116" i="5"/>
  <c r="G116" i="5"/>
  <c r="Q116" i="5" s="1"/>
  <c r="F116" i="5"/>
  <c r="E116" i="5"/>
  <c r="P116" i="5" s="1"/>
  <c r="D116" i="5"/>
  <c r="U133" i="5"/>
  <c r="T133" i="5"/>
  <c r="S133" i="5"/>
  <c r="I133" i="5"/>
  <c r="R133" i="5" s="1"/>
  <c r="H133" i="5"/>
  <c r="G133" i="5"/>
  <c r="Q133" i="5" s="1"/>
  <c r="F133" i="5"/>
  <c r="E133" i="5"/>
  <c r="P133" i="5" s="1"/>
  <c r="D133" i="5"/>
  <c r="U148" i="5"/>
  <c r="T148" i="5"/>
  <c r="S148" i="5"/>
  <c r="I148" i="5"/>
  <c r="R148" i="5" s="1"/>
  <c r="H148" i="5"/>
  <c r="G148" i="5"/>
  <c r="Q148" i="5" s="1"/>
  <c r="F148" i="5"/>
  <c r="E148" i="5"/>
  <c r="P148" i="5" s="1"/>
  <c r="D148" i="5"/>
  <c r="U165" i="5"/>
  <c r="T165" i="5"/>
  <c r="S165" i="5"/>
  <c r="I165" i="5"/>
  <c r="R165" i="5" s="1"/>
  <c r="H165" i="5"/>
  <c r="G165" i="5"/>
  <c r="Q165" i="5" s="1"/>
  <c r="F165" i="5"/>
  <c r="E165" i="5"/>
  <c r="P165" i="5" s="1"/>
  <c r="D165" i="5"/>
  <c r="U175" i="5"/>
  <c r="T175" i="5"/>
  <c r="S175" i="5"/>
  <c r="I175" i="5"/>
  <c r="R175" i="5" s="1"/>
  <c r="H175" i="5"/>
  <c r="G175" i="5"/>
  <c r="Q175" i="5" s="1"/>
  <c r="F175" i="5"/>
  <c r="E175" i="5"/>
  <c r="P175" i="5" s="1"/>
  <c r="D175" i="5"/>
  <c r="U185" i="5"/>
  <c r="T185" i="5"/>
  <c r="S185" i="5"/>
  <c r="I185" i="5"/>
  <c r="R185" i="5" s="1"/>
  <c r="H185" i="5"/>
  <c r="G185" i="5"/>
  <c r="Q185" i="5" s="1"/>
  <c r="F185" i="5"/>
  <c r="E185" i="5"/>
  <c r="P185" i="5" s="1"/>
  <c r="D185" i="5"/>
  <c r="U195" i="5"/>
  <c r="T195" i="5"/>
  <c r="S195" i="5"/>
  <c r="I195" i="5"/>
  <c r="R195" i="5" s="1"/>
  <c r="H195" i="5"/>
  <c r="G195" i="5"/>
  <c r="Q195" i="5" s="1"/>
  <c r="F195" i="5"/>
  <c r="E195" i="5"/>
  <c r="P195" i="5" s="1"/>
  <c r="D195" i="5"/>
  <c r="U212" i="5"/>
  <c r="T212" i="5"/>
  <c r="S212" i="5"/>
  <c r="I212" i="5"/>
  <c r="R212" i="5" s="1"/>
  <c r="H212" i="5"/>
  <c r="G212" i="5"/>
  <c r="Q212" i="5" s="1"/>
  <c r="F212" i="5"/>
  <c r="E212" i="5"/>
  <c r="P212" i="5" s="1"/>
  <c r="D212" i="5"/>
  <c r="U229" i="5"/>
  <c r="T229" i="5"/>
  <c r="S229" i="5"/>
  <c r="I229" i="5"/>
  <c r="R229" i="5" s="1"/>
  <c r="H229" i="5"/>
  <c r="G229" i="5"/>
  <c r="Q229" i="5" s="1"/>
  <c r="F229" i="5"/>
  <c r="E229" i="5"/>
  <c r="P229" i="5" s="1"/>
  <c r="D229" i="5"/>
  <c r="U246" i="5"/>
  <c r="T246" i="5"/>
  <c r="S246" i="5"/>
  <c r="I246" i="5"/>
  <c r="R246" i="5" s="1"/>
  <c r="H246" i="5"/>
  <c r="G246" i="5"/>
  <c r="Q246" i="5" s="1"/>
  <c r="F246" i="5"/>
  <c r="E246" i="5"/>
  <c r="P246" i="5" s="1"/>
  <c r="D246" i="5"/>
  <c r="U263" i="5"/>
  <c r="T263" i="5"/>
  <c r="S263" i="5"/>
  <c r="I263" i="5"/>
  <c r="R263" i="5" s="1"/>
  <c r="H263" i="5"/>
  <c r="G263" i="5"/>
  <c r="Q263" i="5" s="1"/>
  <c r="F263" i="5"/>
  <c r="E263" i="5"/>
  <c r="P263" i="5" s="1"/>
  <c r="D263" i="5"/>
  <c r="U280" i="5"/>
  <c r="T280" i="5"/>
  <c r="S280" i="5"/>
  <c r="I280" i="5"/>
  <c r="R280" i="5" s="1"/>
  <c r="H280" i="5"/>
  <c r="G280" i="5"/>
  <c r="Q280" i="5" s="1"/>
  <c r="F280" i="5"/>
  <c r="E280" i="5"/>
  <c r="P280" i="5" s="1"/>
  <c r="D280" i="5"/>
  <c r="U290" i="5"/>
  <c r="T290" i="5"/>
  <c r="S290" i="5"/>
  <c r="I290" i="5"/>
  <c r="R290" i="5" s="1"/>
  <c r="H290" i="5"/>
  <c r="G290" i="5"/>
  <c r="Q290" i="5" s="1"/>
  <c r="F290" i="5"/>
  <c r="E290" i="5"/>
  <c r="P290" i="5" s="1"/>
  <c r="D290" i="5"/>
  <c r="U300" i="5"/>
  <c r="T300" i="5"/>
  <c r="S300" i="5"/>
  <c r="I300" i="5"/>
  <c r="R300" i="5" s="1"/>
  <c r="H300" i="5"/>
  <c r="G300" i="5"/>
  <c r="Q300" i="5" s="1"/>
  <c r="F300" i="5"/>
  <c r="E300" i="5"/>
  <c r="P300" i="5" s="1"/>
  <c r="D300" i="5"/>
  <c r="U310" i="5"/>
  <c r="T310" i="5"/>
  <c r="S310" i="5"/>
  <c r="I310" i="5"/>
  <c r="R310" i="5" s="1"/>
  <c r="H310" i="5"/>
  <c r="G310" i="5"/>
  <c r="Q310" i="5" s="1"/>
  <c r="F310" i="5"/>
  <c r="E310" i="5"/>
  <c r="P310" i="5" s="1"/>
  <c r="D310" i="5"/>
  <c r="U320" i="5"/>
  <c r="T320" i="5"/>
  <c r="S320" i="5"/>
  <c r="I320" i="5"/>
  <c r="R320" i="5" s="1"/>
  <c r="H320" i="5"/>
  <c r="G320" i="5"/>
  <c r="Q320" i="5" s="1"/>
  <c r="F320" i="5"/>
  <c r="E320" i="5"/>
  <c r="P320" i="5" s="1"/>
  <c r="D320" i="5"/>
  <c r="U330" i="5"/>
  <c r="T330" i="5"/>
  <c r="S330" i="5"/>
  <c r="I330" i="5"/>
  <c r="R330" i="5" s="1"/>
  <c r="H330" i="5"/>
  <c r="G330" i="5"/>
  <c r="Q330" i="5" s="1"/>
  <c r="F330" i="5"/>
  <c r="E330" i="5"/>
  <c r="P330" i="5" s="1"/>
  <c r="D330" i="5"/>
  <c r="U340" i="5"/>
  <c r="T340" i="5"/>
  <c r="S340" i="5"/>
  <c r="I340" i="5"/>
  <c r="R340" i="5" s="1"/>
  <c r="H340" i="5"/>
  <c r="G340" i="5"/>
  <c r="Q340" i="5" s="1"/>
  <c r="F340" i="5"/>
  <c r="E340" i="5"/>
  <c r="P340" i="5" s="1"/>
  <c r="D340" i="5"/>
  <c r="U350" i="5"/>
  <c r="T350" i="5"/>
  <c r="S350" i="5"/>
  <c r="I350" i="5"/>
  <c r="R350" i="5" s="1"/>
  <c r="H350" i="5"/>
  <c r="G350" i="5"/>
  <c r="Q350" i="5" s="1"/>
  <c r="F350" i="5"/>
  <c r="E350" i="5"/>
  <c r="P350" i="5" s="1"/>
  <c r="D350" i="5"/>
  <c r="U360" i="5"/>
  <c r="T360" i="5"/>
  <c r="S360" i="5"/>
  <c r="I360" i="5"/>
  <c r="R360" i="5" s="1"/>
  <c r="H360" i="5"/>
  <c r="G360" i="5"/>
  <c r="Q360" i="5" s="1"/>
  <c r="F360" i="5"/>
  <c r="E360" i="5"/>
  <c r="P360" i="5" s="1"/>
  <c r="D360" i="5"/>
  <c r="U370" i="5"/>
  <c r="T370" i="5"/>
  <c r="S370" i="5"/>
  <c r="I370" i="5"/>
  <c r="R370" i="5" s="1"/>
  <c r="H370" i="5"/>
  <c r="G370" i="5"/>
  <c r="Q370" i="5" s="1"/>
  <c r="F370" i="5"/>
  <c r="E370" i="5"/>
  <c r="P370" i="5" s="1"/>
  <c r="D370" i="5"/>
  <c r="U380" i="5"/>
  <c r="T380" i="5"/>
  <c r="S380" i="5"/>
  <c r="I380" i="5"/>
  <c r="R380" i="5" s="1"/>
  <c r="H380" i="5"/>
  <c r="G380" i="5"/>
  <c r="Q380" i="5" s="1"/>
  <c r="F380" i="5"/>
  <c r="E380" i="5"/>
  <c r="P380" i="5" s="1"/>
  <c r="D380" i="5"/>
  <c r="U390" i="5"/>
  <c r="T390" i="5"/>
  <c r="S390" i="5"/>
  <c r="I390" i="5"/>
  <c r="R390" i="5" s="1"/>
  <c r="H390" i="5"/>
  <c r="G390" i="5"/>
  <c r="Q390" i="5" s="1"/>
  <c r="F390" i="5"/>
  <c r="E390" i="5"/>
  <c r="P390" i="5" s="1"/>
  <c r="D390" i="5"/>
  <c r="U400" i="5"/>
  <c r="T400" i="5"/>
  <c r="S400" i="5"/>
  <c r="I400" i="5"/>
  <c r="R400" i="5" s="1"/>
  <c r="H400" i="5"/>
  <c r="G400" i="5"/>
  <c r="Q400" i="5" s="1"/>
  <c r="F400" i="5"/>
  <c r="E400" i="5"/>
  <c r="P400" i="5" s="1"/>
  <c r="D400" i="5"/>
  <c r="U410" i="5"/>
  <c r="T410" i="5"/>
  <c r="S410" i="5"/>
  <c r="I410" i="5"/>
  <c r="R410" i="5" s="1"/>
  <c r="H410" i="5"/>
  <c r="G410" i="5"/>
  <c r="Q410" i="5" s="1"/>
  <c r="F410" i="5"/>
  <c r="E410" i="5"/>
  <c r="P410" i="5" s="1"/>
  <c r="D410" i="5"/>
  <c r="U420" i="5"/>
  <c r="T420" i="5"/>
  <c r="S420" i="5"/>
  <c r="I420" i="5"/>
  <c r="R420" i="5" s="1"/>
  <c r="H420" i="5"/>
  <c r="G420" i="5"/>
  <c r="Q420" i="5" s="1"/>
  <c r="F420" i="5"/>
  <c r="E420" i="5"/>
  <c r="P420" i="5" s="1"/>
  <c r="D420" i="5"/>
  <c r="U430" i="5"/>
  <c r="T430" i="5"/>
  <c r="S430" i="5"/>
  <c r="I430" i="5"/>
  <c r="R430" i="5" s="1"/>
  <c r="H430" i="5"/>
  <c r="G430" i="5"/>
  <c r="Q430" i="5" s="1"/>
  <c r="F430" i="5"/>
  <c r="E430" i="5"/>
  <c r="P430" i="5" s="1"/>
  <c r="D430" i="5"/>
  <c r="U440" i="5"/>
  <c r="T440" i="5"/>
  <c r="S440" i="5"/>
  <c r="I440" i="5"/>
  <c r="R440" i="5" s="1"/>
  <c r="H440" i="5"/>
  <c r="G440" i="5"/>
  <c r="Q440" i="5" s="1"/>
  <c r="F440" i="5"/>
  <c r="E440" i="5"/>
  <c r="P440" i="5" s="1"/>
  <c r="D440" i="5"/>
  <c r="U450" i="5"/>
  <c r="T450" i="5"/>
  <c r="S450" i="5"/>
  <c r="I450" i="5"/>
  <c r="R450" i="5" s="1"/>
  <c r="H450" i="5"/>
  <c r="G450" i="5"/>
  <c r="Q450" i="5" s="1"/>
  <c r="F450" i="5"/>
  <c r="E450" i="5"/>
  <c r="P450" i="5" s="1"/>
  <c r="D450" i="5"/>
  <c r="U460" i="5"/>
  <c r="T460" i="5"/>
  <c r="S460" i="5"/>
  <c r="I460" i="5"/>
  <c r="R460" i="5" s="1"/>
  <c r="H460" i="5"/>
  <c r="G460" i="5"/>
  <c r="Q460" i="5" s="1"/>
  <c r="F460" i="5"/>
  <c r="E460" i="5"/>
  <c r="P460" i="5" s="1"/>
  <c r="D460" i="5"/>
  <c r="U470" i="5"/>
  <c r="T470" i="5"/>
  <c r="S470" i="5"/>
  <c r="I470" i="5"/>
  <c r="R470" i="5" s="1"/>
  <c r="H470" i="5"/>
  <c r="G470" i="5"/>
  <c r="Q470" i="5" s="1"/>
  <c r="F470" i="5"/>
  <c r="E470" i="5"/>
  <c r="P470" i="5" s="1"/>
  <c r="D470" i="5"/>
  <c r="U480" i="5"/>
  <c r="T480" i="5"/>
  <c r="S480" i="5"/>
  <c r="I480" i="5"/>
  <c r="R480" i="5" s="1"/>
  <c r="H480" i="5"/>
  <c r="G480" i="5"/>
  <c r="Q480" i="5" s="1"/>
  <c r="F480" i="5"/>
  <c r="E480" i="5"/>
  <c r="P480" i="5" s="1"/>
  <c r="D480" i="5"/>
  <c r="U490" i="5"/>
  <c r="T490" i="5"/>
  <c r="S490" i="5"/>
  <c r="I490" i="5"/>
  <c r="R490" i="5" s="1"/>
  <c r="H490" i="5"/>
  <c r="G490" i="5"/>
  <c r="Q490" i="5" s="1"/>
  <c r="F490" i="5"/>
  <c r="E490" i="5"/>
  <c r="P490" i="5" s="1"/>
  <c r="D490" i="5"/>
  <c r="U500" i="5"/>
  <c r="T500" i="5"/>
  <c r="S500" i="5"/>
  <c r="I500" i="5"/>
  <c r="R500" i="5" s="1"/>
  <c r="H500" i="5"/>
  <c r="G500" i="5"/>
  <c r="Q500" i="5" s="1"/>
  <c r="F500" i="5"/>
  <c r="E500" i="5"/>
  <c r="P500" i="5" s="1"/>
  <c r="D500" i="5"/>
  <c r="U510" i="5"/>
  <c r="T510" i="5"/>
  <c r="S510" i="5"/>
  <c r="I510" i="5"/>
  <c r="R510" i="5" s="1"/>
  <c r="H510" i="5"/>
  <c r="G510" i="5"/>
  <c r="Q510" i="5" s="1"/>
  <c r="F510" i="5"/>
  <c r="E510" i="5"/>
  <c r="P510" i="5" s="1"/>
  <c r="D510" i="5"/>
  <c r="U520" i="5"/>
  <c r="T520" i="5"/>
  <c r="S520" i="5"/>
  <c r="I520" i="5"/>
  <c r="R520" i="5" s="1"/>
  <c r="H520" i="5"/>
  <c r="G520" i="5"/>
  <c r="Q520" i="5" s="1"/>
  <c r="F520" i="5"/>
  <c r="E520" i="5"/>
  <c r="P520" i="5" s="1"/>
  <c r="D520" i="5"/>
  <c r="U530" i="5"/>
  <c r="T530" i="5"/>
  <c r="S530" i="5"/>
  <c r="I530" i="5"/>
  <c r="R530" i="5" s="1"/>
  <c r="H530" i="5"/>
  <c r="G530" i="5"/>
  <c r="Q530" i="5" s="1"/>
  <c r="F530" i="5"/>
  <c r="E530" i="5"/>
  <c r="P530" i="5" s="1"/>
  <c r="D530" i="5"/>
  <c r="U540" i="5"/>
  <c r="T540" i="5"/>
  <c r="S540" i="5"/>
  <c r="I540" i="5"/>
  <c r="R540" i="5" s="1"/>
  <c r="H540" i="5"/>
  <c r="G540" i="5"/>
  <c r="Q540" i="5" s="1"/>
  <c r="F540" i="5"/>
  <c r="E540" i="5"/>
  <c r="P540" i="5" s="1"/>
  <c r="D540" i="5"/>
  <c r="U550" i="5"/>
  <c r="T550" i="5"/>
  <c r="S550" i="5"/>
  <c r="I550" i="5"/>
  <c r="R550" i="5" s="1"/>
  <c r="H550" i="5"/>
  <c r="G550" i="5"/>
  <c r="Q550" i="5" s="1"/>
  <c r="F550" i="5"/>
  <c r="E550" i="5"/>
  <c r="P550" i="5" s="1"/>
  <c r="D550" i="5"/>
  <c r="U560" i="5"/>
  <c r="T560" i="5"/>
  <c r="S560" i="5"/>
  <c r="I560" i="5"/>
  <c r="R560" i="5" s="1"/>
  <c r="H560" i="5"/>
  <c r="G560" i="5"/>
  <c r="Q560" i="5" s="1"/>
  <c r="F560" i="5"/>
  <c r="E560" i="5"/>
  <c r="P560" i="5" s="1"/>
  <c r="D560" i="5"/>
  <c r="U570" i="5"/>
  <c r="T570" i="5"/>
  <c r="S570" i="5"/>
  <c r="I570" i="5"/>
  <c r="R570" i="5" s="1"/>
  <c r="H570" i="5"/>
  <c r="G570" i="5"/>
  <c r="Q570" i="5" s="1"/>
  <c r="F570" i="5"/>
  <c r="E570" i="5"/>
  <c r="P570" i="5" s="1"/>
  <c r="D570" i="5"/>
  <c r="U580" i="5"/>
  <c r="T580" i="5"/>
  <c r="S580" i="5"/>
  <c r="I580" i="5"/>
  <c r="R580" i="5" s="1"/>
  <c r="H580" i="5"/>
  <c r="G580" i="5"/>
  <c r="Q580" i="5" s="1"/>
  <c r="F580" i="5"/>
  <c r="E580" i="5"/>
  <c r="P580" i="5" s="1"/>
  <c r="D580" i="5"/>
  <c r="U590" i="5"/>
  <c r="T590" i="5"/>
  <c r="S590" i="5"/>
  <c r="I590" i="5"/>
  <c r="R590" i="5" s="1"/>
  <c r="H590" i="5"/>
  <c r="G590" i="5"/>
  <c r="Q590" i="5" s="1"/>
  <c r="F590" i="5"/>
  <c r="E590" i="5"/>
  <c r="P590" i="5" s="1"/>
  <c r="D590" i="5"/>
  <c r="U600" i="5"/>
  <c r="T600" i="5"/>
  <c r="S600" i="5"/>
  <c r="I600" i="5"/>
  <c r="R600" i="5" s="1"/>
  <c r="H600" i="5"/>
  <c r="G600" i="5"/>
  <c r="Q600" i="5" s="1"/>
  <c r="F600" i="5"/>
  <c r="E600" i="5"/>
  <c r="P600" i="5" s="1"/>
  <c r="D600" i="5"/>
  <c r="U610" i="5"/>
  <c r="T610" i="5"/>
  <c r="S610" i="5"/>
  <c r="I610" i="5"/>
  <c r="R610" i="5" s="1"/>
  <c r="H610" i="5"/>
  <c r="G610" i="5"/>
  <c r="Q610" i="5" s="1"/>
  <c r="F610" i="5"/>
  <c r="E610" i="5"/>
  <c r="P610" i="5" s="1"/>
  <c r="D610" i="5"/>
  <c r="U620" i="5"/>
  <c r="T620" i="5"/>
  <c r="S620" i="5"/>
  <c r="I620" i="5"/>
  <c r="R620" i="5" s="1"/>
  <c r="H620" i="5"/>
  <c r="G620" i="5"/>
  <c r="Q620" i="5" s="1"/>
  <c r="F620" i="5"/>
  <c r="E620" i="5"/>
  <c r="P620" i="5" s="1"/>
  <c r="D620" i="5"/>
  <c r="U630" i="5"/>
  <c r="T630" i="5"/>
  <c r="S630" i="5"/>
  <c r="I630" i="5"/>
  <c r="R630" i="5" s="1"/>
  <c r="H630" i="5"/>
  <c r="G630" i="5"/>
  <c r="Q630" i="5" s="1"/>
  <c r="F630" i="5"/>
  <c r="E630" i="5"/>
  <c r="P630" i="5" s="1"/>
  <c r="D630" i="5"/>
  <c r="U640" i="5"/>
  <c r="T640" i="5"/>
  <c r="S640" i="5"/>
  <c r="I640" i="5"/>
  <c r="R640" i="5" s="1"/>
  <c r="H640" i="5"/>
  <c r="G640" i="5"/>
  <c r="Q640" i="5" s="1"/>
  <c r="F640" i="5"/>
  <c r="E640" i="5"/>
  <c r="P640" i="5" s="1"/>
  <c r="D640" i="5"/>
  <c r="U650" i="5"/>
  <c r="T650" i="5"/>
  <c r="S650" i="5"/>
  <c r="I650" i="5"/>
  <c r="R650" i="5" s="1"/>
  <c r="H650" i="5"/>
  <c r="G650" i="5"/>
  <c r="Q650" i="5" s="1"/>
  <c r="F650" i="5"/>
  <c r="E650" i="5"/>
  <c r="P650" i="5" s="1"/>
  <c r="D650" i="5"/>
  <c r="U660" i="5"/>
  <c r="T660" i="5"/>
  <c r="S660" i="5"/>
  <c r="I660" i="5"/>
  <c r="R660" i="5" s="1"/>
  <c r="H660" i="5"/>
  <c r="G660" i="5"/>
  <c r="Q660" i="5" s="1"/>
  <c r="F660" i="5"/>
  <c r="E660" i="5"/>
  <c r="P660" i="5" s="1"/>
  <c r="D660" i="5"/>
  <c r="U670" i="5"/>
  <c r="T670" i="5"/>
  <c r="S670" i="5"/>
  <c r="I670" i="5"/>
  <c r="R670" i="5" s="1"/>
  <c r="H670" i="5"/>
  <c r="G670" i="5"/>
  <c r="Q670" i="5" s="1"/>
  <c r="F670" i="5"/>
  <c r="E670" i="5"/>
  <c r="P670" i="5" s="1"/>
  <c r="D670" i="5"/>
  <c r="U680" i="5"/>
  <c r="T680" i="5"/>
  <c r="S680" i="5"/>
  <c r="I680" i="5"/>
  <c r="R680" i="5" s="1"/>
  <c r="H680" i="5"/>
  <c r="G680" i="5"/>
  <c r="Q680" i="5" s="1"/>
  <c r="F680" i="5"/>
  <c r="E680" i="5"/>
  <c r="P680" i="5" s="1"/>
  <c r="D680" i="5"/>
  <c r="U690" i="5"/>
  <c r="T690" i="5"/>
  <c r="S690" i="5"/>
  <c r="I690" i="5"/>
  <c r="R690" i="5" s="1"/>
  <c r="H690" i="5"/>
  <c r="G690" i="5"/>
  <c r="Q690" i="5" s="1"/>
  <c r="F690" i="5"/>
  <c r="E690" i="5"/>
  <c r="P690" i="5" s="1"/>
  <c r="D690" i="5"/>
  <c r="U700" i="5"/>
  <c r="T700" i="5"/>
  <c r="S700" i="5"/>
  <c r="I700" i="5"/>
  <c r="R700" i="5" s="1"/>
  <c r="H700" i="5"/>
  <c r="G700" i="5"/>
  <c r="Q700" i="5" s="1"/>
  <c r="F700" i="5"/>
  <c r="E700" i="5"/>
  <c r="P700" i="5" s="1"/>
  <c r="D700" i="5"/>
  <c r="U710" i="5"/>
  <c r="T710" i="5"/>
  <c r="S710" i="5"/>
  <c r="I710" i="5"/>
  <c r="R710" i="5" s="1"/>
  <c r="H710" i="5"/>
  <c r="G710" i="5"/>
  <c r="Q710" i="5" s="1"/>
  <c r="F710" i="5"/>
  <c r="E710" i="5"/>
  <c r="P710" i="5" s="1"/>
  <c r="D710" i="5"/>
  <c r="U720" i="5"/>
  <c r="T720" i="5"/>
  <c r="S720" i="5"/>
  <c r="I720" i="5"/>
  <c r="R720" i="5" s="1"/>
  <c r="H720" i="5"/>
  <c r="G720" i="5"/>
  <c r="Q720" i="5" s="1"/>
  <c r="F720" i="5"/>
  <c r="E720" i="5"/>
  <c r="P720" i="5" s="1"/>
  <c r="D720" i="5"/>
  <c r="U731" i="5"/>
  <c r="T731" i="5"/>
  <c r="S731" i="5"/>
  <c r="I731" i="5"/>
  <c r="R731" i="5" s="1"/>
  <c r="H731" i="5"/>
  <c r="G731" i="5"/>
  <c r="Q731" i="5" s="1"/>
  <c r="F731" i="5"/>
  <c r="E731" i="5"/>
  <c r="P731" i="5" s="1"/>
  <c r="D731" i="5"/>
  <c r="U742" i="5"/>
  <c r="T742" i="5"/>
  <c r="S742" i="5"/>
  <c r="I742" i="5"/>
  <c r="R742" i="5" s="1"/>
  <c r="H742" i="5"/>
  <c r="G742" i="5"/>
  <c r="Q742" i="5" s="1"/>
  <c r="F742" i="5"/>
  <c r="E742" i="5"/>
  <c r="P742" i="5" s="1"/>
  <c r="D742" i="5"/>
  <c r="U741" i="5"/>
  <c r="T741" i="5"/>
  <c r="S741" i="5"/>
  <c r="I741" i="5"/>
  <c r="R741" i="5" s="1"/>
  <c r="H741" i="5"/>
  <c r="G741" i="5"/>
  <c r="Q741" i="5" s="1"/>
  <c r="F741" i="5"/>
  <c r="E741" i="5"/>
  <c r="P741" i="5" s="1"/>
  <c r="D741" i="5"/>
  <c r="U730" i="5"/>
  <c r="T730" i="5"/>
  <c r="S730" i="5"/>
  <c r="I730" i="5"/>
  <c r="R730" i="5" s="1"/>
  <c r="H730" i="5"/>
  <c r="G730" i="5"/>
  <c r="Q730" i="5" s="1"/>
  <c r="F730" i="5"/>
  <c r="E730" i="5"/>
  <c r="P730" i="5" s="1"/>
  <c r="D730" i="5"/>
  <c r="U719" i="5"/>
  <c r="T719" i="5"/>
  <c r="S719" i="5"/>
  <c r="I719" i="5"/>
  <c r="R719" i="5" s="1"/>
  <c r="H719" i="5"/>
  <c r="G719" i="5"/>
  <c r="Q719" i="5" s="1"/>
  <c r="F719" i="5"/>
  <c r="E719" i="5"/>
  <c r="P719" i="5" s="1"/>
  <c r="D719" i="5"/>
  <c r="U709" i="5"/>
  <c r="T709" i="5"/>
  <c r="S709" i="5"/>
  <c r="I709" i="5"/>
  <c r="R709" i="5" s="1"/>
  <c r="H709" i="5"/>
  <c r="G709" i="5"/>
  <c r="Q709" i="5" s="1"/>
  <c r="F709" i="5"/>
  <c r="E709" i="5"/>
  <c r="P709" i="5" s="1"/>
  <c r="D709" i="5"/>
  <c r="U699" i="5"/>
  <c r="T699" i="5"/>
  <c r="S699" i="5"/>
  <c r="I699" i="5"/>
  <c r="R699" i="5" s="1"/>
  <c r="H699" i="5"/>
  <c r="G699" i="5"/>
  <c r="Q699" i="5" s="1"/>
  <c r="F699" i="5"/>
  <c r="E699" i="5"/>
  <c r="P699" i="5" s="1"/>
  <c r="D699" i="5"/>
  <c r="U689" i="5"/>
  <c r="T689" i="5"/>
  <c r="S689" i="5"/>
  <c r="I689" i="5"/>
  <c r="R689" i="5" s="1"/>
  <c r="H689" i="5"/>
  <c r="G689" i="5"/>
  <c r="Q689" i="5" s="1"/>
  <c r="F689" i="5"/>
  <c r="E689" i="5"/>
  <c r="P689" i="5" s="1"/>
  <c r="D689" i="5"/>
  <c r="U679" i="5"/>
  <c r="T679" i="5"/>
  <c r="S679" i="5"/>
  <c r="I679" i="5"/>
  <c r="R679" i="5" s="1"/>
  <c r="H679" i="5"/>
  <c r="G679" i="5"/>
  <c r="Q679" i="5" s="1"/>
  <c r="F679" i="5"/>
  <c r="E679" i="5"/>
  <c r="P679" i="5" s="1"/>
  <c r="D679" i="5"/>
  <c r="U669" i="5"/>
  <c r="T669" i="5"/>
  <c r="S669" i="5"/>
  <c r="I669" i="5"/>
  <c r="R669" i="5" s="1"/>
  <c r="H669" i="5"/>
  <c r="G669" i="5"/>
  <c r="Q669" i="5" s="1"/>
  <c r="F669" i="5"/>
  <c r="E669" i="5"/>
  <c r="P669" i="5" s="1"/>
  <c r="D669" i="5"/>
  <c r="U659" i="5"/>
  <c r="T659" i="5"/>
  <c r="S659" i="5"/>
  <c r="I659" i="5"/>
  <c r="R659" i="5" s="1"/>
  <c r="H659" i="5"/>
  <c r="G659" i="5"/>
  <c r="Q659" i="5" s="1"/>
  <c r="F659" i="5"/>
  <c r="E659" i="5"/>
  <c r="P659" i="5" s="1"/>
  <c r="D659" i="5"/>
  <c r="U649" i="5"/>
  <c r="T649" i="5"/>
  <c r="S649" i="5"/>
  <c r="I649" i="5"/>
  <c r="R649" i="5" s="1"/>
  <c r="H649" i="5"/>
  <c r="G649" i="5"/>
  <c r="Q649" i="5" s="1"/>
  <c r="F649" i="5"/>
  <c r="E649" i="5"/>
  <c r="P649" i="5" s="1"/>
  <c r="D649" i="5"/>
  <c r="U639" i="5"/>
  <c r="T639" i="5"/>
  <c r="S639" i="5"/>
  <c r="I639" i="5"/>
  <c r="R639" i="5" s="1"/>
  <c r="H639" i="5"/>
  <c r="G639" i="5"/>
  <c r="Q639" i="5" s="1"/>
  <c r="F639" i="5"/>
  <c r="E639" i="5"/>
  <c r="P639" i="5" s="1"/>
  <c r="D639" i="5"/>
  <c r="U629" i="5"/>
  <c r="T629" i="5"/>
  <c r="S629" i="5"/>
  <c r="I629" i="5"/>
  <c r="R629" i="5" s="1"/>
  <c r="H629" i="5"/>
  <c r="G629" i="5"/>
  <c r="Q629" i="5" s="1"/>
  <c r="F629" i="5"/>
  <c r="E629" i="5"/>
  <c r="P629" i="5" s="1"/>
  <c r="D629" i="5"/>
  <c r="U619" i="5"/>
  <c r="T619" i="5"/>
  <c r="S619" i="5"/>
  <c r="I619" i="5"/>
  <c r="R619" i="5" s="1"/>
  <c r="H619" i="5"/>
  <c r="G619" i="5"/>
  <c r="Q619" i="5" s="1"/>
  <c r="F619" i="5"/>
  <c r="E619" i="5"/>
  <c r="P619" i="5" s="1"/>
  <c r="D619" i="5"/>
  <c r="U609" i="5"/>
  <c r="T609" i="5"/>
  <c r="S609" i="5"/>
  <c r="I609" i="5"/>
  <c r="R609" i="5" s="1"/>
  <c r="H609" i="5"/>
  <c r="G609" i="5"/>
  <c r="Q609" i="5" s="1"/>
  <c r="F609" i="5"/>
  <c r="E609" i="5"/>
  <c r="P609" i="5" s="1"/>
  <c r="D609" i="5"/>
  <c r="U599" i="5"/>
  <c r="T599" i="5"/>
  <c r="S599" i="5"/>
  <c r="I599" i="5"/>
  <c r="R599" i="5" s="1"/>
  <c r="H599" i="5"/>
  <c r="G599" i="5"/>
  <c r="Q599" i="5" s="1"/>
  <c r="F599" i="5"/>
  <c r="E599" i="5"/>
  <c r="P599" i="5" s="1"/>
  <c r="D599" i="5"/>
  <c r="U589" i="5"/>
  <c r="T589" i="5"/>
  <c r="S589" i="5"/>
  <c r="I589" i="5"/>
  <c r="R589" i="5" s="1"/>
  <c r="H589" i="5"/>
  <c r="G589" i="5"/>
  <c r="Q589" i="5" s="1"/>
  <c r="F589" i="5"/>
  <c r="E589" i="5"/>
  <c r="P589" i="5" s="1"/>
  <c r="D589" i="5"/>
  <c r="U579" i="5"/>
  <c r="T579" i="5"/>
  <c r="S579" i="5"/>
  <c r="I579" i="5"/>
  <c r="R579" i="5" s="1"/>
  <c r="H579" i="5"/>
  <c r="G579" i="5"/>
  <c r="Q579" i="5" s="1"/>
  <c r="F579" i="5"/>
  <c r="E579" i="5"/>
  <c r="P579" i="5" s="1"/>
  <c r="D579" i="5"/>
  <c r="U569" i="5"/>
  <c r="T569" i="5"/>
  <c r="S569" i="5"/>
  <c r="I569" i="5"/>
  <c r="R569" i="5" s="1"/>
  <c r="H569" i="5"/>
  <c r="G569" i="5"/>
  <c r="Q569" i="5" s="1"/>
  <c r="F569" i="5"/>
  <c r="E569" i="5"/>
  <c r="P569" i="5" s="1"/>
  <c r="D569" i="5"/>
  <c r="U559" i="5"/>
  <c r="T559" i="5"/>
  <c r="S559" i="5"/>
  <c r="I559" i="5"/>
  <c r="R559" i="5" s="1"/>
  <c r="H559" i="5"/>
  <c r="G559" i="5"/>
  <c r="Q559" i="5" s="1"/>
  <c r="F559" i="5"/>
  <c r="E559" i="5"/>
  <c r="P559" i="5" s="1"/>
  <c r="D559" i="5"/>
  <c r="U549" i="5"/>
  <c r="T549" i="5"/>
  <c r="S549" i="5"/>
  <c r="I549" i="5"/>
  <c r="R549" i="5" s="1"/>
  <c r="H549" i="5"/>
  <c r="G549" i="5"/>
  <c r="Q549" i="5" s="1"/>
  <c r="F549" i="5"/>
  <c r="E549" i="5"/>
  <c r="P549" i="5" s="1"/>
  <c r="D549" i="5"/>
  <c r="U539" i="5"/>
  <c r="T539" i="5"/>
  <c r="S539" i="5"/>
  <c r="I539" i="5"/>
  <c r="R539" i="5" s="1"/>
  <c r="H539" i="5"/>
  <c r="G539" i="5"/>
  <c r="Q539" i="5" s="1"/>
  <c r="F539" i="5"/>
  <c r="E539" i="5"/>
  <c r="P539" i="5" s="1"/>
  <c r="D539" i="5"/>
  <c r="U529" i="5"/>
  <c r="T529" i="5"/>
  <c r="S529" i="5"/>
  <c r="I529" i="5"/>
  <c r="R529" i="5" s="1"/>
  <c r="H529" i="5"/>
  <c r="G529" i="5"/>
  <c r="Q529" i="5" s="1"/>
  <c r="F529" i="5"/>
  <c r="E529" i="5"/>
  <c r="P529" i="5" s="1"/>
  <c r="D529" i="5"/>
  <c r="U519" i="5"/>
  <c r="T519" i="5"/>
  <c r="S519" i="5"/>
  <c r="I519" i="5"/>
  <c r="R519" i="5" s="1"/>
  <c r="H519" i="5"/>
  <c r="G519" i="5"/>
  <c r="Q519" i="5" s="1"/>
  <c r="F519" i="5"/>
  <c r="E519" i="5"/>
  <c r="P519" i="5" s="1"/>
  <c r="D519" i="5"/>
  <c r="U509" i="5"/>
  <c r="T509" i="5"/>
  <c r="S509" i="5"/>
  <c r="I509" i="5"/>
  <c r="R509" i="5" s="1"/>
  <c r="H509" i="5"/>
  <c r="G509" i="5"/>
  <c r="Q509" i="5" s="1"/>
  <c r="F509" i="5"/>
  <c r="E509" i="5"/>
  <c r="P509" i="5" s="1"/>
  <c r="D509" i="5"/>
  <c r="U499" i="5"/>
  <c r="T499" i="5"/>
  <c r="S499" i="5"/>
  <c r="I499" i="5"/>
  <c r="R499" i="5" s="1"/>
  <c r="H499" i="5"/>
  <c r="G499" i="5"/>
  <c r="Q499" i="5" s="1"/>
  <c r="F499" i="5"/>
  <c r="E499" i="5"/>
  <c r="P499" i="5" s="1"/>
  <c r="D499" i="5"/>
  <c r="U489" i="5"/>
  <c r="T489" i="5"/>
  <c r="S489" i="5"/>
  <c r="I489" i="5"/>
  <c r="R489" i="5" s="1"/>
  <c r="H489" i="5"/>
  <c r="G489" i="5"/>
  <c r="Q489" i="5" s="1"/>
  <c r="F489" i="5"/>
  <c r="E489" i="5"/>
  <c r="P489" i="5" s="1"/>
  <c r="D489" i="5"/>
  <c r="U479" i="5"/>
  <c r="T479" i="5"/>
  <c r="S479" i="5"/>
  <c r="I479" i="5"/>
  <c r="R479" i="5" s="1"/>
  <c r="H479" i="5"/>
  <c r="G479" i="5"/>
  <c r="Q479" i="5" s="1"/>
  <c r="F479" i="5"/>
  <c r="E479" i="5"/>
  <c r="P479" i="5" s="1"/>
  <c r="D479" i="5"/>
  <c r="U469" i="5"/>
  <c r="T469" i="5"/>
  <c r="S469" i="5"/>
  <c r="I469" i="5"/>
  <c r="R469" i="5" s="1"/>
  <c r="H469" i="5"/>
  <c r="G469" i="5"/>
  <c r="Q469" i="5" s="1"/>
  <c r="F469" i="5"/>
  <c r="E469" i="5"/>
  <c r="P469" i="5" s="1"/>
  <c r="D469" i="5"/>
  <c r="U459" i="5"/>
  <c r="T459" i="5"/>
  <c r="S459" i="5"/>
  <c r="I459" i="5"/>
  <c r="R459" i="5" s="1"/>
  <c r="H459" i="5"/>
  <c r="G459" i="5"/>
  <c r="Q459" i="5" s="1"/>
  <c r="F459" i="5"/>
  <c r="E459" i="5"/>
  <c r="P459" i="5" s="1"/>
  <c r="D459" i="5"/>
  <c r="U449" i="5"/>
  <c r="T449" i="5"/>
  <c r="S449" i="5"/>
  <c r="I449" i="5"/>
  <c r="R449" i="5" s="1"/>
  <c r="H449" i="5"/>
  <c r="G449" i="5"/>
  <c r="Q449" i="5" s="1"/>
  <c r="F449" i="5"/>
  <c r="E449" i="5"/>
  <c r="P449" i="5" s="1"/>
  <c r="D449" i="5"/>
  <c r="U439" i="5"/>
  <c r="T439" i="5"/>
  <c r="S439" i="5"/>
  <c r="I439" i="5"/>
  <c r="R439" i="5" s="1"/>
  <c r="H439" i="5"/>
  <c r="G439" i="5"/>
  <c r="Q439" i="5" s="1"/>
  <c r="F439" i="5"/>
  <c r="E439" i="5"/>
  <c r="P439" i="5" s="1"/>
  <c r="D439" i="5"/>
  <c r="U429" i="5"/>
  <c r="T429" i="5"/>
  <c r="S429" i="5"/>
  <c r="I429" i="5"/>
  <c r="R429" i="5" s="1"/>
  <c r="H429" i="5"/>
  <c r="G429" i="5"/>
  <c r="Q429" i="5" s="1"/>
  <c r="F429" i="5"/>
  <c r="E429" i="5"/>
  <c r="P429" i="5" s="1"/>
  <c r="D429" i="5"/>
  <c r="U419" i="5"/>
  <c r="T419" i="5"/>
  <c r="S419" i="5"/>
  <c r="I419" i="5"/>
  <c r="R419" i="5" s="1"/>
  <c r="H419" i="5"/>
  <c r="G419" i="5"/>
  <c r="Q419" i="5" s="1"/>
  <c r="F419" i="5"/>
  <c r="E419" i="5"/>
  <c r="P419" i="5" s="1"/>
  <c r="D419" i="5"/>
  <c r="U409" i="5"/>
  <c r="T409" i="5"/>
  <c r="S409" i="5"/>
  <c r="I409" i="5"/>
  <c r="R409" i="5" s="1"/>
  <c r="H409" i="5"/>
  <c r="G409" i="5"/>
  <c r="Q409" i="5" s="1"/>
  <c r="F409" i="5"/>
  <c r="E409" i="5"/>
  <c r="P409" i="5" s="1"/>
  <c r="D409" i="5"/>
  <c r="U399" i="5"/>
  <c r="T399" i="5"/>
  <c r="S399" i="5"/>
  <c r="I399" i="5"/>
  <c r="R399" i="5" s="1"/>
  <c r="H399" i="5"/>
  <c r="G399" i="5"/>
  <c r="Q399" i="5" s="1"/>
  <c r="F399" i="5"/>
  <c r="E399" i="5"/>
  <c r="P399" i="5" s="1"/>
  <c r="D399" i="5"/>
  <c r="U389" i="5"/>
  <c r="T389" i="5"/>
  <c r="S389" i="5"/>
  <c r="I389" i="5"/>
  <c r="R389" i="5" s="1"/>
  <c r="H389" i="5"/>
  <c r="G389" i="5"/>
  <c r="Q389" i="5" s="1"/>
  <c r="F389" i="5"/>
  <c r="E389" i="5"/>
  <c r="P389" i="5" s="1"/>
  <c r="D389" i="5"/>
  <c r="U379" i="5"/>
  <c r="T379" i="5"/>
  <c r="S379" i="5"/>
  <c r="I379" i="5"/>
  <c r="R379" i="5" s="1"/>
  <c r="H379" i="5"/>
  <c r="G379" i="5"/>
  <c r="Q379" i="5" s="1"/>
  <c r="F379" i="5"/>
  <c r="E379" i="5"/>
  <c r="P379" i="5" s="1"/>
  <c r="D379" i="5"/>
  <c r="U369" i="5"/>
  <c r="T369" i="5"/>
  <c r="S369" i="5"/>
  <c r="I369" i="5"/>
  <c r="R369" i="5" s="1"/>
  <c r="H369" i="5"/>
  <c r="G369" i="5"/>
  <c r="Q369" i="5" s="1"/>
  <c r="F369" i="5"/>
  <c r="E369" i="5"/>
  <c r="P369" i="5" s="1"/>
  <c r="D369" i="5"/>
  <c r="U359" i="5"/>
  <c r="T359" i="5"/>
  <c r="S359" i="5"/>
  <c r="I359" i="5"/>
  <c r="R359" i="5" s="1"/>
  <c r="H359" i="5"/>
  <c r="G359" i="5"/>
  <c r="Q359" i="5" s="1"/>
  <c r="F359" i="5"/>
  <c r="E359" i="5"/>
  <c r="P359" i="5" s="1"/>
  <c r="D359" i="5"/>
  <c r="U349" i="5"/>
  <c r="T349" i="5"/>
  <c r="S349" i="5"/>
  <c r="I349" i="5"/>
  <c r="R349" i="5" s="1"/>
  <c r="H349" i="5"/>
  <c r="G349" i="5"/>
  <c r="Q349" i="5" s="1"/>
  <c r="F349" i="5"/>
  <c r="E349" i="5"/>
  <c r="P349" i="5" s="1"/>
  <c r="D349" i="5"/>
  <c r="U339" i="5"/>
  <c r="T339" i="5"/>
  <c r="S339" i="5"/>
  <c r="I339" i="5"/>
  <c r="R339" i="5" s="1"/>
  <c r="H339" i="5"/>
  <c r="G339" i="5"/>
  <c r="Q339" i="5" s="1"/>
  <c r="F339" i="5"/>
  <c r="E339" i="5"/>
  <c r="P339" i="5" s="1"/>
  <c r="D339" i="5"/>
  <c r="U329" i="5"/>
  <c r="T329" i="5"/>
  <c r="S329" i="5"/>
  <c r="I329" i="5"/>
  <c r="R329" i="5" s="1"/>
  <c r="H329" i="5"/>
  <c r="G329" i="5"/>
  <c r="Q329" i="5" s="1"/>
  <c r="F329" i="5"/>
  <c r="E329" i="5"/>
  <c r="P329" i="5" s="1"/>
  <c r="D329" i="5"/>
  <c r="U319" i="5"/>
  <c r="T319" i="5"/>
  <c r="S319" i="5"/>
  <c r="I319" i="5"/>
  <c r="R319" i="5" s="1"/>
  <c r="H319" i="5"/>
  <c r="G319" i="5"/>
  <c r="Q319" i="5" s="1"/>
  <c r="F319" i="5"/>
  <c r="E319" i="5"/>
  <c r="P319" i="5" s="1"/>
  <c r="D319" i="5"/>
  <c r="U309" i="5"/>
  <c r="T309" i="5"/>
  <c r="S309" i="5"/>
  <c r="I309" i="5"/>
  <c r="R309" i="5" s="1"/>
  <c r="H309" i="5"/>
  <c r="G309" i="5"/>
  <c r="Q309" i="5" s="1"/>
  <c r="F309" i="5"/>
  <c r="E309" i="5"/>
  <c r="P309" i="5" s="1"/>
  <c r="D309" i="5"/>
  <c r="U299" i="5"/>
  <c r="T299" i="5"/>
  <c r="S299" i="5"/>
  <c r="I299" i="5"/>
  <c r="R299" i="5" s="1"/>
  <c r="H299" i="5"/>
  <c r="G299" i="5"/>
  <c r="Q299" i="5" s="1"/>
  <c r="F299" i="5"/>
  <c r="E299" i="5"/>
  <c r="P299" i="5" s="1"/>
  <c r="D299" i="5"/>
  <c r="U289" i="5"/>
  <c r="T289" i="5"/>
  <c r="S289" i="5"/>
  <c r="I289" i="5"/>
  <c r="R289" i="5" s="1"/>
  <c r="H289" i="5"/>
  <c r="G289" i="5"/>
  <c r="Q289" i="5" s="1"/>
  <c r="F289" i="5"/>
  <c r="E289" i="5"/>
  <c r="P289" i="5" s="1"/>
  <c r="D289" i="5"/>
  <c r="U279" i="5"/>
  <c r="T279" i="5"/>
  <c r="S279" i="5"/>
  <c r="I279" i="5"/>
  <c r="R279" i="5" s="1"/>
  <c r="H279" i="5"/>
  <c r="G279" i="5"/>
  <c r="Q279" i="5" s="1"/>
  <c r="F279" i="5"/>
  <c r="E279" i="5"/>
  <c r="P279" i="5" s="1"/>
  <c r="D279" i="5"/>
  <c r="U262" i="5"/>
  <c r="T262" i="5"/>
  <c r="S262" i="5"/>
  <c r="I262" i="5"/>
  <c r="R262" i="5" s="1"/>
  <c r="H262" i="5"/>
  <c r="G262" i="5"/>
  <c r="Q262" i="5" s="1"/>
  <c r="F262" i="5"/>
  <c r="E262" i="5"/>
  <c r="P262" i="5" s="1"/>
  <c r="D262" i="5"/>
  <c r="U245" i="5"/>
  <c r="T245" i="5"/>
  <c r="S245" i="5"/>
  <c r="I245" i="5"/>
  <c r="R245" i="5" s="1"/>
  <c r="H245" i="5"/>
  <c r="G245" i="5"/>
  <c r="Q245" i="5" s="1"/>
  <c r="F245" i="5"/>
  <c r="E245" i="5"/>
  <c r="P245" i="5" s="1"/>
  <c r="D245" i="5"/>
  <c r="U228" i="5"/>
  <c r="T228" i="5"/>
  <c r="S228" i="5"/>
  <c r="I228" i="5"/>
  <c r="R228" i="5" s="1"/>
  <c r="H228" i="5"/>
  <c r="G228" i="5"/>
  <c r="Q228" i="5" s="1"/>
  <c r="F228" i="5"/>
  <c r="E228" i="5"/>
  <c r="P228" i="5" s="1"/>
  <c r="D228" i="5"/>
  <c r="U211" i="5"/>
  <c r="T211" i="5"/>
  <c r="S211" i="5"/>
  <c r="I211" i="5"/>
  <c r="R211" i="5" s="1"/>
  <c r="H211" i="5"/>
  <c r="G211" i="5"/>
  <c r="Q211" i="5" s="1"/>
  <c r="F211" i="5"/>
  <c r="E211" i="5"/>
  <c r="P211" i="5" s="1"/>
  <c r="D211" i="5"/>
  <c r="U194" i="5"/>
  <c r="T194" i="5"/>
  <c r="S194" i="5"/>
  <c r="I194" i="5"/>
  <c r="R194" i="5" s="1"/>
  <c r="H194" i="5"/>
  <c r="G194" i="5"/>
  <c r="Q194" i="5" s="1"/>
  <c r="F194" i="5"/>
  <c r="E194" i="5"/>
  <c r="P194" i="5" s="1"/>
  <c r="D194" i="5"/>
  <c r="U184" i="5"/>
  <c r="T184" i="5"/>
  <c r="S184" i="5"/>
  <c r="I184" i="5"/>
  <c r="R184" i="5" s="1"/>
  <c r="H184" i="5"/>
  <c r="G184" i="5"/>
  <c r="Q184" i="5" s="1"/>
  <c r="F184" i="5"/>
  <c r="E184" i="5"/>
  <c r="P184" i="5" s="1"/>
  <c r="D184" i="5"/>
  <c r="U174" i="5"/>
  <c r="T174" i="5"/>
  <c r="S174" i="5"/>
  <c r="I174" i="5"/>
  <c r="R174" i="5" s="1"/>
  <c r="H174" i="5"/>
  <c r="G174" i="5"/>
  <c r="Q174" i="5" s="1"/>
  <c r="F174" i="5"/>
  <c r="E174" i="5"/>
  <c r="P174" i="5" s="1"/>
  <c r="D174" i="5"/>
  <c r="U164" i="5"/>
  <c r="T164" i="5"/>
  <c r="S164" i="5"/>
  <c r="I164" i="5"/>
  <c r="R164" i="5" s="1"/>
  <c r="H164" i="5"/>
  <c r="G164" i="5"/>
  <c r="Q164" i="5" s="1"/>
  <c r="F164" i="5"/>
  <c r="E164" i="5"/>
  <c r="P164" i="5" s="1"/>
  <c r="D164" i="5"/>
  <c r="U147" i="5"/>
  <c r="T147" i="5"/>
  <c r="S147" i="5"/>
  <c r="I147" i="5"/>
  <c r="R147" i="5" s="1"/>
  <c r="H147" i="5"/>
  <c r="G147" i="5"/>
  <c r="Q147" i="5" s="1"/>
  <c r="F147" i="5"/>
  <c r="E147" i="5"/>
  <c r="P147" i="5" s="1"/>
  <c r="D147" i="5"/>
  <c r="U132" i="5"/>
  <c r="T132" i="5"/>
  <c r="S132" i="5"/>
  <c r="I132" i="5"/>
  <c r="R132" i="5" s="1"/>
  <c r="H132" i="5"/>
  <c r="G132" i="5"/>
  <c r="Q132" i="5" s="1"/>
  <c r="F132" i="5"/>
  <c r="E132" i="5"/>
  <c r="P132" i="5" s="1"/>
  <c r="D132" i="5"/>
  <c r="U115" i="5"/>
  <c r="T115" i="5"/>
  <c r="S115" i="5"/>
  <c r="I115" i="5"/>
  <c r="R115" i="5" s="1"/>
  <c r="H115" i="5"/>
  <c r="G115" i="5"/>
  <c r="Q115" i="5" s="1"/>
  <c r="F115" i="5"/>
  <c r="E115" i="5"/>
  <c r="P115" i="5" s="1"/>
  <c r="D115" i="5"/>
  <c r="U98" i="5"/>
  <c r="T98" i="5"/>
  <c r="S98" i="5"/>
  <c r="I98" i="5"/>
  <c r="R98" i="5" s="1"/>
  <c r="H98" i="5"/>
  <c r="G98" i="5"/>
  <c r="Q98" i="5" s="1"/>
  <c r="F98" i="5"/>
  <c r="E98" i="5"/>
  <c r="P98" i="5" s="1"/>
  <c r="D98" i="5"/>
  <c r="U81" i="5"/>
  <c r="T81" i="5"/>
  <c r="S81" i="5"/>
  <c r="I81" i="5"/>
  <c r="R81" i="5" s="1"/>
  <c r="H81" i="5"/>
  <c r="G81" i="5"/>
  <c r="Q81" i="5" s="1"/>
  <c r="F81" i="5"/>
  <c r="E81" i="5"/>
  <c r="P81" i="5" s="1"/>
  <c r="D81" i="5"/>
  <c r="U64" i="5"/>
  <c r="T64" i="5"/>
  <c r="S64" i="5"/>
  <c r="I64" i="5"/>
  <c r="R64" i="5" s="1"/>
  <c r="H64" i="5"/>
  <c r="G64" i="5"/>
  <c r="Q64" i="5" s="1"/>
  <c r="F64" i="5"/>
  <c r="E64" i="5"/>
  <c r="P64" i="5" s="1"/>
  <c r="D64" i="5"/>
  <c r="U47" i="5"/>
  <c r="T47" i="5"/>
  <c r="S47" i="5"/>
  <c r="I47" i="5"/>
  <c r="R47" i="5" s="1"/>
  <c r="H47" i="5"/>
  <c r="G47" i="5"/>
  <c r="Q47" i="5" s="1"/>
  <c r="F47" i="5"/>
  <c r="E47" i="5"/>
  <c r="P47" i="5" s="1"/>
  <c r="D47" i="5"/>
  <c r="U30" i="5"/>
  <c r="T30" i="5"/>
  <c r="S30" i="5"/>
  <c r="I30" i="5"/>
  <c r="R30" i="5" s="1"/>
  <c r="H30" i="5"/>
  <c r="G30" i="5"/>
  <c r="Q30" i="5" s="1"/>
  <c r="F30" i="5"/>
  <c r="E30" i="5"/>
  <c r="P30" i="5" s="1"/>
  <c r="D30" i="5"/>
  <c r="U20" i="5"/>
  <c r="T20" i="5"/>
  <c r="S20" i="5"/>
  <c r="I20" i="5"/>
  <c r="R20" i="5" s="1"/>
  <c r="H20" i="5"/>
  <c r="G20" i="5"/>
  <c r="Q20" i="5" s="1"/>
  <c r="F20" i="5"/>
  <c r="E20" i="5"/>
  <c r="P20" i="5" s="1"/>
  <c r="D20" i="5"/>
  <c r="U10" i="5"/>
  <c r="T10" i="5"/>
  <c r="S10" i="5"/>
  <c r="I10" i="5"/>
  <c r="R10" i="5" s="1"/>
  <c r="H10" i="5"/>
  <c r="G10" i="5"/>
  <c r="Q10" i="5" s="1"/>
  <c r="F10" i="5"/>
  <c r="E10" i="5"/>
  <c r="P10" i="5" s="1"/>
  <c r="D10" i="5"/>
  <c r="U740" i="5"/>
  <c r="T740" i="5"/>
  <c r="S740" i="5"/>
  <c r="I740" i="5"/>
  <c r="R740" i="5" s="1"/>
  <c r="H740" i="5"/>
  <c r="G740" i="5"/>
  <c r="Q740" i="5" s="1"/>
  <c r="F740" i="5"/>
  <c r="E740" i="5"/>
  <c r="P740" i="5" s="1"/>
  <c r="D740" i="5"/>
  <c r="U729" i="5"/>
  <c r="T729" i="5"/>
  <c r="S729" i="5"/>
  <c r="I729" i="5"/>
  <c r="R729" i="5" s="1"/>
  <c r="H729" i="5"/>
  <c r="G729" i="5"/>
  <c r="Q729" i="5" s="1"/>
  <c r="F729" i="5"/>
  <c r="E729" i="5"/>
  <c r="P729" i="5" s="1"/>
  <c r="D729" i="5"/>
  <c r="U718" i="5"/>
  <c r="T718" i="5"/>
  <c r="S718" i="5"/>
  <c r="I718" i="5"/>
  <c r="R718" i="5" s="1"/>
  <c r="H718" i="5"/>
  <c r="G718" i="5"/>
  <c r="Q718" i="5" s="1"/>
  <c r="F718" i="5"/>
  <c r="E718" i="5"/>
  <c r="P718" i="5" s="1"/>
  <c r="D718" i="5"/>
  <c r="U708" i="5"/>
  <c r="T708" i="5"/>
  <c r="S708" i="5"/>
  <c r="I708" i="5"/>
  <c r="R708" i="5" s="1"/>
  <c r="H708" i="5"/>
  <c r="G708" i="5"/>
  <c r="Q708" i="5" s="1"/>
  <c r="F708" i="5"/>
  <c r="E708" i="5"/>
  <c r="P708" i="5" s="1"/>
  <c r="D708" i="5"/>
  <c r="U698" i="5"/>
  <c r="T698" i="5"/>
  <c r="S698" i="5"/>
  <c r="I698" i="5"/>
  <c r="R698" i="5" s="1"/>
  <c r="H698" i="5"/>
  <c r="G698" i="5"/>
  <c r="Q698" i="5" s="1"/>
  <c r="F698" i="5"/>
  <c r="E698" i="5"/>
  <c r="P698" i="5" s="1"/>
  <c r="D698" i="5"/>
  <c r="U688" i="5"/>
  <c r="T688" i="5"/>
  <c r="S688" i="5"/>
  <c r="I688" i="5"/>
  <c r="R688" i="5" s="1"/>
  <c r="H688" i="5"/>
  <c r="G688" i="5"/>
  <c r="Q688" i="5" s="1"/>
  <c r="F688" i="5"/>
  <c r="E688" i="5"/>
  <c r="P688" i="5" s="1"/>
  <c r="D688" i="5"/>
  <c r="U678" i="5"/>
  <c r="T678" i="5"/>
  <c r="S678" i="5"/>
  <c r="I678" i="5"/>
  <c r="R678" i="5" s="1"/>
  <c r="H678" i="5"/>
  <c r="G678" i="5"/>
  <c r="Q678" i="5" s="1"/>
  <c r="F678" i="5"/>
  <c r="E678" i="5"/>
  <c r="P678" i="5" s="1"/>
  <c r="D678" i="5"/>
  <c r="U668" i="5"/>
  <c r="T668" i="5"/>
  <c r="S668" i="5"/>
  <c r="I668" i="5"/>
  <c r="R668" i="5" s="1"/>
  <c r="H668" i="5"/>
  <c r="G668" i="5"/>
  <c r="Q668" i="5" s="1"/>
  <c r="F668" i="5"/>
  <c r="E668" i="5"/>
  <c r="P668" i="5" s="1"/>
  <c r="D668" i="5"/>
  <c r="U658" i="5"/>
  <c r="T658" i="5"/>
  <c r="S658" i="5"/>
  <c r="I658" i="5"/>
  <c r="R658" i="5" s="1"/>
  <c r="H658" i="5"/>
  <c r="G658" i="5"/>
  <c r="Q658" i="5" s="1"/>
  <c r="F658" i="5"/>
  <c r="E658" i="5"/>
  <c r="P658" i="5" s="1"/>
  <c r="D658" i="5"/>
  <c r="U648" i="5"/>
  <c r="T648" i="5"/>
  <c r="S648" i="5"/>
  <c r="I648" i="5"/>
  <c r="R648" i="5" s="1"/>
  <c r="H648" i="5"/>
  <c r="G648" i="5"/>
  <c r="Q648" i="5" s="1"/>
  <c r="F648" i="5"/>
  <c r="E648" i="5"/>
  <c r="P648" i="5" s="1"/>
  <c r="D648" i="5"/>
  <c r="U638" i="5"/>
  <c r="T638" i="5"/>
  <c r="S638" i="5"/>
  <c r="I638" i="5"/>
  <c r="R638" i="5" s="1"/>
  <c r="H638" i="5"/>
  <c r="G638" i="5"/>
  <c r="Q638" i="5" s="1"/>
  <c r="F638" i="5"/>
  <c r="E638" i="5"/>
  <c r="P638" i="5" s="1"/>
  <c r="D638" i="5"/>
  <c r="U628" i="5"/>
  <c r="T628" i="5"/>
  <c r="S628" i="5"/>
  <c r="I628" i="5"/>
  <c r="R628" i="5" s="1"/>
  <c r="H628" i="5"/>
  <c r="G628" i="5"/>
  <c r="Q628" i="5" s="1"/>
  <c r="F628" i="5"/>
  <c r="E628" i="5"/>
  <c r="P628" i="5" s="1"/>
  <c r="D628" i="5"/>
  <c r="U618" i="5"/>
  <c r="T618" i="5"/>
  <c r="S618" i="5"/>
  <c r="I618" i="5"/>
  <c r="R618" i="5" s="1"/>
  <c r="H618" i="5"/>
  <c r="G618" i="5"/>
  <c r="Q618" i="5" s="1"/>
  <c r="F618" i="5"/>
  <c r="E618" i="5"/>
  <c r="P618" i="5" s="1"/>
  <c r="D618" i="5"/>
  <c r="U608" i="5"/>
  <c r="T608" i="5"/>
  <c r="S608" i="5"/>
  <c r="I608" i="5"/>
  <c r="R608" i="5" s="1"/>
  <c r="H608" i="5"/>
  <c r="G608" i="5"/>
  <c r="Q608" i="5" s="1"/>
  <c r="F608" i="5"/>
  <c r="E608" i="5"/>
  <c r="P608" i="5" s="1"/>
  <c r="D608" i="5"/>
  <c r="U598" i="5"/>
  <c r="T598" i="5"/>
  <c r="S598" i="5"/>
  <c r="I598" i="5"/>
  <c r="R598" i="5" s="1"/>
  <c r="H598" i="5"/>
  <c r="G598" i="5"/>
  <c r="Q598" i="5" s="1"/>
  <c r="F598" i="5"/>
  <c r="E598" i="5"/>
  <c r="P598" i="5" s="1"/>
  <c r="D598" i="5"/>
  <c r="U588" i="5"/>
  <c r="T588" i="5"/>
  <c r="S588" i="5"/>
  <c r="I588" i="5"/>
  <c r="R588" i="5" s="1"/>
  <c r="H588" i="5"/>
  <c r="G588" i="5"/>
  <c r="Q588" i="5" s="1"/>
  <c r="F588" i="5"/>
  <c r="E588" i="5"/>
  <c r="P588" i="5" s="1"/>
  <c r="D588" i="5"/>
  <c r="U578" i="5"/>
  <c r="T578" i="5"/>
  <c r="S578" i="5"/>
  <c r="I578" i="5"/>
  <c r="R578" i="5" s="1"/>
  <c r="H578" i="5"/>
  <c r="G578" i="5"/>
  <c r="Q578" i="5" s="1"/>
  <c r="F578" i="5"/>
  <c r="E578" i="5"/>
  <c r="P578" i="5" s="1"/>
  <c r="D578" i="5"/>
  <c r="U568" i="5"/>
  <c r="T568" i="5"/>
  <c r="S568" i="5"/>
  <c r="I568" i="5"/>
  <c r="R568" i="5" s="1"/>
  <c r="H568" i="5"/>
  <c r="G568" i="5"/>
  <c r="Q568" i="5" s="1"/>
  <c r="F568" i="5"/>
  <c r="E568" i="5"/>
  <c r="P568" i="5" s="1"/>
  <c r="D568" i="5"/>
  <c r="U558" i="5"/>
  <c r="T558" i="5"/>
  <c r="S558" i="5"/>
  <c r="I558" i="5"/>
  <c r="R558" i="5" s="1"/>
  <c r="H558" i="5"/>
  <c r="G558" i="5"/>
  <c r="Q558" i="5" s="1"/>
  <c r="F558" i="5"/>
  <c r="E558" i="5"/>
  <c r="P558" i="5" s="1"/>
  <c r="D558" i="5"/>
  <c r="U548" i="5"/>
  <c r="T548" i="5"/>
  <c r="S548" i="5"/>
  <c r="I548" i="5"/>
  <c r="R548" i="5" s="1"/>
  <c r="H548" i="5"/>
  <c r="G548" i="5"/>
  <c r="Q548" i="5" s="1"/>
  <c r="F548" i="5"/>
  <c r="E548" i="5"/>
  <c r="P548" i="5" s="1"/>
  <c r="D548" i="5"/>
  <c r="U538" i="5"/>
  <c r="T538" i="5"/>
  <c r="S538" i="5"/>
  <c r="I538" i="5"/>
  <c r="R538" i="5" s="1"/>
  <c r="H538" i="5"/>
  <c r="G538" i="5"/>
  <c r="Q538" i="5" s="1"/>
  <c r="F538" i="5"/>
  <c r="E538" i="5"/>
  <c r="P538" i="5" s="1"/>
  <c r="D538" i="5"/>
  <c r="U528" i="5"/>
  <c r="T528" i="5"/>
  <c r="S528" i="5"/>
  <c r="I528" i="5"/>
  <c r="R528" i="5" s="1"/>
  <c r="H528" i="5"/>
  <c r="G528" i="5"/>
  <c r="Q528" i="5" s="1"/>
  <c r="F528" i="5"/>
  <c r="E528" i="5"/>
  <c r="P528" i="5" s="1"/>
  <c r="D528" i="5"/>
  <c r="U518" i="5"/>
  <c r="T518" i="5"/>
  <c r="S518" i="5"/>
  <c r="I518" i="5"/>
  <c r="R518" i="5" s="1"/>
  <c r="H518" i="5"/>
  <c r="G518" i="5"/>
  <c r="Q518" i="5" s="1"/>
  <c r="F518" i="5"/>
  <c r="E518" i="5"/>
  <c r="P518" i="5" s="1"/>
  <c r="D518" i="5"/>
  <c r="U508" i="5"/>
  <c r="T508" i="5"/>
  <c r="S508" i="5"/>
  <c r="I508" i="5"/>
  <c r="R508" i="5" s="1"/>
  <c r="H508" i="5"/>
  <c r="G508" i="5"/>
  <c r="Q508" i="5" s="1"/>
  <c r="F508" i="5"/>
  <c r="E508" i="5"/>
  <c r="P508" i="5" s="1"/>
  <c r="D508" i="5"/>
  <c r="U498" i="5"/>
  <c r="T498" i="5"/>
  <c r="S498" i="5"/>
  <c r="I498" i="5"/>
  <c r="R498" i="5" s="1"/>
  <c r="H498" i="5"/>
  <c r="G498" i="5"/>
  <c r="Q498" i="5" s="1"/>
  <c r="F498" i="5"/>
  <c r="E498" i="5"/>
  <c r="P498" i="5" s="1"/>
  <c r="D498" i="5"/>
  <c r="U488" i="5"/>
  <c r="T488" i="5"/>
  <c r="S488" i="5"/>
  <c r="I488" i="5"/>
  <c r="R488" i="5" s="1"/>
  <c r="H488" i="5"/>
  <c r="G488" i="5"/>
  <c r="Q488" i="5" s="1"/>
  <c r="F488" i="5"/>
  <c r="E488" i="5"/>
  <c r="P488" i="5" s="1"/>
  <c r="D488" i="5"/>
  <c r="U478" i="5"/>
  <c r="T478" i="5"/>
  <c r="S478" i="5"/>
  <c r="I478" i="5"/>
  <c r="R478" i="5" s="1"/>
  <c r="H478" i="5"/>
  <c r="G478" i="5"/>
  <c r="Q478" i="5" s="1"/>
  <c r="F478" i="5"/>
  <c r="E478" i="5"/>
  <c r="P478" i="5" s="1"/>
  <c r="D478" i="5"/>
  <c r="U468" i="5"/>
  <c r="T468" i="5"/>
  <c r="S468" i="5"/>
  <c r="I468" i="5"/>
  <c r="R468" i="5" s="1"/>
  <c r="H468" i="5"/>
  <c r="G468" i="5"/>
  <c r="Q468" i="5" s="1"/>
  <c r="F468" i="5"/>
  <c r="E468" i="5"/>
  <c r="P468" i="5" s="1"/>
  <c r="D468" i="5"/>
  <c r="U458" i="5"/>
  <c r="T458" i="5"/>
  <c r="S458" i="5"/>
  <c r="I458" i="5"/>
  <c r="R458" i="5" s="1"/>
  <c r="H458" i="5"/>
  <c r="G458" i="5"/>
  <c r="Q458" i="5" s="1"/>
  <c r="F458" i="5"/>
  <c r="E458" i="5"/>
  <c r="P458" i="5" s="1"/>
  <c r="D458" i="5"/>
  <c r="U448" i="5"/>
  <c r="T448" i="5"/>
  <c r="S448" i="5"/>
  <c r="I448" i="5"/>
  <c r="R448" i="5" s="1"/>
  <c r="H448" i="5"/>
  <c r="G448" i="5"/>
  <c r="Q448" i="5" s="1"/>
  <c r="F448" i="5"/>
  <c r="E448" i="5"/>
  <c r="P448" i="5" s="1"/>
  <c r="D448" i="5"/>
  <c r="U438" i="5"/>
  <c r="T438" i="5"/>
  <c r="S438" i="5"/>
  <c r="I438" i="5"/>
  <c r="R438" i="5" s="1"/>
  <c r="H438" i="5"/>
  <c r="G438" i="5"/>
  <c r="Q438" i="5" s="1"/>
  <c r="F438" i="5"/>
  <c r="E438" i="5"/>
  <c r="P438" i="5" s="1"/>
  <c r="D438" i="5"/>
  <c r="U428" i="5"/>
  <c r="T428" i="5"/>
  <c r="S428" i="5"/>
  <c r="I428" i="5"/>
  <c r="R428" i="5" s="1"/>
  <c r="H428" i="5"/>
  <c r="G428" i="5"/>
  <c r="Q428" i="5" s="1"/>
  <c r="F428" i="5"/>
  <c r="E428" i="5"/>
  <c r="P428" i="5" s="1"/>
  <c r="D428" i="5"/>
  <c r="U418" i="5"/>
  <c r="T418" i="5"/>
  <c r="S418" i="5"/>
  <c r="I418" i="5"/>
  <c r="R418" i="5" s="1"/>
  <c r="H418" i="5"/>
  <c r="G418" i="5"/>
  <c r="Q418" i="5" s="1"/>
  <c r="F418" i="5"/>
  <c r="E418" i="5"/>
  <c r="P418" i="5" s="1"/>
  <c r="D418" i="5"/>
  <c r="U408" i="5"/>
  <c r="T408" i="5"/>
  <c r="S408" i="5"/>
  <c r="I408" i="5"/>
  <c r="R408" i="5" s="1"/>
  <c r="H408" i="5"/>
  <c r="G408" i="5"/>
  <c r="Q408" i="5" s="1"/>
  <c r="F408" i="5"/>
  <c r="E408" i="5"/>
  <c r="P408" i="5" s="1"/>
  <c r="D408" i="5"/>
  <c r="U398" i="5"/>
  <c r="T398" i="5"/>
  <c r="S398" i="5"/>
  <c r="I398" i="5"/>
  <c r="R398" i="5" s="1"/>
  <c r="H398" i="5"/>
  <c r="G398" i="5"/>
  <c r="Q398" i="5" s="1"/>
  <c r="F398" i="5"/>
  <c r="E398" i="5"/>
  <c r="P398" i="5" s="1"/>
  <c r="D398" i="5"/>
  <c r="U388" i="5"/>
  <c r="T388" i="5"/>
  <c r="S388" i="5"/>
  <c r="I388" i="5"/>
  <c r="R388" i="5" s="1"/>
  <c r="H388" i="5"/>
  <c r="G388" i="5"/>
  <c r="Q388" i="5" s="1"/>
  <c r="F388" i="5"/>
  <c r="E388" i="5"/>
  <c r="P388" i="5" s="1"/>
  <c r="D388" i="5"/>
  <c r="U378" i="5"/>
  <c r="T378" i="5"/>
  <c r="S378" i="5"/>
  <c r="I378" i="5"/>
  <c r="R378" i="5" s="1"/>
  <c r="H378" i="5"/>
  <c r="G378" i="5"/>
  <c r="Q378" i="5" s="1"/>
  <c r="F378" i="5"/>
  <c r="E378" i="5"/>
  <c r="P378" i="5" s="1"/>
  <c r="D378" i="5"/>
  <c r="U368" i="5"/>
  <c r="T368" i="5"/>
  <c r="S368" i="5"/>
  <c r="I368" i="5"/>
  <c r="R368" i="5" s="1"/>
  <c r="H368" i="5"/>
  <c r="G368" i="5"/>
  <c r="Q368" i="5" s="1"/>
  <c r="F368" i="5"/>
  <c r="E368" i="5"/>
  <c r="P368" i="5" s="1"/>
  <c r="D368" i="5"/>
  <c r="U358" i="5"/>
  <c r="T358" i="5"/>
  <c r="S358" i="5"/>
  <c r="I358" i="5"/>
  <c r="R358" i="5" s="1"/>
  <c r="H358" i="5"/>
  <c r="G358" i="5"/>
  <c r="Q358" i="5" s="1"/>
  <c r="F358" i="5"/>
  <c r="E358" i="5"/>
  <c r="P358" i="5" s="1"/>
  <c r="D358" i="5"/>
  <c r="U348" i="5"/>
  <c r="T348" i="5"/>
  <c r="S348" i="5"/>
  <c r="I348" i="5"/>
  <c r="R348" i="5" s="1"/>
  <c r="H348" i="5"/>
  <c r="G348" i="5"/>
  <c r="Q348" i="5" s="1"/>
  <c r="F348" i="5"/>
  <c r="E348" i="5"/>
  <c r="P348" i="5" s="1"/>
  <c r="D348" i="5"/>
  <c r="U338" i="5"/>
  <c r="T338" i="5"/>
  <c r="S338" i="5"/>
  <c r="I338" i="5"/>
  <c r="R338" i="5" s="1"/>
  <c r="H338" i="5"/>
  <c r="G338" i="5"/>
  <c r="Q338" i="5" s="1"/>
  <c r="F338" i="5"/>
  <c r="E338" i="5"/>
  <c r="P338" i="5" s="1"/>
  <c r="D338" i="5"/>
  <c r="U328" i="5"/>
  <c r="T328" i="5"/>
  <c r="S328" i="5"/>
  <c r="I328" i="5"/>
  <c r="R328" i="5" s="1"/>
  <c r="H328" i="5"/>
  <c r="G328" i="5"/>
  <c r="Q328" i="5" s="1"/>
  <c r="F328" i="5"/>
  <c r="E328" i="5"/>
  <c r="P328" i="5" s="1"/>
  <c r="D328" i="5"/>
  <c r="U318" i="5"/>
  <c r="T318" i="5"/>
  <c r="S318" i="5"/>
  <c r="I318" i="5"/>
  <c r="R318" i="5" s="1"/>
  <c r="H318" i="5"/>
  <c r="G318" i="5"/>
  <c r="Q318" i="5" s="1"/>
  <c r="F318" i="5"/>
  <c r="E318" i="5"/>
  <c r="P318" i="5" s="1"/>
  <c r="D318" i="5"/>
  <c r="U308" i="5"/>
  <c r="T308" i="5"/>
  <c r="S308" i="5"/>
  <c r="I308" i="5"/>
  <c r="R308" i="5" s="1"/>
  <c r="H308" i="5"/>
  <c r="G308" i="5"/>
  <c r="Q308" i="5" s="1"/>
  <c r="F308" i="5"/>
  <c r="E308" i="5"/>
  <c r="P308" i="5" s="1"/>
  <c r="D308" i="5"/>
  <c r="U298" i="5"/>
  <c r="T298" i="5"/>
  <c r="S298" i="5"/>
  <c r="I298" i="5"/>
  <c r="R298" i="5" s="1"/>
  <c r="H298" i="5"/>
  <c r="G298" i="5"/>
  <c r="Q298" i="5" s="1"/>
  <c r="F298" i="5"/>
  <c r="E298" i="5"/>
  <c r="P298" i="5" s="1"/>
  <c r="D298" i="5"/>
  <c r="U288" i="5"/>
  <c r="T288" i="5"/>
  <c r="S288" i="5"/>
  <c r="I288" i="5"/>
  <c r="R288" i="5" s="1"/>
  <c r="H288" i="5"/>
  <c r="G288" i="5"/>
  <c r="Q288" i="5" s="1"/>
  <c r="F288" i="5"/>
  <c r="E288" i="5"/>
  <c r="P288" i="5" s="1"/>
  <c r="D288" i="5"/>
  <c r="U278" i="5"/>
  <c r="T278" i="5"/>
  <c r="S278" i="5"/>
  <c r="I278" i="5"/>
  <c r="R278" i="5" s="1"/>
  <c r="H278" i="5"/>
  <c r="G278" i="5"/>
  <c r="Q278" i="5" s="1"/>
  <c r="F278" i="5"/>
  <c r="E278" i="5"/>
  <c r="P278" i="5" s="1"/>
  <c r="D278" i="5"/>
  <c r="U261" i="5"/>
  <c r="T261" i="5"/>
  <c r="S261" i="5"/>
  <c r="I261" i="5"/>
  <c r="R261" i="5" s="1"/>
  <c r="H261" i="5"/>
  <c r="G261" i="5"/>
  <c r="Q261" i="5" s="1"/>
  <c r="F261" i="5"/>
  <c r="E261" i="5"/>
  <c r="P261" i="5" s="1"/>
  <c r="D261" i="5"/>
  <c r="U244" i="5"/>
  <c r="T244" i="5"/>
  <c r="S244" i="5"/>
  <c r="I244" i="5"/>
  <c r="R244" i="5" s="1"/>
  <c r="H244" i="5"/>
  <c r="G244" i="5"/>
  <c r="Q244" i="5" s="1"/>
  <c r="F244" i="5"/>
  <c r="E244" i="5"/>
  <c r="P244" i="5" s="1"/>
  <c r="D244" i="5"/>
  <c r="U227" i="5"/>
  <c r="T227" i="5"/>
  <c r="S227" i="5"/>
  <c r="I227" i="5"/>
  <c r="R227" i="5" s="1"/>
  <c r="H227" i="5"/>
  <c r="G227" i="5"/>
  <c r="Q227" i="5" s="1"/>
  <c r="F227" i="5"/>
  <c r="E227" i="5"/>
  <c r="P227" i="5" s="1"/>
  <c r="D227" i="5"/>
  <c r="U210" i="5"/>
  <c r="T210" i="5"/>
  <c r="S210" i="5"/>
  <c r="I210" i="5"/>
  <c r="R210" i="5" s="1"/>
  <c r="H210" i="5"/>
  <c r="G210" i="5"/>
  <c r="Q210" i="5" s="1"/>
  <c r="F210" i="5"/>
  <c r="E210" i="5"/>
  <c r="P210" i="5" s="1"/>
  <c r="D210" i="5"/>
  <c r="U193" i="5"/>
  <c r="T193" i="5"/>
  <c r="S193" i="5"/>
  <c r="I193" i="5"/>
  <c r="R193" i="5" s="1"/>
  <c r="H193" i="5"/>
  <c r="G193" i="5"/>
  <c r="Q193" i="5" s="1"/>
  <c r="F193" i="5"/>
  <c r="E193" i="5"/>
  <c r="P193" i="5" s="1"/>
  <c r="D193" i="5"/>
  <c r="U183" i="5"/>
  <c r="T183" i="5"/>
  <c r="S183" i="5"/>
  <c r="I183" i="5"/>
  <c r="R183" i="5" s="1"/>
  <c r="H183" i="5"/>
  <c r="G183" i="5"/>
  <c r="Q183" i="5" s="1"/>
  <c r="F183" i="5"/>
  <c r="E183" i="5"/>
  <c r="P183" i="5" s="1"/>
  <c r="D183" i="5"/>
  <c r="U173" i="5"/>
  <c r="T173" i="5"/>
  <c r="S173" i="5"/>
  <c r="I173" i="5"/>
  <c r="R173" i="5" s="1"/>
  <c r="H173" i="5"/>
  <c r="G173" i="5"/>
  <c r="Q173" i="5" s="1"/>
  <c r="F173" i="5"/>
  <c r="E173" i="5"/>
  <c r="P173" i="5" s="1"/>
  <c r="D173" i="5"/>
  <c r="U163" i="5"/>
  <c r="T163" i="5"/>
  <c r="S163" i="5"/>
  <c r="I163" i="5"/>
  <c r="R163" i="5" s="1"/>
  <c r="H163" i="5"/>
  <c r="G163" i="5"/>
  <c r="Q163" i="5" s="1"/>
  <c r="F163" i="5"/>
  <c r="E163" i="5"/>
  <c r="P163" i="5" s="1"/>
  <c r="D163" i="5"/>
  <c r="U146" i="5"/>
  <c r="T146" i="5"/>
  <c r="S146" i="5"/>
  <c r="I146" i="5"/>
  <c r="R146" i="5" s="1"/>
  <c r="H146" i="5"/>
  <c r="G146" i="5"/>
  <c r="Q146" i="5" s="1"/>
  <c r="F146" i="5"/>
  <c r="E146" i="5"/>
  <c r="P146" i="5" s="1"/>
  <c r="D146" i="5"/>
  <c r="U131" i="5"/>
  <c r="T131" i="5"/>
  <c r="S131" i="5"/>
  <c r="I131" i="5"/>
  <c r="R131" i="5" s="1"/>
  <c r="H131" i="5"/>
  <c r="G131" i="5"/>
  <c r="Q131" i="5" s="1"/>
  <c r="F131" i="5"/>
  <c r="E131" i="5"/>
  <c r="P131" i="5" s="1"/>
  <c r="D131" i="5"/>
  <c r="U114" i="5"/>
  <c r="T114" i="5"/>
  <c r="S114" i="5"/>
  <c r="I114" i="5"/>
  <c r="R114" i="5" s="1"/>
  <c r="H114" i="5"/>
  <c r="G114" i="5"/>
  <c r="Q114" i="5" s="1"/>
  <c r="F114" i="5"/>
  <c r="E114" i="5"/>
  <c r="P114" i="5" s="1"/>
  <c r="D114" i="5"/>
  <c r="U97" i="5"/>
  <c r="T97" i="5"/>
  <c r="S97" i="5"/>
  <c r="I97" i="5"/>
  <c r="R97" i="5" s="1"/>
  <c r="H97" i="5"/>
  <c r="G97" i="5"/>
  <c r="Q97" i="5" s="1"/>
  <c r="F97" i="5"/>
  <c r="E97" i="5"/>
  <c r="P97" i="5" s="1"/>
  <c r="D97" i="5"/>
  <c r="U80" i="5"/>
  <c r="T80" i="5"/>
  <c r="S80" i="5"/>
  <c r="I80" i="5"/>
  <c r="R80" i="5" s="1"/>
  <c r="H80" i="5"/>
  <c r="G80" i="5"/>
  <c r="Q80" i="5" s="1"/>
  <c r="F80" i="5"/>
  <c r="E80" i="5"/>
  <c r="P80" i="5" s="1"/>
  <c r="D80" i="5"/>
  <c r="U63" i="5"/>
  <c r="T63" i="5"/>
  <c r="S63" i="5"/>
  <c r="I63" i="5"/>
  <c r="R63" i="5" s="1"/>
  <c r="H63" i="5"/>
  <c r="G63" i="5"/>
  <c r="Q63" i="5" s="1"/>
  <c r="F63" i="5"/>
  <c r="E63" i="5"/>
  <c r="P63" i="5" s="1"/>
  <c r="D63" i="5"/>
  <c r="U46" i="5"/>
  <c r="T46" i="5"/>
  <c r="S46" i="5"/>
  <c r="I46" i="5"/>
  <c r="R46" i="5" s="1"/>
  <c r="H46" i="5"/>
  <c r="G46" i="5"/>
  <c r="Q46" i="5" s="1"/>
  <c r="F46" i="5"/>
  <c r="E46" i="5"/>
  <c r="P46" i="5" s="1"/>
  <c r="D46" i="5"/>
  <c r="U29" i="5"/>
  <c r="T29" i="5"/>
  <c r="S29" i="5"/>
  <c r="I29" i="5"/>
  <c r="R29" i="5" s="1"/>
  <c r="H29" i="5"/>
  <c r="G29" i="5"/>
  <c r="Q29" i="5" s="1"/>
  <c r="F29" i="5"/>
  <c r="E29" i="5"/>
  <c r="P29" i="5" s="1"/>
  <c r="D29" i="5"/>
  <c r="U19" i="5"/>
  <c r="T19" i="5"/>
  <c r="S19" i="5"/>
  <c r="I19" i="5"/>
  <c r="R19" i="5" s="1"/>
  <c r="H19" i="5"/>
  <c r="G19" i="5"/>
  <c r="Q19" i="5" s="1"/>
  <c r="F19" i="5"/>
  <c r="E19" i="5"/>
  <c r="P19" i="5" s="1"/>
  <c r="D19" i="5"/>
  <c r="U9" i="5"/>
  <c r="T9" i="5"/>
  <c r="S9" i="5"/>
  <c r="I9" i="5"/>
  <c r="R9" i="5" s="1"/>
  <c r="H9" i="5"/>
  <c r="G9" i="5"/>
  <c r="Q9" i="5" s="1"/>
  <c r="F9" i="5"/>
  <c r="E9" i="5"/>
  <c r="P9" i="5" s="1"/>
  <c r="D9" i="5"/>
  <c r="U739" i="5"/>
  <c r="T739" i="5"/>
  <c r="S739" i="5"/>
  <c r="I739" i="5"/>
  <c r="R739" i="5" s="1"/>
  <c r="H739" i="5"/>
  <c r="G739" i="5"/>
  <c r="Q739" i="5" s="1"/>
  <c r="F739" i="5"/>
  <c r="E739" i="5"/>
  <c r="P739" i="5" s="1"/>
  <c r="D739" i="5"/>
  <c r="U728" i="5"/>
  <c r="T728" i="5"/>
  <c r="S728" i="5"/>
  <c r="I728" i="5"/>
  <c r="R728" i="5" s="1"/>
  <c r="H728" i="5"/>
  <c r="G728" i="5"/>
  <c r="Q728" i="5" s="1"/>
  <c r="F728" i="5"/>
  <c r="E728" i="5"/>
  <c r="P728" i="5" s="1"/>
  <c r="D728" i="5"/>
  <c r="U717" i="5"/>
  <c r="T717" i="5"/>
  <c r="S717" i="5"/>
  <c r="I717" i="5"/>
  <c r="R717" i="5" s="1"/>
  <c r="H717" i="5"/>
  <c r="G717" i="5"/>
  <c r="Q717" i="5" s="1"/>
  <c r="F717" i="5"/>
  <c r="E717" i="5"/>
  <c r="P717" i="5" s="1"/>
  <c r="D717" i="5"/>
  <c r="U707" i="5"/>
  <c r="T707" i="5"/>
  <c r="S707" i="5"/>
  <c r="I707" i="5"/>
  <c r="R707" i="5" s="1"/>
  <c r="H707" i="5"/>
  <c r="G707" i="5"/>
  <c r="Q707" i="5" s="1"/>
  <c r="F707" i="5"/>
  <c r="E707" i="5"/>
  <c r="P707" i="5" s="1"/>
  <c r="D707" i="5"/>
  <c r="U697" i="5"/>
  <c r="T697" i="5"/>
  <c r="S697" i="5"/>
  <c r="I697" i="5"/>
  <c r="R697" i="5" s="1"/>
  <c r="H697" i="5"/>
  <c r="G697" i="5"/>
  <c r="Q697" i="5" s="1"/>
  <c r="F697" i="5"/>
  <c r="E697" i="5"/>
  <c r="P697" i="5" s="1"/>
  <c r="D697" i="5"/>
  <c r="U687" i="5"/>
  <c r="T687" i="5"/>
  <c r="S687" i="5"/>
  <c r="I687" i="5"/>
  <c r="R687" i="5" s="1"/>
  <c r="H687" i="5"/>
  <c r="G687" i="5"/>
  <c r="Q687" i="5" s="1"/>
  <c r="F687" i="5"/>
  <c r="E687" i="5"/>
  <c r="P687" i="5" s="1"/>
  <c r="D687" i="5"/>
  <c r="U677" i="5"/>
  <c r="T677" i="5"/>
  <c r="S677" i="5"/>
  <c r="I677" i="5"/>
  <c r="R677" i="5" s="1"/>
  <c r="H677" i="5"/>
  <c r="G677" i="5"/>
  <c r="Q677" i="5" s="1"/>
  <c r="F677" i="5"/>
  <c r="E677" i="5"/>
  <c r="P677" i="5" s="1"/>
  <c r="D677" i="5"/>
  <c r="U667" i="5"/>
  <c r="T667" i="5"/>
  <c r="S667" i="5"/>
  <c r="I667" i="5"/>
  <c r="R667" i="5" s="1"/>
  <c r="H667" i="5"/>
  <c r="G667" i="5"/>
  <c r="Q667" i="5" s="1"/>
  <c r="F667" i="5"/>
  <c r="E667" i="5"/>
  <c r="P667" i="5" s="1"/>
  <c r="D667" i="5"/>
  <c r="U657" i="5"/>
  <c r="T657" i="5"/>
  <c r="S657" i="5"/>
  <c r="I657" i="5"/>
  <c r="R657" i="5" s="1"/>
  <c r="H657" i="5"/>
  <c r="G657" i="5"/>
  <c r="Q657" i="5" s="1"/>
  <c r="F657" i="5"/>
  <c r="E657" i="5"/>
  <c r="P657" i="5" s="1"/>
  <c r="D657" i="5"/>
  <c r="U647" i="5"/>
  <c r="T647" i="5"/>
  <c r="S647" i="5"/>
  <c r="I647" i="5"/>
  <c r="R647" i="5" s="1"/>
  <c r="H647" i="5"/>
  <c r="G647" i="5"/>
  <c r="Q647" i="5" s="1"/>
  <c r="F647" i="5"/>
  <c r="E647" i="5"/>
  <c r="P647" i="5" s="1"/>
  <c r="D647" i="5"/>
  <c r="U637" i="5"/>
  <c r="T637" i="5"/>
  <c r="S637" i="5"/>
  <c r="I637" i="5"/>
  <c r="R637" i="5" s="1"/>
  <c r="H637" i="5"/>
  <c r="G637" i="5"/>
  <c r="Q637" i="5" s="1"/>
  <c r="F637" i="5"/>
  <c r="E637" i="5"/>
  <c r="P637" i="5" s="1"/>
  <c r="D637" i="5"/>
  <c r="U627" i="5"/>
  <c r="T627" i="5"/>
  <c r="S627" i="5"/>
  <c r="I627" i="5"/>
  <c r="R627" i="5" s="1"/>
  <c r="H627" i="5"/>
  <c r="G627" i="5"/>
  <c r="Q627" i="5" s="1"/>
  <c r="F627" i="5"/>
  <c r="E627" i="5"/>
  <c r="P627" i="5" s="1"/>
  <c r="D627" i="5"/>
  <c r="U617" i="5"/>
  <c r="T617" i="5"/>
  <c r="S617" i="5"/>
  <c r="I617" i="5"/>
  <c r="R617" i="5" s="1"/>
  <c r="H617" i="5"/>
  <c r="G617" i="5"/>
  <c r="Q617" i="5" s="1"/>
  <c r="F617" i="5"/>
  <c r="E617" i="5"/>
  <c r="P617" i="5" s="1"/>
  <c r="D617" i="5"/>
  <c r="U607" i="5"/>
  <c r="T607" i="5"/>
  <c r="S607" i="5"/>
  <c r="I607" i="5"/>
  <c r="R607" i="5" s="1"/>
  <c r="H607" i="5"/>
  <c r="G607" i="5"/>
  <c r="Q607" i="5" s="1"/>
  <c r="F607" i="5"/>
  <c r="E607" i="5"/>
  <c r="P607" i="5" s="1"/>
  <c r="D607" i="5"/>
  <c r="U597" i="5"/>
  <c r="T597" i="5"/>
  <c r="S597" i="5"/>
  <c r="I597" i="5"/>
  <c r="R597" i="5" s="1"/>
  <c r="H597" i="5"/>
  <c r="G597" i="5"/>
  <c r="Q597" i="5" s="1"/>
  <c r="F597" i="5"/>
  <c r="E597" i="5"/>
  <c r="P597" i="5" s="1"/>
  <c r="D597" i="5"/>
  <c r="U587" i="5"/>
  <c r="T587" i="5"/>
  <c r="S587" i="5"/>
  <c r="I587" i="5"/>
  <c r="R587" i="5" s="1"/>
  <c r="H587" i="5"/>
  <c r="G587" i="5"/>
  <c r="Q587" i="5" s="1"/>
  <c r="F587" i="5"/>
  <c r="E587" i="5"/>
  <c r="P587" i="5" s="1"/>
  <c r="D587" i="5"/>
  <c r="U577" i="5"/>
  <c r="T577" i="5"/>
  <c r="S577" i="5"/>
  <c r="I577" i="5"/>
  <c r="R577" i="5" s="1"/>
  <c r="H577" i="5"/>
  <c r="G577" i="5"/>
  <c r="Q577" i="5" s="1"/>
  <c r="F577" i="5"/>
  <c r="E577" i="5"/>
  <c r="P577" i="5" s="1"/>
  <c r="D577" i="5"/>
  <c r="U567" i="5"/>
  <c r="T567" i="5"/>
  <c r="S567" i="5"/>
  <c r="I567" i="5"/>
  <c r="R567" i="5" s="1"/>
  <c r="H567" i="5"/>
  <c r="G567" i="5"/>
  <c r="Q567" i="5" s="1"/>
  <c r="F567" i="5"/>
  <c r="E567" i="5"/>
  <c r="P567" i="5" s="1"/>
  <c r="D567" i="5"/>
  <c r="U557" i="5"/>
  <c r="T557" i="5"/>
  <c r="S557" i="5"/>
  <c r="I557" i="5"/>
  <c r="R557" i="5" s="1"/>
  <c r="H557" i="5"/>
  <c r="G557" i="5"/>
  <c r="Q557" i="5" s="1"/>
  <c r="F557" i="5"/>
  <c r="E557" i="5"/>
  <c r="P557" i="5" s="1"/>
  <c r="D557" i="5"/>
  <c r="U547" i="5"/>
  <c r="T547" i="5"/>
  <c r="S547" i="5"/>
  <c r="I547" i="5"/>
  <c r="R547" i="5" s="1"/>
  <c r="H547" i="5"/>
  <c r="G547" i="5"/>
  <c r="Q547" i="5" s="1"/>
  <c r="F547" i="5"/>
  <c r="E547" i="5"/>
  <c r="P547" i="5" s="1"/>
  <c r="D547" i="5"/>
  <c r="U537" i="5"/>
  <c r="T537" i="5"/>
  <c r="S537" i="5"/>
  <c r="I537" i="5"/>
  <c r="R537" i="5" s="1"/>
  <c r="H537" i="5"/>
  <c r="G537" i="5"/>
  <c r="Q537" i="5" s="1"/>
  <c r="F537" i="5"/>
  <c r="E537" i="5"/>
  <c r="P537" i="5" s="1"/>
  <c r="D537" i="5"/>
  <c r="U527" i="5"/>
  <c r="T527" i="5"/>
  <c r="S527" i="5"/>
  <c r="I527" i="5"/>
  <c r="R527" i="5" s="1"/>
  <c r="H527" i="5"/>
  <c r="G527" i="5"/>
  <c r="Q527" i="5" s="1"/>
  <c r="F527" i="5"/>
  <c r="E527" i="5"/>
  <c r="P527" i="5" s="1"/>
  <c r="D527" i="5"/>
  <c r="U517" i="5"/>
  <c r="T517" i="5"/>
  <c r="S517" i="5"/>
  <c r="I517" i="5"/>
  <c r="R517" i="5" s="1"/>
  <c r="H517" i="5"/>
  <c r="G517" i="5"/>
  <c r="Q517" i="5" s="1"/>
  <c r="F517" i="5"/>
  <c r="E517" i="5"/>
  <c r="P517" i="5" s="1"/>
  <c r="D517" i="5"/>
  <c r="U507" i="5"/>
  <c r="T507" i="5"/>
  <c r="S507" i="5"/>
  <c r="I507" i="5"/>
  <c r="R507" i="5" s="1"/>
  <c r="H507" i="5"/>
  <c r="G507" i="5"/>
  <c r="Q507" i="5" s="1"/>
  <c r="F507" i="5"/>
  <c r="E507" i="5"/>
  <c r="P507" i="5" s="1"/>
  <c r="D507" i="5"/>
  <c r="U497" i="5"/>
  <c r="T497" i="5"/>
  <c r="S497" i="5"/>
  <c r="I497" i="5"/>
  <c r="R497" i="5" s="1"/>
  <c r="H497" i="5"/>
  <c r="G497" i="5"/>
  <c r="Q497" i="5" s="1"/>
  <c r="F497" i="5"/>
  <c r="E497" i="5"/>
  <c r="P497" i="5" s="1"/>
  <c r="D497" i="5"/>
  <c r="U487" i="5"/>
  <c r="T487" i="5"/>
  <c r="S487" i="5"/>
  <c r="I487" i="5"/>
  <c r="R487" i="5" s="1"/>
  <c r="H487" i="5"/>
  <c r="G487" i="5"/>
  <c r="Q487" i="5" s="1"/>
  <c r="F487" i="5"/>
  <c r="E487" i="5"/>
  <c r="P487" i="5" s="1"/>
  <c r="D487" i="5"/>
  <c r="U477" i="5"/>
  <c r="T477" i="5"/>
  <c r="S477" i="5"/>
  <c r="I477" i="5"/>
  <c r="R477" i="5" s="1"/>
  <c r="H477" i="5"/>
  <c r="G477" i="5"/>
  <c r="Q477" i="5" s="1"/>
  <c r="F477" i="5"/>
  <c r="E477" i="5"/>
  <c r="P477" i="5" s="1"/>
  <c r="D477" i="5"/>
  <c r="U467" i="5"/>
  <c r="T467" i="5"/>
  <c r="S467" i="5"/>
  <c r="I467" i="5"/>
  <c r="R467" i="5" s="1"/>
  <c r="H467" i="5"/>
  <c r="G467" i="5"/>
  <c r="Q467" i="5" s="1"/>
  <c r="F467" i="5"/>
  <c r="E467" i="5"/>
  <c r="P467" i="5" s="1"/>
  <c r="D467" i="5"/>
  <c r="U457" i="5"/>
  <c r="T457" i="5"/>
  <c r="S457" i="5"/>
  <c r="I457" i="5"/>
  <c r="R457" i="5" s="1"/>
  <c r="H457" i="5"/>
  <c r="G457" i="5"/>
  <c r="Q457" i="5" s="1"/>
  <c r="F457" i="5"/>
  <c r="E457" i="5"/>
  <c r="P457" i="5" s="1"/>
  <c r="D457" i="5"/>
  <c r="U447" i="5"/>
  <c r="T447" i="5"/>
  <c r="S447" i="5"/>
  <c r="I447" i="5"/>
  <c r="R447" i="5" s="1"/>
  <c r="H447" i="5"/>
  <c r="G447" i="5"/>
  <c r="Q447" i="5" s="1"/>
  <c r="F447" i="5"/>
  <c r="E447" i="5"/>
  <c r="P447" i="5" s="1"/>
  <c r="D447" i="5"/>
  <c r="U437" i="5"/>
  <c r="T437" i="5"/>
  <c r="S437" i="5"/>
  <c r="I437" i="5"/>
  <c r="R437" i="5" s="1"/>
  <c r="H437" i="5"/>
  <c r="G437" i="5"/>
  <c r="Q437" i="5" s="1"/>
  <c r="F437" i="5"/>
  <c r="E437" i="5"/>
  <c r="P437" i="5" s="1"/>
  <c r="D437" i="5"/>
  <c r="U427" i="5"/>
  <c r="T427" i="5"/>
  <c r="S427" i="5"/>
  <c r="I427" i="5"/>
  <c r="R427" i="5" s="1"/>
  <c r="H427" i="5"/>
  <c r="G427" i="5"/>
  <c r="Q427" i="5" s="1"/>
  <c r="F427" i="5"/>
  <c r="E427" i="5"/>
  <c r="P427" i="5" s="1"/>
  <c r="D427" i="5"/>
  <c r="U417" i="5"/>
  <c r="T417" i="5"/>
  <c r="S417" i="5"/>
  <c r="I417" i="5"/>
  <c r="R417" i="5" s="1"/>
  <c r="H417" i="5"/>
  <c r="G417" i="5"/>
  <c r="Q417" i="5" s="1"/>
  <c r="F417" i="5"/>
  <c r="E417" i="5"/>
  <c r="P417" i="5" s="1"/>
  <c r="D417" i="5"/>
  <c r="U407" i="5"/>
  <c r="T407" i="5"/>
  <c r="S407" i="5"/>
  <c r="I407" i="5"/>
  <c r="R407" i="5" s="1"/>
  <c r="H407" i="5"/>
  <c r="G407" i="5"/>
  <c r="Q407" i="5" s="1"/>
  <c r="F407" i="5"/>
  <c r="E407" i="5"/>
  <c r="P407" i="5" s="1"/>
  <c r="D407" i="5"/>
  <c r="U397" i="5"/>
  <c r="T397" i="5"/>
  <c r="S397" i="5"/>
  <c r="I397" i="5"/>
  <c r="R397" i="5" s="1"/>
  <c r="H397" i="5"/>
  <c r="G397" i="5"/>
  <c r="Q397" i="5" s="1"/>
  <c r="F397" i="5"/>
  <c r="E397" i="5"/>
  <c r="P397" i="5" s="1"/>
  <c r="D397" i="5"/>
  <c r="U387" i="5"/>
  <c r="T387" i="5"/>
  <c r="S387" i="5"/>
  <c r="I387" i="5"/>
  <c r="R387" i="5" s="1"/>
  <c r="H387" i="5"/>
  <c r="G387" i="5"/>
  <c r="Q387" i="5" s="1"/>
  <c r="F387" i="5"/>
  <c r="E387" i="5"/>
  <c r="P387" i="5" s="1"/>
  <c r="D387" i="5"/>
  <c r="U377" i="5"/>
  <c r="T377" i="5"/>
  <c r="S377" i="5"/>
  <c r="I377" i="5"/>
  <c r="R377" i="5" s="1"/>
  <c r="H377" i="5"/>
  <c r="G377" i="5"/>
  <c r="Q377" i="5" s="1"/>
  <c r="F377" i="5"/>
  <c r="E377" i="5"/>
  <c r="P377" i="5" s="1"/>
  <c r="D377" i="5"/>
  <c r="U367" i="5"/>
  <c r="T367" i="5"/>
  <c r="S367" i="5"/>
  <c r="I367" i="5"/>
  <c r="R367" i="5" s="1"/>
  <c r="H367" i="5"/>
  <c r="G367" i="5"/>
  <c r="Q367" i="5" s="1"/>
  <c r="F367" i="5"/>
  <c r="E367" i="5"/>
  <c r="P367" i="5" s="1"/>
  <c r="D367" i="5"/>
  <c r="U357" i="5"/>
  <c r="T357" i="5"/>
  <c r="S357" i="5"/>
  <c r="I357" i="5"/>
  <c r="R357" i="5" s="1"/>
  <c r="H357" i="5"/>
  <c r="G357" i="5"/>
  <c r="Q357" i="5" s="1"/>
  <c r="F357" i="5"/>
  <c r="E357" i="5"/>
  <c r="P357" i="5" s="1"/>
  <c r="D357" i="5"/>
  <c r="U347" i="5"/>
  <c r="T347" i="5"/>
  <c r="S347" i="5"/>
  <c r="I347" i="5"/>
  <c r="R347" i="5" s="1"/>
  <c r="H347" i="5"/>
  <c r="G347" i="5"/>
  <c r="Q347" i="5" s="1"/>
  <c r="F347" i="5"/>
  <c r="E347" i="5"/>
  <c r="P347" i="5" s="1"/>
  <c r="D347" i="5"/>
  <c r="U337" i="5"/>
  <c r="T337" i="5"/>
  <c r="S337" i="5"/>
  <c r="I337" i="5"/>
  <c r="R337" i="5" s="1"/>
  <c r="H337" i="5"/>
  <c r="G337" i="5"/>
  <c r="Q337" i="5" s="1"/>
  <c r="F337" i="5"/>
  <c r="E337" i="5"/>
  <c r="P337" i="5" s="1"/>
  <c r="D337" i="5"/>
  <c r="U327" i="5"/>
  <c r="T327" i="5"/>
  <c r="S327" i="5"/>
  <c r="I327" i="5"/>
  <c r="R327" i="5" s="1"/>
  <c r="H327" i="5"/>
  <c r="G327" i="5"/>
  <c r="Q327" i="5" s="1"/>
  <c r="F327" i="5"/>
  <c r="E327" i="5"/>
  <c r="P327" i="5" s="1"/>
  <c r="D327" i="5"/>
  <c r="U317" i="5"/>
  <c r="T317" i="5"/>
  <c r="S317" i="5"/>
  <c r="I317" i="5"/>
  <c r="R317" i="5" s="1"/>
  <c r="H317" i="5"/>
  <c r="G317" i="5"/>
  <c r="Q317" i="5" s="1"/>
  <c r="F317" i="5"/>
  <c r="E317" i="5"/>
  <c r="P317" i="5" s="1"/>
  <c r="D317" i="5"/>
  <c r="U307" i="5"/>
  <c r="T307" i="5"/>
  <c r="S307" i="5"/>
  <c r="I307" i="5"/>
  <c r="R307" i="5" s="1"/>
  <c r="H307" i="5"/>
  <c r="G307" i="5"/>
  <c r="Q307" i="5" s="1"/>
  <c r="F307" i="5"/>
  <c r="E307" i="5"/>
  <c r="P307" i="5" s="1"/>
  <c r="D307" i="5"/>
  <c r="U297" i="5"/>
  <c r="T297" i="5"/>
  <c r="S297" i="5"/>
  <c r="I297" i="5"/>
  <c r="R297" i="5" s="1"/>
  <c r="H297" i="5"/>
  <c r="G297" i="5"/>
  <c r="Q297" i="5" s="1"/>
  <c r="F297" i="5"/>
  <c r="E297" i="5"/>
  <c r="P297" i="5" s="1"/>
  <c r="D297" i="5"/>
  <c r="U287" i="5"/>
  <c r="T287" i="5"/>
  <c r="S287" i="5"/>
  <c r="I287" i="5"/>
  <c r="R287" i="5" s="1"/>
  <c r="H287" i="5"/>
  <c r="G287" i="5"/>
  <c r="Q287" i="5" s="1"/>
  <c r="F287" i="5"/>
  <c r="E287" i="5"/>
  <c r="P287" i="5" s="1"/>
  <c r="D287" i="5"/>
  <c r="U277" i="5"/>
  <c r="T277" i="5"/>
  <c r="S277" i="5"/>
  <c r="I277" i="5"/>
  <c r="R277" i="5" s="1"/>
  <c r="H277" i="5"/>
  <c r="G277" i="5"/>
  <c r="Q277" i="5" s="1"/>
  <c r="F277" i="5"/>
  <c r="E277" i="5"/>
  <c r="P277" i="5" s="1"/>
  <c r="D277" i="5"/>
  <c r="U260" i="5"/>
  <c r="T260" i="5"/>
  <c r="S260" i="5"/>
  <c r="I260" i="5"/>
  <c r="R260" i="5" s="1"/>
  <c r="H260" i="5"/>
  <c r="G260" i="5"/>
  <c r="Q260" i="5" s="1"/>
  <c r="F260" i="5"/>
  <c r="E260" i="5"/>
  <c r="P260" i="5" s="1"/>
  <c r="D260" i="5"/>
  <c r="U243" i="5"/>
  <c r="T243" i="5"/>
  <c r="S243" i="5"/>
  <c r="I243" i="5"/>
  <c r="R243" i="5" s="1"/>
  <c r="H243" i="5"/>
  <c r="G243" i="5"/>
  <c r="Q243" i="5" s="1"/>
  <c r="F243" i="5"/>
  <c r="E243" i="5"/>
  <c r="P243" i="5" s="1"/>
  <c r="D243" i="5"/>
  <c r="U226" i="5"/>
  <c r="T226" i="5"/>
  <c r="S226" i="5"/>
  <c r="I226" i="5"/>
  <c r="R226" i="5" s="1"/>
  <c r="H226" i="5"/>
  <c r="G226" i="5"/>
  <c r="Q226" i="5" s="1"/>
  <c r="F226" i="5"/>
  <c r="E226" i="5"/>
  <c r="P226" i="5" s="1"/>
  <c r="D226" i="5"/>
  <c r="U209" i="5"/>
  <c r="T209" i="5"/>
  <c r="S209" i="5"/>
  <c r="I209" i="5"/>
  <c r="R209" i="5" s="1"/>
  <c r="H209" i="5"/>
  <c r="G209" i="5"/>
  <c r="Q209" i="5" s="1"/>
  <c r="F209" i="5"/>
  <c r="E209" i="5"/>
  <c r="P209" i="5" s="1"/>
  <c r="D209" i="5"/>
  <c r="U192" i="5"/>
  <c r="T192" i="5"/>
  <c r="S192" i="5"/>
  <c r="I192" i="5"/>
  <c r="R192" i="5" s="1"/>
  <c r="H192" i="5"/>
  <c r="G192" i="5"/>
  <c r="Q192" i="5" s="1"/>
  <c r="F192" i="5"/>
  <c r="E192" i="5"/>
  <c r="P192" i="5" s="1"/>
  <c r="D192" i="5"/>
  <c r="U182" i="5"/>
  <c r="T182" i="5"/>
  <c r="S182" i="5"/>
  <c r="I182" i="5"/>
  <c r="R182" i="5" s="1"/>
  <c r="H182" i="5"/>
  <c r="G182" i="5"/>
  <c r="Q182" i="5" s="1"/>
  <c r="F182" i="5"/>
  <c r="E182" i="5"/>
  <c r="P182" i="5" s="1"/>
  <c r="D182" i="5"/>
  <c r="U172" i="5"/>
  <c r="T172" i="5"/>
  <c r="S172" i="5"/>
  <c r="I172" i="5"/>
  <c r="R172" i="5" s="1"/>
  <c r="H172" i="5"/>
  <c r="G172" i="5"/>
  <c r="Q172" i="5" s="1"/>
  <c r="F172" i="5"/>
  <c r="E172" i="5"/>
  <c r="P172" i="5" s="1"/>
  <c r="D172" i="5"/>
  <c r="U162" i="5"/>
  <c r="T162" i="5"/>
  <c r="S162" i="5"/>
  <c r="I162" i="5"/>
  <c r="R162" i="5" s="1"/>
  <c r="H162" i="5"/>
  <c r="G162" i="5"/>
  <c r="Q162" i="5" s="1"/>
  <c r="F162" i="5"/>
  <c r="E162" i="5"/>
  <c r="P162" i="5" s="1"/>
  <c r="D162" i="5"/>
  <c r="U145" i="5"/>
  <c r="T145" i="5"/>
  <c r="S145" i="5"/>
  <c r="I145" i="5"/>
  <c r="R145" i="5" s="1"/>
  <c r="H145" i="5"/>
  <c r="G145" i="5"/>
  <c r="Q145" i="5" s="1"/>
  <c r="F145" i="5"/>
  <c r="E145" i="5"/>
  <c r="P145" i="5" s="1"/>
  <c r="D145" i="5"/>
  <c r="U130" i="5"/>
  <c r="T130" i="5"/>
  <c r="S130" i="5"/>
  <c r="I130" i="5"/>
  <c r="R130" i="5" s="1"/>
  <c r="H130" i="5"/>
  <c r="G130" i="5"/>
  <c r="Q130" i="5" s="1"/>
  <c r="F130" i="5"/>
  <c r="E130" i="5"/>
  <c r="P130" i="5" s="1"/>
  <c r="D130" i="5"/>
  <c r="U113" i="5"/>
  <c r="T113" i="5"/>
  <c r="S113" i="5"/>
  <c r="I113" i="5"/>
  <c r="R113" i="5" s="1"/>
  <c r="H113" i="5"/>
  <c r="G113" i="5"/>
  <c r="Q113" i="5" s="1"/>
  <c r="F113" i="5"/>
  <c r="E113" i="5"/>
  <c r="P113" i="5" s="1"/>
  <c r="D113" i="5"/>
  <c r="U96" i="5"/>
  <c r="T96" i="5"/>
  <c r="S96" i="5"/>
  <c r="I96" i="5"/>
  <c r="R96" i="5" s="1"/>
  <c r="H96" i="5"/>
  <c r="G96" i="5"/>
  <c r="Q96" i="5" s="1"/>
  <c r="F96" i="5"/>
  <c r="E96" i="5"/>
  <c r="P96" i="5" s="1"/>
  <c r="D96" i="5"/>
  <c r="U79" i="5"/>
  <c r="T79" i="5"/>
  <c r="S79" i="5"/>
  <c r="I79" i="5"/>
  <c r="R79" i="5" s="1"/>
  <c r="H79" i="5"/>
  <c r="G79" i="5"/>
  <c r="Q79" i="5" s="1"/>
  <c r="F79" i="5"/>
  <c r="E79" i="5"/>
  <c r="P79" i="5" s="1"/>
  <c r="D79" i="5"/>
  <c r="U62" i="5"/>
  <c r="T62" i="5"/>
  <c r="S62" i="5"/>
  <c r="I62" i="5"/>
  <c r="R62" i="5" s="1"/>
  <c r="H62" i="5"/>
  <c r="G62" i="5"/>
  <c r="Q62" i="5" s="1"/>
  <c r="F62" i="5"/>
  <c r="E62" i="5"/>
  <c r="P62" i="5" s="1"/>
  <c r="D62" i="5"/>
  <c r="U45" i="5"/>
  <c r="T45" i="5"/>
  <c r="S45" i="5"/>
  <c r="I45" i="5"/>
  <c r="R45" i="5" s="1"/>
  <c r="H45" i="5"/>
  <c r="G45" i="5"/>
  <c r="Q45" i="5" s="1"/>
  <c r="F45" i="5"/>
  <c r="E45" i="5"/>
  <c r="P45" i="5" s="1"/>
  <c r="D45" i="5"/>
  <c r="U28" i="5"/>
  <c r="T28" i="5"/>
  <c r="S28" i="5"/>
  <c r="I28" i="5"/>
  <c r="R28" i="5" s="1"/>
  <c r="H28" i="5"/>
  <c r="G28" i="5"/>
  <c r="Q28" i="5" s="1"/>
  <c r="F28" i="5"/>
  <c r="E28" i="5"/>
  <c r="P28" i="5" s="1"/>
  <c r="D28" i="5"/>
  <c r="U18" i="5"/>
  <c r="T18" i="5"/>
  <c r="S18" i="5"/>
  <c r="I18" i="5"/>
  <c r="R18" i="5" s="1"/>
  <c r="H18" i="5"/>
  <c r="G18" i="5"/>
  <c r="Q18" i="5" s="1"/>
  <c r="F18" i="5"/>
  <c r="E18" i="5"/>
  <c r="P18" i="5" s="1"/>
  <c r="D18" i="5"/>
  <c r="U8" i="5"/>
  <c r="T8" i="5"/>
  <c r="S8" i="5"/>
  <c r="I8" i="5"/>
  <c r="R8" i="5" s="1"/>
  <c r="H8" i="5"/>
  <c r="G8" i="5"/>
  <c r="Q8" i="5" s="1"/>
  <c r="F8" i="5"/>
  <c r="E8" i="5"/>
  <c r="P8" i="5" s="1"/>
  <c r="D8" i="5"/>
  <c r="U738" i="5"/>
  <c r="T738" i="5"/>
  <c r="S738" i="5"/>
  <c r="I738" i="5"/>
  <c r="R738" i="5" s="1"/>
  <c r="H738" i="5"/>
  <c r="G738" i="5"/>
  <c r="Q738" i="5" s="1"/>
  <c r="F738" i="5"/>
  <c r="E738" i="5"/>
  <c r="P738" i="5" s="1"/>
  <c r="D738" i="5"/>
  <c r="U727" i="5"/>
  <c r="T727" i="5"/>
  <c r="S727" i="5"/>
  <c r="I727" i="5"/>
  <c r="R727" i="5" s="1"/>
  <c r="H727" i="5"/>
  <c r="G727" i="5"/>
  <c r="Q727" i="5" s="1"/>
  <c r="F727" i="5"/>
  <c r="E727" i="5"/>
  <c r="P727" i="5" s="1"/>
  <c r="D727" i="5"/>
  <c r="U716" i="5"/>
  <c r="T716" i="5"/>
  <c r="S716" i="5"/>
  <c r="I716" i="5"/>
  <c r="R716" i="5" s="1"/>
  <c r="H716" i="5"/>
  <c r="G716" i="5"/>
  <c r="Q716" i="5" s="1"/>
  <c r="F716" i="5"/>
  <c r="E716" i="5"/>
  <c r="P716" i="5" s="1"/>
  <c r="D716" i="5"/>
  <c r="U706" i="5"/>
  <c r="T706" i="5"/>
  <c r="S706" i="5"/>
  <c r="I706" i="5"/>
  <c r="R706" i="5" s="1"/>
  <c r="H706" i="5"/>
  <c r="G706" i="5"/>
  <c r="Q706" i="5" s="1"/>
  <c r="F706" i="5"/>
  <c r="E706" i="5"/>
  <c r="P706" i="5" s="1"/>
  <c r="D706" i="5"/>
  <c r="U696" i="5"/>
  <c r="T696" i="5"/>
  <c r="S696" i="5"/>
  <c r="I696" i="5"/>
  <c r="R696" i="5" s="1"/>
  <c r="H696" i="5"/>
  <c r="G696" i="5"/>
  <c r="Q696" i="5" s="1"/>
  <c r="F696" i="5"/>
  <c r="E696" i="5"/>
  <c r="P696" i="5" s="1"/>
  <c r="D696" i="5"/>
  <c r="U686" i="5"/>
  <c r="T686" i="5"/>
  <c r="S686" i="5"/>
  <c r="I686" i="5"/>
  <c r="R686" i="5" s="1"/>
  <c r="H686" i="5"/>
  <c r="G686" i="5"/>
  <c r="Q686" i="5" s="1"/>
  <c r="F686" i="5"/>
  <c r="E686" i="5"/>
  <c r="P686" i="5" s="1"/>
  <c r="D686" i="5"/>
  <c r="U676" i="5"/>
  <c r="T676" i="5"/>
  <c r="S676" i="5"/>
  <c r="I676" i="5"/>
  <c r="R676" i="5" s="1"/>
  <c r="H676" i="5"/>
  <c r="G676" i="5"/>
  <c r="Q676" i="5" s="1"/>
  <c r="F676" i="5"/>
  <c r="E676" i="5"/>
  <c r="P676" i="5" s="1"/>
  <c r="D676" i="5"/>
  <c r="U666" i="5"/>
  <c r="T666" i="5"/>
  <c r="S666" i="5"/>
  <c r="I666" i="5"/>
  <c r="R666" i="5" s="1"/>
  <c r="H666" i="5"/>
  <c r="G666" i="5"/>
  <c r="Q666" i="5" s="1"/>
  <c r="F666" i="5"/>
  <c r="E666" i="5"/>
  <c r="P666" i="5" s="1"/>
  <c r="D666" i="5"/>
  <c r="U656" i="5"/>
  <c r="T656" i="5"/>
  <c r="S656" i="5"/>
  <c r="I656" i="5"/>
  <c r="R656" i="5" s="1"/>
  <c r="H656" i="5"/>
  <c r="G656" i="5"/>
  <c r="Q656" i="5" s="1"/>
  <c r="F656" i="5"/>
  <c r="E656" i="5"/>
  <c r="P656" i="5" s="1"/>
  <c r="D656" i="5"/>
  <c r="U646" i="5"/>
  <c r="T646" i="5"/>
  <c r="S646" i="5"/>
  <c r="I646" i="5"/>
  <c r="R646" i="5" s="1"/>
  <c r="H646" i="5"/>
  <c r="G646" i="5"/>
  <c r="Q646" i="5" s="1"/>
  <c r="F646" i="5"/>
  <c r="E646" i="5"/>
  <c r="P646" i="5" s="1"/>
  <c r="D646" i="5"/>
  <c r="U636" i="5"/>
  <c r="T636" i="5"/>
  <c r="S636" i="5"/>
  <c r="I636" i="5"/>
  <c r="R636" i="5" s="1"/>
  <c r="H636" i="5"/>
  <c r="G636" i="5"/>
  <c r="Q636" i="5" s="1"/>
  <c r="F636" i="5"/>
  <c r="E636" i="5"/>
  <c r="P636" i="5" s="1"/>
  <c r="D636" i="5"/>
  <c r="U626" i="5"/>
  <c r="T626" i="5"/>
  <c r="S626" i="5"/>
  <c r="I626" i="5"/>
  <c r="R626" i="5" s="1"/>
  <c r="H626" i="5"/>
  <c r="G626" i="5"/>
  <c r="Q626" i="5" s="1"/>
  <c r="F626" i="5"/>
  <c r="E626" i="5"/>
  <c r="P626" i="5" s="1"/>
  <c r="D626" i="5"/>
  <c r="U616" i="5"/>
  <c r="T616" i="5"/>
  <c r="S616" i="5"/>
  <c r="I616" i="5"/>
  <c r="R616" i="5" s="1"/>
  <c r="H616" i="5"/>
  <c r="G616" i="5"/>
  <c r="Q616" i="5" s="1"/>
  <c r="F616" i="5"/>
  <c r="E616" i="5"/>
  <c r="P616" i="5" s="1"/>
  <c r="D616" i="5"/>
  <c r="U606" i="5"/>
  <c r="T606" i="5"/>
  <c r="S606" i="5"/>
  <c r="I606" i="5"/>
  <c r="R606" i="5" s="1"/>
  <c r="H606" i="5"/>
  <c r="G606" i="5"/>
  <c r="Q606" i="5" s="1"/>
  <c r="F606" i="5"/>
  <c r="E606" i="5"/>
  <c r="P606" i="5" s="1"/>
  <c r="D606" i="5"/>
  <c r="U596" i="5"/>
  <c r="T596" i="5"/>
  <c r="S596" i="5"/>
  <c r="I596" i="5"/>
  <c r="R596" i="5" s="1"/>
  <c r="H596" i="5"/>
  <c r="G596" i="5"/>
  <c r="Q596" i="5" s="1"/>
  <c r="F596" i="5"/>
  <c r="E596" i="5"/>
  <c r="P596" i="5" s="1"/>
  <c r="D596" i="5"/>
  <c r="U586" i="5"/>
  <c r="T586" i="5"/>
  <c r="S586" i="5"/>
  <c r="I586" i="5"/>
  <c r="R586" i="5" s="1"/>
  <c r="H586" i="5"/>
  <c r="G586" i="5"/>
  <c r="Q586" i="5" s="1"/>
  <c r="F586" i="5"/>
  <c r="E586" i="5"/>
  <c r="P586" i="5" s="1"/>
  <c r="D586" i="5"/>
  <c r="U576" i="5"/>
  <c r="T576" i="5"/>
  <c r="S576" i="5"/>
  <c r="I576" i="5"/>
  <c r="R576" i="5" s="1"/>
  <c r="H576" i="5"/>
  <c r="G576" i="5"/>
  <c r="Q576" i="5" s="1"/>
  <c r="F576" i="5"/>
  <c r="E576" i="5"/>
  <c r="P576" i="5" s="1"/>
  <c r="D576" i="5"/>
  <c r="U566" i="5"/>
  <c r="T566" i="5"/>
  <c r="S566" i="5"/>
  <c r="I566" i="5"/>
  <c r="R566" i="5" s="1"/>
  <c r="H566" i="5"/>
  <c r="G566" i="5"/>
  <c r="Q566" i="5" s="1"/>
  <c r="F566" i="5"/>
  <c r="E566" i="5"/>
  <c r="P566" i="5" s="1"/>
  <c r="D566" i="5"/>
  <c r="U556" i="5"/>
  <c r="T556" i="5"/>
  <c r="S556" i="5"/>
  <c r="I556" i="5"/>
  <c r="R556" i="5" s="1"/>
  <c r="H556" i="5"/>
  <c r="G556" i="5"/>
  <c r="Q556" i="5" s="1"/>
  <c r="F556" i="5"/>
  <c r="E556" i="5"/>
  <c r="P556" i="5" s="1"/>
  <c r="D556" i="5"/>
  <c r="U546" i="5"/>
  <c r="T546" i="5"/>
  <c r="S546" i="5"/>
  <c r="I546" i="5"/>
  <c r="R546" i="5" s="1"/>
  <c r="H546" i="5"/>
  <c r="G546" i="5"/>
  <c r="Q546" i="5" s="1"/>
  <c r="F546" i="5"/>
  <c r="E546" i="5"/>
  <c r="P546" i="5" s="1"/>
  <c r="D546" i="5"/>
  <c r="U536" i="5"/>
  <c r="T536" i="5"/>
  <c r="S536" i="5"/>
  <c r="I536" i="5"/>
  <c r="R536" i="5" s="1"/>
  <c r="H536" i="5"/>
  <c r="G536" i="5"/>
  <c r="Q536" i="5" s="1"/>
  <c r="F536" i="5"/>
  <c r="E536" i="5"/>
  <c r="P536" i="5" s="1"/>
  <c r="D536" i="5"/>
  <c r="U526" i="5"/>
  <c r="T526" i="5"/>
  <c r="S526" i="5"/>
  <c r="I526" i="5"/>
  <c r="R526" i="5" s="1"/>
  <c r="H526" i="5"/>
  <c r="G526" i="5"/>
  <c r="Q526" i="5" s="1"/>
  <c r="F526" i="5"/>
  <c r="E526" i="5"/>
  <c r="P526" i="5" s="1"/>
  <c r="D526" i="5"/>
  <c r="U516" i="5"/>
  <c r="T516" i="5"/>
  <c r="S516" i="5"/>
  <c r="I516" i="5"/>
  <c r="R516" i="5" s="1"/>
  <c r="H516" i="5"/>
  <c r="G516" i="5"/>
  <c r="Q516" i="5" s="1"/>
  <c r="F516" i="5"/>
  <c r="E516" i="5"/>
  <c r="P516" i="5" s="1"/>
  <c r="D516" i="5"/>
  <c r="U506" i="5"/>
  <c r="T506" i="5"/>
  <c r="S506" i="5"/>
  <c r="I506" i="5"/>
  <c r="R506" i="5" s="1"/>
  <c r="H506" i="5"/>
  <c r="G506" i="5"/>
  <c r="Q506" i="5" s="1"/>
  <c r="F506" i="5"/>
  <c r="E506" i="5"/>
  <c r="P506" i="5" s="1"/>
  <c r="D506" i="5"/>
  <c r="U496" i="5"/>
  <c r="T496" i="5"/>
  <c r="S496" i="5"/>
  <c r="I496" i="5"/>
  <c r="R496" i="5" s="1"/>
  <c r="H496" i="5"/>
  <c r="G496" i="5"/>
  <c r="Q496" i="5" s="1"/>
  <c r="F496" i="5"/>
  <c r="E496" i="5"/>
  <c r="P496" i="5" s="1"/>
  <c r="D496" i="5"/>
  <c r="U486" i="5"/>
  <c r="T486" i="5"/>
  <c r="S486" i="5"/>
  <c r="I486" i="5"/>
  <c r="R486" i="5" s="1"/>
  <c r="H486" i="5"/>
  <c r="G486" i="5"/>
  <c r="Q486" i="5" s="1"/>
  <c r="F486" i="5"/>
  <c r="E486" i="5"/>
  <c r="P486" i="5" s="1"/>
  <c r="D486" i="5"/>
  <c r="U476" i="5"/>
  <c r="T476" i="5"/>
  <c r="S476" i="5"/>
  <c r="I476" i="5"/>
  <c r="R476" i="5" s="1"/>
  <c r="H476" i="5"/>
  <c r="G476" i="5"/>
  <c r="Q476" i="5" s="1"/>
  <c r="F476" i="5"/>
  <c r="E476" i="5"/>
  <c r="P476" i="5" s="1"/>
  <c r="D476" i="5"/>
  <c r="U466" i="5"/>
  <c r="T466" i="5"/>
  <c r="S466" i="5"/>
  <c r="I466" i="5"/>
  <c r="R466" i="5" s="1"/>
  <c r="H466" i="5"/>
  <c r="G466" i="5"/>
  <c r="Q466" i="5" s="1"/>
  <c r="F466" i="5"/>
  <c r="E466" i="5"/>
  <c r="P466" i="5" s="1"/>
  <c r="D466" i="5"/>
  <c r="U456" i="5"/>
  <c r="T456" i="5"/>
  <c r="S456" i="5"/>
  <c r="I456" i="5"/>
  <c r="R456" i="5" s="1"/>
  <c r="H456" i="5"/>
  <c r="G456" i="5"/>
  <c r="Q456" i="5" s="1"/>
  <c r="F456" i="5"/>
  <c r="E456" i="5"/>
  <c r="P456" i="5" s="1"/>
  <c r="D456" i="5"/>
  <c r="U446" i="5"/>
  <c r="T446" i="5"/>
  <c r="S446" i="5"/>
  <c r="I446" i="5"/>
  <c r="R446" i="5" s="1"/>
  <c r="H446" i="5"/>
  <c r="G446" i="5"/>
  <c r="Q446" i="5" s="1"/>
  <c r="F446" i="5"/>
  <c r="E446" i="5"/>
  <c r="P446" i="5" s="1"/>
  <c r="D446" i="5"/>
  <c r="U436" i="5"/>
  <c r="T436" i="5"/>
  <c r="S436" i="5"/>
  <c r="I436" i="5"/>
  <c r="R436" i="5" s="1"/>
  <c r="H436" i="5"/>
  <c r="G436" i="5"/>
  <c r="Q436" i="5" s="1"/>
  <c r="F436" i="5"/>
  <c r="E436" i="5"/>
  <c r="P436" i="5" s="1"/>
  <c r="D436" i="5"/>
  <c r="U426" i="5"/>
  <c r="T426" i="5"/>
  <c r="S426" i="5"/>
  <c r="I426" i="5"/>
  <c r="R426" i="5" s="1"/>
  <c r="H426" i="5"/>
  <c r="G426" i="5"/>
  <c r="Q426" i="5" s="1"/>
  <c r="F426" i="5"/>
  <c r="E426" i="5"/>
  <c r="P426" i="5" s="1"/>
  <c r="D426" i="5"/>
  <c r="U416" i="5"/>
  <c r="T416" i="5"/>
  <c r="S416" i="5"/>
  <c r="I416" i="5"/>
  <c r="R416" i="5" s="1"/>
  <c r="H416" i="5"/>
  <c r="G416" i="5"/>
  <c r="Q416" i="5" s="1"/>
  <c r="F416" i="5"/>
  <c r="E416" i="5"/>
  <c r="P416" i="5" s="1"/>
  <c r="D416" i="5"/>
  <c r="U406" i="5"/>
  <c r="T406" i="5"/>
  <c r="S406" i="5"/>
  <c r="I406" i="5"/>
  <c r="R406" i="5" s="1"/>
  <c r="H406" i="5"/>
  <c r="G406" i="5"/>
  <c r="Q406" i="5" s="1"/>
  <c r="F406" i="5"/>
  <c r="E406" i="5"/>
  <c r="P406" i="5" s="1"/>
  <c r="D406" i="5"/>
  <c r="U396" i="5"/>
  <c r="T396" i="5"/>
  <c r="S396" i="5"/>
  <c r="I396" i="5"/>
  <c r="R396" i="5" s="1"/>
  <c r="H396" i="5"/>
  <c r="G396" i="5"/>
  <c r="Q396" i="5" s="1"/>
  <c r="F396" i="5"/>
  <c r="E396" i="5"/>
  <c r="P396" i="5" s="1"/>
  <c r="D396" i="5"/>
  <c r="U386" i="5"/>
  <c r="T386" i="5"/>
  <c r="S386" i="5"/>
  <c r="I386" i="5"/>
  <c r="R386" i="5" s="1"/>
  <c r="H386" i="5"/>
  <c r="G386" i="5"/>
  <c r="Q386" i="5" s="1"/>
  <c r="F386" i="5"/>
  <c r="E386" i="5"/>
  <c r="P386" i="5" s="1"/>
  <c r="D386" i="5"/>
  <c r="U376" i="5"/>
  <c r="T376" i="5"/>
  <c r="S376" i="5"/>
  <c r="I376" i="5"/>
  <c r="R376" i="5" s="1"/>
  <c r="H376" i="5"/>
  <c r="G376" i="5"/>
  <c r="Q376" i="5" s="1"/>
  <c r="F376" i="5"/>
  <c r="E376" i="5"/>
  <c r="P376" i="5" s="1"/>
  <c r="D376" i="5"/>
  <c r="U366" i="5"/>
  <c r="T366" i="5"/>
  <c r="S366" i="5"/>
  <c r="I366" i="5"/>
  <c r="R366" i="5" s="1"/>
  <c r="H366" i="5"/>
  <c r="G366" i="5"/>
  <c r="Q366" i="5" s="1"/>
  <c r="F366" i="5"/>
  <c r="E366" i="5"/>
  <c r="P366" i="5" s="1"/>
  <c r="D366" i="5"/>
  <c r="U356" i="5"/>
  <c r="T356" i="5"/>
  <c r="S356" i="5"/>
  <c r="I356" i="5"/>
  <c r="R356" i="5" s="1"/>
  <c r="H356" i="5"/>
  <c r="G356" i="5"/>
  <c r="Q356" i="5" s="1"/>
  <c r="F356" i="5"/>
  <c r="E356" i="5"/>
  <c r="P356" i="5" s="1"/>
  <c r="D356" i="5"/>
  <c r="U346" i="5"/>
  <c r="T346" i="5"/>
  <c r="S346" i="5"/>
  <c r="I346" i="5"/>
  <c r="R346" i="5" s="1"/>
  <c r="H346" i="5"/>
  <c r="G346" i="5"/>
  <c r="Q346" i="5" s="1"/>
  <c r="F346" i="5"/>
  <c r="E346" i="5"/>
  <c r="P346" i="5" s="1"/>
  <c r="D346" i="5"/>
  <c r="U336" i="5"/>
  <c r="T336" i="5"/>
  <c r="S336" i="5"/>
  <c r="I336" i="5"/>
  <c r="R336" i="5" s="1"/>
  <c r="H336" i="5"/>
  <c r="G336" i="5"/>
  <c r="Q336" i="5" s="1"/>
  <c r="F336" i="5"/>
  <c r="E336" i="5"/>
  <c r="P336" i="5" s="1"/>
  <c r="D336" i="5"/>
  <c r="U326" i="5"/>
  <c r="T326" i="5"/>
  <c r="S326" i="5"/>
  <c r="I326" i="5"/>
  <c r="R326" i="5" s="1"/>
  <c r="H326" i="5"/>
  <c r="G326" i="5"/>
  <c r="Q326" i="5" s="1"/>
  <c r="F326" i="5"/>
  <c r="E326" i="5"/>
  <c r="P326" i="5" s="1"/>
  <c r="D326" i="5"/>
  <c r="U316" i="5"/>
  <c r="T316" i="5"/>
  <c r="S316" i="5"/>
  <c r="I316" i="5"/>
  <c r="R316" i="5" s="1"/>
  <c r="H316" i="5"/>
  <c r="G316" i="5"/>
  <c r="Q316" i="5" s="1"/>
  <c r="F316" i="5"/>
  <c r="E316" i="5"/>
  <c r="P316" i="5" s="1"/>
  <c r="D316" i="5"/>
  <c r="U306" i="5"/>
  <c r="T306" i="5"/>
  <c r="S306" i="5"/>
  <c r="I306" i="5"/>
  <c r="R306" i="5" s="1"/>
  <c r="H306" i="5"/>
  <c r="G306" i="5"/>
  <c r="Q306" i="5" s="1"/>
  <c r="F306" i="5"/>
  <c r="E306" i="5"/>
  <c r="P306" i="5" s="1"/>
  <c r="D306" i="5"/>
  <c r="U296" i="5"/>
  <c r="T296" i="5"/>
  <c r="S296" i="5"/>
  <c r="I296" i="5"/>
  <c r="R296" i="5" s="1"/>
  <c r="H296" i="5"/>
  <c r="G296" i="5"/>
  <c r="Q296" i="5" s="1"/>
  <c r="F296" i="5"/>
  <c r="E296" i="5"/>
  <c r="P296" i="5" s="1"/>
  <c r="D296" i="5"/>
  <c r="U286" i="5"/>
  <c r="T286" i="5"/>
  <c r="S286" i="5"/>
  <c r="I286" i="5"/>
  <c r="R286" i="5" s="1"/>
  <c r="H286" i="5"/>
  <c r="G286" i="5"/>
  <c r="Q286" i="5" s="1"/>
  <c r="F286" i="5"/>
  <c r="E286" i="5"/>
  <c r="P286" i="5" s="1"/>
  <c r="D286" i="5"/>
  <c r="U276" i="5"/>
  <c r="T276" i="5"/>
  <c r="S276" i="5"/>
  <c r="I276" i="5"/>
  <c r="R276" i="5" s="1"/>
  <c r="H276" i="5"/>
  <c r="G276" i="5"/>
  <c r="Q276" i="5" s="1"/>
  <c r="F276" i="5"/>
  <c r="E276" i="5"/>
  <c r="P276" i="5" s="1"/>
  <c r="D276" i="5"/>
  <c r="U259" i="5"/>
  <c r="T259" i="5"/>
  <c r="S259" i="5"/>
  <c r="I259" i="5"/>
  <c r="R259" i="5" s="1"/>
  <c r="H259" i="5"/>
  <c r="G259" i="5"/>
  <c r="Q259" i="5" s="1"/>
  <c r="F259" i="5"/>
  <c r="E259" i="5"/>
  <c r="P259" i="5" s="1"/>
  <c r="D259" i="5"/>
  <c r="U242" i="5"/>
  <c r="T242" i="5"/>
  <c r="S242" i="5"/>
  <c r="I242" i="5"/>
  <c r="R242" i="5" s="1"/>
  <c r="H242" i="5"/>
  <c r="G242" i="5"/>
  <c r="Q242" i="5" s="1"/>
  <c r="F242" i="5"/>
  <c r="E242" i="5"/>
  <c r="P242" i="5" s="1"/>
  <c r="D242" i="5"/>
  <c r="U225" i="5"/>
  <c r="T225" i="5"/>
  <c r="S225" i="5"/>
  <c r="I225" i="5"/>
  <c r="R225" i="5" s="1"/>
  <c r="H225" i="5"/>
  <c r="G225" i="5"/>
  <c r="Q225" i="5" s="1"/>
  <c r="F225" i="5"/>
  <c r="E225" i="5"/>
  <c r="P225" i="5" s="1"/>
  <c r="D225" i="5"/>
  <c r="U208" i="5"/>
  <c r="T208" i="5"/>
  <c r="S208" i="5"/>
  <c r="I208" i="5"/>
  <c r="R208" i="5" s="1"/>
  <c r="H208" i="5"/>
  <c r="G208" i="5"/>
  <c r="Q208" i="5" s="1"/>
  <c r="F208" i="5"/>
  <c r="E208" i="5"/>
  <c r="P208" i="5" s="1"/>
  <c r="D208" i="5"/>
  <c r="U191" i="5"/>
  <c r="T191" i="5"/>
  <c r="S191" i="5"/>
  <c r="I191" i="5"/>
  <c r="R191" i="5" s="1"/>
  <c r="H191" i="5"/>
  <c r="G191" i="5"/>
  <c r="Q191" i="5" s="1"/>
  <c r="F191" i="5"/>
  <c r="E191" i="5"/>
  <c r="P191" i="5" s="1"/>
  <c r="D191" i="5"/>
  <c r="U181" i="5"/>
  <c r="T181" i="5"/>
  <c r="S181" i="5"/>
  <c r="I181" i="5"/>
  <c r="R181" i="5" s="1"/>
  <c r="H181" i="5"/>
  <c r="G181" i="5"/>
  <c r="Q181" i="5" s="1"/>
  <c r="F181" i="5"/>
  <c r="E181" i="5"/>
  <c r="P181" i="5" s="1"/>
  <c r="D181" i="5"/>
  <c r="U171" i="5"/>
  <c r="T171" i="5"/>
  <c r="S171" i="5"/>
  <c r="I171" i="5"/>
  <c r="R171" i="5" s="1"/>
  <c r="H171" i="5"/>
  <c r="G171" i="5"/>
  <c r="Q171" i="5" s="1"/>
  <c r="F171" i="5"/>
  <c r="E171" i="5"/>
  <c r="P171" i="5" s="1"/>
  <c r="D171" i="5"/>
  <c r="U161" i="5"/>
  <c r="T161" i="5"/>
  <c r="S161" i="5"/>
  <c r="I161" i="5"/>
  <c r="R161" i="5" s="1"/>
  <c r="H161" i="5"/>
  <c r="G161" i="5"/>
  <c r="Q161" i="5" s="1"/>
  <c r="F161" i="5"/>
  <c r="E161" i="5"/>
  <c r="P161" i="5" s="1"/>
  <c r="D161" i="5"/>
  <c r="U144" i="5"/>
  <c r="T144" i="5"/>
  <c r="S144" i="5"/>
  <c r="I144" i="5"/>
  <c r="R144" i="5" s="1"/>
  <c r="H144" i="5"/>
  <c r="G144" i="5"/>
  <c r="Q144" i="5" s="1"/>
  <c r="F144" i="5"/>
  <c r="E144" i="5"/>
  <c r="P144" i="5" s="1"/>
  <c r="D144" i="5"/>
  <c r="U129" i="5"/>
  <c r="T129" i="5"/>
  <c r="S129" i="5"/>
  <c r="I129" i="5"/>
  <c r="R129" i="5" s="1"/>
  <c r="H129" i="5"/>
  <c r="G129" i="5"/>
  <c r="Q129" i="5" s="1"/>
  <c r="F129" i="5"/>
  <c r="E129" i="5"/>
  <c r="P129" i="5" s="1"/>
  <c r="D129" i="5"/>
  <c r="U112" i="5"/>
  <c r="T112" i="5"/>
  <c r="S112" i="5"/>
  <c r="I112" i="5"/>
  <c r="R112" i="5" s="1"/>
  <c r="H112" i="5"/>
  <c r="G112" i="5"/>
  <c r="Q112" i="5" s="1"/>
  <c r="F112" i="5"/>
  <c r="E112" i="5"/>
  <c r="P112" i="5" s="1"/>
  <c r="D112" i="5"/>
  <c r="U95" i="5"/>
  <c r="T95" i="5"/>
  <c r="S95" i="5"/>
  <c r="I95" i="5"/>
  <c r="R95" i="5" s="1"/>
  <c r="H95" i="5"/>
  <c r="G95" i="5"/>
  <c r="Q95" i="5" s="1"/>
  <c r="F95" i="5"/>
  <c r="E95" i="5"/>
  <c r="P95" i="5" s="1"/>
  <c r="D95" i="5"/>
  <c r="U78" i="5"/>
  <c r="T78" i="5"/>
  <c r="S78" i="5"/>
  <c r="I78" i="5"/>
  <c r="R78" i="5" s="1"/>
  <c r="H78" i="5"/>
  <c r="G78" i="5"/>
  <c r="Q78" i="5" s="1"/>
  <c r="F78" i="5"/>
  <c r="E78" i="5"/>
  <c r="P78" i="5" s="1"/>
  <c r="D78" i="5"/>
  <c r="U61" i="5"/>
  <c r="T61" i="5"/>
  <c r="S61" i="5"/>
  <c r="I61" i="5"/>
  <c r="R61" i="5" s="1"/>
  <c r="H61" i="5"/>
  <c r="G61" i="5"/>
  <c r="Q61" i="5" s="1"/>
  <c r="F61" i="5"/>
  <c r="E61" i="5"/>
  <c r="P61" i="5" s="1"/>
  <c r="D61" i="5"/>
  <c r="U44" i="5"/>
  <c r="T44" i="5"/>
  <c r="S44" i="5"/>
  <c r="I44" i="5"/>
  <c r="R44" i="5" s="1"/>
  <c r="H44" i="5"/>
  <c r="G44" i="5"/>
  <c r="Q44" i="5" s="1"/>
  <c r="F44" i="5"/>
  <c r="E44" i="5"/>
  <c r="P44" i="5" s="1"/>
  <c r="D44" i="5"/>
  <c r="U27" i="5"/>
  <c r="T27" i="5"/>
  <c r="S27" i="5"/>
  <c r="I27" i="5"/>
  <c r="R27" i="5" s="1"/>
  <c r="H27" i="5"/>
  <c r="G27" i="5"/>
  <c r="Q27" i="5" s="1"/>
  <c r="F27" i="5"/>
  <c r="E27" i="5"/>
  <c r="P27" i="5" s="1"/>
  <c r="D27" i="5"/>
  <c r="U17" i="5"/>
  <c r="T17" i="5"/>
  <c r="S17" i="5"/>
  <c r="I17" i="5"/>
  <c r="R17" i="5" s="1"/>
  <c r="H17" i="5"/>
  <c r="G17" i="5"/>
  <c r="Q17" i="5" s="1"/>
  <c r="F17" i="5"/>
  <c r="E17" i="5"/>
  <c r="P17" i="5" s="1"/>
  <c r="D17" i="5"/>
  <c r="U7" i="5"/>
  <c r="T7" i="5"/>
  <c r="S7" i="5"/>
  <c r="I7" i="5"/>
  <c r="R7" i="5" s="1"/>
  <c r="H7" i="5"/>
  <c r="G7" i="5"/>
  <c r="Q7" i="5" s="1"/>
  <c r="F7" i="5"/>
  <c r="E7" i="5"/>
  <c r="P7" i="5" s="1"/>
  <c r="D7" i="5"/>
  <c r="T737" i="5"/>
  <c r="S737" i="5"/>
  <c r="I737" i="5"/>
  <c r="R737" i="5" s="1"/>
  <c r="H737" i="5"/>
  <c r="G737" i="5"/>
  <c r="Q737" i="5" s="1"/>
  <c r="F737" i="5"/>
  <c r="E737" i="5"/>
  <c r="P737" i="5" s="1"/>
  <c r="D737" i="5"/>
  <c r="U737" i="5" s="1"/>
  <c r="T726" i="5"/>
  <c r="S726" i="5"/>
  <c r="I726" i="5"/>
  <c r="R726" i="5" s="1"/>
  <c r="H726" i="5"/>
  <c r="G726" i="5"/>
  <c r="Q726" i="5" s="1"/>
  <c r="F726" i="5"/>
  <c r="E726" i="5"/>
  <c r="P726" i="5" s="1"/>
  <c r="D726" i="5"/>
  <c r="U726" i="5" s="1"/>
  <c r="T715" i="5"/>
  <c r="S715" i="5"/>
  <c r="I715" i="5"/>
  <c r="R715" i="5" s="1"/>
  <c r="H715" i="5"/>
  <c r="G715" i="5"/>
  <c r="Q715" i="5" s="1"/>
  <c r="F715" i="5"/>
  <c r="E715" i="5"/>
  <c r="P715" i="5" s="1"/>
  <c r="D715" i="5"/>
  <c r="U715" i="5" s="1"/>
  <c r="T705" i="5"/>
  <c r="S705" i="5"/>
  <c r="I705" i="5"/>
  <c r="R705" i="5" s="1"/>
  <c r="H705" i="5"/>
  <c r="G705" i="5"/>
  <c r="Q705" i="5" s="1"/>
  <c r="F705" i="5"/>
  <c r="E705" i="5"/>
  <c r="P705" i="5" s="1"/>
  <c r="D705" i="5"/>
  <c r="U705" i="5" s="1"/>
  <c r="T695" i="5"/>
  <c r="S695" i="5"/>
  <c r="I695" i="5"/>
  <c r="R695" i="5" s="1"/>
  <c r="H695" i="5"/>
  <c r="G695" i="5"/>
  <c r="Q695" i="5" s="1"/>
  <c r="F695" i="5"/>
  <c r="E695" i="5"/>
  <c r="P695" i="5" s="1"/>
  <c r="D695" i="5"/>
  <c r="U695" i="5" s="1"/>
  <c r="T685" i="5"/>
  <c r="S685" i="5"/>
  <c r="I685" i="5"/>
  <c r="R685" i="5" s="1"/>
  <c r="H685" i="5"/>
  <c r="G685" i="5"/>
  <c r="Q685" i="5" s="1"/>
  <c r="F685" i="5"/>
  <c r="E685" i="5"/>
  <c r="P685" i="5" s="1"/>
  <c r="D685" i="5"/>
  <c r="U685" i="5" s="1"/>
  <c r="T675" i="5"/>
  <c r="S675" i="5"/>
  <c r="I675" i="5"/>
  <c r="R675" i="5" s="1"/>
  <c r="H675" i="5"/>
  <c r="G675" i="5"/>
  <c r="Q675" i="5" s="1"/>
  <c r="F675" i="5"/>
  <c r="E675" i="5"/>
  <c r="P675" i="5" s="1"/>
  <c r="D675" i="5"/>
  <c r="U675" i="5" s="1"/>
  <c r="T665" i="5"/>
  <c r="S665" i="5"/>
  <c r="I665" i="5"/>
  <c r="R665" i="5" s="1"/>
  <c r="H665" i="5"/>
  <c r="G665" i="5"/>
  <c r="Q665" i="5" s="1"/>
  <c r="F665" i="5"/>
  <c r="E665" i="5"/>
  <c r="P665" i="5" s="1"/>
  <c r="D665" i="5"/>
  <c r="U665" i="5" s="1"/>
  <c r="T655" i="5"/>
  <c r="S655" i="5"/>
  <c r="I655" i="5"/>
  <c r="R655" i="5" s="1"/>
  <c r="H655" i="5"/>
  <c r="G655" i="5"/>
  <c r="Q655" i="5" s="1"/>
  <c r="F655" i="5"/>
  <c r="E655" i="5"/>
  <c r="P655" i="5" s="1"/>
  <c r="D655" i="5"/>
  <c r="U655" i="5" s="1"/>
  <c r="T645" i="5"/>
  <c r="S645" i="5"/>
  <c r="I645" i="5"/>
  <c r="R645" i="5" s="1"/>
  <c r="H645" i="5"/>
  <c r="G645" i="5"/>
  <c r="Q645" i="5" s="1"/>
  <c r="F645" i="5"/>
  <c r="E645" i="5"/>
  <c r="P645" i="5" s="1"/>
  <c r="D645" i="5"/>
  <c r="U645" i="5" s="1"/>
  <c r="T635" i="5"/>
  <c r="S635" i="5"/>
  <c r="I635" i="5"/>
  <c r="R635" i="5" s="1"/>
  <c r="H635" i="5"/>
  <c r="G635" i="5"/>
  <c r="Q635" i="5" s="1"/>
  <c r="F635" i="5"/>
  <c r="E635" i="5"/>
  <c r="P635" i="5" s="1"/>
  <c r="D635" i="5"/>
  <c r="U635" i="5" s="1"/>
  <c r="T625" i="5"/>
  <c r="S625" i="5"/>
  <c r="I625" i="5"/>
  <c r="R625" i="5" s="1"/>
  <c r="H625" i="5"/>
  <c r="G625" i="5"/>
  <c r="Q625" i="5" s="1"/>
  <c r="F625" i="5"/>
  <c r="E625" i="5"/>
  <c r="P625" i="5" s="1"/>
  <c r="D625" i="5"/>
  <c r="U625" i="5" s="1"/>
  <c r="T615" i="5"/>
  <c r="S615" i="5"/>
  <c r="I615" i="5"/>
  <c r="R615" i="5" s="1"/>
  <c r="H615" i="5"/>
  <c r="G615" i="5"/>
  <c r="Q615" i="5" s="1"/>
  <c r="F615" i="5"/>
  <c r="E615" i="5"/>
  <c r="P615" i="5" s="1"/>
  <c r="D615" i="5"/>
  <c r="U615" i="5" s="1"/>
  <c r="T605" i="5"/>
  <c r="S605" i="5"/>
  <c r="I605" i="5"/>
  <c r="R605" i="5" s="1"/>
  <c r="H605" i="5"/>
  <c r="G605" i="5"/>
  <c r="Q605" i="5" s="1"/>
  <c r="F605" i="5"/>
  <c r="E605" i="5"/>
  <c r="P605" i="5" s="1"/>
  <c r="D605" i="5"/>
  <c r="U605" i="5" s="1"/>
  <c r="T595" i="5"/>
  <c r="S595" i="5"/>
  <c r="I595" i="5"/>
  <c r="R595" i="5" s="1"/>
  <c r="H595" i="5"/>
  <c r="G595" i="5"/>
  <c r="Q595" i="5" s="1"/>
  <c r="F595" i="5"/>
  <c r="E595" i="5"/>
  <c r="P595" i="5" s="1"/>
  <c r="D595" i="5"/>
  <c r="U595" i="5" s="1"/>
  <c r="T585" i="5"/>
  <c r="S585" i="5"/>
  <c r="I585" i="5"/>
  <c r="R585" i="5" s="1"/>
  <c r="H585" i="5"/>
  <c r="G585" i="5"/>
  <c r="Q585" i="5" s="1"/>
  <c r="F585" i="5"/>
  <c r="E585" i="5"/>
  <c r="P585" i="5" s="1"/>
  <c r="D585" i="5"/>
  <c r="U585" i="5" s="1"/>
  <c r="T575" i="5"/>
  <c r="S575" i="5"/>
  <c r="I575" i="5"/>
  <c r="R575" i="5" s="1"/>
  <c r="H575" i="5"/>
  <c r="G575" i="5"/>
  <c r="Q575" i="5" s="1"/>
  <c r="F575" i="5"/>
  <c r="E575" i="5"/>
  <c r="P575" i="5" s="1"/>
  <c r="D575" i="5"/>
  <c r="U575" i="5" s="1"/>
  <c r="T565" i="5"/>
  <c r="S565" i="5"/>
  <c r="I565" i="5"/>
  <c r="R565" i="5" s="1"/>
  <c r="H565" i="5"/>
  <c r="G565" i="5"/>
  <c r="Q565" i="5" s="1"/>
  <c r="F565" i="5"/>
  <c r="E565" i="5"/>
  <c r="P565" i="5" s="1"/>
  <c r="D565" i="5"/>
  <c r="U565" i="5" s="1"/>
  <c r="T555" i="5"/>
  <c r="S555" i="5"/>
  <c r="I555" i="5"/>
  <c r="R555" i="5" s="1"/>
  <c r="H555" i="5"/>
  <c r="G555" i="5"/>
  <c r="Q555" i="5" s="1"/>
  <c r="F555" i="5"/>
  <c r="E555" i="5"/>
  <c r="P555" i="5" s="1"/>
  <c r="D555" i="5"/>
  <c r="U555" i="5" s="1"/>
  <c r="T545" i="5"/>
  <c r="S545" i="5"/>
  <c r="I545" i="5"/>
  <c r="R545" i="5" s="1"/>
  <c r="H545" i="5"/>
  <c r="G545" i="5"/>
  <c r="Q545" i="5" s="1"/>
  <c r="F545" i="5"/>
  <c r="E545" i="5"/>
  <c r="P545" i="5" s="1"/>
  <c r="D545" i="5"/>
  <c r="U545" i="5" s="1"/>
  <c r="T535" i="5"/>
  <c r="S535" i="5"/>
  <c r="I535" i="5"/>
  <c r="R535" i="5" s="1"/>
  <c r="H535" i="5"/>
  <c r="G535" i="5"/>
  <c r="Q535" i="5" s="1"/>
  <c r="F535" i="5"/>
  <c r="E535" i="5"/>
  <c r="P535" i="5" s="1"/>
  <c r="D535" i="5"/>
  <c r="U535" i="5" s="1"/>
  <c r="T525" i="5"/>
  <c r="S525" i="5"/>
  <c r="I525" i="5"/>
  <c r="R525" i="5" s="1"/>
  <c r="H525" i="5"/>
  <c r="G525" i="5"/>
  <c r="Q525" i="5" s="1"/>
  <c r="F525" i="5"/>
  <c r="E525" i="5"/>
  <c r="P525" i="5" s="1"/>
  <c r="D525" i="5"/>
  <c r="U525" i="5" s="1"/>
  <c r="T515" i="5"/>
  <c r="S515" i="5"/>
  <c r="I515" i="5"/>
  <c r="R515" i="5" s="1"/>
  <c r="H515" i="5"/>
  <c r="G515" i="5"/>
  <c r="Q515" i="5" s="1"/>
  <c r="F515" i="5"/>
  <c r="E515" i="5"/>
  <c r="P515" i="5" s="1"/>
  <c r="D515" i="5"/>
  <c r="U515" i="5" s="1"/>
  <c r="T505" i="5"/>
  <c r="S505" i="5"/>
  <c r="I505" i="5"/>
  <c r="R505" i="5" s="1"/>
  <c r="H505" i="5"/>
  <c r="G505" i="5"/>
  <c r="Q505" i="5" s="1"/>
  <c r="F505" i="5"/>
  <c r="E505" i="5"/>
  <c r="P505" i="5" s="1"/>
  <c r="D505" i="5"/>
  <c r="U505" i="5" s="1"/>
  <c r="T495" i="5"/>
  <c r="S495" i="5"/>
  <c r="I495" i="5"/>
  <c r="R495" i="5" s="1"/>
  <c r="H495" i="5"/>
  <c r="G495" i="5"/>
  <c r="Q495" i="5" s="1"/>
  <c r="F495" i="5"/>
  <c r="E495" i="5"/>
  <c r="P495" i="5" s="1"/>
  <c r="D495" i="5"/>
  <c r="U495" i="5" s="1"/>
  <c r="T485" i="5"/>
  <c r="S485" i="5"/>
  <c r="I485" i="5"/>
  <c r="R485" i="5" s="1"/>
  <c r="H485" i="5"/>
  <c r="G485" i="5"/>
  <c r="Q485" i="5" s="1"/>
  <c r="F485" i="5"/>
  <c r="E485" i="5"/>
  <c r="P485" i="5" s="1"/>
  <c r="D485" i="5"/>
  <c r="U485" i="5" s="1"/>
  <c r="T475" i="5"/>
  <c r="S475" i="5"/>
  <c r="I475" i="5"/>
  <c r="R475" i="5" s="1"/>
  <c r="H475" i="5"/>
  <c r="G475" i="5"/>
  <c r="Q475" i="5" s="1"/>
  <c r="F475" i="5"/>
  <c r="E475" i="5"/>
  <c r="P475" i="5" s="1"/>
  <c r="D475" i="5"/>
  <c r="U475" i="5" s="1"/>
  <c r="T465" i="5"/>
  <c r="S465" i="5"/>
  <c r="I465" i="5"/>
  <c r="R465" i="5" s="1"/>
  <c r="H465" i="5"/>
  <c r="G465" i="5"/>
  <c r="Q465" i="5" s="1"/>
  <c r="F465" i="5"/>
  <c r="E465" i="5"/>
  <c r="P465" i="5" s="1"/>
  <c r="D465" i="5"/>
  <c r="U465" i="5" s="1"/>
  <c r="T455" i="5"/>
  <c r="S455" i="5"/>
  <c r="I455" i="5"/>
  <c r="R455" i="5" s="1"/>
  <c r="H455" i="5"/>
  <c r="G455" i="5"/>
  <c r="Q455" i="5" s="1"/>
  <c r="F455" i="5"/>
  <c r="E455" i="5"/>
  <c r="P455" i="5" s="1"/>
  <c r="D455" i="5"/>
  <c r="U455" i="5" s="1"/>
  <c r="T445" i="5"/>
  <c r="S445" i="5"/>
  <c r="I445" i="5"/>
  <c r="R445" i="5" s="1"/>
  <c r="H445" i="5"/>
  <c r="G445" i="5"/>
  <c r="Q445" i="5" s="1"/>
  <c r="F445" i="5"/>
  <c r="E445" i="5"/>
  <c r="P445" i="5" s="1"/>
  <c r="D445" i="5"/>
  <c r="U445" i="5" s="1"/>
  <c r="T435" i="5"/>
  <c r="S435" i="5"/>
  <c r="I435" i="5"/>
  <c r="R435" i="5" s="1"/>
  <c r="H435" i="5"/>
  <c r="G435" i="5"/>
  <c r="Q435" i="5" s="1"/>
  <c r="F435" i="5"/>
  <c r="E435" i="5"/>
  <c r="P435" i="5" s="1"/>
  <c r="D435" i="5"/>
  <c r="U435" i="5" s="1"/>
  <c r="T425" i="5"/>
  <c r="S425" i="5"/>
  <c r="I425" i="5"/>
  <c r="R425" i="5" s="1"/>
  <c r="H425" i="5"/>
  <c r="G425" i="5"/>
  <c r="Q425" i="5" s="1"/>
  <c r="F425" i="5"/>
  <c r="E425" i="5"/>
  <c r="P425" i="5" s="1"/>
  <c r="D425" i="5"/>
  <c r="U425" i="5" s="1"/>
  <c r="T415" i="5"/>
  <c r="S415" i="5"/>
  <c r="I415" i="5"/>
  <c r="R415" i="5" s="1"/>
  <c r="H415" i="5"/>
  <c r="G415" i="5"/>
  <c r="Q415" i="5" s="1"/>
  <c r="F415" i="5"/>
  <c r="E415" i="5"/>
  <c r="P415" i="5" s="1"/>
  <c r="D415" i="5"/>
  <c r="U415" i="5" s="1"/>
  <c r="T405" i="5"/>
  <c r="S405" i="5"/>
  <c r="I405" i="5"/>
  <c r="R405" i="5" s="1"/>
  <c r="H405" i="5"/>
  <c r="G405" i="5"/>
  <c r="Q405" i="5" s="1"/>
  <c r="F405" i="5"/>
  <c r="E405" i="5"/>
  <c r="P405" i="5" s="1"/>
  <c r="D405" i="5"/>
  <c r="U405" i="5" s="1"/>
  <c r="T395" i="5"/>
  <c r="S395" i="5"/>
  <c r="I395" i="5"/>
  <c r="R395" i="5" s="1"/>
  <c r="H395" i="5"/>
  <c r="G395" i="5"/>
  <c r="Q395" i="5" s="1"/>
  <c r="F395" i="5"/>
  <c r="E395" i="5"/>
  <c r="P395" i="5" s="1"/>
  <c r="D395" i="5"/>
  <c r="U395" i="5" s="1"/>
  <c r="T385" i="5"/>
  <c r="S385" i="5"/>
  <c r="I385" i="5"/>
  <c r="R385" i="5" s="1"/>
  <c r="H385" i="5"/>
  <c r="G385" i="5"/>
  <c r="Q385" i="5" s="1"/>
  <c r="F385" i="5"/>
  <c r="E385" i="5"/>
  <c r="P385" i="5" s="1"/>
  <c r="D385" i="5"/>
  <c r="U385" i="5" s="1"/>
  <c r="T375" i="5"/>
  <c r="S375" i="5"/>
  <c r="I375" i="5"/>
  <c r="R375" i="5" s="1"/>
  <c r="H375" i="5"/>
  <c r="G375" i="5"/>
  <c r="Q375" i="5" s="1"/>
  <c r="F375" i="5"/>
  <c r="E375" i="5"/>
  <c r="P375" i="5" s="1"/>
  <c r="D375" i="5"/>
  <c r="U375" i="5" s="1"/>
  <c r="T365" i="5"/>
  <c r="S365" i="5"/>
  <c r="I365" i="5"/>
  <c r="R365" i="5" s="1"/>
  <c r="H365" i="5"/>
  <c r="G365" i="5"/>
  <c r="Q365" i="5" s="1"/>
  <c r="F365" i="5"/>
  <c r="E365" i="5"/>
  <c r="P365" i="5" s="1"/>
  <c r="D365" i="5"/>
  <c r="U365" i="5" s="1"/>
  <c r="T355" i="5"/>
  <c r="S355" i="5"/>
  <c r="I355" i="5"/>
  <c r="R355" i="5" s="1"/>
  <c r="H355" i="5"/>
  <c r="G355" i="5"/>
  <c r="Q355" i="5" s="1"/>
  <c r="F355" i="5"/>
  <c r="E355" i="5"/>
  <c r="P355" i="5" s="1"/>
  <c r="D355" i="5"/>
  <c r="U355" i="5" s="1"/>
  <c r="T345" i="5"/>
  <c r="S345" i="5"/>
  <c r="I345" i="5"/>
  <c r="R345" i="5" s="1"/>
  <c r="H345" i="5"/>
  <c r="G345" i="5"/>
  <c r="Q345" i="5" s="1"/>
  <c r="F345" i="5"/>
  <c r="E345" i="5"/>
  <c r="P345" i="5" s="1"/>
  <c r="D345" i="5"/>
  <c r="U345" i="5" s="1"/>
  <c r="T335" i="5"/>
  <c r="S335" i="5"/>
  <c r="I335" i="5"/>
  <c r="R335" i="5" s="1"/>
  <c r="H335" i="5"/>
  <c r="G335" i="5"/>
  <c r="Q335" i="5" s="1"/>
  <c r="F335" i="5"/>
  <c r="E335" i="5"/>
  <c r="P335" i="5" s="1"/>
  <c r="D335" i="5"/>
  <c r="U335" i="5" s="1"/>
  <c r="T325" i="5"/>
  <c r="S325" i="5"/>
  <c r="I325" i="5"/>
  <c r="R325" i="5" s="1"/>
  <c r="H325" i="5"/>
  <c r="G325" i="5"/>
  <c r="Q325" i="5" s="1"/>
  <c r="F325" i="5"/>
  <c r="E325" i="5"/>
  <c r="P325" i="5" s="1"/>
  <c r="D325" i="5"/>
  <c r="U325" i="5" s="1"/>
  <c r="T315" i="5"/>
  <c r="S315" i="5"/>
  <c r="I315" i="5"/>
  <c r="R315" i="5" s="1"/>
  <c r="H315" i="5"/>
  <c r="G315" i="5"/>
  <c r="Q315" i="5" s="1"/>
  <c r="F315" i="5"/>
  <c r="E315" i="5"/>
  <c r="P315" i="5" s="1"/>
  <c r="D315" i="5"/>
  <c r="U315" i="5" s="1"/>
  <c r="T305" i="5"/>
  <c r="S305" i="5"/>
  <c r="I305" i="5"/>
  <c r="R305" i="5" s="1"/>
  <c r="H305" i="5"/>
  <c r="G305" i="5"/>
  <c r="Q305" i="5" s="1"/>
  <c r="F305" i="5"/>
  <c r="E305" i="5"/>
  <c r="P305" i="5" s="1"/>
  <c r="D305" i="5"/>
  <c r="U305" i="5" s="1"/>
  <c r="T295" i="5"/>
  <c r="S295" i="5"/>
  <c r="I295" i="5"/>
  <c r="R295" i="5" s="1"/>
  <c r="H295" i="5"/>
  <c r="G295" i="5"/>
  <c r="Q295" i="5" s="1"/>
  <c r="F295" i="5"/>
  <c r="E295" i="5"/>
  <c r="P295" i="5" s="1"/>
  <c r="D295" i="5"/>
  <c r="U295" i="5" s="1"/>
  <c r="T285" i="5"/>
  <c r="S285" i="5"/>
  <c r="I285" i="5"/>
  <c r="R285" i="5" s="1"/>
  <c r="H285" i="5"/>
  <c r="G285" i="5"/>
  <c r="Q285" i="5" s="1"/>
  <c r="F285" i="5"/>
  <c r="E285" i="5"/>
  <c r="P285" i="5" s="1"/>
  <c r="D285" i="5"/>
  <c r="U285" i="5" s="1"/>
  <c r="T275" i="5"/>
  <c r="S275" i="5"/>
  <c r="I275" i="5"/>
  <c r="R275" i="5" s="1"/>
  <c r="H275" i="5"/>
  <c r="G275" i="5"/>
  <c r="Q275" i="5" s="1"/>
  <c r="F275" i="5"/>
  <c r="E275" i="5"/>
  <c r="P275" i="5" s="1"/>
  <c r="D275" i="5"/>
  <c r="U275" i="5" s="1"/>
  <c r="T258" i="5"/>
  <c r="S258" i="5"/>
  <c r="I258" i="5"/>
  <c r="R258" i="5" s="1"/>
  <c r="H258" i="5"/>
  <c r="G258" i="5"/>
  <c r="Q258" i="5" s="1"/>
  <c r="F258" i="5"/>
  <c r="E258" i="5"/>
  <c r="P258" i="5" s="1"/>
  <c r="D258" i="5"/>
  <c r="U258" i="5" s="1"/>
  <c r="T241" i="5"/>
  <c r="S241" i="5"/>
  <c r="I241" i="5"/>
  <c r="R241" i="5" s="1"/>
  <c r="H241" i="5"/>
  <c r="G241" i="5"/>
  <c r="Q241" i="5" s="1"/>
  <c r="F241" i="5"/>
  <c r="E241" i="5"/>
  <c r="P241" i="5" s="1"/>
  <c r="D241" i="5"/>
  <c r="U241" i="5" s="1"/>
  <c r="T224" i="5"/>
  <c r="S224" i="5"/>
  <c r="I224" i="5"/>
  <c r="R224" i="5" s="1"/>
  <c r="H224" i="5"/>
  <c r="G224" i="5"/>
  <c r="Q224" i="5" s="1"/>
  <c r="F224" i="5"/>
  <c r="E224" i="5"/>
  <c r="P224" i="5" s="1"/>
  <c r="D224" i="5"/>
  <c r="U224" i="5" s="1"/>
  <c r="T207" i="5"/>
  <c r="S207" i="5"/>
  <c r="I207" i="5"/>
  <c r="R207" i="5" s="1"/>
  <c r="H207" i="5"/>
  <c r="G207" i="5"/>
  <c r="Q207" i="5" s="1"/>
  <c r="F207" i="5"/>
  <c r="E207" i="5"/>
  <c r="P207" i="5" s="1"/>
  <c r="D207" i="5"/>
  <c r="U207" i="5" s="1"/>
  <c r="T190" i="5"/>
  <c r="S190" i="5"/>
  <c r="I190" i="5"/>
  <c r="R190" i="5" s="1"/>
  <c r="H190" i="5"/>
  <c r="G190" i="5"/>
  <c r="Q190" i="5" s="1"/>
  <c r="F190" i="5"/>
  <c r="E190" i="5"/>
  <c r="P190" i="5" s="1"/>
  <c r="D190" i="5"/>
  <c r="U190" i="5" s="1"/>
  <c r="T180" i="5"/>
  <c r="S180" i="5"/>
  <c r="I180" i="5"/>
  <c r="R180" i="5" s="1"/>
  <c r="H180" i="5"/>
  <c r="G180" i="5"/>
  <c r="Q180" i="5" s="1"/>
  <c r="F180" i="5"/>
  <c r="E180" i="5"/>
  <c r="P180" i="5" s="1"/>
  <c r="D180" i="5"/>
  <c r="U180" i="5" s="1"/>
  <c r="T170" i="5"/>
  <c r="S170" i="5"/>
  <c r="I170" i="5"/>
  <c r="R170" i="5" s="1"/>
  <c r="H170" i="5"/>
  <c r="G170" i="5"/>
  <c r="Q170" i="5" s="1"/>
  <c r="F170" i="5"/>
  <c r="E170" i="5"/>
  <c r="P170" i="5" s="1"/>
  <c r="D170" i="5"/>
  <c r="U170" i="5" s="1"/>
  <c r="T160" i="5"/>
  <c r="S160" i="5"/>
  <c r="I160" i="5"/>
  <c r="R160" i="5" s="1"/>
  <c r="H160" i="5"/>
  <c r="G160" i="5"/>
  <c r="Q160" i="5" s="1"/>
  <c r="F160" i="5"/>
  <c r="E160" i="5"/>
  <c r="P160" i="5" s="1"/>
  <c r="D160" i="5"/>
  <c r="U160" i="5" s="1"/>
  <c r="T143" i="5"/>
  <c r="S143" i="5"/>
  <c r="I143" i="5"/>
  <c r="R143" i="5" s="1"/>
  <c r="H143" i="5"/>
  <c r="G143" i="5"/>
  <c r="Q143" i="5" s="1"/>
  <c r="F143" i="5"/>
  <c r="E143" i="5"/>
  <c r="P143" i="5" s="1"/>
  <c r="D143" i="5"/>
  <c r="U143" i="5" s="1"/>
  <c r="T128" i="5"/>
  <c r="S128" i="5"/>
  <c r="I128" i="5"/>
  <c r="R128" i="5" s="1"/>
  <c r="H128" i="5"/>
  <c r="G128" i="5"/>
  <c r="Q128" i="5" s="1"/>
  <c r="F128" i="5"/>
  <c r="E128" i="5"/>
  <c r="P128" i="5" s="1"/>
  <c r="D128" i="5"/>
  <c r="U128" i="5" s="1"/>
  <c r="T111" i="5"/>
  <c r="S111" i="5"/>
  <c r="I111" i="5"/>
  <c r="R111" i="5" s="1"/>
  <c r="H111" i="5"/>
  <c r="G111" i="5"/>
  <c r="Q111" i="5" s="1"/>
  <c r="F111" i="5"/>
  <c r="E111" i="5"/>
  <c r="P111" i="5" s="1"/>
  <c r="D111" i="5"/>
  <c r="U111" i="5" s="1"/>
  <c r="T94" i="5"/>
  <c r="S94" i="5"/>
  <c r="I94" i="5"/>
  <c r="R94" i="5" s="1"/>
  <c r="H94" i="5"/>
  <c r="G94" i="5"/>
  <c r="Q94" i="5" s="1"/>
  <c r="F94" i="5"/>
  <c r="E94" i="5"/>
  <c r="P94" i="5" s="1"/>
  <c r="D94" i="5"/>
  <c r="U94" i="5" s="1"/>
  <c r="T77" i="5"/>
  <c r="S77" i="5"/>
  <c r="I77" i="5"/>
  <c r="R77" i="5" s="1"/>
  <c r="H77" i="5"/>
  <c r="G77" i="5"/>
  <c r="Q77" i="5" s="1"/>
  <c r="F77" i="5"/>
  <c r="E77" i="5"/>
  <c r="P77" i="5" s="1"/>
  <c r="D77" i="5"/>
  <c r="U77" i="5" s="1"/>
  <c r="T60" i="5"/>
  <c r="S60" i="5"/>
  <c r="I60" i="5"/>
  <c r="R60" i="5" s="1"/>
  <c r="H60" i="5"/>
  <c r="G60" i="5"/>
  <c r="Q60" i="5" s="1"/>
  <c r="F60" i="5"/>
  <c r="E60" i="5"/>
  <c r="P60" i="5" s="1"/>
  <c r="D60" i="5"/>
  <c r="U60" i="5" s="1"/>
  <c r="T43" i="5"/>
  <c r="S43" i="5"/>
  <c r="I43" i="5"/>
  <c r="R43" i="5" s="1"/>
  <c r="H43" i="5"/>
  <c r="G43" i="5"/>
  <c r="Q43" i="5" s="1"/>
  <c r="F43" i="5"/>
  <c r="E43" i="5"/>
  <c r="P43" i="5" s="1"/>
  <c r="D43" i="5"/>
  <c r="U43" i="5" s="1"/>
  <c r="T26" i="5"/>
  <c r="S26" i="5"/>
  <c r="I26" i="5"/>
  <c r="R26" i="5" s="1"/>
  <c r="H26" i="5"/>
  <c r="G26" i="5"/>
  <c r="Q26" i="5" s="1"/>
  <c r="F26" i="5"/>
  <c r="E26" i="5"/>
  <c r="P26" i="5" s="1"/>
  <c r="D26" i="5"/>
  <c r="U26" i="5" s="1"/>
  <c r="T16" i="5"/>
  <c r="S16" i="5"/>
  <c r="I16" i="5"/>
  <c r="R16" i="5" s="1"/>
  <c r="H16" i="5"/>
  <c r="G16" i="5"/>
  <c r="Q16" i="5" s="1"/>
  <c r="F16" i="5"/>
  <c r="E16" i="5"/>
  <c r="P16" i="5" s="1"/>
  <c r="D16" i="5"/>
  <c r="U16" i="5" s="1"/>
  <c r="T6" i="5"/>
  <c r="S6" i="5"/>
  <c r="I6" i="5"/>
  <c r="R6" i="5" s="1"/>
  <c r="H6" i="5"/>
  <c r="G6" i="5"/>
  <c r="Q6" i="5" s="1"/>
  <c r="F6" i="5"/>
  <c r="E6" i="5"/>
  <c r="P6" i="5" s="1"/>
  <c r="D6" i="5"/>
  <c r="U6" i="5" s="1"/>
  <c r="U736" i="5"/>
  <c r="T736" i="5"/>
  <c r="S736" i="5"/>
  <c r="I736" i="5"/>
  <c r="R736" i="5" s="1"/>
  <c r="H736" i="5"/>
  <c r="G736" i="5"/>
  <c r="Q736" i="5" s="1"/>
  <c r="F736" i="5"/>
  <c r="E736" i="5"/>
  <c r="P736" i="5" s="1"/>
  <c r="D736" i="5"/>
  <c r="U725" i="5"/>
  <c r="T725" i="5"/>
  <c r="S725" i="5"/>
  <c r="I725" i="5"/>
  <c r="R725" i="5" s="1"/>
  <c r="H725" i="5"/>
  <c r="G725" i="5"/>
  <c r="Q725" i="5" s="1"/>
  <c r="F725" i="5"/>
  <c r="E725" i="5"/>
  <c r="P725" i="5" s="1"/>
  <c r="D725" i="5"/>
  <c r="U714" i="5"/>
  <c r="T714" i="5"/>
  <c r="S714" i="5"/>
  <c r="I714" i="5"/>
  <c r="R714" i="5" s="1"/>
  <c r="H714" i="5"/>
  <c r="G714" i="5"/>
  <c r="Q714" i="5" s="1"/>
  <c r="F714" i="5"/>
  <c r="E714" i="5"/>
  <c r="P714" i="5" s="1"/>
  <c r="D714" i="5"/>
  <c r="U704" i="5"/>
  <c r="T704" i="5"/>
  <c r="S704" i="5"/>
  <c r="I704" i="5"/>
  <c r="R704" i="5" s="1"/>
  <c r="H704" i="5"/>
  <c r="G704" i="5"/>
  <c r="Q704" i="5" s="1"/>
  <c r="F704" i="5"/>
  <c r="E704" i="5"/>
  <c r="P704" i="5" s="1"/>
  <c r="D704" i="5"/>
  <c r="U694" i="5"/>
  <c r="T694" i="5"/>
  <c r="S694" i="5"/>
  <c r="I694" i="5"/>
  <c r="R694" i="5" s="1"/>
  <c r="H694" i="5"/>
  <c r="G694" i="5"/>
  <c r="Q694" i="5" s="1"/>
  <c r="F694" i="5"/>
  <c r="E694" i="5"/>
  <c r="P694" i="5" s="1"/>
  <c r="D694" i="5"/>
  <c r="U684" i="5"/>
  <c r="T684" i="5"/>
  <c r="S684" i="5"/>
  <c r="I684" i="5"/>
  <c r="R684" i="5" s="1"/>
  <c r="H684" i="5"/>
  <c r="G684" i="5"/>
  <c r="Q684" i="5" s="1"/>
  <c r="F684" i="5"/>
  <c r="E684" i="5"/>
  <c r="P684" i="5" s="1"/>
  <c r="D684" i="5"/>
  <c r="U674" i="5"/>
  <c r="T674" i="5"/>
  <c r="S674" i="5"/>
  <c r="I674" i="5"/>
  <c r="R674" i="5" s="1"/>
  <c r="H674" i="5"/>
  <c r="G674" i="5"/>
  <c r="Q674" i="5" s="1"/>
  <c r="F674" i="5"/>
  <c r="E674" i="5"/>
  <c r="P674" i="5" s="1"/>
  <c r="D674" i="5"/>
  <c r="U664" i="5"/>
  <c r="T664" i="5"/>
  <c r="S664" i="5"/>
  <c r="I664" i="5"/>
  <c r="R664" i="5" s="1"/>
  <c r="H664" i="5"/>
  <c r="G664" i="5"/>
  <c r="Q664" i="5" s="1"/>
  <c r="F664" i="5"/>
  <c r="E664" i="5"/>
  <c r="P664" i="5" s="1"/>
  <c r="D664" i="5"/>
  <c r="U654" i="5"/>
  <c r="T654" i="5"/>
  <c r="S654" i="5"/>
  <c r="I654" i="5"/>
  <c r="R654" i="5" s="1"/>
  <c r="H654" i="5"/>
  <c r="G654" i="5"/>
  <c r="Q654" i="5" s="1"/>
  <c r="F654" i="5"/>
  <c r="E654" i="5"/>
  <c r="P654" i="5" s="1"/>
  <c r="D654" i="5"/>
  <c r="U644" i="5"/>
  <c r="T644" i="5"/>
  <c r="S644" i="5"/>
  <c r="I644" i="5"/>
  <c r="R644" i="5" s="1"/>
  <c r="H644" i="5"/>
  <c r="G644" i="5"/>
  <c r="Q644" i="5" s="1"/>
  <c r="F644" i="5"/>
  <c r="E644" i="5"/>
  <c r="P644" i="5" s="1"/>
  <c r="D644" i="5"/>
  <c r="U634" i="5"/>
  <c r="T634" i="5"/>
  <c r="S634" i="5"/>
  <c r="I634" i="5"/>
  <c r="R634" i="5" s="1"/>
  <c r="H634" i="5"/>
  <c r="G634" i="5"/>
  <c r="Q634" i="5" s="1"/>
  <c r="F634" i="5"/>
  <c r="E634" i="5"/>
  <c r="P634" i="5" s="1"/>
  <c r="D634" i="5"/>
  <c r="U624" i="5"/>
  <c r="T624" i="5"/>
  <c r="S624" i="5"/>
  <c r="I624" i="5"/>
  <c r="R624" i="5" s="1"/>
  <c r="H624" i="5"/>
  <c r="G624" i="5"/>
  <c r="Q624" i="5" s="1"/>
  <c r="F624" i="5"/>
  <c r="E624" i="5"/>
  <c r="P624" i="5" s="1"/>
  <c r="D624" i="5"/>
  <c r="U614" i="5"/>
  <c r="T614" i="5"/>
  <c r="S614" i="5"/>
  <c r="I614" i="5"/>
  <c r="R614" i="5" s="1"/>
  <c r="H614" i="5"/>
  <c r="G614" i="5"/>
  <c r="Q614" i="5" s="1"/>
  <c r="F614" i="5"/>
  <c r="E614" i="5"/>
  <c r="P614" i="5" s="1"/>
  <c r="D614" i="5"/>
  <c r="U604" i="5"/>
  <c r="T604" i="5"/>
  <c r="S604" i="5"/>
  <c r="I604" i="5"/>
  <c r="R604" i="5" s="1"/>
  <c r="H604" i="5"/>
  <c r="G604" i="5"/>
  <c r="Q604" i="5" s="1"/>
  <c r="F604" i="5"/>
  <c r="E604" i="5"/>
  <c r="P604" i="5" s="1"/>
  <c r="D604" i="5"/>
  <c r="U594" i="5"/>
  <c r="T594" i="5"/>
  <c r="S594" i="5"/>
  <c r="I594" i="5"/>
  <c r="R594" i="5" s="1"/>
  <c r="H594" i="5"/>
  <c r="G594" i="5"/>
  <c r="Q594" i="5" s="1"/>
  <c r="F594" i="5"/>
  <c r="E594" i="5"/>
  <c r="P594" i="5" s="1"/>
  <c r="D594" i="5"/>
  <c r="U584" i="5"/>
  <c r="T584" i="5"/>
  <c r="S584" i="5"/>
  <c r="I584" i="5"/>
  <c r="R584" i="5" s="1"/>
  <c r="H584" i="5"/>
  <c r="G584" i="5"/>
  <c r="Q584" i="5" s="1"/>
  <c r="F584" i="5"/>
  <c r="E584" i="5"/>
  <c r="P584" i="5" s="1"/>
  <c r="D584" i="5"/>
  <c r="U574" i="5"/>
  <c r="T574" i="5"/>
  <c r="S574" i="5"/>
  <c r="I574" i="5"/>
  <c r="R574" i="5" s="1"/>
  <c r="H574" i="5"/>
  <c r="G574" i="5"/>
  <c r="Q574" i="5" s="1"/>
  <c r="F574" i="5"/>
  <c r="E574" i="5"/>
  <c r="P574" i="5" s="1"/>
  <c r="D574" i="5"/>
  <c r="U564" i="5"/>
  <c r="T564" i="5"/>
  <c r="S564" i="5"/>
  <c r="I564" i="5"/>
  <c r="R564" i="5" s="1"/>
  <c r="H564" i="5"/>
  <c r="G564" i="5"/>
  <c r="Q564" i="5" s="1"/>
  <c r="F564" i="5"/>
  <c r="E564" i="5"/>
  <c r="P564" i="5" s="1"/>
  <c r="D564" i="5"/>
  <c r="U554" i="5"/>
  <c r="T554" i="5"/>
  <c r="S554" i="5"/>
  <c r="I554" i="5"/>
  <c r="R554" i="5" s="1"/>
  <c r="H554" i="5"/>
  <c r="G554" i="5"/>
  <c r="Q554" i="5" s="1"/>
  <c r="F554" i="5"/>
  <c r="E554" i="5"/>
  <c r="P554" i="5" s="1"/>
  <c r="D554" i="5"/>
  <c r="U544" i="5"/>
  <c r="T544" i="5"/>
  <c r="S544" i="5"/>
  <c r="I544" i="5"/>
  <c r="R544" i="5" s="1"/>
  <c r="H544" i="5"/>
  <c r="G544" i="5"/>
  <c r="Q544" i="5" s="1"/>
  <c r="F544" i="5"/>
  <c r="E544" i="5"/>
  <c r="P544" i="5" s="1"/>
  <c r="D544" i="5"/>
  <c r="U534" i="5"/>
  <c r="T534" i="5"/>
  <c r="S534" i="5"/>
  <c r="I534" i="5"/>
  <c r="R534" i="5" s="1"/>
  <c r="H534" i="5"/>
  <c r="G534" i="5"/>
  <c r="Q534" i="5" s="1"/>
  <c r="F534" i="5"/>
  <c r="E534" i="5"/>
  <c r="P534" i="5" s="1"/>
  <c r="D534" i="5"/>
  <c r="U524" i="5"/>
  <c r="T524" i="5"/>
  <c r="S524" i="5"/>
  <c r="I524" i="5"/>
  <c r="R524" i="5" s="1"/>
  <c r="H524" i="5"/>
  <c r="G524" i="5"/>
  <c r="Q524" i="5" s="1"/>
  <c r="F524" i="5"/>
  <c r="E524" i="5"/>
  <c r="P524" i="5" s="1"/>
  <c r="D524" i="5"/>
  <c r="U514" i="5"/>
  <c r="T514" i="5"/>
  <c r="S514" i="5"/>
  <c r="I514" i="5"/>
  <c r="R514" i="5" s="1"/>
  <c r="H514" i="5"/>
  <c r="G514" i="5"/>
  <c r="Q514" i="5" s="1"/>
  <c r="F514" i="5"/>
  <c r="E514" i="5"/>
  <c r="P514" i="5" s="1"/>
  <c r="D514" i="5"/>
  <c r="U504" i="5"/>
  <c r="T504" i="5"/>
  <c r="S504" i="5"/>
  <c r="I504" i="5"/>
  <c r="R504" i="5" s="1"/>
  <c r="H504" i="5"/>
  <c r="G504" i="5"/>
  <c r="Q504" i="5" s="1"/>
  <c r="F504" i="5"/>
  <c r="E504" i="5"/>
  <c r="P504" i="5" s="1"/>
  <c r="D504" i="5"/>
  <c r="U494" i="5"/>
  <c r="T494" i="5"/>
  <c r="S494" i="5"/>
  <c r="I494" i="5"/>
  <c r="R494" i="5" s="1"/>
  <c r="H494" i="5"/>
  <c r="G494" i="5"/>
  <c r="Q494" i="5" s="1"/>
  <c r="F494" i="5"/>
  <c r="E494" i="5"/>
  <c r="P494" i="5" s="1"/>
  <c r="D494" i="5"/>
  <c r="U484" i="5"/>
  <c r="T484" i="5"/>
  <c r="S484" i="5"/>
  <c r="I484" i="5"/>
  <c r="R484" i="5" s="1"/>
  <c r="H484" i="5"/>
  <c r="G484" i="5"/>
  <c r="Q484" i="5" s="1"/>
  <c r="F484" i="5"/>
  <c r="E484" i="5"/>
  <c r="P484" i="5" s="1"/>
  <c r="D484" i="5"/>
  <c r="U474" i="5"/>
  <c r="T474" i="5"/>
  <c r="S474" i="5"/>
  <c r="I474" i="5"/>
  <c r="R474" i="5" s="1"/>
  <c r="H474" i="5"/>
  <c r="G474" i="5"/>
  <c r="Q474" i="5" s="1"/>
  <c r="F474" i="5"/>
  <c r="E474" i="5"/>
  <c r="P474" i="5" s="1"/>
  <c r="D474" i="5"/>
  <c r="U464" i="5"/>
  <c r="T464" i="5"/>
  <c r="S464" i="5"/>
  <c r="I464" i="5"/>
  <c r="R464" i="5" s="1"/>
  <c r="H464" i="5"/>
  <c r="G464" i="5"/>
  <c r="Q464" i="5" s="1"/>
  <c r="F464" i="5"/>
  <c r="E464" i="5"/>
  <c r="P464" i="5" s="1"/>
  <c r="D464" i="5"/>
  <c r="U454" i="5"/>
  <c r="T454" i="5"/>
  <c r="S454" i="5"/>
  <c r="I454" i="5"/>
  <c r="R454" i="5" s="1"/>
  <c r="H454" i="5"/>
  <c r="G454" i="5"/>
  <c r="Q454" i="5" s="1"/>
  <c r="F454" i="5"/>
  <c r="E454" i="5"/>
  <c r="P454" i="5" s="1"/>
  <c r="D454" i="5"/>
  <c r="U444" i="5"/>
  <c r="T444" i="5"/>
  <c r="S444" i="5"/>
  <c r="I444" i="5"/>
  <c r="R444" i="5" s="1"/>
  <c r="H444" i="5"/>
  <c r="G444" i="5"/>
  <c r="Q444" i="5" s="1"/>
  <c r="F444" i="5"/>
  <c r="E444" i="5"/>
  <c r="P444" i="5" s="1"/>
  <c r="D444" i="5"/>
  <c r="U434" i="5"/>
  <c r="T434" i="5"/>
  <c r="S434" i="5"/>
  <c r="I434" i="5"/>
  <c r="R434" i="5" s="1"/>
  <c r="H434" i="5"/>
  <c r="G434" i="5"/>
  <c r="Q434" i="5" s="1"/>
  <c r="F434" i="5"/>
  <c r="E434" i="5"/>
  <c r="P434" i="5" s="1"/>
  <c r="D434" i="5"/>
  <c r="U424" i="5"/>
  <c r="T424" i="5"/>
  <c r="S424" i="5"/>
  <c r="I424" i="5"/>
  <c r="R424" i="5" s="1"/>
  <c r="H424" i="5"/>
  <c r="G424" i="5"/>
  <c r="Q424" i="5" s="1"/>
  <c r="F424" i="5"/>
  <c r="E424" i="5"/>
  <c r="P424" i="5" s="1"/>
  <c r="D424" i="5"/>
  <c r="U414" i="5"/>
  <c r="T414" i="5"/>
  <c r="S414" i="5"/>
  <c r="I414" i="5"/>
  <c r="R414" i="5" s="1"/>
  <c r="H414" i="5"/>
  <c r="G414" i="5"/>
  <c r="Q414" i="5" s="1"/>
  <c r="F414" i="5"/>
  <c r="E414" i="5"/>
  <c r="P414" i="5" s="1"/>
  <c r="D414" i="5"/>
  <c r="U404" i="5"/>
  <c r="T404" i="5"/>
  <c r="S404" i="5"/>
  <c r="I404" i="5"/>
  <c r="R404" i="5" s="1"/>
  <c r="H404" i="5"/>
  <c r="G404" i="5"/>
  <c r="Q404" i="5" s="1"/>
  <c r="F404" i="5"/>
  <c r="E404" i="5"/>
  <c r="P404" i="5" s="1"/>
  <c r="D404" i="5"/>
  <c r="U394" i="5"/>
  <c r="T394" i="5"/>
  <c r="S394" i="5"/>
  <c r="I394" i="5"/>
  <c r="R394" i="5" s="1"/>
  <c r="H394" i="5"/>
  <c r="G394" i="5"/>
  <c r="Q394" i="5" s="1"/>
  <c r="F394" i="5"/>
  <c r="E394" i="5"/>
  <c r="P394" i="5" s="1"/>
  <c r="D394" i="5"/>
  <c r="U384" i="5"/>
  <c r="T384" i="5"/>
  <c r="S384" i="5"/>
  <c r="I384" i="5"/>
  <c r="R384" i="5" s="1"/>
  <c r="H384" i="5"/>
  <c r="G384" i="5"/>
  <c r="Q384" i="5" s="1"/>
  <c r="F384" i="5"/>
  <c r="E384" i="5"/>
  <c r="P384" i="5" s="1"/>
  <c r="D384" i="5"/>
  <c r="U374" i="5"/>
  <c r="T374" i="5"/>
  <c r="S374" i="5"/>
  <c r="I374" i="5"/>
  <c r="R374" i="5" s="1"/>
  <c r="H374" i="5"/>
  <c r="G374" i="5"/>
  <c r="Q374" i="5" s="1"/>
  <c r="F374" i="5"/>
  <c r="E374" i="5"/>
  <c r="P374" i="5" s="1"/>
  <c r="D374" i="5"/>
  <c r="U364" i="5"/>
  <c r="T364" i="5"/>
  <c r="S364" i="5"/>
  <c r="I364" i="5"/>
  <c r="R364" i="5" s="1"/>
  <c r="H364" i="5"/>
  <c r="G364" i="5"/>
  <c r="Q364" i="5" s="1"/>
  <c r="F364" i="5"/>
  <c r="E364" i="5"/>
  <c r="P364" i="5" s="1"/>
  <c r="D364" i="5"/>
  <c r="U354" i="5"/>
  <c r="T354" i="5"/>
  <c r="S354" i="5"/>
  <c r="I354" i="5"/>
  <c r="R354" i="5" s="1"/>
  <c r="H354" i="5"/>
  <c r="G354" i="5"/>
  <c r="Q354" i="5" s="1"/>
  <c r="F354" i="5"/>
  <c r="E354" i="5"/>
  <c r="P354" i="5" s="1"/>
  <c r="D354" i="5"/>
  <c r="U344" i="5"/>
  <c r="T344" i="5"/>
  <c r="S344" i="5"/>
  <c r="I344" i="5"/>
  <c r="R344" i="5" s="1"/>
  <c r="H344" i="5"/>
  <c r="G344" i="5"/>
  <c r="Q344" i="5" s="1"/>
  <c r="F344" i="5"/>
  <c r="E344" i="5"/>
  <c r="P344" i="5" s="1"/>
  <c r="D344" i="5"/>
  <c r="U334" i="5"/>
  <c r="T334" i="5"/>
  <c r="S334" i="5"/>
  <c r="I334" i="5"/>
  <c r="R334" i="5" s="1"/>
  <c r="H334" i="5"/>
  <c r="G334" i="5"/>
  <c r="Q334" i="5" s="1"/>
  <c r="F334" i="5"/>
  <c r="E334" i="5"/>
  <c r="P334" i="5" s="1"/>
  <c r="D334" i="5"/>
  <c r="U324" i="5"/>
  <c r="T324" i="5"/>
  <c r="S324" i="5"/>
  <c r="I324" i="5"/>
  <c r="R324" i="5" s="1"/>
  <c r="H324" i="5"/>
  <c r="G324" i="5"/>
  <c r="Q324" i="5" s="1"/>
  <c r="F324" i="5"/>
  <c r="E324" i="5"/>
  <c r="P324" i="5" s="1"/>
  <c r="D324" i="5"/>
  <c r="U314" i="5"/>
  <c r="T314" i="5"/>
  <c r="S314" i="5"/>
  <c r="I314" i="5"/>
  <c r="R314" i="5" s="1"/>
  <c r="H314" i="5"/>
  <c r="G314" i="5"/>
  <c r="Q314" i="5" s="1"/>
  <c r="F314" i="5"/>
  <c r="E314" i="5"/>
  <c r="P314" i="5" s="1"/>
  <c r="D314" i="5"/>
  <c r="U304" i="5"/>
  <c r="T304" i="5"/>
  <c r="S304" i="5"/>
  <c r="I304" i="5"/>
  <c r="R304" i="5" s="1"/>
  <c r="H304" i="5"/>
  <c r="G304" i="5"/>
  <c r="Q304" i="5" s="1"/>
  <c r="F304" i="5"/>
  <c r="E304" i="5"/>
  <c r="P304" i="5" s="1"/>
  <c r="D304" i="5"/>
  <c r="U294" i="5"/>
  <c r="T294" i="5"/>
  <c r="S294" i="5"/>
  <c r="I294" i="5"/>
  <c r="R294" i="5" s="1"/>
  <c r="H294" i="5"/>
  <c r="G294" i="5"/>
  <c r="Q294" i="5" s="1"/>
  <c r="F294" i="5"/>
  <c r="E294" i="5"/>
  <c r="P294" i="5" s="1"/>
  <c r="D294" i="5"/>
  <c r="U284" i="5"/>
  <c r="T284" i="5"/>
  <c r="S284" i="5"/>
  <c r="I284" i="5"/>
  <c r="R284" i="5" s="1"/>
  <c r="H284" i="5"/>
  <c r="G284" i="5"/>
  <c r="Q284" i="5" s="1"/>
  <c r="F284" i="5"/>
  <c r="E284" i="5"/>
  <c r="P284" i="5" s="1"/>
  <c r="D284" i="5"/>
  <c r="U274" i="5"/>
  <c r="T274" i="5"/>
  <c r="S274" i="5"/>
  <c r="I274" i="5"/>
  <c r="R274" i="5" s="1"/>
  <c r="H274" i="5"/>
  <c r="G274" i="5"/>
  <c r="Q274" i="5" s="1"/>
  <c r="F274" i="5"/>
  <c r="E274" i="5"/>
  <c r="P274" i="5" s="1"/>
  <c r="D274" i="5"/>
  <c r="U257" i="5"/>
  <c r="T257" i="5"/>
  <c r="S257" i="5"/>
  <c r="I257" i="5"/>
  <c r="R257" i="5" s="1"/>
  <c r="H257" i="5"/>
  <c r="G257" i="5"/>
  <c r="Q257" i="5" s="1"/>
  <c r="F257" i="5"/>
  <c r="E257" i="5"/>
  <c r="P257" i="5" s="1"/>
  <c r="D257" i="5"/>
  <c r="U240" i="5"/>
  <c r="T240" i="5"/>
  <c r="S240" i="5"/>
  <c r="I240" i="5"/>
  <c r="R240" i="5" s="1"/>
  <c r="H240" i="5"/>
  <c r="G240" i="5"/>
  <c r="Q240" i="5" s="1"/>
  <c r="F240" i="5"/>
  <c r="E240" i="5"/>
  <c r="P240" i="5" s="1"/>
  <c r="D240" i="5"/>
  <c r="U223" i="5"/>
  <c r="T223" i="5"/>
  <c r="S223" i="5"/>
  <c r="I223" i="5"/>
  <c r="R223" i="5" s="1"/>
  <c r="H223" i="5"/>
  <c r="G223" i="5"/>
  <c r="Q223" i="5" s="1"/>
  <c r="F223" i="5"/>
  <c r="E223" i="5"/>
  <c r="P223" i="5" s="1"/>
  <c r="D223" i="5"/>
  <c r="U206" i="5"/>
  <c r="T206" i="5"/>
  <c r="S206" i="5"/>
  <c r="I206" i="5"/>
  <c r="R206" i="5" s="1"/>
  <c r="H206" i="5"/>
  <c r="G206" i="5"/>
  <c r="Q206" i="5" s="1"/>
  <c r="F206" i="5"/>
  <c r="E206" i="5"/>
  <c r="P206" i="5" s="1"/>
  <c r="D206" i="5"/>
  <c r="U189" i="5"/>
  <c r="T189" i="5"/>
  <c r="S189" i="5"/>
  <c r="I189" i="5"/>
  <c r="R189" i="5" s="1"/>
  <c r="H189" i="5"/>
  <c r="G189" i="5"/>
  <c r="Q189" i="5" s="1"/>
  <c r="F189" i="5"/>
  <c r="E189" i="5"/>
  <c r="P189" i="5" s="1"/>
  <c r="D189" i="5"/>
  <c r="U179" i="5"/>
  <c r="T179" i="5"/>
  <c r="S179" i="5"/>
  <c r="I179" i="5"/>
  <c r="R179" i="5" s="1"/>
  <c r="H179" i="5"/>
  <c r="G179" i="5"/>
  <c r="Q179" i="5" s="1"/>
  <c r="F179" i="5"/>
  <c r="E179" i="5"/>
  <c r="P179" i="5" s="1"/>
  <c r="D179" i="5"/>
  <c r="U169" i="5"/>
  <c r="T169" i="5"/>
  <c r="S169" i="5"/>
  <c r="I169" i="5"/>
  <c r="R169" i="5" s="1"/>
  <c r="H169" i="5"/>
  <c r="G169" i="5"/>
  <c r="Q169" i="5" s="1"/>
  <c r="F169" i="5"/>
  <c r="E169" i="5"/>
  <c r="P169" i="5" s="1"/>
  <c r="D169" i="5"/>
  <c r="U159" i="5"/>
  <c r="T159" i="5"/>
  <c r="S159" i="5"/>
  <c r="I159" i="5"/>
  <c r="R159" i="5" s="1"/>
  <c r="H159" i="5"/>
  <c r="G159" i="5"/>
  <c r="Q159" i="5" s="1"/>
  <c r="F159" i="5"/>
  <c r="E159" i="5"/>
  <c r="P159" i="5" s="1"/>
  <c r="D159" i="5"/>
  <c r="U142" i="5"/>
  <c r="T142" i="5"/>
  <c r="S142" i="5"/>
  <c r="I142" i="5"/>
  <c r="R142" i="5" s="1"/>
  <c r="H142" i="5"/>
  <c r="G142" i="5"/>
  <c r="Q142" i="5" s="1"/>
  <c r="F142" i="5"/>
  <c r="E142" i="5"/>
  <c r="P142" i="5" s="1"/>
  <c r="D142" i="5"/>
  <c r="U127" i="5"/>
  <c r="T127" i="5"/>
  <c r="S127" i="5"/>
  <c r="I127" i="5"/>
  <c r="R127" i="5" s="1"/>
  <c r="H127" i="5"/>
  <c r="G127" i="5"/>
  <c r="Q127" i="5" s="1"/>
  <c r="F127" i="5"/>
  <c r="E127" i="5"/>
  <c r="P127" i="5" s="1"/>
  <c r="D127" i="5"/>
  <c r="U110" i="5"/>
  <c r="T110" i="5"/>
  <c r="S110" i="5"/>
  <c r="I110" i="5"/>
  <c r="R110" i="5" s="1"/>
  <c r="H110" i="5"/>
  <c r="G110" i="5"/>
  <c r="Q110" i="5" s="1"/>
  <c r="F110" i="5"/>
  <c r="E110" i="5"/>
  <c r="P110" i="5" s="1"/>
  <c r="D110" i="5"/>
  <c r="U93" i="5"/>
  <c r="T93" i="5"/>
  <c r="S93" i="5"/>
  <c r="I93" i="5"/>
  <c r="R93" i="5" s="1"/>
  <c r="H93" i="5"/>
  <c r="G93" i="5"/>
  <c r="Q93" i="5" s="1"/>
  <c r="F93" i="5"/>
  <c r="E93" i="5"/>
  <c r="P93" i="5" s="1"/>
  <c r="D93" i="5"/>
  <c r="U76" i="5"/>
  <c r="T76" i="5"/>
  <c r="S76" i="5"/>
  <c r="I76" i="5"/>
  <c r="R76" i="5" s="1"/>
  <c r="H76" i="5"/>
  <c r="G76" i="5"/>
  <c r="Q76" i="5" s="1"/>
  <c r="F76" i="5"/>
  <c r="E76" i="5"/>
  <c r="P76" i="5" s="1"/>
  <c r="D76" i="5"/>
  <c r="U59" i="5"/>
  <c r="T59" i="5"/>
  <c r="S59" i="5"/>
  <c r="I59" i="5"/>
  <c r="R59" i="5" s="1"/>
  <c r="H59" i="5"/>
  <c r="G59" i="5"/>
  <c r="Q59" i="5" s="1"/>
  <c r="F59" i="5"/>
  <c r="E59" i="5"/>
  <c r="P59" i="5" s="1"/>
  <c r="D59" i="5"/>
  <c r="U42" i="5"/>
  <c r="T42" i="5"/>
  <c r="S42" i="5"/>
  <c r="I42" i="5"/>
  <c r="R42" i="5" s="1"/>
  <c r="H42" i="5"/>
  <c r="G42" i="5"/>
  <c r="Q42" i="5" s="1"/>
  <c r="F42" i="5"/>
  <c r="E42" i="5"/>
  <c r="P42" i="5" s="1"/>
  <c r="D42" i="5"/>
  <c r="U25" i="5"/>
  <c r="T25" i="5"/>
  <c r="S25" i="5"/>
  <c r="I25" i="5"/>
  <c r="R25" i="5" s="1"/>
  <c r="H25" i="5"/>
  <c r="G25" i="5"/>
  <c r="Q25" i="5" s="1"/>
  <c r="F25" i="5"/>
  <c r="E25" i="5"/>
  <c r="P25" i="5" s="1"/>
  <c r="D25" i="5"/>
  <c r="U15" i="5"/>
  <c r="T15" i="5"/>
  <c r="S15" i="5"/>
  <c r="I15" i="5"/>
  <c r="R15" i="5" s="1"/>
  <c r="H15" i="5"/>
  <c r="G15" i="5"/>
  <c r="Q15" i="5" s="1"/>
  <c r="F15" i="5"/>
  <c r="E15" i="5"/>
  <c r="P15" i="5" s="1"/>
  <c r="D15" i="5"/>
  <c r="U5" i="5"/>
  <c r="T5" i="5"/>
  <c r="S5" i="5"/>
  <c r="I5" i="5"/>
  <c r="R5" i="5" s="1"/>
  <c r="H5" i="5"/>
  <c r="G5" i="5"/>
  <c r="Q5" i="5" s="1"/>
  <c r="F5" i="5"/>
  <c r="E5" i="5"/>
  <c r="P5" i="5" s="1"/>
  <c r="D5" i="5"/>
  <c r="U735" i="5"/>
  <c r="T735" i="5"/>
  <c r="S735" i="5"/>
  <c r="I735" i="5"/>
  <c r="R735" i="5" s="1"/>
  <c r="H735" i="5"/>
  <c r="G735" i="5"/>
  <c r="Q735" i="5" s="1"/>
  <c r="F735" i="5"/>
  <c r="E735" i="5"/>
  <c r="P735" i="5" s="1"/>
  <c r="D735" i="5"/>
  <c r="U724" i="5"/>
  <c r="T724" i="5"/>
  <c r="S724" i="5"/>
  <c r="I724" i="5"/>
  <c r="R724" i="5" s="1"/>
  <c r="H724" i="5"/>
  <c r="G724" i="5"/>
  <c r="Q724" i="5" s="1"/>
  <c r="F724" i="5"/>
  <c r="E724" i="5"/>
  <c r="P724" i="5" s="1"/>
  <c r="D724" i="5"/>
  <c r="U713" i="5"/>
  <c r="T713" i="5"/>
  <c r="S713" i="5"/>
  <c r="I713" i="5"/>
  <c r="R713" i="5" s="1"/>
  <c r="H713" i="5"/>
  <c r="G713" i="5"/>
  <c r="Q713" i="5" s="1"/>
  <c r="F713" i="5"/>
  <c r="E713" i="5"/>
  <c r="P713" i="5" s="1"/>
  <c r="D713" i="5"/>
  <c r="U703" i="5"/>
  <c r="T703" i="5"/>
  <c r="S703" i="5"/>
  <c r="I703" i="5"/>
  <c r="R703" i="5" s="1"/>
  <c r="H703" i="5"/>
  <c r="G703" i="5"/>
  <c r="Q703" i="5" s="1"/>
  <c r="F703" i="5"/>
  <c r="E703" i="5"/>
  <c r="P703" i="5" s="1"/>
  <c r="D703" i="5"/>
  <c r="U693" i="5"/>
  <c r="T693" i="5"/>
  <c r="S693" i="5"/>
  <c r="I693" i="5"/>
  <c r="R693" i="5" s="1"/>
  <c r="H693" i="5"/>
  <c r="G693" i="5"/>
  <c r="Q693" i="5" s="1"/>
  <c r="F693" i="5"/>
  <c r="E693" i="5"/>
  <c r="P693" i="5" s="1"/>
  <c r="D693" i="5"/>
  <c r="U683" i="5"/>
  <c r="T683" i="5"/>
  <c r="S683" i="5"/>
  <c r="I683" i="5"/>
  <c r="R683" i="5" s="1"/>
  <c r="H683" i="5"/>
  <c r="G683" i="5"/>
  <c r="Q683" i="5" s="1"/>
  <c r="F683" i="5"/>
  <c r="E683" i="5"/>
  <c r="P683" i="5" s="1"/>
  <c r="D683" i="5"/>
  <c r="U673" i="5"/>
  <c r="T673" i="5"/>
  <c r="S673" i="5"/>
  <c r="I673" i="5"/>
  <c r="R673" i="5" s="1"/>
  <c r="H673" i="5"/>
  <c r="G673" i="5"/>
  <c r="Q673" i="5" s="1"/>
  <c r="F673" i="5"/>
  <c r="E673" i="5"/>
  <c r="P673" i="5" s="1"/>
  <c r="D673" i="5"/>
  <c r="U663" i="5"/>
  <c r="T663" i="5"/>
  <c r="S663" i="5"/>
  <c r="I663" i="5"/>
  <c r="R663" i="5" s="1"/>
  <c r="H663" i="5"/>
  <c r="G663" i="5"/>
  <c r="Q663" i="5" s="1"/>
  <c r="F663" i="5"/>
  <c r="E663" i="5"/>
  <c r="P663" i="5" s="1"/>
  <c r="D663" i="5"/>
  <c r="U653" i="5"/>
  <c r="T653" i="5"/>
  <c r="S653" i="5"/>
  <c r="I653" i="5"/>
  <c r="R653" i="5" s="1"/>
  <c r="H653" i="5"/>
  <c r="G653" i="5"/>
  <c r="Q653" i="5" s="1"/>
  <c r="F653" i="5"/>
  <c r="E653" i="5"/>
  <c r="P653" i="5" s="1"/>
  <c r="D653" i="5"/>
  <c r="U643" i="5"/>
  <c r="T643" i="5"/>
  <c r="S643" i="5"/>
  <c r="I643" i="5"/>
  <c r="R643" i="5" s="1"/>
  <c r="H643" i="5"/>
  <c r="G643" i="5"/>
  <c r="Q643" i="5" s="1"/>
  <c r="F643" i="5"/>
  <c r="E643" i="5"/>
  <c r="P643" i="5" s="1"/>
  <c r="D643" i="5"/>
  <c r="U633" i="5"/>
  <c r="T633" i="5"/>
  <c r="S633" i="5"/>
  <c r="I633" i="5"/>
  <c r="R633" i="5" s="1"/>
  <c r="H633" i="5"/>
  <c r="G633" i="5"/>
  <c r="Q633" i="5" s="1"/>
  <c r="F633" i="5"/>
  <c r="E633" i="5"/>
  <c r="P633" i="5" s="1"/>
  <c r="D633" i="5"/>
  <c r="U623" i="5"/>
  <c r="T623" i="5"/>
  <c r="S623" i="5"/>
  <c r="I623" i="5"/>
  <c r="R623" i="5" s="1"/>
  <c r="H623" i="5"/>
  <c r="G623" i="5"/>
  <c r="Q623" i="5" s="1"/>
  <c r="F623" i="5"/>
  <c r="E623" i="5"/>
  <c r="P623" i="5" s="1"/>
  <c r="D623" i="5"/>
  <c r="U613" i="5"/>
  <c r="T613" i="5"/>
  <c r="S613" i="5"/>
  <c r="I613" i="5"/>
  <c r="R613" i="5" s="1"/>
  <c r="H613" i="5"/>
  <c r="G613" i="5"/>
  <c r="Q613" i="5" s="1"/>
  <c r="F613" i="5"/>
  <c r="E613" i="5"/>
  <c r="P613" i="5" s="1"/>
  <c r="D613" i="5"/>
  <c r="U603" i="5"/>
  <c r="T603" i="5"/>
  <c r="S603" i="5"/>
  <c r="I603" i="5"/>
  <c r="R603" i="5" s="1"/>
  <c r="H603" i="5"/>
  <c r="G603" i="5"/>
  <c r="Q603" i="5" s="1"/>
  <c r="F603" i="5"/>
  <c r="E603" i="5"/>
  <c r="P603" i="5" s="1"/>
  <c r="D603" i="5"/>
  <c r="U593" i="5"/>
  <c r="T593" i="5"/>
  <c r="S593" i="5"/>
  <c r="I593" i="5"/>
  <c r="R593" i="5" s="1"/>
  <c r="H593" i="5"/>
  <c r="G593" i="5"/>
  <c r="Q593" i="5" s="1"/>
  <c r="F593" i="5"/>
  <c r="E593" i="5"/>
  <c r="P593" i="5" s="1"/>
  <c r="D593" i="5"/>
  <c r="U583" i="5"/>
  <c r="T583" i="5"/>
  <c r="S583" i="5"/>
  <c r="I583" i="5"/>
  <c r="R583" i="5" s="1"/>
  <c r="H583" i="5"/>
  <c r="G583" i="5"/>
  <c r="Q583" i="5" s="1"/>
  <c r="F583" i="5"/>
  <c r="E583" i="5"/>
  <c r="P583" i="5" s="1"/>
  <c r="D583" i="5"/>
  <c r="U573" i="5"/>
  <c r="T573" i="5"/>
  <c r="S573" i="5"/>
  <c r="I573" i="5"/>
  <c r="R573" i="5" s="1"/>
  <c r="H573" i="5"/>
  <c r="G573" i="5"/>
  <c r="Q573" i="5" s="1"/>
  <c r="F573" i="5"/>
  <c r="E573" i="5"/>
  <c r="P573" i="5" s="1"/>
  <c r="D573" i="5"/>
  <c r="U563" i="5"/>
  <c r="T563" i="5"/>
  <c r="S563" i="5"/>
  <c r="I563" i="5"/>
  <c r="R563" i="5" s="1"/>
  <c r="H563" i="5"/>
  <c r="G563" i="5"/>
  <c r="Q563" i="5" s="1"/>
  <c r="F563" i="5"/>
  <c r="E563" i="5"/>
  <c r="P563" i="5" s="1"/>
  <c r="D563" i="5"/>
  <c r="U553" i="5"/>
  <c r="T553" i="5"/>
  <c r="S553" i="5"/>
  <c r="I553" i="5"/>
  <c r="R553" i="5" s="1"/>
  <c r="H553" i="5"/>
  <c r="G553" i="5"/>
  <c r="Q553" i="5" s="1"/>
  <c r="F553" i="5"/>
  <c r="E553" i="5"/>
  <c r="P553" i="5" s="1"/>
  <c r="D553" i="5"/>
  <c r="U543" i="5"/>
  <c r="T543" i="5"/>
  <c r="S543" i="5"/>
  <c r="I543" i="5"/>
  <c r="R543" i="5" s="1"/>
  <c r="H543" i="5"/>
  <c r="G543" i="5"/>
  <c r="Q543" i="5" s="1"/>
  <c r="F543" i="5"/>
  <c r="E543" i="5"/>
  <c r="P543" i="5" s="1"/>
  <c r="D543" i="5"/>
  <c r="U533" i="5"/>
  <c r="T533" i="5"/>
  <c r="S533" i="5"/>
  <c r="I533" i="5"/>
  <c r="R533" i="5" s="1"/>
  <c r="H533" i="5"/>
  <c r="G533" i="5"/>
  <c r="Q533" i="5" s="1"/>
  <c r="F533" i="5"/>
  <c r="E533" i="5"/>
  <c r="P533" i="5" s="1"/>
  <c r="D533" i="5"/>
  <c r="U523" i="5"/>
  <c r="T523" i="5"/>
  <c r="S523" i="5"/>
  <c r="I523" i="5"/>
  <c r="R523" i="5" s="1"/>
  <c r="H523" i="5"/>
  <c r="G523" i="5"/>
  <c r="Q523" i="5" s="1"/>
  <c r="F523" i="5"/>
  <c r="E523" i="5"/>
  <c r="P523" i="5" s="1"/>
  <c r="D523" i="5"/>
  <c r="U513" i="5"/>
  <c r="T513" i="5"/>
  <c r="S513" i="5"/>
  <c r="I513" i="5"/>
  <c r="R513" i="5" s="1"/>
  <c r="H513" i="5"/>
  <c r="G513" i="5"/>
  <c r="Q513" i="5" s="1"/>
  <c r="F513" i="5"/>
  <c r="E513" i="5"/>
  <c r="P513" i="5" s="1"/>
  <c r="D513" i="5"/>
  <c r="U503" i="5"/>
  <c r="T503" i="5"/>
  <c r="S503" i="5"/>
  <c r="I503" i="5"/>
  <c r="R503" i="5" s="1"/>
  <c r="H503" i="5"/>
  <c r="G503" i="5"/>
  <c r="Q503" i="5" s="1"/>
  <c r="F503" i="5"/>
  <c r="E503" i="5"/>
  <c r="P503" i="5" s="1"/>
  <c r="D503" i="5"/>
  <c r="U493" i="5"/>
  <c r="T493" i="5"/>
  <c r="S493" i="5"/>
  <c r="I493" i="5"/>
  <c r="R493" i="5" s="1"/>
  <c r="H493" i="5"/>
  <c r="G493" i="5"/>
  <c r="Q493" i="5" s="1"/>
  <c r="F493" i="5"/>
  <c r="E493" i="5"/>
  <c r="P493" i="5" s="1"/>
  <c r="D493" i="5"/>
  <c r="U483" i="5"/>
  <c r="T483" i="5"/>
  <c r="S483" i="5"/>
  <c r="I483" i="5"/>
  <c r="R483" i="5" s="1"/>
  <c r="H483" i="5"/>
  <c r="G483" i="5"/>
  <c r="Q483" i="5" s="1"/>
  <c r="F483" i="5"/>
  <c r="E483" i="5"/>
  <c r="P483" i="5" s="1"/>
  <c r="D483" i="5"/>
  <c r="U473" i="5"/>
  <c r="T473" i="5"/>
  <c r="S473" i="5"/>
  <c r="I473" i="5"/>
  <c r="R473" i="5" s="1"/>
  <c r="H473" i="5"/>
  <c r="G473" i="5"/>
  <c r="Q473" i="5" s="1"/>
  <c r="F473" i="5"/>
  <c r="E473" i="5"/>
  <c r="P473" i="5" s="1"/>
  <c r="D473" i="5"/>
  <c r="U463" i="5"/>
  <c r="T463" i="5"/>
  <c r="S463" i="5"/>
  <c r="I463" i="5"/>
  <c r="R463" i="5" s="1"/>
  <c r="H463" i="5"/>
  <c r="G463" i="5"/>
  <c r="Q463" i="5" s="1"/>
  <c r="F463" i="5"/>
  <c r="E463" i="5"/>
  <c r="P463" i="5" s="1"/>
  <c r="D463" i="5"/>
  <c r="U453" i="5"/>
  <c r="T453" i="5"/>
  <c r="S453" i="5"/>
  <c r="I453" i="5"/>
  <c r="R453" i="5" s="1"/>
  <c r="H453" i="5"/>
  <c r="G453" i="5"/>
  <c r="Q453" i="5" s="1"/>
  <c r="F453" i="5"/>
  <c r="E453" i="5"/>
  <c r="P453" i="5" s="1"/>
  <c r="D453" i="5"/>
  <c r="U443" i="5"/>
  <c r="T443" i="5"/>
  <c r="S443" i="5"/>
  <c r="I443" i="5"/>
  <c r="R443" i="5" s="1"/>
  <c r="H443" i="5"/>
  <c r="G443" i="5"/>
  <c r="Q443" i="5" s="1"/>
  <c r="F443" i="5"/>
  <c r="E443" i="5"/>
  <c r="P443" i="5" s="1"/>
  <c r="D443" i="5"/>
  <c r="U433" i="5"/>
  <c r="T433" i="5"/>
  <c r="S433" i="5"/>
  <c r="I433" i="5"/>
  <c r="R433" i="5" s="1"/>
  <c r="H433" i="5"/>
  <c r="G433" i="5"/>
  <c r="Q433" i="5" s="1"/>
  <c r="F433" i="5"/>
  <c r="E433" i="5"/>
  <c r="P433" i="5" s="1"/>
  <c r="D433" i="5"/>
  <c r="U423" i="5"/>
  <c r="T423" i="5"/>
  <c r="S423" i="5"/>
  <c r="I423" i="5"/>
  <c r="R423" i="5" s="1"/>
  <c r="H423" i="5"/>
  <c r="G423" i="5"/>
  <c r="Q423" i="5" s="1"/>
  <c r="F423" i="5"/>
  <c r="E423" i="5"/>
  <c r="P423" i="5" s="1"/>
  <c r="D423" i="5"/>
  <c r="U413" i="5"/>
  <c r="T413" i="5"/>
  <c r="S413" i="5"/>
  <c r="I413" i="5"/>
  <c r="R413" i="5" s="1"/>
  <c r="H413" i="5"/>
  <c r="G413" i="5"/>
  <c r="Q413" i="5" s="1"/>
  <c r="F413" i="5"/>
  <c r="E413" i="5"/>
  <c r="P413" i="5" s="1"/>
  <c r="D413" i="5"/>
  <c r="U403" i="5"/>
  <c r="T403" i="5"/>
  <c r="S403" i="5"/>
  <c r="I403" i="5"/>
  <c r="R403" i="5" s="1"/>
  <c r="H403" i="5"/>
  <c r="G403" i="5"/>
  <c r="Q403" i="5" s="1"/>
  <c r="F403" i="5"/>
  <c r="E403" i="5"/>
  <c r="P403" i="5" s="1"/>
  <c r="D403" i="5"/>
  <c r="U393" i="5"/>
  <c r="T393" i="5"/>
  <c r="S393" i="5"/>
  <c r="I393" i="5"/>
  <c r="R393" i="5" s="1"/>
  <c r="H393" i="5"/>
  <c r="G393" i="5"/>
  <c r="Q393" i="5" s="1"/>
  <c r="F393" i="5"/>
  <c r="E393" i="5"/>
  <c r="P393" i="5" s="1"/>
  <c r="D393" i="5"/>
  <c r="U383" i="5"/>
  <c r="T383" i="5"/>
  <c r="S383" i="5"/>
  <c r="I383" i="5"/>
  <c r="R383" i="5" s="1"/>
  <c r="H383" i="5"/>
  <c r="G383" i="5"/>
  <c r="Q383" i="5" s="1"/>
  <c r="F383" i="5"/>
  <c r="E383" i="5"/>
  <c r="P383" i="5" s="1"/>
  <c r="D383" i="5"/>
  <c r="U373" i="5"/>
  <c r="T373" i="5"/>
  <c r="S373" i="5"/>
  <c r="I373" i="5"/>
  <c r="R373" i="5" s="1"/>
  <c r="H373" i="5"/>
  <c r="G373" i="5"/>
  <c r="Q373" i="5" s="1"/>
  <c r="F373" i="5"/>
  <c r="E373" i="5"/>
  <c r="P373" i="5" s="1"/>
  <c r="D373" i="5"/>
  <c r="U363" i="5"/>
  <c r="T363" i="5"/>
  <c r="S363" i="5"/>
  <c r="I363" i="5"/>
  <c r="R363" i="5" s="1"/>
  <c r="H363" i="5"/>
  <c r="G363" i="5"/>
  <c r="Q363" i="5" s="1"/>
  <c r="F363" i="5"/>
  <c r="E363" i="5"/>
  <c r="P363" i="5" s="1"/>
  <c r="D363" i="5"/>
  <c r="U353" i="5"/>
  <c r="T353" i="5"/>
  <c r="S353" i="5"/>
  <c r="I353" i="5"/>
  <c r="R353" i="5" s="1"/>
  <c r="H353" i="5"/>
  <c r="G353" i="5"/>
  <c r="Q353" i="5" s="1"/>
  <c r="F353" i="5"/>
  <c r="E353" i="5"/>
  <c r="P353" i="5" s="1"/>
  <c r="D353" i="5"/>
  <c r="U343" i="5"/>
  <c r="T343" i="5"/>
  <c r="S343" i="5"/>
  <c r="I343" i="5"/>
  <c r="R343" i="5" s="1"/>
  <c r="H343" i="5"/>
  <c r="G343" i="5"/>
  <c r="Q343" i="5" s="1"/>
  <c r="F343" i="5"/>
  <c r="E343" i="5"/>
  <c r="P343" i="5" s="1"/>
  <c r="D343" i="5"/>
  <c r="U333" i="5"/>
  <c r="T333" i="5"/>
  <c r="S333" i="5"/>
  <c r="I333" i="5"/>
  <c r="R333" i="5" s="1"/>
  <c r="H333" i="5"/>
  <c r="G333" i="5"/>
  <c r="Q333" i="5" s="1"/>
  <c r="F333" i="5"/>
  <c r="E333" i="5"/>
  <c r="P333" i="5" s="1"/>
  <c r="D333" i="5"/>
  <c r="U323" i="5"/>
  <c r="T323" i="5"/>
  <c r="S323" i="5"/>
  <c r="I323" i="5"/>
  <c r="R323" i="5" s="1"/>
  <c r="H323" i="5"/>
  <c r="G323" i="5"/>
  <c r="Q323" i="5" s="1"/>
  <c r="F323" i="5"/>
  <c r="E323" i="5"/>
  <c r="P323" i="5" s="1"/>
  <c r="D323" i="5"/>
  <c r="U313" i="5"/>
  <c r="T313" i="5"/>
  <c r="S313" i="5"/>
  <c r="I313" i="5"/>
  <c r="R313" i="5" s="1"/>
  <c r="H313" i="5"/>
  <c r="G313" i="5"/>
  <c r="Q313" i="5" s="1"/>
  <c r="F313" i="5"/>
  <c r="E313" i="5"/>
  <c r="P313" i="5" s="1"/>
  <c r="D313" i="5"/>
  <c r="U303" i="5"/>
  <c r="T303" i="5"/>
  <c r="S303" i="5"/>
  <c r="I303" i="5"/>
  <c r="R303" i="5" s="1"/>
  <c r="H303" i="5"/>
  <c r="G303" i="5"/>
  <c r="Q303" i="5" s="1"/>
  <c r="F303" i="5"/>
  <c r="E303" i="5"/>
  <c r="P303" i="5" s="1"/>
  <c r="D303" i="5"/>
  <c r="U293" i="5"/>
  <c r="T293" i="5"/>
  <c r="S293" i="5"/>
  <c r="I293" i="5"/>
  <c r="R293" i="5" s="1"/>
  <c r="H293" i="5"/>
  <c r="G293" i="5"/>
  <c r="Q293" i="5" s="1"/>
  <c r="F293" i="5"/>
  <c r="E293" i="5"/>
  <c r="P293" i="5" s="1"/>
  <c r="D293" i="5"/>
  <c r="U283" i="5"/>
  <c r="T283" i="5"/>
  <c r="S283" i="5"/>
  <c r="I283" i="5"/>
  <c r="R283" i="5" s="1"/>
  <c r="H283" i="5"/>
  <c r="G283" i="5"/>
  <c r="Q283" i="5" s="1"/>
  <c r="F283" i="5"/>
  <c r="E283" i="5"/>
  <c r="P283" i="5" s="1"/>
  <c r="D283" i="5"/>
  <c r="U273" i="5"/>
  <c r="T273" i="5"/>
  <c r="S273" i="5"/>
  <c r="I273" i="5"/>
  <c r="R273" i="5" s="1"/>
  <c r="H273" i="5"/>
  <c r="G273" i="5"/>
  <c r="Q273" i="5" s="1"/>
  <c r="F273" i="5"/>
  <c r="E273" i="5"/>
  <c r="P273" i="5" s="1"/>
  <c r="D273" i="5"/>
  <c r="U256" i="5"/>
  <c r="T256" i="5"/>
  <c r="S256" i="5"/>
  <c r="I256" i="5"/>
  <c r="R256" i="5" s="1"/>
  <c r="H256" i="5"/>
  <c r="G256" i="5"/>
  <c r="Q256" i="5" s="1"/>
  <c r="F256" i="5"/>
  <c r="E256" i="5"/>
  <c r="P256" i="5" s="1"/>
  <c r="D256" i="5"/>
  <c r="U239" i="5"/>
  <c r="T239" i="5"/>
  <c r="S239" i="5"/>
  <c r="I239" i="5"/>
  <c r="R239" i="5" s="1"/>
  <c r="H239" i="5"/>
  <c r="G239" i="5"/>
  <c r="Q239" i="5" s="1"/>
  <c r="F239" i="5"/>
  <c r="E239" i="5"/>
  <c r="P239" i="5" s="1"/>
  <c r="D239" i="5"/>
  <c r="U222" i="5"/>
  <c r="T222" i="5"/>
  <c r="S222" i="5"/>
  <c r="I222" i="5"/>
  <c r="R222" i="5" s="1"/>
  <c r="H222" i="5"/>
  <c r="G222" i="5"/>
  <c r="Q222" i="5" s="1"/>
  <c r="F222" i="5"/>
  <c r="E222" i="5"/>
  <c r="P222" i="5" s="1"/>
  <c r="D222" i="5"/>
  <c r="U205" i="5"/>
  <c r="T205" i="5"/>
  <c r="S205" i="5"/>
  <c r="I205" i="5"/>
  <c r="R205" i="5" s="1"/>
  <c r="H205" i="5"/>
  <c r="G205" i="5"/>
  <c r="Q205" i="5" s="1"/>
  <c r="F205" i="5"/>
  <c r="E205" i="5"/>
  <c r="P205" i="5" s="1"/>
  <c r="D205" i="5"/>
  <c r="U188" i="5"/>
  <c r="T188" i="5"/>
  <c r="S188" i="5"/>
  <c r="I188" i="5"/>
  <c r="R188" i="5" s="1"/>
  <c r="H188" i="5"/>
  <c r="G188" i="5"/>
  <c r="Q188" i="5" s="1"/>
  <c r="F188" i="5"/>
  <c r="E188" i="5"/>
  <c r="P188" i="5" s="1"/>
  <c r="D188" i="5"/>
  <c r="U178" i="5"/>
  <c r="T178" i="5"/>
  <c r="S178" i="5"/>
  <c r="I178" i="5"/>
  <c r="R178" i="5" s="1"/>
  <c r="H178" i="5"/>
  <c r="G178" i="5"/>
  <c r="Q178" i="5" s="1"/>
  <c r="F178" i="5"/>
  <c r="E178" i="5"/>
  <c r="P178" i="5" s="1"/>
  <c r="D178" i="5"/>
  <c r="U168" i="5"/>
  <c r="T168" i="5"/>
  <c r="S168" i="5"/>
  <c r="I168" i="5"/>
  <c r="R168" i="5" s="1"/>
  <c r="H168" i="5"/>
  <c r="G168" i="5"/>
  <c r="Q168" i="5" s="1"/>
  <c r="F168" i="5"/>
  <c r="E168" i="5"/>
  <c r="P168" i="5" s="1"/>
  <c r="D168" i="5"/>
  <c r="U158" i="5"/>
  <c r="T158" i="5"/>
  <c r="S158" i="5"/>
  <c r="I158" i="5"/>
  <c r="R158" i="5" s="1"/>
  <c r="H158" i="5"/>
  <c r="G158" i="5"/>
  <c r="Q158" i="5" s="1"/>
  <c r="F158" i="5"/>
  <c r="E158" i="5"/>
  <c r="P158" i="5" s="1"/>
  <c r="D158" i="5"/>
  <c r="U126" i="5"/>
  <c r="T126" i="5"/>
  <c r="S126" i="5"/>
  <c r="I126" i="5"/>
  <c r="R126" i="5" s="1"/>
  <c r="H126" i="5"/>
  <c r="G126" i="5"/>
  <c r="Q126" i="5" s="1"/>
  <c r="F126" i="5"/>
  <c r="E126" i="5"/>
  <c r="P126" i="5" s="1"/>
  <c r="D126" i="5"/>
  <c r="U109" i="5"/>
  <c r="T109" i="5"/>
  <c r="S109" i="5"/>
  <c r="I109" i="5"/>
  <c r="R109" i="5" s="1"/>
  <c r="H109" i="5"/>
  <c r="G109" i="5"/>
  <c r="Q109" i="5" s="1"/>
  <c r="F109" i="5"/>
  <c r="E109" i="5"/>
  <c r="P109" i="5" s="1"/>
  <c r="D109" i="5"/>
  <c r="U92" i="5"/>
  <c r="T92" i="5"/>
  <c r="S92" i="5"/>
  <c r="I92" i="5"/>
  <c r="R92" i="5" s="1"/>
  <c r="H92" i="5"/>
  <c r="G92" i="5"/>
  <c r="Q92" i="5" s="1"/>
  <c r="F92" i="5"/>
  <c r="E92" i="5"/>
  <c r="P92" i="5" s="1"/>
  <c r="D92" i="5"/>
  <c r="U75" i="5"/>
  <c r="T75" i="5"/>
  <c r="S75" i="5"/>
  <c r="I75" i="5"/>
  <c r="R75" i="5" s="1"/>
  <c r="H75" i="5"/>
  <c r="G75" i="5"/>
  <c r="Q75" i="5" s="1"/>
  <c r="F75" i="5"/>
  <c r="E75" i="5"/>
  <c r="P75" i="5" s="1"/>
  <c r="D75" i="5"/>
  <c r="U58" i="5"/>
  <c r="T58" i="5"/>
  <c r="S58" i="5"/>
  <c r="I58" i="5"/>
  <c r="R58" i="5" s="1"/>
  <c r="H58" i="5"/>
  <c r="G58" i="5"/>
  <c r="Q58" i="5" s="1"/>
  <c r="F58" i="5"/>
  <c r="E58" i="5"/>
  <c r="P58" i="5" s="1"/>
  <c r="D58" i="5"/>
  <c r="U41" i="5"/>
  <c r="T41" i="5"/>
  <c r="S41" i="5"/>
  <c r="I41" i="5"/>
  <c r="R41" i="5" s="1"/>
  <c r="H41" i="5"/>
  <c r="G41" i="5"/>
  <c r="Q41" i="5" s="1"/>
  <c r="F41" i="5"/>
  <c r="E41" i="5"/>
  <c r="P41" i="5" s="1"/>
  <c r="D41" i="5"/>
  <c r="U24" i="5"/>
  <c r="T24" i="5"/>
  <c r="S24" i="5"/>
  <c r="I24" i="5"/>
  <c r="R24" i="5" s="1"/>
  <c r="H24" i="5"/>
  <c r="G24" i="5"/>
  <c r="Q24" i="5" s="1"/>
  <c r="F24" i="5"/>
  <c r="E24" i="5"/>
  <c r="P24" i="5" s="1"/>
  <c r="D24" i="5"/>
  <c r="U14" i="5"/>
  <c r="T14" i="5"/>
  <c r="S14" i="5"/>
  <c r="I14" i="5"/>
  <c r="R14" i="5" s="1"/>
  <c r="H14" i="5"/>
  <c r="G14" i="5"/>
  <c r="Q14" i="5" s="1"/>
  <c r="F14" i="5"/>
  <c r="E14" i="5"/>
  <c r="P14" i="5" s="1"/>
  <c r="D14" i="5"/>
  <c r="U4" i="5"/>
  <c r="T4" i="5"/>
  <c r="S4" i="5"/>
  <c r="I4" i="5"/>
  <c r="R4" i="5" s="1"/>
  <c r="H4" i="5"/>
  <c r="G4" i="5"/>
  <c r="Q4" i="5" s="1"/>
  <c r="F4" i="5"/>
  <c r="E4" i="5"/>
  <c r="P4" i="5" s="1"/>
  <c r="D4" i="5"/>
  <c r="U734" i="5"/>
  <c r="T734" i="5"/>
  <c r="S734" i="5"/>
  <c r="I734" i="5"/>
  <c r="R734" i="5" s="1"/>
  <c r="H734" i="5"/>
  <c r="G734" i="5"/>
  <c r="Q734" i="5" s="1"/>
  <c r="F734" i="5"/>
  <c r="E734" i="5"/>
  <c r="P734" i="5" s="1"/>
  <c r="D734" i="5"/>
  <c r="U723" i="5"/>
  <c r="T723" i="5"/>
  <c r="S723" i="5"/>
  <c r="I723" i="5"/>
  <c r="R723" i="5" s="1"/>
  <c r="H723" i="5"/>
  <c r="G723" i="5"/>
  <c r="Q723" i="5" s="1"/>
  <c r="F723" i="5"/>
  <c r="E723" i="5"/>
  <c r="P723" i="5" s="1"/>
  <c r="D723" i="5"/>
  <c r="U712" i="5"/>
  <c r="T712" i="5"/>
  <c r="S712" i="5"/>
  <c r="I712" i="5"/>
  <c r="R712" i="5" s="1"/>
  <c r="H712" i="5"/>
  <c r="G712" i="5"/>
  <c r="Q712" i="5" s="1"/>
  <c r="F712" i="5"/>
  <c r="E712" i="5"/>
  <c r="P712" i="5" s="1"/>
  <c r="D712" i="5"/>
  <c r="U702" i="5"/>
  <c r="T702" i="5"/>
  <c r="S702" i="5"/>
  <c r="I702" i="5"/>
  <c r="R702" i="5" s="1"/>
  <c r="H702" i="5"/>
  <c r="G702" i="5"/>
  <c r="Q702" i="5" s="1"/>
  <c r="F702" i="5"/>
  <c r="E702" i="5"/>
  <c r="P702" i="5" s="1"/>
  <c r="D702" i="5"/>
  <c r="U692" i="5"/>
  <c r="T692" i="5"/>
  <c r="S692" i="5"/>
  <c r="I692" i="5"/>
  <c r="R692" i="5" s="1"/>
  <c r="H692" i="5"/>
  <c r="G692" i="5"/>
  <c r="Q692" i="5" s="1"/>
  <c r="F692" i="5"/>
  <c r="E692" i="5"/>
  <c r="P692" i="5" s="1"/>
  <c r="D692" i="5"/>
  <c r="U682" i="5"/>
  <c r="T682" i="5"/>
  <c r="S682" i="5"/>
  <c r="I682" i="5"/>
  <c r="R682" i="5" s="1"/>
  <c r="H682" i="5"/>
  <c r="G682" i="5"/>
  <c r="Q682" i="5" s="1"/>
  <c r="F682" i="5"/>
  <c r="E682" i="5"/>
  <c r="P682" i="5" s="1"/>
  <c r="D682" i="5"/>
  <c r="U672" i="5"/>
  <c r="T672" i="5"/>
  <c r="S672" i="5"/>
  <c r="I672" i="5"/>
  <c r="R672" i="5" s="1"/>
  <c r="H672" i="5"/>
  <c r="G672" i="5"/>
  <c r="Q672" i="5" s="1"/>
  <c r="F672" i="5"/>
  <c r="E672" i="5"/>
  <c r="P672" i="5" s="1"/>
  <c r="D672" i="5"/>
  <c r="U662" i="5"/>
  <c r="T662" i="5"/>
  <c r="S662" i="5"/>
  <c r="I662" i="5"/>
  <c r="R662" i="5" s="1"/>
  <c r="H662" i="5"/>
  <c r="G662" i="5"/>
  <c r="Q662" i="5" s="1"/>
  <c r="F662" i="5"/>
  <c r="E662" i="5"/>
  <c r="P662" i="5" s="1"/>
  <c r="D662" i="5"/>
  <c r="U652" i="5"/>
  <c r="T652" i="5"/>
  <c r="S652" i="5"/>
  <c r="I652" i="5"/>
  <c r="R652" i="5" s="1"/>
  <c r="H652" i="5"/>
  <c r="G652" i="5"/>
  <c r="Q652" i="5" s="1"/>
  <c r="F652" i="5"/>
  <c r="E652" i="5"/>
  <c r="P652" i="5" s="1"/>
  <c r="D652" i="5"/>
  <c r="U642" i="5"/>
  <c r="T642" i="5"/>
  <c r="S642" i="5"/>
  <c r="I642" i="5"/>
  <c r="R642" i="5" s="1"/>
  <c r="H642" i="5"/>
  <c r="G642" i="5"/>
  <c r="Q642" i="5" s="1"/>
  <c r="F642" i="5"/>
  <c r="E642" i="5"/>
  <c r="P642" i="5" s="1"/>
  <c r="D642" i="5"/>
  <c r="U632" i="5"/>
  <c r="T632" i="5"/>
  <c r="S632" i="5"/>
  <c r="I632" i="5"/>
  <c r="R632" i="5" s="1"/>
  <c r="H632" i="5"/>
  <c r="G632" i="5"/>
  <c r="Q632" i="5" s="1"/>
  <c r="F632" i="5"/>
  <c r="E632" i="5"/>
  <c r="P632" i="5" s="1"/>
  <c r="D632" i="5"/>
  <c r="U622" i="5"/>
  <c r="T622" i="5"/>
  <c r="S622" i="5"/>
  <c r="I622" i="5"/>
  <c r="R622" i="5" s="1"/>
  <c r="H622" i="5"/>
  <c r="G622" i="5"/>
  <c r="Q622" i="5" s="1"/>
  <c r="F622" i="5"/>
  <c r="E622" i="5"/>
  <c r="P622" i="5" s="1"/>
  <c r="D622" i="5"/>
  <c r="U612" i="5"/>
  <c r="T612" i="5"/>
  <c r="S612" i="5"/>
  <c r="I612" i="5"/>
  <c r="R612" i="5" s="1"/>
  <c r="H612" i="5"/>
  <c r="G612" i="5"/>
  <c r="Q612" i="5" s="1"/>
  <c r="F612" i="5"/>
  <c r="E612" i="5"/>
  <c r="P612" i="5" s="1"/>
  <c r="D612" i="5"/>
  <c r="U602" i="5"/>
  <c r="T602" i="5"/>
  <c r="S602" i="5"/>
  <c r="I602" i="5"/>
  <c r="R602" i="5" s="1"/>
  <c r="H602" i="5"/>
  <c r="G602" i="5"/>
  <c r="Q602" i="5" s="1"/>
  <c r="F602" i="5"/>
  <c r="E602" i="5"/>
  <c r="P602" i="5" s="1"/>
  <c r="D602" i="5"/>
  <c r="U592" i="5"/>
  <c r="T592" i="5"/>
  <c r="S592" i="5"/>
  <c r="I592" i="5"/>
  <c r="R592" i="5" s="1"/>
  <c r="H592" i="5"/>
  <c r="G592" i="5"/>
  <c r="Q592" i="5" s="1"/>
  <c r="F592" i="5"/>
  <c r="E592" i="5"/>
  <c r="P592" i="5" s="1"/>
  <c r="D592" i="5"/>
  <c r="U582" i="5"/>
  <c r="T582" i="5"/>
  <c r="S582" i="5"/>
  <c r="I582" i="5"/>
  <c r="R582" i="5" s="1"/>
  <c r="H582" i="5"/>
  <c r="G582" i="5"/>
  <c r="Q582" i="5" s="1"/>
  <c r="F582" i="5"/>
  <c r="E582" i="5"/>
  <c r="P582" i="5" s="1"/>
  <c r="D582" i="5"/>
  <c r="U572" i="5"/>
  <c r="T572" i="5"/>
  <c r="S572" i="5"/>
  <c r="I572" i="5"/>
  <c r="R572" i="5" s="1"/>
  <c r="H572" i="5"/>
  <c r="G572" i="5"/>
  <c r="Q572" i="5" s="1"/>
  <c r="F572" i="5"/>
  <c r="E572" i="5"/>
  <c r="P572" i="5" s="1"/>
  <c r="D572" i="5"/>
  <c r="U562" i="5"/>
  <c r="T562" i="5"/>
  <c r="S562" i="5"/>
  <c r="I562" i="5"/>
  <c r="R562" i="5" s="1"/>
  <c r="H562" i="5"/>
  <c r="G562" i="5"/>
  <c r="Q562" i="5" s="1"/>
  <c r="F562" i="5"/>
  <c r="E562" i="5"/>
  <c r="P562" i="5" s="1"/>
  <c r="D562" i="5"/>
  <c r="U552" i="5"/>
  <c r="T552" i="5"/>
  <c r="S552" i="5"/>
  <c r="I552" i="5"/>
  <c r="R552" i="5" s="1"/>
  <c r="H552" i="5"/>
  <c r="G552" i="5"/>
  <c r="Q552" i="5" s="1"/>
  <c r="F552" i="5"/>
  <c r="E552" i="5"/>
  <c r="P552" i="5" s="1"/>
  <c r="D552" i="5"/>
  <c r="U542" i="5"/>
  <c r="T542" i="5"/>
  <c r="S542" i="5"/>
  <c r="I542" i="5"/>
  <c r="R542" i="5" s="1"/>
  <c r="H542" i="5"/>
  <c r="G542" i="5"/>
  <c r="Q542" i="5" s="1"/>
  <c r="F542" i="5"/>
  <c r="E542" i="5"/>
  <c r="P542" i="5" s="1"/>
  <c r="D542" i="5"/>
  <c r="U532" i="5"/>
  <c r="T532" i="5"/>
  <c r="S532" i="5"/>
  <c r="I532" i="5"/>
  <c r="R532" i="5" s="1"/>
  <c r="H532" i="5"/>
  <c r="G532" i="5"/>
  <c r="Q532" i="5" s="1"/>
  <c r="F532" i="5"/>
  <c r="E532" i="5"/>
  <c r="P532" i="5" s="1"/>
  <c r="D532" i="5"/>
  <c r="U522" i="5"/>
  <c r="T522" i="5"/>
  <c r="S522" i="5"/>
  <c r="I522" i="5"/>
  <c r="R522" i="5" s="1"/>
  <c r="H522" i="5"/>
  <c r="G522" i="5"/>
  <c r="Q522" i="5" s="1"/>
  <c r="F522" i="5"/>
  <c r="E522" i="5"/>
  <c r="P522" i="5" s="1"/>
  <c r="D522" i="5"/>
  <c r="U512" i="5"/>
  <c r="T512" i="5"/>
  <c r="S512" i="5"/>
  <c r="I512" i="5"/>
  <c r="R512" i="5" s="1"/>
  <c r="H512" i="5"/>
  <c r="G512" i="5"/>
  <c r="Q512" i="5" s="1"/>
  <c r="F512" i="5"/>
  <c r="E512" i="5"/>
  <c r="P512" i="5" s="1"/>
  <c r="D512" i="5"/>
  <c r="U502" i="5"/>
  <c r="T502" i="5"/>
  <c r="S502" i="5"/>
  <c r="I502" i="5"/>
  <c r="R502" i="5" s="1"/>
  <c r="H502" i="5"/>
  <c r="G502" i="5"/>
  <c r="Q502" i="5" s="1"/>
  <c r="F502" i="5"/>
  <c r="E502" i="5"/>
  <c r="P502" i="5" s="1"/>
  <c r="D502" i="5"/>
  <c r="U492" i="5"/>
  <c r="T492" i="5"/>
  <c r="S492" i="5"/>
  <c r="I492" i="5"/>
  <c r="R492" i="5" s="1"/>
  <c r="H492" i="5"/>
  <c r="G492" i="5"/>
  <c r="Q492" i="5" s="1"/>
  <c r="F492" i="5"/>
  <c r="E492" i="5"/>
  <c r="P492" i="5" s="1"/>
  <c r="D492" i="5"/>
  <c r="U482" i="5"/>
  <c r="T482" i="5"/>
  <c r="S482" i="5"/>
  <c r="I482" i="5"/>
  <c r="R482" i="5" s="1"/>
  <c r="H482" i="5"/>
  <c r="G482" i="5"/>
  <c r="Q482" i="5" s="1"/>
  <c r="F482" i="5"/>
  <c r="E482" i="5"/>
  <c r="P482" i="5" s="1"/>
  <c r="D482" i="5"/>
  <c r="U472" i="5"/>
  <c r="T472" i="5"/>
  <c r="S472" i="5"/>
  <c r="I472" i="5"/>
  <c r="R472" i="5" s="1"/>
  <c r="H472" i="5"/>
  <c r="G472" i="5"/>
  <c r="Q472" i="5" s="1"/>
  <c r="F472" i="5"/>
  <c r="E472" i="5"/>
  <c r="P472" i="5" s="1"/>
  <c r="D472" i="5"/>
  <c r="U462" i="5"/>
  <c r="T462" i="5"/>
  <c r="S462" i="5"/>
  <c r="I462" i="5"/>
  <c r="R462" i="5" s="1"/>
  <c r="H462" i="5"/>
  <c r="G462" i="5"/>
  <c r="Q462" i="5" s="1"/>
  <c r="F462" i="5"/>
  <c r="E462" i="5"/>
  <c r="P462" i="5" s="1"/>
  <c r="D462" i="5"/>
  <c r="U452" i="5"/>
  <c r="T452" i="5"/>
  <c r="S452" i="5"/>
  <c r="I452" i="5"/>
  <c r="R452" i="5" s="1"/>
  <c r="H452" i="5"/>
  <c r="G452" i="5"/>
  <c r="Q452" i="5" s="1"/>
  <c r="F452" i="5"/>
  <c r="E452" i="5"/>
  <c r="P452" i="5" s="1"/>
  <c r="D452" i="5"/>
  <c r="U442" i="5"/>
  <c r="T442" i="5"/>
  <c r="S442" i="5"/>
  <c r="I442" i="5"/>
  <c r="R442" i="5" s="1"/>
  <c r="H442" i="5"/>
  <c r="G442" i="5"/>
  <c r="Q442" i="5" s="1"/>
  <c r="F442" i="5"/>
  <c r="E442" i="5"/>
  <c r="P442" i="5" s="1"/>
  <c r="D442" i="5"/>
  <c r="U432" i="5"/>
  <c r="T432" i="5"/>
  <c r="S432" i="5"/>
  <c r="I432" i="5"/>
  <c r="R432" i="5" s="1"/>
  <c r="H432" i="5"/>
  <c r="G432" i="5"/>
  <c r="Q432" i="5" s="1"/>
  <c r="F432" i="5"/>
  <c r="E432" i="5"/>
  <c r="P432" i="5" s="1"/>
  <c r="D432" i="5"/>
  <c r="U422" i="5"/>
  <c r="T422" i="5"/>
  <c r="S422" i="5"/>
  <c r="I422" i="5"/>
  <c r="R422" i="5" s="1"/>
  <c r="H422" i="5"/>
  <c r="G422" i="5"/>
  <c r="Q422" i="5" s="1"/>
  <c r="F422" i="5"/>
  <c r="E422" i="5"/>
  <c r="P422" i="5" s="1"/>
  <c r="D422" i="5"/>
  <c r="U412" i="5"/>
  <c r="T412" i="5"/>
  <c r="S412" i="5"/>
  <c r="I412" i="5"/>
  <c r="R412" i="5" s="1"/>
  <c r="H412" i="5"/>
  <c r="G412" i="5"/>
  <c r="Q412" i="5" s="1"/>
  <c r="F412" i="5"/>
  <c r="E412" i="5"/>
  <c r="P412" i="5" s="1"/>
  <c r="D412" i="5"/>
  <c r="U402" i="5"/>
  <c r="T402" i="5"/>
  <c r="S402" i="5"/>
  <c r="I402" i="5"/>
  <c r="R402" i="5" s="1"/>
  <c r="H402" i="5"/>
  <c r="G402" i="5"/>
  <c r="Q402" i="5" s="1"/>
  <c r="F402" i="5"/>
  <c r="E402" i="5"/>
  <c r="P402" i="5" s="1"/>
  <c r="D402" i="5"/>
  <c r="U392" i="5"/>
  <c r="T392" i="5"/>
  <c r="S392" i="5"/>
  <c r="I392" i="5"/>
  <c r="R392" i="5" s="1"/>
  <c r="H392" i="5"/>
  <c r="G392" i="5"/>
  <c r="Q392" i="5" s="1"/>
  <c r="F392" i="5"/>
  <c r="E392" i="5"/>
  <c r="P392" i="5" s="1"/>
  <c r="D392" i="5"/>
  <c r="U382" i="5"/>
  <c r="T382" i="5"/>
  <c r="S382" i="5"/>
  <c r="I382" i="5"/>
  <c r="R382" i="5" s="1"/>
  <c r="H382" i="5"/>
  <c r="G382" i="5"/>
  <c r="Q382" i="5" s="1"/>
  <c r="F382" i="5"/>
  <c r="E382" i="5"/>
  <c r="P382" i="5" s="1"/>
  <c r="D382" i="5"/>
  <c r="U372" i="5"/>
  <c r="T372" i="5"/>
  <c r="S372" i="5"/>
  <c r="I372" i="5"/>
  <c r="R372" i="5" s="1"/>
  <c r="H372" i="5"/>
  <c r="G372" i="5"/>
  <c r="Q372" i="5" s="1"/>
  <c r="F372" i="5"/>
  <c r="E372" i="5"/>
  <c r="P372" i="5" s="1"/>
  <c r="D372" i="5"/>
  <c r="U362" i="5"/>
  <c r="T362" i="5"/>
  <c r="S362" i="5"/>
  <c r="I362" i="5"/>
  <c r="R362" i="5" s="1"/>
  <c r="H362" i="5"/>
  <c r="G362" i="5"/>
  <c r="Q362" i="5" s="1"/>
  <c r="F362" i="5"/>
  <c r="E362" i="5"/>
  <c r="P362" i="5" s="1"/>
  <c r="D362" i="5"/>
  <c r="U352" i="5"/>
  <c r="T352" i="5"/>
  <c r="S352" i="5"/>
  <c r="I352" i="5"/>
  <c r="R352" i="5" s="1"/>
  <c r="H352" i="5"/>
  <c r="G352" i="5"/>
  <c r="Q352" i="5" s="1"/>
  <c r="F352" i="5"/>
  <c r="E352" i="5"/>
  <c r="P352" i="5" s="1"/>
  <c r="D352" i="5"/>
  <c r="U342" i="5"/>
  <c r="T342" i="5"/>
  <c r="S342" i="5"/>
  <c r="I342" i="5"/>
  <c r="R342" i="5" s="1"/>
  <c r="H342" i="5"/>
  <c r="G342" i="5"/>
  <c r="Q342" i="5" s="1"/>
  <c r="F342" i="5"/>
  <c r="E342" i="5"/>
  <c r="P342" i="5" s="1"/>
  <c r="D342" i="5"/>
  <c r="U332" i="5"/>
  <c r="T332" i="5"/>
  <c r="S332" i="5"/>
  <c r="I332" i="5"/>
  <c r="R332" i="5" s="1"/>
  <c r="H332" i="5"/>
  <c r="G332" i="5"/>
  <c r="Q332" i="5" s="1"/>
  <c r="F332" i="5"/>
  <c r="E332" i="5"/>
  <c r="P332" i="5" s="1"/>
  <c r="D332" i="5"/>
  <c r="U322" i="5"/>
  <c r="T322" i="5"/>
  <c r="S322" i="5"/>
  <c r="I322" i="5"/>
  <c r="R322" i="5" s="1"/>
  <c r="H322" i="5"/>
  <c r="G322" i="5"/>
  <c r="Q322" i="5" s="1"/>
  <c r="F322" i="5"/>
  <c r="E322" i="5"/>
  <c r="P322" i="5" s="1"/>
  <c r="D322" i="5"/>
  <c r="U312" i="5"/>
  <c r="T312" i="5"/>
  <c r="S312" i="5"/>
  <c r="I312" i="5"/>
  <c r="R312" i="5" s="1"/>
  <c r="H312" i="5"/>
  <c r="G312" i="5"/>
  <c r="Q312" i="5" s="1"/>
  <c r="F312" i="5"/>
  <c r="E312" i="5"/>
  <c r="P312" i="5" s="1"/>
  <c r="D312" i="5"/>
  <c r="U302" i="5"/>
  <c r="T302" i="5"/>
  <c r="S302" i="5"/>
  <c r="I302" i="5"/>
  <c r="R302" i="5" s="1"/>
  <c r="H302" i="5"/>
  <c r="G302" i="5"/>
  <c r="Q302" i="5" s="1"/>
  <c r="F302" i="5"/>
  <c r="E302" i="5"/>
  <c r="P302" i="5" s="1"/>
  <c r="D302" i="5"/>
  <c r="U292" i="5"/>
  <c r="T292" i="5"/>
  <c r="S292" i="5"/>
  <c r="I292" i="5"/>
  <c r="R292" i="5" s="1"/>
  <c r="H292" i="5"/>
  <c r="G292" i="5"/>
  <c r="Q292" i="5" s="1"/>
  <c r="F292" i="5"/>
  <c r="E292" i="5"/>
  <c r="P292" i="5" s="1"/>
  <c r="D292" i="5"/>
  <c r="U282" i="5"/>
  <c r="T282" i="5"/>
  <c r="S282" i="5"/>
  <c r="I282" i="5"/>
  <c r="R282" i="5" s="1"/>
  <c r="H282" i="5"/>
  <c r="G282" i="5"/>
  <c r="Q282" i="5" s="1"/>
  <c r="F282" i="5"/>
  <c r="E282" i="5"/>
  <c r="P282" i="5" s="1"/>
  <c r="D282" i="5"/>
  <c r="U272" i="5"/>
  <c r="T272" i="5"/>
  <c r="S272" i="5"/>
  <c r="I272" i="5"/>
  <c r="R272" i="5" s="1"/>
  <c r="H272" i="5"/>
  <c r="G272" i="5"/>
  <c r="Q272" i="5" s="1"/>
  <c r="F272" i="5"/>
  <c r="E272" i="5"/>
  <c r="P272" i="5" s="1"/>
  <c r="D272" i="5"/>
  <c r="U255" i="5"/>
  <c r="T255" i="5"/>
  <c r="S255" i="5"/>
  <c r="I255" i="5"/>
  <c r="R255" i="5" s="1"/>
  <c r="H255" i="5"/>
  <c r="G255" i="5"/>
  <c r="Q255" i="5" s="1"/>
  <c r="F255" i="5"/>
  <c r="E255" i="5"/>
  <c r="P255" i="5" s="1"/>
  <c r="D255" i="5"/>
  <c r="U238" i="5"/>
  <c r="T238" i="5"/>
  <c r="S238" i="5"/>
  <c r="I238" i="5"/>
  <c r="R238" i="5" s="1"/>
  <c r="H238" i="5"/>
  <c r="G238" i="5"/>
  <c r="Q238" i="5" s="1"/>
  <c r="F238" i="5"/>
  <c r="E238" i="5"/>
  <c r="P238" i="5" s="1"/>
  <c r="D238" i="5"/>
  <c r="U221" i="5"/>
  <c r="T221" i="5"/>
  <c r="S221" i="5"/>
  <c r="I221" i="5"/>
  <c r="R221" i="5" s="1"/>
  <c r="H221" i="5"/>
  <c r="G221" i="5"/>
  <c r="Q221" i="5" s="1"/>
  <c r="F221" i="5"/>
  <c r="E221" i="5"/>
  <c r="P221" i="5" s="1"/>
  <c r="D221" i="5"/>
  <c r="U204" i="5"/>
  <c r="T204" i="5"/>
  <c r="S204" i="5"/>
  <c r="I204" i="5"/>
  <c r="R204" i="5" s="1"/>
  <c r="H204" i="5"/>
  <c r="G204" i="5"/>
  <c r="Q204" i="5" s="1"/>
  <c r="F204" i="5"/>
  <c r="E204" i="5"/>
  <c r="P204" i="5" s="1"/>
  <c r="D204" i="5"/>
  <c r="U187" i="5"/>
  <c r="T187" i="5"/>
  <c r="S187" i="5"/>
  <c r="I187" i="5"/>
  <c r="R187" i="5" s="1"/>
  <c r="H187" i="5"/>
  <c r="G187" i="5"/>
  <c r="Q187" i="5" s="1"/>
  <c r="F187" i="5"/>
  <c r="E187" i="5"/>
  <c r="P187" i="5" s="1"/>
  <c r="D187" i="5"/>
  <c r="U177" i="5"/>
  <c r="T177" i="5"/>
  <c r="S177" i="5"/>
  <c r="I177" i="5"/>
  <c r="R177" i="5" s="1"/>
  <c r="H177" i="5"/>
  <c r="G177" i="5"/>
  <c r="Q177" i="5" s="1"/>
  <c r="F177" i="5"/>
  <c r="E177" i="5"/>
  <c r="P177" i="5" s="1"/>
  <c r="D177" i="5"/>
  <c r="U167" i="5"/>
  <c r="T167" i="5"/>
  <c r="S167" i="5"/>
  <c r="I167" i="5"/>
  <c r="R167" i="5" s="1"/>
  <c r="H167" i="5"/>
  <c r="G167" i="5"/>
  <c r="Q167" i="5" s="1"/>
  <c r="F167" i="5"/>
  <c r="E167" i="5"/>
  <c r="P167" i="5" s="1"/>
  <c r="D167" i="5"/>
  <c r="U157" i="5"/>
  <c r="T157" i="5"/>
  <c r="S157" i="5"/>
  <c r="I157" i="5"/>
  <c r="R157" i="5" s="1"/>
  <c r="H157" i="5"/>
  <c r="G157" i="5"/>
  <c r="Q157" i="5" s="1"/>
  <c r="F157" i="5"/>
  <c r="E157" i="5"/>
  <c r="P157" i="5" s="1"/>
  <c r="D157" i="5"/>
  <c r="U141" i="5"/>
  <c r="T141" i="5"/>
  <c r="S141" i="5"/>
  <c r="I141" i="5"/>
  <c r="R141" i="5" s="1"/>
  <c r="H141" i="5"/>
  <c r="G141" i="5"/>
  <c r="Q141" i="5" s="1"/>
  <c r="F141" i="5"/>
  <c r="E141" i="5"/>
  <c r="P141" i="5" s="1"/>
  <c r="D141" i="5"/>
  <c r="U125" i="5"/>
  <c r="T125" i="5"/>
  <c r="S125" i="5"/>
  <c r="I125" i="5"/>
  <c r="R125" i="5" s="1"/>
  <c r="H125" i="5"/>
  <c r="G125" i="5"/>
  <c r="Q125" i="5" s="1"/>
  <c r="F125" i="5"/>
  <c r="E125" i="5"/>
  <c r="P125" i="5" s="1"/>
  <c r="D125" i="5"/>
  <c r="U108" i="5"/>
  <c r="T108" i="5"/>
  <c r="S108" i="5"/>
  <c r="I108" i="5"/>
  <c r="R108" i="5" s="1"/>
  <c r="H108" i="5"/>
  <c r="G108" i="5"/>
  <c r="Q108" i="5" s="1"/>
  <c r="F108" i="5"/>
  <c r="E108" i="5"/>
  <c r="P108" i="5" s="1"/>
  <c r="D108" i="5"/>
  <c r="U91" i="5"/>
  <c r="T91" i="5"/>
  <c r="S91" i="5"/>
  <c r="I91" i="5"/>
  <c r="R91" i="5" s="1"/>
  <c r="H91" i="5"/>
  <c r="G91" i="5"/>
  <c r="Q91" i="5" s="1"/>
  <c r="F91" i="5"/>
  <c r="E91" i="5"/>
  <c r="P91" i="5" s="1"/>
  <c r="D91" i="5"/>
  <c r="U74" i="5"/>
  <c r="T74" i="5"/>
  <c r="S74" i="5"/>
  <c r="I74" i="5"/>
  <c r="R74" i="5" s="1"/>
  <c r="H74" i="5"/>
  <c r="G74" i="5"/>
  <c r="Q74" i="5" s="1"/>
  <c r="F74" i="5"/>
  <c r="E74" i="5"/>
  <c r="P74" i="5" s="1"/>
  <c r="D74" i="5"/>
  <c r="U57" i="5"/>
  <c r="T57" i="5"/>
  <c r="S57" i="5"/>
  <c r="I57" i="5"/>
  <c r="R57" i="5" s="1"/>
  <c r="H57" i="5"/>
  <c r="G57" i="5"/>
  <c r="Q57" i="5" s="1"/>
  <c r="F57" i="5"/>
  <c r="E57" i="5"/>
  <c r="P57" i="5" s="1"/>
  <c r="D57" i="5"/>
  <c r="U40" i="5"/>
  <c r="T40" i="5"/>
  <c r="S40" i="5"/>
  <c r="I40" i="5"/>
  <c r="R40" i="5" s="1"/>
  <c r="H40" i="5"/>
  <c r="G40" i="5"/>
  <c r="Q40" i="5" s="1"/>
  <c r="F40" i="5"/>
  <c r="E40" i="5"/>
  <c r="P40" i="5" s="1"/>
  <c r="D40" i="5"/>
  <c r="U23" i="5"/>
  <c r="T23" i="5"/>
  <c r="S23" i="5"/>
  <c r="I23" i="5"/>
  <c r="R23" i="5" s="1"/>
  <c r="H23" i="5"/>
  <c r="G23" i="5"/>
  <c r="Q23" i="5" s="1"/>
  <c r="F23" i="5"/>
  <c r="E23" i="5"/>
  <c r="P23" i="5" s="1"/>
  <c r="D23" i="5"/>
  <c r="U13" i="5"/>
  <c r="T13" i="5"/>
  <c r="S13" i="5"/>
  <c r="I13" i="5"/>
  <c r="R13" i="5" s="1"/>
  <c r="H13" i="5"/>
  <c r="G13" i="5"/>
  <c r="Q13" i="5" s="1"/>
  <c r="F13" i="5"/>
  <c r="E13" i="5"/>
  <c r="P13" i="5" s="1"/>
  <c r="D13" i="5"/>
  <c r="U3" i="5"/>
  <c r="T3" i="5"/>
  <c r="S3" i="5"/>
  <c r="I3" i="5"/>
  <c r="R3" i="5" s="1"/>
  <c r="H3" i="5"/>
  <c r="G3" i="5"/>
  <c r="Q3" i="5" s="1"/>
  <c r="F3" i="5"/>
  <c r="E3" i="5"/>
  <c r="P3" i="5" s="1"/>
  <c r="D3" i="5"/>
  <c r="U271" i="5"/>
  <c r="T271" i="5"/>
  <c r="S271" i="5"/>
  <c r="I271" i="5"/>
  <c r="R271" i="5" s="1"/>
  <c r="H271" i="5"/>
  <c r="G271" i="5"/>
  <c r="Q271" i="5" s="1"/>
  <c r="F271" i="5"/>
  <c r="E271" i="5"/>
  <c r="P271" i="5" s="1"/>
  <c r="D271" i="5"/>
  <c r="U254" i="5"/>
  <c r="T254" i="5"/>
  <c r="S254" i="5"/>
  <c r="I254" i="5"/>
  <c r="R254" i="5" s="1"/>
  <c r="H254" i="5"/>
  <c r="G254" i="5"/>
  <c r="Q254" i="5" s="1"/>
  <c r="F254" i="5"/>
  <c r="E254" i="5"/>
  <c r="P254" i="5" s="1"/>
  <c r="D254" i="5"/>
  <c r="U237" i="5"/>
  <c r="T237" i="5"/>
  <c r="S237" i="5"/>
  <c r="I237" i="5"/>
  <c r="R237" i="5" s="1"/>
  <c r="H237" i="5"/>
  <c r="G237" i="5"/>
  <c r="Q237" i="5" s="1"/>
  <c r="F237" i="5"/>
  <c r="E237" i="5"/>
  <c r="P237" i="5" s="1"/>
  <c r="D237" i="5"/>
  <c r="U220" i="5"/>
  <c r="T220" i="5"/>
  <c r="S220" i="5"/>
  <c r="I220" i="5"/>
  <c r="R220" i="5" s="1"/>
  <c r="H220" i="5"/>
  <c r="G220" i="5"/>
  <c r="Q220" i="5" s="1"/>
  <c r="F220" i="5"/>
  <c r="E220" i="5"/>
  <c r="P220" i="5" s="1"/>
  <c r="D220" i="5"/>
  <c r="U203" i="5"/>
  <c r="T203" i="5"/>
  <c r="S203" i="5"/>
  <c r="I203" i="5"/>
  <c r="R203" i="5" s="1"/>
  <c r="H203" i="5"/>
  <c r="G203" i="5"/>
  <c r="Q203" i="5" s="1"/>
  <c r="F203" i="5"/>
  <c r="E203" i="5"/>
  <c r="P203" i="5" s="1"/>
  <c r="D203" i="5"/>
  <c r="U156" i="5"/>
  <c r="T156" i="5"/>
  <c r="S156" i="5"/>
  <c r="I156" i="5"/>
  <c r="R156" i="5" s="1"/>
  <c r="H156" i="5"/>
  <c r="G156" i="5"/>
  <c r="Q156" i="5" s="1"/>
  <c r="F156" i="5"/>
  <c r="E156" i="5"/>
  <c r="P156" i="5" s="1"/>
  <c r="D156" i="5"/>
  <c r="U140" i="5"/>
  <c r="T140" i="5"/>
  <c r="S140" i="5"/>
  <c r="I140" i="5"/>
  <c r="R140" i="5" s="1"/>
  <c r="H140" i="5"/>
  <c r="G140" i="5"/>
  <c r="Q140" i="5" s="1"/>
  <c r="F140" i="5"/>
  <c r="E140" i="5"/>
  <c r="P140" i="5" s="1"/>
  <c r="D140" i="5"/>
  <c r="U124" i="5"/>
  <c r="T124" i="5"/>
  <c r="S124" i="5"/>
  <c r="I124" i="5"/>
  <c r="R124" i="5" s="1"/>
  <c r="H124" i="5"/>
  <c r="G124" i="5"/>
  <c r="Q124" i="5" s="1"/>
  <c r="F124" i="5"/>
  <c r="E124" i="5"/>
  <c r="P124" i="5" s="1"/>
  <c r="D124" i="5"/>
  <c r="U107" i="5"/>
  <c r="T107" i="5"/>
  <c r="S107" i="5"/>
  <c r="I107" i="5"/>
  <c r="R107" i="5" s="1"/>
  <c r="H107" i="5"/>
  <c r="G107" i="5"/>
  <c r="Q107" i="5" s="1"/>
  <c r="F107" i="5"/>
  <c r="E107" i="5"/>
  <c r="P107" i="5" s="1"/>
  <c r="D107" i="5"/>
  <c r="U90" i="5"/>
  <c r="T90" i="5"/>
  <c r="S90" i="5"/>
  <c r="I90" i="5"/>
  <c r="R90" i="5" s="1"/>
  <c r="H90" i="5"/>
  <c r="G90" i="5"/>
  <c r="Q90" i="5" s="1"/>
  <c r="F90" i="5"/>
  <c r="E90" i="5"/>
  <c r="P90" i="5" s="1"/>
  <c r="D90" i="5"/>
  <c r="U73" i="5"/>
  <c r="T73" i="5"/>
  <c r="S73" i="5"/>
  <c r="I73" i="5"/>
  <c r="R73" i="5" s="1"/>
  <c r="H73" i="5"/>
  <c r="G73" i="5"/>
  <c r="Q73" i="5" s="1"/>
  <c r="F73" i="5"/>
  <c r="E73" i="5"/>
  <c r="P73" i="5" s="1"/>
  <c r="D73" i="5"/>
  <c r="U56" i="5"/>
  <c r="T56" i="5"/>
  <c r="S56" i="5"/>
  <c r="I56" i="5"/>
  <c r="R56" i="5" s="1"/>
  <c r="H56" i="5"/>
  <c r="G56" i="5"/>
  <c r="Q56" i="5" s="1"/>
  <c r="F56" i="5"/>
  <c r="E56" i="5"/>
  <c r="P56" i="5" s="1"/>
  <c r="D56" i="5"/>
  <c r="U39" i="5"/>
  <c r="T39" i="5"/>
  <c r="S39" i="5"/>
  <c r="I39" i="5"/>
  <c r="R39" i="5" s="1"/>
  <c r="H39" i="5"/>
  <c r="G39" i="5"/>
  <c r="Q39" i="5" s="1"/>
  <c r="F39" i="5"/>
  <c r="E39" i="5"/>
  <c r="P39" i="5" s="1"/>
  <c r="D39" i="5"/>
  <c r="U270" i="5"/>
  <c r="T270" i="5"/>
  <c r="S270" i="5"/>
  <c r="I270" i="5"/>
  <c r="R270" i="5" s="1"/>
  <c r="H270" i="5"/>
  <c r="G270" i="5"/>
  <c r="Q270" i="5" s="1"/>
  <c r="F270" i="5"/>
  <c r="E270" i="5"/>
  <c r="P270" i="5" s="1"/>
  <c r="D270" i="5"/>
  <c r="U253" i="5"/>
  <c r="T253" i="5"/>
  <c r="S253" i="5"/>
  <c r="I253" i="5"/>
  <c r="R253" i="5" s="1"/>
  <c r="H253" i="5"/>
  <c r="G253" i="5"/>
  <c r="Q253" i="5" s="1"/>
  <c r="F253" i="5"/>
  <c r="E253" i="5"/>
  <c r="P253" i="5" s="1"/>
  <c r="D253" i="5"/>
  <c r="U236" i="5"/>
  <c r="T236" i="5"/>
  <c r="S236" i="5"/>
  <c r="I236" i="5"/>
  <c r="R236" i="5" s="1"/>
  <c r="H236" i="5"/>
  <c r="G236" i="5"/>
  <c r="Q236" i="5" s="1"/>
  <c r="F236" i="5"/>
  <c r="E236" i="5"/>
  <c r="P236" i="5" s="1"/>
  <c r="D236" i="5"/>
  <c r="U219" i="5"/>
  <c r="T219" i="5"/>
  <c r="S219" i="5"/>
  <c r="I219" i="5"/>
  <c r="R219" i="5" s="1"/>
  <c r="H219" i="5"/>
  <c r="G219" i="5"/>
  <c r="Q219" i="5" s="1"/>
  <c r="F219" i="5"/>
  <c r="E219" i="5"/>
  <c r="P219" i="5" s="1"/>
  <c r="D219" i="5"/>
  <c r="U202" i="5"/>
  <c r="T202" i="5"/>
  <c r="S202" i="5"/>
  <c r="I202" i="5"/>
  <c r="R202" i="5" s="1"/>
  <c r="H202" i="5"/>
  <c r="G202" i="5"/>
  <c r="Q202" i="5" s="1"/>
  <c r="F202" i="5"/>
  <c r="E202" i="5"/>
  <c r="P202" i="5" s="1"/>
  <c r="D202" i="5"/>
  <c r="U155" i="5"/>
  <c r="T155" i="5"/>
  <c r="S155" i="5"/>
  <c r="I155" i="5"/>
  <c r="R155" i="5" s="1"/>
  <c r="H155" i="5"/>
  <c r="G155" i="5"/>
  <c r="Q155" i="5" s="1"/>
  <c r="F155" i="5"/>
  <c r="E155" i="5"/>
  <c r="P155" i="5" s="1"/>
  <c r="D155" i="5"/>
  <c r="U139" i="5"/>
  <c r="T139" i="5"/>
  <c r="S139" i="5"/>
  <c r="I139" i="5"/>
  <c r="R139" i="5" s="1"/>
  <c r="H139" i="5"/>
  <c r="G139" i="5"/>
  <c r="Q139" i="5" s="1"/>
  <c r="F139" i="5"/>
  <c r="E139" i="5"/>
  <c r="P139" i="5" s="1"/>
  <c r="D139" i="5"/>
  <c r="U123" i="5"/>
  <c r="T123" i="5"/>
  <c r="S123" i="5"/>
  <c r="I123" i="5"/>
  <c r="R123" i="5" s="1"/>
  <c r="H123" i="5"/>
  <c r="G123" i="5"/>
  <c r="Q123" i="5" s="1"/>
  <c r="F123" i="5"/>
  <c r="E123" i="5"/>
  <c r="P123" i="5" s="1"/>
  <c r="D123" i="5"/>
  <c r="U106" i="5"/>
  <c r="T106" i="5"/>
  <c r="S106" i="5"/>
  <c r="I106" i="5"/>
  <c r="R106" i="5" s="1"/>
  <c r="H106" i="5"/>
  <c r="G106" i="5"/>
  <c r="Q106" i="5" s="1"/>
  <c r="F106" i="5"/>
  <c r="E106" i="5"/>
  <c r="P106" i="5" s="1"/>
  <c r="D106" i="5"/>
  <c r="U89" i="5"/>
  <c r="T89" i="5"/>
  <c r="S89" i="5"/>
  <c r="I89" i="5"/>
  <c r="R89" i="5" s="1"/>
  <c r="H89" i="5"/>
  <c r="G89" i="5"/>
  <c r="Q89" i="5" s="1"/>
  <c r="F89" i="5"/>
  <c r="E89" i="5"/>
  <c r="P89" i="5" s="1"/>
  <c r="D89" i="5"/>
  <c r="U72" i="5"/>
  <c r="T72" i="5"/>
  <c r="S72" i="5"/>
  <c r="I72" i="5"/>
  <c r="R72" i="5" s="1"/>
  <c r="H72" i="5"/>
  <c r="G72" i="5"/>
  <c r="Q72" i="5" s="1"/>
  <c r="F72" i="5"/>
  <c r="E72" i="5"/>
  <c r="P72" i="5" s="1"/>
  <c r="D72" i="5"/>
  <c r="U55" i="5"/>
  <c r="T55" i="5"/>
  <c r="S55" i="5"/>
  <c r="I55" i="5"/>
  <c r="R55" i="5" s="1"/>
  <c r="H55" i="5"/>
  <c r="G55" i="5"/>
  <c r="Q55" i="5" s="1"/>
  <c r="F55" i="5"/>
  <c r="E55" i="5"/>
  <c r="P55" i="5" s="1"/>
  <c r="D55" i="5"/>
  <c r="U38" i="5"/>
  <c r="T38" i="5"/>
  <c r="S38" i="5"/>
  <c r="I38" i="5"/>
  <c r="R38" i="5" s="1"/>
  <c r="H38" i="5"/>
  <c r="G38" i="5"/>
  <c r="Q38" i="5" s="1"/>
  <c r="F38" i="5"/>
  <c r="E38" i="5"/>
  <c r="P38" i="5" s="1"/>
  <c r="D38" i="5"/>
  <c r="U269" i="5"/>
  <c r="T269" i="5"/>
  <c r="S269" i="5"/>
  <c r="I269" i="5"/>
  <c r="R269" i="5" s="1"/>
  <c r="H269" i="5"/>
  <c r="G269" i="5"/>
  <c r="Q269" i="5" s="1"/>
  <c r="F269" i="5"/>
  <c r="E269" i="5"/>
  <c r="P269" i="5" s="1"/>
  <c r="D269" i="5"/>
  <c r="U252" i="5"/>
  <c r="T252" i="5"/>
  <c r="S252" i="5"/>
  <c r="I252" i="5"/>
  <c r="R252" i="5" s="1"/>
  <c r="H252" i="5"/>
  <c r="G252" i="5"/>
  <c r="Q252" i="5" s="1"/>
  <c r="F252" i="5"/>
  <c r="E252" i="5"/>
  <c r="P252" i="5" s="1"/>
  <c r="D252" i="5"/>
  <c r="U235" i="5"/>
  <c r="T235" i="5"/>
  <c r="S235" i="5"/>
  <c r="I235" i="5"/>
  <c r="R235" i="5" s="1"/>
  <c r="H235" i="5"/>
  <c r="G235" i="5"/>
  <c r="Q235" i="5" s="1"/>
  <c r="F235" i="5"/>
  <c r="E235" i="5"/>
  <c r="P235" i="5" s="1"/>
  <c r="D235" i="5"/>
  <c r="U218" i="5"/>
  <c r="T218" i="5"/>
  <c r="S218" i="5"/>
  <c r="I218" i="5"/>
  <c r="R218" i="5" s="1"/>
  <c r="H218" i="5"/>
  <c r="G218" i="5"/>
  <c r="Q218" i="5" s="1"/>
  <c r="F218" i="5"/>
  <c r="E218" i="5"/>
  <c r="P218" i="5" s="1"/>
  <c r="D218" i="5"/>
  <c r="U201" i="5"/>
  <c r="T201" i="5"/>
  <c r="S201" i="5"/>
  <c r="I201" i="5"/>
  <c r="R201" i="5" s="1"/>
  <c r="H201" i="5"/>
  <c r="G201" i="5"/>
  <c r="Q201" i="5" s="1"/>
  <c r="F201" i="5"/>
  <c r="E201" i="5"/>
  <c r="P201" i="5" s="1"/>
  <c r="D201" i="5"/>
  <c r="U154" i="5"/>
  <c r="T154" i="5"/>
  <c r="S154" i="5"/>
  <c r="I154" i="5"/>
  <c r="R154" i="5" s="1"/>
  <c r="H154" i="5"/>
  <c r="G154" i="5"/>
  <c r="Q154" i="5" s="1"/>
  <c r="F154" i="5"/>
  <c r="E154" i="5"/>
  <c r="P154" i="5" s="1"/>
  <c r="D154" i="5"/>
  <c r="U138" i="5"/>
  <c r="T138" i="5"/>
  <c r="S138" i="5"/>
  <c r="I138" i="5"/>
  <c r="R138" i="5" s="1"/>
  <c r="H138" i="5"/>
  <c r="G138" i="5"/>
  <c r="Q138" i="5" s="1"/>
  <c r="F138" i="5"/>
  <c r="E138" i="5"/>
  <c r="P138" i="5" s="1"/>
  <c r="D138" i="5"/>
  <c r="U122" i="5"/>
  <c r="T122" i="5"/>
  <c r="S122" i="5"/>
  <c r="I122" i="5"/>
  <c r="R122" i="5" s="1"/>
  <c r="H122" i="5"/>
  <c r="G122" i="5"/>
  <c r="Q122" i="5" s="1"/>
  <c r="F122" i="5"/>
  <c r="E122" i="5"/>
  <c r="P122" i="5" s="1"/>
  <c r="D122" i="5"/>
  <c r="U105" i="5"/>
  <c r="T105" i="5"/>
  <c r="S105" i="5"/>
  <c r="I105" i="5"/>
  <c r="R105" i="5" s="1"/>
  <c r="H105" i="5"/>
  <c r="G105" i="5"/>
  <c r="Q105" i="5" s="1"/>
  <c r="F105" i="5"/>
  <c r="E105" i="5"/>
  <c r="P105" i="5" s="1"/>
  <c r="D105" i="5"/>
  <c r="U88" i="5"/>
  <c r="T88" i="5"/>
  <c r="S88" i="5"/>
  <c r="I88" i="5"/>
  <c r="R88" i="5" s="1"/>
  <c r="H88" i="5"/>
  <c r="G88" i="5"/>
  <c r="Q88" i="5" s="1"/>
  <c r="F88" i="5"/>
  <c r="E88" i="5"/>
  <c r="P88" i="5" s="1"/>
  <c r="D88" i="5"/>
  <c r="U71" i="5"/>
  <c r="T71" i="5"/>
  <c r="S71" i="5"/>
  <c r="I71" i="5"/>
  <c r="R71" i="5" s="1"/>
  <c r="H71" i="5"/>
  <c r="G71" i="5"/>
  <c r="Q71" i="5" s="1"/>
  <c r="F71" i="5"/>
  <c r="E71" i="5"/>
  <c r="P71" i="5" s="1"/>
  <c r="D71" i="5"/>
  <c r="U54" i="5"/>
  <c r="T54" i="5"/>
  <c r="S54" i="5"/>
  <c r="I54" i="5"/>
  <c r="R54" i="5" s="1"/>
  <c r="H54" i="5"/>
  <c r="G54" i="5"/>
  <c r="Q54" i="5" s="1"/>
  <c r="F54" i="5"/>
  <c r="E54" i="5"/>
  <c r="P54" i="5" s="1"/>
  <c r="D54" i="5"/>
  <c r="U37" i="5"/>
  <c r="T37" i="5"/>
  <c r="S37" i="5"/>
  <c r="I37" i="5"/>
  <c r="R37" i="5" s="1"/>
  <c r="H37" i="5"/>
  <c r="G37" i="5"/>
  <c r="Q37" i="5" s="1"/>
  <c r="F37" i="5"/>
  <c r="E37" i="5"/>
  <c r="P37" i="5" s="1"/>
  <c r="D37" i="5"/>
  <c r="U268" i="5"/>
  <c r="T268" i="5"/>
  <c r="S268" i="5"/>
  <c r="I268" i="5"/>
  <c r="R268" i="5" s="1"/>
  <c r="H268" i="5"/>
  <c r="G268" i="5"/>
  <c r="Q268" i="5" s="1"/>
  <c r="F268" i="5"/>
  <c r="E268" i="5"/>
  <c r="P268" i="5" s="1"/>
  <c r="D268" i="5"/>
  <c r="U251" i="5"/>
  <c r="T251" i="5"/>
  <c r="S251" i="5"/>
  <c r="I251" i="5"/>
  <c r="R251" i="5" s="1"/>
  <c r="H251" i="5"/>
  <c r="G251" i="5"/>
  <c r="Q251" i="5" s="1"/>
  <c r="F251" i="5"/>
  <c r="E251" i="5"/>
  <c r="P251" i="5" s="1"/>
  <c r="D251" i="5"/>
  <c r="U234" i="5"/>
  <c r="T234" i="5"/>
  <c r="S234" i="5"/>
  <c r="I234" i="5"/>
  <c r="R234" i="5" s="1"/>
  <c r="H234" i="5"/>
  <c r="G234" i="5"/>
  <c r="Q234" i="5" s="1"/>
  <c r="F234" i="5"/>
  <c r="E234" i="5"/>
  <c r="P234" i="5" s="1"/>
  <c r="D234" i="5"/>
  <c r="U217" i="5"/>
  <c r="T217" i="5"/>
  <c r="S217" i="5"/>
  <c r="I217" i="5"/>
  <c r="R217" i="5" s="1"/>
  <c r="H217" i="5"/>
  <c r="G217" i="5"/>
  <c r="Q217" i="5" s="1"/>
  <c r="F217" i="5"/>
  <c r="E217" i="5"/>
  <c r="P217" i="5" s="1"/>
  <c r="D217" i="5"/>
  <c r="U200" i="5"/>
  <c r="T200" i="5"/>
  <c r="S200" i="5"/>
  <c r="I200" i="5"/>
  <c r="R200" i="5" s="1"/>
  <c r="H200" i="5"/>
  <c r="G200" i="5"/>
  <c r="Q200" i="5" s="1"/>
  <c r="F200" i="5"/>
  <c r="E200" i="5"/>
  <c r="P200" i="5" s="1"/>
  <c r="D200" i="5"/>
  <c r="U153" i="5"/>
  <c r="T153" i="5"/>
  <c r="S153" i="5"/>
  <c r="I153" i="5"/>
  <c r="R153" i="5" s="1"/>
  <c r="H153" i="5"/>
  <c r="G153" i="5"/>
  <c r="Q153" i="5" s="1"/>
  <c r="F153" i="5"/>
  <c r="E153" i="5"/>
  <c r="P153" i="5" s="1"/>
  <c r="D153" i="5"/>
  <c r="U137" i="5"/>
  <c r="T137" i="5"/>
  <c r="S137" i="5"/>
  <c r="I137" i="5"/>
  <c r="R137" i="5" s="1"/>
  <c r="H137" i="5"/>
  <c r="G137" i="5"/>
  <c r="Q137" i="5" s="1"/>
  <c r="F137" i="5"/>
  <c r="E137" i="5"/>
  <c r="P137" i="5" s="1"/>
  <c r="D137" i="5"/>
  <c r="U121" i="5"/>
  <c r="T121" i="5"/>
  <c r="S121" i="5"/>
  <c r="I121" i="5"/>
  <c r="R121" i="5" s="1"/>
  <c r="H121" i="5"/>
  <c r="G121" i="5"/>
  <c r="Q121" i="5" s="1"/>
  <c r="F121" i="5"/>
  <c r="E121" i="5"/>
  <c r="P121" i="5" s="1"/>
  <c r="D121" i="5"/>
  <c r="U104" i="5"/>
  <c r="T104" i="5"/>
  <c r="S104" i="5"/>
  <c r="I104" i="5"/>
  <c r="R104" i="5" s="1"/>
  <c r="H104" i="5"/>
  <c r="G104" i="5"/>
  <c r="Q104" i="5" s="1"/>
  <c r="F104" i="5"/>
  <c r="E104" i="5"/>
  <c r="P104" i="5" s="1"/>
  <c r="D104" i="5"/>
  <c r="U87" i="5"/>
  <c r="T87" i="5"/>
  <c r="S87" i="5"/>
  <c r="I87" i="5"/>
  <c r="R87" i="5" s="1"/>
  <c r="H87" i="5"/>
  <c r="G87" i="5"/>
  <c r="Q87" i="5" s="1"/>
  <c r="F87" i="5"/>
  <c r="E87" i="5"/>
  <c r="P87" i="5" s="1"/>
  <c r="D87" i="5"/>
  <c r="U70" i="5"/>
  <c r="T70" i="5"/>
  <c r="S70" i="5"/>
  <c r="I70" i="5"/>
  <c r="R70" i="5" s="1"/>
  <c r="H70" i="5"/>
  <c r="G70" i="5"/>
  <c r="Q70" i="5" s="1"/>
  <c r="F70" i="5"/>
  <c r="E70" i="5"/>
  <c r="P70" i="5" s="1"/>
  <c r="D70" i="5"/>
  <c r="U53" i="5"/>
  <c r="T53" i="5"/>
  <c r="S53" i="5"/>
  <c r="I53" i="5"/>
  <c r="R53" i="5" s="1"/>
  <c r="H53" i="5"/>
  <c r="G53" i="5"/>
  <c r="Q53" i="5" s="1"/>
  <c r="F53" i="5"/>
  <c r="E53" i="5"/>
  <c r="P53" i="5" s="1"/>
  <c r="D53" i="5"/>
  <c r="U36" i="5"/>
  <c r="T36" i="5"/>
  <c r="S36" i="5"/>
  <c r="I36" i="5"/>
  <c r="R36" i="5" s="1"/>
  <c r="H36" i="5"/>
  <c r="G36" i="5"/>
  <c r="Q36" i="5" s="1"/>
  <c r="F36" i="5"/>
  <c r="E36" i="5"/>
  <c r="P36" i="5" s="1"/>
  <c r="D36" i="5"/>
  <c r="U267" i="5"/>
  <c r="T267" i="5"/>
  <c r="S267" i="5"/>
  <c r="I267" i="5"/>
  <c r="R267" i="5" s="1"/>
  <c r="H267" i="5"/>
  <c r="G267" i="5"/>
  <c r="Q267" i="5" s="1"/>
  <c r="F267" i="5"/>
  <c r="E267" i="5"/>
  <c r="P267" i="5" s="1"/>
  <c r="D267" i="5"/>
  <c r="U250" i="5"/>
  <c r="T250" i="5"/>
  <c r="S250" i="5"/>
  <c r="I250" i="5"/>
  <c r="R250" i="5" s="1"/>
  <c r="H250" i="5"/>
  <c r="G250" i="5"/>
  <c r="Q250" i="5" s="1"/>
  <c r="F250" i="5"/>
  <c r="E250" i="5"/>
  <c r="P250" i="5" s="1"/>
  <c r="D250" i="5"/>
  <c r="U233" i="5"/>
  <c r="T233" i="5"/>
  <c r="S233" i="5"/>
  <c r="I233" i="5"/>
  <c r="R233" i="5" s="1"/>
  <c r="H233" i="5"/>
  <c r="G233" i="5"/>
  <c r="Q233" i="5" s="1"/>
  <c r="F233" i="5"/>
  <c r="E233" i="5"/>
  <c r="P233" i="5" s="1"/>
  <c r="D233" i="5"/>
  <c r="U216" i="5"/>
  <c r="T216" i="5"/>
  <c r="S216" i="5"/>
  <c r="I216" i="5"/>
  <c r="R216" i="5" s="1"/>
  <c r="H216" i="5"/>
  <c r="G216" i="5"/>
  <c r="Q216" i="5" s="1"/>
  <c r="F216" i="5"/>
  <c r="E216" i="5"/>
  <c r="P216" i="5" s="1"/>
  <c r="D216" i="5"/>
  <c r="U199" i="5"/>
  <c r="T199" i="5"/>
  <c r="S199" i="5"/>
  <c r="I199" i="5"/>
  <c r="R199" i="5" s="1"/>
  <c r="H199" i="5"/>
  <c r="G199" i="5"/>
  <c r="Q199" i="5" s="1"/>
  <c r="F199" i="5"/>
  <c r="E199" i="5"/>
  <c r="P199" i="5" s="1"/>
  <c r="D199" i="5"/>
  <c r="U152" i="5"/>
  <c r="T152" i="5"/>
  <c r="S152" i="5"/>
  <c r="I152" i="5"/>
  <c r="R152" i="5" s="1"/>
  <c r="H152" i="5"/>
  <c r="G152" i="5"/>
  <c r="Q152" i="5" s="1"/>
  <c r="F152" i="5"/>
  <c r="E152" i="5"/>
  <c r="P152" i="5" s="1"/>
  <c r="D152" i="5"/>
  <c r="U136" i="5"/>
  <c r="T136" i="5"/>
  <c r="S136" i="5"/>
  <c r="I136" i="5"/>
  <c r="R136" i="5" s="1"/>
  <c r="H136" i="5"/>
  <c r="G136" i="5"/>
  <c r="Q136" i="5" s="1"/>
  <c r="F136" i="5"/>
  <c r="E136" i="5"/>
  <c r="P136" i="5" s="1"/>
  <c r="D136" i="5"/>
  <c r="U120" i="5"/>
  <c r="T120" i="5"/>
  <c r="S120" i="5"/>
  <c r="I120" i="5"/>
  <c r="R120" i="5" s="1"/>
  <c r="H120" i="5"/>
  <c r="G120" i="5"/>
  <c r="Q120" i="5" s="1"/>
  <c r="F120" i="5"/>
  <c r="E120" i="5"/>
  <c r="P120" i="5" s="1"/>
  <c r="D120" i="5"/>
  <c r="U103" i="5"/>
  <c r="T103" i="5"/>
  <c r="S103" i="5"/>
  <c r="I103" i="5"/>
  <c r="R103" i="5" s="1"/>
  <c r="H103" i="5"/>
  <c r="G103" i="5"/>
  <c r="Q103" i="5" s="1"/>
  <c r="F103" i="5"/>
  <c r="E103" i="5"/>
  <c r="P103" i="5" s="1"/>
  <c r="D103" i="5"/>
  <c r="U86" i="5"/>
  <c r="T86" i="5"/>
  <c r="S86" i="5"/>
  <c r="I86" i="5"/>
  <c r="R86" i="5" s="1"/>
  <c r="H86" i="5"/>
  <c r="G86" i="5"/>
  <c r="Q86" i="5" s="1"/>
  <c r="F86" i="5"/>
  <c r="E86" i="5"/>
  <c r="P86" i="5" s="1"/>
  <c r="D86" i="5"/>
  <c r="U69" i="5"/>
  <c r="T69" i="5"/>
  <c r="S69" i="5"/>
  <c r="I69" i="5"/>
  <c r="R69" i="5" s="1"/>
  <c r="H69" i="5"/>
  <c r="G69" i="5"/>
  <c r="Q69" i="5" s="1"/>
  <c r="F69" i="5"/>
  <c r="E69" i="5"/>
  <c r="P69" i="5" s="1"/>
  <c r="D69" i="5"/>
  <c r="U52" i="5"/>
  <c r="T52" i="5"/>
  <c r="S52" i="5"/>
  <c r="I52" i="5"/>
  <c r="R52" i="5" s="1"/>
  <c r="H52" i="5"/>
  <c r="G52" i="5"/>
  <c r="Q52" i="5" s="1"/>
  <c r="F52" i="5"/>
  <c r="E52" i="5"/>
  <c r="P52" i="5" s="1"/>
  <c r="D52" i="5"/>
  <c r="U35" i="5"/>
  <c r="T35" i="5"/>
  <c r="S35" i="5"/>
  <c r="I35" i="5"/>
  <c r="R35" i="5" s="1"/>
  <c r="H35" i="5"/>
  <c r="G35" i="5"/>
  <c r="Q35" i="5" s="1"/>
  <c r="F35" i="5"/>
  <c r="E35" i="5"/>
  <c r="P35" i="5" s="1"/>
  <c r="D35" i="5"/>
  <c r="U266" i="5"/>
  <c r="T266" i="5"/>
  <c r="S266" i="5"/>
  <c r="I266" i="5"/>
  <c r="R266" i="5" s="1"/>
  <c r="H266" i="5"/>
  <c r="G266" i="5"/>
  <c r="Q266" i="5" s="1"/>
  <c r="F266" i="5"/>
  <c r="E266" i="5"/>
  <c r="P266" i="5" s="1"/>
  <c r="D266" i="5"/>
  <c r="U249" i="5"/>
  <c r="T249" i="5"/>
  <c r="S249" i="5"/>
  <c r="I249" i="5"/>
  <c r="R249" i="5" s="1"/>
  <c r="H249" i="5"/>
  <c r="G249" i="5"/>
  <c r="Q249" i="5" s="1"/>
  <c r="F249" i="5"/>
  <c r="E249" i="5"/>
  <c r="P249" i="5" s="1"/>
  <c r="D249" i="5"/>
  <c r="U232" i="5"/>
  <c r="T232" i="5"/>
  <c r="S232" i="5"/>
  <c r="I232" i="5"/>
  <c r="R232" i="5" s="1"/>
  <c r="H232" i="5"/>
  <c r="G232" i="5"/>
  <c r="Q232" i="5" s="1"/>
  <c r="F232" i="5"/>
  <c r="E232" i="5"/>
  <c r="P232" i="5" s="1"/>
  <c r="D232" i="5"/>
  <c r="U215" i="5"/>
  <c r="T215" i="5"/>
  <c r="S215" i="5"/>
  <c r="I215" i="5"/>
  <c r="R215" i="5" s="1"/>
  <c r="H215" i="5"/>
  <c r="G215" i="5"/>
  <c r="Q215" i="5" s="1"/>
  <c r="F215" i="5"/>
  <c r="E215" i="5"/>
  <c r="P215" i="5" s="1"/>
  <c r="D215" i="5"/>
  <c r="U198" i="5"/>
  <c r="T198" i="5"/>
  <c r="S198" i="5"/>
  <c r="I198" i="5"/>
  <c r="R198" i="5" s="1"/>
  <c r="H198" i="5"/>
  <c r="G198" i="5"/>
  <c r="Q198" i="5" s="1"/>
  <c r="F198" i="5"/>
  <c r="E198" i="5"/>
  <c r="P198" i="5" s="1"/>
  <c r="D198" i="5"/>
  <c r="U151" i="5"/>
  <c r="T151" i="5"/>
  <c r="S151" i="5"/>
  <c r="I151" i="5"/>
  <c r="R151" i="5" s="1"/>
  <c r="H151" i="5"/>
  <c r="G151" i="5"/>
  <c r="Q151" i="5" s="1"/>
  <c r="F151" i="5"/>
  <c r="E151" i="5"/>
  <c r="P151" i="5" s="1"/>
  <c r="D151" i="5"/>
  <c r="U135" i="5"/>
  <c r="T135" i="5"/>
  <c r="S135" i="5"/>
  <c r="I135" i="5"/>
  <c r="R135" i="5" s="1"/>
  <c r="H135" i="5"/>
  <c r="G135" i="5"/>
  <c r="Q135" i="5" s="1"/>
  <c r="F135" i="5"/>
  <c r="E135" i="5"/>
  <c r="P135" i="5" s="1"/>
  <c r="D135" i="5"/>
  <c r="U119" i="5"/>
  <c r="T119" i="5"/>
  <c r="S119" i="5"/>
  <c r="I119" i="5"/>
  <c r="R119" i="5" s="1"/>
  <c r="H119" i="5"/>
  <c r="G119" i="5"/>
  <c r="Q119" i="5" s="1"/>
  <c r="F119" i="5"/>
  <c r="E119" i="5"/>
  <c r="P119" i="5" s="1"/>
  <c r="D119" i="5"/>
  <c r="U102" i="5"/>
  <c r="T102" i="5"/>
  <c r="S102" i="5"/>
  <c r="I102" i="5"/>
  <c r="R102" i="5" s="1"/>
  <c r="H102" i="5"/>
  <c r="G102" i="5"/>
  <c r="Q102" i="5" s="1"/>
  <c r="F102" i="5"/>
  <c r="E102" i="5"/>
  <c r="P102" i="5" s="1"/>
  <c r="D102" i="5"/>
  <c r="U85" i="5"/>
  <c r="T85" i="5"/>
  <c r="S85" i="5"/>
  <c r="I85" i="5"/>
  <c r="R85" i="5" s="1"/>
  <c r="H85" i="5"/>
  <c r="G85" i="5"/>
  <c r="Q85" i="5" s="1"/>
  <c r="F85" i="5"/>
  <c r="E85" i="5"/>
  <c r="P85" i="5" s="1"/>
  <c r="D85" i="5"/>
  <c r="U68" i="5"/>
  <c r="T68" i="5"/>
  <c r="S68" i="5"/>
  <c r="I68" i="5"/>
  <c r="R68" i="5" s="1"/>
  <c r="H68" i="5"/>
  <c r="G68" i="5"/>
  <c r="Q68" i="5" s="1"/>
  <c r="F68" i="5"/>
  <c r="E68" i="5"/>
  <c r="P68" i="5" s="1"/>
  <c r="D68" i="5"/>
  <c r="U51" i="5"/>
  <c r="T51" i="5"/>
  <c r="S51" i="5"/>
  <c r="I51" i="5"/>
  <c r="R51" i="5" s="1"/>
  <c r="H51" i="5"/>
  <c r="G51" i="5"/>
  <c r="Q51" i="5" s="1"/>
  <c r="F51" i="5"/>
  <c r="E51" i="5"/>
  <c r="P51" i="5" s="1"/>
  <c r="D51" i="5"/>
  <c r="U34" i="5"/>
  <c r="T34" i="5"/>
  <c r="S34" i="5"/>
  <c r="I34" i="5"/>
  <c r="R34" i="5" s="1"/>
  <c r="H34" i="5"/>
  <c r="G34" i="5"/>
  <c r="Q34" i="5" s="1"/>
  <c r="F34" i="5"/>
  <c r="E34" i="5"/>
  <c r="P34" i="5" s="1"/>
  <c r="D34" i="5"/>
  <c r="U265" i="5"/>
  <c r="T265" i="5"/>
  <c r="S265" i="5"/>
  <c r="I265" i="5"/>
  <c r="R265" i="5" s="1"/>
  <c r="H265" i="5"/>
  <c r="G265" i="5"/>
  <c r="Q265" i="5" s="1"/>
  <c r="F265" i="5"/>
  <c r="E265" i="5"/>
  <c r="P265" i="5" s="1"/>
  <c r="D265" i="5"/>
  <c r="U248" i="5"/>
  <c r="T248" i="5"/>
  <c r="S248" i="5"/>
  <c r="I248" i="5"/>
  <c r="R248" i="5" s="1"/>
  <c r="H248" i="5"/>
  <c r="G248" i="5"/>
  <c r="Q248" i="5" s="1"/>
  <c r="F248" i="5"/>
  <c r="E248" i="5"/>
  <c r="P248" i="5" s="1"/>
  <c r="D248" i="5"/>
  <c r="U231" i="5"/>
  <c r="T231" i="5"/>
  <c r="S231" i="5"/>
  <c r="I231" i="5"/>
  <c r="R231" i="5" s="1"/>
  <c r="H231" i="5"/>
  <c r="G231" i="5"/>
  <c r="Q231" i="5" s="1"/>
  <c r="F231" i="5"/>
  <c r="E231" i="5"/>
  <c r="P231" i="5" s="1"/>
  <c r="D231" i="5"/>
  <c r="U214" i="5"/>
  <c r="T214" i="5"/>
  <c r="S214" i="5"/>
  <c r="I214" i="5"/>
  <c r="R214" i="5" s="1"/>
  <c r="H214" i="5"/>
  <c r="G214" i="5"/>
  <c r="Q214" i="5" s="1"/>
  <c r="F214" i="5"/>
  <c r="E214" i="5"/>
  <c r="P214" i="5" s="1"/>
  <c r="D214" i="5"/>
  <c r="U197" i="5"/>
  <c r="T197" i="5"/>
  <c r="S197" i="5"/>
  <c r="I197" i="5"/>
  <c r="R197" i="5" s="1"/>
  <c r="H197" i="5"/>
  <c r="G197" i="5"/>
  <c r="Q197" i="5" s="1"/>
  <c r="F197" i="5"/>
  <c r="E197" i="5"/>
  <c r="P197" i="5" s="1"/>
  <c r="D197" i="5"/>
  <c r="U150" i="5"/>
  <c r="T150" i="5"/>
  <c r="S150" i="5"/>
  <c r="I150" i="5"/>
  <c r="R150" i="5" s="1"/>
  <c r="H150" i="5"/>
  <c r="G150" i="5"/>
  <c r="Q150" i="5" s="1"/>
  <c r="F150" i="5"/>
  <c r="E150" i="5"/>
  <c r="P150" i="5" s="1"/>
  <c r="D150" i="5"/>
  <c r="U134" i="5"/>
  <c r="T134" i="5"/>
  <c r="S134" i="5"/>
  <c r="I134" i="5"/>
  <c r="R134" i="5" s="1"/>
  <c r="H134" i="5"/>
  <c r="G134" i="5"/>
  <c r="Q134" i="5" s="1"/>
  <c r="F134" i="5"/>
  <c r="E134" i="5"/>
  <c r="P134" i="5" s="1"/>
  <c r="D134" i="5"/>
  <c r="U118" i="5"/>
  <c r="T118" i="5"/>
  <c r="S118" i="5"/>
  <c r="I118" i="5"/>
  <c r="R118" i="5" s="1"/>
  <c r="H118" i="5"/>
  <c r="G118" i="5"/>
  <c r="Q118" i="5" s="1"/>
  <c r="F118" i="5"/>
  <c r="E118" i="5"/>
  <c r="P118" i="5" s="1"/>
  <c r="D118" i="5"/>
  <c r="U101" i="5"/>
  <c r="T101" i="5"/>
  <c r="S101" i="5"/>
  <c r="I101" i="5"/>
  <c r="R101" i="5" s="1"/>
  <c r="H101" i="5"/>
  <c r="G101" i="5"/>
  <c r="Q101" i="5" s="1"/>
  <c r="F101" i="5"/>
  <c r="E101" i="5"/>
  <c r="P101" i="5" s="1"/>
  <c r="D101" i="5"/>
  <c r="U84" i="5"/>
  <c r="T84" i="5"/>
  <c r="S84" i="5"/>
  <c r="I84" i="5"/>
  <c r="R84" i="5" s="1"/>
  <c r="H84" i="5"/>
  <c r="G84" i="5"/>
  <c r="Q84" i="5" s="1"/>
  <c r="F84" i="5"/>
  <c r="E84" i="5"/>
  <c r="P84" i="5" s="1"/>
  <c r="D84" i="5"/>
  <c r="U67" i="5"/>
  <c r="T67" i="5"/>
  <c r="S67" i="5"/>
  <c r="I67" i="5"/>
  <c r="R67" i="5" s="1"/>
  <c r="H67" i="5"/>
  <c r="G67" i="5"/>
  <c r="Q67" i="5" s="1"/>
  <c r="F67" i="5"/>
  <c r="E67" i="5"/>
  <c r="P67" i="5" s="1"/>
  <c r="D67" i="5"/>
  <c r="U50" i="5"/>
  <c r="T50" i="5"/>
  <c r="S50" i="5"/>
  <c r="I50" i="5"/>
  <c r="R50" i="5" s="1"/>
  <c r="H50" i="5"/>
  <c r="G50" i="5"/>
  <c r="Q50" i="5" s="1"/>
  <c r="F50" i="5"/>
  <c r="E50" i="5"/>
  <c r="P50" i="5" s="1"/>
  <c r="D50" i="5"/>
  <c r="U33" i="5"/>
  <c r="T33" i="5"/>
  <c r="S33" i="5"/>
  <c r="I33" i="5"/>
  <c r="R33" i="5" s="1"/>
  <c r="H33" i="5"/>
  <c r="G33" i="5"/>
  <c r="Q33" i="5" s="1"/>
  <c r="F33" i="5"/>
  <c r="E33" i="5"/>
  <c r="P33" i="5" s="1"/>
  <c r="D33" i="5"/>
  <c r="U5296" i="5"/>
  <c r="T5296" i="5"/>
  <c r="S5296" i="5"/>
  <c r="R5296" i="5"/>
  <c r="Q5296" i="5"/>
  <c r="E5296" i="5"/>
  <c r="P5296" i="5" s="1"/>
  <c r="D5296" i="5"/>
  <c r="U5295" i="5"/>
  <c r="T5295" i="5"/>
  <c r="S5295" i="5"/>
  <c r="R5295" i="5"/>
  <c r="Q5295" i="5"/>
  <c r="P5295" i="5"/>
  <c r="U5294" i="5"/>
  <c r="T5294" i="5"/>
  <c r="S5294" i="5"/>
  <c r="R5294" i="5"/>
  <c r="Q5294" i="5"/>
  <c r="P5294" i="5"/>
  <c r="U5293" i="5"/>
  <c r="T5293" i="5"/>
  <c r="S5293" i="5"/>
  <c r="R5293" i="5"/>
  <c r="Q5293" i="5"/>
  <c r="P5293" i="5"/>
  <c r="U5292" i="5"/>
  <c r="T5292" i="5"/>
  <c r="S5292" i="5"/>
  <c r="R5292" i="5"/>
  <c r="Q5292" i="5"/>
  <c r="P5292" i="5"/>
  <c r="U5291" i="5"/>
  <c r="T5291" i="5"/>
  <c r="S5291" i="5"/>
  <c r="R5291" i="5"/>
  <c r="Q5291" i="5"/>
  <c r="P5291" i="5"/>
  <c r="U5196" i="5"/>
  <c r="T5196" i="5"/>
  <c r="S5196" i="5"/>
  <c r="R5196" i="5"/>
  <c r="Q5196" i="5"/>
  <c r="E5196" i="5"/>
  <c r="P5196" i="5" s="1"/>
  <c r="D5196" i="5"/>
  <c r="U5195" i="5"/>
  <c r="T5195" i="5"/>
  <c r="S5195" i="5"/>
  <c r="R5195" i="5"/>
  <c r="Q5195" i="5"/>
  <c r="P5195" i="5"/>
  <c r="U5194" i="5"/>
  <c r="T5194" i="5"/>
  <c r="S5194" i="5"/>
  <c r="R5194" i="5"/>
  <c r="Q5194" i="5"/>
  <c r="P5194" i="5"/>
  <c r="U5193" i="5"/>
  <c r="T5193" i="5"/>
  <c r="S5193" i="5"/>
  <c r="R5193" i="5"/>
  <c r="Q5193" i="5"/>
  <c r="P5193" i="5"/>
  <c r="U5192" i="5"/>
  <c r="T5192" i="5"/>
  <c r="S5192" i="5"/>
  <c r="R5192" i="5"/>
  <c r="Q5192" i="5"/>
  <c r="P5192" i="5"/>
  <c r="U5191" i="5"/>
  <c r="T5191" i="5"/>
  <c r="S5191" i="5"/>
  <c r="R5191" i="5"/>
  <c r="Q5191" i="5"/>
  <c r="P5191" i="5"/>
  <c r="U5096" i="5"/>
  <c r="T5096" i="5"/>
  <c r="S5096" i="5"/>
  <c r="R5096" i="5"/>
  <c r="Q5096" i="5"/>
  <c r="E5096" i="5"/>
  <c r="P5096" i="5" s="1"/>
  <c r="D5096" i="5"/>
  <c r="U5095" i="5"/>
  <c r="T5095" i="5"/>
  <c r="S5095" i="5"/>
  <c r="R5095" i="5"/>
  <c r="Q5095" i="5"/>
  <c r="P5095" i="5"/>
  <c r="U5094" i="5"/>
  <c r="T5094" i="5"/>
  <c r="S5094" i="5"/>
  <c r="R5094" i="5"/>
  <c r="Q5094" i="5"/>
  <c r="P5094" i="5"/>
  <c r="U5093" i="5"/>
  <c r="T5093" i="5"/>
  <c r="S5093" i="5"/>
  <c r="R5093" i="5"/>
  <c r="Q5093" i="5"/>
  <c r="P5093" i="5"/>
  <c r="U5092" i="5"/>
  <c r="T5092" i="5"/>
  <c r="S5092" i="5"/>
  <c r="R5092" i="5"/>
  <c r="Q5092" i="5"/>
  <c r="P5092" i="5"/>
  <c r="U5091" i="5"/>
  <c r="T5091" i="5"/>
  <c r="S5091" i="5"/>
  <c r="R5091" i="5"/>
  <c r="Q5091" i="5"/>
  <c r="P5091" i="5"/>
  <c r="U4996" i="5"/>
  <c r="T4996" i="5"/>
  <c r="S4996" i="5"/>
  <c r="R4996" i="5"/>
  <c r="Q4996" i="5"/>
  <c r="E4996" i="5"/>
  <c r="P4996" i="5" s="1"/>
  <c r="D4996" i="5"/>
  <c r="U4995" i="5"/>
  <c r="T4995" i="5"/>
  <c r="S4995" i="5"/>
  <c r="R4995" i="5"/>
  <c r="Q4995" i="5"/>
  <c r="P4995" i="5"/>
  <c r="U4994" i="5"/>
  <c r="T4994" i="5"/>
  <c r="S4994" i="5"/>
  <c r="R4994" i="5"/>
  <c r="Q4994" i="5"/>
  <c r="P4994" i="5"/>
  <c r="U4993" i="5"/>
  <c r="T4993" i="5"/>
  <c r="S4993" i="5"/>
  <c r="R4993" i="5"/>
  <c r="Q4993" i="5"/>
  <c r="P4993" i="5"/>
  <c r="U4992" i="5"/>
  <c r="T4992" i="5"/>
  <c r="S4992" i="5"/>
  <c r="R4992" i="5"/>
  <c r="Q4992" i="5"/>
  <c r="P4992" i="5"/>
  <c r="U4991" i="5"/>
  <c r="T4991" i="5"/>
  <c r="S4991" i="5"/>
  <c r="R4991" i="5"/>
  <c r="Q4991" i="5"/>
  <c r="P4991" i="5"/>
  <c r="U4896" i="5"/>
  <c r="T4896" i="5"/>
  <c r="S4896" i="5"/>
  <c r="R4896" i="5"/>
  <c r="Q4896" i="5"/>
  <c r="E4896" i="5"/>
  <c r="P4896" i="5" s="1"/>
  <c r="D4896" i="5"/>
  <c r="U4895" i="5"/>
  <c r="T4895" i="5"/>
  <c r="S4895" i="5"/>
  <c r="R4895" i="5"/>
  <c r="Q4895" i="5"/>
  <c r="P4895" i="5"/>
  <c r="U4894" i="5"/>
  <c r="T4894" i="5"/>
  <c r="S4894" i="5"/>
  <c r="R4894" i="5"/>
  <c r="Q4894" i="5"/>
  <c r="P4894" i="5"/>
  <c r="U4893" i="5"/>
  <c r="T4893" i="5"/>
  <c r="S4893" i="5"/>
  <c r="R4893" i="5"/>
  <c r="Q4893" i="5"/>
  <c r="P4893" i="5"/>
  <c r="U4892" i="5"/>
  <c r="T4892" i="5"/>
  <c r="S4892" i="5"/>
  <c r="R4892" i="5"/>
  <c r="Q4892" i="5"/>
  <c r="P4892" i="5"/>
  <c r="U4891" i="5"/>
  <c r="T4891" i="5"/>
  <c r="S4891" i="5"/>
  <c r="R4891" i="5"/>
  <c r="Q4891" i="5"/>
  <c r="P4891" i="5"/>
  <c r="U4796" i="5"/>
  <c r="T4796" i="5"/>
  <c r="S4796" i="5"/>
  <c r="R4796" i="5"/>
  <c r="Q4796" i="5"/>
  <c r="U4795" i="5"/>
  <c r="T4795" i="5"/>
  <c r="S4795" i="5"/>
  <c r="R4795" i="5"/>
  <c r="Q4795" i="5"/>
  <c r="P4795" i="5"/>
  <c r="U4794" i="5"/>
  <c r="T4794" i="5"/>
  <c r="S4794" i="5"/>
  <c r="R4794" i="5"/>
  <c r="Q4794" i="5"/>
  <c r="P4794" i="5"/>
  <c r="U4793" i="5"/>
  <c r="T4793" i="5"/>
  <c r="S4793" i="5"/>
  <c r="R4793" i="5"/>
  <c r="Q4793" i="5"/>
  <c r="P4793" i="5"/>
  <c r="U4792" i="5"/>
  <c r="T4792" i="5"/>
  <c r="S4792" i="5"/>
  <c r="R4792" i="5"/>
  <c r="Q4792" i="5"/>
  <c r="P4792" i="5"/>
  <c r="U4791" i="5"/>
  <c r="T4791" i="5"/>
  <c r="S4791" i="5"/>
  <c r="R4791" i="5"/>
  <c r="Q4791" i="5"/>
  <c r="P4791" i="5"/>
  <c r="U4679" i="5"/>
  <c r="T4679" i="5"/>
  <c r="S4679" i="5"/>
  <c r="R4679" i="5"/>
  <c r="Q4679" i="5"/>
  <c r="U4678" i="5"/>
  <c r="T4678" i="5"/>
  <c r="S4678" i="5"/>
  <c r="R4678" i="5"/>
  <c r="Q4678" i="5"/>
  <c r="P4678" i="5"/>
  <c r="U4677" i="5"/>
  <c r="T4677" i="5"/>
  <c r="S4677" i="5"/>
  <c r="R4677" i="5"/>
  <c r="Q4677" i="5"/>
  <c r="P4677" i="5"/>
  <c r="U4676" i="5"/>
  <c r="T4676" i="5"/>
  <c r="S4676" i="5"/>
  <c r="R4676" i="5"/>
  <c r="Q4676" i="5"/>
  <c r="P4676" i="5"/>
  <c r="U4675" i="5"/>
  <c r="T4675" i="5"/>
  <c r="S4675" i="5"/>
  <c r="R4675" i="5"/>
  <c r="Q4675" i="5"/>
  <c r="P4675" i="5"/>
  <c r="U4674" i="5"/>
  <c r="T4674" i="5"/>
  <c r="S4674" i="5"/>
  <c r="R4674" i="5"/>
  <c r="Q4674" i="5"/>
  <c r="P4674" i="5"/>
  <c r="U4562" i="5"/>
  <c r="T4562" i="5"/>
  <c r="S4562" i="5"/>
  <c r="R4562" i="5"/>
  <c r="Q4562" i="5"/>
  <c r="U4561" i="5"/>
  <c r="T4561" i="5"/>
  <c r="S4561" i="5"/>
  <c r="R4561" i="5"/>
  <c r="Q4561" i="5"/>
  <c r="P4561" i="5"/>
  <c r="U4560" i="5"/>
  <c r="T4560" i="5"/>
  <c r="S4560" i="5"/>
  <c r="R4560" i="5"/>
  <c r="Q4560" i="5"/>
  <c r="P4560" i="5"/>
  <c r="U4559" i="5"/>
  <c r="T4559" i="5"/>
  <c r="S4559" i="5"/>
  <c r="R4559" i="5"/>
  <c r="Q4559" i="5"/>
  <c r="P4559" i="5"/>
  <c r="U4558" i="5"/>
  <c r="T4558" i="5"/>
  <c r="S4558" i="5"/>
  <c r="R4558" i="5"/>
  <c r="Q4558" i="5"/>
  <c r="P4558" i="5"/>
  <c r="U4557" i="5"/>
  <c r="T4557" i="5"/>
  <c r="S4557" i="5"/>
  <c r="R4557" i="5"/>
  <c r="Q4557" i="5"/>
  <c r="P4557" i="5"/>
  <c r="U4445" i="5"/>
  <c r="T4445" i="5"/>
  <c r="S4445" i="5"/>
  <c r="R4445" i="5"/>
  <c r="Q4445" i="5"/>
  <c r="U4444" i="5"/>
  <c r="T4444" i="5"/>
  <c r="S4444" i="5"/>
  <c r="R4444" i="5"/>
  <c r="Q4444" i="5"/>
  <c r="P4444" i="5"/>
  <c r="U4443" i="5"/>
  <c r="T4443" i="5"/>
  <c r="S4443" i="5"/>
  <c r="R4443" i="5"/>
  <c r="Q4443" i="5"/>
  <c r="P4443" i="5"/>
  <c r="U4442" i="5"/>
  <c r="T4442" i="5"/>
  <c r="S4442" i="5"/>
  <c r="R4442" i="5"/>
  <c r="Q4442" i="5"/>
  <c r="P4442" i="5"/>
  <c r="U4441" i="5"/>
  <c r="T4441" i="5"/>
  <c r="S4441" i="5"/>
  <c r="R4441" i="5"/>
  <c r="Q4441" i="5"/>
  <c r="P4441" i="5"/>
  <c r="U4440" i="5"/>
  <c r="T4440" i="5"/>
  <c r="S4440" i="5"/>
  <c r="R4440" i="5"/>
  <c r="Q4440" i="5"/>
  <c r="P4440" i="5"/>
  <c r="U4328" i="5"/>
  <c r="T4328" i="5"/>
  <c r="S4328" i="5"/>
  <c r="R4328" i="5"/>
  <c r="Q4328" i="5"/>
  <c r="U4327" i="5"/>
  <c r="T4327" i="5"/>
  <c r="S4327" i="5"/>
  <c r="R4327" i="5"/>
  <c r="Q4327" i="5"/>
  <c r="P4327" i="5"/>
  <c r="U4326" i="5"/>
  <c r="T4326" i="5"/>
  <c r="S4326" i="5"/>
  <c r="R4326" i="5"/>
  <c r="Q4326" i="5"/>
  <c r="P4326" i="5"/>
  <c r="U4325" i="5"/>
  <c r="T4325" i="5"/>
  <c r="S4325" i="5"/>
  <c r="R4325" i="5"/>
  <c r="Q4325" i="5"/>
  <c r="P4325" i="5"/>
  <c r="U4324" i="5"/>
  <c r="T4324" i="5"/>
  <c r="S4324" i="5"/>
  <c r="R4324" i="5"/>
  <c r="Q4324" i="5"/>
  <c r="P4324" i="5"/>
  <c r="U4323" i="5"/>
  <c r="T4323" i="5"/>
  <c r="S4323" i="5"/>
  <c r="R4323" i="5"/>
  <c r="Q4323" i="5"/>
  <c r="P4323" i="5"/>
  <c r="U4211" i="5"/>
  <c r="T4211" i="5"/>
  <c r="S4211" i="5"/>
  <c r="R4211" i="5"/>
  <c r="Q4211" i="5"/>
  <c r="P4211" i="5"/>
  <c r="U4210" i="5"/>
  <c r="T4210" i="5"/>
  <c r="S4210" i="5"/>
  <c r="R4210" i="5"/>
  <c r="Q4210" i="5"/>
  <c r="U4209" i="5"/>
  <c r="T4209" i="5"/>
  <c r="S4209" i="5"/>
  <c r="R4209" i="5"/>
  <c r="Q4209" i="5"/>
  <c r="P4209" i="5"/>
  <c r="U4208" i="5"/>
  <c r="T4208" i="5"/>
  <c r="S4208" i="5"/>
  <c r="R4208" i="5"/>
  <c r="Q4208" i="5"/>
  <c r="P4208" i="5"/>
  <c r="U3519" i="5"/>
  <c r="T3519" i="5"/>
  <c r="S3519" i="5"/>
  <c r="P3519" i="5"/>
  <c r="O3519" i="5"/>
  <c r="N3519" i="5"/>
  <c r="M3519" i="5"/>
  <c r="L3519" i="5"/>
  <c r="I3519" i="5"/>
  <c r="R3519" i="5" s="1"/>
  <c r="H3519" i="5"/>
  <c r="G3519" i="5"/>
  <c r="Q3519" i="5" s="1"/>
  <c r="F3519" i="5"/>
  <c r="U3518" i="5"/>
  <c r="T3518" i="5"/>
  <c r="S3518" i="5"/>
  <c r="P3518" i="5"/>
  <c r="O3518" i="5"/>
  <c r="N3518" i="5"/>
  <c r="M3518" i="5"/>
  <c r="L3518" i="5"/>
  <c r="I3518" i="5"/>
  <c r="R3518" i="5" s="1"/>
  <c r="H3518" i="5"/>
  <c r="G3518" i="5"/>
  <c r="Q3518" i="5" s="1"/>
  <c r="F3518" i="5"/>
  <c r="U3517" i="5"/>
  <c r="T3517" i="5"/>
  <c r="S3517" i="5"/>
  <c r="P3517" i="5"/>
  <c r="O3517" i="5"/>
  <c r="N3517" i="5"/>
  <c r="M3517" i="5"/>
  <c r="L3517" i="5"/>
  <c r="I3517" i="5"/>
  <c r="R3517" i="5" s="1"/>
  <c r="H3517" i="5"/>
  <c r="G3517" i="5"/>
  <c r="Q3517" i="5" s="1"/>
  <c r="F3517" i="5"/>
  <c r="U3421" i="5"/>
  <c r="T3421" i="5"/>
  <c r="S3421" i="5"/>
  <c r="P3421" i="5"/>
  <c r="O3421" i="5"/>
  <c r="N3421" i="5"/>
  <c r="M3421" i="5"/>
  <c r="L3421" i="5"/>
  <c r="I3421" i="5"/>
  <c r="R3421" i="5" s="1"/>
  <c r="H3421" i="5"/>
  <c r="G3421" i="5"/>
  <c r="Q3421" i="5" s="1"/>
  <c r="F3421" i="5"/>
  <c r="U3420" i="5"/>
  <c r="T3420" i="5"/>
  <c r="S3420" i="5"/>
  <c r="P3420" i="5"/>
  <c r="O3420" i="5"/>
  <c r="N3420" i="5"/>
  <c r="M3420" i="5"/>
  <c r="L3420" i="5"/>
  <c r="I3420" i="5"/>
  <c r="R3420" i="5" s="1"/>
  <c r="H3420" i="5"/>
  <c r="G3420" i="5"/>
  <c r="Q3420" i="5" s="1"/>
  <c r="F3420" i="5"/>
  <c r="U3419" i="5"/>
  <c r="T3419" i="5"/>
  <c r="S3419" i="5"/>
  <c r="P3419" i="5"/>
  <c r="O3419" i="5"/>
  <c r="N3419" i="5"/>
  <c r="M3419" i="5"/>
  <c r="L3419" i="5"/>
  <c r="I3419" i="5"/>
  <c r="R3419" i="5" s="1"/>
  <c r="H3419" i="5"/>
  <c r="G3419" i="5"/>
  <c r="Q3419" i="5" s="1"/>
  <c r="F3419" i="5"/>
  <c r="U3323" i="5"/>
  <c r="T3323" i="5"/>
  <c r="S3323" i="5"/>
  <c r="P3323" i="5"/>
  <c r="O3323" i="5"/>
  <c r="N3323" i="5"/>
  <c r="M3323" i="5"/>
  <c r="L3323" i="5"/>
  <c r="I3323" i="5"/>
  <c r="R3323" i="5" s="1"/>
  <c r="H3323" i="5"/>
  <c r="G3323" i="5"/>
  <c r="Q3323" i="5" s="1"/>
  <c r="F3323" i="5"/>
  <c r="U3322" i="5"/>
  <c r="T3322" i="5"/>
  <c r="S3322" i="5"/>
  <c r="P3322" i="5"/>
  <c r="O3322" i="5"/>
  <c r="N3322" i="5"/>
  <c r="M3322" i="5"/>
  <c r="L3322" i="5"/>
  <c r="I3322" i="5"/>
  <c r="R3322" i="5" s="1"/>
  <c r="H3322" i="5"/>
  <c r="G3322" i="5"/>
  <c r="Q3322" i="5" s="1"/>
  <c r="F3322" i="5"/>
  <c r="U3321" i="5"/>
  <c r="T3321" i="5"/>
  <c r="S3321" i="5"/>
  <c r="P3321" i="5"/>
  <c r="O3321" i="5"/>
  <c r="N3321" i="5"/>
  <c r="M3321" i="5"/>
  <c r="L3321" i="5"/>
  <c r="I3321" i="5"/>
  <c r="R3321" i="5" s="1"/>
  <c r="H3321" i="5"/>
  <c r="G3321" i="5"/>
  <c r="Q3321" i="5" s="1"/>
  <c r="F3321" i="5"/>
  <c r="U3225" i="5"/>
  <c r="T3225" i="5"/>
  <c r="S3225" i="5"/>
  <c r="P3225" i="5"/>
  <c r="O3225" i="5"/>
  <c r="N3225" i="5"/>
  <c r="M3225" i="5"/>
  <c r="L3225" i="5"/>
  <c r="I3225" i="5"/>
  <c r="R3225" i="5" s="1"/>
  <c r="H3225" i="5"/>
  <c r="G3225" i="5"/>
  <c r="Q3225" i="5" s="1"/>
  <c r="F3225" i="5"/>
  <c r="U3224" i="5"/>
  <c r="T3224" i="5"/>
  <c r="S3224" i="5"/>
  <c r="P3224" i="5"/>
  <c r="O3224" i="5"/>
  <c r="N3224" i="5"/>
  <c r="M3224" i="5"/>
  <c r="L3224" i="5"/>
  <c r="I3224" i="5"/>
  <c r="R3224" i="5" s="1"/>
  <c r="H3224" i="5"/>
  <c r="G3224" i="5"/>
  <c r="Q3224" i="5" s="1"/>
  <c r="F3224" i="5"/>
  <c r="U3223" i="5"/>
  <c r="T3223" i="5"/>
  <c r="S3223" i="5"/>
  <c r="P3223" i="5"/>
  <c r="O3223" i="5"/>
  <c r="N3223" i="5"/>
  <c r="M3223" i="5"/>
  <c r="L3223" i="5"/>
  <c r="I3223" i="5"/>
  <c r="R3223" i="5" s="1"/>
  <c r="H3223" i="5"/>
  <c r="G3223" i="5"/>
  <c r="Q3223" i="5" s="1"/>
  <c r="F3223" i="5"/>
  <c r="U3127" i="5"/>
  <c r="T3127" i="5"/>
  <c r="S3127" i="5"/>
  <c r="P3127" i="5"/>
  <c r="O3127" i="5"/>
  <c r="N3127" i="5"/>
  <c r="M3127" i="5"/>
  <c r="L3127" i="5"/>
  <c r="I3127" i="5"/>
  <c r="R3127" i="5" s="1"/>
  <c r="H3127" i="5"/>
  <c r="G3127" i="5"/>
  <c r="Q3127" i="5" s="1"/>
  <c r="F3127" i="5"/>
  <c r="U3126" i="5"/>
  <c r="T3126" i="5"/>
  <c r="S3126" i="5"/>
  <c r="P3126" i="5"/>
  <c r="O3126" i="5"/>
  <c r="N3126" i="5"/>
  <c r="M3126" i="5"/>
  <c r="L3126" i="5"/>
  <c r="I3126" i="5"/>
  <c r="R3126" i="5" s="1"/>
  <c r="H3126" i="5"/>
  <c r="G3126" i="5"/>
  <c r="Q3126" i="5" s="1"/>
  <c r="F3126" i="5"/>
  <c r="U3125" i="5"/>
  <c r="T3125" i="5"/>
  <c r="S3125" i="5"/>
  <c r="P3125" i="5"/>
  <c r="O3125" i="5"/>
  <c r="N3125" i="5"/>
  <c r="M3125" i="5"/>
  <c r="L3125" i="5"/>
  <c r="I3125" i="5"/>
  <c r="R3125" i="5" s="1"/>
  <c r="H3125" i="5"/>
  <c r="G3125" i="5"/>
  <c r="Q3125" i="5" s="1"/>
  <c r="F3125" i="5"/>
  <c r="U3029" i="5"/>
  <c r="T3029" i="5"/>
  <c r="S3029" i="5"/>
  <c r="P3029" i="5"/>
  <c r="O3029" i="5"/>
  <c r="N3029" i="5"/>
  <c r="M3029" i="5"/>
  <c r="L3029" i="5"/>
  <c r="I3029" i="5"/>
  <c r="R3029" i="5" s="1"/>
  <c r="H3029" i="5"/>
  <c r="G3029" i="5"/>
  <c r="Q3029" i="5" s="1"/>
  <c r="F3029" i="5"/>
  <c r="U3028" i="5"/>
  <c r="T3028" i="5"/>
  <c r="S3028" i="5"/>
  <c r="P3028" i="5"/>
  <c r="O3028" i="5"/>
  <c r="N3028" i="5"/>
  <c r="M3028" i="5"/>
  <c r="L3028" i="5"/>
  <c r="I3028" i="5"/>
  <c r="R3028" i="5" s="1"/>
  <c r="H3028" i="5"/>
  <c r="G3028" i="5"/>
  <c r="Q3028" i="5" s="1"/>
  <c r="F3028" i="5"/>
  <c r="U3027" i="5"/>
  <c r="T3027" i="5"/>
  <c r="S3027" i="5"/>
  <c r="P3027" i="5"/>
  <c r="O3027" i="5"/>
  <c r="N3027" i="5"/>
  <c r="M3027" i="5"/>
  <c r="L3027" i="5"/>
  <c r="I3027" i="5"/>
  <c r="R3027" i="5" s="1"/>
  <c r="H3027" i="5"/>
  <c r="G3027" i="5"/>
  <c r="Q3027" i="5" s="1"/>
  <c r="F3027" i="5"/>
  <c r="U2931" i="5"/>
  <c r="T2931" i="5"/>
  <c r="S2931" i="5"/>
  <c r="P2931" i="5"/>
  <c r="O2931" i="5"/>
  <c r="N2931" i="5"/>
  <c r="M2931" i="5"/>
  <c r="L2931" i="5"/>
  <c r="I2931" i="5"/>
  <c r="R2931" i="5" s="1"/>
  <c r="H2931" i="5"/>
  <c r="G2931" i="5"/>
  <c r="Q2931" i="5" s="1"/>
  <c r="F2931" i="5"/>
  <c r="U2930" i="5"/>
  <c r="T2930" i="5"/>
  <c r="S2930" i="5"/>
  <c r="P2930" i="5"/>
  <c r="O2930" i="5"/>
  <c r="N2930" i="5"/>
  <c r="M2930" i="5"/>
  <c r="L2930" i="5"/>
  <c r="I2930" i="5"/>
  <c r="R2930" i="5" s="1"/>
  <c r="H2930" i="5"/>
  <c r="G2930" i="5"/>
  <c r="Q2930" i="5" s="1"/>
  <c r="F2930" i="5"/>
  <c r="U2929" i="5"/>
  <c r="T2929" i="5"/>
  <c r="S2929" i="5"/>
  <c r="P2929" i="5"/>
  <c r="O2929" i="5"/>
  <c r="N2929" i="5"/>
  <c r="M2929" i="5"/>
  <c r="L2929" i="5"/>
  <c r="I2929" i="5"/>
  <c r="R2929" i="5" s="1"/>
  <c r="H2929" i="5"/>
  <c r="G2929" i="5"/>
  <c r="Q2929" i="5" s="1"/>
  <c r="F2929" i="5"/>
  <c r="U2833" i="5"/>
  <c r="T2833" i="5"/>
  <c r="S2833" i="5"/>
  <c r="P2833" i="5"/>
  <c r="O2833" i="5"/>
  <c r="N2833" i="5"/>
  <c r="M2833" i="5"/>
  <c r="L2833" i="5"/>
  <c r="I2833" i="5"/>
  <c r="R2833" i="5" s="1"/>
  <c r="H2833" i="5"/>
  <c r="G2833" i="5"/>
  <c r="Q2833" i="5" s="1"/>
  <c r="F2833" i="5"/>
  <c r="U2832" i="5"/>
  <c r="T2832" i="5"/>
  <c r="S2832" i="5"/>
  <c r="P2832" i="5"/>
  <c r="O2832" i="5"/>
  <c r="N2832" i="5"/>
  <c r="M2832" i="5"/>
  <c r="L2832" i="5"/>
  <c r="I2832" i="5"/>
  <c r="R2832" i="5" s="1"/>
  <c r="H2832" i="5"/>
  <c r="G2832" i="5"/>
  <c r="Q2832" i="5" s="1"/>
  <c r="F2832" i="5"/>
  <c r="U2831" i="5"/>
  <c r="T2831" i="5"/>
  <c r="S2831" i="5"/>
  <c r="P2831" i="5"/>
  <c r="O2831" i="5"/>
  <c r="N2831" i="5"/>
  <c r="M2831" i="5"/>
  <c r="L2831" i="5"/>
  <c r="I2831" i="5"/>
  <c r="R2831" i="5" s="1"/>
  <c r="H2831" i="5"/>
  <c r="G2831" i="5"/>
  <c r="Q2831" i="5" s="1"/>
  <c r="F2831" i="5"/>
  <c r="U2735" i="5"/>
  <c r="T2735" i="5"/>
  <c r="S2735" i="5"/>
  <c r="P2735" i="5"/>
  <c r="O2735" i="5"/>
  <c r="N2735" i="5"/>
  <c r="M2735" i="5"/>
  <c r="L2735" i="5"/>
  <c r="I2735" i="5"/>
  <c r="R2735" i="5" s="1"/>
  <c r="H2735" i="5"/>
  <c r="G2735" i="5"/>
  <c r="Q2735" i="5" s="1"/>
  <c r="F2735" i="5"/>
  <c r="U2734" i="5"/>
  <c r="T2734" i="5"/>
  <c r="S2734" i="5"/>
  <c r="P2734" i="5"/>
  <c r="O2734" i="5"/>
  <c r="N2734" i="5"/>
  <c r="M2734" i="5"/>
  <c r="L2734" i="5"/>
  <c r="I2734" i="5"/>
  <c r="R2734" i="5" s="1"/>
  <c r="H2734" i="5"/>
  <c r="G2734" i="5"/>
  <c r="Q2734" i="5" s="1"/>
  <c r="F2734" i="5"/>
  <c r="U2733" i="5"/>
  <c r="T2733" i="5"/>
  <c r="S2733" i="5"/>
  <c r="P2733" i="5"/>
  <c r="O2733" i="5"/>
  <c r="N2733" i="5"/>
  <c r="M2733" i="5"/>
  <c r="L2733" i="5"/>
  <c r="I2733" i="5"/>
  <c r="R2733" i="5" s="1"/>
  <c r="H2733" i="5"/>
  <c r="G2733" i="5"/>
  <c r="Q2733" i="5" s="1"/>
  <c r="F2733" i="5"/>
  <c r="U2637" i="5"/>
  <c r="T2637" i="5"/>
  <c r="S2637" i="5"/>
  <c r="P2637" i="5"/>
  <c r="O2637" i="5"/>
  <c r="N2637" i="5"/>
  <c r="M2637" i="5"/>
  <c r="L2637" i="5"/>
  <c r="I2637" i="5"/>
  <c r="R2637" i="5" s="1"/>
  <c r="H2637" i="5"/>
  <c r="G2637" i="5"/>
  <c r="Q2637" i="5" s="1"/>
  <c r="F2637" i="5"/>
  <c r="U2636" i="5"/>
  <c r="T2636" i="5"/>
  <c r="S2636" i="5"/>
  <c r="P2636" i="5"/>
  <c r="O2636" i="5"/>
  <c r="N2636" i="5"/>
  <c r="M2636" i="5"/>
  <c r="L2636" i="5"/>
  <c r="I2636" i="5"/>
  <c r="R2636" i="5" s="1"/>
  <c r="H2636" i="5"/>
  <c r="G2636" i="5"/>
  <c r="Q2636" i="5" s="1"/>
  <c r="F2636" i="5"/>
  <c r="U2635" i="5"/>
  <c r="T2635" i="5"/>
  <c r="S2635" i="5"/>
  <c r="P2635" i="5"/>
  <c r="O2635" i="5"/>
  <c r="N2635" i="5"/>
  <c r="M2635" i="5"/>
  <c r="L2635" i="5"/>
  <c r="I2635" i="5"/>
  <c r="R2635" i="5" s="1"/>
  <c r="H2635" i="5"/>
  <c r="G2635" i="5"/>
  <c r="Q2635" i="5" s="1"/>
  <c r="F2635" i="5"/>
  <c r="U2569" i="5"/>
  <c r="T2569" i="5"/>
  <c r="S2569" i="5"/>
  <c r="P2569" i="5"/>
  <c r="O2569" i="5"/>
  <c r="N2569" i="5"/>
  <c r="M2569" i="5"/>
  <c r="L2569" i="5"/>
  <c r="I2569" i="5"/>
  <c r="R2569" i="5" s="1"/>
  <c r="H2569" i="5"/>
  <c r="G2569" i="5"/>
  <c r="Q2569" i="5" s="1"/>
  <c r="F2569" i="5"/>
  <c r="U2568" i="5"/>
  <c r="T2568" i="5"/>
  <c r="S2568" i="5"/>
  <c r="P2568" i="5"/>
  <c r="I2568" i="5"/>
  <c r="R2568" i="5" s="1"/>
  <c r="H2568" i="5"/>
  <c r="G2568" i="5"/>
  <c r="Q2568" i="5" s="1"/>
  <c r="F2568" i="5"/>
  <c r="U2567" i="5"/>
  <c r="T2567" i="5"/>
  <c r="S2567" i="5"/>
  <c r="P2567" i="5"/>
  <c r="O2567" i="5"/>
  <c r="N2567" i="5"/>
  <c r="M2567" i="5"/>
  <c r="L2567" i="5"/>
  <c r="I2567" i="5"/>
  <c r="R2567" i="5" s="1"/>
  <c r="H2567" i="5"/>
  <c r="G2567" i="5"/>
  <c r="Q2567" i="5" s="1"/>
  <c r="F2567" i="5"/>
  <c r="U2501" i="5"/>
  <c r="T2501" i="5"/>
  <c r="S2501" i="5"/>
  <c r="P2501" i="5"/>
  <c r="O2501" i="5"/>
  <c r="N2501" i="5"/>
  <c r="M2501" i="5"/>
  <c r="L2501" i="5"/>
  <c r="I2501" i="5"/>
  <c r="R2501" i="5" s="1"/>
  <c r="H2501" i="5"/>
  <c r="G2501" i="5"/>
  <c r="Q2501" i="5" s="1"/>
  <c r="F2501" i="5"/>
  <c r="U2500" i="5"/>
  <c r="T2500" i="5"/>
  <c r="S2500" i="5"/>
  <c r="P2500" i="5"/>
  <c r="I2500" i="5"/>
  <c r="R2500" i="5" s="1"/>
  <c r="H2500" i="5"/>
  <c r="G2500" i="5"/>
  <c r="Q2500" i="5" s="1"/>
  <c r="F2500" i="5"/>
  <c r="U2499" i="5"/>
  <c r="T2499" i="5"/>
  <c r="S2499" i="5"/>
  <c r="P2499" i="5"/>
  <c r="O2499" i="5"/>
  <c r="N2499" i="5"/>
  <c r="M2499" i="5"/>
  <c r="L2499" i="5"/>
  <c r="I2499" i="5"/>
  <c r="R2499" i="5" s="1"/>
  <c r="H2499" i="5"/>
  <c r="G2499" i="5"/>
  <c r="Q2499" i="5" s="1"/>
  <c r="F2499" i="5"/>
  <c r="U2433" i="5"/>
  <c r="T2433" i="5"/>
  <c r="S2433" i="5"/>
  <c r="I2433" i="5"/>
  <c r="R2433" i="5" s="1"/>
  <c r="H2433" i="5"/>
  <c r="G2433" i="5"/>
  <c r="Q2433" i="5" s="1"/>
  <c r="F2433" i="5"/>
  <c r="E2433" i="5"/>
  <c r="P2433" i="5" s="1"/>
  <c r="D2433" i="5"/>
  <c r="U2370" i="5"/>
  <c r="T2370" i="5"/>
  <c r="S2370" i="5"/>
  <c r="I2370" i="5"/>
  <c r="R2370" i="5" s="1"/>
  <c r="H2370" i="5"/>
  <c r="G2370" i="5"/>
  <c r="Q2370" i="5" s="1"/>
  <c r="F2370" i="5"/>
  <c r="E2370" i="5"/>
  <c r="P2370" i="5" s="1"/>
  <c r="D2370" i="5"/>
  <c r="U2432" i="5"/>
  <c r="T2432" i="5"/>
  <c r="S2432" i="5"/>
  <c r="O2432" i="5"/>
  <c r="N2432" i="5"/>
  <c r="I2432" i="5"/>
  <c r="R2432" i="5" s="1"/>
  <c r="H2432" i="5"/>
  <c r="G2432" i="5"/>
  <c r="Q2432" i="5" s="1"/>
  <c r="F2432" i="5"/>
  <c r="E2432" i="5"/>
  <c r="P2432" i="5" s="1"/>
  <c r="D2432" i="5"/>
  <c r="U2369" i="5"/>
  <c r="T2369" i="5"/>
  <c r="S2369" i="5"/>
  <c r="O2369" i="5"/>
  <c r="N2369" i="5"/>
  <c r="I2369" i="5"/>
  <c r="R2369" i="5" s="1"/>
  <c r="H2369" i="5"/>
  <c r="G2369" i="5"/>
  <c r="Q2369" i="5" s="1"/>
  <c r="F2369" i="5"/>
  <c r="E2369" i="5"/>
  <c r="P2369" i="5" s="1"/>
  <c r="D2369" i="5"/>
  <c r="U2307" i="5"/>
  <c r="T2307" i="5"/>
  <c r="S2307" i="5"/>
  <c r="I2307" i="5"/>
  <c r="R2307" i="5" s="1"/>
  <c r="H2307" i="5"/>
  <c r="G2307" i="5"/>
  <c r="Q2307" i="5" s="1"/>
  <c r="F2307" i="5"/>
  <c r="E2307" i="5"/>
  <c r="P2307" i="5" s="1"/>
  <c r="D2307" i="5"/>
  <c r="U2244" i="5"/>
  <c r="T2244" i="5"/>
  <c r="S2244" i="5"/>
  <c r="I2244" i="5"/>
  <c r="R2244" i="5" s="1"/>
  <c r="H2244" i="5"/>
  <c r="G2244" i="5"/>
  <c r="Q2244" i="5" s="1"/>
  <c r="F2244" i="5"/>
  <c r="E2244" i="5"/>
  <c r="P2244" i="5" s="1"/>
  <c r="D2244" i="5"/>
  <c r="U2306" i="5"/>
  <c r="T2306" i="5"/>
  <c r="S2306" i="5"/>
  <c r="O2306" i="5"/>
  <c r="N2306" i="5"/>
  <c r="I2306" i="5"/>
  <c r="R2306" i="5" s="1"/>
  <c r="H2306" i="5"/>
  <c r="G2306" i="5"/>
  <c r="Q2306" i="5" s="1"/>
  <c r="F2306" i="5"/>
  <c r="E2306" i="5"/>
  <c r="P2306" i="5" s="1"/>
  <c r="D2306" i="5"/>
  <c r="U2243" i="5"/>
  <c r="T2243" i="5"/>
  <c r="S2243" i="5"/>
  <c r="O2243" i="5"/>
  <c r="N2243" i="5"/>
  <c r="I2243" i="5"/>
  <c r="R2243" i="5" s="1"/>
  <c r="H2243" i="5"/>
  <c r="G2243" i="5"/>
  <c r="Q2243" i="5" s="1"/>
  <c r="F2243" i="5"/>
  <c r="E2243" i="5"/>
  <c r="P2243" i="5" s="1"/>
  <c r="D2243" i="5"/>
  <c r="U2181" i="5"/>
  <c r="T2181" i="5"/>
  <c r="S2181" i="5"/>
  <c r="I2181" i="5"/>
  <c r="R2181" i="5" s="1"/>
  <c r="H2181" i="5"/>
  <c r="G2181" i="5"/>
  <c r="Q2181" i="5" s="1"/>
  <c r="F2181" i="5"/>
  <c r="E2181" i="5"/>
  <c r="P2181" i="5" s="1"/>
  <c r="D2181" i="5"/>
  <c r="U2118" i="5"/>
  <c r="T2118" i="5"/>
  <c r="S2118" i="5"/>
  <c r="I2118" i="5"/>
  <c r="R2118" i="5" s="1"/>
  <c r="H2118" i="5"/>
  <c r="G2118" i="5"/>
  <c r="Q2118" i="5" s="1"/>
  <c r="F2118" i="5"/>
  <c r="E2118" i="5"/>
  <c r="P2118" i="5" s="1"/>
  <c r="D2118" i="5"/>
  <c r="U2180" i="5"/>
  <c r="T2180" i="5"/>
  <c r="S2180" i="5"/>
  <c r="O2180" i="5"/>
  <c r="N2180" i="5"/>
  <c r="I2180" i="5"/>
  <c r="R2180" i="5" s="1"/>
  <c r="H2180" i="5"/>
  <c r="G2180" i="5"/>
  <c r="Q2180" i="5" s="1"/>
  <c r="F2180" i="5"/>
  <c r="E2180" i="5"/>
  <c r="P2180" i="5" s="1"/>
  <c r="D2180" i="5"/>
  <c r="U2117" i="5"/>
  <c r="T2117" i="5"/>
  <c r="S2117" i="5"/>
  <c r="O2117" i="5"/>
  <c r="N2117" i="5"/>
  <c r="I2117" i="5"/>
  <c r="R2117" i="5" s="1"/>
  <c r="H2117" i="5"/>
  <c r="G2117" i="5"/>
  <c r="Q2117" i="5" s="1"/>
  <c r="F2117" i="5"/>
  <c r="E2117" i="5"/>
  <c r="P2117" i="5" s="1"/>
  <c r="D2117" i="5"/>
  <c r="U2055" i="5"/>
  <c r="T2055" i="5"/>
  <c r="S2055" i="5"/>
  <c r="I2055" i="5"/>
  <c r="R2055" i="5" s="1"/>
  <c r="H2055" i="5"/>
  <c r="G2055" i="5"/>
  <c r="Q2055" i="5" s="1"/>
  <c r="F2055" i="5"/>
  <c r="E2055" i="5"/>
  <c r="P2055" i="5" s="1"/>
  <c r="D2055" i="5"/>
  <c r="U1993" i="5"/>
  <c r="T1993" i="5"/>
  <c r="S1993" i="5"/>
  <c r="I1993" i="5"/>
  <c r="R1993" i="5" s="1"/>
  <c r="H1993" i="5"/>
  <c r="G1993" i="5"/>
  <c r="Q1993" i="5" s="1"/>
  <c r="F1993" i="5"/>
  <c r="E1993" i="5"/>
  <c r="P1993" i="5" s="1"/>
  <c r="D1993" i="5"/>
  <c r="U2054" i="5"/>
  <c r="T2054" i="5"/>
  <c r="S2054" i="5"/>
  <c r="O2054" i="5"/>
  <c r="N2054" i="5"/>
  <c r="I2054" i="5"/>
  <c r="R2054" i="5" s="1"/>
  <c r="H2054" i="5"/>
  <c r="G2054" i="5"/>
  <c r="Q2054" i="5" s="1"/>
  <c r="F2054" i="5"/>
  <c r="E2054" i="5"/>
  <c r="P2054" i="5" s="1"/>
  <c r="D2054" i="5"/>
  <c r="U1992" i="5"/>
  <c r="T1992" i="5"/>
  <c r="S1992" i="5"/>
  <c r="O1992" i="5"/>
  <c r="N1992" i="5"/>
  <c r="I1992" i="5"/>
  <c r="R1992" i="5" s="1"/>
  <c r="H1992" i="5"/>
  <c r="G1992" i="5"/>
  <c r="Q1992" i="5" s="1"/>
  <c r="F1992" i="5"/>
  <c r="E1992" i="5"/>
  <c r="P1992" i="5" s="1"/>
  <c r="D1992" i="5"/>
  <c r="U1931" i="5"/>
  <c r="T1931" i="5"/>
  <c r="S1931" i="5"/>
  <c r="I1931" i="5"/>
  <c r="R1931" i="5" s="1"/>
  <c r="H1931" i="5"/>
  <c r="G1931" i="5"/>
  <c r="Q1931" i="5" s="1"/>
  <c r="F1931" i="5"/>
  <c r="E1931" i="5"/>
  <c r="P1931" i="5" s="1"/>
  <c r="D1931" i="5"/>
  <c r="U1869" i="5"/>
  <c r="T1869" i="5"/>
  <c r="S1869" i="5"/>
  <c r="I1869" i="5"/>
  <c r="R1869" i="5" s="1"/>
  <c r="H1869" i="5"/>
  <c r="G1869" i="5"/>
  <c r="Q1869" i="5" s="1"/>
  <c r="F1869" i="5"/>
  <c r="E1869" i="5"/>
  <c r="P1869" i="5" s="1"/>
  <c r="D1869" i="5"/>
  <c r="U1930" i="5"/>
  <c r="T1930" i="5"/>
  <c r="S1930" i="5"/>
  <c r="O1930" i="5"/>
  <c r="N1930" i="5"/>
  <c r="I1930" i="5"/>
  <c r="R1930" i="5" s="1"/>
  <c r="H1930" i="5"/>
  <c r="G1930" i="5"/>
  <c r="Q1930" i="5" s="1"/>
  <c r="F1930" i="5"/>
  <c r="E1930" i="5"/>
  <c r="P1930" i="5" s="1"/>
  <c r="D1930" i="5"/>
  <c r="U1868" i="5"/>
  <c r="T1868" i="5"/>
  <c r="S1868" i="5"/>
  <c r="O1868" i="5"/>
  <c r="N1868" i="5"/>
  <c r="I1868" i="5"/>
  <c r="R1868" i="5" s="1"/>
  <c r="H1868" i="5"/>
  <c r="G1868" i="5"/>
  <c r="Q1868" i="5" s="1"/>
  <c r="F1868" i="5"/>
  <c r="E1868" i="5"/>
  <c r="P1868" i="5" s="1"/>
  <c r="D1868" i="5"/>
  <c r="U1807" i="5"/>
  <c r="T1807" i="5"/>
  <c r="S1807" i="5"/>
  <c r="I1807" i="5"/>
  <c r="R1807" i="5" s="1"/>
  <c r="H1807" i="5"/>
  <c r="G1807" i="5"/>
  <c r="Q1807" i="5" s="1"/>
  <c r="F1807" i="5"/>
  <c r="E1807" i="5"/>
  <c r="P1807" i="5" s="1"/>
  <c r="D1807" i="5"/>
  <c r="U1741" i="5"/>
  <c r="T1741" i="5"/>
  <c r="S1741" i="5"/>
  <c r="I1741" i="5"/>
  <c r="R1741" i="5" s="1"/>
  <c r="H1741" i="5"/>
  <c r="G1741" i="5"/>
  <c r="Q1741" i="5" s="1"/>
  <c r="F1741" i="5"/>
  <c r="E1741" i="5"/>
  <c r="P1741" i="5" s="1"/>
  <c r="D1741" i="5"/>
  <c r="U1806" i="5"/>
  <c r="T1806" i="5"/>
  <c r="S1806" i="5"/>
  <c r="O1806" i="5"/>
  <c r="N1806" i="5"/>
  <c r="I1806" i="5"/>
  <c r="R1806" i="5" s="1"/>
  <c r="H1806" i="5"/>
  <c r="G1806" i="5"/>
  <c r="Q1806" i="5" s="1"/>
  <c r="F1806" i="5"/>
  <c r="E1806" i="5"/>
  <c r="P1806" i="5" s="1"/>
  <c r="D1806" i="5"/>
  <c r="U1740" i="5"/>
  <c r="T1740" i="5"/>
  <c r="S1740" i="5"/>
  <c r="O1740" i="5"/>
  <c r="N1740" i="5"/>
  <c r="I1740" i="5"/>
  <c r="R1740" i="5" s="1"/>
  <c r="H1740" i="5"/>
  <c r="G1740" i="5"/>
  <c r="Q1740" i="5" s="1"/>
  <c r="F1740" i="5"/>
  <c r="E1740" i="5"/>
  <c r="P1740" i="5" s="1"/>
  <c r="D1740" i="5"/>
  <c r="U1675" i="5"/>
  <c r="T1675" i="5"/>
  <c r="S1675" i="5"/>
  <c r="I1675" i="5"/>
  <c r="R1675" i="5" s="1"/>
  <c r="H1675" i="5"/>
  <c r="G1675" i="5"/>
  <c r="Q1675" i="5" s="1"/>
  <c r="F1675" i="5"/>
  <c r="E1675" i="5"/>
  <c r="P1675" i="5" s="1"/>
  <c r="D1675" i="5"/>
  <c r="U1609" i="5"/>
  <c r="T1609" i="5"/>
  <c r="S1609" i="5"/>
  <c r="I1609" i="5"/>
  <c r="R1609" i="5" s="1"/>
  <c r="H1609" i="5"/>
  <c r="G1609" i="5"/>
  <c r="Q1609" i="5" s="1"/>
  <c r="F1609" i="5"/>
  <c r="E1609" i="5"/>
  <c r="P1609" i="5" s="1"/>
  <c r="D1609" i="5"/>
  <c r="U1674" i="5"/>
  <c r="T1674" i="5"/>
  <c r="S1674" i="5"/>
  <c r="O1674" i="5"/>
  <c r="N1674" i="5"/>
  <c r="I1674" i="5"/>
  <c r="R1674" i="5" s="1"/>
  <c r="H1674" i="5"/>
  <c r="G1674" i="5"/>
  <c r="Q1674" i="5" s="1"/>
  <c r="F1674" i="5"/>
  <c r="E1674" i="5"/>
  <c r="P1674" i="5" s="1"/>
  <c r="D1674" i="5"/>
  <c r="U1608" i="5"/>
  <c r="T1608" i="5"/>
  <c r="S1608" i="5"/>
  <c r="O1608" i="5"/>
  <c r="N1608" i="5"/>
  <c r="I1608" i="5"/>
  <c r="R1608" i="5" s="1"/>
  <c r="H1608" i="5"/>
  <c r="G1608" i="5"/>
  <c r="Q1608" i="5" s="1"/>
  <c r="F1608" i="5"/>
  <c r="E1608" i="5"/>
  <c r="P1608" i="5" s="1"/>
  <c r="D1608" i="5"/>
  <c r="U1543" i="5"/>
  <c r="T1543" i="5"/>
  <c r="S1543" i="5"/>
  <c r="I1543" i="5"/>
  <c r="R1543" i="5" s="1"/>
  <c r="H1543" i="5"/>
  <c r="G1543" i="5"/>
  <c r="Q1543" i="5" s="1"/>
  <c r="F1543" i="5"/>
  <c r="E1543" i="5"/>
  <c r="P1543" i="5" s="1"/>
  <c r="D1543" i="5"/>
  <c r="U1477" i="5"/>
  <c r="T1477" i="5"/>
  <c r="S1477" i="5"/>
  <c r="I1477" i="5"/>
  <c r="R1477" i="5" s="1"/>
  <c r="H1477" i="5"/>
  <c r="G1477" i="5"/>
  <c r="Q1477" i="5" s="1"/>
  <c r="F1477" i="5"/>
  <c r="E1477" i="5"/>
  <c r="P1477" i="5" s="1"/>
  <c r="D1477" i="5"/>
  <c r="U1542" i="5"/>
  <c r="T1542" i="5"/>
  <c r="S1542" i="5"/>
  <c r="O1542" i="5"/>
  <c r="N1542" i="5"/>
  <c r="I1542" i="5"/>
  <c r="R1542" i="5" s="1"/>
  <c r="H1542" i="5"/>
  <c r="G1542" i="5"/>
  <c r="Q1542" i="5" s="1"/>
  <c r="F1542" i="5"/>
  <c r="E1542" i="5"/>
  <c r="P1542" i="5" s="1"/>
  <c r="D1542" i="5"/>
  <c r="U1476" i="5"/>
  <c r="T1476" i="5"/>
  <c r="S1476" i="5"/>
  <c r="O1476" i="5"/>
  <c r="N1476" i="5"/>
  <c r="I1476" i="5"/>
  <c r="R1476" i="5" s="1"/>
  <c r="H1476" i="5"/>
  <c r="G1476" i="5"/>
  <c r="Q1476" i="5" s="1"/>
  <c r="F1476" i="5"/>
  <c r="E1476" i="5"/>
  <c r="P1476" i="5" s="1"/>
  <c r="D1476" i="5"/>
  <c r="U1415" i="5"/>
  <c r="T1415" i="5"/>
  <c r="S1415" i="5"/>
  <c r="I1415" i="5"/>
  <c r="R1415" i="5" s="1"/>
  <c r="H1415" i="5"/>
  <c r="G1415" i="5"/>
  <c r="Q1415" i="5" s="1"/>
  <c r="F1415" i="5"/>
  <c r="E1415" i="5"/>
  <c r="P1415" i="5" s="1"/>
  <c r="D1415" i="5"/>
  <c r="U1353" i="5"/>
  <c r="T1353" i="5"/>
  <c r="S1353" i="5"/>
  <c r="I1353" i="5"/>
  <c r="R1353" i="5" s="1"/>
  <c r="H1353" i="5"/>
  <c r="G1353" i="5"/>
  <c r="Q1353" i="5" s="1"/>
  <c r="F1353" i="5"/>
  <c r="E1353" i="5"/>
  <c r="P1353" i="5" s="1"/>
  <c r="D1353" i="5"/>
  <c r="U1414" i="5"/>
  <c r="T1414" i="5"/>
  <c r="S1414" i="5"/>
  <c r="I1414" i="5"/>
  <c r="R1414" i="5" s="1"/>
  <c r="H1414" i="5"/>
  <c r="G1414" i="5"/>
  <c r="Q1414" i="5" s="1"/>
  <c r="F1414" i="5"/>
  <c r="E1414" i="5"/>
  <c r="P1414" i="5" s="1"/>
  <c r="D1414" i="5"/>
  <c r="U1352" i="5"/>
  <c r="T1352" i="5"/>
  <c r="S1352" i="5"/>
  <c r="I1352" i="5"/>
  <c r="R1352" i="5" s="1"/>
  <c r="H1352" i="5"/>
  <c r="G1352" i="5"/>
  <c r="Q1352" i="5" s="1"/>
  <c r="F1352" i="5"/>
  <c r="E1352" i="5"/>
  <c r="P1352" i="5" s="1"/>
  <c r="D1352" i="5"/>
  <c r="U1283" i="5"/>
  <c r="T1283" i="5"/>
  <c r="S1283" i="5"/>
  <c r="I1283" i="5"/>
  <c r="R1283" i="5" s="1"/>
  <c r="H1283" i="5"/>
  <c r="G1283" i="5"/>
  <c r="Q1283" i="5" s="1"/>
  <c r="F1283" i="5"/>
  <c r="E1283" i="5"/>
  <c r="P1283" i="5" s="1"/>
  <c r="D1283" i="5"/>
  <c r="U1213" i="5"/>
  <c r="T1213" i="5"/>
  <c r="S1213" i="5"/>
  <c r="I1213" i="5"/>
  <c r="R1213" i="5" s="1"/>
  <c r="H1213" i="5"/>
  <c r="G1213" i="5"/>
  <c r="Q1213" i="5" s="1"/>
  <c r="F1213" i="5"/>
  <c r="E1213" i="5"/>
  <c r="P1213" i="5" s="1"/>
  <c r="D1213" i="5"/>
  <c r="U1282" i="5"/>
  <c r="T1282" i="5"/>
  <c r="S1282" i="5"/>
  <c r="I1282" i="5"/>
  <c r="R1282" i="5" s="1"/>
  <c r="H1282" i="5"/>
  <c r="G1282" i="5"/>
  <c r="Q1282" i="5" s="1"/>
  <c r="F1282" i="5"/>
  <c r="E1282" i="5"/>
  <c r="P1282" i="5" s="1"/>
  <c r="D1282" i="5"/>
  <c r="U1212" i="5"/>
  <c r="T1212" i="5"/>
  <c r="S1212" i="5"/>
  <c r="I1212" i="5"/>
  <c r="R1212" i="5" s="1"/>
  <c r="H1212" i="5"/>
  <c r="G1212" i="5"/>
  <c r="Q1212" i="5" s="1"/>
  <c r="F1212" i="5"/>
  <c r="E1212" i="5"/>
  <c r="P1212" i="5" s="1"/>
  <c r="D1212" i="5"/>
  <c r="U1143" i="5"/>
  <c r="T1143" i="5"/>
  <c r="S1143" i="5"/>
  <c r="I1143" i="5"/>
  <c r="R1143" i="5" s="1"/>
  <c r="H1143" i="5"/>
  <c r="G1143" i="5"/>
  <c r="Q1143" i="5" s="1"/>
  <c r="F1143" i="5"/>
  <c r="E1143" i="5"/>
  <c r="P1143" i="5" s="1"/>
  <c r="D1143" i="5"/>
  <c r="U1073" i="5"/>
  <c r="T1073" i="5"/>
  <c r="S1073" i="5"/>
  <c r="I1073" i="5"/>
  <c r="R1073" i="5" s="1"/>
  <c r="H1073" i="5"/>
  <c r="G1073" i="5"/>
  <c r="Q1073" i="5" s="1"/>
  <c r="F1073" i="5"/>
  <c r="E1073" i="5"/>
  <c r="P1073" i="5" s="1"/>
  <c r="D1073" i="5"/>
  <c r="U1142" i="5"/>
  <c r="T1142" i="5"/>
  <c r="S1142" i="5"/>
  <c r="I1142" i="5"/>
  <c r="R1142" i="5" s="1"/>
  <c r="H1142" i="5"/>
  <c r="G1142" i="5"/>
  <c r="Q1142" i="5" s="1"/>
  <c r="F1142" i="5"/>
  <c r="E1142" i="5"/>
  <c r="P1142" i="5" s="1"/>
  <c r="D1142" i="5"/>
  <c r="U1072" i="5"/>
  <c r="T1072" i="5"/>
  <c r="S1072" i="5"/>
  <c r="I1072" i="5"/>
  <c r="R1072" i="5" s="1"/>
  <c r="H1072" i="5"/>
  <c r="G1072" i="5"/>
  <c r="Q1072" i="5" s="1"/>
  <c r="F1072" i="5"/>
  <c r="E1072" i="5"/>
  <c r="P1072" i="5" s="1"/>
  <c r="D1072" i="5"/>
  <c r="U1007" i="5"/>
  <c r="T1007" i="5"/>
  <c r="S1007" i="5"/>
  <c r="I1007" i="5"/>
  <c r="R1007" i="5" s="1"/>
  <c r="H1007" i="5"/>
  <c r="G1007" i="5"/>
  <c r="Q1007" i="5" s="1"/>
  <c r="F1007" i="5"/>
  <c r="E1007" i="5"/>
  <c r="P1007" i="5" s="1"/>
  <c r="D1007" i="5"/>
  <c r="U941" i="5"/>
  <c r="T941" i="5"/>
  <c r="S941" i="5"/>
  <c r="I941" i="5"/>
  <c r="R941" i="5" s="1"/>
  <c r="H941" i="5"/>
  <c r="G941" i="5"/>
  <c r="Q941" i="5" s="1"/>
  <c r="F941" i="5"/>
  <c r="E941" i="5"/>
  <c r="P941" i="5" s="1"/>
  <c r="D941" i="5"/>
  <c r="U1006" i="5"/>
  <c r="T1006" i="5"/>
  <c r="S1006" i="5"/>
  <c r="I1006" i="5"/>
  <c r="R1006" i="5" s="1"/>
  <c r="H1006" i="5"/>
  <c r="G1006" i="5"/>
  <c r="Q1006" i="5" s="1"/>
  <c r="F1006" i="5"/>
  <c r="E1006" i="5"/>
  <c r="P1006" i="5" s="1"/>
  <c r="D1006" i="5"/>
  <c r="U940" i="5"/>
  <c r="T940" i="5"/>
  <c r="S940" i="5"/>
  <c r="I940" i="5"/>
  <c r="R940" i="5" s="1"/>
  <c r="H940" i="5"/>
  <c r="G940" i="5"/>
  <c r="Q940" i="5" s="1"/>
  <c r="F940" i="5"/>
  <c r="E940" i="5"/>
  <c r="P940" i="5" s="1"/>
  <c r="D940" i="5"/>
  <c r="U875" i="5"/>
  <c r="T875" i="5"/>
  <c r="S875" i="5"/>
  <c r="I875" i="5"/>
  <c r="R875" i="5" s="1"/>
  <c r="H875" i="5"/>
  <c r="G875" i="5"/>
  <c r="Q875" i="5" s="1"/>
  <c r="F875" i="5"/>
  <c r="E875" i="5"/>
  <c r="P875" i="5" s="1"/>
  <c r="D875" i="5"/>
  <c r="U809" i="5"/>
  <c r="T809" i="5"/>
  <c r="S809" i="5"/>
  <c r="I809" i="5"/>
  <c r="R809" i="5" s="1"/>
  <c r="H809" i="5"/>
  <c r="G809" i="5"/>
  <c r="Q809" i="5" s="1"/>
  <c r="F809" i="5"/>
  <c r="E809" i="5"/>
  <c r="P809" i="5" s="1"/>
  <c r="D809" i="5"/>
  <c r="U874" i="5"/>
  <c r="T874" i="5"/>
  <c r="S874" i="5"/>
  <c r="I874" i="5"/>
  <c r="R874" i="5" s="1"/>
  <c r="H874" i="5"/>
  <c r="G874" i="5"/>
  <c r="Q874" i="5" s="1"/>
  <c r="F874" i="5"/>
  <c r="E874" i="5"/>
  <c r="P874" i="5" s="1"/>
  <c r="D874" i="5"/>
  <c r="U808" i="5"/>
  <c r="T808" i="5"/>
  <c r="S808" i="5"/>
  <c r="I808" i="5"/>
  <c r="R808" i="5" s="1"/>
  <c r="H808" i="5"/>
  <c r="G808" i="5"/>
  <c r="Q808" i="5" s="1"/>
  <c r="F808" i="5"/>
  <c r="E808" i="5"/>
  <c r="P808" i="5" s="1"/>
  <c r="D808" i="5"/>
  <c r="U5290" i="5"/>
  <c r="T5290" i="5"/>
  <c r="S5290" i="5"/>
  <c r="R5290" i="5"/>
  <c r="Q5290" i="5"/>
  <c r="P5290" i="5"/>
  <c r="U5190" i="5"/>
  <c r="T5190" i="5"/>
  <c r="S5190" i="5"/>
  <c r="R5190" i="5"/>
  <c r="Q5190" i="5"/>
  <c r="P5190" i="5"/>
  <c r="U5090" i="5"/>
  <c r="T5090" i="5"/>
  <c r="S5090" i="5"/>
  <c r="R5090" i="5"/>
  <c r="Q5090" i="5"/>
  <c r="P5090" i="5"/>
  <c r="U4990" i="5"/>
  <c r="T4990" i="5"/>
  <c r="S4990" i="5"/>
  <c r="R4990" i="5"/>
  <c r="Q4990" i="5"/>
  <c r="P4990" i="5"/>
  <c r="U4890" i="5"/>
  <c r="T4890" i="5"/>
  <c r="S4890" i="5"/>
  <c r="R4890" i="5"/>
  <c r="Q4890" i="5"/>
  <c r="P4890" i="5"/>
  <c r="U4790" i="5"/>
  <c r="T4790" i="5"/>
  <c r="S4790" i="5"/>
  <c r="R4790" i="5"/>
  <c r="Q4790" i="5"/>
  <c r="P4790" i="5"/>
  <c r="U4673" i="5"/>
  <c r="T4673" i="5"/>
  <c r="S4673" i="5"/>
  <c r="R4673" i="5"/>
  <c r="Q4673" i="5"/>
  <c r="P4673" i="5"/>
  <c r="U4556" i="5"/>
  <c r="T4556" i="5"/>
  <c r="S4556" i="5"/>
  <c r="R4556" i="5"/>
  <c r="Q4556" i="5"/>
  <c r="P4556" i="5"/>
  <c r="U4439" i="5"/>
  <c r="T4439" i="5"/>
  <c r="S4439" i="5"/>
  <c r="R4439" i="5"/>
  <c r="Q4439" i="5"/>
  <c r="P4439" i="5"/>
  <c r="U4322" i="5"/>
  <c r="T4322" i="5"/>
  <c r="S4322" i="5"/>
  <c r="R4322" i="5"/>
  <c r="Q4322" i="5"/>
  <c r="P4322" i="5"/>
  <c r="U4207" i="5"/>
  <c r="T4207" i="5"/>
  <c r="S4207" i="5"/>
  <c r="R4207" i="5"/>
  <c r="Q4207" i="5"/>
  <c r="P4207" i="5"/>
  <c r="U4112" i="5"/>
  <c r="T4112" i="5"/>
  <c r="S4112" i="5"/>
  <c r="R4112" i="5"/>
  <c r="Q4112" i="5"/>
  <c r="P4112" i="5"/>
  <c r="U4013" i="5"/>
  <c r="T4013" i="5"/>
  <c r="S4013" i="5"/>
  <c r="R4013" i="5"/>
  <c r="Q4013" i="5"/>
  <c r="P4013" i="5"/>
  <c r="U3914" i="5"/>
  <c r="T3914" i="5"/>
  <c r="S3914" i="5"/>
  <c r="R3914" i="5"/>
  <c r="Q3914" i="5"/>
  <c r="P3914" i="5"/>
  <c r="U3815" i="5"/>
  <c r="T3815" i="5"/>
  <c r="S3815" i="5"/>
  <c r="R3815" i="5"/>
  <c r="Q3815" i="5"/>
  <c r="P3815" i="5"/>
  <c r="U3716" i="5"/>
  <c r="T3716" i="5"/>
  <c r="S3716" i="5"/>
  <c r="R3716" i="5"/>
  <c r="Q3716" i="5"/>
  <c r="P3716" i="5"/>
  <c r="U3617" i="5"/>
  <c r="T3617" i="5"/>
  <c r="S3617" i="5"/>
  <c r="R3617" i="5"/>
  <c r="Q3617" i="5"/>
  <c r="P3617" i="5"/>
  <c r="U4206" i="5"/>
  <c r="T4206" i="5"/>
  <c r="S4206" i="5"/>
  <c r="R4206" i="5"/>
  <c r="Q4206" i="5"/>
  <c r="P4206" i="5"/>
  <c r="U4111" i="5"/>
  <c r="T4111" i="5"/>
  <c r="S4111" i="5"/>
  <c r="R4111" i="5"/>
  <c r="Q4111" i="5"/>
  <c r="P4111" i="5"/>
  <c r="U4012" i="5"/>
  <c r="T4012" i="5"/>
  <c r="S4012" i="5"/>
  <c r="R4012" i="5"/>
  <c r="Q4012" i="5"/>
  <c r="P4012" i="5"/>
  <c r="U3913" i="5"/>
  <c r="T3913" i="5"/>
  <c r="S3913" i="5"/>
  <c r="R3913" i="5"/>
  <c r="Q3913" i="5"/>
  <c r="P3913" i="5"/>
  <c r="U3814" i="5"/>
  <c r="T3814" i="5"/>
  <c r="S3814" i="5"/>
  <c r="R3814" i="5"/>
  <c r="Q3814" i="5"/>
  <c r="P3814" i="5"/>
  <c r="U3715" i="5"/>
  <c r="T3715" i="5"/>
  <c r="S3715" i="5"/>
  <c r="R3715" i="5"/>
  <c r="Q3715" i="5"/>
  <c r="P3715" i="5"/>
  <c r="U3616" i="5"/>
  <c r="T3616" i="5"/>
  <c r="S3616" i="5"/>
  <c r="R3616" i="5"/>
  <c r="Q3616" i="5"/>
  <c r="P3616" i="5"/>
  <c r="U4205" i="5"/>
  <c r="T4205" i="5"/>
  <c r="S4205" i="5"/>
  <c r="R4205" i="5"/>
  <c r="Q4205" i="5"/>
  <c r="P4205" i="5"/>
  <c r="U4110" i="5"/>
  <c r="T4110" i="5"/>
  <c r="S4110" i="5"/>
  <c r="R4110" i="5"/>
  <c r="Q4110" i="5"/>
  <c r="P4110" i="5"/>
  <c r="U4011" i="5"/>
  <c r="T4011" i="5"/>
  <c r="S4011" i="5"/>
  <c r="R4011" i="5"/>
  <c r="Q4011" i="5"/>
  <c r="P4011" i="5"/>
  <c r="U3912" i="5"/>
  <c r="T3912" i="5"/>
  <c r="S3912" i="5"/>
  <c r="R3912" i="5"/>
  <c r="Q3912" i="5"/>
  <c r="P3912" i="5"/>
  <c r="U3813" i="5"/>
  <c r="T3813" i="5"/>
  <c r="S3813" i="5"/>
  <c r="R3813" i="5"/>
  <c r="Q3813" i="5"/>
  <c r="P3813" i="5"/>
  <c r="U3714" i="5"/>
  <c r="T3714" i="5"/>
  <c r="S3714" i="5"/>
  <c r="R3714" i="5"/>
  <c r="Q3714" i="5"/>
  <c r="P3714" i="5"/>
  <c r="U4204" i="5"/>
  <c r="T4204" i="5"/>
  <c r="S4204" i="5"/>
  <c r="R4204" i="5"/>
  <c r="Q4204" i="5"/>
  <c r="P4204" i="5"/>
  <c r="U4109" i="5"/>
  <c r="T4109" i="5"/>
  <c r="S4109" i="5"/>
  <c r="R4109" i="5"/>
  <c r="Q4109" i="5"/>
  <c r="P4109" i="5"/>
  <c r="U4010" i="5"/>
  <c r="T4010" i="5"/>
  <c r="S4010" i="5"/>
  <c r="R4010" i="5"/>
  <c r="Q4010" i="5"/>
  <c r="P4010" i="5"/>
  <c r="U3911" i="5"/>
  <c r="T3911" i="5"/>
  <c r="S3911" i="5"/>
  <c r="R3911" i="5"/>
  <c r="Q3911" i="5"/>
  <c r="P3911" i="5"/>
  <c r="U3812" i="5"/>
  <c r="T3812" i="5"/>
  <c r="S3812" i="5"/>
  <c r="R3812" i="5"/>
  <c r="Q3812" i="5"/>
  <c r="P3812" i="5"/>
  <c r="U3713" i="5"/>
  <c r="T3713" i="5"/>
  <c r="S3713" i="5"/>
  <c r="R3713" i="5"/>
  <c r="Q3713" i="5"/>
  <c r="P3713" i="5"/>
  <c r="U3615" i="5"/>
  <c r="T3615" i="5"/>
  <c r="S3615" i="5"/>
  <c r="R3615" i="5"/>
  <c r="Q3615" i="5"/>
  <c r="P3615" i="5"/>
  <c r="U4203" i="5"/>
  <c r="T4203" i="5"/>
  <c r="S4203" i="5"/>
  <c r="R4203" i="5"/>
  <c r="Q4203" i="5"/>
  <c r="P4203" i="5"/>
  <c r="U4108" i="5"/>
  <c r="T4108" i="5"/>
  <c r="S4108" i="5"/>
  <c r="R4108" i="5"/>
  <c r="Q4108" i="5"/>
  <c r="P4108" i="5"/>
  <c r="U4009" i="5"/>
  <c r="T4009" i="5"/>
  <c r="S4009" i="5"/>
  <c r="R4009" i="5"/>
  <c r="Q4009" i="5"/>
  <c r="P4009" i="5"/>
  <c r="U3910" i="5"/>
  <c r="T3910" i="5"/>
  <c r="S3910" i="5"/>
  <c r="R3910" i="5"/>
  <c r="Q3910" i="5"/>
  <c r="P3910" i="5"/>
  <c r="U5289" i="5"/>
  <c r="T5289" i="5"/>
  <c r="S5289" i="5"/>
  <c r="R5289" i="5"/>
  <c r="Q5289" i="5"/>
  <c r="P5289" i="5"/>
  <c r="U5189" i="5"/>
  <c r="T5189" i="5"/>
  <c r="S5189" i="5"/>
  <c r="R5189" i="5"/>
  <c r="Q5189" i="5"/>
  <c r="P5189" i="5"/>
  <c r="U5089" i="5"/>
  <c r="T5089" i="5"/>
  <c r="S5089" i="5"/>
  <c r="R5089" i="5"/>
  <c r="Q5089" i="5"/>
  <c r="P5089" i="5"/>
  <c r="U4989" i="5"/>
  <c r="T4989" i="5"/>
  <c r="S4989" i="5"/>
  <c r="R4989" i="5"/>
  <c r="Q4989" i="5"/>
  <c r="P4989" i="5"/>
  <c r="U4889" i="5"/>
  <c r="T4889" i="5"/>
  <c r="S4889" i="5"/>
  <c r="R4889" i="5"/>
  <c r="Q4889" i="5"/>
  <c r="P4889" i="5"/>
  <c r="U4789" i="5"/>
  <c r="T4789" i="5"/>
  <c r="S4789" i="5"/>
  <c r="R4789" i="5"/>
  <c r="Q4789" i="5"/>
  <c r="P4789" i="5"/>
  <c r="U4672" i="5"/>
  <c r="T4672" i="5"/>
  <c r="S4672" i="5"/>
  <c r="R4672" i="5"/>
  <c r="Q4672" i="5"/>
  <c r="P4672" i="5"/>
  <c r="U4555" i="5"/>
  <c r="T4555" i="5"/>
  <c r="S4555" i="5"/>
  <c r="R4555" i="5"/>
  <c r="Q4555" i="5"/>
  <c r="P4555" i="5"/>
  <c r="U4438" i="5"/>
  <c r="T4438" i="5"/>
  <c r="S4438" i="5"/>
  <c r="R4438" i="5"/>
  <c r="Q4438" i="5"/>
  <c r="P4438" i="5"/>
  <c r="U4321" i="5"/>
  <c r="T4321" i="5"/>
  <c r="S4321" i="5"/>
  <c r="R4321" i="5"/>
  <c r="Q4321" i="5"/>
  <c r="P4321" i="5"/>
  <c r="U5288" i="5"/>
  <c r="T5288" i="5"/>
  <c r="S5288" i="5"/>
  <c r="R5288" i="5"/>
  <c r="Q5288" i="5"/>
  <c r="P5288" i="5"/>
  <c r="U5188" i="5"/>
  <c r="T5188" i="5"/>
  <c r="S5188" i="5"/>
  <c r="R5188" i="5"/>
  <c r="Q5188" i="5"/>
  <c r="P5188" i="5"/>
  <c r="U5088" i="5"/>
  <c r="T5088" i="5"/>
  <c r="S5088" i="5"/>
  <c r="R5088" i="5"/>
  <c r="Q5088" i="5"/>
  <c r="P5088" i="5"/>
  <c r="U4988" i="5"/>
  <c r="T4988" i="5"/>
  <c r="S4988" i="5"/>
  <c r="R4988" i="5"/>
  <c r="Q4988" i="5"/>
  <c r="P4988" i="5"/>
  <c r="U4888" i="5"/>
  <c r="T4888" i="5"/>
  <c r="S4888" i="5"/>
  <c r="R4888" i="5"/>
  <c r="Q4888" i="5"/>
  <c r="P4888" i="5"/>
  <c r="U4788" i="5"/>
  <c r="T4788" i="5"/>
  <c r="S4788" i="5"/>
  <c r="R4788" i="5"/>
  <c r="Q4788" i="5"/>
  <c r="P4788" i="5"/>
  <c r="U4671" i="5"/>
  <c r="T4671" i="5"/>
  <c r="S4671" i="5"/>
  <c r="R4671" i="5"/>
  <c r="Q4671" i="5"/>
  <c r="P4671" i="5"/>
  <c r="U4554" i="5"/>
  <c r="T4554" i="5"/>
  <c r="S4554" i="5"/>
  <c r="R4554" i="5"/>
  <c r="Q4554" i="5"/>
  <c r="P4554" i="5"/>
  <c r="U4437" i="5"/>
  <c r="T4437" i="5"/>
  <c r="S4437" i="5"/>
  <c r="R4437" i="5"/>
  <c r="Q4437" i="5"/>
  <c r="P4437" i="5"/>
  <c r="U4320" i="5"/>
  <c r="T4320" i="5"/>
  <c r="S4320" i="5"/>
  <c r="R4320" i="5"/>
  <c r="Q4320" i="5"/>
  <c r="P4320" i="5"/>
  <c r="U5287" i="5"/>
  <c r="T5287" i="5"/>
  <c r="S5287" i="5"/>
  <c r="R5287" i="5"/>
  <c r="Q5287" i="5"/>
  <c r="P5287" i="5"/>
  <c r="U5187" i="5"/>
  <c r="T5187" i="5"/>
  <c r="S5187" i="5"/>
  <c r="R5187" i="5"/>
  <c r="Q5187" i="5"/>
  <c r="P5187" i="5"/>
  <c r="U5087" i="5"/>
  <c r="T5087" i="5"/>
  <c r="S5087" i="5"/>
  <c r="R5087" i="5"/>
  <c r="Q5087" i="5"/>
  <c r="P5087" i="5"/>
  <c r="U4987" i="5"/>
  <c r="T4987" i="5"/>
  <c r="S4987" i="5"/>
  <c r="R4987" i="5"/>
  <c r="Q4987" i="5"/>
  <c r="P4987" i="5"/>
  <c r="U4887" i="5"/>
  <c r="T4887" i="5"/>
  <c r="S4887" i="5"/>
  <c r="R4887" i="5"/>
  <c r="Q4887" i="5"/>
  <c r="P4887" i="5"/>
  <c r="U4787" i="5"/>
  <c r="T4787" i="5"/>
  <c r="S4787" i="5"/>
  <c r="R4787" i="5"/>
  <c r="Q4787" i="5"/>
  <c r="P4787" i="5"/>
  <c r="U4670" i="5"/>
  <c r="T4670" i="5"/>
  <c r="S4670" i="5"/>
  <c r="R4670" i="5"/>
  <c r="Q4670" i="5"/>
  <c r="P4670" i="5"/>
  <c r="U4553" i="5"/>
  <c r="T4553" i="5"/>
  <c r="S4553" i="5"/>
  <c r="R4553" i="5"/>
  <c r="Q4553" i="5"/>
  <c r="P4553" i="5"/>
  <c r="U4436" i="5"/>
  <c r="T4436" i="5"/>
  <c r="S4436" i="5"/>
  <c r="R4436" i="5"/>
  <c r="Q4436" i="5"/>
  <c r="P4436" i="5"/>
  <c r="U4319" i="5"/>
  <c r="T4319" i="5"/>
  <c r="S4319" i="5"/>
  <c r="R4319" i="5"/>
  <c r="Q4319" i="5"/>
  <c r="P4319" i="5"/>
  <c r="U5286" i="5"/>
  <c r="T5286" i="5"/>
  <c r="S5286" i="5"/>
  <c r="R5286" i="5"/>
  <c r="Q5286" i="5"/>
  <c r="P5286" i="5"/>
  <c r="U5186" i="5"/>
  <c r="T5186" i="5"/>
  <c r="S5186" i="5"/>
  <c r="R5186" i="5"/>
  <c r="Q5186" i="5"/>
  <c r="P5186" i="5"/>
  <c r="U5086" i="5"/>
  <c r="T5086" i="5"/>
  <c r="S5086" i="5"/>
  <c r="R5086" i="5"/>
  <c r="Q5086" i="5"/>
  <c r="P5086" i="5"/>
  <c r="U4986" i="5"/>
  <c r="T4986" i="5"/>
  <c r="S4986" i="5"/>
  <c r="R4986" i="5"/>
  <c r="Q4986" i="5"/>
  <c r="P4986" i="5"/>
  <c r="U4886" i="5"/>
  <c r="T4886" i="5"/>
  <c r="S4886" i="5"/>
  <c r="R4886" i="5"/>
  <c r="Q4886" i="5"/>
  <c r="P4886" i="5"/>
  <c r="U4786" i="5"/>
  <c r="T4786" i="5"/>
  <c r="S4786" i="5"/>
  <c r="R4786" i="5"/>
  <c r="Q4786" i="5"/>
  <c r="P4786" i="5"/>
  <c r="U4669" i="5"/>
  <c r="T4669" i="5"/>
  <c r="S4669" i="5"/>
  <c r="R4669" i="5"/>
  <c r="Q4669" i="5"/>
  <c r="P4669" i="5"/>
  <c r="U4552" i="5"/>
  <c r="T4552" i="5"/>
  <c r="S4552" i="5"/>
  <c r="R4552" i="5"/>
  <c r="Q4552" i="5"/>
  <c r="P4552" i="5"/>
  <c r="U4435" i="5"/>
  <c r="T4435" i="5"/>
  <c r="S4435" i="5"/>
  <c r="R4435" i="5"/>
  <c r="Q4435" i="5"/>
  <c r="P4435" i="5"/>
  <c r="U4318" i="5"/>
  <c r="T4318" i="5"/>
  <c r="S4318" i="5"/>
  <c r="R4318" i="5"/>
  <c r="Q4318" i="5"/>
  <c r="P4318" i="5"/>
  <c r="U5285" i="5"/>
  <c r="T5285" i="5"/>
  <c r="S5285" i="5"/>
  <c r="R5285" i="5"/>
  <c r="Q5285" i="5"/>
  <c r="P5285" i="5"/>
  <c r="U5185" i="5"/>
  <c r="T5185" i="5"/>
  <c r="S5185" i="5"/>
  <c r="R5185" i="5"/>
  <c r="Q5185" i="5"/>
  <c r="P5185" i="5"/>
  <c r="U5085" i="5"/>
  <c r="T5085" i="5"/>
  <c r="S5085" i="5"/>
  <c r="R5085" i="5"/>
  <c r="Q5085" i="5"/>
  <c r="P5085" i="5"/>
  <c r="U4985" i="5"/>
  <c r="T4985" i="5"/>
  <c r="S4985" i="5"/>
  <c r="R4985" i="5"/>
  <c r="Q4985" i="5"/>
  <c r="P4985" i="5"/>
  <c r="U4885" i="5"/>
  <c r="T4885" i="5"/>
  <c r="S4885" i="5"/>
  <c r="R4885" i="5"/>
  <c r="Q4885" i="5"/>
  <c r="P4885" i="5"/>
  <c r="U3811" i="5"/>
  <c r="T3811" i="5"/>
  <c r="S3811" i="5"/>
  <c r="R3811" i="5"/>
  <c r="Q3811" i="5"/>
  <c r="P3811" i="5"/>
  <c r="U3712" i="5"/>
  <c r="T3712" i="5"/>
  <c r="S3712" i="5"/>
  <c r="R3712" i="5"/>
  <c r="Q3712" i="5"/>
  <c r="P3712" i="5"/>
  <c r="U3614" i="5"/>
  <c r="T3614" i="5"/>
  <c r="S3614" i="5"/>
  <c r="R3614" i="5"/>
  <c r="Q3614" i="5"/>
  <c r="P3614" i="5"/>
  <c r="U3516" i="5"/>
  <c r="T3516" i="5"/>
  <c r="S3516" i="5"/>
  <c r="R3516" i="5"/>
  <c r="Q3516" i="5"/>
  <c r="P3516" i="5"/>
  <c r="U3418" i="5"/>
  <c r="T3418" i="5"/>
  <c r="S3418" i="5"/>
  <c r="R3418" i="5"/>
  <c r="Q3418" i="5"/>
  <c r="P3418" i="5"/>
  <c r="U3320" i="5"/>
  <c r="T3320" i="5"/>
  <c r="S3320" i="5"/>
  <c r="R3320" i="5"/>
  <c r="Q3320" i="5"/>
  <c r="P3320" i="5"/>
  <c r="U3222" i="5"/>
  <c r="T3222" i="5"/>
  <c r="S3222" i="5"/>
  <c r="R3222" i="5"/>
  <c r="Q3222" i="5"/>
  <c r="P3222" i="5"/>
  <c r="U3124" i="5"/>
  <c r="T3124" i="5"/>
  <c r="S3124" i="5"/>
  <c r="R3124" i="5"/>
  <c r="Q3124" i="5"/>
  <c r="P3124" i="5"/>
  <c r="U3026" i="5"/>
  <c r="T3026" i="5"/>
  <c r="S3026" i="5"/>
  <c r="R3026" i="5"/>
  <c r="Q3026" i="5"/>
  <c r="P3026" i="5"/>
  <c r="U2928" i="5"/>
  <c r="T2928" i="5"/>
  <c r="S2928" i="5"/>
  <c r="R2928" i="5"/>
  <c r="Q2928" i="5"/>
  <c r="P2928" i="5"/>
  <c r="U2830" i="5"/>
  <c r="T2830" i="5"/>
  <c r="S2830" i="5"/>
  <c r="R2830" i="5"/>
  <c r="Q2830" i="5"/>
  <c r="P2830" i="5"/>
  <c r="U2732" i="5"/>
  <c r="T2732" i="5"/>
  <c r="S2732" i="5"/>
  <c r="R2732" i="5"/>
  <c r="Q2732" i="5"/>
  <c r="P2732" i="5"/>
  <c r="U2634" i="5"/>
  <c r="T2634" i="5"/>
  <c r="S2634" i="5"/>
  <c r="R2634" i="5"/>
  <c r="Q2634" i="5"/>
  <c r="P2634" i="5"/>
  <c r="U2566" i="5"/>
  <c r="T2566" i="5"/>
  <c r="S2566" i="5"/>
  <c r="R2566" i="5"/>
  <c r="Q2566" i="5"/>
  <c r="P2566" i="5"/>
  <c r="U2498" i="5"/>
  <c r="T2498" i="5"/>
  <c r="S2498" i="5"/>
  <c r="R2498" i="5"/>
  <c r="Q2498" i="5"/>
  <c r="P2498" i="5"/>
  <c r="U2431" i="5"/>
  <c r="T2431" i="5"/>
  <c r="S2431" i="5"/>
  <c r="R2431" i="5"/>
  <c r="Q2431" i="5"/>
  <c r="P2431" i="5"/>
  <c r="U2368" i="5"/>
  <c r="T2368" i="5"/>
  <c r="S2368" i="5"/>
  <c r="R2368" i="5"/>
  <c r="Q2368" i="5"/>
  <c r="P2368" i="5"/>
  <c r="U2305" i="5"/>
  <c r="T2305" i="5"/>
  <c r="S2305" i="5"/>
  <c r="R2305" i="5"/>
  <c r="Q2305" i="5"/>
  <c r="P2305" i="5"/>
  <c r="U2242" i="5"/>
  <c r="T2242" i="5"/>
  <c r="S2242" i="5"/>
  <c r="R2242" i="5"/>
  <c r="Q2242" i="5"/>
  <c r="P2242" i="5"/>
  <c r="U2179" i="5"/>
  <c r="T2179" i="5"/>
  <c r="S2179" i="5"/>
  <c r="R2179" i="5"/>
  <c r="Q2179" i="5"/>
  <c r="P2179" i="5"/>
  <c r="U2116" i="5"/>
  <c r="T2116" i="5"/>
  <c r="S2116" i="5"/>
  <c r="R2116" i="5"/>
  <c r="Q2116" i="5"/>
  <c r="P2116" i="5"/>
  <c r="U3319" i="5"/>
  <c r="T3319" i="5"/>
  <c r="S3319" i="5"/>
  <c r="P3319" i="5"/>
  <c r="O3319" i="5"/>
  <c r="N3319" i="5"/>
  <c r="M3319" i="5"/>
  <c r="L3319" i="5"/>
  <c r="I3319" i="5"/>
  <c r="R3319" i="5" s="1"/>
  <c r="H3319" i="5"/>
  <c r="G3319" i="5"/>
  <c r="Q3319" i="5" s="1"/>
  <c r="F3319" i="5"/>
  <c r="U3221" i="5"/>
  <c r="T3221" i="5"/>
  <c r="S3221" i="5"/>
  <c r="P3221" i="5"/>
  <c r="O3221" i="5"/>
  <c r="N3221" i="5"/>
  <c r="M3221" i="5"/>
  <c r="L3221" i="5"/>
  <c r="I3221" i="5"/>
  <c r="R3221" i="5" s="1"/>
  <c r="H3221" i="5"/>
  <c r="G3221" i="5"/>
  <c r="Q3221" i="5" s="1"/>
  <c r="F3221" i="5"/>
  <c r="U3123" i="5"/>
  <c r="T3123" i="5"/>
  <c r="S3123" i="5"/>
  <c r="P3123" i="5"/>
  <c r="O3123" i="5"/>
  <c r="N3123" i="5"/>
  <c r="M3123" i="5"/>
  <c r="L3123" i="5"/>
  <c r="I3123" i="5"/>
  <c r="R3123" i="5" s="1"/>
  <c r="H3123" i="5"/>
  <c r="G3123" i="5"/>
  <c r="Q3123" i="5" s="1"/>
  <c r="F3123" i="5"/>
  <c r="U3025" i="5"/>
  <c r="T3025" i="5"/>
  <c r="S3025" i="5"/>
  <c r="P3025" i="5"/>
  <c r="O3025" i="5"/>
  <c r="N3025" i="5"/>
  <c r="M3025" i="5"/>
  <c r="L3025" i="5"/>
  <c r="I3025" i="5"/>
  <c r="R3025" i="5" s="1"/>
  <c r="H3025" i="5"/>
  <c r="G3025" i="5"/>
  <c r="Q3025" i="5" s="1"/>
  <c r="F3025" i="5"/>
  <c r="U2927" i="5"/>
  <c r="T2927" i="5"/>
  <c r="S2927" i="5"/>
  <c r="P2927" i="5"/>
  <c r="O2927" i="5"/>
  <c r="N2927" i="5"/>
  <c r="M2927" i="5"/>
  <c r="L2927" i="5"/>
  <c r="I2927" i="5"/>
  <c r="R2927" i="5" s="1"/>
  <c r="H2927" i="5"/>
  <c r="G2927" i="5"/>
  <c r="Q2927" i="5" s="1"/>
  <c r="F2927" i="5"/>
  <c r="U2829" i="5"/>
  <c r="T2829" i="5"/>
  <c r="S2829" i="5"/>
  <c r="P2829" i="5"/>
  <c r="O2829" i="5"/>
  <c r="N2829" i="5"/>
  <c r="M2829" i="5"/>
  <c r="L2829" i="5"/>
  <c r="I2829" i="5"/>
  <c r="R2829" i="5" s="1"/>
  <c r="H2829" i="5"/>
  <c r="G2829" i="5"/>
  <c r="Q2829" i="5" s="1"/>
  <c r="F2829" i="5"/>
  <c r="U2731" i="5"/>
  <c r="T2731" i="5"/>
  <c r="S2731" i="5"/>
  <c r="P2731" i="5"/>
  <c r="O2731" i="5"/>
  <c r="N2731" i="5"/>
  <c r="M2731" i="5"/>
  <c r="L2731" i="5"/>
  <c r="I2731" i="5"/>
  <c r="R2731" i="5" s="1"/>
  <c r="H2731" i="5"/>
  <c r="G2731" i="5"/>
  <c r="Q2731" i="5" s="1"/>
  <c r="F2731" i="5"/>
  <c r="U2633" i="5"/>
  <c r="T2633" i="5"/>
  <c r="S2633" i="5"/>
  <c r="P2633" i="5"/>
  <c r="O2633" i="5"/>
  <c r="N2633" i="5"/>
  <c r="M2633" i="5"/>
  <c r="L2633" i="5"/>
  <c r="I2633" i="5"/>
  <c r="R2633" i="5" s="1"/>
  <c r="H2633" i="5"/>
  <c r="G2633" i="5"/>
  <c r="Q2633" i="5" s="1"/>
  <c r="F2633" i="5"/>
  <c r="U2565" i="5"/>
  <c r="T2565" i="5"/>
  <c r="S2565" i="5"/>
  <c r="P2565" i="5"/>
  <c r="I2565" i="5"/>
  <c r="R2565" i="5" s="1"/>
  <c r="H2565" i="5"/>
  <c r="G2565" i="5"/>
  <c r="Q2565" i="5" s="1"/>
  <c r="F2565" i="5"/>
  <c r="U2497" i="5"/>
  <c r="T2497" i="5"/>
  <c r="S2497" i="5"/>
  <c r="P2497" i="5"/>
  <c r="I2497" i="5"/>
  <c r="R2497" i="5" s="1"/>
  <c r="H2497" i="5"/>
  <c r="G2497" i="5"/>
  <c r="Q2497" i="5" s="1"/>
  <c r="F2497" i="5"/>
  <c r="U3318" i="5"/>
  <c r="T3318" i="5"/>
  <c r="S3318" i="5"/>
  <c r="P3318" i="5"/>
  <c r="O3318" i="5"/>
  <c r="N3318" i="5"/>
  <c r="M3318" i="5"/>
  <c r="L3318" i="5"/>
  <c r="I3318" i="5"/>
  <c r="R3318" i="5" s="1"/>
  <c r="H3318" i="5"/>
  <c r="G3318" i="5"/>
  <c r="Q3318" i="5" s="1"/>
  <c r="F3318" i="5"/>
  <c r="U3220" i="5"/>
  <c r="T3220" i="5"/>
  <c r="S3220" i="5"/>
  <c r="P3220" i="5"/>
  <c r="O3220" i="5"/>
  <c r="N3220" i="5"/>
  <c r="M3220" i="5"/>
  <c r="L3220" i="5"/>
  <c r="I3220" i="5"/>
  <c r="R3220" i="5" s="1"/>
  <c r="H3220" i="5"/>
  <c r="G3220" i="5"/>
  <c r="Q3220" i="5" s="1"/>
  <c r="F3220" i="5"/>
  <c r="U3122" i="5"/>
  <c r="T3122" i="5"/>
  <c r="S3122" i="5"/>
  <c r="P3122" i="5"/>
  <c r="O3122" i="5"/>
  <c r="N3122" i="5"/>
  <c r="M3122" i="5"/>
  <c r="L3122" i="5"/>
  <c r="I3122" i="5"/>
  <c r="R3122" i="5" s="1"/>
  <c r="H3122" i="5"/>
  <c r="G3122" i="5"/>
  <c r="Q3122" i="5" s="1"/>
  <c r="F3122" i="5"/>
  <c r="U3024" i="5"/>
  <c r="T3024" i="5"/>
  <c r="S3024" i="5"/>
  <c r="P3024" i="5"/>
  <c r="O3024" i="5"/>
  <c r="N3024" i="5"/>
  <c r="M3024" i="5"/>
  <c r="L3024" i="5"/>
  <c r="I3024" i="5"/>
  <c r="R3024" i="5" s="1"/>
  <c r="H3024" i="5"/>
  <c r="G3024" i="5"/>
  <c r="Q3024" i="5" s="1"/>
  <c r="F3024" i="5"/>
  <c r="U2926" i="5"/>
  <c r="T2926" i="5"/>
  <c r="S2926" i="5"/>
  <c r="P2926" i="5"/>
  <c r="O2926" i="5"/>
  <c r="N2926" i="5"/>
  <c r="M2926" i="5"/>
  <c r="L2926" i="5"/>
  <c r="I2926" i="5"/>
  <c r="R2926" i="5" s="1"/>
  <c r="H2926" i="5"/>
  <c r="G2926" i="5"/>
  <c r="Q2926" i="5" s="1"/>
  <c r="F2926" i="5"/>
  <c r="U2828" i="5"/>
  <c r="T2828" i="5"/>
  <c r="S2828" i="5"/>
  <c r="P2828" i="5"/>
  <c r="O2828" i="5"/>
  <c r="N2828" i="5"/>
  <c r="M2828" i="5"/>
  <c r="L2828" i="5"/>
  <c r="I2828" i="5"/>
  <c r="R2828" i="5" s="1"/>
  <c r="H2828" i="5"/>
  <c r="G2828" i="5"/>
  <c r="Q2828" i="5" s="1"/>
  <c r="F2828" i="5"/>
  <c r="U2730" i="5"/>
  <c r="T2730" i="5"/>
  <c r="S2730" i="5"/>
  <c r="P2730" i="5"/>
  <c r="O2730" i="5"/>
  <c r="N2730" i="5"/>
  <c r="M2730" i="5"/>
  <c r="L2730" i="5"/>
  <c r="I2730" i="5"/>
  <c r="R2730" i="5" s="1"/>
  <c r="H2730" i="5"/>
  <c r="G2730" i="5"/>
  <c r="Q2730" i="5" s="1"/>
  <c r="F2730" i="5"/>
  <c r="U2632" i="5"/>
  <c r="T2632" i="5"/>
  <c r="S2632" i="5"/>
  <c r="P2632" i="5"/>
  <c r="O2632" i="5"/>
  <c r="N2632" i="5"/>
  <c r="M2632" i="5"/>
  <c r="L2632" i="5"/>
  <c r="I2632" i="5"/>
  <c r="R2632" i="5" s="1"/>
  <c r="H2632" i="5"/>
  <c r="G2632" i="5"/>
  <c r="Q2632" i="5" s="1"/>
  <c r="F2632" i="5"/>
  <c r="U2564" i="5"/>
  <c r="T2564" i="5"/>
  <c r="S2564" i="5"/>
  <c r="P2564" i="5"/>
  <c r="O2564" i="5"/>
  <c r="N2564" i="5"/>
  <c r="M2564" i="5"/>
  <c r="L2564" i="5"/>
  <c r="I2564" i="5"/>
  <c r="R2564" i="5" s="1"/>
  <c r="H2564" i="5"/>
  <c r="G2564" i="5"/>
  <c r="Q2564" i="5" s="1"/>
  <c r="F2564" i="5"/>
  <c r="U2496" i="5"/>
  <c r="T2496" i="5"/>
  <c r="S2496" i="5"/>
  <c r="P2496" i="5"/>
  <c r="O2496" i="5"/>
  <c r="N2496" i="5"/>
  <c r="M2496" i="5"/>
  <c r="L2496" i="5"/>
  <c r="I2496" i="5"/>
  <c r="R2496" i="5" s="1"/>
  <c r="H2496" i="5"/>
  <c r="G2496" i="5"/>
  <c r="Q2496" i="5" s="1"/>
  <c r="F2496" i="5"/>
  <c r="U3317" i="5"/>
  <c r="T3317" i="5"/>
  <c r="S3317" i="5"/>
  <c r="P3317" i="5"/>
  <c r="O3317" i="5"/>
  <c r="N3317" i="5"/>
  <c r="M3317" i="5"/>
  <c r="L3317" i="5"/>
  <c r="I3317" i="5"/>
  <c r="R3317" i="5" s="1"/>
  <c r="H3317" i="5"/>
  <c r="G3317" i="5"/>
  <c r="Q3317" i="5" s="1"/>
  <c r="F3317" i="5"/>
  <c r="U3219" i="5"/>
  <c r="T3219" i="5"/>
  <c r="S3219" i="5"/>
  <c r="P3219" i="5"/>
  <c r="O3219" i="5"/>
  <c r="N3219" i="5"/>
  <c r="M3219" i="5"/>
  <c r="L3219" i="5"/>
  <c r="I3219" i="5"/>
  <c r="R3219" i="5" s="1"/>
  <c r="H3219" i="5"/>
  <c r="G3219" i="5"/>
  <c r="Q3219" i="5" s="1"/>
  <c r="F3219" i="5"/>
  <c r="U3121" i="5"/>
  <c r="T3121" i="5"/>
  <c r="S3121" i="5"/>
  <c r="P3121" i="5"/>
  <c r="O3121" i="5"/>
  <c r="N3121" i="5"/>
  <c r="M3121" i="5"/>
  <c r="L3121" i="5"/>
  <c r="I3121" i="5"/>
  <c r="R3121" i="5" s="1"/>
  <c r="H3121" i="5"/>
  <c r="G3121" i="5"/>
  <c r="Q3121" i="5" s="1"/>
  <c r="F3121" i="5"/>
  <c r="U3023" i="5"/>
  <c r="T3023" i="5"/>
  <c r="S3023" i="5"/>
  <c r="P3023" i="5"/>
  <c r="O3023" i="5"/>
  <c r="N3023" i="5"/>
  <c r="M3023" i="5"/>
  <c r="L3023" i="5"/>
  <c r="I3023" i="5"/>
  <c r="R3023" i="5" s="1"/>
  <c r="H3023" i="5"/>
  <c r="G3023" i="5"/>
  <c r="Q3023" i="5" s="1"/>
  <c r="F3023" i="5"/>
  <c r="U2925" i="5"/>
  <c r="T2925" i="5"/>
  <c r="S2925" i="5"/>
  <c r="P2925" i="5"/>
  <c r="O2925" i="5"/>
  <c r="N2925" i="5"/>
  <c r="M2925" i="5"/>
  <c r="L2925" i="5"/>
  <c r="I2925" i="5"/>
  <c r="R2925" i="5" s="1"/>
  <c r="H2925" i="5"/>
  <c r="G2925" i="5"/>
  <c r="Q2925" i="5" s="1"/>
  <c r="F2925" i="5"/>
  <c r="U2827" i="5"/>
  <c r="T2827" i="5"/>
  <c r="S2827" i="5"/>
  <c r="P2827" i="5"/>
  <c r="O2827" i="5"/>
  <c r="N2827" i="5"/>
  <c r="M2827" i="5"/>
  <c r="L2827" i="5"/>
  <c r="I2827" i="5"/>
  <c r="R2827" i="5" s="1"/>
  <c r="H2827" i="5"/>
  <c r="G2827" i="5"/>
  <c r="Q2827" i="5" s="1"/>
  <c r="F2827" i="5"/>
  <c r="U2729" i="5"/>
  <c r="T2729" i="5"/>
  <c r="S2729" i="5"/>
  <c r="P2729" i="5"/>
  <c r="O2729" i="5"/>
  <c r="N2729" i="5"/>
  <c r="M2729" i="5"/>
  <c r="L2729" i="5"/>
  <c r="I2729" i="5"/>
  <c r="R2729" i="5" s="1"/>
  <c r="H2729" i="5"/>
  <c r="G2729" i="5"/>
  <c r="Q2729" i="5" s="1"/>
  <c r="F2729" i="5"/>
  <c r="U2631" i="5"/>
  <c r="T2631" i="5"/>
  <c r="S2631" i="5"/>
  <c r="P2631" i="5"/>
  <c r="O2631" i="5"/>
  <c r="N2631" i="5"/>
  <c r="M2631" i="5"/>
  <c r="L2631" i="5"/>
  <c r="I2631" i="5"/>
  <c r="R2631" i="5" s="1"/>
  <c r="H2631" i="5"/>
  <c r="G2631" i="5"/>
  <c r="Q2631" i="5" s="1"/>
  <c r="F2631" i="5"/>
  <c r="U2563" i="5"/>
  <c r="T2563" i="5"/>
  <c r="S2563" i="5"/>
  <c r="R2563" i="5"/>
  <c r="Q2563" i="5"/>
  <c r="P2563" i="5"/>
  <c r="U2495" i="5"/>
  <c r="T2495" i="5"/>
  <c r="S2495" i="5"/>
  <c r="R2495" i="5"/>
  <c r="Q2495" i="5"/>
  <c r="P2495" i="5"/>
  <c r="U3316" i="5"/>
  <c r="T3316" i="5"/>
  <c r="S3316" i="5"/>
  <c r="P3316" i="5"/>
  <c r="O3316" i="5"/>
  <c r="N3316" i="5"/>
  <c r="M3316" i="5"/>
  <c r="L3316" i="5"/>
  <c r="I3316" i="5"/>
  <c r="R3316" i="5" s="1"/>
  <c r="H3316" i="5"/>
  <c r="G3316" i="5"/>
  <c r="Q3316" i="5" s="1"/>
  <c r="F3316" i="5"/>
  <c r="U3218" i="5"/>
  <c r="T3218" i="5"/>
  <c r="S3218" i="5"/>
  <c r="P3218" i="5"/>
  <c r="O3218" i="5"/>
  <c r="N3218" i="5"/>
  <c r="M3218" i="5"/>
  <c r="L3218" i="5"/>
  <c r="I3218" i="5"/>
  <c r="R3218" i="5" s="1"/>
  <c r="H3218" i="5"/>
  <c r="G3218" i="5"/>
  <c r="Q3218" i="5" s="1"/>
  <c r="F3218" i="5"/>
  <c r="U3120" i="5"/>
  <c r="T3120" i="5"/>
  <c r="S3120" i="5"/>
  <c r="P3120" i="5"/>
  <c r="O3120" i="5"/>
  <c r="N3120" i="5"/>
  <c r="M3120" i="5"/>
  <c r="L3120" i="5"/>
  <c r="I3120" i="5"/>
  <c r="R3120" i="5" s="1"/>
  <c r="H3120" i="5"/>
  <c r="G3120" i="5"/>
  <c r="Q3120" i="5" s="1"/>
  <c r="F3120" i="5"/>
  <c r="U3022" i="5"/>
  <c r="T3022" i="5"/>
  <c r="S3022" i="5"/>
  <c r="P3022" i="5"/>
  <c r="O3022" i="5"/>
  <c r="N3022" i="5"/>
  <c r="M3022" i="5"/>
  <c r="L3022" i="5"/>
  <c r="I3022" i="5"/>
  <c r="R3022" i="5" s="1"/>
  <c r="H3022" i="5"/>
  <c r="G3022" i="5"/>
  <c r="Q3022" i="5" s="1"/>
  <c r="F3022" i="5"/>
  <c r="U2924" i="5"/>
  <c r="T2924" i="5"/>
  <c r="S2924" i="5"/>
  <c r="P2924" i="5"/>
  <c r="O2924" i="5"/>
  <c r="N2924" i="5"/>
  <c r="M2924" i="5"/>
  <c r="L2924" i="5"/>
  <c r="I2924" i="5"/>
  <c r="R2924" i="5" s="1"/>
  <c r="H2924" i="5"/>
  <c r="G2924" i="5"/>
  <c r="Q2924" i="5" s="1"/>
  <c r="F2924" i="5"/>
  <c r="U2826" i="5"/>
  <c r="T2826" i="5"/>
  <c r="S2826" i="5"/>
  <c r="P2826" i="5"/>
  <c r="O2826" i="5"/>
  <c r="N2826" i="5"/>
  <c r="M2826" i="5"/>
  <c r="L2826" i="5"/>
  <c r="I2826" i="5"/>
  <c r="R2826" i="5" s="1"/>
  <c r="H2826" i="5"/>
  <c r="G2826" i="5"/>
  <c r="Q2826" i="5" s="1"/>
  <c r="F2826" i="5"/>
  <c r="U2728" i="5"/>
  <c r="T2728" i="5"/>
  <c r="S2728" i="5"/>
  <c r="P2728" i="5"/>
  <c r="O2728" i="5"/>
  <c r="N2728" i="5"/>
  <c r="M2728" i="5"/>
  <c r="L2728" i="5"/>
  <c r="I2728" i="5"/>
  <c r="R2728" i="5" s="1"/>
  <c r="H2728" i="5"/>
  <c r="G2728" i="5"/>
  <c r="Q2728" i="5" s="1"/>
  <c r="F2728" i="5"/>
  <c r="U2630" i="5"/>
  <c r="T2630" i="5"/>
  <c r="S2630" i="5"/>
  <c r="P2630" i="5"/>
  <c r="O2630" i="5"/>
  <c r="N2630" i="5"/>
  <c r="M2630" i="5"/>
  <c r="L2630" i="5"/>
  <c r="I2630" i="5"/>
  <c r="R2630" i="5" s="1"/>
  <c r="H2630" i="5"/>
  <c r="G2630" i="5"/>
  <c r="Q2630" i="5" s="1"/>
  <c r="F2630" i="5"/>
  <c r="U2562" i="5"/>
  <c r="T2562" i="5"/>
  <c r="S2562" i="5"/>
  <c r="R2562" i="5"/>
  <c r="Q2562" i="5"/>
  <c r="P2562" i="5"/>
  <c r="U2494" i="5"/>
  <c r="T2494" i="5"/>
  <c r="S2494" i="5"/>
  <c r="R2494" i="5"/>
  <c r="Q2494" i="5"/>
  <c r="P2494" i="5"/>
  <c r="U3315" i="5"/>
  <c r="T3315" i="5"/>
  <c r="S3315" i="5"/>
  <c r="P3315" i="5"/>
  <c r="O3315" i="5"/>
  <c r="N3315" i="5"/>
  <c r="M3315" i="5"/>
  <c r="L3315" i="5"/>
  <c r="I3315" i="5"/>
  <c r="R3315" i="5" s="1"/>
  <c r="H3315" i="5"/>
  <c r="G3315" i="5"/>
  <c r="Q3315" i="5" s="1"/>
  <c r="F3315" i="5"/>
  <c r="U3217" i="5"/>
  <c r="T3217" i="5"/>
  <c r="S3217" i="5"/>
  <c r="P3217" i="5"/>
  <c r="O3217" i="5"/>
  <c r="N3217" i="5"/>
  <c r="M3217" i="5"/>
  <c r="L3217" i="5"/>
  <c r="I3217" i="5"/>
  <c r="R3217" i="5" s="1"/>
  <c r="H3217" i="5"/>
  <c r="G3217" i="5"/>
  <c r="Q3217" i="5" s="1"/>
  <c r="F3217" i="5"/>
  <c r="U3119" i="5"/>
  <c r="T3119" i="5"/>
  <c r="S3119" i="5"/>
  <c r="P3119" i="5"/>
  <c r="O3119" i="5"/>
  <c r="N3119" i="5"/>
  <c r="M3119" i="5"/>
  <c r="L3119" i="5"/>
  <c r="I3119" i="5"/>
  <c r="R3119" i="5" s="1"/>
  <c r="H3119" i="5"/>
  <c r="G3119" i="5"/>
  <c r="Q3119" i="5" s="1"/>
  <c r="F3119" i="5"/>
  <c r="U3021" i="5"/>
  <c r="T3021" i="5"/>
  <c r="S3021" i="5"/>
  <c r="P3021" i="5"/>
  <c r="O3021" i="5"/>
  <c r="N3021" i="5"/>
  <c r="M3021" i="5"/>
  <c r="L3021" i="5"/>
  <c r="I3021" i="5"/>
  <c r="R3021" i="5" s="1"/>
  <c r="H3021" i="5"/>
  <c r="G3021" i="5"/>
  <c r="Q3021" i="5" s="1"/>
  <c r="F3021" i="5"/>
  <c r="U2923" i="5"/>
  <c r="T2923" i="5"/>
  <c r="S2923" i="5"/>
  <c r="P2923" i="5"/>
  <c r="O2923" i="5"/>
  <c r="N2923" i="5"/>
  <c r="M2923" i="5"/>
  <c r="L2923" i="5"/>
  <c r="I2923" i="5"/>
  <c r="R2923" i="5" s="1"/>
  <c r="H2923" i="5"/>
  <c r="G2923" i="5"/>
  <c r="Q2923" i="5" s="1"/>
  <c r="F2923" i="5"/>
  <c r="U2825" i="5"/>
  <c r="T2825" i="5"/>
  <c r="S2825" i="5"/>
  <c r="P2825" i="5"/>
  <c r="O2825" i="5"/>
  <c r="N2825" i="5"/>
  <c r="M2825" i="5"/>
  <c r="L2825" i="5"/>
  <c r="I2825" i="5"/>
  <c r="R2825" i="5" s="1"/>
  <c r="H2825" i="5"/>
  <c r="G2825" i="5"/>
  <c r="Q2825" i="5" s="1"/>
  <c r="F2825" i="5"/>
  <c r="U2727" i="5"/>
  <c r="T2727" i="5"/>
  <c r="S2727" i="5"/>
  <c r="P2727" i="5"/>
  <c r="O2727" i="5"/>
  <c r="N2727" i="5"/>
  <c r="M2727" i="5"/>
  <c r="L2727" i="5"/>
  <c r="I2727" i="5"/>
  <c r="R2727" i="5" s="1"/>
  <c r="H2727" i="5"/>
  <c r="G2727" i="5"/>
  <c r="Q2727" i="5" s="1"/>
  <c r="F2727" i="5"/>
  <c r="U2629" i="5"/>
  <c r="T2629" i="5"/>
  <c r="S2629" i="5"/>
  <c r="P2629" i="5"/>
  <c r="O2629" i="5"/>
  <c r="N2629" i="5"/>
  <c r="M2629" i="5"/>
  <c r="L2629" i="5"/>
  <c r="I2629" i="5"/>
  <c r="R2629" i="5" s="1"/>
  <c r="H2629" i="5"/>
  <c r="G2629" i="5"/>
  <c r="Q2629" i="5" s="1"/>
  <c r="F2629" i="5"/>
  <c r="U2561" i="5"/>
  <c r="T2561" i="5"/>
  <c r="S2561" i="5"/>
  <c r="P2561" i="5"/>
  <c r="O2561" i="5"/>
  <c r="N2561" i="5"/>
  <c r="M2561" i="5"/>
  <c r="L2561" i="5"/>
  <c r="I2561" i="5"/>
  <c r="R2561" i="5" s="1"/>
  <c r="H2561" i="5"/>
  <c r="G2561" i="5"/>
  <c r="Q2561" i="5" s="1"/>
  <c r="F2561" i="5"/>
  <c r="U2493" i="5"/>
  <c r="T2493" i="5"/>
  <c r="S2493" i="5"/>
  <c r="P2493" i="5"/>
  <c r="O2493" i="5"/>
  <c r="N2493" i="5"/>
  <c r="M2493" i="5"/>
  <c r="L2493" i="5"/>
  <c r="I2493" i="5"/>
  <c r="R2493" i="5" s="1"/>
  <c r="H2493" i="5"/>
  <c r="G2493" i="5"/>
  <c r="Q2493" i="5" s="1"/>
  <c r="F2493" i="5"/>
  <c r="U1351" i="5"/>
  <c r="T1351" i="5"/>
  <c r="S1351" i="5"/>
  <c r="I1351" i="5"/>
  <c r="R1351" i="5" s="1"/>
  <c r="H1351" i="5"/>
  <c r="G1351" i="5"/>
  <c r="Q1351" i="5" s="1"/>
  <c r="F1351" i="5"/>
  <c r="E1351" i="5"/>
  <c r="P1351" i="5" s="1"/>
  <c r="D1351" i="5"/>
  <c r="U1350" i="5"/>
  <c r="T1350" i="5"/>
  <c r="S1350" i="5"/>
  <c r="I1350" i="5"/>
  <c r="R1350" i="5" s="1"/>
  <c r="H1350" i="5"/>
  <c r="G1350" i="5"/>
  <c r="Q1350" i="5" s="1"/>
  <c r="F1350" i="5"/>
  <c r="E1350" i="5"/>
  <c r="P1350" i="5" s="1"/>
  <c r="D1350" i="5"/>
  <c r="U1349" i="5"/>
  <c r="T1349" i="5"/>
  <c r="S1349" i="5"/>
  <c r="I1349" i="5"/>
  <c r="R1349" i="5" s="1"/>
  <c r="H1349" i="5"/>
  <c r="G1349" i="5"/>
  <c r="Q1349" i="5" s="1"/>
  <c r="F1349" i="5"/>
  <c r="E1349" i="5"/>
  <c r="P1349" i="5" s="1"/>
  <c r="D1349" i="5"/>
  <c r="U1348" i="5"/>
  <c r="T1348" i="5"/>
  <c r="S1348" i="5"/>
  <c r="I1348" i="5"/>
  <c r="R1348" i="5" s="1"/>
  <c r="H1348" i="5"/>
  <c r="G1348" i="5"/>
  <c r="Q1348" i="5" s="1"/>
  <c r="F1348" i="5"/>
  <c r="E1348" i="5"/>
  <c r="P1348" i="5" s="1"/>
  <c r="D1348" i="5"/>
  <c r="U1281" i="5"/>
  <c r="T1281" i="5"/>
  <c r="S1281" i="5"/>
  <c r="I1281" i="5"/>
  <c r="R1281" i="5" s="1"/>
  <c r="H1281" i="5"/>
  <c r="G1281" i="5"/>
  <c r="Q1281" i="5" s="1"/>
  <c r="F1281" i="5"/>
  <c r="E1281" i="5"/>
  <c r="P1281" i="5" s="1"/>
  <c r="D1281" i="5"/>
  <c r="U1280" i="5"/>
  <c r="T1280" i="5"/>
  <c r="S1280" i="5"/>
  <c r="I1280" i="5"/>
  <c r="R1280" i="5" s="1"/>
  <c r="H1280" i="5"/>
  <c r="G1280" i="5"/>
  <c r="Q1280" i="5" s="1"/>
  <c r="F1280" i="5"/>
  <c r="E1280" i="5"/>
  <c r="P1280" i="5" s="1"/>
  <c r="D1280" i="5"/>
  <c r="U1279" i="5"/>
  <c r="T1279" i="5"/>
  <c r="S1279" i="5"/>
  <c r="I1279" i="5"/>
  <c r="R1279" i="5" s="1"/>
  <c r="H1279" i="5"/>
  <c r="G1279" i="5"/>
  <c r="Q1279" i="5" s="1"/>
  <c r="F1279" i="5"/>
  <c r="E1279" i="5"/>
  <c r="P1279" i="5" s="1"/>
  <c r="D1279" i="5"/>
  <c r="U1278" i="5"/>
  <c r="T1278" i="5"/>
  <c r="S1278" i="5"/>
  <c r="I1278" i="5"/>
  <c r="R1278" i="5" s="1"/>
  <c r="H1278" i="5"/>
  <c r="G1278" i="5"/>
  <c r="Q1278" i="5" s="1"/>
  <c r="F1278" i="5"/>
  <c r="E1278" i="5"/>
  <c r="P1278" i="5" s="1"/>
  <c r="D1278" i="5"/>
  <c r="U1211" i="5"/>
  <c r="T1211" i="5"/>
  <c r="S1211" i="5"/>
  <c r="I1211" i="5"/>
  <c r="R1211" i="5" s="1"/>
  <c r="H1211" i="5"/>
  <c r="G1211" i="5"/>
  <c r="Q1211" i="5" s="1"/>
  <c r="F1211" i="5"/>
  <c r="E1211" i="5"/>
  <c r="P1211" i="5" s="1"/>
  <c r="D1211" i="5"/>
  <c r="U1210" i="5"/>
  <c r="T1210" i="5"/>
  <c r="S1210" i="5"/>
  <c r="I1210" i="5"/>
  <c r="R1210" i="5" s="1"/>
  <c r="H1210" i="5"/>
  <c r="G1210" i="5"/>
  <c r="Q1210" i="5" s="1"/>
  <c r="F1210" i="5"/>
  <c r="E1210" i="5"/>
  <c r="P1210" i="5" s="1"/>
  <c r="D1210" i="5"/>
  <c r="U1209" i="5"/>
  <c r="T1209" i="5"/>
  <c r="S1209" i="5"/>
  <c r="I1209" i="5"/>
  <c r="R1209" i="5" s="1"/>
  <c r="H1209" i="5"/>
  <c r="G1209" i="5"/>
  <c r="Q1209" i="5" s="1"/>
  <c r="F1209" i="5"/>
  <c r="E1209" i="5"/>
  <c r="P1209" i="5" s="1"/>
  <c r="D1209" i="5"/>
  <c r="U1208" i="5"/>
  <c r="T1208" i="5"/>
  <c r="S1208" i="5"/>
  <c r="I1208" i="5"/>
  <c r="R1208" i="5" s="1"/>
  <c r="H1208" i="5"/>
  <c r="G1208" i="5"/>
  <c r="Q1208" i="5" s="1"/>
  <c r="F1208" i="5"/>
  <c r="E1208" i="5"/>
  <c r="P1208" i="5" s="1"/>
  <c r="D1208" i="5"/>
  <c r="U1141" i="5"/>
  <c r="T1141" i="5"/>
  <c r="S1141" i="5"/>
  <c r="I1141" i="5"/>
  <c r="R1141" i="5" s="1"/>
  <c r="H1141" i="5"/>
  <c r="G1141" i="5"/>
  <c r="Q1141" i="5" s="1"/>
  <c r="F1141" i="5"/>
  <c r="E1141" i="5"/>
  <c r="P1141" i="5" s="1"/>
  <c r="D1141" i="5"/>
  <c r="U1140" i="5"/>
  <c r="T1140" i="5"/>
  <c r="S1140" i="5"/>
  <c r="I1140" i="5"/>
  <c r="R1140" i="5" s="1"/>
  <c r="H1140" i="5"/>
  <c r="G1140" i="5"/>
  <c r="Q1140" i="5" s="1"/>
  <c r="F1140" i="5"/>
  <c r="E1140" i="5"/>
  <c r="P1140" i="5" s="1"/>
  <c r="D1140" i="5"/>
  <c r="U1139" i="5"/>
  <c r="T1139" i="5"/>
  <c r="S1139" i="5"/>
  <c r="I1139" i="5"/>
  <c r="R1139" i="5" s="1"/>
  <c r="H1139" i="5"/>
  <c r="G1139" i="5"/>
  <c r="Q1139" i="5" s="1"/>
  <c r="F1139" i="5"/>
  <c r="E1139" i="5"/>
  <c r="P1139" i="5" s="1"/>
  <c r="D1139" i="5"/>
  <c r="U1138" i="5"/>
  <c r="T1138" i="5"/>
  <c r="S1138" i="5"/>
  <c r="I1138" i="5"/>
  <c r="R1138" i="5" s="1"/>
  <c r="H1138" i="5"/>
  <c r="G1138" i="5"/>
  <c r="Q1138" i="5" s="1"/>
  <c r="F1138" i="5"/>
  <c r="E1138" i="5"/>
  <c r="P1138" i="5" s="1"/>
  <c r="D1138" i="5"/>
  <c r="U1071" i="5"/>
  <c r="T1071" i="5"/>
  <c r="S1071" i="5"/>
  <c r="I1071" i="5"/>
  <c r="R1071" i="5" s="1"/>
  <c r="H1071" i="5"/>
  <c r="G1071" i="5"/>
  <c r="Q1071" i="5" s="1"/>
  <c r="F1071" i="5"/>
  <c r="E1071" i="5"/>
  <c r="P1071" i="5" s="1"/>
  <c r="D1071" i="5"/>
  <c r="U1070" i="5"/>
  <c r="T1070" i="5"/>
  <c r="S1070" i="5"/>
  <c r="I1070" i="5"/>
  <c r="R1070" i="5" s="1"/>
  <c r="H1070" i="5"/>
  <c r="G1070" i="5"/>
  <c r="Q1070" i="5" s="1"/>
  <c r="F1070" i="5"/>
  <c r="E1070" i="5"/>
  <c r="P1070" i="5" s="1"/>
  <c r="D1070" i="5"/>
  <c r="U1069" i="5"/>
  <c r="T1069" i="5"/>
  <c r="S1069" i="5"/>
  <c r="I1069" i="5"/>
  <c r="R1069" i="5" s="1"/>
  <c r="H1069" i="5"/>
  <c r="G1069" i="5"/>
  <c r="Q1069" i="5" s="1"/>
  <c r="F1069" i="5"/>
  <c r="E1069" i="5"/>
  <c r="P1069" i="5" s="1"/>
  <c r="D1069" i="5"/>
  <c r="U1068" i="5"/>
  <c r="T1068" i="5"/>
  <c r="S1068" i="5"/>
  <c r="I1068" i="5"/>
  <c r="R1068" i="5" s="1"/>
  <c r="H1068" i="5"/>
  <c r="G1068" i="5"/>
  <c r="Q1068" i="5" s="1"/>
  <c r="F1068" i="5"/>
  <c r="E1068" i="5"/>
  <c r="P1068" i="5" s="1"/>
  <c r="D1068" i="5"/>
  <c r="U1005" i="5"/>
  <c r="T1005" i="5"/>
  <c r="S1005" i="5"/>
  <c r="I1005" i="5"/>
  <c r="R1005" i="5" s="1"/>
  <c r="H1005" i="5"/>
  <c r="G1005" i="5"/>
  <c r="Q1005" i="5" s="1"/>
  <c r="F1005" i="5"/>
  <c r="E1005" i="5"/>
  <c r="P1005" i="5" s="1"/>
  <c r="D1005" i="5"/>
  <c r="U1004" i="5"/>
  <c r="T1004" i="5"/>
  <c r="S1004" i="5"/>
  <c r="I1004" i="5"/>
  <c r="R1004" i="5" s="1"/>
  <c r="H1004" i="5"/>
  <c r="G1004" i="5"/>
  <c r="Q1004" i="5" s="1"/>
  <c r="F1004" i="5"/>
  <c r="E1004" i="5"/>
  <c r="P1004" i="5" s="1"/>
  <c r="D1004" i="5"/>
  <c r="U1003" i="5"/>
  <c r="T1003" i="5"/>
  <c r="S1003" i="5"/>
  <c r="I1003" i="5"/>
  <c r="R1003" i="5" s="1"/>
  <c r="H1003" i="5"/>
  <c r="G1003" i="5"/>
  <c r="Q1003" i="5" s="1"/>
  <c r="F1003" i="5"/>
  <c r="E1003" i="5"/>
  <c r="P1003" i="5" s="1"/>
  <c r="D1003" i="5"/>
  <c r="U1002" i="5"/>
  <c r="T1002" i="5"/>
  <c r="S1002" i="5"/>
  <c r="I1002" i="5"/>
  <c r="R1002" i="5" s="1"/>
  <c r="H1002" i="5"/>
  <c r="G1002" i="5"/>
  <c r="Q1002" i="5" s="1"/>
  <c r="F1002" i="5"/>
  <c r="E1002" i="5"/>
  <c r="P1002" i="5" s="1"/>
  <c r="D1002" i="5"/>
  <c r="U939" i="5"/>
  <c r="T939" i="5"/>
  <c r="S939" i="5"/>
  <c r="I939" i="5"/>
  <c r="R939" i="5" s="1"/>
  <c r="H939" i="5"/>
  <c r="G939" i="5"/>
  <c r="Q939" i="5" s="1"/>
  <c r="F939" i="5"/>
  <c r="E939" i="5"/>
  <c r="P939" i="5" s="1"/>
  <c r="D939" i="5"/>
  <c r="U938" i="5"/>
  <c r="T938" i="5"/>
  <c r="S938" i="5"/>
  <c r="I938" i="5"/>
  <c r="R938" i="5" s="1"/>
  <c r="H938" i="5"/>
  <c r="G938" i="5"/>
  <c r="Q938" i="5" s="1"/>
  <c r="F938" i="5"/>
  <c r="E938" i="5"/>
  <c r="P938" i="5" s="1"/>
  <c r="D938" i="5"/>
  <c r="U937" i="5"/>
  <c r="T937" i="5"/>
  <c r="S937" i="5"/>
  <c r="I937" i="5"/>
  <c r="R937" i="5" s="1"/>
  <c r="H937" i="5"/>
  <c r="G937" i="5"/>
  <c r="Q937" i="5" s="1"/>
  <c r="F937" i="5"/>
  <c r="E937" i="5"/>
  <c r="P937" i="5" s="1"/>
  <c r="D937" i="5"/>
  <c r="U936" i="5"/>
  <c r="T936" i="5"/>
  <c r="S936" i="5"/>
  <c r="I936" i="5"/>
  <c r="R936" i="5" s="1"/>
  <c r="H936" i="5"/>
  <c r="G936" i="5"/>
  <c r="Q936" i="5" s="1"/>
  <c r="F936" i="5"/>
  <c r="E936" i="5"/>
  <c r="P936" i="5" s="1"/>
  <c r="D936" i="5"/>
  <c r="U873" i="5"/>
  <c r="T873" i="5"/>
  <c r="S873" i="5"/>
  <c r="I873" i="5"/>
  <c r="R873" i="5" s="1"/>
  <c r="H873" i="5"/>
  <c r="G873" i="5"/>
  <c r="Q873" i="5" s="1"/>
  <c r="F873" i="5"/>
  <c r="E873" i="5"/>
  <c r="P873" i="5" s="1"/>
  <c r="D873" i="5"/>
  <c r="U872" i="5"/>
  <c r="T872" i="5"/>
  <c r="S872" i="5"/>
  <c r="I872" i="5"/>
  <c r="R872" i="5" s="1"/>
  <c r="H872" i="5"/>
  <c r="G872" i="5"/>
  <c r="Q872" i="5" s="1"/>
  <c r="F872" i="5"/>
  <c r="E872" i="5"/>
  <c r="P872" i="5" s="1"/>
  <c r="D872" i="5"/>
  <c r="U871" i="5"/>
  <c r="T871" i="5"/>
  <c r="S871" i="5"/>
  <c r="I871" i="5"/>
  <c r="R871" i="5" s="1"/>
  <c r="H871" i="5"/>
  <c r="G871" i="5"/>
  <c r="Q871" i="5" s="1"/>
  <c r="F871" i="5"/>
  <c r="E871" i="5"/>
  <c r="P871" i="5" s="1"/>
  <c r="D871" i="5"/>
  <c r="U870" i="5"/>
  <c r="T870" i="5"/>
  <c r="S870" i="5"/>
  <c r="I870" i="5"/>
  <c r="R870" i="5" s="1"/>
  <c r="H870" i="5"/>
  <c r="G870" i="5"/>
  <c r="Q870" i="5" s="1"/>
  <c r="F870" i="5"/>
  <c r="E870" i="5"/>
  <c r="P870" i="5" s="1"/>
  <c r="D870" i="5"/>
  <c r="U807" i="5"/>
  <c r="T807" i="5"/>
  <c r="S807" i="5"/>
  <c r="I807" i="5"/>
  <c r="R807" i="5" s="1"/>
  <c r="H807" i="5"/>
  <c r="G807" i="5"/>
  <c r="Q807" i="5" s="1"/>
  <c r="F807" i="5"/>
  <c r="E807" i="5"/>
  <c r="P807" i="5" s="1"/>
  <c r="D807" i="5"/>
  <c r="U806" i="5"/>
  <c r="T806" i="5"/>
  <c r="S806" i="5"/>
  <c r="I806" i="5"/>
  <c r="R806" i="5" s="1"/>
  <c r="H806" i="5"/>
  <c r="G806" i="5"/>
  <c r="Q806" i="5" s="1"/>
  <c r="F806" i="5"/>
  <c r="E806" i="5"/>
  <c r="P806" i="5" s="1"/>
  <c r="D806" i="5"/>
  <c r="U805" i="5"/>
  <c r="T805" i="5"/>
  <c r="S805" i="5"/>
  <c r="I805" i="5"/>
  <c r="R805" i="5" s="1"/>
  <c r="H805" i="5"/>
  <c r="G805" i="5"/>
  <c r="Q805" i="5" s="1"/>
  <c r="F805" i="5"/>
  <c r="E805" i="5"/>
  <c r="P805" i="5" s="1"/>
  <c r="D805" i="5"/>
  <c r="U804" i="5"/>
  <c r="T804" i="5"/>
  <c r="S804" i="5"/>
  <c r="I804" i="5"/>
  <c r="R804" i="5" s="1"/>
  <c r="H804" i="5"/>
  <c r="G804" i="5"/>
  <c r="Q804" i="5" s="1"/>
  <c r="F804" i="5"/>
  <c r="E804" i="5"/>
  <c r="P804" i="5" s="1"/>
  <c r="D804" i="5"/>
  <c r="U2628" i="5"/>
  <c r="T2628" i="5"/>
  <c r="S2628" i="5"/>
  <c r="R2628" i="5"/>
  <c r="Q2628" i="5"/>
  <c r="P2628" i="5"/>
  <c r="U2560" i="5"/>
  <c r="T2560" i="5"/>
  <c r="S2560" i="5"/>
  <c r="R2560" i="5"/>
  <c r="Q2560" i="5"/>
  <c r="P2560" i="5"/>
  <c r="U2492" i="5"/>
  <c r="T2492" i="5"/>
  <c r="S2492" i="5"/>
  <c r="R2492" i="5"/>
  <c r="Q2492" i="5"/>
  <c r="P2492" i="5"/>
  <c r="U2627" i="5"/>
  <c r="T2627" i="5"/>
  <c r="S2627" i="5"/>
  <c r="R2627" i="5"/>
  <c r="Q2627" i="5"/>
  <c r="P2627" i="5"/>
  <c r="U2559" i="5"/>
  <c r="T2559" i="5"/>
  <c r="S2559" i="5"/>
  <c r="R2559" i="5"/>
  <c r="Q2559" i="5"/>
  <c r="P2559" i="5"/>
  <c r="U2491" i="5"/>
  <c r="T2491" i="5"/>
  <c r="S2491" i="5"/>
  <c r="R2491" i="5"/>
  <c r="Q2491" i="5"/>
  <c r="P2491" i="5"/>
  <c r="U2626" i="5"/>
  <c r="T2626" i="5"/>
  <c r="S2626" i="5"/>
  <c r="R2626" i="5"/>
  <c r="Q2626" i="5"/>
  <c r="P2626" i="5"/>
  <c r="U2558" i="5"/>
  <c r="T2558" i="5"/>
  <c r="S2558" i="5"/>
  <c r="R2558" i="5"/>
  <c r="Q2558" i="5"/>
  <c r="P2558" i="5"/>
  <c r="U2490" i="5"/>
  <c r="T2490" i="5"/>
  <c r="S2490" i="5"/>
  <c r="R2490" i="5"/>
  <c r="Q2490" i="5"/>
  <c r="P2490" i="5"/>
  <c r="U2625" i="5"/>
  <c r="T2625" i="5"/>
  <c r="S2625" i="5"/>
  <c r="R2625" i="5"/>
  <c r="Q2625" i="5"/>
  <c r="P2625" i="5"/>
  <c r="U2557" i="5"/>
  <c r="T2557" i="5"/>
  <c r="S2557" i="5"/>
  <c r="R2557" i="5"/>
  <c r="Q2557" i="5"/>
  <c r="P2557" i="5"/>
  <c r="U2489" i="5"/>
  <c r="T2489" i="5"/>
  <c r="S2489" i="5"/>
  <c r="R2489" i="5"/>
  <c r="Q2489" i="5"/>
  <c r="P2489" i="5"/>
  <c r="U2624" i="5"/>
  <c r="T2624" i="5"/>
  <c r="S2624" i="5"/>
  <c r="R2624" i="5"/>
  <c r="Q2624" i="5"/>
  <c r="P2624" i="5"/>
  <c r="U2556" i="5"/>
  <c r="T2556" i="5"/>
  <c r="S2556" i="5"/>
  <c r="R2556" i="5"/>
  <c r="Q2556" i="5"/>
  <c r="P2556" i="5"/>
  <c r="U2488" i="5"/>
  <c r="T2488" i="5"/>
  <c r="S2488" i="5"/>
  <c r="R2488" i="5"/>
  <c r="Q2488" i="5"/>
  <c r="P2488" i="5"/>
  <c r="U2623" i="5"/>
  <c r="T2623" i="5"/>
  <c r="S2623" i="5"/>
  <c r="R2623" i="5"/>
  <c r="Q2623" i="5"/>
  <c r="P2623" i="5"/>
  <c r="U2555" i="5"/>
  <c r="T2555" i="5"/>
  <c r="S2555" i="5"/>
  <c r="R2555" i="5"/>
  <c r="Q2555" i="5"/>
  <c r="P2555" i="5"/>
  <c r="U2487" i="5"/>
  <c r="T2487" i="5"/>
  <c r="S2487" i="5"/>
  <c r="R2487" i="5"/>
  <c r="Q2487" i="5"/>
  <c r="P2487" i="5"/>
  <c r="U4202" i="5"/>
  <c r="T4202" i="5"/>
  <c r="S4202" i="5"/>
  <c r="R4202" i="5"/>
  <c r="Q4202" i="5"/>
  <c r="P4202" i="5"/>
  <c r="U4107" i="5"/>
  <c r="T4107" i="5"/>
  <c r="S4107" i="5"/>
  <c r="R4107" i="5"/>
  <c r="Q4107" i="5"/>
  <c r="P4107" i="5"/>
  <c r="U4008" i="5"/>
  <c r="T4008" i="5"/>
  <c r="S4008" i="5"/>
  <c r="R4008" i="5"/>
  <c r="Q4008" i="5"/>
  <c r="P4008" i="5"/>
  <c r="U3909" i="5"/>
  <c r="T3909" i="5"/>
  <c r="S3909" i="5"/>
  <c r="R3909" i="5"/>
  <c r="Q3909" i="5"/>
  <c r="P3909" i="5"/>
  <c r="U3810" i="5"/>
  <c r="T3810" i="5"/>
  <c r="S3810" i="5"/>
  <c r="R3810" i="5"/>
  <c r="Q3810" i="5"/>
  <c r="P3810" i="5"/>
  <c r="U3711" i="5"/>
  <c r="T3711" i="5"/>
  <c r="S3711" i="5"/>
  <c r="R3711" i="5"/>
  <c r="Q3711" i="5"/>
  <c r="P3711" i="5"/>
  <c r="U3613" i="5"/>
  <c r="T3613" i="5"/>
  <c r="S3613" i="5"/>
  <c r="R3613" i="5"/>
  <c r="Q3613" i="5"/>
  <c r="P3613" i="5"/>
  <c r="U3515" i="5"/>
  <c r="T3515" i="5"/>
  <c r="S3515" i="5"/>
  <c r="P3515" i="5"/>
  <c r="O3515" i="5"/>
  <c r="N3515" i="5"/>
  <c r="M3515" i="5"/>
  <c r="L3515" i="5"/>
  <c r="I3515" i="5"/>
  <c r="R3515" i="5" s="1"/>
  <c r="H3515" i="5"/>
  <c r="G3515" i="5"/>
  <c r="Q3515" i="5" s="1"/>
  <c r="F3515" i="5"/>
  <c r="U3417" i="5"/>
  <c r="T3417" i="5"/>
  <c r="S3417" i="5"/>
  <c r="P3417" i="5"/>
  <c r="O3417" i="5"/>
  <c r="N3417" i="5"/>
  <c r="M3417" i="5"/>
  <c r="L3417" i="5"/>
  <c r="I3417" i="5"/>
  <c r="R3417" i="5" s="1"/>
  <c r="H3417" i="5"/>
  <c r="G3417" i="5"/>
  <c r="Q3417" i="5" s="1"/>
  <c r="F3417" i="5"/>
  <c r="U2622" i="5"/>
  <c r="T2622" i="5"/>
  <c r="S2622" i="5"/>
  <c r="R2622" i="5"/>
  <c r="Q2622" i="5"/>
  <c r="P2622" i="5"/>
  <c r="U2554" i="5"/>
  <c r="T2554" i="5"/>
  <c r="S2554" i="5"/>
  <c r="R2554" i="5"/>
  <c r="Q2554" i="5"/>
  <c r="P2554" i="5"/>
  <c r="U2486" i="5"/>
  <c r="T2486" i="5"/>
  <c r="S2486" i="5"/>
  <c r="R2486" i="5"/>
  <c r="Q2486" i="5"/>
  <c r="P2486" i="5"/>
  <c r="U2621" i="5"/>
  <c r="T2621" i="5"/>
  <c r="S2621" i="5"/>
  <c r="R2621" i="5"/>
  <c r="Q2621" i="5"/>
  <c r="P2621" i="5"/>
  <c r="U2553" i="5"/>
  <c r="T2553" i="5"/>
  <c r="S2553" i="5"/>
  <c r="R2553" i="5"/>
  <c r="Q2553" i="5"/>
  <c r="P2553" i="5"/>
  <c r="U2485" i="5"/>
  <c r="T2485" i="5"/>
  <c r="S2485" i="5"/>
  <c r="R2485" i="5"/>
  <c r="Q2485" i="5"/>
  <c r="P2485" i="5"/>
  <c r="U2620" i="5"/>
  <c r="T2620" i="5"/>
  <c r="S2620" i="5"/>
  <c r="R2620" i="5"/>
  <c r="Q2620" i="5"/>
  <c r="P2620" i="5"/>
  <c r="U2552" i="5"/>
  <c r="T2552" i="5"/>
  <c r="S2552" i="5"/>
  <c r="R2552" i="5"/>
  <c r="Q2552" i="5"/>
  <c r="P2552" i="5"/>
  <c r="U2484" i="5"/>
  <c r="T2484" i="5"/>
  <c r="S2484" i="5"/>
  <c r="R2484" i="5"/>
  <c r="Q2484" i="5"/>
  <c r="P2484" i="5"/>
  <c r="U4201" i="5"/>
  <c r="T4201" i="5"/>
  <c r="S4201" i="5"/>
  <c r="R4201" i="5"/>
  <c r="Q4201" i="5"/>
  <c r="P4201" i="5"/>
  <c r="U4106" i="5"/>
  <c r="T4106" i="5"/>
  <c r="S4106" i="5"/>
  <c r="R4106" i="5"/>
  <c r="Q4106" i="5"/>
  <c r="P4106" i="5"/>
  <c r="U4007" i="5"/>
  <c r="T4007" i="5"/>
  <c r="S4007" i="5"/>
  <c r="R4007" i="5"/>
  <c r="Q4007" i="5"/>
  <c r="P4007" i="5"/>
  <c r="U3908" i="5"/>
  <c r="T3908" i="5"/>
  <c r="S3908" i="5"/>
  <c r="R3908" i="5"/>
  <c r="Q3908" i="5"/>
  <c r="P3908" i="5"/>
  <c r="U3809" i="5"/>
  <c r="T3809" i="5"/>
  <c r="S3809" i="5"/>
  <c r="R3809" i="5"/>
  <c r="Q3809" i="5"/>
  <c r="P3809" i="5"/>
  <c r="U3710" i="5"/>
  <c r="T3710" i="5"/>
  <c r="S3710" i="5"/>
  <c r="R3710" i="5"/>
  <c r="Q3710" i="5"/>
  <c r="P3710" i="5"/>
  <c r="U3612" i="5"/>
  <c r="T3612" i="5"/>
  <c r="S3612" i="5"/>
  <c r="R3612" i="5"/>
  <c r="Q3612" i="5"/>
  <c r="P3612" i="5"/>
  <c r="U3514" i="5"/>
  <c r="T3514" i="5"/>
  <c r="S3514" i="5"/>
  <c r="P3514" i="5"/>
  <c r="O3514" i="5"/>
  <c r="N3514" i="5"/>
  <c r="M3514" i="5"/>
  <c r="L3514" i="5"/>
  <c r="I3514" i="5"/>
  <c r="R3514" i="5" s="1"/>
  <c r="H3514" i="5"/>
  <c r="G3514" i="5"/>
  <c r="Q3514" i="5" s="1"/>
  <c r="F3514" i="5"/>
  <c r="U3416" i="5"/>
  <c r="T3416" i="5"/>
  <c r="S3416" i="5"/>
  <c r="P3416" i="5"/>
  <c r="O3416" i="5"/>
  <c r="N3416" i="5"/>
  <c r="M3416" i="5"/>
  <c r="L3416" i="5"/>
  <c r="I3416" i="5"/>
  <c r="R3416" i="5" s="1"/>
  <c r="H3416" i="5"/>
  <c r="G3416" i="5"/>
  <c r="Q3416" i="5" s="1"/>
  <c r="F3416" i="5"/>
  <c r="U2619" i="5"/>
  <c r="T2619" i="5"/>
  <c r="S2619" i="5"/>
  <c r="R2619" i="5"/>
  <c r="Q2619" i="5"/>
  <c r="P2619" i="5"/>
  <c r="U2551" i="5"/>
  <c r="T2551" i="5"/>
  <c r="S2551" i="5"/>
  <c r="R2551" i="5"/>
  <c r="Q2551" i="5"/>
  <c r="P2551" i="5"/>
  <c r="U2483" i="5"/>
  <c r="T2483" i="5"/>
  <c r="S2483" i="5"/>
  <c r="R2483" i="5"/>
  <c r="Q2483" i="5"/>
  <c r="P2483" i="5"/>
  <c r="U2618" i="5"/>
  <c r="T2618" i="5"/>
  <c r="S2618" i="5"/>
  <c r="R2618" i="5"/>
  <c r="Q2618" i="5"/>
  <c r="P2618" i="5"/>
  <c r="U2550" i="5"/>
  <c r="T2550" i="5"/>
  <c r="S2550" i="5"/>
  <c r="R2550" i="5"/>
  <c r="Q2550" i="5"/>
  <c r="P2550" i="5"/>
  <c r="U2482" i="5"/>
  <c r="T2482" i="5"/>
  <c r="S2482" i="5"/>
  <c r="R2482" i="5"/>
  <c r="Q2482" i="5"/>
  <c r="P2482" i="5"/>
  <c r="U2617" i="5"/>
  <c r="T2617" i="5"/>
  <c r="S2617" i="5"/>
  <c r="R2617" i="5"/>
  <c r="Q2617" i="5"/>
  <c r="P2617" i="5"/>
  <c r="U2549" i="5"/>
  <c r="T2549" i="5"/>
  <c r="S2549" i="5"/>
  <c r="R2549" i="5"/>
  <c r="Q2549" i="5"/>
  <c r="P2549" i="5"/>
  <c r="U2481" i="5"/>
  <c r="T2481" i="5"/>
  <c r="S2481" i="5"/>
  <c r="R2481" i="5"/>
  <c r="Q2481" i="5"/>
  <c r="P2481" i="5"/>
  <c r="U4200" i="5"/>
  <c r="T4200" i="5"/>
  <c r="S4200" i="5"/>
  <c r="R4200" i="5"/>
  <c r="Q4200" i="5"/>
  <c r="P4200" i="5"/>
  <c r="U4105" i="5"/>
  <c r="T4105" i="5"/>
  <c r="S4105" i="5"/>
  <c r="R4105" i="5"/>
  <c r="Q4105" i="5"/>
  <c r="P4105" i="5"/>
  <c r="U4006" i="5"/>
  <c r="T4006" i="5"/>
  <c r="S4006" i="5"/>
  <c r="R4006" i="5"/>
  <c r="Q4006" i="5"/>
  <c r="P4006" i="5"/>
  <c r="U3907" i="5"/>
  <c r="T3907" i="5"/>
  <c r="S3907" i="5"/>
  <c r="R3907" i="5"/>
  <c r="Q3907" i="5"/>
  <c r="P3907" i="5"/>
  <c r="U3808" i="5"/>
  <c r="T3808" i="5"/>
  <c r="S3808" i="5"/>
  <c r="R3808" i="5"/>
  <c r="Q3808" i="5"/>
  <c r="P3808" i="5"/>
  <c r="U3709" i="5"/>
  <c r="T3709" i="5"/>
  <c r="S3709" i="5"/>
  <c r="R3709" i="5"/>
  <c r="Q3709" i="5"/>
  <c r="P3709" i="5"/>
  <c r="U3611" i="5"/>
  <c r="T3611" i="5"/>
  <c r="S3611" i="5"/>
  <c r="R3611" i="5"/>
  <c r="Q3611" i="5"/>
  <c r="P3611" i="5"/>
  <c r="U3513" i="5"/>
  <c r="T3513" i="5"/>
  <c r="S3513" i="5"/>
  <c r="P3513" i="5"/>
  <c r="O3513" i="5"/>
  <c r="N3513" i="5"/>
  <c r="M3513" i="5"/>
  <c r="L3513" i="5"/>
  <c r="I3513" i="5"/>
  <c r="R3513" i="5" s="1"/>
  <c r="H3513" i="5"/>
  <c r="G3513" i="5"/>
  <c r="Q3513" i="5" s="1"/>
  <c r="F3513" i="5"/>
  <c r="U3415" i="5"/>
  <c r="T3415" i="5"/>
  <c r="S3415" i="5"/>
  <c r="P3415" i="5"/>
  <c r="O3415" i="5"/>
  <c r="N3415" i="5"/>
  <c r="M3415" i="5"/>
  <c r="L3415" i="5"/>
  <c r="I3415" i="5"/>
  <c r="R3415" i="5" s="1"/>
  <c r="H3415" i="5"/>
  <c r="G3415" i="5"/>
  <c r="Q3415" i="5" s="1"/>
  <c r="F3415" i="5"/>
  <c r="U2616" i="5"/>
  <c r="T2616" i="5"/>
  <c r="S2616" i="5"/>
  <c r="R2616" i="5"/>
  <c r="Q2616" i="5"/>
  <c r="P2616" i="5"/>
  <c r="U2548" i="5"/>
  <c r="T2548" i="5"/>
  <c r="S2548" i="5"/>
  <c r="R2548" i="5"/>
  <c r="Q2548" i="5"/>
  <c r="P2548" i="5"/>
  <c r="U2480" i="5"/>
  <c r="T2480" i="5"/>
  <c r="S2480" i="5"/>
  <c r="R2480" i="5"/>
  <c r="Q2480" i="5"/>
  <c r="P2480" i="5"/>
  <c r="U2615" i="5"/>
  <c r="T2615" i="5"/>
  <c r="S2615" i="5"/>
  <c r="R2615" i="5"/>
  <c r="Q2615" i="5"/>
  <c r="P2615" i="5"/>
  <c r="U2547" i="5"/>
  <c r="T2547" i="5"/>
  <c r="S2547" i="5"/>
  <c r="R2547" i="5"/>
  <c r="Q2547" i="5"/>
  <c r="P2547" i="5"/>
  <c r="U2479" i="5"/>
  <c r="T2479" i="5"/>
  <c r="S2479" i="5"/>
  <c r="R2479" i="5"/>
  <c r="Q2479" i="5"/>
  <c r="P2479" i="5"/>
  <c r="U2614" i="5"/>
  <c r="T2614" i="5"/>
  <c r="S2614" i="5"/>
  <c r="R2614" i="5"/>
  <c r="Q2614" i="5"/>
  <c r="P2614" i="5"/>
  <c r="U2546" i="5"/>
  <c r="T2546" i="5"/>
  <c r="S2546" i="5"/>
  <c r="R2546" i="5"/>
  <c r="Q2546" i="5"/>
  <c r="P2546" i="5"/>
  <c r="U2478" i="5"/>
  <c r="T2478" i="5"/>
  <c r="S2478" i="5"/>
  <c r="R2478" i="5"/>
  <c r="Q2478" i="5"/>
  <c r="P2478" i="5"/>
  <c r="U4199" i="5"/>
  <c r="T4199" i="5"/>
  <c r="S4199" i="5"/>
  <c r="R4199" i="5"/>
  <c r="Q4199" i="5"/>
  <c r="P4199" i="5"/>
  <c r="U4104" i="5"/>
  <c r="T4104" i="5"/>
  <c r="S4104" i="5"/>
  <c r="R4104" i="5"/>
  <c r="Q4104" i="5"/>
  <c r="P4104" i="5"/>
  <c r="U4005" i="5"/>
  <c r="T4005" i="5"/>
  <c r="S4005" i="5"/>
  <c r="R4005" i="5"/>
  <c r="Q4005" i="5"/>
  <c r="P4005" i="5"/>
  <c r="U3906" i="5"/>
  <c r="T3906" i="5"/>
  <c r="S3906" i="5"/>
  <c r="R3906" i="5"/>
  <c r="Q3906" i="5"/>
  <c r="P3906" i="5"/>
  <c r="U3807" i="5"/>
  <c r="T3807" i="5"/>
  <c r="S3807" i="5"/>
  <c r="R3807" i="5"/>
  <c r="Q3807" i="5"/>
  <c r="P3807" i="5"/>
  <c r="U3708" i="5"/>
  <c r="T3708" i="5"/>
  <c r="S3708" i="5"/>
  <c r="R3708" i="5"/>
  <c r="Q3708" i="5"/>
  <c r="P3708" i="5"/>
  <c r="U3610" i="5"/>
  <c r="T3610" i="5"/>
  <c r="S3610" i="5"/>
  <c r="R3610" i="5"/>
  <c r="Q3610" i="5"/>
  <c r="P3610" i="5"/>
  <c r="U3512" i="5"/>
  <c r="T3512" i="5"/>
  <c r="S3512" i="5"/>
  <c r="P3512" i="5"/>
  <c r="O3512" i="5"/>
  <c r="N3512" i="5"/>
  <c r="M3512" i="5"/>
  <c r="L3512" i="5"/>
  <c r="I3512" i="5"/>
  <c r="R3512" i="5" s="1"/>
  <c r="H3512" i="5"/>
  <c r="G3512" i="5"/>
  <c r="Q3512" i="5" s="1"/>
  <c r="F3512" i="5"/>
  <c r="U3414" i="5"/>
  <c r="T3414" i="5"/>
  <c r="S3414" i="5"/>
  <c r="P3414" i="5"/>
  <c r="O3414" i="5"/>
  <c r="N3414" i="5"/>
  <c r="M3414" i="5"/>
  <c r="L3414" i="5"/>
  <c r="I3414" i="5"/>
  <c r="R3414" i="5" s="1"/>
  <c r="H3414" i="5"/>
  <c r="G3414" i="5"/>
  <c r="Q3414" i="5" s="1"/>
  <c r="F3414" i="5"/>
  <c r="U4198" i="5"/>
  <c r="T4198" i="5"/>
  <c r="S4198" i="5"/>
  <c r="R4198" i="5"/>
  <c r="Q4198" i="5"/>
  <c r="P4198" i="5"/>
  <c r="U4103" i="5"/>
  <c r="T4103" i="5"/>
  <c r="S4103" i="5"/>
  <c r="R4103" i="5"/>
  <c r="Q4103" i="5"/>
  <c r="P4103" i="5"/>
  <c r="U4004" i="5"/>
  <c r="T4004" i="5"/>
  <c r="S4004" i="5"/>
  <c r="R4004" i="5"/>
  <c r="Q4004" i="5"/>
  <c r="P4004" i="5"/>
  <c r="U3905" i="5"/>
  <c r="T3905" i="5"/>
  <c r="S3905" i="5"/>
  <c r="R3905" i="5"/>
  <c r="Q3905" i="5"/>
  <c r="P3905" i="5"/>
  <c r="U3806" i="5"/>
  <c r="T3806" i="5"/>
  <c r="S3806" i="5"/>
  <c r="R3806" i="5"/>
  <c r="Q3806" i="5"/>
  <c r="P3806" i="5"/>
  <c r="U3707" i="5"/>
  <c r="T3707" i="5"/>
  <c r="S3707" i="5"/>
  <c r="R3707" i="5"/>
  <c r="Q3707" i="5"/>
  <c r="P3707" i="5"/>
  <c r="U3609" i="5"/>
  <c r="T3609" i="5"/>
  <c r="S3609" i="5"/>
  <c r="R3609" i="5"/>
  <c r="Q3609" i="5"/>
  <c r="P3609" i="5"/>
  <c r="U3511" i="5"/>
  <c r="T3511" i="5"/>
  <c r="S3511" i="5"/>
  <c r="P3511" i="5"/>
  <c r="O3511" i="5"/>
  <c r="N3511" i="5"/>
  <c r="M3511" i="5"/>
  <c r="L3511" i="5"/>
  <c r="I3511" i="5"/>
  <c r="R3511" i="5" s="1"/>
  <c r="H3511" i="5"/>
  <c r="G3511" i="5"/>
  <c r="Q3511" i="5" s="1"/>
  <c r="F3511" i="5"/>
  <c r="U3413" i="5"/>
  <c r="T3413" i="5"/>
  <c r="S3413" i="5"/>
  <c r="P3413" i="5"/>
  <c r="O3413" i="5"/>
  <c r="N3413" i="5"/>
  <c r="M3413" i="5"/>
  <c r="L3413" i="5"/>
  <c r="I3413" i="5"/>
  <c r="R3413" i="5" s="1"/>
  <c r="H3413" i="5"/>
  <c r="G3413" i="5"/>
  <c r="Q3413" i="5" s="1"/>
  <c r="F3413" i="5"/>
  <c r="U4197" i="5"/>
  <c r="T4197" i="5"/>
  <c r="S4197" i="5"/>
  <c r="R4197" i="5"/>
  <c r="Q4197" i="5"/>
  <c r="P4197" i="5"/>
  <c r="U4102" i="5"/>
  <c r="T4102" i="5"/>
  <c r="S4102" i="5"/>
  <c r="R4102" i="5"/>
  <c r="Q4102" i="5"/>
  <c r="P4102" i="5"/>
  <c r="U4003" i="5"/>
  <c r="T4003" i="5"/>
  <c r="S4003" i="5"/>
  <c r="R4003" i="5"/>
  <c r="Q4003" i="5"/>
  <c r="P4003" i="5"/>
  <c r="U3904" i="5"/>
  <c r="T3904" i="5"/>
  <c r="S3904" i="5"/>
  <c r="R3904" i="5"/>
  <c r="Q3904" i="5"/>
  <c r="P3904" i="5"/>
  <c r="U3805" i="5"/>
  <c r="T3805" i="5"/>
  <c r="S3805" i="5"/>
  <c r="R3805" i="5"/>
  <c r="Q3805" i="5"/>
  <c r="P3805" i="5"/>
  <c r="U3706" i="5"/>
  <c r="T3706" i="5"/>
  <c r="S3706" i="5"/>
  <c r="R3706" i="5"/>
  <c r="Q3706" i="5"/>
  <c r="P3706" i="5"/>
  <c r="U3608" i="5"/>
  <c r="T3608" i="5"/>
  <c r="S3608" i="5"/>
  <c r="R3608" i="5"/>
  <c r="Q3608" i="5"/>
  <c r="P3608" i="5"/>
  <c r="U3510" i="5"/>
  <c r="T3510" i="5"/>
  <c r="S3510" i="5"/>
  <c r="P3510" i="5"/>
  <c r="O3510" i="5"/>
  <c r="N3510" i="5"/>
  <c r="M3510" i="5"/>
  <c r="L3510" i="5"/>
  <c r="I3510" i="5"/>
  <c r="R3510" i="5" s="1"/>
  <c r="H3510" i="5"/>
  <c r="G3510" i="5"/>
  <c r="Q3510" i="5" s="1"/>
  <c r="F3510" i="5"/>
  <c r="U3412" i="5"/>
  <c r="T3412" i="5"/>
  <c r="S3412" i="5"/>
  <c r="P3412" i="5"/>
  <c r="O3412" i="5"/>
  <c r="N3412" i="5"/>
  <c r="M3412" i="5"/>
  <c r="L3412" i="5"/>
  <c r="I3412" i="5"/>
  <c r="R3412" i="5" s="1"/>
  <c r="H3412" i="5"/>
  <c r="G3412" i="5"/>
  <c r="Q3412" i="5" s="1"/>
  <c r="F3412" i="5"/>
  <c r="U3314" i="5"/>
  <c r="T3314" i="5"/>
  <c r="S3314" i="5"/>
  <c r="P3314" i="5"/>
  <c r="O3314" i="5"/>
  <c r="N3314" i="5"/>
  <c r="M3314" i="5"/>
  <c r="L3314" i="5"/>
  <c r="I3314" i="5"/>
  <c r="R3314" i="5" s="1"/>
  <c r="H3314" i="5"/>
  <c r="G3314" i="5"/>
  <c r="Q3314" i="5" s="1"/>
  <c r="F3314" i="5"/>
  <c r="U3216" i="5"/>
  <c r="T3216" i="5"/>
  <c r="S3216" i="5"/>
  <c r="P3216" i="5"/>
  <c r="O3216" i="5"/>
  <c r="N3216" i="5"/>
  <c r="M3216" i="5"/>
  <c r="L3216" i="5"/>
  <c r="I3216" i="5"/>
  <c r="R3216" i="5" s="1"/>
  <c r="H3216" i="5"/>
  <c r="G3216" i="5"/>
  <c r="Q3216" i="5" s="1"/>
  <c r="F3216" i="5"/>
  <c r="U3118" i="5"/>
  <c r="T3118" i="5"/>
  <c r="S3118" i="5"/>
  <c r="P3118" i="5"/>
  <c r="O3118" i="5"/>
  <c r="N3118" i="5"/>
  <c r="M3118" i="5"/>
  <c r="L3118" i="5"/>
  <c r="I3118" i="5"/>
  <c r="R3118" i="5" s="1"/>
  <c r="H3118" i="5"/>
  <c r="G3118" i="5"/>
  <c r="Q3118" i="5" s="1"/>
  <c r="F3118" i="5"/>
  <c r="U3020" i="5"/>
  <c r="T3020" i="5"/>
  <c r="S3020" i="5"/>
  <c r="P3020" i="5"/>
  <c r="O3020" i="5"/>
  <c r="N3020" i="5"/>
  <c r="M3020" i="5"/>
  <c r="L3020" i="5"/>
  <c r="I3020" i="5"/>
  <c r="R3020" i="5" s="1"/>
  <c r="H3020" i="5"/>
  <c r="G3020" i="5"/>
  <c r="Q3020" i="5" s="1"/>
  <c r="F3020" i="5"/>
  <c r="U2922" i="5"/>
  <c r="T2922" i="5"/>
  <c r="S2922" i="5"/>
  <c r="P2922" i="5"/>
  <c r="O2922" i="5"/>
  <c r="N2922" i="5"/>
  <c r="M2922" i="5"/>
  <c r="L2922" i="5"/>
  <c r="I2922" i="5"/>
  <c r="R2922" i="5" s="1"/>
  <c r="H2922" i="5"/>
  <c r="G2922" i="5"/>
  <c r="Q2922" i="5" s="1"/>
  <c r="F2922" i="5"/>
  <c r="U2824" i="5"/>
  <c r="T2824" i="5"/>
  <c r="S2824" i="5"/>
  <c r="P2824" i="5"/>
  <c r="O2824" i="5"/>
  <c r="N2824" i="5"/>
  <c r="M2824" i="5"/>
  <c r="L2824" i="5"/>
  <c r="I2824" i="5"/>
  <c r="R2824" i="5" s="1"/>
  <c r="H2824" i="5"/>
  <c r="G2824" i="5"/>
  <c r="Q2824" i="5" s="1"/>
  <c r="F2824" i="5"/>
  <c r="U2726" i="5"/>
  <c r="T2726" i="5"/>
  <c r="S2726" i="5"/>
  <c r="P2726" i="5"/>
  <c r="O2726" i="5"/>
  <c r="N2726" i="5"/>
  <c r="M2726" i="5"/>
  <c r="L2726" i="5"/>
  <c r="I2726" i="5"/>
  <c r="R2726" i="5" s="1"/>
  <c r="H2726" i="5"/>
  <c r="G2726" i="5"/>
  <c r="Q2726" i="5" s="1"/>
  <c r="F2726" i="5"/>
  <c r="U2613" i="5"/>
  <c r="T2613" i="5"/>
  <c r="S2613" i="5"/>
  <c r="P2613" i="5"/>
  <c r="O2613" i="5"/>
  <c r="N2613" i="5"/>
  <c r="M2613" i="5"/>
  <c r="L2613" i="5"/>
  <c r="I2613" i="5"/>
  <c r="R2613" i="5" s="1"/>
  <c r="H2613" i="5"/>
  <c r="G2613" i="5"/>
  <c r="Q2613" i="5" s="1"/>
  <c r="F2613" i="5"/>
  <c r="U2545" i="5"/>
  <c r="T2545" i="5"/>
  <c r="S2545" i="5"/>
  <c r="P2545" i="5"/>
  <c r="O2545" i="5"/>
  <c r="N2545" i="5"/>
  <c r="M2545" i="5"/>
  <c r="L2545" i="5"/>
  <c r="I2545" i="5"/>
  <c r="R2545" i="5" s="1"/>
  <c r="H2545" i="5"/>
  <c r="G2545" i="5"/>
  <c r="Q2545" i="5" s="1"/>
  <c r="F2545" i="5"/>
  <c r="U2477" i="5"/>
  <c r="T2477" i="5"/>
  <c r="S2477" i="5"/>
  <c r="P2477" i="5"/>
  <c r="O2477" i="5"/>
  <c r="N2477" i="5"/>
  <c r="M2477" i="5"/>
  <c r="L2477" i="5"/>
  <c r="I2477" i="5"/>
  <c r="R2477" i="5" s="1"/>
  <c r="H2477" i="5"/>
  <c r="G2477" i="5"/>
  <c r="Q2477" i="5" s="1"/>
  <c r="F2477" i="5"/>
  <c r="U2612" i="5"/>
  <c r="T2612" i="5"/>
  <c r="S2612" i="5"/>
  <c r="R2612" i="5"/>
  <c r="Q2612" i="5"/>
  <c r="P2612" i="5"/>
  <c r="U2544" i="5"/>
  <c r="T2544" i="5"/>
  <c r="S2544" i="5"/>
  <c r="R2544" i="5"/>
  <c r="Q2544" i="5"/>
  <c r="P2544" i="5"/>
  <c r="U2476" i="5"/>
  <c r="T2476" i="5"/>
  <c r="S2476" i="5"/>
  <c r="R2476" i="5"/>
  <c r="Q2476" i="5"/>
  <c r="P2476" i="5"/>
  <c r="U2611" i="5"/>
  <c r="T2611" i="5"/>
  <c r="S2611" i="5"/>
  <c r="R2611" i="5"/>
  <c r="Q2611" i="5"/>
  <c r="P2611" i="5"/>
  <c r="U2543" i="5"/>
  <c r="T2543" i="5"/>
  <c r="S2543" i="5"/>
  <c r="R2543" i="5"/>
  <c r="Q2543" i="5"/>
  <c r="P2543" i="5"/>
  <c r="U2475" i="5"/>
  <c r="T2475" i="5"/>
  <c r="S2475" i="5"/>
  <c r="R2475" i="5"/>
  <c r="Q2475" i="5"/>
  <c r="P2475" i="5"/>
  <c r="U2610" i="5"/>
  <c r="T2610" i="5"/>
  <c r="S2610" i="5"/>
  <c r="R2610" i="5"/>
  <c r="Q2610" i="5"/>
  <c r="P2610" i="5"/>
  <c r="U2542" i="5"/>
  <c r="T2542" i="5"/>
  <c r="S2542" i="5"/>
  <c r="R2542" i="5"/>
  <c r="Q2542" i="5"/>
  <c r="P2542" i="5"/>
  <c r="U2474" i="5"/>
  <c r="T2474" i="5"/>
  <c r="S2474" i="5"/>
  <c r="R2474" i="5"/>
  <c r="Q2474" i="5"/>
  <c r="P2474" i="5"/>
  <c r="U4196" i="5"/>
  <c r="T4196" i="5"/>
  <c r="S4196" i="5"/>
  <c r="R4196" i="5"/>
  <c r="Q4196" i="5"/>
  <c r="P4196" i="5"/>
  <c r="U4101" i="5"/>
  <c r="T4101" i="5"/>
  <c r="S4101" i="5"/>
  <c r="R4101" i="5"/>
  <c r="Q4101" i="5"/>
  <c r="P4101" i="5"/>
  <c r="U4002" i="5"/>
  <c r="T4002" i="5"/>
  <c r="S4002" i="5"/>
  <c r="R4002" i="5"/>
  <c r="Q4002" i="5"/>
  <c r="P4002" i="5"/>
  <c r="U3903" i="5"/>
  <c r="T3903" i="5"/>
  <c r="S3903" i="5"/>
  <c r="R3903" i="5"/>
  <c r="Q3903" i="5"/>
  <c r="P3903" i="5"/>
  <c r="U3804" i="5"/>
  <c r="T3804" i="5"/>
  <c r="S3804" i="5"/>
  <c r="R3804" i="5"/>
  <c r="Q3804" i="5"/>
  <c r="P3804" i="5"/>
  <c r="U3705" i="5"/>
  <c r="T3705" i="5"/>
  <c r="S3705" i="5"/>
  <c r="R3705" i="5"/>
  <c r="Q3705" i="5"/>
  <c r="P3705" i="5"/>
  <c r="U3607" i="5"/>
  <c r="T3607" i="5"/>
  <c r="S3607" i="5"/>
  <c r="R3607" i="5"/>
  <c r="Q3607" i="5"/>
  <c r="P3607" i="5"/>
  <c r="U3509" i="5"/>
  <c r="T3509" i="5"/>
  <c r="S3509" i="5"/>
  <c r="R3509" i="5"/>
  <c r="Q3509" i="5"/>
  <c r="P3509" i="5"/>
  <c r="U3411" i="5"/>
  <c r="T3411" i="5"/>
  <c r="S3411" i="5"/>
  <c r="R3411" i="5"/>
  <c r="Q3411" i="5"/>
  <c r="P3411" i="5"/>
  <c r="U3313" i="5"/>
  <c r="T3313" i="5"/>
  <c r="S3313" i="5"/>
  <c r="R3313" i="5"/>
  <c r="Q3313" i="5"/>
  <c r="P3313" i="5"/>
  <c r="U3215" i="5"/>
  <c r="T3215" i="5"/>
  <c r="S3215" i="5"/>
  <c r="R3215" i="5"/>
  <c r="Q3215" i="5"/>
  <c r="P3215" i="5"/>
  <c r="U3117" i="5"/>
  <c r="T3117" i="5"/>
  <c r="S3117" i="5"/>
  <c r="R3117" i="5"/>
  <c r="Q3117" i="5"/>
  <c r="P3117" i="5"/>
  <c r="U3019" i="5"/>
  <c r="T3019" i="5"/>
  <c r="S3019" i="5"/>
  <c r="R3019" i="5"/>
  <c r="Q3019" i="5"/>
  <c r="P3019" i="5"/>
  <c r="U2921" i="5"/>
  <c r="T2921" i="5"/>
  <c r="S2921" i="5"/>
  <c r="R2921" i="5"/>
  <c r="Q2921" i="5"/>
  <c r="P2921" i="5"/>
  <c r="U2823" i="5"/>
  <c r="T2823" i="5"/>
  <c r="S2823" i="5"/>
  <c r="R2823" i="5"/>
  <c r="Q2823" i="5"/>
  <c r="P2823" i="5"/>
  <c r="U2725" i="5"/>
  <c r="T2725" i="5"/>
  <c r="S2725" i="5"/>
  <c r="R2725" i="5"/>
  <c r="Q2725" i="5"/>
  <c r="P2725" i="5"/>
  <c r="U2609" i="5"/>
  <c r="T2609" i="5"/>
  <c r="S2609" i="5"/>
  <c r="R2609" i="5"/>
  <c r="Q2609" i="5"/>
  <c r="P2609" i="5"/>
  <c r="U2541" i="5"/>
  <c r="T2541" i="5"/>
  <c r="S2541" i="5"/>
  <c r="R2541" i="5"/>
  <c r="Q2541" i="5"/>
  <c r="P2541" i="5"/>
  <c r="U2473" i="5"/>
  <c r="T2473" i="5"/>
  <c r="S2473" i="5"/>
  <c r="R2473" i="5"/>
  <c r="Q2473" i="5"/>
  <c r="P2473" i="5"/>
  <c r="U2608" i="5"/>
  <c r="T2608" i="5"/>
  <c r="S2608" i="5"/>
  <c r="R2608" i="5"/>
  <c r="Q2608" i="5"/>
  <c r="P2608" i="5"/>
  <c r="U2540" i="5"/>
  <c r="T2540" i="5"/>
  <c r="S2540" i="5"/>
  <c r="R2540" i="5"/>
  <c r="Q2540" i="5"/>
  <c r="P2540" i="5"/>
  <c r="U2472" i="5"/>
  <c r="T2472" i="5"/>
  <c r="S2472" i="5"/>
  <c r="R2472" i="5"/>
  <c r="Q2472" i="5"/>
  <c r="P2472" i="5"/>
  <c r="U2607" i="5"/>
  <c r="T2607" i="5"/>
  <c r="S2607" i="5"/>
  <c r="R2607" i="5"/>
  <c r="Q2607" i="5"/>
  <c r="P2607" i="5"/>
  <c r="U2539" i="5"/>
  <c r="T2539" i="5"/>
  <c r="S2539" i="5"/>
  <c r="R2539" i="5"/>
  <c r="Q2539" i="5"/>
  <c r="P2539" i="5"/>
  <c r="U2471" i="5"/>
  <c r="T2471" i="5"/>
  <c r="S2471" i="5"/>
  <c r="R2471" i="5"/>
  <c r="Q2471" i="5"/>
  <c r="P2471" i="5"/>
  <c r="U2606" i="5"/>
  <c r="T2606" i="5"/>
  <c r="S2606" i="5"/>
  <c r="R2606" i="5"/>
  <c r="Q2606" i="5"/>
  <c r="P2606" i="5"/>
  <c r="U2538" i="5"/>
  <c r="T2538" i="5"/>
  <c r="S2538" i="5"/>
  <c r="R2538" i="5"/>
  <c r="Q2538" i="5"/>
  <c r="P2538" i="5"/>
  <c r="U2470" i="5"/>
  <c r="T2470" i="5"/>
  <c r="S2470" i="5"/>
  <c r="R2470" i="5"/>
  <c r="Q2470" i="5"/>
  <c r="P2470" i="5"/>
  <c r="T2605" i="5"/>
  <c r="S2605" i="5"/>
  <c r="I2605" i="5"/>
  <c r="R2605" i="5" s="1"/>
  <c r="H2605" i="5"/>
  <c r="G2605" i="5"/>
  <c r="Q2605" i="5" s="1"/>
  <c r="F2605" i="5"/>
  <c r="T2537" i="5"/>
  <c r="S2537" i="5"/>
  <c r="I2537" i="5"/>
  <c r="R2537" i="5" s="1"/>
  <c r="H2537" i="5"/>
  <c r="G2537" i="5"/>
  <c r="Q2537" i="5" s="1"/>
  <c r="F2537" i="5"/>
  <c r="T2469" i="5"/>
  <c r="S2469" i="5"/>
  <c r="I2469" i="5"/>
  <c r="R2469" i="5" s="1"/>
  <c r="H2469" i="5"/>
  <c r="G2469" i="5"/>
  <c r="Q2469" i="5" s="1"/>
  <c r="F2469" i="5"/>
  <c r="T2604" i="5"/>
  <c r="S2604" i="5"/>
  <c r="R2604" i="5"/>
  <c r="Q2604" i="5"/>
  <c r="T2536" i="5"/>
  <c r="S2536" i="5"/>
  <c r="R2536" i="5"/>
  <c r="Q2536" i="5"/>
  <c r="T2468" i="5"/>
  <c r="S2468" i="5"/>
  <c r="R2468" i="5"/>
  <c r="Q2468" i="5"/>
  <c r="T2603" i="5"/>
  <c r="S2603" i="5"/>
  <c r="R2603" i="5"/>
  <c r="Q2603" i="5"/>
  <c r="T2535" i="5"/>
  <c r="S2535" i="5"/>
  <c r="R2535" i="5"/>
  <c r="Q2535" i="5"/>
  <c r="T2467" i="5"/>
  <c r="S2467" i="5"/>
  <c r="R2467" i="5"/>
  <c r="Q2467" i="5"/>
  <c r="T2602" i="5"/>
  <c r="S2602" i="5"/>
  <c r="R2602" i="5"/>
  <c r="Q2602" i="5"/>
  <c r="T2534" i="5"/>
  <c r="S2534" i="5"/>
  <c r="R2534" i="5"/>
  <c r="Q2534" i="5"/>
  <c r="T2466" i="5"/>
  <c r="S2466" i="5"/>
  <c r="R2466" i="5"/>
  <c r="Q2466" i="5"/>
  <c r="T4195" i="5"/>
  <c r="S4195" i="5"/>
  <c r="R4195" i="5"/>
  <c r="Q4195" i="5"/>
  <c r="T4100" i="5"/>
  <c r="S4100" i="5"/>
  <c r="R4100" i="5"/>
  <c r="Q4100" i="5"/>
  <c r="T4001" i="5"/>
  <c r="S4001" i="5"/>
  <c r="R4001" i="5"/>
  <c r="Q4001" i="5"/>
  <c r="T3902" i="5"/>
  <c r="S3902" i="5"/>
  <c r="R3902" i="5"/>
  <c r="Q3902" i="5"/>
  <c r="T3803" i="5"/>
  <c r="S3803" i="5"/>
  <c r="R3803" i="5"/>
  <c r="Q3803" i="5"/>
  <c r="T3704" i="5"/>
  <c r="S3704" i="5"/>
  <c r="R3704" i="5"/>
  <c r="Q3704" i="5"/>
  <c r="T3606" i="5"/>
  <c r="S3606" i="5"/>
  <c r="R3606" i="5"/>
  <c r="Q3606" i="5"/>
  <c r="T3508" i="5"/>
  <c r="S3508" i="5"/>
  <c r="I3508" i="5"/>
  <c r="R3508" i="5" s="1"/>
  <c r="H3508" i="5"/>
  <c r="G3508" i="5"/>
  <c r="Q3508" i="5" s="1"/>
  <c r="F3508" i="5"/>
  <c r="T3410" i="5"/>
  <c r="S3410" i="5"/>
  <c r="I3410" i="5"/>
  <c r="R3410" i="5" s="1"/>
  <c r="H3410" i="5"/>
  <c r="G3410" i="5"/>
  <c r="Q3410" i="5" s="1"/>
  <c r="F3410" i="5"/>
  <c r="T3312" i="5"/>
  <c r="S3312" i="5"/>
  <c r="I3312" i="5"/>
  <c r="R3312" i="5" s="1"/>
  <c r="H3312" i="5"/>
  <c r="G3312" i="5"/>
  <c r="Q3312" i="5" s="1"/>
  <c r="F3312" i="5"/>
  <c r="T3214" i="5"/>
  <c r="S3214" i="5"/>
  <c r="I3214" i="5"/>
  <c r="R3214" i="5" s="1"/>
  <c r="H3214" i="5"/>
  <c r="G3214" i="5"/>
  <c r="Q3214" i="5" s="1"/>
  <c r="F3214" i="5"/>
  <c r="T3116" i="5"/>
  <c r="S3116" i="5"/>
  <c r="O3116" i="5"/>
  <c r="N3116" i="5"/>
  <c r="I3116" i="5"/>
  <c r="R3116" i="5" s="1"/>
  <c r="H3116" i="5"/>
  <c r="G3116" i="5"/>
  <c r="Q3116" i="5" s="1"/>
  <c r="F3116" i="5"/>
  <c r="T3018" i="5"/>
  <c r="S3018" i="5"/>
  <c r="I3018" i="5"/>
  <c r="R3018" i="5" s="1"/>
  <c r="H3018" i="5"/>
  <c r="G3018" i="5"/>
  <c r="Q3018" i="5" s="1"/>
  <c r="F3018" i="5"/>
  <c r="T2920" i="5"/>
  <c r="S2920" i="5"/>
  <c r="I2920" i="5"/>
  <c r="R2920" i="5" s="1"/>
  <c r="H2920" i="5"/>
  <c r="G2920" i="5"/>
  <c r="Q2920" i="5" s="1"/>
  <c r="F2920" i="5"/>
  <c r="T2822" i="5"/>
  <c r="S2822" i="5"/>
  <c r="I2822" i="5"/>
  <c r="R2822" i="5" s="1"/>
  <c r="H2822" i="5"/>
  <c r="G2822" i="5"/>
  <c r="Q2822" i="5" s="1"/>
  <c r="F2822" i="5"/>
  <c r="E2822" i="5"/>
  <c r="P2822" i="5" s="1"/>
  <c r="D2822" i="5"/>
  <c r="U2822" i="5" s="1"/>
  <c r="T2724" i="5"/>
  <c r="S2724" i="5"/>
  <c r="I2724" i="5"/>
  <c r="R2724" i="5" s="1"/>
  <c r="H2724" i="5"/>
  <c r="G2724" i="5"/>
  <c r="Q2724" i="5" s="1"/>
  <c r="F2724" i="5"/>
  <c r="E2724" i="5"/>
  <c r="P2724" i="5" s="1"/>
  <c r="D2724" i="5"/>
  <c r="U2724" i="5" s="1"/>
  <c r="U4194" i="5"/>
  <c r="T4194" i="5"/>
  <c r="S4194" i="5"/>
  <c r="R4194" i="5"/>
  <c r="Q4194" i="5"/>
  <c r="P4194" i="5"/>
  <c r="U4193" i="5"/>
  <c r="T4193" i="5"/>
  <c r="S4193" i="5"/>
  <c r="R4193" i="5"/>
  <c r="Q4193" i="5"/>
  <c r="P4193" i="5"/>
  <c r="U4099" i="5"/>
  <c r="T4099" i="5"/>
  <c r="S4099" i="5"/>
  <c r="R4099" i="5"/>
  <c r="Q4099" i="5"/>
  <c r="P4099" i="5"/>
  <c r="U4098" i="5"/>
  <c r="T4098" i="5"/>
  <c r="S4098" i="5"/>
  <c r="R4098" i="5"/>
  <c r="Q4098" i="5"/>
  <c r="U4097" i="5"/>
  <c r="T4097" i="5"/>
  <c r="S4097" i="5"/>
  <c r="R4097" i="5"/>
  <c r="Q4097" i="5"/>
  <c r="P4097" i="5"/>
  <c r="U4096" i="5"/>
  <c r="T4096" i="5"/>
  <c r="S4096" i="5"/>
  <c r="R4096" i="5"/>
  <c r="Q4096" i="5"/>
  <c r="P4096" i="5"/>
  <c r="U4095" i="5"/>
  <c r="T4095" i="5"/>
  <c r="S4095" i="5"/>
  <c r="R4095" i="5"/>
  <c r="Q4095" i="5"/>
  <c r="P4095" i="5"/>
  <c r="U4094" i="5"/>
  <c r="T4094" i="5"/>
  <c r="S4094" i="5"/>
  <c r="R4094" i="5"/>
  <c r="Q4094" i="5"/>
  <c r="P4094" i="5"/>
  <c r="U4000" i="5"/>
  <c r="T4000" i="5"/>
  <c r="S4000" i="5"/>
  <c r="R4000" i="5"/>
  <c r="Q4000" i="5"/>
  <c r="P4000" i="5"/>
  <c r="U3999" i="5"/>
  <c r="T3999" i="5"/>
  <c r="S3999" i="5"/>
  <c r="R3999" i="5"/>
  <c r="Q3999" i="5"/>
  <c r="U3998" i="5"/>
  <c r="T3998" i="5"/>
  <c r="S3998" i="5"/>
  <c r="R3998" i="5"/>
  <c r="Q3998" i="5"/>
  <c r="P3998" i="5"/>
  <c r="U3997" i="5"/>
  <c r="T3997" i="5"/>
  <c r="S3997" i="5"/>
  <c r="R3997" i="5"/>
  <c r="Q3997" i="5"/>
  <c r="P3997" i="5"/>
  <c r="U3996" i="5"/>
  <c r="T3996" i="5"/>
  <c r="S3996" i="5"/>
  <c r="R3996" i="5"/>
  <c r="Q3996" i="5"/>
  <c r="P3996" i="5"/>
  <c r="U3995" i="5"/>
  <c r="T3995" i="5"/>
  <c r="S3995" i="5"/>
  <c r="R3995" i="5"/>
  <c r="Q3995" i="5"/>
  <c r="P3995" i="5"/>
  <c r="U3901" i="5"/>
  <c r="T3901" i="5"/>
  <c r="S3901" i="5"/>
  <c r="R3901" i="5"/>
  <c r="Q3901" i="5"/>
  <c r="P3901" i="5"/>
  <c r="U3900" i="5"/>
  <c r="T3900" i="5"/>
  <c r="S3900" i="5"/>
  <c r="R3900" i="5"/>
  <c r="Q3900" i="5"/>
  <c r="U3899" i="5"/>
  <c r="T3899" i="5"/>
  <c r="S3899" i="5"/>
  <c r="R3899" i="5"/>
  <c r="Q3899" i="5"/>
  <c r="P3899" i="5"/>
  <c r="U3898" i="5"/>
  <c r="T3898" i="5"/>
  <c r="S3898" i="5"/>
  <c r="R3898" i="5"/>
  <c r="Q3898" i="5"/>
  <c r="P3898" i="5"/>
  <c r="U3897" i="5"/>
  <c r="T3897" i="5"/>
  <c r="S3897" i="5"/>
  <c r="R3897" i="5"/>
  <c r="Q3897" i="5"/>
  <c r="P3897" i="5"/>
  <c r="U3896" i="5"/>
  <c r="T3896" i="5"/>
  <c r="S3896" i="5"/>
  <c r="R3896" i="5"/>
  <c r="Q3896" i="5"/>
  <c r="P3896" i="5"/>
  <c r="U3802" i="5"/>
  <c r="T3802" i="5"/>
  <c r="S3802" i="5"/>
  <c r="R3802" i="5"/>
  <c r="Q3802" i="5"/>
  <c r="P3802" i="5"/>
  <c r="U3801" i="5"/>
  <c r="T3801" i="5"/>
  <c r="S3801" i="5"/>
  <c r="R3801" i="5"/>
  <c r="Q3801" i="5"/>
  <c r="U3800" i="5"/>
  <c r="T3800" i="5"/>
  <c r="S3800" i="5"/>
  <c r="R3800" i="5"/>
  <c r="Q3800" i="5"/>
  <c r="P3800" i="5"/>
  <c r="U3799" i="5"/>
  <c r="T3799" i="5"/>
  <c r="S3799" i="5"/>
  <c r="R3799" i="5"/>
  <c r="Q3799" i="5"/>
  <c r="P3799" i="5"/>
  <c r="U3798" i="5"/>
  <c r="T3798" i="5"/>
  <c r="S3798" i="5"/>
  <c r="R3798" i="5"/>
  <c r="Q3798" i="5"/>
  <c r="P3798" i="5"/>
  <c r="U3797" i="5"/>
  <c r="T3797" i="5"/>
  <c r="S3797" i="5"/>
  <c r="R3797" i="5"/>
  <c r="Q3797" i="5"/>
  <c r="P3797" i="5"/>
  <c r="U3703" i="5"/>
  <c r="T3703" i="5"/>
  <c r="S3703" i="5"/>
  <c r="R3703" i="5"/>
  <c r="Q3703" i="5"/>
  <c r="P3703" i="5"/>
  <c r="U3702" i="5"/>
  <c r="T3702" i="5"/>
  <c r="S3702" i="5"/>
  <c r="R3702" i="5"/>
  <c r="Q3702" i="5"/>
  <c r="U4192" i="5"/>
  <c r="T4192" i="5"/>
  <c r="S4192" i="5"/>
  <c r="R4192" i="5"/>
  <c r="Q4192" i="5"/>
  <c r="P4192" i="5"/>
  <c r="U4093" i="5"/>
  <c r="T4093" i="5"/>
  <c r="S4093" i="5"/>
  <c r="R4093" i="5"/>
  <c r="Q4093" i="5"/>
  <c r="P4093" i="5"/>
  <c r="U3994" i="5"/>
  <c r="T3994" i="5"/>
  <c r="S3994" i="5"/>
  <c r="R3994" i="5"/>
  <c r="Q3994" i="5"/>
  <c r="P3994" i="5"/>
  <c r="U3895" i="5"/>
  <c r="T3895" i="5"/>
  <c r="S3895" i="5"/>
  <c r="R3895" i="5"/>
  <c r="Q3895" i="5"/>
  <c r="P3895" i="5"/>
  <c r="U3796" i="5"/>
  <c r="T3796" i="5"/>
  <c r="S3796" i="5"/>
  <c r="R3796" i="5"/>
  <c r="Q3796" i="5"/>
  <c r="P3796" i="5"/>
  <c r="U3701" i="5"/>
  <c r="T3701" i="5"/>
  <c r="S3701" i="5"/>
  <c r="R3701" i="5"/>
  <c r="Q3701" i="5"/>
  <c r="P3701" i="5"/>
  <c r="U3605" i="5"/>
  <c r="T3605" i="5"/>
  <c r="S3605" i="5"/>
  <c r="R3605" i="5"/>
  <c r="Q3605" i="5"/>
  <c r="P3605" i="5"/>
  <c r="U3507" i="5"/>
  <c r="T3507" i="5"/>
  <c r="S3507" i="5"/>
  <c r="P3507" i="5"/>
  <c r="I3507" i="5"/>
  <c r="R3507" i="5" s="1"/>
  <c r="H3507" i="5"/>
  <c r="G3507" i="5"/>
  <c r="Q3507" i="5" s="1"/>
  <c r="F3507" i="5"/>
  <c r="U3409" i="5"/>
  <c r="T3409" i="5"/>
  <c r="S3409" i="5"/>
  <c r="P3409" i="5"/>
  <c r="I3409" i="5"/>
  <c r="R3409" i="5" s="1"/>
  <c r="H3409" i="5"/>
  <c r="G3409" i="5"/>
  <c r="Q3409" i="5" s="1"/>
  <c r="F3409" i="5"/>
  <c r="U3311" i="5"/>
  <c r="T3311" i="5"/>
  <c r="S3311" i="5"/>
  <c r="P3311" i="5"/>
  <c r="I3311" i="5"/>
  <c r="R3311" i="5" s="1"/>
  <c r="H3311" i="5"/>
  <c r="G3311" i="5"/>
  <c r="Q3311" i="5" s="1"/>
  <c r="F3311" i="5"/>
  <c r="U3213" i="5"/>
  <c r="T3213" i="5"/>
  <c r="S3213" i="5"/>
  <c r="P3213" i="5"/>
  <c r="I3213" i="5"/>
  <c r="R3213" i="5" s="1"/>
  <c r="H3213" i="5"/>
  <c r="G3213" i="5"/>
  <c r="Q3213" i="5" s="1"/>
  <c r="F3213" i="5"/>
  <c r="U3115" i="5"/>
  <c r="T3115" i="5"/>
  <c r="S3115" i="5"/>
  <c r="P3115" i="5"/>
  <c r="I3115" i="5"/>
  <c r="R3115" i="5" s="1"/>
  <c r="H3115" i="5"/>
  <c r="G3115" i="5"/>
  <c r="Q3115" i="5" s="1"/>
  <c r="F3115" i="5"/>
  <c r="U3017" i="5"/>
  <c r="T3017" i="5"/>
  <c r="S3017" i="5"/>
  <c r="P3017" i="5"/>
  <c r="I3017" i="5"/>
  <c r="R3017" i="5" s="1"/>
  <c r="H3017" i="5"/>
  <c r="G3017" i="5"/>
  <c r="Q3017" i="5" s="1"/>
  <c r="F3017" i="5"/>
  <c r="U2919" i="5"/>
  <c r="T2919" i="5"/>
  <c r="S2919" i="5"/>
  <c r="P2919" i="5"/>
  <c r="I2919" i="5"/>
  <c r="R2919" i="5" s="1"/>
  <c r="H2919" i="5"/>
  <c r="G2919" i="5"/>
  <c r="Q2919" i="5" s="1"/>
  <c r="F2919" i="5"/>
  <c r="U2821" i="5"/>
  <c r="T2821" i="5"/>
  <c r="S2821" i="5"/>
  <c r="P2821" i="5"/>
  <c r="I2821" i="5"/>
  <c r="R2821" i="5" s="1"/>
  <c r="H2821" i="5"/>
  <c r="G2821" i="5"/>
  <c r="Q2821" i="5" s="1"/>
  <c r="F2821" i="5"/>
  <c r="U2723" i="5"/>
  <c r="T2723" i="5"/>
  <c r="S2723" i="5"/>
  <c r="P2723" i="5"/>
  <c r="I2723" i="5"/>
  <c r="R2723" i="5" s="1"/>
  <c r="H2723" i="5"/>
  <c r="G2723" i="5"/>
  <c r="Q2723" i="5" s="1"/>
  <c r="F2723" i="5"/>
  <c r="U2601" i="5"/>
  <c r="T2601" i="5"/>
  <c r="S2601" i="5"/>
  <c r="P2601" i="5"/>
  <c r="I2601" i="5"/>
  <c r="R2601" i="5" s="1"/>
  <c r="H2601" i="5"/>
  <c r="G2601" i="5"/>
  <c r="Q2601" i="5" s="1"/>
  <c r="F2601" i="5"/>
  <c r="U2533" i="5"/>
  <c r="T2533" i="5"/>
  <c r="S2533" i="5"/>
  <c r="P2533" i="5"/>
  <c r="I2533" i="5"/>
  <c r="R2533" i="5" s="1"/>
  <c r="H2533" i="5"/>
  <c r="G2533" i="5"/>
  <c r="Q2533" i="5" s="1"/>
  <c r="F2533" i="5"/>
  <c r="U2465" i="5"/>
  <c r="T2465" i="5"/>
  <c r="S2465" i="5"/>
  <c r="P2465" i="5"/>
  <c r="I2465" i="5"/>
  <c r="R2465" i="5" s="1"/>
  <c r="H2465" i="5"/>
  <c r="G2465" i="5"/>
  <c r="Q2465" i="5" s="1"/>
  <c r="F2465" i="5"/>
  <c r="U2600" i="5"/>
  <c r="T2600" i="5"/>
  <c r="S2600" i="5"/>
  <c r="R2600" i="5"/>
  <c r="Q2600" i="5"/>
  <c r="P2600" i="5"/>
  <c r="U2532" i="5"/>
  <c r="T2532" i="5"/>
  <c r="S2532" i="5"/>
  <c r="R2532" i="5"/>
  <c r="Q2532" i="5"/>
  <c r="P2532" i="5"/>
  <c r="U2464" i="5"/>
  <c r="T2464" i="5"/>
  <c r="S2464" i="5"/>
  <c r="R2464" i="5"/>
  <c r="Q2464" i="5"/>
  <c r="P2464" i="5"/>
  <c r="U2599" i="5"/>
  <c r="T2599" i="5"/>
  <c r="S2599" i="5"/>
  <c r="R2599" i="5"/>
  <c r="Q2599" i="5"/>
  <c r="P2599" i="5"/>
  <c r="U2531" i="5"/>
  <c r="T2531" i="5"/>
  <c r="S2531" i="5"/>
  <c r="R2531" i="5"/>
  <c r="Q2531" i="5"/>
  <c r="P2531" i="5"/>
  <c r="U2463" i="5"/>
  <c r="T2463" i="5"/>
  <c r="S2463" i="5"/>
  <c r="R2463" i="5"/>
  <c r="Q2463" i="5"/>
  <c r="P2463" i="5"/>
  <c r="U2598" i="5"/>
  <c r="T2598" i="5"/>
  <c r="S2598" i="5"/>
  <c r="R2598" i="5"/>
  <c r="Q2598" i="5"/>
  <c r="P2598" i="5"/>
  <c r="U2530" i="5"/>
  <c r="T2530" i="5"/>
  <c r="S2530" i="5"/>
  <c r="R2530" i="5"/>
  <c r="Q2530" i="5"/>
  <c r="P2530" i="5"/>
  <c r="U2462" i="5"/>
  <c r="T2462" i="5"/>
  <c r="S2462" i="5"/>
  <c r="R2462" i="5"/>
  <c r="Q2462" i="5"/>
  <c r="P2462" i="5"/>
  <c r="U4191" i="5"/>
  <c r="T4191" i="5"/>
  <c r="S4191" i="5"/>
  <c r="R4191" i="5"/>
  <c r="Q4191" i="5"/>
  <c r="P4191" i="5"/>
  <c r="U4092" i="5"/>
  <c r="T4092" i="5"/>
  <c r="S4092" i="5"/>
  <c r="R4092" i="5"/>
  <c r="Q4092" i="5"/>
  <c r="P4092" i="5"/>
  <c r="U3993" i="5"/>
  <c r="T3993" i="5"/>
  <c r="S3993" i="5"/>
  <c r="R3993" i="5"/>
  <c r="Q3993" i="5"/>
  <c r="P3993" i="5"/>
  <c r="U3894" i="5"/>
  <c r="T3894" i="5"/>
  <c r="S3894" i="5"/>
  <c r="R3894" i="5"/>
  <c r="Q3894" i="5"/>
  <c r="P3894" i="5"/>
  <c r="U3795" i="5"/>
  <c r="T3795" i="5"/>
  <c r="S3795" i="5"/>
  <c r="R3795" i="5"/>
  <c r="Q3795" i="5"/>
  <c r="P3795" i="5"/>
  <c r="U3700" i="5"/>
  <c r="T3700" i="5"/>
  <c r="S3700" i="5"/>
  <c r="R3700" i="5"/>
  <c r="Q3700" i="5"/>
  <c r="P3700" i="5"/>
  <c r="U3604" i="5"/>
  <c r="T3604" i="5"/>
  <c r="S3604" i="5"/>
  <c r="R3604" i="5"/>
  <c r="Q3604" i="5"/>
  <c r="P3604" i="5"/>
  <c r="U3506" i="5"/>
  <c r="T3506" i="5"/>
  <c r="S3506" i="5"/>
  <c r="P3506" i="5"/>
  <c r="O3506" i="5"/>
  <c r="N3506" i="5"/>
  <c r="M3506" i="5"/>
  <c r="L3506" i="5"/>
  <c r="I3506" i="5"/>
  <c r="R3506" i="5" s="1"/>
  <c r="H3506" i="5"/>
  <c r="G3506" i="5"/>
  <c r="Q3506" i="5" s="1"/>
  <c r="F3506" i="5"/>
  <c r="U3408" i="5"/>
  <c r="T3408" i="5"/>
  <c r="S3408" i="5"/>
  <c r="P3408" i="5"/>
  <c r="O3408" i="5"/>
  <c r="N3408" i="5"/>
  <c r="M3408" i="5"/>
  <c r="L3408" i="5"/>
  <c r="I3408" i="5"/>
  <c r="R3408" i="5" s="1"/>
  <c r="H3408" i="5"/>
  <c r="G3408" i="5"/>
  <c r="Q3408" i="5" s="1"/>
  <c r="F3408" i="5"/>
  <c r="U3310" i="5"/>
  <c r="T3310" i="5"/>
  <c r="S3310" i="5"/>
  <c r="P3310" i="5"/>
  <c r="O3310" i="5"/>
  <c r="N3310" i="5"/>
  <c r="M3310" i="5"/>
  <c r="L3310" i="5"/>
  <c r="I3310" i="5"/>
  <c r="R3310" i="5" s="1"/>
  <c r="H3310" i="5"/>
  <c r="G3310" i="5"/>
  <c r="Q3310" i="5" s="1"/>
  <c r="F3310" i="5"/>
  <c r="U3212" i="5"/>
  <c r="T3212" i="5"/>
  <c r="S3212" i="5"/>
  <c r="P3212" i="5"/>
  <c r="O3212" i="5"/>
  <c r="N3212" i="5"/>
  <c r="M3212" i="5"/>
  <c r="L3212" i="5"/>
  <c r="I3212" i="5"/>
  <c r="R3212" i="5" s="1"/>
  <c r="H3212" i="5"/>
  <c r="G3212" i="5"/>
  <c r="Q3212" i="5" s="1"/>
  <c r="F3212" i="5"/>
  <c r="U3114" i="5"/>
  <c r="T3114" i="5"/>
  <c r="S3114" i="5"/>
  <c r="P3114" i="5"/>
  <c r="O3114" i="5"/>
  <c r="N3114" i="5"/>
  <c r="M3114" i="5"/>
  <c r="L3114" i="5"/>
  <c r="I3114" i="5"/>
  <c r="R3114" i="5" s="1"/>
  <c r="H3114" i="5"/>
  <c r="G3114" i="5"/>
  <c r="Q3114" i="5" s="1"/>
  <c r="F3114" i="5"/>
  <c r="U3016" i="5"/>
  <c r="T3016" i="5"/>
  <c r="S3016" i="5"/>
  <c r="P3016" i="5"/>
  <c r="O3016" i="5"/>
  <c r="N3016" i="5"/>
  <c r="M3016" i="5"/>
  <c r="L3016" i="5"/>
  <c r="I3016" i="5"/>
  <c r="R3016" i="5" s="1"/>
  <c r="H3016" i="5"/>
  <c r="G3016" i="5"/>
  <c r="Q3016" i="5" s="1"/>
  <c r="F3016" i="5"/>
  <c r="U2918" i="5"/>
  <c r="T2918" i="5"/>
  <c r="S2918" i="5"/>
  <c r="P2918" i="5"/>
  <c r="O2918" i="5"/>
  <c r="N2918" i="5"/>
  <c r="M2918" i="5"/>
  <c r="L2918" i="5"/>
  <c r="I2918" i="5"/>
  <c r="R2918" i="5" s="1"/>
  <c r="H2918" i="5"/>
  <c r="G2918" i="5"/>
  <c r="Q2918" i="5" s="1"/>
  <c r="F2918" i="5"/>
  <c r="U2820" i="5"/>
  <c r="T2820" i="5"/>
  <c r="S2820" i="5"/>
  <c r="P2820" i="5"/>
  <c r="O2820" i="5"/>
  <c r="N2820" i="5"/>
  <c r="M2820" i="5"/>
  <c r="L2820" i="5"/>
  <c r="I2820" i="5"/>
  <c r="R2820" i="5" s="1"/>
  <c r="H2820" i="5"/>
  <c r="G2820" i="5"/>
  <c r="Q2820" i="5" s="1"/>
  <c r="F2820" i="5"/>
  <c r="U2722" i="5"/>
  <c r="T2722" i="5"/>
  <c r="S2722" i="5"/>
  <c r="P2722" i="5"/>
  <c r="O2722" i="5"/>
  <c r="N2722" i="5"/>
  <c r="M2722" i="5"/>
  <c r="L2722" i="5"/>
  <c r="I2722" i="5"/>
  <c r="R2722" i="5" s="1"/>
  <c r="H2722" i="5"/>
  <c r="G2722" i="5"/>
  <c r="Q2722" i="5" s="1"/>
  <c r="F2722" i="5"/>
  <c r="U2597" i="5"/>
  <c r="T2597" i="5"/>
  <c r="S2597" i="5"/>
  <c r="P2597" i="5"/>
  <c r="O2597" i="5"/>
  <c r="N2597" i="5"/>
  <c r="M2597" i="5"/>
  <c r="L2597" i="5"/>
  <c r="I2597" i="5"/>
  <c r="R2597" i="5" s="1"/>
  <c r="H2597" i="5"/>
  <c r="G2597" i="5"/>
  <c r="Q2597" i="5" s="1"/>
  <c r="F2597" i="5"/>
  <c r="U2529" i="5"/>
  <c r="T2529" i="5"/>
  <c r="S2529" i="5"/>
  <c r="P2529" i="5"/>
  <c r="O2529" i="5"/>
  <c r="N2529" i="5"/>
  <c r="M2529" i="5"/>
  <c r="L2529" i="5"/>
  <c r="I2529" i="5"/>
  <c r="R2529" i="5" s="1"/>
  <c r="H2529" i="5"/>
  <c r="G2529" i="5"/>
  <c r="Q2529" i="5" s="1"/>
  <c r="F2529" i="5"/>
  <c r="U2461" i="5"/>
  <c r="T2461" i="5"/>
  <c r="S2461" i="5"/>
  <c r="P2461" i="5"/>
  <c r="O2461" i="5"/>
  <c r="N2461" i="5"/>
  <c r="M2461" i="5"/>
  <c r="L2461" i="5"/>
  <c r="I2461" i="5"/>
  <c r="R2461" i="5" s="1"/>
  <c r="H2461" i="5"/>
  <c r="G2461" i="5"/>
  <c r="Q2461" i="5" s="1"/>
  <c r="F2461" i="5"/>
  <c r="U2596" i="5"/>
  <c r="T2596" i="5"/>
  <c r="S2596" i="5"/>
  <c r="R2596" i="5"/>
  <c r="Q2596" i="5"/>
  <c r="P2596" i="5"/>
  <c r="U2528" i="5"/>
  <c r="T2528" i="5"/>
  <c r="S2528" i="5"/>
  <c r="R2528" i="5"/>
  <c r="Q2528" i="5"/>
  <c r="P2528" i="5"/>
  <c r="U2460" i="5"/>
  <c r="T2460" i="5"/>
  <c r="S2460" i="5"/>
  <c r="R2460" i="5"/>
  <c r="Q2460" i="5"/>
  <c r="P2460" i="5"/>
  <c r="U2595" i="5"/>
  <c r="T2595" i="5"/>
  <c r="S2595" i="5"/>
  <c r="R2595" i="5"/>
  <c r="Q2595" i="5"/>
  <c r="P2595" i="5"/>
  <c r="U2527" i="5"/>
  <c r="T2527" i="5"/>
  <c r="S2527" i="5"/>
  <c r="R2527" i="5"/>
  <c r="Q2527" i="5"/>
  <c r="P2527" i="5"/>
  <c r="U2459" i="5"/>
  <c r="T2459" i="5"/>
  <c r="S2459" i="5"/>
  <c r="R2459" i="5"/>
  <c r="Q2459" i="5"/>
  <c r="P2459" i="5"/>
  <c r="U2594" i="5"/>
  <c r="T2594" i="5"/>
  <c r="S2594" i="5"/>
  <c r="R2594" i="5"/>
  <c r="Q2594" i="5"/>
  <c r="P2594" i="5"/>
  <c r="U2526" i="5"/>
  <c r="T2526" i="5"/>
  <c r="S2526" i="5"/>
  <c r="R2526" i="5"/>
  <c r="Q2526" i="5"/>
  <c r="P2526" i="5"/>
  <c r="U2458" i="5"/>
  <c r="T2458" i="5"/>
  <c r="S2458" i="5"/>
  <c r="R2458" i="5"/>
  <c r="Q2458" i="5"/>
  <c r="P2458" i="5"/>
  <c r="U4190" i="5"/>
  <c r="T4190" i="5"/>
  <c r="S4190" i="5"/>
  <c r="R4190" i="5"/>
  <c r="Q4190" i="5"/>
  <c r="P4190" i="5"/>
  <c r="U4091" i="5"/>
  <c r="T4091" i="5"/>
  <c r="S4091" i="5"/>
  <c r="R4091" i="5"/>
  <c r="Q4091" i="5"/>
  <c r="P4091" i="5"/>
  <c r="U3992" i="5"/>
  <c r="T3992" i="5"/>
  <c r="S3992" i="5"/>
  <c r="R3992" i="5"/>
  <c r="Q3992" i="5"/>
  <c r="P3992" i="5"/>
  <c r="U3893" i="5"/>
  <c r="T3893" i="5"/>
  <c r="S3893" i="5"/>
  <c r="R3893" i="5"/>
  <c r="Q3893" i="5"/>
  <c r="P3893" i="5"/>
  <c r="U3794" i="5"/>
  <c r="T3794" i="5"/>
  <c r="S3794" i="5"/>
  <c r="R3794" i="5"/>
  <c r="Q3794" i="5"/>
  <c r="P3794" i="5"/>
  <c r="U3699" i="5"/>
  <c r="T3699" i="5"/>
  <c r="S3699" i="5"/>
  <c r="R3699" i="5"/>
  <c r="Q3699" i="5"/>
  <c r="P3699" i="5"/>
  <c r="U3603" i="5"/>
  <c r="T3603" i="5"/>
  <c r="S3603" i="5"/>
  <c r="R3603" i="5"/>
  <c r="Q3603" i="5"/>
  <c r="P3603" i="5"/>
  <c r="U3505" i="5"/>
  <c r="T3505" i="5"/>
  <c r="S3505" i="5"/>
  <c r="R3505" i="5"/>
  <c r="Q3505" i="5"/>
  <c r="P3505" i="5"/>
  <c r="U3407" i="5"/>
  <c r="T3407" i="5"/>
  <c r="S3407" i="5"/>
  <c r="R3407" i="5"/>
  <c r="Q3407" i="5"/>
  <c r="P3407" i="5"/>
  <c r="U3309" i="5"/>
  <c r="T3309" i="5"/>
  <c r="S3309" i="5"/>
  <c r="R3309" i="5"/>
  <c r="Q3309" i="5"/>
  <c r="P3309" i="5"/>
  <c r="U3211" i="5"/>
  <c r="T3211" i="5"/>
  <c r="S3211" i="5"/>
  <c r="R3211" i="5"/>
  <c r="Q3211" i="5"/>
  <c r="P3211" i="5"/>
  <c r="U3113" i="5"/>
  <c r="T3113" i="5"/>
  <c r="S3113" i="5"/>
  <c r="R3113" i="5"/>
  <c r="Q3113" i="5"/>
  <c r="P3113" i="5"/>
  <c r="U3015" i="5"/>
  <c r="T3015" i="5"/>
  <c r="S3015" i="5"/>
  <c r="R3015" i="5"/>
  <c r="Q3015" i="5"/>
  <c r="P3015" i="5"/>
  <c r="U2917" i="5"/>
  <c r="T2917" i="5"/>
  <c r="S2917" i="5"/>
  <c r="R2917" i="5"/>
  <c r="Q2917" i="5"/>
  <c r="P2917" i="5"/>
  <c r="U2819" i="5"/>
  <c r="T2819" i="5"/>
  <c r="S2819" i="5"/>
  <c r="R2819" i="5"/>
  <c r="Q2819" i="5"/>
  <c r="P2819" i="5"/>
  <c r="U2721" i="5"/>
  <c r="T2721" i="5"/>
  <c r="S2721" i="5"/>
  <c r="R2721" i="5"/>
  <c r="Q2721" i="5"/>
  <c r="P2721" i="5"/>
  <c r="U2593" i="5"/>
  <c r="T2593" i="5"/>
  <c r="S2593" i="5"/>
  <c r="R2593" i="5"/>
  <c r="Q2593" i="5"/>
  <c r="P2593" i="5"/>
  <c r="U2525" i="5"/>
  <c r="T2525" i="5"/>
  <c r="S2525" i="5"/>
  <c r="R2525" i="5"/>
  <c r="Q2525" i="5"/>
  <c r="P2525" i="5"/>
  <c r="U2457" i="5"/>
  <c r="T2457" i="5"/>
  <c r="S2457" i="5"/>
  <c r="R2457" i="5"/>
  <c r="Q2457" i="5"/>
  <c r="P2457" i="5"/>
  <c r="U2592" i="5"/>
  <c r="T2592" i="5"/>
  <c r="S2592" i="5"/>
  <c r="R2592" i="5"/>
  <c r="Q2592" i="5"/>
  <c r="P2592" i="5"/>
  <c r="U2524" i="5"/>
  <c r="T2524" i="5"/>
  <c r="S2524" i="5"/>
  <c r="R2524" i="5"/>
  <c r="Q2524" i="5"/>
  <c r="P2524" i="5"/>
  <c r="U2456" i="5"/>
  <c r="T2456" i="5"/>
  <c r="S2456" i="5"/>
  <c r="R2456" i="5"/>
  <c r="Q2456" i="5"/>
  <c r="P2456" i="5"/>
  <c r="U2591" i="5"/>
  <c r="T2591" i="5"/>
  <c r="S2591" i="5"/>
  <c r="R2591" i="5"/>
  <c r="Q2591" i="5"/>
  <c r="P2591" i="5"/>
  <c r="U2523" i="5"/>
  <c r="T2523" i="5"/>
  <c r="S2523" i="5"/>
  <c r="R2523" i="5"/>
  <c r="Q2523" i="5"/>
  <c r="P2523" i="5"/>
  <c r="U2455" i="5"/>
  <c r="T2455" i="5"/>
  <c r="S2455" i="5"/>
  <c r="R2455" i="5"/>
  <c r="Q2455" i="5"/>
  <c r="P2455" i="5"/>
  <c r="U2590" i="5"/>
  <c r="T2590" i="5"/>
  <c r="S2590" i="5"/>
  <c r="R2590" i="5"/>
  <c r="Q2590" i="5"/>
  <c r="P2590" i="5"/>
  <c r="U2522" i="5"/>
  <c r="T2522" i="5"/>
  <c r="S2522" i="5"/>
  <c r="R2522" i="5"/>
  <c r="Q2522" i="5"/>
  <c r="P2522" i="5"/>
  <c r="U2454" i="5"/>
  <c r="T2454" i="5"/>
  <c r="S2454" i="5"/>
  <c r="R2454" i="5"/>
  <c r="Q2454" i="5"/>
  <c r="P2454" i="5"/>
  <c r="U4189" i="5"/>
  <c r="T4189" i="5"/>
  <c r="S4189" i="5"/>
  <c r="R4189" i="5"/>
  <c r="Q4189" i="5"/>
  <c r="P4189" i="5"/>
  <c r="U4090" i="5"/>
  <c r="T4090" i="5"/>
  <c r="S4090" i="5"/>
  <c r="R4090" i="5"/>
  <c r="Q4090" i="5"/>
  <c r="P4090" i="5"/>
  <c r="U3991" i="5"/>
  <c r="T3991" i="5"/>
  <c r="S3991" i="5"/>
  <c r="R3991" i="5"/>
  <c r="Q3991" i="5"/>
  <c r="P3991" i="5"/>
  <c r="U3892" i="5"/>
  <c r="T3892" i="5"/>
  <c r="S3892" i="5"/>
  <c r="R3892" i="5"/>
  <c r="Q3892" i="5"/>
  <c r="P3892" i="5"/>
  <c r="U3793" i="5"/>
  <c r="T3793" i="5"/>
  <c r="S3793" i="5"/>
  <c r="R3793" i="5"/>
  <c r="Q3793" i="5"/>
  <c r="P3793" i="5"/>
  <c r="U3698" i="5"/>
  <c r="T3698" i="5"/>
  <c r="S3698" i="5"/>
  <c r="R3698" i="5"/>
  <c r="Q3698" i="5"/>
  <c r="P3698" i="5"/>
  <c r="U3602" i="5"/>
  <c r="T3602" i="5"/>
  <c r="S3602" i="5"/>
  <c r="R3602" i="5"/>
  <c r="Q3602" i="5"/>
  <c r="P3602" i="5"/>
  <c r="U3504" i="5"/>
  <c r="T3504" i="5"/>
  <c r="S3504" i="5"/>
  <c r="R3504" i="5"/>
  <c r="Q3504" i="5"/>
  <c r="P3504" i="5"/>
  <c r="U3406" i="5"/>
  <c r="T3406" i="5"/>
  <c r="S3406" i="5"/>
  <c r="R3406" i="5"/>
  <c r="Q3406" i="5"/>
  <c r="P3406" i="5"/>
  <c r="U3308" i="5"/>
  <c r="T3308" i="5"/>
  <c r="S3308" i="5"/>
  <c r="R3308" i="5"/>
  <c r="Q3308" i="5"/>
  <c r="P3308" i="5"/>
  <c r="U3210" i="5"/>
  <c r="T3210" i="5"/>
  <c r="S3210" i="5"/>
  <c r="R3210" i="5"/>
  <c r="Q3210" i="5"/>
  <c r="P3210" i="5"/>
  <c r="U3112" i="5"/>
  <c r="T3112" i="5"/>
  <c r="S3112" i="5"/>
  <c r="R3112" i="5"/>
  <c r="Q3112" i="5"/>
  <c r="P3112" i="5"/>
  <c r="U3014" i="5"/>
  <c r="T3014" i="5"/>
  <c r="S3014" i="5"/>
  <c r="R3014" i="5"/>
  <c r="Q3014" i="5"/>
  <c r="P3014" i="5"/>
  <c r="U2916" i="5"/>
  <c r="T2916" i="5"/>
  <c r="S2916" i="5"/>
  <c r="R2916" i="5"/>
  <c r="Q2916" i="5"/>
  <c r="P2916" i="5"/>
  <c r="U2818" i="5"/>
  <c r="T2818" i="5"/>
  <c r="S2818" i="5"/>
  <c r="R2818" i="5"/>
  <c r="Q2818" i="5"/>
  <c r="P2818" i="5"/>
  <c r="U2720" i="5"/>
  <c r="T2720" i="5"/>
  <c r="S2720" i="5"/>
  <c r="R2720" i="5"/>
  <c r="Q2720" i="5"/>
  <c r="P2720" i="5"/>
  <c r="U2589" i="5"/>
  <c r="T2589" i="5"/>
  <c r="S2589" i="5"/>
  <c r="R2589" i="5"/>
  <c r="Q2589" i="5"/>
  <c r="P2589" i="5"/>
  <c r="U2521" i="5"/>
  <c r="T2521" i="5"/>
  <c r="S2521" i="5"/>
  <c r="R2521" i="5"/>
  <c r="Q2521" i="5"/>
  <c r="P2521" i="5"/>
  <c r="U2453" i="5"/>
  <c r="T2453" i="5"/>
  <c r="S2453" i="5"/>
  <c r="R2453" i="5"/>
  <c r="Q2453" i="5"/>
  <c r="P2453" i="5"/>
  <c r="U2588" i="5"/>
  <c r="T2588" i="5"/>
  <c r="S2588" i="5"/>
  <c r="R2588" i="5"/>
  <c r="Q2588" i="5"/>
  <c r="P2588" i="5"/>
  <c r="U2520" i="5"/>
  <c r="T2520" i="5"/>
  <c r="S2520" i="5"/>
  <c r="R2520" i="5"/>
  <c r="Q2520" i="5"/>
  <c r="P2520" i="5"/>
  <c r="U2452" i="5"/>
  <c r="T2452" i="5"/>
  <c r="S2452" i="5"/>
  <c r="R2452" i="5"/>
  <c r="Q2452" i="5"/>
  <c r="P2452" i="5"/>
  <c r="U2587" i="5"/>
  <c r="T2587" i="5"/>
  <c r="S2587" i="5"/>
  <c r="R2587" i="5"/>
  <c r="Q2587" i="5"/>
  <c r="P2587" i="5"/>
  <c r="U2519" i="5"/>
  <c r="T2519" i="5"/>
  <c r="S2519" i="5"/>
  <c r="R2519" i="5"/>
  <c r="Q2519" i="5"/>
  <c r="P2519" i="5"/>
  <c r="U2451" i="5"/>
  <c r="T2451" i="5"/>
  <c r="S2451" i="5"/>
  <c r="R2451" i="5"/>
  <c r="Q2451" i="5"/>
  <c r="P2451" i="5"/>
  <c r="U2586" i="5"/>
  <c r="T2586" i="5"/>
  <c r="S2586" i="5"/>
  <c r="R2586" i="5"/>
  <c r="Q2586" i="5"/>
  <c r="P2586" i="5"/>
  <c r="U2518" i="5"/>
  <c r="T2518" i="5"/>
  <c r="S2518" i="5"/>
  <c r="R2518" i="5"/>
  <c r="Q2518" i="5"/>
  <c r="P2518" i="5"/>
  <c r="U2450" i="5"/>
  <c r="T2450" i="5"/>
  <c r="S2450" i="5"/>
  <c r="R2450" i="5"/>
  <c r="Q2450" i="5"/>
  <c r="P2450" i="5"/>
  <c r="U4188" i="5"/>
  <c r="T4188" i="5"/>
  <c r="S4188" i="5"/>
  <c r="R4188" i="5"/>
  <c r="Q4188" i="5"/>
  <c r="P4188" i="5"/>
  <c r="U4089" i="5"/>
  <c r="T4089" i="5"/>
  <c r="S4089" i="5"/>
  <c r="R4089" i="5"/>
  <c r="Q4089" i="5"/>
  <c r="P4089" i="5"/>
  <c r="U3990" i="5"/>
  <c r="T3990" i="5"/>
  <c r="S3990" i="5"/>
  <c r="R3990" i="5"/>
  <c r="Q3990" i="5"/>
  <c r="P3990" i="5"/>
  <c r="U3891" i="5"/>
  <c r="T3891" i="5"/>
  <c r="S3891" i="5"/>
  <c r="R3891" i="5"/>
  <c r="Q3891" i="5"/>
  <c r="P3891" i="5"/>
  <c r="U3792" i="5"/>
  <c r="T3792" i="5"/>
  <c r="S3792" i="5"/>
  <c r="R3792" i="5"/>
  <c r="Q3792" i="5"/>
  <c r="P3792" i="5"/>
  <c r="U3697" i="5"/>
  <c r="T3697" i="5"/>
  <c r="S3697" i="5"/>
  <c r="R3697" i="5"/>
  <c r="Q3697" i="5"/>
  <c r="P3697" i="5"/>
  <c r="U3601" i="5"/>
  <c r="T3601" i="5"/>
  <c r="S3601" i="5"/>
  <c r="R3601" i="5"/>
  <c r="Q3601" i="5"/>
  <c r="P3601" i="5"/>
  <c r="U3503" i="5"/>
  <c r="T3503" i="5"/>
  <c r="S3503" i="5"/>
  <c r="R3503" i="5"/>
  <c r="Q3503" i="5"/>
  <c r="P3503" i="5"/>
  <c r="U3405" i="5"/>
  <c r="T3405" i="5"/>
  <c r="S3405" i="5"/>
  <c r="R3405" i="5"/>
  <c r="Q3405" i="5"/>
  <c r="P3405" i="5"/>
  <c r="U3307" i="5"/>
  <c r="T3307" i="5"/>
  <c r="S3307" i="5"/>
  <c r="R3307" i="5"/>
  <c r="Q3307" i="5"/>
  <c r="P3307" i="5"/>
  <c r="U3209" i="5"/>
  <c r="T3209" i="5"/>
  <c r="S3209" i="5"/>
  <c r="R3209" i="5"/>
  <c r="Q3209" i="5"/>
  <c r="P3209" i="5"/>
  <c r="U3111" i="5"/>
  <c r="T3111" i="5"/>
  <c r="S3111" i="5"/>
  <c r="R3111" i="5"/>
  <c r="Q3111" i="5"/>
  <c r="P3111" i="5"/>
  <c r="U3013" i="5"/>
  <c r="T3013" i="5"/>
  <c r="S3013" i="5"/>
  <c r="R3013" i="5"/>
  <c r="Q3013" i="5"/>
  <c r="P3013" i="5"/>
  <c r="U2915" i="5"/>
  <c r="T2915" i="5"/>
  <c r="S2915" i="5"/>
  <c r="R2915" i="5"/>
  <c r="Q2915" i="5"/>
  <c r="P2915" i="5"/>
  <c r="U2817" i="5"/>
  <c r="T2817" i="5"/>
  <c r="S2817" i="5"/>
  <c r="R2817" i="5"/>
  <c r="Q2817" i="5"/>
  <c r="P2817" i="5"/>
  <c r="U2719" i="5"/>
  <c r="T2719" i="5"/>
  <c r="S2719" i="5"/>
  <c r="R2719" i="5"/>
  <c r="Q2719" i="5"/>
  <c r="P2719" i="5"/>
  <c r="U2585" i="5"/>
  <c r="T2585" i="5"/>
  <c r="S2585" i="5"/>
  <c r="R2585" i="5"/>
  <c r="Q2585" i="5"/>
  <c r="P2585" i="5"/>
  <c r="U2517" i="5"/>
  <c r="T2517" i="5"/>
  <c r="S2517" i="5"/>
  <c r="R2517" i="5"/>
  <c r="Q2517" i="5"/>
  <c r="P2517" i="5"/>
  <c r="U2449" i="5"/>
  <c r="T2449" i="5"/>
  <c r="S2449" i="5"/>
  <c r="R2449" i="5"/>
  <c r="Q2449" i="5"/>
  <c r="P2449" i="5"/>
  <c r="U2584" i="5"/>
  <c r="T2584" i="5"/>
  <c r="S2584" i="5"/>
  <c r="R2584" i="5"/>
  <c r="Q2584" i="5"/>
  <c r="P2584" i="5"/>
  <c r="U2516" i="5"/>
  <c r="T2516" i="5"/>
  <c r="S2516" i="5"/>
  <c r="R2516" i="5"/>
  <c r="Q2516" i="5"/>
  <c r="P2516" i="5"/>
  <c r="U2448" i="5"/>
  <c r="T2448" i="5"/>
  <c r="S2448" i="5"/>
  <c r="R2448" i="5"/>
  <c r="Q2448" i="5"/>
  <c r="P2448" i="5"/>
  <c r="U2583" i="5"/>
  <c r="T2583" i="5"/>
  <c r="S2583" i="5"/>
  <c r="R2583" i="5"/>
  <c r="Q2583" i="5"/>
  <c r="P2583" i="5"/>
  <c r="U2515" i="5"/>
  <c r="T2515" i="5"/>
  <c r="S2515" i="5"/>
  <c r="R2515" i="5"/>
  <c r="Q2515" i="5"/>
  <c r="P2515" i="5"/>
  <c r="U2447" i="5"/>
  <c r="T2447" i="5"/>
  <c r="S2447" i="5"/>
  <c r="R2447" i="5"/>
  <c r="Q2447" i="5"/>
  <c r="P2447" i="5"/>
  <c r="U2582" i="5"/>
  <c r="T2582" i="5"/>
  <c r="S2582" i="5"/>
  <c r="R2582" i="5"/>
  <c r="Q2582" i="5"/>
  <c r="P2582" i="5"/>
  <c r="U2514" i="5"/>
  <c r="T2514" i="5"/>
  <c r="S2514" i="5"/>
  <c r="R2514" i="5"/>
  <c r="Q2514" i="5"/>
  <c r="P2514" i="5"/>
  <c r="U2446" i="5"/>
  <c r="T2446" i="5"/>
  <c r="S2446" i="5"/>
  <c r="R2446" i="5"/>
  <c r="Q2446" i="5"/>
  <c r="P2446" i="5"/>
  <c r="U4187" i="5"/>
  <c r="T4187" i="5"/>
  <c r="S4187" i="5"/>
  <c r="R4187" i="5"/>
  <c r="Q4187" i="5"/>
  <c r="P4187" i="5"/>
  <c r="U4088" i="5"/>
  <c r="T4088" i="5"/>
  <c r="S4088" i="5"/>
  <c r="R4088" i="5"/>
  <c r="Q4088" i="5"/>
  <c r="P4088" i="5"/>
  <c r="U3989" i="5"/>
  <c r="T3989" i="5"/>
  <c r="S3989" i="5"/>
  <c r="R3989" i="5"/>
  <c r="Q3989" i="5"/>
  <c r="P3989" i="5"/>
  <c r="U3890" i="5"/>
  <c r="T3890" i="5"/>
  <c r="S3890" i="5"/>
  <c r="R3890" i="5"/>
  <c r="Q3890" i="5"/>
  <c r="P3890" i="5"/>
  <c r="U3791" i="5"/>
  <c r="T3791" i="5"/>
  <c r="S3791" i="5"/>
  <c r="R3791" i="5"/>
  <c r="Q3791" i="5"/>
  <c r="P3791" i="5"/>
  <c r="U3696" i="5"/>
  <c r="T3696" i="5"/>
  <c r="S3696" i="5"/>
  <c r="R3696" i="5"/>
  <c r="Q3696" i="5"/>
  <c r="P3696" i="5"/>
  <c r="U3600" i="5"/>
  <c r="T3600" i="5"/>
  <c r="S3600" i="5"/>
  <c r="R3600" i="5"/>
  <c r="Q3600" i="5"/>
  <c r="P3600" i="5"/>
  <c r="U3502" i="5"/>
  <c r="T3502" i="5"/>
  <c r="S3502" i="5"/>
  <c r="P3502" i="5"/>
  <c r="O3502" i="5"/>
  <c r="N3502" i="5"/>
  <c r="M3502" i="5"/>
  <c r="L3502" i="5"/>
  <c r="I3502" i="5"/>
  <c r="R3502" i="5" s="1"/>
  <c r="H3502" i="5"/>
  <c r="G3502" i="5"/>
  <c r="Q3502" i="5" s="1"/>
  <c r="F3502" i="5"/>
  <c r="U3404" i="5"/>
  <c r="T3404" i="5"/>
  <c r="S3404" i="5"/>
  <c r="P3404" i="5"/>
  <c r="O3404" i="5"/>
  <c r="N3404" i="5"/>
  <c r="M3404" i="5"/>
  <c r="L3404" i="5"/>
  <c r="I3404" i="5"/>
  <c r="R3404" i="5" s="1"/>
  <c r="H3404" i="5"/>
  <c r="G3404" i="5"/>
  <c r="Q3404" i="5" s="1"/>
  <c r="F3404" i="5"/>
  <c r="U3306" i="5"/>
  <c r="T3306" i="5"/>
  <c r="S3306" i="5"/>
  <c r="P3306" i="5"/>
  <c r="O3306" i="5"/>
  <c r="N3306" i="5"/>
  <c r="M3306" i="5"/>
  <c r="L3306" i="5"/>
  <c r="I3306" i="5"/>
  <c r="R3306" i="5" s="1"/>
  <c r="H3306" i="5"/>
  <c r="G3306" i="5"/>
  <c r="Q3306" i="5" s="1"/>
  <c r="F3306" i="5"/>
  <c r="U3208" i="5"/>
  <c r="T3208" i="5"/>
  <c r="S3208" i="5"/>
  <c r="P3208" i="5"/>
  <c r="O3208" i="5"/>
  <c r="N3208" i="5"/>
  <c r="M3208" i="5"/>
  <c r="L3208" i="5"/>
  <c r="I3208" i="5"/>
  <c r="R3208" i="5" s="1"/>
  <c r="H3208" i="5"/>
  <c r="G3208" i="5"/>
  <c r="Q3208" i="5" s="1"/>
  <c r="F3208" i="5"/>
  <c r="U3110" i="5"/>
  <c r="T3110" i="5"/>
  <c r="S3110" i="5"/>
  <c r="P3110" i="5"/>
  <c r="O3110" i="5"/>
  <c r="N3110" i="5"/>
  <c r="M3110" i="5"/>
  <c r="L3110" i="5"/>
  <c r="I3110" i="5"/>
  <c r="R3110" i="5" s="1"/>
  <c r="H3110" i="5"/>
  <c r="G3110" i="5"/>
  <c r="Q3110" i="5" s="1"/>
  <c r="F3110" i="5"/>
  <c r="U3012" i="5"/>
  <c r="T3012" i="5"/>
  <c r="S3012" i="5"/>
  <c r="P3012" i="5"/>
  <c r="O3012" i="5"/>
  <c r="N3012" i="5"/>
  <c r="M3012" i="5"/>
  <c r="L3012" i="5"/>
  <c r="I3012" i="5"/>
  <c r="R3012" i="5" s="1"/>
  <c r="H3012" i="5"/>
  <c r="G3012" i="5"/>
  <c r="Q3012" i="5" s="1"/>
  <c r="F3012" i="5"/>
  <c r="U2914" i="5"/>
  <c r="T2914" i="5"/>
  <c r="S2914" i="5"/>
  <c r="P2914" i="5"/>
  <c r="O2914" i="5"/>
  <c r="N2914" i="5"/>
  <c r="M2914" i="5"/>
  <c r="L2914" i="5"/>
  <c r="I2914" i="5"/>
  <c r="R2914" i="5" s="1"/>
  <c r="H2914" i="5"/>
  <c r="G2914" i="5"/>
  <c r="Q2914" i="5" s="1"/>
  <c r="F2914" i="5"/>
  <c r="U2816" i="5"/>
  <c r="T2816" i="5"/>
  <c r="S2816" i="5"/>
  <c r="P2816" i="5"/>
  <c r="O2816" i="5"/>
  <c r="N2816" i="5"/>
  <c r="M2816" i="5"/>
  <c r="L2816" i="5"/>
  <c r="I2816" i="5"/>
  <c r="R2816" i="5" s="1"/>
  <c r="H2816" i="5"/>
  <c r="G2816" i="5"/>
  <c r="Q2816" i="5" s="1"/>
  <c r="F2816" i="5"/>
  <c r="U2718" i="5"/>
  <c r="T2718" i="5"/>
  <c r="S2718" i="5"/>
  <c r="P2718" i="5"/>
  <c r="O2718" i="5"/>
  <c r="N2718" i="5"/>
  <c r="M2718" i="5"/>
  <c r="L2718" i="5"/>
  <c r="I2718" i="5"/>
  <c r="R2718" i="5" s="1"/>
  <c r="H2718" i="5"/>
  <c r="G2718" i="5"/>
  <c r="Q2718" i="5" s="1"/>
  <c r="F2718" i="5"/>
  <c r="U2581" i="5"/>
  <c r="T2581" i="5"/>
  <c r="S2581" i="5"/>
  <c r="P2581" i="5"/>
  <c r="O2581" i="5"/>
  <c r="N2581" i="5"/>
  <c r="M2581" i="5"/>
  <c r="L2581" i="5"/>
  <c r="I2581" i="5"/>
  <c r="R2581" i="5" s="1"/>
  <c r="H2581" i="5"/>
  <c r="G2581" i="5"/>
  <c r="Q2581" i="5" s="1"/>
  <c r="F2581" i="5"/>
  <c r="U2513" i="5"/>
  <c r="T2513" i="5"/>
  <c r="S2513" i="5"/>
  <c r="P2513" i="5"/>
  <c r="I2513" i="5"/>
  <c r="R2513" i="5" s="1"/>
  <c r="H2513" i="5"/>
  <c r="G2513" i="5"/>
  <c r="Q2513" i="5" s="1"/>
  <c r="F2513" i="5"/>
  <c r="U2445" i="5"/>
  <c r="T2445" i="5"/>
  <c r="S2445" i="5"/>
  <c r="P2445" i="5"/>
  <c r="I2445" i="5"/>
  <c r="R2445" i="5" s="1"/>
  <c r="H2445" i="5"/>
  <c r="G2445" i="5"/>
  <c r="Q2445" i="5" s="1"/>
  <c r="F2445" i="5"/>
  <c r="U2580" i="5"/>
  <c r="T2580" i="5"/>
  <c r="S2580" i="5"/>
  <c r="R2580" i="5"/>
  <c r="Q2580" i="5"/>
  <c r="P2580" i="5"/>
  <c r="U2512" i="5"/>
  <c r="T2512" i="5"/>
  <c r="S2512" i="5"/>
  <c r="R2512" i="5"/>
  <c r="Q2512" i="5"/>
  <c r="P2512" i="5"/>
  <c r="U2444" i="5"/>
  <c r="T2444" i="5"/>
  <c r="S2444" i="5"/>
  <c r="R2444" i="5"/>
  <c r="Q2444" i="5"/>
  <c r="P2444" i="5"/>
  <c r="U2579" i="5"/>
  <c r="T2579" i="5"/>
  <c r="S2579" i="5"/>
  <c r="R2579" i="5"/>
  <c r="Q2579" i="5"/>
  <c r="P2579" i="5"/>
  <c r="U2511" i="5"/>
  <c r="T2511" i="5"/>
  <c r="S2511" i="5"/>
  <c r="R2511" i="5"/>
  <c r="Q2511" i="5"/>
  <c r="P2511" i="5"/>
  <c r="U2443" i="5"/>
  <c r="T2443" i="5"/>
  <c r="S2443" i="5"/>
  <c r="R2443" i="5"/>
  <c r="Q2443" i="5"/>
  <c r="P2443" i="5"/>
  <c r="U2578" i="5"/>
  <c r="T2578" i="5"/>
  <c r="S2578" i="5"/>
  <c r="R2578" i="5"/>
  <c r="Q2578" i="5"/>
  <c r="P2578" i="5"/>
  <c r="U2510" i="5"/>
  <c r="T2510" i="5"/>
  <c r="S2510" i="5"/>
  <c r="R2510" i="5"/>
  <c r="Q2510" i="5"/>
  <c r="P2510" i="5"/>
  <c r="U2442" i="5"/>
  <c r="T2442" i="5"/>
  <c r="S2442" i="5"/>
  <c r="R2442" i="5"/>
  <c r="Q2442" i="5"/>
  <c r="P2442" i="5"/>
  <c r="U4186" i="5"/>
  <c r="T4186" i="5"/>
  <c r="S4186" i="5"/>
  <c r="R4186" i="5"/>
  <c r="Q4186" i="5"/>
  <c r="P4186" i="5"/>
  <c r="U4087" i="5"/>
  <c r="T4087" i="5"/>
  <c r="S4087" i="5"/>
  <c r="R4087" i="5"/>
  <c r="Q4087" i="5"/>
  <c r="P4087" i="5"/>
  <c r="U3988" i="5"/>
  <c r="T3988" i="5"/>
  <c r="S3988" i="5"/>
  <c r="R3988" i="5"/>
  <c r="Q3988" i="5"/>
  <c r="P3988" i="5"/>
  <c r="U3889" i="5"/>
  <c r="T3889" i="5"/>
  <c r="S3889" i="5"/>
  <c r="R3889" i="5"/>
  <c r="Q3889" i="5"/>
  <c r="P3889" i="5"/>
  <c r="U3790" i="5"/>
  <c r="T3790" i="5"/>
  <c r="S3790" i="5"/>
  <c r="R3790" i="5"/>
  <c r="Q3790" i="5"/>
  <c r="P3790" i="5"/>
  <c r="U3695" i="5"/>
  <c r="T3695" i="5"/>
  <c r="S3695" i="5"/>
  <c r="R3695" i="5"/>
  <c r="Q3695" i="5"/>
  <c r="P3695" i="5"/>
  <c r="U3599" i="5"/>
  <c r="T3599" i="5"/>
  <c r="S3599" i="5"/>
  <c r="R3599" i="5"/>
  <c r="Q3599" i="5"/>
  <c r="P3599" i="5"/>
  <c r="U3501" i="5"/>
  <c r="T3501" i="5"/>
  <c r="S3501" i="5"/>
  <c r="R3501" i="5"/>
  <c r="Q3501" i="5"/>
  <c r="P3501" i="5"/>
  <c r="U3403" i="5"/>
  <c r="T3403" i="5"/>
  <c r="S3403" i="5"/>
  <c r="R3403" i="5"/>
  <c r="Q3403" i="5"/>
  <c r="P3403" i="5"/>
  <c r="U3305" i="5"/>
  <c r="T3305" i="5"/>
  <c r="S3305" i="5"/>
  <c r="R3305" i="5"/>
  <c r="Q3305" i="5"/>
  <c r="P3305" i="5"/>
  <c r="U3207" i="5"/>
  <c r="T3207" i="5"/>
  <c r="S3207" i="5"/>
  <c r="R3207" i="5"/>
  <c r="Q3207" i="5"/>
  <c r="P3207" i="5"/>
  <c r="U3109" i="5"/>
  <c r="T3109" i="5"/>
  <c r="S3109" i="5"/>
  <c r="R3109" i="5"/>
  <c r="Q3109" i="5"/>
  <c r="P3109" i="5"/>
  <c r="U3011" i="5"/>
  <c r="T3011" i="5"/>
  <c r="S3011" i="5"/>
  <c r="R3011" i="5"/>
  <c r="Q3011" i="5"/>
  <c r="P3011" i="5"/>
  <c r="U2913" i="5"/>
  <c r="T2913" i="5"/>
  <c r="S2913" i="5"/>
  <c r="R2913" i="5"/>
  <c r="Q2913" i="5"/>
  <c r="P2913" i="5"/>
  <c r="U2815" i="5"/>
  <c r="T2815" i="5"/>
  <c r="S2815" i="5"/>
  <c r="R2815" i="5"/>
  <c r="Q2815" i="5"/>
  <c r="P2815" i="5"/>
  <c r="U2717" i="5"/>
  <c r="T2717" i="5"/>
  <c r="S2717" i="5"/>
  <c r="R2717" i="5"/>
  <c r="Q2717" i="5"/>
  <c r="P2717" i="5"/>
  <c r="U2577" i="5"/>
  <c r="T2577" i="5"/>
  <c r="S2577" i="5"/>
  <c r="R2577" i="5"/>
  <c r="Q2577" i="5"/>
  <c r="P2577" i="5"/>
  <c r="U2509" i="5"/>
  <c r="T2509" i="5"/>
  <c r="S2509" i="5"/>
  <c r="R2509" i="5"/>
  <c r="Q2509" i="5"/>
  <c r="P2509" i="5"/>
  <c r="U2441" i="5"/>
  <c r="T2441" i="5"/>
  <c r="S2441" i="5"/>
  <c r="R2441" i="5"/>
  <c r="Q2441" i="5"/>
  <c r="P2441" i="5"/>
  <c r="U2576" i="5"/>
  <c r="T2576" i="5"/>
  <c r="S2576" i="5"/>
  <c r="R2576" i="5"/>
  <c r="Q2576" i="5"/>
  <c r="P2576" i="5"/>
  <c r="U2508" i="5"/>
  <c r="T2508" i="5"/>
  <c r="S2508" i="5"/>
  <c r="R2508" i="5"/>
  <c r="Q2508" i="5"/>
  <c r="P2508" i="5"/>
  <c r="U2440" i="5"/>
  <c r="T2440" i="5"/>
  <c r="S2440" i="5"/>
  <c r="R2440" i="5"/>
  <c r="Q2440" i="5"/>
  <c r="P2440" i="5"/>
  <c r="U2575" i="5"/>
  <c r="T2575" i="5"/>
  <c r="S2575" i="5"/>
  <c r="R2575" i="5"/>
  <c r="Q2575" i="5"/>
  <c r="P2575" i="5"/>
  <c r="U2507" i="5"/>
  <c r="T2507" i="5"/>
  <c r="S2507" i="5"/>
  <c r="R2507" i="5"/>
  <c r="Q2507" i="5"/>
  <c r="P2507" i="5"/>
  <c r="U2439" i="5"/>
  <c r="T2439" i="5"/>
  <c r="S2439" i="5"/>
  <c r="R2439" i="5"/>
  <c r="Q2439" i="5"/>
  <c r="P2439" i="5"/>
  <c r="U2574" i="5"/>
  <c r="T2574" i="5"/>
  <c r="S2574" i="5"/>
  <c r="R2574" i="5"/>
  <c r="Q2574" i="5"/>
  <c r="P2574" i="5"/>
  <c r="U2506" i="5"/>
  <c r="T2506" i="5"/>
  <c r="S2506" i="5"/>
  <c r="R2506" i="5"/>
  <c r="Q2506" i="5"/>
  <c r="P2506" i="5"/>
  <c r="U2438" i="5"/>
  <c r="T2438" i="5"/>
  <c r="S2438" i="5"/>
  <c r="R2438" i="5"/>
  <c r="Q2438" i="5"/>
  <c r="P2438" i="5"/>
  <c r="U3694" i="5"/>
  <c r="T3694" i="5"/>
  <c r="S3694" i="5"/>
  <c r="R3694" i="5"/>
  <c r="Q3694" i="5"/>
  <c r="P3694" i="5"/>
  <c r="T1413" i="5"/>
  <c r="S1413" i="5"/>
  <c r="I1413" i="5"/>
  <c r="R1413" i="5" s="1"/>
  <c r="H1413" i="5"/>
  <c r="G1413" i="5"/>
  <c r="Q1413" i="5" s="1"/>
  <c r="F1413" i="5"/>
  <c r="E1413" i="5"/>
  <c r="P1413" i="5" s="1"/>
  <c r="D1413" i="5"/>
  <c r="U1413" i="5" s="1"/>
  <c r="U1412" i="5"/>
  <c r="T1412" i="5"/>
  <c r="S1412" i="5"/>
  <c r="I1412" i="5"/>
  <c r="R1412" i="5" s="1"/>
  <c r="H1412" i="5"/>
  <c r="G1412" i="5"/>
  <c r="Q1412" i="5" s="1"/>
  <c r="F1412" i="5"/>
  <c r="E1412" i="5"/>
  <c r="P1412" i="5" s="1"/>
  <c r="D1412" i="5"/>
  <c r="U1411" i="5"/>
  <c r="T1411" i="5"/>
  <c r="S1411" i="5"/>
  <c r="I1411" i="5"/>
  <c r="R1411" i="5" s="1"/>
  <c r="H1411" i="5"/>
  <c r="G1411" i="5"/>
  <c r="Q1411" i="5" s="1"/>
  <c r="F1411" i="5"/>
  <c r="E1411" i="5"/>
  <c r="P1411" i="5" s="1"/>
  <c r="D1411" i="5"/>
  <c r="U1410" i="5"/>
  <c r="T1410" i="5"/>
  <c r="S1410" i="5"/>
  <c r="I1410" i="5"/>
  <c r="R1410" i="5" s="1"/>
  <c r="H1410" i="5"/>
  <c r="G1410" i="5"/>
  <c r="Q1410" i="5" s="1"/>
  <c r="F1410" i="5"/>
  <c r="E1410" i="5"/>
  <c r="P1410" i="5" s="1"/>
  <c r="D1410" i="5"/>
  <c r="U1409" i="5"/>
  <c r="T1409" i="5"/>
  <c r="S1409" i="5"/>
  <c r="I1409" i="5"/>
  <c r="R1409" i="5" s="1"/>
  <c r="H1409" i="5"/>
  <c r="G1409" i="5"/>
  <c r="Q1409" i="5" s="1"/>
  <c r="F1409" i="5"/>
  <c r="E1409" i="5"/>
  <c r="P1409" i="5" s="1"/>
  <c r="D1409" i="5"/>
  <c r="T1408" i="5"/>
  <c r="S1408" i="5"/>
  <c r="I1408" i="5"/>
  <c r="R1408" i="5" s="1"/>
  <c r="H1408" i="5"/>
  <c r="G1408" i="5"/>
  <c r="Q1408" i="5" s="1"/>
  <c r="F1408" i="5"/>
  <c r="E1408" i="5"/>
  <c r="P1408" i="5" s="1"/>
  <c r="D1408" i="5"/>
  <c r="U1408" i="5" s="1"/>
  <c r="U1407" i="5"/>
  <c r="T1407" i="5"/>
  <c r="S1407" i="5"/>
  <c r="I1407" i="5"/>
  <c r="R1407" i="5" s="1"/>
  <c r="H1407" i="5"/>
  <c r="G1407" i="5"/>
  <c r="Q1407" i="5" s="1"/>
  <c r="F1407" i="5"/>
  <c r="E1407" i="5"/>
  <c r="P1407" i="5" s="1"/>
  <c r="D1407" i="5"/>
  <c r="U1406" i="5"/>
  <c r="T1406" i="5"/>
  <c r="S1406" i="5"/>
  <c r="I1406" i="5"/>
  <c r="R1406" i="5" s="1"/>
  <c r="H1406" i="5"/>
  <c r="G1406" i="5"/>
  <c r="Q1406" i="5" s="1"/>
  <c r="F1406" i="5"/>
  <c r="E1406" i="5"/>
  <c r="P1406" i="5" s="1"/>
  <c r="D1406" i="5"/>
  <c r="U1405" i="5"/>
  <c r="T1405" i="5"/>
  <c r="S1405" i="5"/>
  <c r="I1405" i="5"/>
  <c r="R1405" i="5" s="1"/>
  <c r="H1405" i="5"/>
  <c r="G1405" i="5"/>
  <c r="Q1405" i="5" s="1"/>
  <c r="F1405" i="5"/>
  <c r="E1405" i="5"/>
  <c r="P1405" i="5" s="1"/>
  <c r="D1405" i="5"/>
  <c r="U1404" i="5"/>
  <c r="T1404" i="5"/>
  <c r="S1404" i="5"/>
  <c r="I1404" i="5"/>
  <c r="R1404" i="5" s="1"/>
  <c r="H1404" i="5"/>
  <c r="G1404" i="5"/>
  <c r="Q1404" i="5" s="1"/>
  <c r="F1404" i="5"/>
  <c r="E1404" i="5"/>
  <c r="P1404" i="5" s="1"/>
  <c r="D1404" i="5"/>
  <c r="U1403" i="5"/>
  <c r="T1403" i="5"/>
  <c r="S1403" i="5"/>
  <c r="I1403" i="5"/>
  <c r="R1403" i="5" s="1"/>
  <c r="H1403" i="5"/>
  <c r="G1403" i="5"/>
  <c r="Q1403" i="5" s="1"/>
  <c r="F1403" i="5"/>
  <c r="E1403" i="5"/>
  <c r="P1403" i="5" s="1"/>
  <c r="D1403" i="5"/>
  <c r="U1402" i="5"/>
  <c r="T1402" i="5"/>
  <c r="S1402" i="5"/>
  <c r="I1402" i="5"/>
  <c r="R1402" i="5" s="1"/>
  <c r="H1402" i="5"/>
  <c r="G1402" i="5"/>
  <c r="Q1402" i="5" s="1"/>
  <c r="F1402" i="5"/>
  <c r="E1402" i="5"/>
  <c r="P1402" i="5" s="1"/>
  <c r="D1402" i="5"/>
  <c r="U1401" i="5"/>
  <c r="T1401" i="5"/>
  <c r="S1401" i="5"/>
  <c r="I1401" i="5"/>
  <c r="R1401" i="5" s="1"/>
  <c r="H1401" i="5"/>
  <c r="G1401" i="5"/>
  <c r="Q1401" i="5" s="1"/>
  <c r="F1401" i="5"/>
  <c r="E1401" i="5"/>
  <c r="P1401" i="5" s="1"/>
  <c r="D1401" i="5"/>
  <c r="U1400" i="5"/>
  <c r="T1400" i="5"/>
  <c r="S1400" i="5"/>
  <c r="I1400" i="5"/>
  <c r="R1400" i="5" s="1"/>
  <c r="H1400" i="5"/>
  <c r="G1400" i="5"/>
  <c r="Q1400" i="5" s="1"/>
  <c r="F1400" i="5"/>
  <c r="E1400" i="5"/>
  <c r="P1400" i="5" s="1"/>
  <c r="D1400" i="5"/>
  <c r="U3693" i="5"/>
  <c r="T3693" i="5"/>
  <c r="S3693" i="5"/>
  <c r="R3693" i="5"/>
  <c r="Q3693" i="5"/>
  <c r="P3693" i="5"/>
  <c r="T1399" i="5"/>
  <c r="S1399" i="5"/>
  <c r="I1399" i="5"/>
  <c r="R1399" i="5" s="1"/>
  <c r="H1399" i="5"/>
  <c r="G1399" i="5"/>
  <c r="Q1399" i="5" s="1"/>
  <c r="F1399" i="5"/>
  <c r="E1399" i="5"/>
  <c r="P1399" i="5" s="1"/>
  <c r="D1399" i="5"/>
  <c r="U1399" i="5" s="1"/>
  <c r="U1398" i="5"/>
  <c r="T1398" i="5"/>
  <c r="S1398" i="5"/>
  <c r="I1398" i="5"/>
  <c r="R1398" i="5" s="1"/>
  <c r="H1398" i="5"/>
  <c r="G1398" i="5"/>
  <c r="Q1398" i="5" s="1"/>
  <c r="F1398" i="5"/>
  <c r="E1398" i="5"/>
  <c r="P1398" i="5" s="1"/>
  <c r="D1398" i="5"/>
  <c r="U1397" i="5"/>
  <c r="T1397" i="5"/>
  <c r="S1397" i="5"/>
  <c r="I1397" i="5"/>
  <c r="R1397" i="5" s="1"/>
  <c r="H1397" i="5"/>
  <c r="G1397" i="5"/>
  <c r="Q1397" i="5" s="1"/>
  <c r="F1397" i="5"/>
  <c r="E1397" i="5"/>
  <c r="P1397" i="5" s="1"/>
  <c r="D1397" i="5"/>
  <c r="U1396" i="5"/>
  <c r="T1396" i="5"/>
  <c r="S1396" i="5"/>
  <c r="I1396" i="5"/>
  <c r="R1396" i="5" s="1"/>
  <c r="H1396" i="5"/>
  <c r="G1396" i="5"/>
  <c r="Q1396" i="5" s="1"/>
  <c r="F1396" i="5"/>
  <c r="E1396" i="5"/>
  <c r="P1396" i="5" s="1"/>
  <c r="D1396" i="5"/>
  <c r="U1395" i="5"/>
  <c r="T1395" i="5"/>
  <c r="S1395" i="5"/>
  <c r="I1395" i="5"/>
  <c r="R1395" i="5" s="1"/>
  <c r="H1395" i="5"/>
  <c r="G1395" i="5"/>
  <c r="Q1395" i="5" s="1"/>
  <c r="F1395" i="5"/>
  <c r="E1395" i="5"/>
  <c r="P1395" i="5" s="1"/>
  <c r="D1395" i="5"/>
  <c r="T1394" i="5"/>
  <c r="S1394" i="5"/>
  <c r="I1394" i="5"/>
  <c r="R1394" i="5" s="1"/>
  <c r="H1394" i="5"/>
  <c r="G1394" i="5"/>
  <c r="Q1394" i="5" s="1"/>
  <c r="F1394" i="5"/>
  <c r="E1394" i="5"/>
  <c r="P1394" i="5" s="1"/>
  <c r="D1394" i="5"/>
  <c r="U1394" i="5" s="1"/>
  <c r="U1393" i="5"/>
  <c r="T1393" i="5"/>
  <c r="S1393" i="5"/>
  <c r="I1393" i="5"/>
  <c r="R1393" i="5" s="1"/>
  <c r="H1393" i="5"/>
  <c r="G1393" i="5"/>
  <c r="Q1393" i="5" s="1"/>
  <c r="F1393" i="5"/>
  <c r="E1393" i="5"/>
  <c r="P1393" i="5" s="1"/>
  <c r="D1393" i="5"/>
  <c r="U1392" i="5"/>
  <c r="T1392" i="5"/>
  <c r="S1392" i="5"/>
  <c r="I1392" i="5"/>
  <c r="R1392" i="5" s="1"/>
  <c r="H1392" i="5"/>
  <c r="G1392" i="5"/>
  <c r="Q1392" i="5" s="1"/>
  <c r="F1392" i="5"/>
  <c r="E1392" i="5"/>
  <c r="P1392" i="5" s="1"/>
  <c r="D1392" i="5"/>
  <c r="U1391" i="5"/>
  <c r="T1391" i="5"/>
  <c r="S1391" i="5"/>
  <c r="I1391" i="5"/>
  <c r="R1391" i="5" s="1"/>
  <c r="H1391" i="5"/>
  <c r="G1391" i="5"/>
  <c r="Q1391" i="5" s="1"/>
  <c r="F1391" i="5"/>
  <c r="E1391" i="5"/>
  <c r="P1391" i="5" s="1"/>
  <c r="D1391" i="5"/>
  <c r="U1390" i="5"/>
  <c r="T1390" i="5"/>
  <c r="S1390" i="5"/>
  <c r="I1390" i="5"/>
  <c r="R1390" i="5" s="1"/>
  <c r="H1390" i="5"/>
  <c r="G1390" i="5"/>
  <c r="Q1390" i="5" s="1"/>
  <c r="F1390" i="5"/>
  <c r="E1390" i="5"/>
  <c r="P1390" i="5" s="1"/>
  <c r="D1390" i="5"/>
  <c r="U1389" i="5"/>
  <c r="T1389" i="5"/>
  <c r="S1389" i="5"/>
  <c r="I1389" i="5"/>
  <c r="R1389" i="5" s="1"/>
  <c r="H1389" i="5"/>
  <c r="G1389" i="5"/>
  <c r="Q1389" i="5" s="1"/>
  <c r="F1389" i="5"/>
  <c r="E1389" i="5"/>
  <c r="P1389" i="5" s="1"/>
  <c r="D1389" i="5"/>
  <c r="U1388" i="5"/>
  <c r="T1388" i="5"/>
  <c r="S1388" i="5"/>
  <c r="I1388" i="5"/>
  <c r="R1388" i="5" s="1"/>
  <c r="H1388" i="5"/>
  <c r="G1388" i="5"/>
  <c r="Q1388" i="5" s="1"/>
  <c r="F1388" i="5"/>
  <c r="E1388" i="5"/>
  <c r="P1388" i="5" s="1"/>
  <c r="D1388" i="5"/>
  <c r="U1387" i="5"/>
  <c r="T1387" i="5"/>
  <c r="S1387" i="5"/>
  <c r="I1387" i="5"/>
  <c r="R1387" i="5" s="1"/>
  <c r="H1387" i="5"/>
  <c r="G1387" i="5"/>
  <c r="Q1387" i="5" s="1"/>
  <c r="F1387" i="5"/>
  <c r="E1387" i="5"/>
  <c r="P1387" i="5" s="1"/>
  <c r="D1387" i="5"/>
  <c r="U1386" i="5"/>
  <c r="T1386" i="5"/>
  <c r="S1386" i="5"/>
  <c r="I1386" i="5"/>
  <c r="R1386" i="5" s="1"/>
  <c r="H1386" i="5"/>
  <c r="G1386" i="5"/>
  <c r="Q1386" i="5" s="1"/>
  <c r="F1386" i="5"/>
  <c r="E1386" i="5"/>
  <c r="P1386" i="5" s="1"/>
  <c r="D1386" i="5"/>
  <c r="U3692" i="5"/>
  <c r="T3692" i="5"/>
  <c r="S3692" i="5"/>
  <c r="R3692" i="5"/>
  <c r="Q3692" i="5"/>
  <c r="P3692" i="5"/>
  <c r="T1385" i="5"/>
  <c r="S1385" i="5"/>
  <c r="I1385" i="5"/>
  <c r="R1385" i="5" s="1"/>
  <c r="H1385" i="5"/>
  <c r="G1385" i="5"/>
  <c r="Q1385" i="5" s="1"/>
  <c r="F1385" i="5"/>
  <c r="E1385" i="5"/>
  <c r="P1385" i="5" s="1"/>
  <c r="D1385" i="5"/>
  <c r="U1385" i="5" s="1"/>
  <c r="U1384" i="5"/>
  <c r="T1384" i="5"/>
  <c r="S1384" i="5"/>
  <c r="I1384" i="5"/>
  <c r="R1384" i="5" s="1"/>
  <c r="H1384" i="5"/>
  <c r="G1384" i="5"/>
  <c r="Q1384" i="5" s="1"/>
  <c r="F1384" i="5"/>
  <c r="E1384" i="5"/>
  <c r="P1384" i="5" s="1"/>
  <c r="D1384" i="5"/>
  <c r="U1383" i="5"/>
  <c r="T1383" i="5"/>
  <c r="S1383" i="5"/>
  <c r="I1383" i="5"/>
  <c r="R1383" i="5" s="1"/>
  <c r="H1383" i="5"/>
  <c r="G1383" i="5"/>
  <c r="Q1383" i="5" s="1"/>
  <c r="F1383" i="5"/>
  <c r="E1383" i="5"/>
  <c r="P1383" i="5" s="1"/>
  <c r="D1383" i="5"/>
  <c r="U1382" i="5"/>
  <c r="T1382" i="5"/>
  <c r="S1382" i="5"/>
  <c r="I1382" i="5"/>
  <c r="R1382" i="5" s="1"/>
  <c r="H1382" i="5"/>
  <c r="G1382" i="5"/>
  <c r="Q1382" i="5" s="1"/>
  <c r="F1382" i="5"/>
  <c r="E1382" i="5"/>
  <c r="P1382" i="5" s="1"/>
  <c r="D1382" i="5"/>
  <c r="U1381" i="5"/>
  <c r="T1381" i="5"/>
  <c r="S1381" i="5"/>
  <c r="I1381" i="5"/>
  <c r="R1381" i="5" s="1"/>
  <c r="H1381" i="5"/>
  <c r="G1381" i="5"/>
  <c r="Q1381" i="5" s="1"/>
  <c r="F1381" i="5"/>
  <c r="E1381" i="5"/>
  <c r="P1381" i="5" s="1"/>
  <c r="D1381" i="5"/>
  <c r="T1380" i="5"/>
  <c r="S1380" i="5"/>
  <c r="I1380" i="5"/>
  <c r="R1380" i="5" s="1"/>
  <c r="H1380" i="5"/>
  <c r="G1380" i="5"/>
  <c r="Q1380" i="5" s="1"/>
  <c r="F1380" i="5"/>
  <c r="E1380" i="5"/>
  <c r="P1380" i="5" s="1"/>
  <c r="D1380" i="5"/>
  <c r="U1380" i="5" s="1"/>
  <c r="U1379" i="5"/>
  <c r="T1379" i="5"/>
  <c r="S1379" i="5"/>
  <c r="I1379" i="5"/>
  <c r="R1379" i="5" s="1"/>
  <c r="H1379" i="5"/>
  <c r="G1379" i="5"/>
  <c r="Q1379" i="5" s="1"/>
  <c r="F1379" i="5"/>
  <c r="E1379" i="5"/>
  <c r="P1379" i="5" s="1"/>
  <c r="D1379" i="5"/>
  <c r="U1378" i="5"/>
  <c r="T1378" i="5"/>
  <c r="S1378" i="5"/>
  <c r="I1378" i="5"/>
  <c r="R1378" i="5" s="1"/>
  <c r="H1378" i="5"/>
  <c r="G1378" i="5"/>
  <c r="Q1378" i="5" s="1"/>
  <c r="F1378" i="5"/>
  <c r="E1378" i="5"/>
  <c r="P1378" i="5" s="1"/>
  <c r="D1378" i="5"/>
  <c r="U1377" i="5"/>
  <c r="T1377" i="5"/>
  <c r="S1377" i="5"/>
  <c r="I1377" i="5"/>
  <c r="R1377" i="5" s="1"/>
  <c r="H1377" i="5"/>
  <c r="G1377" i="5"/>
  <c r="Q1377" i="5" s="1"/>
  <c r="F1377" i="5"/>
  <c r="E1377" i="5"/>
  <c r="P1377" i="5" s="1"/>
  <c r="D1377" i="5"/>
  <c r="U1376" i="5"/>
  <c r="T1376" i="5"/>
  <c r="S1376" i="5"/>
  <c r="I1376" i="5"/>
  <c r="R1376" i="5" s="1"/>
  <c r="H1376" i="5"/>
  <c r="G1376" i="5"/>
  <c r="Q1376" i="5" s="1"/>
  <c r="F1376" i="5"/>
  <c r="E1376" i="5"/>
  <c r="P1376" i="5" s="1"/>
  <c r="D1376" i="5"/>
  <c r="U1375" i="5"/>
  <c r="T1375" i="5"/>
  <c r="S1375" i="5"/>
  <c r="I1375" i="5"/>
  <c r="R1375" i="5" s="1"/>
  <c r="H1375" i="5"/>
  <c r="G1375" i="5"/>
  <c r="Q1375" i="5" s="1"/>
  <c r="F1375" i="5"/>
  <c r="E1375" i="5"/>
  <c r="P1375" i="5" s="1"/>
  <c r="D1375" i="5"/>
  <c r="U1374" i="5"/>
  <c r="T1374" i="5"/>
  <c r="S1374" i="5"/>
  <c r="I1374" i="5"/>
  <c r="R1374" i="5" s="1"/>
  <c r="H1374" i="5"/>
  <c r="G1374" i="5"/>
  <c r="Q1374" i="5" s="1"/>
  <c r="F1374" i="5"/>
  <c r="E1374" i="5"/>
  <c r="P1374" i="5" s="1"/>
  <c r="D1374" i="5"/>
  <c r="U1373" i="5"/>
  <c r="T1373" i="5"/>
  <c r="S1373" i="5"/>
  <c r="I1373" i="5"/>
  <c r="R1373" i="5" s="1"/>
  <c r="H1373" i="5"/>
  <c r="G1373" i="5"/>
  <c r="Q1373" i="5" s="1"/>
  <c r="F1373" i="5"/>
  <c r="E1373" i="5"/>
  <c r="P1373" i="5" s="1"/>
  <c r="D1373" i="5"/>
  <c r="U1372" i="5"/>
  <c r="T1372" i="5"/>
  <c r="S1372" i="5"/>
  <c r="I1372" i="5"/>
  <c r="R1372" i="5" s="1"/>
  <c r="H1372" i="5"/>
  <c r="G1372" i="5"/>
  <c r="Q1372" i="5" s="1"/>
  <c r="F1372" i="5"/>
  <c r="E1372" i="5"/>
  <c r="P1372" i="5" s="1"/>
  <c r="D1372" i="5"/>
  <c r="U3691" i="5"/>
  <c r="T3691" i="5"/>
  <c r="S3691" i="5"/>
  <c r="R3691" i="5"/>
  <c r="Q3691" i="5"/>
  <c r="P3691" i="5"/>
  <c r="T1371" i="5"/>
  <c r="S1371" i="5"/>
  <c r="I1371" i="5"/>
  <c r="R1371" i="5" s="1"/>
  <c r="H1371" i="5"/>
  <c r="G1371" i="5"/>
  <c r="Q1371" i="5" s="1"/>
  <c r="F1371" i="5"/>
  <c r="E1371" i="5"/>
  <c r="P1371" i="5" s="1"/>
  <c r="D1371" i="5"/>
  <c r="U1371" i="5" s="1"/>
  <c r="U1370" i="5"/>
  <c r="T1370" i="5"/>
  <c r="S1370" i="5"/>
  <c r="I1370" i="5"/>
  <c r="R1370" i="5" s="1"/>
  <c r="H1370" i="5"/>
  <c r="G1370" i="5"/>
  <c r="Q1370" i="5" s="1"/>
  <c r="F1370" i="5"/>
  <c r="E1370" i="5"/>
  <c r="P1370" i="5" s="1"/>
  <c r="D1370" i="5"/>
  <c r="U1369" i="5"/>
  <c r="T1369" i="5"/>
  <c r="S1369" i="5"/>
  <c r="I1369" i="5"/>
  <c r="R1369" i="5" s="1"/>
  <c r="H1369" i="5"/>
  <c r="G1369" i="5"/>
  <c r="Q1369" i="5" s="1"/>
  <c r="F1369" i="5"/>
  <c r="E1369" i="5"/>
  <c r="P1369" i="5" s="1"/>
  <c r="D1369" i="5"/>
  <c r="U1368" i="5"/>
  <c r="T1368" i="5"/>
  <c r="S1368" i="5"/>
  <c r="I1368" i="5"/>
  <c r="R1368" i="5" s="1"/>
  <c r="H1368" i="5"/>
  <c r="G1368" i="5"/>
  <c r="Q1368" i="5" s="1"/>
  <c r="F1368" i="5"/>
  <c r="E1368" i="5"/>
  <c r="P1368" i="5" s="1"/>
  <c r="D1368" i="5"/>
  <c r="U1367" i="5"/>
  <c r="T1367" i="5"/>
  <c r="S1367" i="5"/>
  <c r="I1367" i="5"/>
  <c r="R1367" i="5" s="1"/>
  <c r="H1367" i="5"/>
  <c r="G1367" i="5"/>
  <c r="Q1367" i="5" s="1"/>
  <c r="F1367" i="5"/>
  <c r="E1367" i="5"/>
  <c r="P1367" i="5" s="1"/>
  <c r="D1367" i="5"/>
  <c r="T1366" i="5"/>
  <c r="S1366" i="5"/>
  <c r="I1366" i="5"/>
  <c r="R1366" i="5" s="1"/>
  <c r="H1366" i="5"/>
  <c r="G1366" i="5"/>
  <c r="Q1366" i="5" s="1"/>
  <c r="F1366" i="5"/>
  <c r="E1366" i="5"/>
  <c r="P1366" i="5" s="1"/>
  <c r="D1366" i="5"/>
  <c r="U1366" i="5" s="1"/>
  <c r="U1365" i="5"/>
  <c r="T1365" i="5"/>
  <c r="S1365" i="5"/>
  <c r="I1365" i="5"/>
  <c r="R1365" i="5" s="1"/>
  <c r="H1365" i="5"/>
  <c r="G1365" i="5"/>
  <c r="Q1365" i="5" s="1"/>
  <c r="F1365" i="5"/>
  <c r="E1365" i="5"/>
  <c r="P1365" i="5" s="1"/>
  <c r="D1365" i="5"/>
  <c r="U1364" i="5"/>
  <c r="T1364" i="5"/>
  <c r="S1364" i="5"/>
  <c r="I1364" i="5"/>
  <c r="R1364" i="5" s="1"/>
  <c r="H1364" i="5"/>
  <c r="G1364" i="5"/>
  <c r="Q1364" i="5" s="1"/>
  <c r="F1364" i="5"/>
  <c r="E1364" i="5"/>
  <c r="P1364" i="5" s="1"/>
  <c r="D1364" i="5"/>
  <c r="U1363" i="5"/>
  <c r="T1363" i="5"/>
  <c r="S1363" i="5"/>
  <c r="I1363" i="5"/>
  <c r="R1363" i="5" s="1"/>
  <c r="H1363" i="5"/>
  <c r="G1363" i="5"/>
  <c r="Q1363" i="5" s="1"/>
  <c r="F1363" i="5"/>
  <c r="E1363" i="5"/>
  <c r="P1363" i="5" s="1"/>
  <c r="D1363" i="5"/>
  <c r="U1362" i="5"/>
  <c r="T1362" i="5"/>
  <c r="S1362" i="5"/>
  <c r="I1362" i="5"/>
  <c r="R1362" i="5" s="1"/>
  <c r="H1362" i="5"/>
  <c r="G1362" i="5"/>
  <c r="Q1362" i="5" s="1"/>
  <c r="F1362" i="5"/>
  <c r="E1362" i="5"/>
  <c r="P1362" i="5" s="1"/>
  <c r="D1362" i="5"/>
  <c r="U1361" i="5"/>
  <c r="T1361" i="5"/>
  <c r="S1361" i="5"/>
  <c r="I1361" i="5"/>
  <c r="R1361" i="5" s="1"/>
  <c r="H1361" i="5"/>
  <c r="G1361" i="5"/>
  <c r="Q1361" i="5" s="1"/>
  <c r="F1361" i="5"/>
  <c r="E1361" i="5"/>
  <c r="P1361" i="5" s="1"/>
  <c r="D1361" i="5"/>
  <c r="U1360" i="5"/>
  <c r="T1360" i="5"/>
  <c r="S1360" i="5"/>
  <c r="I1360" i="5"/>
  <c r="R1360" i="5" s="1"/>
  <c r="H1360" i="5"/>
  <c r="G1360" i="5"/>
  <c r="Q1360" i="5" s="1"/>
  <c r="F1360" i="5"/>
  <c r="E1360" i="5"/>
  <c r="P1360" i="5" s="1"/>
  <c r="D1360" i="5"/>
  <c r="U1359" i="5"/>
  <c r="T1359" i="5"/>
  <c r="S1359" i="5"/>
  <c r="I1359" i="5"/>
  <c r="R1359" i="5" s="1"/>
  <c r="H1359" i="5"/>
  <c r="G1359" i="5"/>
  <c r="Q1359" i="5" s="1"/>
  <c r="F1359" i="5"/>
  <c r="E1359" i="5"/>
  <c r="P1359" i="5" s="1"/>
  <c r="D1359" i="5"/>
  <c r="U1358" i="5"/>
  <c r="T1358" i="5"/>
  <c r="S1358" i="5"/>
  <c r="I1358" i="5"/>
  <c r="R1358" i="5" s="1"/>
  <c r="H1358" i="5"/>
  <c r="G1358" i="5"/>
  <c r="Q1358" i="5" s="1"/>
  <c r="F1358" i="5"/>
  <c r="E1358" i="5"/>
  <c r="P1358" i="5" s="1"/>
  <c r="D1358" i="5"/>
  <c r="U3598" i="5"/>
  <c r="T3598" i="5"/>
  <c r="S3598" i="5"/>
  <c r="R3598" i="5"/>
  <c r="Q3598" i="5"/>
  <c r="P3598" i="5"/>
  <c r="T1347" i="5"/>
  <c r="S1347" i="5"/>
  <c r="I1347" i="5"/>
  <c r="R1347" i="5" s="1"/>
  <c r="H1347" i="5"/>
  <c r="G1347" i="5"/>
  <c r="Q1347" i="5" s="1"/>
  <c r="F1347" i="5"/>
  <c r="E1347" i="5"/>
  <c r="P1347" i="5" s="1"/>
  <c r="D1347" i="5"/>
  <c r="U1347" i="5" s="1"/>
  <c r="T1346" i="5"/>
  <c r="S1346" i="5"/>
  <c r="I1346" i="5"/>
  <c r="R1346" i="5" s="1"/>
  <c r="H1346" i="5"/>
  <c r="G1346" i="5"/>
  <c r="Q1346" i="5" s="1"/>
  <c r="F1346" i="5"/>
  <c r="E1346" i="5"/>
  <c r="P1346" i="5" s="1"/>
  <c r="D1346" i="5"/>
  <c r="U1346" i="5" s="1"/>
  <c r="U1345" i="5"/>
  <c r="T1345" i="5"/>
  <c r="S1345" i="5"/>
  <c r="I1345" i="5"/>
  <c r="R1345" i="5" s="1"/>
  <c r="H1345" i="5"/>
  <c r="G1345" i="5"/>
  <c r="Q1345" i="5" s="1"/>
  <c r="F1345" i="5"/>
  <c r="E1345" i="5"/>
  <c r="P1345" i="5" s="1"/>
  <c r="D1345" i="5"/>
  <c r="U1344" i="5"/>
  <c r="T1344" i="5"/>
  <c r="S1344" i="5"/>
  <c r="I1344" i="5"/>
  <c r="R1344" i="5" s="1"/>
  <c r="H1344" i="5"/>
  <c r="G1344" i="5"/>
  <c r="Q1344" i="5" s="1"/>
  <c r="F1344" i="5"/>
  <c r="E1344" i="5"/>
  <c r="P1344" i="5" s="1"/>
  <c r="D1344" i="5"/>
  <c r="U1343" i="5"/>
  <c r="T1343" i="5"/>
  <c r="S1343" i="5"/>
  <c r="I1343" i="5"/>
  <c r="R1343" i="5" s="1"/>
  <c r="H1343" i="5"/>
  <c r="G1343" i="5"/>
  <c r="Q1343" i="5" s="1"/>
  <c r="F1343" i="5"/>
  <c r="E1343" i="5"/>
  <c r="P1343" i="5" s="1"/>
  <c r="D1343" i="5"/>
  <c r="U1342" i="5"/>
  <c r="T1342" i="5"/>
  <c r="S1342" i="5"/>
  <c r="I1342" i="5"/>
  <c r="R1342" i="5" s="1"/>
  <c r="H1342" i="5"/>
  <c r="G1342" i="5"/>
  <c r="Q1342" i="5" s="1"/>
  <c r="F1342" i="5"/>
  <c r="E1342" i="5"/>
  <c r="P1342" i="5" s="1"/>
  <c r="D1342" i="5"/>
  <c r="U1341" i="5"/>
  <c r="T1341" i="5"/>
  <c r="S1341" i="5"/>
  <c r="I1341" i="5"/>
  <c r="R1341" i="5" s="1"/>
  <c r="H1341" i="5"/>
  <c r="G1341" i="5"/>
  <c r="Q1341" i="5" s="1"/>
  <c r="F1341" i="5"/>
  <c r="E1341" i="5"/>
  <c r="P1341" i="5" s="1"/>
  <c r="D1341" i="5"/>
  <c r="U1340" i="5"/>
  <c r="T1340" i="5"/>
  <c r="S1340" i="5"/>
  <c r="I1340" i="5"/>
  <c r="R1340" i="5" s="1"/>
  <c r="H1340" i="5"/>
  <c r="G1340" i="5"/>
  <c r="Q1340" i="5" s="1"/>
  <c r="F1340" i="5"/>
  <c r="E1340" i="5"/>
  <c r="P1340" i="5" s="1"/>
  <c r="D1340" i="5"/>
  <c r="U1339" i="5"/>
  <c r="T1339" i="5"/>
  <c r="S1339" i="5"/>
  <c r="I1339" i="5"/>
  <c r="R1339" i="5" s="1"/>
  <c r="H1339" i="5"/>
  <c r="G1339" i="5"/>
  <c r="Q1339" i="5" s="1"/>
  <c r="F1339" i="5"/>
  <c r="E1339" i="5"/>
  <c r="P1339" i="5" s="1"/>
  <c r="D1339" i="5"/>
  <c r="U1338" i="5"/>
  <c r="T1338" i="5"/>
  <c r="S1338" i="5"/>
  <c r="I1338" i="5"/>
  <c r="R1338" i="5" s="1"/>
  <c r="H1338" i="5"/>
  <c r="G1338" i="5"/>
  <c r="Q1338" i="5" s="1"/>
  <c r="F1338" i="5"/>
  <c r="E1338" i="5"/>
  <c r="D1338" i="5"/>
  <c r="U1337" i="5"/>
  <c r="T1337" i="5"/>
  <c r="S1337" i="5"/>
  <c r="I1337" i="5"/>
  <c r="R1337" i="5" s="1"/>
  <c r="H1337" i="5"/>
  <c r="G1337" i="5"/>
  <c r="Q1337" i="5" s="1"/>
  <c r="F1337" i="5"/>
  <c r="E1337" i="5"/>
  <c r="P1337" i="5" s="1"/>
  <c r="D1337" i="5"/>
  <c r="U1336" i="5"/>
  <c r="T1336" i="5"/>
  <c r="S1336" i="5"/>
  <c r="I1336" i="5"/>
  <c r="R1336" i="5" s="1"/>
  <c r="H1336" i="5"/>
  <c r="G1336" i="5"/>
  <c r="Q1336" i="5" s="1"/>
  <c r="F1336" i="5"/>
  <c r="E1336" i="5"/>
  <c r="P1336" i="5" s="1"/>
  <c r="D1336" i="5"/>
  <c r="U1335" i="5"/>
  <c r="T1335" i="5"/>
  <c r="S1335" i="5"/>
  <c r="I1335" i="5"/>
  <c r="R1335" i="5" s="1"/>
  <c r="H1335" i="5"/>
  <c r="G1335" i="5"/>
  <c r="Q1335" i="5" s="1"/>
  <c r="F1335" i="5"/>
  <c r="E1335" i="5"/>
  <c r="P1335" i="5" s="1"/>
  <c r="D1335" i="5"/>
  <c r="U1334" i="5"/>
  <c r="T1334" i="5"/>
  <c r="S1334" i="5"/>
  <c r="I1334" i="5"/>
  <c r="R1334" i="5" s="1"/>
  <c r="H1334" i="5"/>
  <c r="G1334" i="5"/>
  <c r="Q1334" i="5" s="1"/>
  <c r="F1334" i="5"/>
  <c r="E1334" i="5"/>
  <c r="P1334" i="5" s="1"/>
  <c r="D1334" i="5"/>
  <c r="U1333" i="5"/>
  <c r="T1333" i="5"/>
  <c r="S1333" i="5"/>
  <c r="I1333" i="5"/>
  <c r="R1333" i="5" s="1"/>
  <c r="H1333" i="5"/>
  <c r="G1333" i="5"/>
  <c r="Q1333" i="5" s="1"/>
  <c r="F1333" i="5"/>
  <c r="E1333" i="5"/>
  <c r="P1333" i="5" s="1"/>
  <c r="D1333" i="5"/>
  <c r="U3597" i="5"/>
  <c r="T3597" i="5"/>
  <c r="S3597" i="5"/>
  <c r="R3597" i="5"/>
  <c r="Q3597" i="5"/>
  <c r="T1332" i="5"/>
  <c r="S1332" i="5"/>
  <c r="I1332" i="5"/>
  <c r="R1332" i="5" s="1"/>
  <c r="H1332" i="5"/>
  <c r="G1332" i="5"/>
  <c r="Q1332" i="5" s="1"/>
  <c r="F1332" i="5"/>
  <c r="E1332" i="5"/>
  <c r="P1332" i="5" s="1"/>
  <c r="D1332" i="5"/>
  <c r="U1332" i="5" s="1"/>
  <c r="T1331" i="5"/>
  <c r="S1331" i="5"/>
  <c r="I1331" i="5"/>
  <c r="R1331" i="5" s="1"/>
  <c r="H1331" i="5"/>
  <c r="G1331" i="5"/>
  <c r="Q1331" i="5" s="1"/>
  <c r="F1331" i="5"/>
  <c r="E1331" i="5"/>
  <c r="P1331" i="5" s="1"/>
  <c r="D1331" i="5"/>
  <c r="U1331" i="5" s="1"/>
  <c r="U1330" i="5"/>
  <c r="T1330" i="5"/>
  <c r="S1330" i="5"/>
  <c r="I1330" i="5"/>
  <c r="R1330" i="5" s="1"/>
  <c r="H1330" i="5"/>
  <c r="G1330" i="5"/>
  <c r="Q1330" i="5" s="1"/>
  <c r="F1330" i="5"/>
  <c r="E1330" i="5"/>
  <c r="P1330" i="5" s="1"/>
  <c r="D1330" i="5"/>
  <c r="U1329" i="5"/>
  <c r="T1329" i="5"/>
  <c r="S1329" i="5"/>
  <c r="I1329" i="5"/>
  <c r="R1329" i="5" s="1"/>
  <c r="H1329" i="5"/>
  <c r="G1329" i="5"/>
  <c r="Q1329" i="5" s="1"/>
  <c r="F1329" i="5"/>
  <c r="E1329" i="5"/>
  <c r="P1329" i="5" s="1"/>
  <c r="D1329" i="5"/>
  <c r="U1328" i="5"/>
  <c r="T1328" i="5"/>
  <c r="S1328" i="5"/>
  <c r="I1328" i="5"/>
  <c r="R1328" i="5" s="1"/>
  <c r="H1328" i="5"/>
  <c r="G1328" i="5"/>
  <c r="Q1328" i="5" s="1"/>
  <c r="F1328" i="5"/>
  <c r="E1328" i="5"/>
  <c r="P1328" i="5" s="1"/>
  <c r="D1328" i="5"/>
  <c r="U1327" i="5"/>
  <c r="T1327" i="5"/>
  <c r="S1327" i="5"/>
  <c r="I1327" i="5"/>
  <c r="R1327" i="5" s="1"/>
  <c r="H1327" i="5"/>
  <c r="G1327" i="5"/>
  <c r="Q1327" i="5" s="1"/>
  <c r="F1327" i="5"/>
  <c r="E1327" i="5"/>
  <c r="P1327" i="5" s="1"/>
  <c r="D1327" i="5"/>
  <c r="U1326" i="5"/>
  <c r="T1326" i="5"/>
  <c r="S1326" i="5"/>
  <c r="I1326" i="5"/>
  <c r="R1326" i="5" s="1"/>
  <c r="H1326" i="5"/>
  <c r="G1326" i="5"/>
  <c r="Q1326" i="5" s="1"/>
  <c r="F1326" i="5"/>
  <c r="E1326" i="5"/>
  <c r="P1326" i="5" s="1"/>
  <c r="D1326" i="5"/>
  <c r="U1325" i="5"/>
  <c r="T1325" i="5"/>
  <c r="S1325" i="5"/>
  <c r="I1325" i="5"/>
  <c r="R1325" i="5" s="1"/>
  <c r="H1325" i="5"/>
  <c r="G1325" i="5"/>
  <c r="Q1325" i="5" s="1"/>
  <c r="F1325" i="5"/>
  <c r="E1325" i="5"/>
  <c r="P1325" i="5" s="1"/>
  <c r="D1325" i="5"/>
  <c r="U1324" i="5"/>
  <c r="T1324" i="5"/>
  <c r="S1324" i="5"/>
  <c r="I1324" i="5"/>
  <c r="R1324" i="5" s="1"/>
  <c r="H1324" i="5"/>
  <c r="G1324" i="5"/>
  <c r="Q1324" i="5" s="1"/>
  <c r="F1324" i="5"/>
  <c r="E1324" i="5"/>
  <c r="P1324" i="5" s="1"/>
  <c r="D1324" i="5"/>
  <c r="U1323" i="5"/>
  <c r="T1323" i="5"/>
  <c r="S1323" i="5"/>
  <c r="I1323" i="5"/>
  <c r="R1323" i="5" s="1"/>
  <c r="H1323" i="5"/>
  <c r="G1323" i="5"/>
  <c r="Q1323" i="5" s="1"/>
  <c r="F1323" i="5"/>
  <c r="E1323" i="5"/>
  <c r="P1323" i="5" s="1"/>
  <c r="D1323" i="5"/>
  <c r="U1322" i="5"/>
  <c r="T1322" i="5"/>
  <c r="S1322" i="5"/>
  <c r="I1322" i="5"/>
  <c r="R1322" i="5" s="1"/>
  <c r="H1322" i="5"/>
  <c r="G1322" i="5"/>
  <c r="Q1322" i="5" s="1"/>
  <c r="F1322" i="5"/>
  <c r="E1322" i="5"/>
  <c r="P1322" i="5" s="1"/>
  <c r="D1322" i="5"/>
  <c r="U1321" i="5"/>
  <c r="T1321" i="5"/>
  <c r="S1321" i="5"/>
  <c r="I1321" i="5"/>
  <c r="R1321" i="5" s="1"/>
  <c r="H1321" i="5"/>
  <c r="G1321" i="5"/>
  <c r="Q1321" i="5" s="1"/>
  <c r="F1321" i="5"/>
  <c r="E1321" i="5"/>
  <c r="P1321" i="5" s="1"/>
  <c r="D1321" i="5"/>
  <c r="U1320" i="5"/>
  <c r="T1320" i="5"/>
  <c r="S1320" i="5"/>
  <c r="I1320" i="5"/>
  <c r="R1320" i="5" s="1"/>
  <c r="H1320" i="5"/>
  <c r="G1320" i="5"/>
  <c r="Q1320" i="5" s="1"/>
  <c r="F1320" i="5"/>
  <c r="E1320" i="5"/>
  <c r="P1320" i="5" s="1"/>
  <c r="D1320" i="5"/>
  <c r="U1319" i="5"/>
  <c r="T1319" i="5"/>
  <c r="S1319" i="5"/>
  <c r="I1319" i="5"/>
  <c r="R1319" i="5" s="1"/>
  <c r="H1319" i="5"/>
  <c r="G1319" i="5"/>
  <c r="Q1319" i="5" s="1"/>
  <c r="F1319" i="5"/>
  <c r="E1319" i="5"/>
  <c r="P1319" i="5" s="1"/>
  <c r="D1319" i="5"/>
  <c r="U1318" i="5"/>
  <c r="T1318" i="5"/>
  <c r="S1318" i="5"/>
  <c r="I1318" i="5"/>
  <c r="R1318" i="5" s="1"/>
  <c r="H1318" i="5"/>
  <c r="G1318" i="5"/>
  <c r="Q1318" i="5" s="1"/>
  <c r="F1318" i="5"/>
  <c r="E1318" i="5"/>
  <c r="P1318" i="5" s="1"/>
  <c r="D1318" i="5"/>
  <c r="U3596" i="5"/>
  <c r="T3596" i="5"/>
  <c r="S3596" i="5"/>
  <c r="R3596" i="5"/>
  <c r="Q3596" i="5"/>
  <c r="P3596" i="5"/>
  <c r="T1317" i="5"/>
  <c r="S1317" i="5"/>
  <c r="I1317" i="5"/>
  <c r="R1317" i="5" s="1"/>
  <c r="H1317" i="5"/>
  <c r="G1317" i="5"/>
  <c r="Q1317" i="5" s="1"/>
  <c r="F1317" i="5"/>
  <c r="E1317" i="5"/>
  <c r="P1317" i="5" s="1"/>
  <c r="D1317" i="5"/>
  <c r="U1317" i="5" s="1"/>
  <c r="T1316" i="5"/>
  <c r="S1316" i="5"/>
  <c r="I1316" i="5"/>
  <c r="R1316" i="5" s="1"/>
  <c r="H1316" i="5"/>
  <c r="G1316" i="5"/>
  <c r="Q1316" i="5" s="1"/>
  <c r="F1316" i="5"/>
  <c r="E1316" i="5"/>
  <c r="P1316" i="5" s="1"/>
  <c r="D1316" i="5"/>
  <c r="U1316" i="5" s="1"/>
  <c r="U1315" i="5"/>
  <c r="T1315" i="5"/>
  <c r="S1315" i="5"/>
  <c r="I1315" i="5"/>
  <c r="R1315" i="5" s="1"/>
  <c r="H1315" i="5"/>
  <c r="G1315" i="5"/>
  <c r="Q1315" i="5" s="1"/>
  <c r="F1315" i="5"/>
  <c r="E1315" i="5"/>
  <c r="P1315" i="5" s="1"/>
  <c r="D1315" i="5"/>
  <c r="U1314" i="5"/>
  <c r="T1314" i="5"/>
  <c r="S1314" i="5"/>
  <c r="I1314" i="5"/>
  <c r="R1314" i="5" s="1"/>
  <c r="H1314" i="5"/>
  <c r="G1314" i="5"/>
  <c r="Q1314" i="5" s="1"/>
  <c r="F1314" i="5"/>
  <c r="E1314" i="5"/>
  <c r="P1314" i="5" s="1"/>
  <c r="D1314" i="5"/>
  <c r="U1313" i="5"/>
  <c r="T1313" i="5"/>
  <c r="S1313" i="5"/>
  <c r="I1313" i="5"/>
  <c r="R1313" i="5" s="1"/>
  <c r="H1313" i="5"/>
  <c r="G1313" i="5"/>
  <c r="Q1313" i="5" s="1"/>
  <c r="F1313" i="5"/>
  <c r="E1313" i="5"/>
  <c r="P1313" i="5" s="1"/>
  <c r="D1313" i="5"/>
  <c r="U1312" i="5"/>
  <c r="T1312" i="5"/>
  <c r="S1312" i="5"/>
  <c r="I1312" i="5"/>
  <c r="R1312" i="5" s="1"/>
  <c r="H1312" i="5"/>
  <c r="G1312" i="5"/>
  <c r="Q1312" i="5" s="1"/>
  <c r="F1312" i="5"/>
  <c r="E1312" i="5"/>
  <c r="P1312" i="5" s="1"/>
  <c r="D1312" i="5"/>
  <c r="U1311" i="5"/>
  <c r="T1311" i="5"/>
  <c r="S1311" i="5"/>
  <c r="I1311" i="5"/>
  <c r="R1311" i="5" s="1"/>
  <c r="H1311" i="5"/>
  <c r="G1311" i="5"/>
  <c r="Q1311" i="5" s="1"/>
  <c r="F1311" i="5"/>
  <c r="E1311" i="5"/>
  <c r="P1311" i="5" s="1"/>
  <c r="D1311" i="5"/>
  <c r="U1310" i="5"/>
  <c r="T1310" i="5"/>
  <c r="S1310" i="5"/>
  <c r="I1310" i="5"/>
  <c r="R1310" i="5" s="1"/>
  <c r="H1310" i="5"/>
  <c r="G1310" i="5"/>
  <c r="Q1310" i="5" s="1"/>
  <c r="F1310" i="5"/>
  <c r="E1310" i="5"/>
  <c r="P1310" i="5" s="1"/>
  <c r="D1310" i="5"/>
  <c r="U1309" i="5"/>
  <c r="T1309" i="5"/>
  <c r="S1309" i="5"/>
  <c r="I1309" i="5"/>
  <c r="R1309" i="5" s="1"/>
  <c r="H1309" i="5"/>
  <c r="G1309" i="5"/>
  <c r="Q1309" i="5" s="1"/>
  <c r="F1309" i="5"/>
  <c r="E1309" i="5"/>
  <c r="P1309" i="5" s="1"/>
  <c r="D1309" i="5"/>
  <c r="U1308" i="5"/>
  <c r="T1308" i="5"/>
  <c r="S1308" i="5"/>
  <c r="I1308" i="5"/>
  <c r="R1308" i="5" s="1"/>
  <c r="H1308" i="5"/>
  <c r="G1308" i="5"/>
  <c r="Q1308" i="5" s="1"/>
  <c r="F1308" i="5"/>
  <c r="E1308" i="5"/>
  <c r="P1308" i="5" s="1"/>
  <c r="D1308" i="5"/>
  <c r="U1307" i="5"/>
  <c r="T1307" i="5"/>
  <c r="S1307" i="5"/>
  <c r="I1307" i="5"/>
  <c r="R1307" i="5" s="1"/>
  <c r="H1307" i="5"/>
  <c r="G1307" i="5"/>
  <c r="Q1307" i="5" s="1"/>
  <c r="F1307" i="5"/>
  <c r="E1307" i="5"/>
  <c r="P1307" i="5" s="1"/>
  <c r="D1307" i="5"/>
  <c r="U1306" i="5"/>
  <c r="T1306" i="5"/>
  <c r="S1306" i="5"/>
  <c r="I1306" i="5"/>
  <c r="R1306" i="5" s="1"/>
  <c r="H1306" i="5"/>
  <c r="G1306" i="5"/>
  <c r="Q1306" i="5" s="1"/>
  <c r="F1306" i="5"/>
  <c r="E1306" i="5"/>
  <c r="P1306" i="5" s="1"/>
  <c r="D1306" i="5"/>
  <c r="U1305" i="5"/>
  <c r="T1305" i="5"/>
  <c r="S1305" i="5"/>
  <c r="I1305" i="5"/>
  <c r="R1305" i="5" s="1"/>
  <c r="H1305" i="5"/>
  <c r="G1305" i="5"/>
  <c r="Q1305" i="5" s="1"/>
  <c r="F1305" i="5"/>
  <c r="E1305" i="5"/>
  <c r="P1305" i="5" s="1"/>
  <c r="D1305" i="5"/>
  <c r="U1304" i="5"/>
  <c r="T1304" i="5"/>
  <c r="S1304" i="5"/>
  <c r="I1304" i="5"/>
  <c r="R1304" i="5" s="1"/>
  <c r="H1304" i="5"/>
  <c r="G1304" i="5"/>
  <c r="Q1304" i="5" s="1"/>
  <c r="F1304" i="5"/>
  <c r="E1304" i="5"/>
  <c r="P1304" i="5" s="1"/>
  <c r="D1304" i="5"/>
  <c r="U1303" i="5"/>
  <c r="T1303" i="5"/>
  <c r="S1303" i="5"/>
  <c r="I1303" i="5"/>
  <c r="R1303" i="5" s="1"/>
  <c r="H1303" i="5"/>
  <c r="G1303" i="5"/>
  <c r="Q1303" i="5" s="1"/>
  <c r="F1303" i="5"/>
  <c r="E1303" i="5"/>
  <c r="P1303" i="5" s="1"/>
  <c r="D1303" i="5"/>
  <c r="U3595" i="5"/>
  <c r="T3595" i="5"/>
  <c r="S3595" i="5"/>
  <c r="R3595" i="5"/>
  <c r="Q3595" i="5"/>
  <c r="P3595" i="5"/>
  <c r="T1302" i="5"/>
  <c r="S1302" i="5"/>
  <c r="I1302" i="5"/>
  <c r="R1302" i="5" s="1"/>
  <c r="H1302" i="5"/>
  <c r="G1302" i="5"/>
  <c r="Q1302" i="5" s="1"/>
  <c r="F1302" i="5"/>
  <c r="E1302" i="5"/>
  <c r="P1302" i="5" s="1"/>
  <c r="D1302" i="5"/>
  <c r="U1302" i="5" s="1"/>
  <c r="T1301" i="5"/>
  <c r="S1301" i="5"/>
  <c r="I1301" i="5"/>
  <c r="R1301" i="5" s="1"/>
  <c r="H1301" i="5"/>
  <c r="G1301" i="5"/>
  <c r="Q1301" i="5" s="1"/>
  <c r="F1301" i="5"/>
  <c r="E1301" i="5"/>
  <c r="P1301" i="5" s="1"/>
  <c r="D1301" i="5"/>
  <c r="U1301" i="5" s="1"/>
  <c r="U1300" i="5"/>
  <c r="T1300" i="5"/>
  <c r="S1300" i="5"/>
  <c r="I1300" i="5"/>
  <c r="R1300" i="5" s="1"/>
  <c r="H1300" i="5"/>
  <c r="G1300" i="5"/>
  <c r="Q1300" i="5" s="1"/>
  <c r="F1300" i="5"/>
  <c r="E1300" i="5"/>
  <c r="P1300" i="5" s="1"/>
  <c r="D1300" i="5"/>
  <c r="U1299" i="5"/>
  <c r="T1299" i="5"/>
  <c r="S1299" i="5"/>
  <c r="I1299" i="5"/>
  <c r="R1299" i="5" s="1"/>
  <c r="H1299" i="5"/>
  <c r="G1299" i="5"/>
  <c r="Q1299" i="5" s="1"/>
  <c r="F1299" i="5"/>
  <c r="E1299" i="5"/>
  <c r="P1299" i="5" s="1"/>
  <c r="D1299" i="5"/>
  <c r="U1298" i="5"/>
  <c r="T1298" i="5"/>
  <c r="S1298" i="5"/>
  <c r="I1298" i="5"/>
  <c r="R1298" i="5" s="1"/>
  <c r="H1298" i="5"/>
  <c r="G1298" i="5"/>
  <c r="Q1298" i="5" s="1"/>
  <c r="F1298" i="5"/>
  <c r="E1298" i="5"/>
  <c r="P1298" i="5" s="1"/>
  <c r="D1298" i="5"/>
  <c r="U1297" i="5"/>
  <c r="T1297" i="5"/>
  <c r="S1297" i="5"/>
  <c r="I1297" i="5"/>
  <c r="R1297" i="5" s="1"/>
  <c r="H1297" i="5"/>
  <c r="G1297" i="5"/>
  <c r="Q1297" i="5" s="1"/>
  <c r="F1297" i="5"/>
  <c r="E1297" i="5"/>
  <c r="P1297" i="5" s="1"/>
  <c r="D1297" i="5"/>
  <c r="U1296" i="5"/>
  <c r="T1296" i="5"/>
  <c r="S1296" i="5"/>
  <c r="I1296" i="5"/>
  <c r="R1296" i="5" s="1"/>
  <c r="H1296" i="5"/>
  <c r="G1296" i="5"/>
  <c r="Q1296" i="5" s="1"/>
  <c r="F1296" i="5"/>
  <c r="E1296" i="5"/>
  <c r="P1296" i="5" s="1"/>
  <c r="D1296" i="5"/>
  <c r="U1295" i="5"/>
  <c r="T1295" i="5"/>
  <c r="S1295" i="5"/>
  <c r="I1295" i="5"/>
  <c r="R1295" i="5" s="1"/>
  <c r="H1295" i="5"/>
  <c r="G1295" i="5"/>
  <c r="Q1295" i="5" s="1"/>
  <c r="F1295" i="5"/>
  <c r="E1295" i="5"/>
  <c r="P1295" i="5" s="1"/>
  <c r="D1295" i="5"/>
  <c r="U1294" i="5"/>
  <c r="T1294" i="5"/>
  <c r="S1294" i="5"/>
  <c r="I1294" i="5"/>
  <c r="R1294" i="5" s="1"/>
  <c r="H1294" i="5"/>
  <c r="G1294" i="5"/>
  <c r="Q1294" i="5" s="1"/>
  <c r="F1294" i="5"/>
  <c r="E1294" i="5"/>
  <c r="P1294" i="5" s="1"/>
  <c r="D1294" i="5"/>
  <c r="U1293" i="5"/>
  <c r="T1293" i="5"/>
  <c r="S1293" i="5"/>
  <c r="I1293" i="5"/>
  <c r="R1293" i="5" s="1"/>
  <c r="H1293" i="5"/>
  <c r="G1293" i="5"/>
  <c r="Q1293" i="5" s="1"/>
  <c r="F1293" i="5"/>
  <c r="E1293" i="5"/>
  <c r="P1293" i="5" s="1"/>
  <c r="D1293" i="5"/>
  <c r="U1292" i="5"/>
  <c r="T1292" i="5"/>
  <c r="S1292" i="5"/>
  <c r="I1292" i="5"/>
  <c r="R1292" i="5" s="1"/>
  <c r="H1292" i="5"/>
  <c r="G1292" i="5"/>
  <c r="Q1292" i="5" s="1"/>
  <c r="F1292" i="5"/>
  <c r="E1292" i="5"/>
  <c r="P1292" i="5" s="1"/>
  <c r="D1292" i="5"/>
  <c r="U1291" i="5"/>
  <c r="T1291" i="5"/>
  <c r="S1291" i="5"/>
  <c r="I1291" i="5"/>
  <c r="R1291" i="5" s="1"/>
  <c r="H1291" i="5"/>
  <c r="G1291" i="5"/>
  <c r="Q1291" i="5" s="1"/>
  <c r="F1291" i="5"/>
  <c r="E1291" i="5"/>
  <c r="P1291" i="5" s="1"/>
  <c r="D1291" i="5"/>
  <c r="U1290" i="5"/>
  <c r="T1290" i="5"/>
  <c r="S1290" i="5"/>
  <c r="I1290" i="5"/>
  <c r="R1290" i="5" s="1"/>
  <c r="H1290" i="5"/>
  <c r="G1290" i="5"/>
  <c r="Q1290" i="5" s="1"/>
  <c r="F1290" i="5"/>
  <c r="E1290" i="5"/>
  <c r="P1290" i="5" s="1"/>
  <c r="D1290" i="5"/>
  <c r="U1289" i="5"/>
  <c r="T1289" i="5"/>
  <c r="S1289" i="5"/>
  <c r="I1289" i="5"/>
  <c r="R1289" i="5" s="1"/>
  <c r="H1289" i="5"/>
  <c r="G1289" i="5"/>
  <c r="Q1289" i="5" s="1"/>
  <c r="F1289" i="5"/>
  <c r="E1289" i="5"/>
  <c r="P1289" i="5" s="1"/>
  <c r="D1289" i="5"/>
  <c r="U1288" i="5"/>
  <c r="T1288" i="5"/>
  <c r="S1288" i="5"/>
  <c r="I1288" i="5"/>
  <c r="R1288" i="5" s="1"/>
  <c r="H1288" i="5"/>
  <c r="G1288" i="5"/>
  <c r="Q1288" i="5" s="1"/>
  <c r="F1288" i="5"/>
  <c r="E1288" i="5"/>
  <c r="P1288" i="5" s="1"/>
  <c r="D1288" i="5"/>
  <c r="U1277" i="5"/>
  <c r="T1277" i="5"/>
  <c r="S1277" i="5"/>
  <c r="I1277" i="5"/>
  <c r="R1277" i="5" s="1"/>
  <c r="H1277" i="5"/>
  <c r="G1277" i="5"/>
  <c r="Q1277" i="5" s="1"/>
  <c r="F1277" i="5"/>
  <c r="E1277" i="5"/>
  <c r="P1277" i="5" s="1"/>
  <c r="D1277" i="5"/>
  <c r="U1276" i="5"/>
  <c r="T1276" i="5"/>
  <c r="S1276" i="5"/>
  <c r="I1276" i="5"/>
  <c r="R1276" i="5" s="1"/>
  <c r="H1276" i="5"/>
  <c r="G1276" i="5"/>
  <c r="Q1276" i="5" s="1"/>
  <c r="F1276" i="5"/>
  <c r="E1276" i="5"/>
  <c r="P1276" i="5" s="1"/>
  <c r="D1276" i="5"/>
  <c r="U1275" i="5"/>
  <c r="T1275" i="5"/>
  <c r="S1275" i="5"/>
  <c r="I1275" i="5"/>
  <c r="R1275" i="5" s="1"/>
  <c r="H1275" i="5"/>
  <c r="G1275" i="5"/>
  <c r="Q1275" i="5" s="1"/>
  <c r="F1275" i="5"/>
  <c r="E1275" i="5"/>
  <c r="P1275" i="5" s="1"/>
  <c r="D1275" i="5"/>
  <c r="U1274" i="5"/>
  <c r="T1274" i="5"/>
  <c r="S1274" i="5"/>
  <c r="I1274" i="5"/>
  <c r="R1274" i="5" s="1"/>
  <c r="H1274" i="5"/>
  <c r="G1274" i="5"/>
  <c r="Q1274" i="5" s="1"/>
  <c r="F1274" i="5"/>
  <c r="E1274" i="5"/>
  <c r="P1274" i="5" s="1"/>
  <c r="D1274" i="5"/>
  <c r="U1273" i="5"/>
  <c r="T1273" i="5"/>
  <c r="S1273" i="5"/>
  <c r="I1273" i="5"/>
  <c r="R1273" i="5" s="1"/>
  <c r="H1273" i="5"/>
  <c r="G1273" i="5"/>
  <c r="Q1273" i="5" s="1"/>
  <c r="F1273" i="5"/>
  <c r="E1273" i="5"/>
  <c r="P1273" i="5" s="1"/>
  <c r="D1273" i="5"/>
  <c r="U1272" i="5"/>
  <c r="T1272" i="5"/>
  <c r="S1272" i="5"/>
  <c r="I1272" i="5"/>
  <c r="R1272" i="5" s="1"/>
  <c r="H1272" i="5"/>
  <c r="G1272" i="5"/>
  <c r="Q1272" i="5" s="1"/>
  <c r="F1272" i="5"/>
  <c r="E1272" i="5"/>
  <c r="P1272" i="5" s="1"/>
  <c r="D1272" i="5"/>
  <c r="U1271" i="5"/>
  <c r="T1271" i="5"/>
  <c r="S1271" i="5"/>
  <c r="I1271" i="5"/>
  <c r="R1271" i="5" s="1"/>
  <c r="H1271" i="5"/>
  <c r="G1271" i="5"/>
  <c r="Q1271" i="5" s="1"/>
  <c r="F1271" i="5"/>
  <c r="E1271" i="5"/>
  <c r="P1271" i="5" s="1"/>
  <c r="D1271" i="5"/>
  <c r="U1270" i="5"/>
  <c r="T1270" i="5"/>
  <c r="S1270" i="5"/>
  <c r="I1270" i="5"/>
  <c r="R1270" i="5" s="1"/>
  <c r="H1270" i="5"/>
  <c r="G1270" i="5"/>
  <c r="Q1270" i="5" s="1"/>
  <c r="F1270" i="5"/>
  <c r="E1270" i="5"/>
  <c r="P1270" i="5" s="1"/>
  <c r="D1270" i="5"/>
  <c r="U1207" i="5"/>
  <c r="T1207" i="5"/>
  <c r="S1207" i="5"/>
  <c r="I1207" i="5"/>
  <c r="R1207" i="5" s="1"/>
  <c r="H1207" i="5"/>
  <c r="G1207" i="5"/>
  <c r="Q1207" i="5" s="1"/>
  <c r="F1207" i="5"/>
  <c r="E1207" i="5"/>
  <c r="P1207" i="5" s="1"/>
  <c r="D1207" i="5"/>
  <c r="U1206" i="5"/>
  <c r="T1206" i="5"/>
  <c r="S1206" i="5"/>
  <c r="I1206" i="5"/>
  <c r="R1206" i="5" s="1"/>
  <c r="H1206" i="5"/>
  <c r="G1206" i="5"/>
  <c r="Q1206" i="5" s="1"/>
  <c r="F1206" i="5"/>
  <c r="E1206" i="5"/>
  <c r="P1206" i="5" s="1"/>
  <c r="D1206" i="5"/>
  <c r="U1205" i="5"/>
  <c r="T1205" i="5"/>
  <c r="S1205" i="5"/>
  <c r="I1205" i="5"/>
  <c r="R1205" i="5" s="1"/>
  <c r="H1205" i="5"/>
  <c r="G1205" i="5"/>
  <c r="Q1205" i="5" s="1"/>
  <c r="F1205" i="5"/>
  <c r="E1205" i="5"/>
  <c r="P1205" i="5" s="1"/>
  <c r="D1205" i="5"/>
  <c r="U1204" i="5"/>
  <c r="T1204" i="5"/>
  <c r="S1204" i="5"/>
  <c r="I1204" i="5"/>
  <c r="R1204" i="5" s="1"/>
  <c r="H1204" i="5"/>
  <c r="G1204" i="5"/>
  <c r="Q1204" i="5" s="1"/>
  <c r="F1204" i="5"/>
  <c r="E1204" i="5"/>
  <c r="P1204" i="5" s="1"/>
  <c r="D1204" i="5"/>
  <c r="U1203" i="5"/>
  <c r="T1203" i="5"/>
  <c r="S1203" i="5"/>
  <c r="I1203" i="5"/>
  <c r="R1203" i="5" s="1"/>
  <c r="H1203" i="5"/>
  <c r="G1203" i="5"/>
  <c r="Q1203" i="5" s="1"/>
  <c r="F1203" i="5"/>
  <c r="E1203" i="5"/>
  <c r="P1203" i="5" s="1"/>
  <c r="D1203" i="5"/>
  <c r="U1202" i="5"/>
  <c r="T1202" i="5"/>
  <c r="S1202" i="5"/>
  <c r="I1202" i="5"/>
  <c r="R1202" i="5" s="1"/>
  <c r="H1202" i="5"/>
  <c r="G1202" i="5"/>
  <c r="Q1202" i="5" s="1"/>
  <c r="F1202" i="5"/>
  <c r="E1202" i="5"/>
  <c r="P1202" i="5" s="1"/>
  <c r="D1202" i="5"/>
  <c r="U1201" i="5"/>
  <c r="T1201" i="5"/>
  <c r="S1201" i="5"/>
  <c r="I1201" i="5"/>
  <c r="R1201" i="5" s="1"/>
  <c r="H1201" i="5"/>
  <c r="G1201" i="5"/>
  <c r="Q1201" i="5" s="1"/>
  <c r="F1201" i="5"/>
  <c r="E1201" i="5"/>
  <c r="P1201" i="5" s="1"/>
  <c r="D1201" i="5"/>
  <c r="U1200" i="5"/>
  <c r="T1200" i="5"/>
  <c r="S1200" i="5"/>
  <c r="I1200" i="5"/>
  <c r="R1200" i="5" s="1"/>
  <c r="H1200" i="5"/>
  <c r="G1200" i="5"/>
  <c r="Q1200" i="5" s="1"/>
  <c r="F1200" i="5"/>
  <c r="E1200" i="5"/>
  <c r="P1200" i="5" s="1"/>
  <c r="D1200" i="5"/>
  <c r="U1137" i="5"/>
  <c r="T1137" i="5"/>
  <c r="S1137" i="5"/>
  <c r="I1137" i="5"/>
  <c r="R1137" i="5" s="1"/>
  <c r="H1137" i="5"/>
  <c r="G1137" i="5"/>
  <c r="Q1137" i="5" s="1"/>
  <c r="F1137" i="5"/>
  <c r="E1137" i="5"/>
  <c r="P1137" i="5" s="1"/>
  <c r="D1137" i="5"/>
  <c r="U1136" i="5"/>
  <c r="T1136" i="5"/>
  <c r="S1136" i="5"/>
  <c r="I1136" i="5"/>
  <c r="R1136" i="5" s="1"/>
  <c r="H1136" i="5"/>
  <c r="G1136" i="5"/>
  <c r="Q1136" i="5" s="1"/>
  <c r="F1136" i="5"/>
  <c r="E1136" i="5"/>
  <c r="P1136" i="5" s="1"/>
  <c r="D1136" i="5"/>
  <c r="U1135" i="5"/>
  <c r="T1135" i="5"/>
  <c r="S1135" i="5"/>
  <c r="I1135" i="5"/>
  <c r="R1135" i="5" s="1"/>
  <c r="H1135" i="5"/>
  <c r="G1135" i="5"/>
  <c r="Q1135" i="5" s="1"/>
  <c r="F1135" i="5"/>
  <c r="E1135" i="5"/>
  <c r="P1135" i="5" s="1"/>
  <c r="D1135" i="5"/>
  <c r="U1134" i="5"/>
  <c r="T1134" i="5"/>
  <c r="S1134" i="5"/>
  <c r="I1134" i="5"/>
  <c r="R1134" i="5" s="1"/>
  <c r="H1134" i="5"/>
  <c r="G1134" i="5"/>
  <c r="Q1134" i="5" s="1"/>
  <c r="F1134" i="5"/>
  <c r="E1134" i="5"/>
  <c r="P1134" i="5" s="1"/>
  <c r="D1134" i="5"/>
  <c r="U1133" i="5"/>
  <c r="T1133" i="5"/>
  <c r="S1133" i="5"/>
  <c r="I1133" i="5"/>
  <c r="R1133" i="5" s="1"/>
  <c r="H1133" i="5"/>
  <c r="G1133" i="5"/>
  <c r="Q1133" i="5" s="1"/>
  <c r="F1133" i="5"/>
  <c r="E1133" i="5"/>
  <c r="P1133" i="5" s="1"/>
  <c r="D1133" i="5"/>
  <c r="U1132" i="5"/>
  <c r="T1132" i="5"/>
  <c r="S1132" i="5"/>
  <c r="I1132" i="5"/>
  <c r="R1132" i="5" s="1"/>
  <c r="H1132" i="5"/>
  <c r="G1132" i="5"/>
  <c r="Q1132" i="5" s="1"/>
  <c r="F1132" i="5"/>
  <c r="E1132" i="5"/>
  <c r="P1132" i="5" s="1"/>
  <c r="D1132" i="5"/>
  <c r="U1131" i="5"/>
  <c r="T1131" i="5"/>
  <c r="S1131" i="5"/>
  <c r="I1131" i="5"/>
  <c r="R1131" i="5" s="1"/>
  <c r="H1131" i="5"/>
  <c r="G1131" i="5"/>
  <c r="Q1131" i="5" s="1"/>
  <c r="F1131" i="5"/>
  <c r="E1131" i="5"/>
  <c r="P1131" i="5" s="1"/>
  <c r="D1131" i="5"/>
  <c r="U1130" i="5"/>
  <c r="T1130" i="5"/>
  <c r="S1130" i="5"/>
  <c r="I1130" i="5"/>
  <c r="R1130" i="5" s="1"/>
  <c r="H1130" i="5"/>
  <c r="G1130" i="5"/>
  <c r="Q1130" i="5" s="1"/>
  <c r="F1130" i="5"/>
  <c r="E1130" i="5"/>
  <c r="P1130" i="5" s="1"/>
  <c r="D1130" i="5"/>
  <c r="U1067" i="5"/>
  <c r="T1067" i="5"/>
  <c r="S1067" i="5"/>
  <c r="I1067" i="5"/>
  <c r="R1067" i="5" s="1"/>
  <c r="H1067" i="5"/>
  <c r="G1067" i="5"/>
  <c r="Q1067" i="5" s="1"/>
  <c r="F1067" i="5"/>
  <c r="E1067" i="5"/>
  <c r="P1067" i="5" s="1"/>
  <c r="D1067" i="5"/>
  <c r="U1066" i="5"/>
  <c r="T1066" i="5"/>
  <c r="S1066" i="5"/>
  <c r="I1066" i="5"/>
  <c r="R1066" i="5" s="1"/>
  <c r="H1066" i="5"/>
  <c r="G1066" i="5"/>
  <c r="Q1066" i="5" s="1"/>
  <c r="F1066" i="5"/>
  <c r="E1066" i="5"/>
  <c r="P1066" i="5" s="1"/>
  <c r="D1066" i="5"/>
  <c r="U1065" i="5"/>
  <c r="T1065" i="5"/>
  <c r="S1065" i="5"/>
  <c r="I1065" i="5"/>
  <c r="R1065" i="5" s="1"/>
  <c r="H1065" i="5"/>
  <c r="G1065" i="5"/>
  <c r="Q1065" i="5" s="1"/>
  <c r="F1065" i="5"/>
  <c r="E1065" i="5"/>
  <c r="P1065" i="5" s="1"/>
  <c r="D1065" i="5"/>
  <c r="U1064" i="5"/>
  <c r="T1064" i="5"/>
  <c r="S1064" i="5"/>
  <c r="I1064" i="5"/>
  <c r="R1064" i="5" s="1"/>
  <c r="H1064" i="5"/>
  <c r="G1064" i="5"/>
  <c r="Q1064" i="5" s="1"/>
  <c r="F1064" i="5"/>
  <c r="E1064" i="5"/>
  <c r="P1064" i="5" s="1"/>
  <c r="D1064" i="5"/>
  <c r="U1063" i="5"/>
  <c r="T1063" i="5"/>
  <c r="S1063" i="5"/>
  <c r="I1063" i="5"/>
  <c r="R1063" i="5" s="1"/>
  <c r="H1063" i="5"/>
  <c r="G1063" i="5"/>
  <c r="Q1063" i="5" s="1"/>
  <c r="F1063" i="5"/>
  <c r="E1063" i="5"/>
  <c r="P1063" i="5" s="1"/>
  <c r="D1063" i="5"/>
  <c r="U1062" i="5"/>
  <c r="T1062" i="5"/>
  <c r="S1062" i="5"/>
  <c r="I1062" i="5"/>
  <c r="R1062" i="5" s="1"/>
  <c r="H1062" i="5"/>
  <c r="G1062" i="5"/>
  <c r="Q1062" i="5" s="1"/>
  <c r="F1062" i="5"/>
  <c r="E1062" i="5"/>
  <c r="P1062" i="5" s="1"/>
  <c r="D1062" i="5"/>
  <c r="U1061" i="5"/>
  <c r="T1061" i="5"/>
  <c r="S1061" i="5"/>
  <c r="I1061" i="5"/>
  <c r="R1061" i="5" s="1"/>
  <c r="H1061" i="5"/>
  <c r="G1061" i="5"/>
  <c r="Q1061" i="5" s="1"/>
  <c r="F1061" i="5"/>
  <c r="E1061" i="5"/>
  <c r="P1061" i="5" s="1"/>
  <c r="D1061" i="5"/>
  <c r="U1060" i="5"/>
  <c r="T1060" i="5"/>
  <c r="S1060" i="5"/>
  <c r="I1060" i="5"/>
  <c r="R1060" i="5" s="1"/>
  <c r="H1060" i="5"/>
  <c r="G1060" i="5"/>
  <c r="Q1060" i="5" s="1"/>
  <c r="F1060" i="5"/>
  <c r="E1060" i="5"/>
  <c r="P1060" i="5" s="1"/>
  <c r="D1060" i="5"/>
  <c r="U1001" i="5"/>
  <c r="T1001" i="5"/>
  <c r="S1001" i="5"/>
  <c r="I1001" i="5"/>
  <c r="R1001" i="5" s="1"/>
  <c r="H1001" i="5"/>
  <c r="G1001" i="5"/>
  <c r="Q1001" i="5" s="1"/>
  <c r="F1001" i="5"/>
  <c r="E1001" i="5"/>
  <c r="P1001" i="5" s="1"/>
  <c r="D1001" i="5"/>
  <c r="U1000" i="5"/>
  <c r="T1000" i="5"/>
  <c r="S1000" i="5"/>
  <c r="I1000" i="5"/>
  <c r="R1000" i="5" s="1"/>
  <c r="H1000" i="5"/>
  <c r="G1000" i="5"/>
  <c r="Q1000" i="5" s="1"/>
  <c r="F1000" i="5"/>
  <c r="E1000" i="5"/>
  <c r="P1000" i="5" s="1"/>
  <c r="D1000" i="5"/>
  <c r="U999" i="5"/>
  <c r="T999" i="5"/>
  <c r="S999" i="5"/>
  <c r="I999" i="5"/>
  <c r="R999" i="5" s="1"/>
  <c r="H999" i="5"/>
  <c r="G999" i="5"/>
  <c r="Q999" i="5" s="1"/>
  <c r="F999" i="5"/>
  <c r="E999" i="5"/>
  <c r="P999" i="5" s="1"/>
  <c r="D999" i="5"/>
  <c r="U998" i="5"/>
  <c r="T998" i="5"/>
  <c r="S998" i="5"/>
  <c r="I998" i="5"/>
  <c r="R998" i="5" s="1"/>
  <c r="H998" i="5"/>
  <c r="G998" i="5"/>
  <c r="Q998" i="5" s="1"/>
  <c r="F998" i="5"/>
  <c r="E998" i="5"/>
  <c r="P998" i="5" s="1"/>
  <c r="D998" i="5"/>
  <c r="U997" i="5"/>
  <c r="T997" i="5"/>
  <c r="S997" i="5"/>
  <c r="I997" i="5"/>
  <c r="R997" i="5" s="1"/>
  <c r="H997" i="5"/>
  <c r="G997" i="5"/>
  <c r="Q997" i="5" s="1"/>
  <c r="F997" i="5"/>
  <c r="E997" i="5"/>
  <c r="P997" i="5" s="1"/>
  <c r="D997" i="5"/>
  <c r="U996" i="5"/>
  <c r="T996" i="5"/>
  <c r="S996" i="5"/>
  <c r="I996" i="5"/>
  <c r="R996" i="5" s="1"/>
  <c r="H996" i="5"/>
  <c r="G996" i="5"/>
  <c r="Q996" i="5" s="1"/>
  <c r="F996" i="5"/>
  <c r="E996" i="5"/>
  <c r="P996" i="5" s="1"/>
  <c r="D996" i="5"/>
  <c r="U995" i="5"/>
  <c r="T995" i="5"/>
  <c r="S995" i="5"/>
  <c r="I995" i="5"/>
  <c r="R995" i="5" s="1"/>
  <c r="H995" i="5"/>
  <c r="G995" i="5"/>
  <c r="Q995" i="5" s="1"/>
  <c r="F995" i="5"/>
  <c r="E995" i="5"/>
  <c r="P995" i="5" s="1"/>
  <c r="D995" i="5"/>
  <c r="U994" i="5"/>
  <c r="T994" i="5"/>
  <c r="S994" i="5"/>
  <c r="I994" i="5"/>
  <c r="R994" i="5" s="1"/>
  <c r="H994" i="5"/>
  <c r="G994" i="5"/>
  <c r="Q994" i="5" s="1"/>
  <c r="F994" i="5"/>
  <c r="E994" i="5"/>
  <c r="P994" i="5" s="1"/>
  <c r="D994" i="5"/>
  <c r="U935" i="5"/>
  <c r="T935" i="5"/>
  <c r="S935" i="5"/>
  <c r="I935" i="5"/>
  <c r="R935" i="5" s="1"/>
  <c r="H935" i="5"/>
  <c r="G935" i="5"/>
  <c r="Q935" i="5" s="1"/>
  <c r="F935" i="5"/>
  <c r="E935" i="5"/>
  <c r="P935" i="5" s="1"/>
  <c r="D935" i="5"/>
  <c r="U934" i="5"/>
  <c r="T934" i="5"/>
  <c r="S934" i="5"/>
  <c r="I934" i="5"/>
  <c r="R934" i="5" s="1"/>
  <c r="H934" i="5"/>
  <c r="G934" i="5"/>
  <c r="Q934" i="5" s="1"/>
  <c r="F934" i="5"/>
  <c r="E934" i="5"/>
  <c r="P934" i="5" s="1"/>
  <c r="D934" i="5"/>
  <c r="U933" i="5"/>
  <c r="T933" i="5"/>
  <c r="S933" i="5"/>
  <c r="I933" i="5"/>
  <c r="R933" i="5" s="1"/>
  <c r="H933" i="5"/>
  <c r="G933" i="5"/>
  <c r="Q933" i="5" s="1"/>
  <c r="F933" i="5"/>
  <c r="E933" i="5"/>
  <c r="P933" i="5" s="1"/>
  <c r="D933" i="5"/>
  <c r="U932" i="5"/>
  <c r="T932" i="5"/>
  <c r="S932" i="5"/>
  <c r="I932" i="5"/>
  <c r="R932" i="5" s="1"/>
  <c r="H932" i="5"/>
  <c r="G932" i="5"/>
  <c r="Q932" i="5" s="1"/>
  <c r="F932" i="5"/>
  <c r="E932" i="5"/>
  <c r="P932" i="5" s="1"/>
  <c r="D932" i="5"/>
  <c r="U931" i="5"/>
  <c r="T931" i="5"/>
  <c r="S931" i="5"/>
  <c r="I931" i="5"/>
  <c r="R931" i="5" s="1"/>
  <c r="H931" i="5"/>
  <c r="G931" i="5"/>
  <c r="Q931" i="5" s="1"/>
  <c r="F931" i="5"/>
  <c r="E931" i="5"/>
  <c r="P931" i="5" s="1"/>
  <c r="D931" i="5"/>
  <c r="U930" i="5"/>
  <c r="T930" i="5"/>
  <c r="S930" i="5"/>
  <c r="I930" i="5"/>
  <c r="R930" i="5" s="1"/>
  <c r="H930" i="5"/>
  <c r="G930" i="5"/>
  <c r="Q930" i="5" s="1"/>
  <c r="F930" i="5"/>
  <c r="E930" i="5"/>
  <c r="P930" i="5" s="1"/>
  <c r="D930" i="5"/>
  <c r="U929" i="5"/>
  <c r="T929" i="5"/>
  <c r="S929" i="5"/>
  <c r="I929" i="5"/>
  <c r="R929" i="5" s="1"/>
  <c r="H929" i="5"/>
  <c r="G929" i="5"/>
  <c r="Q929" i="5" s="1"/>
  <c r="F929" i="5"/>
  <c r="E929" i="5"/>
  <c r="P929" i="5" s="1"/>
  <c r="D929" i="5"/>
  <c r="U928" i="5"/>
  <c r="T928" i="5"/>
  <c r="S928" i="5"/>
  <c r="I928" i="5"/>
  <c r="R928" i="5" s="1"/>
  <c r="H928" i="5"/>
  <c r="G928" i="5"/>
  <c r="Q928" i="5" s="1"/>
  <c r="F928" i="5"/>
  <c r="E928" i="5"/>
  <c r="P928" i="5" s="1"/>
  <c r="D928" i="5"/>
  <c r="U869" i="5"/>
  <c r="T869" i="5"/>
  <c r="S869" i="5"/>
  <c r="I869" i="5"/>
  <c r="R869" i="5" s="1"/>
  <c r="H869" i="5"/>
  <c r="G869" i="5"/>
  <c r="Q869" i="5" s="1"/>
  <c r="F869" i="5"/>
  <c r="E869" i="5"/>
  <c r="P869" i="5" s="1"/>
  <c r="D869" i="5"/>
  <c r="U868" i="5"/>
  <c r="T868" i="5"/>
  <c r="S868" i="5"/>
  <c r="I868" i="5"/>
  <c r="R868" i="5" s="1"/>
  <c r="H868" i="5"/>
  <c r="G868" i="5"/>
  <c r="Q868" i="5" s="1"/>
  <c r="F868" i="5"/>
  <c r="E868" i="5"/>
  <c r="P868" i="5" s="1"/>
  <c r="D868" i="5"/>
  <c r="U867" i="5"/>
  <c r="T867" i="5"/>
  <c r="S867" i="5"/>
  <c r="I867" i="5"/>
  <c r="R867" i="5" s="1"/>
  <c r="H867" i="5"/>
  <c r="G867" i="5"/>
  <c r="Q867" i="5" s="1"/>
  <c r="F867" i="5"/>
  <c r="E867" i="5"/>
  <c r="P867" i="5" s="1"/>
  <c r="D867" i="5"/>
  <c r="U866" i="5"/>
  <c r="T866" i="5"/>
  <c r="S866" i="5"/>
  <c r="I866" i="5"/>
  <c r="R866" i="5" s="1"/>
  <c r="H866" i="5"/>
  <c r="G866" i="5"/>
  <c r="Q866" i="5" s="1"/>
  <c r="F866" i="5"/>
  <c r="E866" i="5"/>
  <c r="P866" i="5" s="1"/>
  <c r="D866" i="5"/>
  <c r="U865" i="5"/>
  <c r="T865" i="5"/>
  <c r="S865" i="5"/>
  <c r="I865" i="5"/>
  <c r="R865" i="5" s="1"/>
  <c r="H865" i="5"/>
  <c r="G865" i="5"/>
  <c r="Q865" i="5" s="1"/>
  <c r="F865" i="5"/>
  <c r="E865" i="5"/>
  <c r="P865" i="5" s="1"/>
  <c r="D865" i="5"/>
  <c r="U864" i="5"/>
  <c r="T864" i="5"/>
  <c r="S864" i="5"/>
  <c r="I864" i="5"/>
  <c r="R864" i="5" s="1"/>
  <c r="H864" i="5"/>
  <c r="G864" i="5"/>
  <c r="Q864" i="5" s="1"/>
  <c r="F864" i="5"/>
  <c r="E864" i="5"/>
  <c r="P864" i="5" s="1"/>
  <c r="D864" i="5"/>
  <c r="U863" i="5"/>
  <c r="T863" i="5"/>
  <c r="S863" i="5"/>
  <c r="I863" i="5"/>
  <c r="R863" i="5" s="1"/>
  <c r="H863" i="5"/>
  <c r="G863" i="5"/>
  <c r="Q863" i="5" s="1"/>
  <c r="F863" i="5"/>
  <c r="E863" i="5"/>
  <c r="P863" i="5" s="1"/>
  <c r="D863" i="5"/>
  <c r="U862" i="5"/>
  <c r="T862" i="5"/>
  <c r="S862" i="5"/>
  <c r="I862" i="5"/>
  <c r="R862" i="5" s="1"/>
  <c r="H862" i="5"/>
  <c r="G862" i="5"/>
  <c r="Q862" i="5" s="1"/>
  <c r="F862" i="5"/>
  <c r="E862" i="5"/>
  <c r="P862" i="5" s="1"/>
  <c r="D862" i="5"/>
  <c r="U803" i="5"/>
  <c r="T803" i="5"/>
  <c r="S803" i="5"/>
  <c r="I803" i="5"/>
  <c r="R803" i="5" s="1"/>
  <c r="H803" i="5"/>
  <c r="G803" i="5"/>
  <c r="Q803" i="5" s="1"/>
  <c r="F803" i="5"/>
  <c r="E803" i="5"/>
  <c r="P803" i="5" s="1"/>
  <c r="D803" i="5"/>
  <c r="U802" i="5"/>
  <c r="T802" i="5"/>
  <c r="S802" i="5"/>
  <c r="I802" i="5"/>
  <c r="R802" i="5" s="1"/>
  <c r="H802" i="5"/>
  <c r="G802" i="5"/>
  <c r="Q802" i="5" s="1"/>
  <c r="F802" i="5"/>
  <c r="E802" i="5"/>
  <c r="P802" i="5" s="1"/>
  <c r="D802" i="5"/>
  <c r="U801" i="5"/>
  <c r="T801" i="5"/>
  <c r="S801" i="5"/>
  <c r="I801" i="5"/>
  <c r="R801" i="5" s="1"/>
  <c r="H801" i="5"/>
  <c r="G801" i="5"/>
  <c r="Q801" i="5" s="1"/>
  <c r="F801" i="5"/>
  <c r="E801" i="5"/>
  <c r="P801" i="5" s="1"/>
  <c r="D801" i="5"/>
  <c r="U800" i="5"/>
  <c r="T800" i="5"/>
  <c r="S800" i="5"/>
  <c r="I800" i="5"/>
  <c r="R800" i="5" s="1"/>
  <c r="H800" i="5"/>
  <c r="G800" i="5"/>
  <c r="Q800" i="5" s="1"/>
  <c r="F800" i="5"/>
  <c r="E800" i="5"/>
  <c r="P800" i="5" s="1"/>
  <c r="D800" i="5"/>
  <c r="U799" i="5"/>
  <c r="T799" i="5"/>
  <c r="S799" i="5"/>
  <c r="I799" i="5"/>
  <c r="R799" i="5" s="1"/>
  <c r="H799" i="5"/>
  <c r="G799" i="5"/>
  <c r="Q799" i="5" s="1"/>
  <c r="F799" i="5"/>
  <c r="E799" i="5"/>
  <c r="P799" i="5" s="1"/>
  <c r="D799" i="5"/>
  <c r="U798" i="5"/>
  <c r="T798" i="5"/>
  <c r="S798" i="5"/>
  <c r="I798" i="5"/>
  <c r="R798" i="5" s="1"/>
  <c r="H798" i="5"/>
  <c r="G798" i="5"/>
  <c r="Q798" i="5" s="1"/>
  <c r="F798" i="5"/>
  <c r="E798" i="5"/>
  <c r="P798" i="5" s="1"/>
  <c r="D798" i="5"/>
  <c r="U797" i="5"/>
  <c r="T797" i="5"/>
  <c r="S797" i="5"/>
  <c r="I797" i="5"/>
  <c r="R797" i="5" s="1"/>
  <c r="H797" i="5"/>
  <c r="G797" i="5"/>
  <c r="Q797" i="5" s="1"/>
  <c r="F797" i="5"/>
  <c r="E797" i="5"/>
  <c r="P797" i="5" s="1"/>
  <c r="D797" i="5"/>
  <c r="U796" i="5"/>
  <c r="T796" i="5"/>
  <c r="S796" i="5"/>
  <c r="I796" i="5"/>
  <c r="R796" i="5" s="1"/>
  <c r="H796" i="5"/>
  <c r="G796" i="5"/>
  <c r="Q796" i="5" s="1"/>
  <c r="F796" i="5"/>
  <c r="E796" i="5"/>
  <c r="P796" i="5" s="1"/>
  <c r="D796" i="5"/>
  <c r="T1269" i="5"/>
  <c r="S1269" i="5"/>
  <c r="I1269" i="5"/>
  <c r="R1269" i="5" s="1"/>
  <c r="H1269" i="5"/>
  <c r="G1269" i="5"/>
  <c r="Q1269" i="5" s="1"/>
  <c r="F1269" i="5"/>
  <c r="E1269" i="5"/>
  <c r="P1269" i="5" s="1"/>
  <c r="D1269" i="5"/>
  <c r="U1269" i="5" s="1"/>
  <c r="T1268" i="5"/>
  <c r="S1268" i="5"/>
  <c r="I1268" i="5"/>
  <c r="R1268" i="5" s="1"/>
  <c r="H1268" i="5"/>
  <c r="G1268" i="5"/>
  <c r="Q1268" i="5" s="1"/>
  <c r="F1268" i="5"/>
  <c r="E1268" i="5"/>
  <c r="P1268" i="5" s="1"/>
  <c r="D1268" i="5"/>
  <c r="U1268" i="5" s="1"/>
  <c r="U3594" i="5"/>
  <c r="T3594" i="5"/>
  <c r="S3594" i="5"/>
  <c r="R3594" i="5"/>
  <c r="Q3594" i="5"/>
  <c r="P3594" i="5"/>
  <c r="U1267" i="5"/>
  <c r="T1267" i="5"/>
  <c r="S1267" i="5"/>
  <c r="I1267" i="5"/>
  <c r="R1267" i="5" s="1"/>
  <c r="H1267" i="5"/>
  <c r="G1267" i="5"/>
  <c r="Q1267" i="5" s="1"/>
  <c r="F1267" i="5"/>
  <c r="E1267" i="5"/>
  <c r="P1267" i="5" s="1"/>
  <c r="D1267" i="5"/>
  <c r="U1266" i="5"/>
  <c r="T1266" i="5"/>
  <c r="S1266" i="5"/>
  <c r="I1266" i="5"/>
  <c r="R1266" i="5" s="1"/>
  <c r="H1266" i="5"/>
  <c r="G1266" i="5"/>
  <c r="Q1266" i="5" s="1"/>
  <c r="F1266" i="5"/>
  <c r="E1266" i="5"/>
  <c r="P1266" i="5" s="1"/>
  <c r="D1266" i="5"/>
  <c r="U1265" i="5"/>
  <c r="T1265" i="5"/>
  <c r="S1265" i="5"/>
  <c r="I1265" i="5"/>
  <c r="R1265" i="5" s="1"/>
  <c r="H1265" i="5"/>
  <c r="G1265" i="5"/>
  <c r="Q1265" i="5" s="1"/>
  <c r="F1265" i="5"/>
  <c r="E1265" i="5"/>
  <c r="P1265" i="5" s="1"/>
  <c r="D1265" i="5"/>
  <c r="U1264" i="5"/>
  <c r="T1264" i="5"/>
  <c r="S1264" i="5"/>
  <c r="I1264" i="5"/>
  <c r="R1264" i="5" s="1"/>
  <c r="H1264" i="5"/>
  <c r="G1264" i="5"/>
  <c r="Q1264" i="5" s="1"/>
  <c r="F1264" i="5"/>
  <c r="E1264" i="5"/>
  <c r="P1264" i="5" s="1"/>
  <c r="D1264" i="5"/>
  <c r="U1263" i="5"/>
  <c r="T1263" i="5"/>
  <c r="S1263" i="5"/>
  <c r="I1263" i="5"/>
  <c r="R1263" i="5" s="1"/>
  <c r="H1263" i="5"/>
  <c r="G1263" i="5"/>
  <c r="Q1263" i="5" s="1"/>
  <c r="F1263" i="5"/>
  <c r="E1263" i="5"/>
  <c r="P1263" i="5" s="1"/>
  <c r="D1263" i="5"/>
  <c r="U1262" i="5"/>
  <c r="T1262" i="5"/>
  <c r="S1262" i="5"/>
  <c r="I1262" i="5"/>
  <c r="R1262" i="5" s="1"/>
  <c r="H1262" i="5"/>
  <c r="G1262" i="5"/>
  <c r="Q1262" i="5" s="1"/>
  <c r="F1262" i="5"/>
  <c r="E1262" i="5"/>
  <c r="P1262" i="5" s="1"/>
  <c r="D1262" i="5"/>
  <c r="U1261" i="5"/>
  <c r="T1261" i="5"/>
  <c r="S1261" i="5"/>
  <c r="I1261" i="5"/>
  <c r="R1261" i="5" s="1"/>
  <c r="H1261" i="5"/>
  <c r="G1261" i="5"/>
  <c r="Q1261" i="5" s="1"/>
  <c r="F1261" i="5"/>
  <c r="E1261" i="5"/>
  <c r="P1261" i="5" s="1"/>
  <c r="D1261" i="5"/>
  <c r="U1260" i="5"/>
  <c r="T1260" i="5"/>
  <c r="S1260" i="5"/>
  <c r="I1260" i="5"/>
  <c r="R1260" i="5" s="1"/>
  <c r="H1260" i="5"/>
  <c r="G1260" i="5"/>
  <c r="Q1260" i="5" s="1"/>
  <c r="F1260" i="5"/>
  <c r="E1260" i="5"/>
  <c r="P1260" i="5" s="1"/>
  <c r="D1260" i="5"/>
  <c r="U1259" i="5"/>
  <c r="T1259" i="5"/>
  <c r="S1259" i="5"/>
  <c r="I1259" i="5"/>
  <c r="R1259" i="5" s="1"/>
  <c r="H1259" i="5"/>
  <c r="G1259" i="5"/>
  <c r="Q1259" i="5" s="1"/>
  <c r="F1259" i="5"/>
  <c r="E1259" i="5"/>
  <c r="P1259" i="5" s="1"/>
  <c r="D1259" i="5"/>
  <c r="U1258" i="5"/>
  <c r="T1258" i="5"/>
  <c r="S1258" i="5"/>
  <c r="I1258" i="5"/>
  <c r="R1258" i="5" s="1"/>
  <c r="H1258" i="5"/>
  <c r="G1258" i="5"/>
  <c r="Q1258" i="5" s="1"/>
  <c r="F1258" i="5"/>
  <c r="E1258" i="5"/>
  <c r="P1258" i="5" s="1"/>
  <c r="D1258" i="5"/>
  <c r="U1257" i="5"/>
  <c r="T1257" i="5"/>
  <c r="S1257" i="5"/>
  <c r="I1257" i="5"/>
  <c r="R1257" i="5" s="1"/>
  <c r="H1257" i="5"/>
  <c r="G1257" i="5"/>
  <c r="Q1257" i="5" s="1"/>
  <c r="F1257" i="5"/>
  <c r="E1257" i="5"/>
  <c r="P1257" i="5" s="1"/>
  <c r="D1257" i="5"/>
  <c r="T1199" i="5"/>
  <c r="S1199" i="5"/>
  <c r="I1199" i="5"/>
  <c r="R1199" i="5" s="1"/>
  <c r="H1199" i="5"/>
  <c r="G1199" i="5"/>
  <c r="Q1199" i="5" s="1"/>
  <c r="F1199" i="5"/>
  <c r="E1199" i="5"/>
  <c r="P1199" i="5" s="1"/>
  <c r="D1199" i="5"/>
  <c r="U1199" i="5" s="1"/>
  <c r="T1198" i="5"/>
  <c r="S1198" i="5"/>
  <c r="I1198" i="5"/>
  <c r="R1198" i="5" s="1"/>
  <c r="H1198" i="5"/>
  <c r="G1198" i="5"/>
  <c r="Q1198" i="5" s="1"/>
  <c r="F1198" i="5"/>
  <c r="E1198" i="5"/>
  <c r="P1198" i="5" s="1"/>
  <c r="D1198" i="5"/>
  <c r="U1198" i="5" s="1"/>
  <c r="U3593" i="5"/>
  <c r="T3593" i="5"/>
  <c r="S3593" i="5"/>
  <c r="R3593" i="5"/>
  <c r="Q3593" i="5"/>
  <c r="P3593" i="5"/>
  <c r="U1197" i="5"/>
  <c r="T1197" i="5"/>
  <c r="S1197" i="5"/>
  <c r="I1197" i="5"/>
  <c r="R1197" i="5" s="1"/>
  <c r="H1197" i="5"/>
  <c r="G1197" i="5"/>
  <c r="Q1197" i="5" s="1"/>
  <c r="F1197" i="5"/>
  <c r="E1197" i="5"/>
  <c r="P1197" i="5" s="1"/>
  <c r="D1197" i="5"/>
  <c r="U1196" i="5"/>
  <c r="T1196" i="5"/>
  <c r="S1196" i="5"/>
  <c r="I1196" i="5"/>
  <c r="R1196" i="5" s="1"/>
  <c r="H1196" i="5"/>
  <c r="G1196" i="5"/>
  <c r="Q1196" i="5" s="1"/>
  <c r="F1196" i="5"/>
  <c r="E1196" i="5"/>
  <c r="P1196" i="5" s="1"/>
  <c r="D1196" i="5"/>
  <c r="U1195" i="5"/>
  <c r="T1195" i="5"/>
  <c r="S1195" i="5"/>
  <c r="I1195" i="5"/>
  <c r="R1195" i="5" s="1"/>
  <c r="H1195" i="5"/>
  <c r="G1195" i="5"/>
  <c r="Q1195" i="5" s="1"/>
  <c r="F1195" i="5"/>
  <c r="E1195" i="5"/>
  <c r="P1195" i="5" s="1"/>
  <c r="D1195" i="5"/>
  <c r="U1194" i="5"/>
  <c r="T1194" i="5"/>
  <c r="S1194" i="5"/>
  <c r="I1194" i="5"/>
  <c r="R1194" i="5" s="1"/>
  <c r="H1194" i="5"/>
  <c r="G1194" i="5"/>
  <c r="Q1194" i="5" s="1"/>
  <c r="F1194" i="5"/>
  <c r="E1194" i="5"/>
  <c r="P1194" i="5" s="1"/>
  <c r="D1194" i="5"/>
  <c r="U1193" i="5"/>
  <c r="T1193" i="5"/>
  <c r="S1193" i="5"/>
  <c r="I1193" i="5"/>
  <c r="R1193" i="5" s="1"/>
  <c r="H1193" i="5"/>
  <c r="G1193" i="5"/>
  <c r="Q1193" i="5" s="1"/>
  <c r="F1193" i="5"/>
  <c r="E1193" i="5"/>
  <c r="P1193" i="5" s="1"/>
  <c r="D1193" i="5"/>
  <c r="U1192" i="5"/>
  <c r="T1192" i="5"/>
  <c r="S1192" i="5"/>
  <c r="I1192" i="5"/>
  <c r="R1192" i="5" s="1"/>
  <c r="H1192" i="5"/>
  <c r="G1192" i="5"/>
  <c r="Q1192" i="5" s="1"/>
  <c r="F1192" i="5"/>
  <c r="E1192" i="5"/>
  <c r="P1192" i="5" s="1"/>
  <c r="D1192" i="5"/>
  <c r="U1191" i="5"/>
  <c r="T1191" i="5"/>
  <c r="S1191" i="5"/>
  <c r="I1191" i="5"/>
  <c r="R1191" i="5" s="1"/>
  <c r="H1191" i="5"/>
  <c r="G1191" i="5"/>
  <c r="Q1191" i="5" s="1"/>
  <c r="F1191" i="5"/>
  <c r="E1191" i="5"/>
  <c r="P1191" i="5" s="1"/>
  <c r="D1191" i="5"/>
  <c r="U1190" i="5"/>
  <c r="T1190" i="5"/>
  <c r="S1190" i="5"/>
  <c r="I1190" i="5"/>
  <c r="R1190" i="5" s="1"/>
  <c r="H1190" i="5"/>
  <c r="G1190" i="5"/>
  <c r="Q1190" i="5" s="1"/>
  <c r="F1190" i="5"/>
  <c r="E1190" i="5"/>
  <c r="P1190" i="5" s="1"/>
  <c r="D1190" i="5"/>
  <c r="U1189" i="5"/>
  <c r="T1189" i="5"/>
  <c r="S1189" i="5"/>
  <c r="I1189" i="5"/>
  <c r="R1189" i="5" s="1"/>
  <c r="H1189" i="5"/>
  <c r="G1189" i="5"/>
  <c r="Q1189" i="5" s="1"/>
  <c r="F1189" i="5"/>
  <c r="E1189" i="5"/>
  <c r="P1189" i="5" s="1"/>
  <c r="D1189" i="5"/>
  <c r="U1188" i="5"/>
  <c r="T1188" i="5"/>
  <c r="S1188" i="5"/>
  <c r="I1188" i="5"/>
  <c r="R1188" i="5" s="1"/>
  <c r="H1188" i="5"/>
  <c r="G1188" i="5"/>
  <c r="Q1188" i="5" s="1"/>
  <c r="F1188" i="5"/>
  <c r="E1188" i="5"/>
  <c r="P1188" i="5" s="1"/>
  <c r="D1188" i="5"/>
  <c r="U1187" i="5"/>
  <c r="T1187" i="5"/>
  <c r="S1187" i="5"/>
  <c r="I1187" i="5"/>
  <c r="R1187" i="5" s="1"/>
  <c r="H1187" i="5"/>
  <c r="G1187" i="5"/>
  <c r="Q1187" i="5" s="1"/>
  <c r="F1187" i="5"/>
  <c r="E1187" i="5"/>
  <c r="P1187" i="5" s="1"/>
  <c r="D1187" i="5"/>
  <c r="T1129" i="5"/>
  <c r="S1129" i="5"/>
  <c r="I1129" i="5"/>
  <c r="R1129" i="5" s="1"/>
  <c r="H1129" i="5"/>
  <c r="G1129" i="5"/>
  <c r="Q1129" i="5" s="1"/>
  <c r="F1129" i="5"/>
  <c r="E1129" i="5"/>
  <c r="P1129" i="5" s="1"/>
  <c r="D1129" i="5"/>
  <c r="U1129" i="5" s="1"/>
  <c r="T1128" i="5"/>
  <c r="S1128" i="5"/>
  <c r="I1128" i="5"/>
  <c r="R1128" i="5" s="1"/>
  <c r="H1128" i="5"/>
  <c r="G1128" i="5"/>
  <c r="Q1128" i="5" s="1"/>
  <c r="F1128" i="5"/>
  <c r="E1128" i="5"/>
  <c r="P1128" i="5" s="1"/>
  <c r="D1128" i="5"/>
  <c r="U1128" i="5" s="1"/>
  <c r="U3500" i="5"/>
  <c r="T3500" i="5"/>
  <c r="S3500" i="5"/>
  <c r="P3500" i="5"/>
  <c r="I3500" i="5"/>
  <c r="R3500" i="5" s="1"/>
  <c r="H3500" i="5"/>
  <c r="G3500" i="5"/>
  <c r="Q3500" i="5" s="1"/>
  <c r="F3500" i="5"/>
  <c r="U1127" i="5"/>
  <c r="T1127" i="5"/>
  <c r="S1127" i="5"/>
  <c r="I1127" i="5"/>
  <c r="R1127" i="5" s="1"/>
  <c r="H1127" i="5"/>
  <c r="G1127" i="5"/>
  <c r="Q1127" i="5" s="1"/>
  <c r="F1127" i="5"/>
  <c r="E1127" i="5"/>
  <c r="P1127" i="5" s="1"/>
  <c r="D1127" i="5"/>
  <c r="U1126" i="5"/>
  <c r="T1126" i="5"/>
  <c r="S1126" i="5"/>
  <c r="I1126" i="5"/>
  <c r="R1126" i="5" s="1"/>
  <c r="H1126" i="5"/>
  <c r="G1126" i="5"/>
  <c r="Q1126" i="5" s="1"/>
  <c r="F1126" i="5"/>
  <c r="E1126" i="5"/>
  <c r="P1126" i="5" s="1"/>
  <c r="D1126" i="5"/>
  <c r="U1125" i="5"/>
  <c r="T1125" i="5"/>
  <c r="S1125" i="5"/>
  <c r="I1125" i="5"/>
  <c r="R1125" i="5" s="1"/>
  <c r="H1125" i="5"/>
  <c r="G1125" i="5"/>
  <c r="Q1125" i="5" s="1"/>
  <c r="F1125" i="5"/>
  <c r="E1125" i="5"/>
  <c r="P1125" i="5" s="1"/>
  <c r="D1125" i="5"/>
  <c r="U1124" i="5"/>
  <c r="T1124" i="5"/>
  <c r="S1124" i="5"/>
  <c r="I1124" i="5"/>
  <c r="R1124" i="5" s="1"/>
  <c r="H1124" i="5"/>
  <c r="G1124" i="5"/>
  <c r="Q1124" i="5" s="1"/>
  <c r="F1124" i="5"/>
  <c r="E1124" i="5"/>
  <c r="P1124" i="5" s="1"/>
  <c r="D1124" i="5"/>
  <c r="U1123" i="5"/>
  <c r="T1123" i="5"/>
  <c r="S1123" i="5"/>
  <c r="I1123" i="5"/>
  <c r="R1123" i="5" s="1"/>
  <c r="H1123" i="5"/>
  <c r="G1123" i="5"/>
  <c r="Q1123" i="5" s="1"/>
  <c r="F1123" i="5"/>
  <c r="E1123" i="5"/>
  <c r="P1123" i="5" s="1"/>
  <c r="D1123" i="5"/>
  <c r="U1122" i="5"/>
  <c r="T1122" i="5"/>
  <c r="S1122" i="5"/>
  <c r="I1122" i="5"/>
  <c r="R1122" i="5" s="1"/>
  <c r="H1122" i="5"/>
  <c r="G1122" i="5"/>
  <c r="Q1122" i="5" s="1"/>
  <c r="F1122" i="5"/>
  <c r="E1122" i="5"/>
  <c r="P1122" i="5" s="1"/>
  <c r="D1122" i="5"/>
  <c r="U1121" i="5"/>
  <c r="T1121" i="5"/>
  <c r="S1121" i="5"/>
  <c r="I1121" i="5"/>
  <c r="R1121" i="5" s="1"/>
  <c r="H1121" i="5"/>
  <c r="G1121" i="5"/>
  <c r="Q1121" i="5" s="1"/>
  <c r="F1121" i="5"/>
  <c r="E1121" i="5"/>
  <c r="P1121" i="5" s="1"/>
  <c r="D1121" i="5"/>
  <c r="U1120" i="5"/>
  <c r="T1120" i="5"/>
  <c r="S1120" i="5"/>
  <c r="I1120" i="5"/>
  <c r="R1120" i="5" s="1"/>
  <c r="H1120" i="5"/>
  <c r="G1120" i="5"/>
  <c r="Q1120" i="5" s="1"/>
  <c r="F1120" i="5"/>
  <c r="E1120" i="5"/>
  <c r="P1120" i="5" s="1"/>
  <c r="D1120" i="5"/>
  <c r="U1119" i="5"/>
  <c r="T1119" i="5"/>
  <c r="S1119" i="5"/>
  <c r="I1119" i="5"/>
  <c r="R1119" i="5" s="1"/>
  <c r="H1119" i="5"/>
  <c r="G1119" i="5"/>
  <c r="Q1119" i="5" s="1"/>
  <c r="F1119" i="5"/>
  <c r="E1119" i="5"/>
  <c r="P1119" i="5" s="1"/>
  <c r="D1119" i="5"/>
  <c r="U1118" i="5"/>
  <c r="T1118" i="5"/>
  <c r="S1118" i="5"/>
  <c r="I1118" i="5"/>
  <c r="R1118" i="5" s="1"/>
  <c r="H1118" i="5"/>
  <c r="G1118" i="5"/>
  <c r="Q1118" i="5" s="1"/>
  <c r="F1118" i="5"/>
  <c r="E1118" i="5"/>
  <c r="P1118" i="5" s="1"/>
  <c r="D1118" i="5"/>
  <c r="U1117" i="5"/>
  <c r="T1117" i="5"/>
  <c r="S1117" i="5"/>
  <c r="I1117" i="5"/>
  <c r="R1117" i="5" s="1"/>
  <c r="H1117" i="5"/>
  <c r="G1117" i="5"/>
  <c r="Q1117" i="5" s="1"/>
  <c r="F1117" i="5"/>
  <c r="E1117" i="5"/>
  <c r="P1117" i="5" s="1"/>
  <c r="D1117" i="5"/>
  <c r="T1059" i="5"/>
  <c r="S1059" i="5"/>
  <c r="I1059" i="5"/>
  <c r="R1059" i="5" s="1"/>
  <c r="H1059" i="5"/>
  <c r="G1059" i="5"/>
  <c r="Q1059" i="5" s="1"/>
  <c r="F1059" i="5"/>
  <c r="E1059" i="5"/>
  <c r="P1059" i="5" s="1"/>
  <c r="D1059" i="5"/>
  <c r="U1059" i="5" s="1"/>
  <c r="T1058" i="5"/>
  <c r="S1058" i="5"/>
  <c r="I1058" i="5"/>
  <c r="R1058" i="5" s="1"/>
  <c r="H1058" i="5"/>
  <c r="G1058" i="5"/>
  <c r="Q1058" i="5" s="1"/>
  <c r="F1058" i="5"/>
  <c r="E1058" i="5"/>
  <c r="P1058" i="5" s="1"/>
  <c r="D1058" i="5"/>
  <c r="U1058" i="5" s="1"/>
  <c r="U3499" i="5"/>
  <c r="T3499" i="5"/>
  <c r="S3499" i="5"/>
  <c r="R3499" i="5"/>
  <c r="Q3499" i="5"/>
  <c r="U1057" i="5"/>
  <c r="T1057" i="5"/>
  <c r="S1057" i="5"/>
  <c r="I1057" i="5"/>
  <c r="R1057" i="5" s="1"/>
  <c r="H1057" i="5"/>
  <c r="G1057" i="5"/>
  <c r="Q1057" i="5" s="1"/>
  <c r="F1057" i="5"/>
  <c r="E1057" i="5"/>
  <c r="P1057" i="5" s="1"/>
  <c r="D1057" i="5"/>
  <c r="U1056" i="5"/>
  <c r="T1056" i="5"/>
  <c r="S1056" i="5"/>
  <c r="I1056" i="5"/>
  <c r="R1056" i="5" s="1"/>
  <c r="H1056" i="5"/>
  <c r="G1056" i="5"/>
  <c r="Q1056" i="5" s="1"/>
  <c r="F1056" i="5"/>
  <c r="E1056" i="5"/>
  <c r="P1056" i="5" s="1"/>
  <c r="D1056" i="5"/>
  <c r="U1055" i="5"/>
  <c r="T1055" i="5"/>
  <c r="S1055" i="5"/>
  <c r="I1055" i="5"/>
  <c r="R1055" i="5" s="1"/>
  <c r="H1055" i="5"/>
  <c r="G1055" i="5"/>
  <c r="Q1055" i="5" s="1"/>
  <c r="F1055" i="5"/>
  <c r="E1055" i="5"/>
  <c r="P1055" i="5" s="1"/>
  <c r="D1055" i="5"/>
  <c r="U1054" i="5"/>
  <c r="T1054" i="5"/>
  <c r="S1054" i="5"/>
  <c r="I1054" i="5"/>
  <c r="R1054" i="5" s="1"/>
  <c r="H1054" i="5"/>
  <c r="G1054" i="5"/>
  <c r="Q1054" i="5" s="1"/>
  <c r="F1054" i="5"/>
  <c r="E1054" i="5"/>
  <c r="P1054" i="5" s="1"/>
  <c r="D1054" i="5"/>
  <c r="U1053" i="5"/>
  <c r="T1053" i="5"/>
  <c r="S1053" i="5"/>
  <c r="I1053" i="5"/>
  <c r="R1053" i="5" s="1"/>
  <c r="H1053" i="5"/>
  <c r="G1053" i="5"/>
  <c r="Q1053" i="5" s="1"/>
  <c r="F1053" i="5"/>
  <c r="E1053" i="5"/>
  <c r="P1053" i="5" s="1"/>
  <c r="D1053" i="5"/>
  <c r="U1052" i="5"/>
  <c r="T1052" i="5"/>
  <c r="S1052" i="5"/>
  <c r="I1052" i="5"/>
  <c r="R1052" i="5" s="1"/>
  <c r="H1052" i="5"/>
  <c r="G1052" i="5"/>
  <c r="Q1052" i="5" s="1"/>
  <c r="F1052" i="5"/>
  <c r="E1052" i="5"/>
  <c r="P1052" i="5" s="1"/>
  <c r="D1052" i="5"/>
  <c r="U1051" i="5"/>
  <c r="T1051" i="5"/>
  <c r="S1051" i="5"/>
  <c r="I1051" i="5"/>
  <c r="R1051" i="5" s="1"/>
  <c r="H1051" i="5"/>
  <c r="G1051" i="5"/>
  <c r="Q1051" i="5" s="1"/>
  <c r="F1051" i="5"/>
  <c r="E1051" i="5"/>
  <c r="P1051" i="5" s="1"/>
  <c r="D1051" i="5"/>
  <c r="U1050" i="5"/>
  <c r="T1050" i="5"/>
  <c r="S1050" i="5"/>
  <c r="I1050" i="5"/>
  <c r="R1050" i="5" s="1"/>
  <c r="H1050" i="5"/>
  <c r="G1050" i="5"/>
  <c r="Q1050" i="5" s="1"/>
  <c r="F1050" i="5"/>
  <c r="E1050" i="5"/>
  <c r="P1050" i="5" s="1"/>
  <c r="D1050" i="5"/>
  <c r="U1049" i="5"/>
  <c r="T1049" i="5"/>
  <c r="S1049" i="5"/>
  <c r="I1049" i="5"/>
  <c r="R1049" i="5" s="1"/>
  <c r="H1049" i="5"/>
  <c r="G1049" i="5"/>
  <c r="Q1049" i="5" s="1"/>
  <c r="F1049" i="5"/>
  <c r="E1049" i="5"/>
  <c r="P1049" i="5" s="1"/>
  <c r="D1049" i="5"/>
  <c r="U1048" i="5"/>
  <c r="T1048" i="5"/>
  <c r="S1048" i="5"/>
  <c r="I1048" i="5"/>
  <c r="R1048" i="5" s="1"/>
  <c r="H1048" i="5"/>
  <c r="G1048" i="5"/>
  <c r="Q1048" i="5" s="1"/>
  <c r="F1048" i="5"/>
  <c r="E1048" i="5"/>
  <c r="P1048" i="5" s="1"/>
  <c r="D1048" i="5"/>
  <c r="T993" i="5"/>
  <c r="S993" i="5"/>
  <c r="I993" i="5"/>
  <c r="R993" i="5" s="1"/>
  <c r="H993" i="5"/>
  <c r="G993" i="5"/>
  <c r="Q993" i="5" s="1"/>
  <c r="F993" i="5"/>
  <c r="E993" i="5"/>
  <c r="P993" i="5" s="1"/>
  <c r="D993" i="5"/>
  <c r="U993" i="5" s="1"/>
  <c r="T992" i="5"/>
  <c r="S992" i="5"/>
  <c r="I992" i="5"/>
  <c r="R992" i="5" s="1"/>
  <c r="H992" i="5"/>
  <c r="G992" i="5"/>
  <c r="Q992" i="5" s="1"/>
  <c r="F992" i="5"/>
  <c r="E992" i="5"/>
  <c r="P992" i="5" s="1"/>
  <c r="D992" i="5"/>
  <c r="U992" i="5" s="1"/>
  <c r="U3498" i="5"/>
  <c r="T3498" i="5"/>
  <c r="S3498" i="5"/>
  <c r="R3498" i="5"/>
  <c r="Q3498" i="5"/>
  <c r="P3498" i="5"/>
  <c r="U991" i="5"/>
  <c r="T991" i="5"/>
  <c r="S991" i="5"/>
  <c r="I991" i="5"/>
  <c r="R991" i="5" s="1"/>
  <c r="H991" i="5"/>
  <c r="G991" i="5"/>
  <c r="Q991" i="5" s="1"/>
  <c r="F991" i="5"/>
  <c r="E991" i="5"/>
  <c r="P991" i="5" s="1"/>
  <c r="D991" i="5"/>
  <c r="U990" i="5"/>
  <c r="T990" i="5"/>
  <c r="S990" i="5"/>
  <c r="I990" i="5"/>
  <c r="R990" i="5" s="1"/>
  <c r="H990" i="5"/>
  <c r="G990" i="5"/>
  <c r="Q990" i="5" s="1"/>
  <c r="F990" i="5"/>
  <c r="E990" i="5"/>
  <c r="P990" i="5" s="1"/>
  <c r="D990" i="5"/>
  <c r="U989" i="5"/>
  <c r="T989" i="5"/>
  <c r="S989" i="5"/>
  <c r="I989" i="5"/>
  <c r="R989" i="5" s="1"/>
  <c r="H989" i="5"/>
  <c r="G989" i="5"/>
  <c r="Q989" i="5" s="1"/>
  <c r="F989" i="5"/>
  <c r="E989" i="5"/>
  <c r="P989" i="5" s="1"/>
  <c r="D989" i="5"/>
  <c r="U988" i="5"/>
  <c r="T988" i="5"/>
  <c r="S988" i="5"/>
  <c r="I988" i="5"/>
  <c r="R988" i="5" s="1"/>
  <c r="H988" i="5"/>
  <c r="G988" i="5"/>
  <c r="Q988" i="5" s="1"/>
  <c r="F988" i="5"/>
  <c r="E988" i="5"/>
  <c r="P988" i="5" s="1"/>
  <c r="D988" i="5"/>
  <c r="U987" i="5"/>
  <c r="T987" i="5"/>
  <c r="S987" i="5"/>
  <c r="I987" i="5"/>
  <c r="R987" i="5" s="1"/>
  <c r="H987" i="5"/>
  <c r="G987" i="5"/>
  <c r="Q987" i="5" s="1"/>
  <c r="F987" i="5"/>
  <c r="E987" i="5"/>
  <c r="P987" i="5" s="1"/>
  <c r="D987" i="5"/>
  <c r="U986" i="5"/>
  <c r="T986" i="5"/>
  <c r="S986" i="5"/>
  <c r="I986" i="5"/>
  <c r="R986" i="5" s="1"/>
  <c r="H986" i="5"/>
  <c r="G986" i="5"/>
  <c r="Q986" i="5" s="1"/>
  <c r="F986" i="5"/>
  <c r="E986" i="5"/>
  <c r="P986" i="5" s="1"/>
  <c r="D986" i="5"/>
  <c r="U985" i="5"/>
  <c r="T985" i="5"/>
  <c r="S985" i="5"/>
  <c r="I985" i="5"/>
  <c r="R985" i="5" s="1"/>
  <c r="H985" i="5"/>
  <c r="G985" i="5"/>
  <c r="Q985" i="5" s="1"/>
  <c r="F985" i="5"/>
  <c r="E985" i="5"/>
  <c r="P985" i="5" s="1"/>
  <c r="D985" i="5"/>
  <c r="U984" i="5"/>
  <c r="T984" i="5"/>
  <c r="S984" i="5"/>
  <c r="I984" i="5"/>
  <c r="R984" i="5" s="1"/>
  <c r="H984" i="5"/>
  <c r="G984" i="5"/>
  <c r="Q984" i="5" s="1"/>
  <c r="F984" i="5"/>
  <c r="E984" i="5"/>
  <c r="P984" i="5" s="1"/>
  <c r="D984" i="5"/>
  <c r="U983" i="5"/>
  <c r="T983" i="5"/>
  <c r="S983" i="5"/>
  <c r="I983" i="5"/>
  <c r="R983" i="5" s="1"/>
  <c r="H983" i="5"/>
  <c r="G983" i="5"/>
  <c r="Q983" i="5" s="1"/>
  <c r="F983" i="5"/>
  <c r="E983" i="5"/>
  <c r="P983" i="5" s="1"/>
  <c r="D983" i="5"/>
  <c r="U982" i="5"/>
  <c r="T982" i="5"/>
  <c r="S982" i="5"/>
  <c r="I982" i="5"/>
  <c r="R982" i="5" s="1"/>
  <c r="H982" i="5"/>
  <c r="G982" i="5"/>
  <c r="Q982" i="5" s="1"/>
  <c r="F982" i="5"/>
  <c r="E982" i="5"/>
  <c r="P982" i="5" s="1"/>
  <c r="D982" i="5"/>
  <c r="T927" i="5"/>
  <c r="S927" i="5"/>
  <c r="I927" i="5"/>
  <c r="R927" i="5" s="1"/>
  <c r="H927" i="5"/>
  <c r="G927" i="5"/>
  <c r="Q927" i="5" s="1"/>
  <c r="F927" i="5"/>
  <c r="E927" i="5"/>
  <c r="P927" i="5" s="1"/>
  <c r="D927" i="5"/>
  <c r="U927" i="5" s="1"/>
  <c r="T926" i="5"/>
  <c r="S926" i="5"/>
  <c r="I926" i="5"/>
  <c r="R926" i="5" s="1"/>
  <c r="H926" i="5"/>
  <c r="G926" i="5"/>
  <c r="Q926" i="5" s="1"/>
  <c r="F926" i="5"/>
  <c r="E926" i="5"/>
  <c r="P926" i="5" s="1"/>
  <c r="D926" i="5"/>
  <c r="U926" i="5" s="1"/>
  <c r="U3497" i="5"/>
  <c r="T3497" i="5"/>
  <c r="S3497" i="5"/>
  <c r="R3497" i="5"/>
  <c r="Q3497" i="5"/>
  <c r="P3497" i="5"/>
  <c r="U925" i="5"/>
  <c r="T925" i="5"/>
  <c r="S925" i="5"/>
  <c r="I925" i="5"/>
  <c r="R925" i="5" s="1"/>
  <c r="H925" i="5"/>
  <c r="G925" i="5"/>
  <c r="Q925" i="5" s="1"/>
  <c r="F925" i="5"/>
  <c r="E925" i="5"/>
  <c r="P925" i="5" s="1"/>
  <c r="D925" i="5"/>
  <c r="U924" i="5"/>
  <c r="T924" i="5"/>
  <c r="S924" i="5"/>
  <c r="I924" i="5"/>
  <c r="R924" i="5" s="1"/>
  <c r="H924" i="5"/>
  <c r="G924" i="5"/>
  <c r="Q924" i="5" s="1"/>
  <c r="F924" i="5"/>
  <c r="E924" i="5"/>
  <c r="P924" i="5" s="1"/>
  <c r="D924" i="5"/>
  <c r="U923" i="5"/>
  <c r="T923" i="5"/>
  <c r="S923" i="5"/>
  <c r="I923" i="5"/>
  <c r="R923" i="5" s="1"/>
  <c r="H923" i="5"/>
  <c r="G923" i="5"/>
  <c r="Q923" i="5" s="1"/>
  <c r="F923" i="5"/>
  <c r="E923" i="5"/>
  <c r="P923" i="5" s="1"/>
  <c r="D923" i="5"/>
  <c r="U922" i="5"/>
  <c r="T922" i="5"/>
  <c r="S922" i="5"/>
  <c r="I922" i="5"/>
  <c r="R922" i="5" s="1"/>
  <c r="H922" i="5"/>
  <c r="G922" i="5"/>
  <c r="Q922" i="5" s="1"/>
  <c r="F922" i="5"/>
  <c r="E922" i="5"/>
  <c r="P922" i="5" s="1"/>
  <c r="D922" i="5"/>
  <c r="U921" i="5"/>
  <c r="T921" i="5"/>
  <c r="S921" i="5"/>
  <c r="I921" i="5"/>
  <c r="R921" i="5" s="1"/>
  <c r="H921" i="5"/>
  <c r="G921" i="5"/>
  <c r="Q921" i="5" s="1"/>
  <c r="F921" i="5"/>
  <c r="E921" i="5"/>
  <c r="P921" i="5" s="1"/>
  <c r="D921" i="5"/>
  <c r="U920" i="5"/>
  <c r="T920" i="5"/>
  <c r="S920" i="5"/>
  <c r="I920" i="5"/>
  <c r="R920" i="5" s="1"/>
  <c r="H920" i="5"/>
  <c r="G920" i="5"/>
  <c r="Q920" i="5" s="1"/>
  <c r="F920" i="5"/>
  <c r="E920" i="5"/>
  <c r="P920" i="5" s="1"/>
  <c r="D920" i="5"/>
  <c r="U919" i="5"/>
  <c r="T919" i="5"/>
  <c r="S919" i="5"/>
  <c r="I919" i="5"/>
  <c r="R919" i="5" s="1"/>
  <c r="H919" i="5"/>
  <c r="G919" i="5"/>
  <c r="Q919" i="5" s="1"/>
  <c r="F919" i="5"/>
  <c r="E919" i="5"/>
  <c r="P919" i="5" s="1"/>
  <c r="D919" i="5"/>
  <c r="U918" i="5"/>
  <c r="T918" i="5"/>
  <c r="S918" i="5"/>
  <c r="I918" i="5"/>
  <c r="R918" i="5" s="1"/>
  <c r="H918" i="5"/>
  <c r="G918" i="5"/>
  <c r="Q918" i="5" s="1"/>
  <c r="F918" i="5"/>
  <c r="E918" i="5"/>
  <c r="P918" i="5" s="1"/>
  <c r="D918" i="5"/>
  <c r="U917" i="5"/>
  <c r="T917" i="5"/>
  <c r="S917" i="5"/>
  <c r="I917" i="5"/>
  <c r="R917" i="5" s="1"/>
  <c r="H917" i="5"/>
  <c r="G917" i="5"/>
  <c r="Q917" i="5" s="1"/>
  <c r="F917" i="5"/>
  <c r="E917" i="5"/>
  <c r="P917" i="5" s="1"/>
  <c r="D917" i="5"/>
  <c r="U916" i="5"/>
  <c r="T916" i="5"/>
  <c r="S916" i="5"/>
  <c r="I916" i="5"/>
  <c r="R916" i="5" s="1"/>
  <c r="H916" i="5"/>
  <c r="G916" i="5"/>
  <c r="Q916" i="5" s="1"/>
  <c r="F916" i="5"/>
  <c r="E916" i="5"/>
  <c r="P916" i="5" s="1"/>
  <c r="D916" i="5"/>
  <c r="T861" i="5"/>
  <c r="S861" i="5"/>
  <c r="I861" i="5"/>
  <c r="R861" i="5" s="1"/>
  <c r="H861" i="5"/>
  <c r="G861" i="5"/>
  <c r="Q861" i="5" s="1"/>
  <c r="F861" i="5"/>
  <c r="E861" i="5"/>
  <c r="P861" i="5" s="1"/>
  <c r="D861" i="5"/>
  <c r="U861" i="5" s="1"/>
  <c r="T860" i="5"/>
  <c r="S860" i="5"/>
  <c r="I860" i="5"/>
  <c r="R860" i="5" s="1"/>
  <c r="H860" i="5"/>
  <c r="G860" i="5"/>
  <c r="Q860" i="5" s="1"/>
  <c r="F860" i="5"/>
  <c r="E860" i="5"/>
  <c r="P860" i="5" s="1"/>
  <c r="D860" i="5"/>
  <c r="U860" i="5" s="1"/>
  <c r="U3496" i="5"/>
  <c r="T3496" i="5"/>
  <c r="S3496" i="5"/>
  <c r="R3496" i="5"/>
  <c r="Q3496" i="5"/>
  <c r="P3496" i="5"/>
  <c r="U859" i="5"/>
  <c r="T859" i="5"/>
  <c r="S859" i="5"/>
  <c r="I859" i="5"/>
  <c r="R859" i="5" s="1"/>
  <c r="H859" i="5"/>
  <c r="G859" i="5"/>
  <c r="Q859" i="5" s="1"/>
  <c r="F859" i="5"/>
  <c r="E859" i="5"/>
  <c r="P859" i="5" s="1"/>
  <c r="D859" i="5"/>
  <c r="U858" i="5"/>
  <c r="T858" i="5"/>
  <c r="S858" i="5"/>
  <c r="I858" i="5"/>
  <c r="R858" i="5" s="1"/>
  <c r="H858" i="5"/>
  <c r="G858" i="5"/>
  <c r="Q858" i="5" s="1"/>
  <c r="F858" i="5"/>
  <c r="E858" i="5"/>
  <c r="P858" i="5" s="1"/>
  <c r="D858" i="5"/>
  <c r="U857" i="5"/>
  <c r="T857" i="5"/>
  <c r="S857" i="5"/>
  <c r="I857" i="5"/>
  <c r="R857" i="5" s="1"/>
  <c r="H857" i="5"/>
  <c r="G857" i="5"/>
  <c r="Q857" i="5" s="1"/>
  <c r="F857" i="5"/>
  <c r="E857" i="5"/>
  <c r="P857" i="5" s="1"/>
  <c r="D857" i="5"/>
  <c r="U856" i="5"/>
  <c r="T856" i="5"/>
  <c r="S856" i="5"/>
  <c r="I856" i="5"/>
  <c r="R856" i="5" s="1"/>
  <c r="H856" i="5"/>
  <c r="G856" i="5"/>
  <c r="Q856" i="5" s="1"/>
  <c r="F856" i="5"/>
  <c r="E856" i="5"/>
  <c r="P856" i="5" s="1"/>
  <c r="D856" i="5"/>
  <c r="U855" i="5"/>
  <c r="T855" i="5"/>
  <c r="S855" i="5"/>
  <c r="I855" i="5"/>
  <c r="R855" i="5" s="1"/>
  <c r="H855" i="5"/>
  <c r="G855" i="5"/>
  <c r="Q855" i="5" s="1"/>
  <c r="F855" i="5"/>
  <c r="E855" i="5"/>
  <c r="P855" i="5" s="1"/>
  <c r="D855" i="5"/>
  <c r="U854" i="5"/>
  <c r="T854" i="5"/>
  <c r="S854" i="5"/>
  <c r="I854" i="5"/>
  <c r="R854" i="5" s="1"/>
  <c r="H854" i="5"/>
  <c r="G854" i="5"/>
  <c r="Q854" i="5" s="1"/>
  <c r="F854" i="5"/>
  <c r="E854" i="5"/>
  <c r="P854" i="5" s="1"/>
  <c r="D854" i="5"/>
  <c r="U853" i="5"/>
  <c r="T853" i="5"/>
  <c r="S853" i="5"/>
  <c r="I853" i="5"/>
  <c r="R853" i="5" s="1"/>
  <c r="H853" i="5"/>
  <c r="G853" i="5"/>
  <c r="Q853" i="5" s="1"/>
  <c r="F853" i="5"/>
  <c r="E853" i="5"/>
  <c r="P853" i="5" s="1"/>
  <c r="D853" i="5"/>
  <c r="U852" i="5"/>
  <c r="T852" i="5"/>
  <c r="S852" i="5"/>
  <c r="I852" i="5"/>
  <c r="R852" i="5" s="1"/>
  <c r="H852" i="5"/>
  <c r="G852" i="5"/>
  <c r="Q852" i="5" s="1"/>
  <c r="F852" i="5"/>
  <c r="E852" i="5"/>
  <c r="P852" i="5" s="1"/>
  <c r="D852" i="5"/>
  <c r="U851" i="5"/>
  <c r="T851" i="5"/>
  <c r="S851" i="5"/>
  <c r="I851" i="5"/>
  <c r="R851" i="5" s="1"/>
  <c r="H851" i="5"/>
  <c r="G851" i="5"/>
  <c r="Q851" i="5" s="1"/>
  <c r="F851" i="5"/>
  <c r="E851" i="5"/>
  <c r="P851" i="5" s="1"/>
  <c r="D851" i="5"/>
  <c r="U850" i="5"/>
  <c r="T850" i="5"/>
  <c r="S850" i="5"/>
  <c r="I850" i="5"/>
  <c r="R850" i="5" s="1"/>
  <c r="H850" i="5"/>
  <c r="G850" i="5"/>
  <c r="Q850" i="5" s="1"/>
  <c r="F850" i="5"/>
  <c r="E850" i="5"/>
  <c r="P850" i="5" s="1"/>
  <c r="D850" i="5"/>
  <c r="T795" i="5"/>
  <c r="S795" i="5"/>
  <c r="I795" i="5"/>
  <c r="R795" i="5" s="1"/>
  <c r="H795" i="5"/>
  <c r="G795" i="5"/>
  <c r="Q795" i="5" s="1"/>
  <c r="F795" i="5"/>
  <c r="E795" i="5"/>
  <c r="P795" i="5" s="1"/>
  <c r="D795" i="5"/>
  <c r="U795" i="5" s="1"/>
  <c r="T794" i="5"/>
  <c r="S794" i="5"/>
  <c r="I794" i="5"/>
  <c r="R794" i="5" s="1"/>
  <c r="H794" i="5"/>
  <c r="G794" i="5"/>
  <c r="Q794" i="5" s="1"/>
  <c r="F794" i="5"/>
  <c r="E794" i="5"/>
  <c r="P794" i="5" s="1"/>
  <c r="D794" i="5"/>
  <c r="U794" i="5" s="1"/>
  <c r="U3495" i="5"/>
  <c r="T3495" i="5"/>
  <c r="S3495" i="5"/>
  <c r="R3495" i="5"/>
  <c r="Q3495" i="5"/>
  <c r="P3495" i="5"/>
  <c r="U793" i="5"/>
  <c r="T793" i="5"/>
  <c r="S793" i="5"/>
  <c r="I793" i="5"/>
  <c r="R793" i="5" s="1"/>
  <c r="H793" i="5"/>
  <c r="G793" i="5"/>
  <c r="Q793" i="5" s="1"/>
  <c r="F793" i="5"/>
  <c r="E793" i="5"/>
  <c r="P793" i="5" s="1"/>
  <c r="D793" i="5"/>
  <c r="U792" i="5"/>
  <c r="T792" i="5"/>
  <c r="S792" i="5"/>
  <c r="I792" i="5"/>
  <c r="R792" i="5" s="1"/>
  <c r="H792" i="5"/>
  <c r="G792" i="5"/>
  <c r="Q792" i="5" s="1"/>
  <c r="F792" i="5"/>
  <c r="E792" i="5"/>
  <c r="P792" i="5" s="1"/>
  <c r="D792" i="5"/>
  <c r="U791" i="5"/>
  <c r="T791" i="5"/>
  <c r="S791" i="5"/>
  <c r="I791" i="5"/>
  <c r="R791" i="5" s="1"/>
  <c r="H791" i="5"/>
  <c r="G791" i="5"/>
  <c r="Q791" i="5" s="1"/>
  <c r="F791" i="5"/>
  <c r="E791" i="5"/>
  <c r="P791" i="5" s="1"/>
  <c r="D791" i="5"/>
  <c r="U790" i="5"/>
  <c r="T790" i="5"/>
  <c r="S790" i="5"/>
  <c r="I790" i="5"/>
  <c r="R790" i="5" s="1"/>
  <c r="H790" i="5"/>
  <c r="G790" i="5"/>
  <c r="Q790" i="5" s="1"/>
  <c r="F790" i="5"/>
  <c r="E790" i="5"/>
  <c r="P790" i="5" s="1"/>
  <c r="D790" i="5"/>
  <c r="U789" i="5"/>
  <c r="T789" i="5"/>
  <c r="S789" i="5"/>
  <c r="I789" i="5"/>
  <c r="R789" i="5" s="1"/>
  <c r="H789" i="5"/>
  <c r="G789" i="5"/>
  <c r="Q789" i="5" s="1"/>
  <c r="F789" i="5"/>
  <c r="E789" i="5"/>
  <c r="P789" i="5" s="1"/>
  <c r="D789" i="5"/>
  <c r="U788" i="5"/>
  <c r="T788" i="5"/>
  <c r="S788" i="5"/>
  <c r="I788" i="5"/>
  <c r="R788" i="5" s="1"/>
  <c r="H788" i="5"/>
  <c r="G788" i="5"/>
  <c r="Q788" i="5" s="1"/>
  <c r="F788" i="5"/>
  <c r="E788" i="5"/>
  <c r="P788" i="5" s="1"/>
  <c r="D788" i="5"/>
  <c r="U787" i="5"/>
  <c r="T787" i="5"/>
  <c r="S787" i="5"/>
  <c r="I787" i="5"/>
  <c r="R787" i="5" s="1"/>
  <c r="H787" i="5"/>
  <c r="G787" i="5"/>
  <c r="Q787" i="5" s="1"/>
  <c r="F787" i="5"/>
  <c r="E787" i="5"/>
  <c r="P787" i="5" s="1"/>
  <c r="D787" i="5"/>
  <c r="U786" i="5"/>
  <c r="T786" i="5"/>
  <c r="S786" i="5"/>
  <c r="I786" i="5"/>
  <c r="R786" i="5" s="1"/>
  <c r="H786" i="5"/>
  <c r="G786" i="5"/>
  <c r="Q786" i="5" s="1"/>
  <c r="F786" i="5"/>
  <c r="E786" i="5"/>
  <c r="P786" i="5" s="1"/>
  <c r="D786" i="5"/>
  <c r="U785" i="5"/>
  <c r="T785" i="5"/>
  <c r="S785" i="5"/>
  <c r="I785" i="5"/>
  <c r="R785" i="5" s="1"/>
  <c r="H785" i="5"/>
  <c r="G785" i="5"/>
  <c r="Q785" i="5" s="1"/>
  <c r="F785" i="5"/>
  <c r="E785" i="5"/>
  <c r="P785" i="5" s="1"/>
  <c r="D785" i="5"/>
  <c r="U784" i="5"/>
  <c r="T784" i="5"/>
  <c r="S784" i="5"/>
  <c r="I784" i="5"/>
  <c r="R784" i="5" s="1"/>
  <c r="H784" i="5"/>
  <c r="G784" i="5"/>
  <c r="Q784" i="5" s="1"/>
  <c r="F784" i="5"/>
  <c r="E784" i="5"/>
  <c r="P784" i="5" s="1"/>
  <c r="D784" i="5"/>
  <c r="T1256" i="5"/>
  <c r="S1256" i="5"/>
  <c r="I1256" i="5"/>
  <c r="R1256" i="5" s="1"/>
  <c r="H1256" i="5"/>
  <c r="G1256" i="5"/>
  <c r="Q1256" i="5" s="1"/>
  <c r="F1256" i="5"/>
  <c r="E1256" i="5"/>
  <c r="P1256" i="5" s="1"/>
  <c r="D1256" i="5"/>
  <c r="U1256" i="5" s="1"/>
  <c r="T1255" i="5"/>
  <c r="S1255" i="5"/>
  <c r="I1255" i="5"/>
  <c r="R1255" i="5" s="1"/>
  <c r="H1255" i="5"/>
  <c r="G1255" i="5"/>
  <c r="Q1255" i="5" s="1"/>
  <c r="F1255" i="5"/>
  <c r="E1255" i="5"/>
  <c r="P1255" i="5" s="1"/>
  <c r="D1255" i="5"/>
  <c r="U1255" i="5" s="1"/>
  <c r="U3402" i="5"/>
  <c r="T3402" i="5"/>
  <c r="S3402" i="5"/>
  <c r="P3402" i="5"/>
  <c r="I3402" i="5"/>
  <c r="R3402" i="5" s="1"/>
  <c r="H3402" i="5"/>
  <c r="G3402" i="5"/>
  <c r="Q3402" i="5" s="1"/>
  <c r="F3402" i="5"/>
  <c r="U1254" i="5"/>
  <c r="T1254" i="5"/>
  <c r="S1254" i="5"/>
  <c r="I1254" i="5"/>
  <c r="R1254" i="5" s="1"/>
  <c r="H1254" i="5"/>
  <c r="G1254" i="5"/>
  <c r="Q1254" i="5" s="1"/>
  <c r="F1254" i="5"/>
  <c r="E1254" i="5"/>
  <c r="P1254" i="5" s="1"/>
  <c r="D1254" i="5"/>
  <c r="U1253" i="5"/>
  <c r="T1253" i="5"/>
  <c r="S1253" i="5"/>
  <c r="I1253" i="5"/>
  <c r="R1253" i="5" s="1"/>
  <c r="H1253" i="5"/>
  <c r="G1253" i="5"/>
  <c r="Q1253" i="5" s="1"/>
  <c r="F1253" i="5"/>
  <c r="E1253" i="5"/>
  <c r="P1253" i="5" s="1"/>
  <c r="D1253" i="5"/>
  <c r="U1252" i="5"/>
  <c r="T1252" i="5"/>
  <c r="S1252" i="5"/>
  <c r="I1252" i="5"/>
  <c r="R1252" i="5" s="1"/>
  <c r="H1252" i="5"/>
  <c r="G1252" i="5"/>
  <c r="Q1252" i="5" s="1"/>
  <c r="F1252" i="5"/>
  <c r="E1252" i="5"/>
  <c r="P1252" i="5" s="1"/>
  <c r="D1252" i="5"/>
  <c r="U1251" i="5"/>
  <c r="T1251" i="5"/>
  <c r="S1251" i="5"/>
  <c r="I1251" i="5"/>
  <c r="R1251" i="5" s="1"/>
  <c r="H1251" i="5"/>
  <c r="G1251" i="5"/>
  <c r="Q1251" i="5" s="1"/>
  <c r="F1251" i="5"/>
  <c r="E1251" i="5"/>
  <c r="P1251" i="5" s="1"/>
  <c r="D1251" i="5"/>
  <c r="U1250" i="5"/>
  <c r="T1250" i="5"/>
  <c r="S1250" i="5"/>
  <c r="I1250" i="5"/>
  <c r="R1250" i="5" s="1"/>
  <c r="H1250" i="5"/>
  <c r="G1250" i="5"/>
  <c r="Q1250" i="5" s="1"/>
  <c r="F1250" i="5"/>
  <c r="E1250" i="5"/>
  <c r="P1250" i="5" s="1"/>
  <c r="D1250" i="5"/>
  <c r="U1249" i="5"/>
  <c r="T1249" i="5"/>
  <c r="S1249" i="5"/>
  <c r="I1249" i="5"/>
  <c r="R1249" i="5" s="1"/>
  <c r="H1249" i="5"/>
  <c r="G1249" i="5"/>
  <c r="Q1249" i="5" s="1"/>
  <c r="F1249" i="5"/>
  <c r="E1249" i="5"/>
  <c r="P1249" i="5" s="1"/>
  <c r="D1249" i="5"/>
  <c r="U1248" i="5"/>
  <c r="T1248" i="5"/>
  <c r="S1248" i="5"/>
  <c r="I1248" i="5"/>
  <c r="R1248" i="5" s="1"/>
  <c r="H1248" i="5"/>
  <c r="G1248" i="5"/>
  <c r="Q1248" i="5" s="1"/>
  <c r="F1248" i="5"/>
  <c r="E1248" i="5"/>
  <c r="P1248" i="5" s="1"/>
  <c r="D1248" i="5"/>
  <c r="U1247" i="5"/>
  <c r="T1247" i="5"/>
  <c r="S1247" i="5"/>
  <c r="I1247" i="5"/>
  <c r="R1247" i="5" s="1"/>
  <c r="H1247" i="5"/>
  <c r="G1247" i="5"/>
  <c r="Q1247" i="5" s="1"/>
  <c r="F1247" i="5"/>
  <c r="E1247" i="5"/>
  <c r="P1247" i="5" s="1"/>
  <c r="D1247" i="5"/>
  <c r="U1246" i="5"/>
  <c r="T1246" i="5"/>
  <c r="S1246" i="5"/>
  <c r="I1246" i="5"/>
  <c r="R1246" i="5" s="1"/>
  <c r="H1246" i="5"/>
  <c r="G1246" i="5"/>
  <c r="Q1246" i="5" s="1"/>
  <c r="F1246" i="5"/>
  <c r="E1246" i="5"/>
  <c r="P1246" i="5" s="1"/>
  <c r="D1246" i="5"/>
  <c r="U1245" i="5"/>
  <c r="T1245" i="5"/>
  <c r="S1245" i="5"/>
  <c r="I1245" i="5"/>
  <c r="R1245" i="5" s="1"/>
  <c r="H1245" i="5"/>
  <c r="G1245" i="5"/>
  <c r="Q1245" i="5" s="1"/>
  <c r="F1245" i="5"/>
  <c r="E1245" i="5"/>
  <c r="P1245" i="5" s="1"/>
  <c r="D1245" i="5"/>
  <c r="U1244" i="5"/>
  <c r="T1244" i="5"/>
  <c r="S1244" i="5"/>
  <c r="I1244" i="5"/>
  <c r="R1244" i="5" s="1"/>
  <c r="H1244" i="5"/>
  <c r="G1244" i="5"/>
  <c r="Q1244" i="5" s="1"/>
  <c r="F1244" i="5"/>
  <c r="E1244" i="5"/>
  <c r="P1244" i="5" s="1"/>
  <c r="D1244" i="5"/>
  <c r="T1186" i="5"/>
  <c r="S1186" i="5"/>
  <c r="I1186" i="5"/>
  <c r="R1186" i="5" s="1"/>
  <c r="H1186" i="5"/>
  <c r="G1186" i="5"/>
  <c r="Q1186" i="5" s="1"/>
  <c r="F1186" i="5"/>
  <c r="E1186" i="5"/>
  <c r="P1186" i="5" s="1"/>
  <c r="D1186" i="5"/>
  <c r="U1186" i="5" s="1"/>
  <c r="T1185" i="5"/>
  <c r="S1185" i="5"/>
  <c r="I1185" i="5"/>
  <c r="R1185" i="5" s="1"/>
  <c r="H1185" i="5"/>
  <c r="G1185" i="5"/>
  <c r="Q1185" i="5" s="1"/>
  <c r="F1185" i="5"/>
  <c r="E1185" i="5"/>
  <c r="P1185" i="5" s="1"/>
  <c r="D1185" i="5"/>
  <c r="U1185" i="5" s="1"/>
  <c r="U3401" i="5"/>
  <c r="T3401" i="5"/>
  <c r="S3401" i="5"/>
  <c r="R3401" i="5"/>
  <c r="Q3401" i="5"/>
  <c r="U1184" i="5"/>
  <c r="T1184" i="5"/>
  <c r="S1184" i="5"/>
  <c r="I1184" i="5"/>
  <c r="R1184" i="5" s="1"/>
  <c r="H1184" i="5"/>
  <c r="G1184" i="5"/>
  <c r="Q1184" i="5" s="1"/>
  <c r="F1184" i="5"/>
  <c r="E1184" i="5"/>
  <c r="P1184" i="5" s="1"/>
  <c r="D1184" i="5"/>
  <c r="U1183" i="5"/>
  <c r="T1183" i="5"/>
  <c r="S1183" i="5"/>
  <c r="I1183" i="5"/>
  <c r="R1183" i="5" s="1"/>
  <c r="H1183" i="5"/>
  <c r="G1183" i="5"/>
  <c r="Q1183" i="5" s="1"/>
  <c r="F1183" i="5"/>
  <c r="E1183" i="5"/>
  <c r="P1183" i="5" s="1"/>
  <c r="D1183" i="5"/>
  <c r="U1182" i="5"/>
  <c r="T1182" i="5"/>
  <c r="S1182" i="5"/>
  <c r="I1182" i="5"/>
  <c r="R1182" i="5" s="1"/>
  <c r="H1182" i="5"/>
  <c r="G1182" i="5"/>
  <c r="Q1182" i="5" s="1"/>
  <c r="F1182" i="5"/>
  <c r="E1182" i="5"/>
  <c r="P1182" i="5" s="1"/>
  <c r="D1182" i="5"/>
  <c r="U1181" i="5"/>
  <c r="T1181" i="5"/>
  <c r="S1181" i="5"/>
  <c r="I1181" i="5"/>
  <c r="R1181" i="5" s="1"/>
  <c r="H1181" i="5"/>
  <c r="G1181" i="5"/>
  <c r="Q1181" i="5" s="1"/>
  <c r="F1181" i="5"/>
  <c r="E1181" i="5"/>
  <c r="P1181" i="5" s="1"/>
  <c r="D1181" i="5"/>
  <c r="U1180" i="5"/>
  <c r="T1180" i="5"/>
  <c r="S1180" i="5"/>
  <c r="I1180" i="5"/>
  <c r="R1180" i="5" s="1"/>
  <c r="H1180" i="5"/>
  <c r="G1180" i="5"/>
  <c r="Q1180" i="5" s="1"/>
  <c r="F1180" i="5"/>
  <c r="E1180" i="5"/>
  <c r="P1180" i="5" s="1"/>
  <c r="D1180" i="5"/>
  <c r="U1179" i="5"/>
  <c r="T1179" i="5"/>
  <c r="S1179" i="5"/>
  <c r="I1179" i="5"/>
  <c r="R1179" i="5" s="1"/>
  <c r="H1179" i="5"/>
  <c r="G1179" i="5"/>
  <c r="Q1179" i="5" s="1"/>
  <c r="F1179" i="5"/>
  <c r="E1179" i="5"/>
  <c r="P1179" i="5" s="1"/>
  <c r="D1179" i="5"/>
  <c r="U1178" i="5"/>
  <c r="T1178" i="5"/>
  <c r="S1178" i="5"/>
  <c r="I1178" i="5"/>
  <c r="R1178" i="5" s="1"/>
  <c r="H1178" i="5"/>
  <c r="G1178" i="5"/>
  <c r="Q1178" i="5" s="1"/>
  <c r="F1178" i="5"/>
  <c r="E1178" i="5"/>
  <c r="P1178" i="5" s="1"/>
  <c r="D1178" i="5"/>
  <c r="U1177" i="5"/>
  <c r="T1177" i="5"/>
  <c r="S1177" i="5"/>
  <c r="I1177" i="5"/>
  <c r="R1177" i="5" s="1"/>
  <c r="H1177" i="5"/>
  <c r="G1177" i="5"/>
  <c r="Q1177" i="5" s="1"/>
  <c r="F1177" i="5"/>
  <c r="E1177" i="5"/>
  <c r="P1177" i="5" s="1"/>
  <c r="D1177" i="5"/>
  <c r="U1176" i="5"/>
  <c r="T1176" i="5"/>
  <c r="S1176" i="5"/>
  <c r="I1176" i="5"/>
  <c r="R1176" i="5" s="1"/>
  <c r="H1176" i="5"/>
  <c r="G1176" i="5"/>
  <c r="Q1176" i="5" s="1"/>
  <c r="F1176" i="5"/>
  <c r="E1176" i="5"/>
  <c r="P1176" i="5" s="1"/>
  <c r="D1176" i="5"/>
  <c r="U1175" i="5"/>
  <c r="T1175" i="5"/>
  <c r="S1175" i="5"/>
  <c r="I1175" i="5"/>
  <c r="R1175" i="5" s="1"/>
  <c r="H1175" i="5"/>
  <c r="G1175" i="5"/>
  <c r="Q1175" i="5" s="1"/>
  <c r="F1175" i="5"/>
  <c r="E1175" i="5"/>
  <c r="P1175" i="5" s="1"/>
  <c r="D1175" i="5"/>
  <c r="U1174" i="5"/>
  <c r="T1174" i="5"/>
  <c r="S1174" i="5"/>
  <c r="I1174" i="5"/>
  <c r="R1174" i="5" s="1"/>
  <c r="H1174" i="5"/>
  <c r="G1174" i="5"/>
  <c r="Q1174" i="5" s="1"/>
  <c r="F1174" i="5"/>
  <c r="E1174" i="5"/>
  <c r="P1174" i="5" s="1"/>
  <c r="D1174" i="5"/>
  <c r="T1116" i="5"/>
  <c r="S1116" i="5"/>
  <c r="I1116" i="5"/>
  <c r="R1116" i="5" s="1"/>
  <c r="H1116" i="5"/>
  <c r="G1116" i="5"/>
  <c r="Q1116" i="5" s="1"/>
  <c r="F1116" i="5"/>
  <c r="E1116" i="5"/>
  <c r="P1116" i="5" s="1"/>
  <c r="D1116" i="5"/>
  <c r="U1116" i="5" s="1"/>
  <c r="T1115" i="5"/>
  <c r="S1115" i="5"/>
  <c r="I1115" i="5"/>
  <c r="R1115" i="5" s="1"/>
  <c r="H1115" i="5"/>
  <c r="G1115" i="5"/>
  <c r="Q1115" i="5" s="1"/>
  <c r="F1115" i="5"/>
  <c r="E1115" i="5"/>
  <c r="P1115" i="5" s="1"/>
  <c r="D1115" i="5"/>
  <c r="U1115" i="5" s="1"/>
  <c r="U3400" i="5"/>
  <c r="T3400" i="5"/>
  <c r="S3400" i="5"/>
  <c r="R3400" i="5"/>
  <c r="Q3400" i="5"/>
  <c r="P3400" i="5"/>
  <c r="U1114" i="5"/>
  <c r="T1114" i="5"/>
  <c r="S1114" i="5"/>
  <c r="I1114" i="5"/>
  <c r="R1114" i="5" s="1"/>
  <c r="H1114" i="5"/>
  <c r="G1114" i="5"/>
  <c r="Q1114" i="5" s="1"/>
  <c r="F1114" i="5"/>
  <c r="E1114" i="5"/>
  <c r="P1114" i="5" s="1"/>
  <c r="D1114" i="5"/>
  <c r="U1113" i="5"/>
  <c r="T1113" i="5"/>
  <c r="S1113" i="5"/>
  <c r="I1113" i="5"/>
  <c r="R1113" i="5" s="1"/>
  <c r="H1113" i="5"/>
  <c r="G1113" i="5"/>
  <c r="Q1113" i="5" s="1"/>
  <c r="F1113" i="5"/>
  <c r="E1113" i="5"/>
  <c r="P1113" i="5" s="1"/>
  <c r="D1113" i="5"/>
  <c r="U1112" i="5"/>
  <c r="T1112" i="5"/>
  <c r="S1112" i="5"/>
  <c r="I1112" i="5"/>
  <c r="R1112" i="5" s="1"/>
  <c r="H1112" i="5"/>
  <c r="G1112" i="5"/>
  <c r="Q1112" i="5" s="1"/>
  <c r="F1112" i="5"/>
  <c r="E1112" i="5"/>
  <c r="P1112" i="5" s="1"/>
  <c r="D1112" i="5"/>
  <c r="U1111" i="5"/>
  <c r="T1111" i="5"/>
  <c r="S1111" i="5"/>
  <c r="I1111" i="5"/>
  <c r="R1111" i="5" s="1"/>
  <c r="H1111" i="5"/>
  <c r="G1111" i="5"/>
  <c r="Q1111" i="5" s="1"/>
  <c r="F1111" i="5"/>
  <c r="E1111" i="5"/>
  <c r="P1111" i="5" s="1"/>
  <c r="D1111" i="5"/>
  <c r="U1110" i="5"/>
  <c r="T1110" i="5"/>
  <c r="S1110" i="5"/>
  <c r="I1110" i="5"/>
  <c r="R1110" i="5" s="1"/>
  <c r="H1110" i="5"/>
  <c r="G1110" i="5"/>
  <c r="Q1110" i="5" s="1"/>
  <c r="F1110" i="5"/>
  <c r="E1110" i="5"/>
  <c r="P1110" i="5" s="1"/>
  <c r="D1110" i="5"/>
  <c r="U1109" i="5"/>
  <c r="T1109" i="5"/>
  <c r="S1109" i="5"/>
  <c r="I1109" i="5"/>
  <c r="R1109" i="5" s="1"/>
  <c r="H1109" i="5"/>
  <c r="G1109" i="5"/>
  <c r="Q1109" i="5" s="1"/>
  <c r="F1109" i="5"/>
  <c r="E1109" i="5"/>
  <c r="P1109" i="5" s="1"/>
  <c r="D1109" i="5"/>
  <c r="U1108" i="5"/>
  <c r="T1108" i="5"/>
  <c r="S1108" i="5"/>
  <c r="I1108" i="5"/>
  <c r="R1108" i="5" s="1"/>
  <c r="H1108" i="5"/>
  <c r="G1108" i="5"/>
  <c r="Q1108" i="5" s="1"/>
  <c r="F1108" i="5"/>
  <c r="E1108" i="5"/>
  <c r="P1108" i="5" s="1"/>
  <c r="D1108" i="5"/>
  <c r="U1107" i="5"/>
  <c r="T1107" i="5"/>
  <c r="S1107" i="5"/>
  <c r="I1107" i="5"/>
  <c r="R1107" i="5" s="1"/>
  <c r="H1107" i="5"/>
  <c r="G1107" i="5"/>
  <c r="Q1107" i="5" s="1"/>
  <c r="F1107" i="5"/>
  <c r="E1107" i="5"/>
  <c r="P1107" i="5" s="1"/>
  <c r="D1107" i="5"/>
  <c r="U1106" i="5"/>
  <c r="T1106" i="5"/>
  <c r="S1106" i="5"/>
  <c r="I1106" i="5"/>
  <c r="R1106" i="5" s="1"/>
  <c r="H1106" i="5"/>
  <c r="G1106" i="5"/>
  <c r="Q1106" i="5" s="1"/>
  <c r="F1106" i="5"/>
  <c r="E1106" i="5"/>
  <c r="P1106" i="5" s="1"/>
  <c r="D1106" i="5"/>
  <c r="U1105" i="5"/>
  <c r="T1105" i="5"/>
  <c r="S1105" i="5"/>
  <c r="I1105" i="5"/>
  <c r="R1105" i="5" s="1"/>
  <c r="H1105" i="5"/>
  <c r="G1105" i="5"/>
  <c r="Q1105" i="5" s="1"/>
  <c r="F1105" i="5"/>
  <c r="E1105" i="5"/>
  <c r="P1105" i="5" s="1"/>
  <c r="D1105" i="5"/>
  <c r="U1104" i="5"/>
  <c r="T1104" i="5"/>
  <c r="S1104" i="5"/>
  <c r="I1104" i="5"/>
  <c r="R1104" i="5" s="1"/>
  <c r="H1104" i="5"/>
  <c r="G1104" i="5"/>
  <c r="Q1104" i="5" s="1"/>
  <c r="F1104" i="5"/>
  <c r="E1104" i="5"/>
  <c r="P1104" i="5" s="1"/>
  <c r="D1104" i="5"/>
  <c r="T1047" i="5"/>
  <c r="S1047" i="5"/>
  <c r="I1047" i="5"/>
  <c r="R1047" i="5" s="1"/>
  <c r="H1047" i="5"/>
  <c r="G1047" i="5"/>
  <c r="Q1047" i="5" s="1"/>
  <c r="F1047" i="5"/>
  <c r="E1047" i="5"/>
  <c r="P1047" i="5" s="1"/>
  <c r="D1047" i="5"/>
  <c r="U1047" i="5" s="1"/>
  <c r="T1046" i="5"/>
  <c r="S1046" i="5"/>
  <c r="I1046" i="5"/>
  <c r="R1046" i="5" s="1"/>
  <c r="H1046" i="5"/>
  <c r="G1046" i="5"/>
  <c r="Q1046" i="5" s="1"/>
  <c r="F1046" i="5"/>
  <c r="E1046" i="5"/>
  <c r="P1046" i="5" s="1"/>
  <c r="D1046" i="5"/>
  <c r="U1046" i="5" s="1"/>
  <c r="U3399" i="5"/>
  <c r="T3399" i="5"/>
  <c r="S3399" i="5"/>
  <c r="R3399" i="5"/>
  <c r="Q3399" i="5"/>
  <c r="P3399" i="5"/>
  <c r="U1045" i="5"/>
  <c r="T1045" i="5"/>
  <c r="S1045" i="5"/>
  <c r="I1045" i="5"/>
  <c r="R1045" i="5" s="1"/>
  <c r="H1045" i="5"/>
  <c r="G1045" i="5"/>
  <c r="Q1045" i="5" s="1"/>
  <c r="F1045" i="5"/>
  <c r="E1045" i="5"/>
  <c r="P1045" i="5" s="1"/>
  <c r="D1045" i="5"/>
  <c r="U1044" i="5"/>
  <c r="T1044" i="5"/>
  <c r="S1044" i="5"/>
  <c r="I1044" i="5"/>
  <c r="R1044" i="5" s="1"/>
  <c r="H1044" i="5"/>
  <c r="G1044" i="5"/>
  <c r="Q1044" i="5" s="1"/>
  <c r="F1044" i="5"/>
  <c r="E1044" i="5"/>
  <c r="P1044" i="5" s="1"/>
  <c r="D1044" i="5"/>
  <c r="U1043" i="5"/>
  <c r="T1043" i="5"/>
  <c r="S1043" i="5"/>
  <c r="I1043" i="5"/>
  <c r="R1043" i="5" s="1"/>
  <c r="H1043" i="5"/>
  <c r="G1043" i="5"/>
  <c r="Q1043" i="5" s="1"/>
  <c r="F1043" i="5"/>
  <c r="E1043" i="5"/>
  <c r="P1043" i="5" s="1"/>
  <c r="D1043" i="5"/>
  <c r="U1042" i="5"/>
  <c r="T1042" i="5"/>
  <c r="S1042" i="5"/>
  <c r="I1042" i="5"/>
  <c r="R1042" i="5" s="1"/>
  <c r="H1042" i="5"/>
  <c r="G1042" i="5"/>
  <c r="Q1042" i="5" s="1"/>
  <c r="F1042" i="5"/>
  <c r="E1042" i="5"/>
  <c r="P1042" i="5" s="1"/>
  <c r="D1042" i="5"/>
  <c r="U1041" i="5"/>
  <c r="T1041" i="5"/>
  <c r="S1041" i="5"/>
  <c r="I1041" i="5"/>
  <c r="R1041" i="5" s="1"/>
  <c r="H1041" i="5"/>
  <c r="G1041" i="5"/>
  <c r="Q1041" i="5" s="1"/>
  <c r="F1041" i="5"/>
  <c r="E1041" i="5"/>
  <c r="P1041" i="5" s="1"/>
  <c r="D1041" i="5"/>
  <c r="U1040" i="5"/>
  <c r="T1040" i="5"/>
  <c r="S1040" i="5"/>
  <c r="I1040" i="5"/>
  <c r="R1040" i="5" s="1"/>
  <c r="H1040" i="5"/>
  <c r="G1040" i="5"/>
  <c r="Q1040" i="5" s="1"/>
  <c r="F1040" i="5"/>
  <c r="E1040" i="5"/>
  <c r="P1040" i="5" s="1"/>
  <c r="D1040" i="5"/>
  <c r="U1039" i="5"/>
  <c r="T1039" i="5"/>
  <c r="S1039" i="5"/>
  <c r="I1039" i="5"/>
  <c r="R1039" i="5" s="1"/>
  <c r="H1039" i="5"/>
  <c r="G1039" i="5"/>
  <c r="Q1039" i="5" s="1"/>
  <c r="F1039" i="5"/>
  <c r="E1039" i="5"/>
  <c r="P1039" i="5" s="1"/>
  <c r="D1039" i="5"/>
  <c r="U1038" i="5"/>
  <c r="T1038" i="5"/>
  <c r="S1038" i="5"/>
  <c r="I1038" i="5"/>
  <c r="R1038" i="5" s="1"/>
  <c r="H1038" i="5"/>
  <c r="G1038" i="5"/>
  <c r="Q1038" i="5" s="1"/>
  <c r="F1038" i="5"/>
  <c r="E1038" i="5"/>
  <c r="P1038" i="5" s="1"/>
  <c r="D1038" i="5"/>
  <c r="U1037" i="5"/>
  <c r="T1037" i="5"/>
  <c r="S1037" i="5"/>
  <c r="I1037" i="5"/>
  <c r="R1037" i="5" s="1"/>
  <c r="H1037" i="5"/>
  <c r="G1037" i="5"/>
  <c r="Q1037" i="5" s="1"/>
  <c r="F1037" i="5"/>
  <c r="E1037" i="5"/>
  <c r="P1037" i="5" s="1"/>
  <c r="D1037" i="5"/>
  <c r="U1036" i="5"/>
  <c r="T1036" i="5"/>
  <c r="S1036" i="5"/>
  <c r="I1036" i="5"/>
  <c r="R1036" i="5" s="1"/>
  <c r="H1036" i="5"/>
  <c r="G1036" i="5"/>
  <c r="Q1036" i="5" s="1"/>
  <c r="F1036" i="5"/>
  <c r="E1036" i="5"/>
  <c r="P1036" i="5" s="1"/>
  <c r="D1036" i="5"/>
  <c r="T981" i="5"/>
  <c r="S981" i="5"/>
  <c r="I981" i="5"/>
  <c r="R981" i="5" s="1"/>
  <c r="H981" i="5"/>
  <c r="G981" i="5"/>
  <c r="Q981" i="5" s="1"/>
  <c r="F981" i="5"/>
  <c r="E981" i="5"/>
  <c r="P981" i="5" s="1"/>
  <c r="D981" i="5"/>
  <c r="U981" i="5" s="1"/>
  <c r="T980" i="5"/>
  <c r="S980" i="5"/>
  <c r="I980" i="5"/>
  <c r="R980" i="5" s="1"/>
  <c r="H980" i="5"/>
  <c r="G980" i="5"/>
  <c r="Q980" i="5" s="1"/>
  <c r="F980" i="5"/>
  <c r="E980" i="5"/>
  <c r="P980" i="5" s="1"/>
  <c r="D980" i="5"/>
  <c r="U980" i="5" s="1"/>
  <c r="U3398" i="5"/>
  <c r="T3398" i="5"/>
  <c r="S3398" i="5"/>
  <c r="R3398" i="5"/>
  <c r="Q3398" i="5"/>
  <c r="P3398" i="5"/>
  <c r="U979" i="5"/>
  <c r="T979" i="5"/>
  <c r="S979" i="5"/>
  <c r="I979" i="5"/>
  <c r="R979" i="5" s="1"/>
  <c r="H979" i="5"/>
  <c r="G979" i="5"/>
  <c r="Q979" i="5" s="1"/>
  <c r="F979" i="5"/>
  <c r="E979" i="5"/>
  <c r="P979" i="5" s="1"/>
  <c r="D979" i="5"/>
  <c r="U978" i="5"/>
  <c r="T978" i="5"/>
  <c r="S978" i="5"/>
  <c r="I978" i="5"/>
  <c r="R978" i="5" s="1"/>
  <c r="H978" i="5"/>
  <c r="G978" i="5"/>
  <c r="Q978" i="5" s="1"/>
  <c r="F978" i="5"/>
  <c r="E978" i="5"/>
  <c r="P978" i="5" s="1"/>
  <c r="D978" i="5"/>
  <c r="U977" i="5"/>
  <c r="T977" i="5"/>
  <c r="S977" i="5"/>
  <c r="I977" i="5"/>
  <c r="R977" i="5" s="1"/>
  <c r="H977" i="5"/>
  <c r="G977" i="5"/>
  <c r="Q977" i="5" s="1"/>
  <c r="F977" i="5"/>
  <c r="E977" i="5"/>
  <c r="P977" i="5" s="1"/>
  <c r="D977" i="5"/>
  <c r="U976" i="5"/>
  <c r="T976" i="5"/>
  <c r="S976" i="5"/>
  <c r="I976" i="5"/>
  <c r="R976" i="5" s="1"/>
  <c r="H976" i="5"/>
  <c r="G976" i="5"/>
  <c r="Q976" i="5" s="1"/>
  <c r="F976" i="5"/>
  <c r="E976" i="5"/>
  <c r="P976" i="5" s="1"/>
  <c r="D976" i="5"/>
  <c r="U975" i="5"/>
  <c r="T975" i="5"/>
  <c r="S975" i="5"/>
  <c r="I975" i="5"/>
  <c r="R975" i="5" s="1"/>
  <c r="H975" i="5"/>
  <c r="G975" i="5"/>
  <c r="Q975" i="5" s="1"/>
  <c r="F975" i="5"/>
  <c r="E975" i="5"/>
  <c r="P975" i="5" s="1"/>
  <c r="D975" i="5"/>
  <c r="U974" i="5"/>
  <c r="T974" i="5"/>
  <c r="S974" i="5"/>
  <c r="I974" i="5"/>
  <c r="R974" i="5" s="1"/>
  <c r="H974" i="5"/>
  <c r="G974" i="5"/>
  <c r="Q974" i="5" s="1"/>
  <c r="F974" i="5"/>
  <c r="E974" i="5"/>
  <c r="P974" i="5" s="1"/>
  <c r="D974" i="5"/>
  <c r="U973" i="5"/>
  <c r="T973" i="5"/>
  <c r="S973" i="5"/>
  <c r="I973" i="5"/>
  <c r="R973" i="5" s="1"/>
  <c r="H973" i="5"/>
  <c r="G973" i="5"/>
  <c r="Q973" i="5" s="1"/>
  <c r="F973" i="5"/>
  <c r="E973" i="5"/>
  <c r="P973" i="5" s="1"/>
  <c r="D973" i="5"/>
  <c r="U972" i="5"/>
  <c r="T972" i="5"/>
  <c r="S972" i="5"/>
  <c r="I972" i="5"/>
  <c r="R972" i="5" s="1"/>
  <c r="H972" i="5"/>
  <c r="G972" i="5"/>
  <c r="Q972" i="5" s="1"/>
  <c r="F972" i="5"/>
  <c r="E972" i="5"/>
  <c r="P972" i="5" s="1"/>
  <c r="D972" i="5"/>
  <c r="U971" i="5"/>
  <c r="T971" i="5"/>
  <c r="S971" i="5"/>
  <c r="I971" i="5"/>
  <c r="R971" i="5" s="1"/>
  <c r="H971" i="5"/>
  <c r="G971" i="5"/>
  <c r="Q971" i="5" s="1"/>
  <c r="F971" i="5"/>
  <c r="E971" i="5"/>
  <c r="P971" i="5" s="1"/>
  <c r="D971" i="5"/>
  <c r="U970" i="5"/>
  <c r="T970" i="5"/>
  <c r="S970" i="5"/>
  <c r="I970" i="5"/>
  <c r="R970" i="5" s="1"/>
  <c r="H970" i="5"/>
  <c r="G970" i="5"/>
  <c r="Q970" i="5" s="1"/>
  <c r="F970" i="5"/>
  <c r="E970" i="5"/>
  <c r="P970" i="5" s="1"/>
  <c r="D970" i="5"/>
  <c r="T915" i="5"/>
  <c r="S915" i="5"/>
  <c r="I915" i="5"/>
  <c r="R915" i="5" s="1"/>
  <c r="H915" i="5"/>
  <c r="G915" i="5"/>
  <c r="Q915" i="5" s="1"/>
  <c r="F915" i="5"/>
  <c r="E915" i="5"/>
  <c r="P915" i="5" s="1"/>
  <c r="D915" i="5"/>
  <c r="U915" i="5" s="1"/>
  <c r="T914" i="5"/>
  <c r="S914" i="5"/>
  <c r="I914" i="5"/>
  <c r="R914" i="5" s="1"/>
  <c r="H914" i="5"/>
  <c r="G914" i="5"/>
  <c r="Q914" i="5" s="1"/>
  <c r="F914" i="5"/>
  <c r="E914" i="5"/>
  <c r="P914" i="5" s="1"/>
  <c r="D914" i="5"/>
  <c r="U914" i="5" s="1"/>
  <c r="U3397" i="5"/>
  <c r="T3397" i="5"/>
  <c r="S3397" i="5"/>
  <c r="R3397" i="5"/>
  <c r="Q3397" i="5"/>
  <c r="P3397" i="5"/>
  <c r="U913" i="5"/>
  <c r="T913" i="5"/>
  <c r="S913" i="5"/>
  <c r="I913" i="5"/>
  <c r="R913" i="5" s="1"/>
  <c r="H913" i="5"/>
  <c r="G913" i="5"/>
  <c r="Q913" i="5" s="1"/>
  <c r="F913" i="5"/>
  <c r="E913" i="5"/>
  <c r="P913" i="5" s="1"/>
  <c r="D913" i="5"/>
  <c r="U912" i="5"/>
  <c r="T912" i="5"/>
  <c r="S912" i="5"/>
  <c r="I912" i="5"/>
  <c r="R912" i="5" s="1"/>
  <c r="H912" i="5"/>
  <c r="G912" i="5"/>
  <c r="Q912" i="5" s="1"/>
  <c r="F912" i="5"/>
  <c r="E912" i="5"/>
  <c r="P912" i="5" s="1"/>
  <c r="D912" i="5"/>
  <c r="U911" i="5"/>
  <c r="T911" i="5"/>
  <c r="S911" i="5"/>
  <c r="I911" i="5"/>
  <c r="R911" i="5" s="1"/>
  <c r="H911" i="5"/>
  <c r="G911" i="5"/>
  <c r="Q911" i="5" s="1"/>
  <c r="F911" i="5"/>
  <c r="E911" i="5"/>
  <c r="P911" i="5" s="1"/>
  <c r="D911" i="5"/>
  <c r="U910" i="5"/>
  <c r="T910" i="5"/>
  <c r="S910" i="5"/>
  <c r="I910" i="5"/>
  <c r="R910" i="5" s="1"/>
  <c r="H910" i="5"/>
  <c r="G910" i="5"/>
  <c r="Q910" i="5" s="1"/>
  <c r="F910" i="5"/>
  <c r="E910" i="5"/>
  <c r="P910" i="5" s="1"/>
  <c r="D910" i="5"/>
  <c r="U909" i="5"/>
  <c r="T909" i="5"/>
  <c r="S909" i="5"/>
  <c r="I909" i="5"/>
  <c r="R909" i="5" s="1"/>
  <c r="H909" i="5"/>
  <c r="G909" i="5"/>
  <c r="Q909" i="5" s="1"/>
  <c r="F909" i="5"/>
  <c r="E909" i="5"/>
  <c r="P909" i="5" s="1"/>
  <c r="D909" i="5"/>
  <c r="U908" i="5"/>
  <c r="T908" i="5"/>
  <c r="S908" i="5"/>
  <c r="I908" i="5"/>
  <c r="R908" i="5" s="1"/>
  <c r="H908" i="5"/>
  <c r="G908" i="5"/>
  <c r="Q908" i="5" s="1"/>
  <c r="F908" i="5"/>
  <c r="E908" i="5"/>
  <c r="P908" i="5" s="1"/>
  <c r="D908" i="5"/>
  <c r="U907" i="5"/>
  <c r="T907" i="5"/>
  <c r="S907" i="5"/>
  <c r="I907" i="5"/>
  <c r="R907" i="5" s="1"/>
  <c r="H907" i="5"/>
  <c r="G907" i="5"/>
  <c r="Q907" i="5" s="1"/>
  <c r="F907" i="5"/>
  <c r="E907" i="5"/>
  <c r="P907" i="5" s="1"/>
  <c r="D907" i="5"/>
  <c r="U906" i="5"/>
  <c r="T906" i="5"/>
  <c r="S906" i="5"/>
  <c r="I906" i="5"/>
  <c r="R906" i="5" s="1"/>
  <c r="H906" i="5"/>
  <c r="G906" i="5"/>
  <c r="Q906" i="5" s="1"/>
  <c r="F906" i="5"/>
  <c r="E906" i="5"/>
  <c r="P906" i="5" s="1"/>
  <c r="D906" i="5"/>
  <c r="U905" i="5"/>
  <c r="T905" i="5"/>
  <c r="S905" i="5"/>
  <c r="I905" i="5"/>
  <c r="R905" i="5" s="1"/>
  <c r="H905" i="5"/>
  <c r="G905" i="5"/>
  <c r="Q905" i="5" s="1"/>
  <c r="F905" i="5"/>
  <c r="E905" i="5"/>
  <c r="P905" i="5" s="1"/>
  <c r="D905" i="5"/>
  <c r="U904" i="5"/>
  <c r="T904" i="5"/>
  <c r="S904" i="5"/>
  <c r="I904" i="5"/>
  <c r="R904" i="5" s="1"/>
  <c r="H904" i="5"/>
  <c r="G904" i="5"/>
  <c r="Q904" i="5" s="1"/>
  <c r="F904" i="5"/>
  <c r="E904" i="5"/>
  <c r="P904" i="5" s="1"/>
  <c r="D904" i="5"/>
  <c r="T849" i="5"/>
  <c r="S849" i="5"/>
  <c r="I849" i="5"/>
  <c r="R849" i="5" s="1"/>
  <c r="H849" i="5"/>
  <c r="G849" i="5"/>
  <c r="Q849" i="5" s="1"/>
  <c r="F849" i="5"/>
  <c r="E849" i="5"/>
  <c r="P849" i="5" s="1"/>
  <c r="D849" i="5"/>
  <c r="U849" i="5" s="1"/>
  <c r="T848" i="5"/>
  <c r="S848" i="5"/>
  <c r="I848" i="5"/>
  <c r="R848" i="5" s="1"/>
  <c r="H848" i="5"/>
  <c r="G848" i="5"/>
  <c r="Q848" i="5" s="1"/>
  <c r="F848" i="5"/>
  <c r="E848" i="5"/>
  <c r="P848" i="5" s="1"/>
  <c r="D848" i="5"/>
  <c r="U848" i="5" s="1"/>
  <c r="U3304" i="5"/>
  <c r="T3304" i="5"/>
  <c r="S3304" i="5"/>
  <c r="P3304" i="5"/>
  <c r="I3304" i="5"/>
  <c r="R3304" i="5" s="1"/>
  <c r="H3304" i="5"/>
  <c r="G3304" i="5"/>
  <c r="Q3304" i="5" s="1"/>
  <c r="F3304" i="5"/>
  <c r="U847" i="5"/>
  <c r="T847" i="5"/>
  <c r="S847" i="5"/>
  <c r="I847" i="5"/>
  <c r="R847" i="5" s="1"/>
  <c r="H847" i="5"/>
  <c r="G847" i="5"/>
  <c r="Q847" i="5" s="1"/>
  <c r="F847" i="5"/>
  <c r="E847" i="5"/>
  <c r="P847" i="5" s="1"/>
  <c r="D847" i="5"/>
  <c r="U846" i="5"/>
  <c r="T846" i="5"/>
  <c r="S846" i="5"/>
  <c r="I846" i="5"/>
  <c r="R846" i="5" s="1"/>
  <c r="H846" i="5"/>
  <c r="G846" i="5"/>
  <c r="Q846" i="5" s="1"/>
  <c r="F846" i="5"/>
  <c r="E846" i="5"/>
  <c r="P846" i="5" s="1"/>
  <c r="D846" i="5"/>
  <c r="U845" i="5"/>
  <c r="T845" i="5"/>
  <c r="S845" i="5"/>
  <c r="I845" i="5"/>
  <c r="R845" i="5" s="1"/>
  <c r="H845" i="5"/>
  <c r="G845" i="5"/>
  <c r="Q845" i="5" s="1"/>
  <c r="F845" i="5"/>
  <c r="E845" i="5"/>
  <c r="P845" i="5" s="1"/>
  <c r="D845" i="5"/>
  <c r="U844" i="5"/>
  <c r="T844" i="5"/>
  <c r="S844" i="5"/>
  <c r="I844" i="5"/>
  <c r="R844" i="5" s="1"/>
  <c r="H844" i="5"/>
  <c r="G844" i="5"/>
  <c r="Q844" i="5" s="1"/>
  <c r="F844" i="5"/>
  <c r="E844" i="5"/>
  <c r="P844" i="5" s="1"/>
  <c r="D844" i="5"/>
  <c r="U843" i="5"/>
  <c r="T843" i="5"/>
  <c r="S843" i="5"/>
  <c r="I843" i="5"/>
  <c r="R843" i="5" s="1"/>
  <c r="H843" i="5"/>
  <c r="G843" i="5"/>
  <c r="Q843" i="5" s="1"/>
  <c r="F843" i="5"/>
  <c r="E843" i="5"/>
  <c r="P843" i="5" s="1"/>
  <c r="D843" i="5"/>
  <c r="U842" i="5"/>
  <c r="T842" i="5"/>
  <c r="S842" i="5"/>
  <c r="I842" i="5"/>
  <c r="R842" i="5" s="1"/>
  <c r="H842" i="5"/>
  <c r="G842" i="5"/>
  <c r="Q842" i="5" s="1"/>
  <c r="F842" i="5"/>
  <c r="E842" i="5"/>
  <c r="P842" i="5" s="1"/>
  <c r="D842" i="5"/>
  <c r="U841" i="5"/>
  <c r="T841" i="5"/>
  <c r="S841" i="5"/>
  <c r="I841" i="5"/>
  <c r="R841" i="5" s="1"/>
  <c r="H841" i="5"/>
  <c r="G841" i="5"/>
  <c r="Q841" i="5" s="1"/>
  <c r="F841" i="5"/>
  <c r="E841" i="5"/>
  <c r="P841" i="5" s="1"/>
  <c r="D841" i="5"/>
  <c r="U840" i="5"/>
  <c r="T840" i="5"/>
  <c r="S840" i="5"/>
  <c r="I840" i="5"/>
  <c r="R840" i="5" s="1"/>
  <c r="H840" i="5"/>
  <c r="G840" i="5"/>
  <c r="Q840" i="5" s="1"/>
  <c r="F840" i="5"/>
  <c r="E840" i="5"/>
  <c r="P840" i="5" s="1"/>
  <c r="D840" i="5"/>
  <c r="U839" i="5"/>
  <c r="T839" i="5"/>
  <c r="S839" i="5"/>
  <c r="I839" i="5"/>
  <c r="R839" i="5" s="1"/>
  <c r="H839" i="5"/>
  <c r="G839" i="5"/>
  <c r="Q839" i="5" s="1"/>
  <c r="F839" i="5"/>
  <c r="E839" i="5"/>
  <c r="P839" i="5" s="1"/>
  <c r="D839" i="5"/>
  <c r="U838" i="5"/>
  <c r="T838" i="5"/>
  <c r="S838" i="5"/>
  <c r="I838" i="5"/>
  <c r="R838" i="5" s="1"/>
  <c r="H838" i="5"/>
  <c r="G838" i="5"/>
  <c r="Q838" i="5" s="1"/>
  <c r="F838" i="5"/>
  <c r="E838" i="5"/>
  <c r="P838" i="5" s="1"/>
  <c r="D838" i="5"/>
  <c r="T783" i="5"/>
  <c r="S783" i="5"/>
  <c r="I783" i="5"/>
  <c r="R783" i="5" s="1"/>
  <c r="H783" i="5"/>
  <c r="G783" i="5"/>
  <c r="Q783" i="5" s="1"/>
  <c r="F783" i="5"/>
  <c r="E783" i="5"/>
  <c r="P783" i="5" s="1"/>
  <c r="D783" i="5"/>
  <c r="U783" i="5" s="1"/>
  <c r="T782" i="5"/>
  <c r="S782" i="5"/>
  <c r="I782" i="5"/>
  <c r="R782" i="5" s="1"/>
  <c r="H782" i="5"/>
  <c r="G782" i="5"/>
  <c r="Q782" i="5" s="1"/>
  <c r="F782" i="5"/>
  <c r="E782" i="5"/>
  <c r="P782" i="5" s="1"/>
  <c r="D782" i="5"/>
  <c r="U782" i="5" s="1"/>
  <c r="U3303" i="5"/>
  <c r="T3303" i="5"/>
  <c r="S3303" i="5"/>
  <c r="R3303" i="5"/>
  <c r="Q3303" i="5"/>
  <c r="U781" i="5"/>
  <c r="T781" i="5"/>
  <c r="S781" i="5"/>
  <c r="I781" i="5"/>
  <c r="R781" i="5" s="1"/>
  <c r="H781" i="5"/>
  <c r="G781" i="5"/>
  <c r="Q781" i="5" s="1"/>
  <c r="F781" i="5"/>
  <c r="E781" i="5"/>
  <c r="P781" i="5" s="1"/>
  <c r="D781" i="5"/>
  <c r="U780" i="5"/>
  <c r="T780" i="5"/>
  <c r="S780" i="5"/>
  <c r="I780" i="5"/>
  <c r="R780" i="5" s="1"/>
  <c r="H780" i="5"/>
  <c r="G780" i="5"/>
  <c r="Q780" i="5" s="1"/>
  <c r="F780" i="5"/>
  <c r="E780" i="5"/>
  <c r="P780" i="5" s="1"/>
  <c r="D780" i="5"/>
  <c r="U779" i="5"/>
  <c r="T779" i="5"/>
  <c r="S779" i="5"/>
  <c r="I779" i="5"/>
  <c r="R779" i="5" s="1"/>
  <c r="H779" i="5"/>
  <c r="G779" i="5"/>
  <c r="Q779" i="5" s="1"/>
  <c r="F779" i="5"/>
  <c r="E779" i="5"/>
  <c r="P779" i="5" s="1"/>
  <c r="D779" i="5"/>
  <c r="U778" i="5"/>
  <c r="T778" i="5"/>
  <c r="S778" i="5"/>
  <c r="I778" i="5"/>
  <c r="R778" i="5" s="1"/>
  <c r="H778" i="5"/>
  <c r="G778" i="5"/>
  <c r="Q778" i="5" s="1"/>
  <c r="F778" i="5"/>
  <c r="E778" i="5"/>
  <c r="P778" i="5" s="1"/>
  <c r="D778" i="5"/>
  <c r="U777" i="5"/>
  <c r="T777" i="5"/>
  <c r="S777" i="5"/>
  <c r="I777" i="5"/>
  <c r="R777" i="5" s="1"/>
  <c r="H777" i="5"/>
  <c r="G777" i="5"/>
  <c r="Q777" i="5" s="1"/>
  <c r="F777" i="5"/>
  <c r="E777" i="5"/>
  <c r="P777" i="5" s="1"/>
  <c r="D777" i="5"/>
  <c r="U776" i="5"/>
  <c r="T776" i="5"/>
  <c r="S776" i="5"/>
  <c r="I776" i="5"/>
  <c r="R776" i="5" s="1"/>
  <c r="H776" i="5"/>
  <c r="G776" i="5"/>
  <c r="Q776" i="5" s="1"/>
  <c r="F776" i="5"/>
  <c r="E776" i="5"/>
  <c r="P776" i="5" s="1"/>
  <c r="D776" i="5"/>
  <c r="U775" i="5"/>
  <c r="T775" i="5"/>
  <c r="S775" i="5"/>
  <c r="I775" i="5"/>
  <c r="R775" i="5" s="1"/>
  <c r="H775" i="5"/>
  <c r="G775" i="5"/>
  <c r="Q775" i="5" s="1"/>
  <c r="F775" i="5"/>
  <c r="E775" i="5"/>
  <c r="P775" i="5" s="1"/>
  <c r="D775" i="5"/>
  <c r="U774" i="5"/>
  <c r="T774" i="5"/>
  <c r="S774" i="5"/>
  <c r="I774" i="5"/>
  <c r="R774" i="5" s="1"/>
  <c r="H774" i="5"/>
  <c r="G774" i="5"/>
  <c r="Q774" i="5" s="1"/>
  <c r="F774" i="5"/>
  <c r="E774" i="5"/>
  <c r="P774" i="5" s="1"/>
  <c r="D774" i="5"/>
  <c r="U773" i="5"/>
  <c r="T773" i="5"/>
  <c r="S773" i="5"/>
  <c r="I773" i="5"/>
  <c r="R773" i="5" s="1"/>
  <c r="H773" i="5"/>
  <c r="G773" i="5"/>
  <c r="Q773" i="5" s="1"/>
  <c r="F773" i="5"/>
  <c r="E773" i="5"/>
  <c r="P773" i="5" s="1"/>
  <c r="D773" i="5"/>
  <c r="U772" i="5"/>
  <c r="T772" i="5"/>
  <c r="S772" i="5"/>
  <c r="I772" i="5"/>
  <c r="R772" i="5" s="1"/>
  <c r="H772" i="5"/>
  <c r="G772" i="5"/>
  <c r="Q772" i="5" s="1"/>
  <c r="F772" i="5"/>
  <c r="E772" i="5"/>
  <c r="P772" i="5" s="1"/>
  <c r="D772" i="5"/>
  <c r="T1243" i="5"/>
  <c r="S1243" i="5"/>
  <c r="I1243" i="5"/>
  <c r="R1243" i="5" s="1"/>
  <c r="H1243" i="5"/>
  <c r="G1243" i="5"/>
  <c r="Q1243" i="5" s="1"/>
  <c r="F1243" i="5"/>
  <c r="E1243" i="5"/>
  <c r="P1243" i="5" s="1"/>
  <c r="D1243" i="5"/>
  <c r="U1243" i="5" s="1"/>
  <c r="T1242" i="5"/>
  <c r="S1242" i="5"/>
  <c r="I1242" i="5"/>
  <c r="R1242" i="5" s="1"/>
  <c r="H1242" i="5"/>
  <c r="G1242" i="5"/>
  <c r="Q1242" i="5" s="1"/>
  <c r="F1242" i="5"/>
  <c r="E1242" i="5"/>
  <c r="P1242" i="5" s="1"/>
  <c r="D1242" i="5"/>
  <c r="U1242" i="5" s="1"/>
  <c r="U3302" i="5"/>
  <c r="T3302" i="5"/>
  <c r="S3302" i="5"/>
  <c r="R3302" i="5"/>
  <c r="Q3302" i="5"/>
  <c r="P3302" i="5"/>
  <c r="U1241" i="5"/>
  <c r="T1241" i="5"/>
  <c r="S1241" i="5"/>
  <c r="I1241" i="5"/>
  <c r="R1241" i="5" s="1"/>
  <c r="H1241" i="5"/>
  <c r="G1241" i="5"/>
  <c r="Q1241" i="5" s="1"/>
  <c r="F1241" i="5"/>
  <c r="E1241" i="5"/>
  <c r="P1241" i="5" s="1"/>
  <c r="D1241" i="5"/>
  <c r="U1240" i="5"/>
  <c r="T1240" i="5"/>
  <c r="S1240" i="5"/>
  <c r="I1240" i="5"/>
  <c r="R1240" i="5" s="1"/>
  <c r="H1240" i="5"/>
  <c r="G1240" i="5"/>
  <c r="Q1240" i="5" s="1"/>
  <c r="F1240" i="5"/>
  <c r="E1240" i="5"/>
  <c r="P1240" i="5" s="1"/>
  <c r="D1240" i="5"/>
  <c r="U1239" i="5"/>
  <c r="T1239" i="5"/>
  <c r="S1239" i="5"/>
  <c r="I1239" i="5"/>
  <c r="R1239" i="5" s="1"/>
  <c r="H1239" i="5"/>
  <c r="G1239" i="5"/>
  <c r="Q1239" i="5" s="1"/>
  <c r="F1239" i="5"/>
  <c r="E1239" i="5"/>
  <c r="P1239" i="5" s="1"/>
  <c r="D1239" i="5"/>
  <c r="U1238" i="5"/>
  <c r="T1238" i="5"/>
  <c r="S1238" i="5"/>
  <c r="I1238" i="5"/>
  <c r="R1238" i="5" s="1"/>
  <c r="H1238" i="5"/>
  <c r="G1238" i="5"/>
  <c r="Q1238" i="5" s="1"/>
  <c r="F1238" i="5"/>
  <c r="E1238" i="5"/>
  <c r="P1238" i="5" s="1"/>
  <c r="D1238" i="5"/>
  <c r="U1237" i="5"/>
  <c r="T1237" i="5"/>
  <c r="S1237" i="5"/>
  <c r="I1237" i="5"/>
  <c r="R1237" i="5" s="1"/>
  <c r="H1237" i="5"/>
  <c r="G1237" i="5"/>
  <c r="Q1237" i="5" s="1"/>
  <c r="F1237" i="5"/>
  <c r="E1237" i="5"/>
  <c r="P1237" i="5" s="1"/>
  <c r="D1237" i="5"/>
  <c r="U1236" i="5"/>
  <c r="T1236" i="5"/>
  <c r="S1236" i="5"/>
  <c r="I1236" i="5"/>
  <c r="R1236" i="5" s="1"/>
  <c r="H1236" i="5"/>
  <c r="G1236" i="5"/>
  <c r="Q1236" i="5" s="1"/>
  <c r="F1236" i="5"/>
  <c r="E1236" i="5"/>
  <c r="P1236" i="5" s="1"/>
  <c r="D1236" i="5"/>
  <c r="U1235" i="5"/>
  <c r="T1235" i="5"/>
  <c r="S1235" i="5"/>
  <c r="I1235" i="5"/>
  <c r="R1235" i="5" s="1"/>
  <c r="H1235" i="5"/>
  <c r="G1235" i="5"/>
  <c r="Q1235" i="5" s="1"/>
  <c r="F1235" i="5"/>
  <c r="E1235" i="5"/>
  <c r="P1235" i="5" s="1"/>
  <c r="D1235" i="5"/>
  <c r="U1234" i="5"/>
  <c r="T1234" i="5"/>
  <c r="S1234" i="5"/>
  <c r="I1234" i="5"/>
  <c r="R1234" i="5" s="1"/>
  <c r="H1234" i="5"/>
  <c r="G1234" i="5"/>
  <c r="Q1234" i="5" s="1"/>
  <c r="F1234" i="5"/>
  <c r="E1234" i="5"/>
  <c r="P1234" i="5" s="1"/>
  <c r="D1234" i="5"/>
  <c r="U1233" i="5"/>
  <c r="T1233" i="5"/>
  <c r="S1233" i="5"/>
  <c r="I1233" i="5"/>
  <c r="R1233" i="5" s="1"/>
  <c r="H1233" i="5"/>
  <c r="G1233" i="5"/>
  <c r="Q1233" i="5" s="1"/>
  <c r="F1233" i="5"/>
  <c r="E1233" i="5"/>
  <c r="P1233" i="5" s="1"/>
  <c r="D1233" i="5"/>
  <c r="U1232" i="5"/>
  <c r="T1232" i="5"/>
  <c r="S1232" i="5"/>
  <c r="I1232" i="5"/>
  <c r="R1232" i="5" s="1"/>
  <c r="H1232" i="5"/>
  <c r="G1232" i="5"/>
  <c r="Q1232" i="5" s="1"/>
  <c r="F1232" i="5"/>
  <c r="E1232" i="5"/>
  <c r="P1232" i="5" s="1"/>
  <c r="D1232" i="5"/>
  <c r="U1231" i="5"/>
  <c r="T1231" i="5"/>
  <c r="S1231" i="5"/>
  <c r="I1231" i="5"/>
  <c r="R1231" i="5" s="1"/>
  <c r="H1231" i="5"/>
  <c r="G1231" i="5"/>
  <c r="Q1231" i="5" s="1"/>
  <c r="F1231" i="5"/>
  <c r="E1231" i="5"/>
  <c r="P1231" i="5" s="1"/>
  <c r="D1231" i="5"/>
  <c r="T1173" i="5"/>
  <c r="S1173" i="5"/>
  <c r="I1173" i="5"/>
  <c r="R1173" i="5" s="1"/>
  <c r="H1173" i="5"/>
  <c r="G1173" i="5"/>
  <c r="Q1173" i="5" s="1"/>
  <c r="F1173" i="5"/>
  <c r="E1173" i="5"/>
  <c r="P1173" i="5" s="1"/>
  <c r="D1173" i="5"/>
  <c r="U1173" i="5" s="1"/>
  <c r="T1172" i="5"/>
  <c r="S1172" i="5"/>
  <c r="I1172" i="5"/>
  <c r="R1172" i="5" s="1"/>
  <c r="H1172" i="5"/>
  <c r="G1172" i="5"/>
  <c r="Q1172" i="5" s="1"/>
  <c r="F1172" i="5"/>
  <c r="E1172" i="5"/>
  <c r="P1172" i="5" s="1"/>
  <c r="D1172" i="5"/>
  <c r="U1172" i="5" s="1"/>
  <c r="U3301" i="5"/>
  <c r="T3301" i="5"/>
  <c r="S3301" i="5"/>
  <c r="R3301" i="5"/>
  <c r="Q3301" i="5"/>
  <c r="P3301" i="5"/>
  <c r="U1171" i="5"/>
  <c r="T1171" i="5"/>
  <c r="S1171" i="5"/>
  <c r="I1171" i="5"/>
  <c r="R1171" i="5" s="1"/>
  <c r="H1171" i="5"/>
  <c r="G1171" i="5"/>
  <c r="Q1171" i="5" s="1"/>
  <c r="F1171" i="5"/>
  <c r="E1171" i="5"/>
  <c r="P1171" i="5" s="1"/>
  <c r="D1171" i="5"/>
  <c r="U1170" i="5"/>
  <c r="T1170" i="5"/>
  <c r="S1170" i="5"/>
  <c r="I1170" i="5"/>
  <c r="R1170" i="5" s="1"/>
  <c r="H1170" i="5"/>
  <c r="G1170" i="5"/>
  <c r="Q1170" i="5" s="1"/>
  <c r="F1170" i="5"/>
  <c r="E1170" i="5"/>
  <c r="P1170" i="5" s="1"/>
  <c r="D1170" i="5"/>
  <c r="U1169" i="5"/>
  <c r="T1169" i="5"/>
  <c r="S1169" i="5"/>
  <c r="I1169" i="5"/>
  <c r="R1169" i="5" s="1"/>
  <c r="H1169" i="5"/>
  <c r="G1169" i="5"/>
  <c r="Q1169" i="5" s="1"/>
  <c r="F1169" i="5"/>
  <c r="E1169" i="5"/>
  <c r="P1169" i="5" s="1"/>
  <c r="D1169" i="5"/>
  <c r="U1168" i="5"/>
  <c r="T1168" i="5"/>
  <c r="S1168" i="5"/>
  <c r="I1168" i="5"/>
  <c r="R1168" i="5" s="1"/>
  <c r="H1168" i="5"/>
  <c r="G1168" i="5"/>
  <c r="Q1168" i="5" s="1"/>
  <c r="F1168" i="5"/>
  <c r="E1168" i="5"/>
  <c r="P1168" i="5" s="1"/>
  <c r="D1168" i="5"/>
  <c r="U1167" i="5"/>
  <c r="T1167" i="5"/>
  <c r="S1167" i="5"/>
  <c r="I1167" i="5"/>
  <c r="R1167" i="5" s="1"/>
  <c r="H1167" i="5"/>
  <c r="G1167" i="5"/>
  <c r="Q1167" i="5" s="1"/>
  <c r="F1167" i="5"/>
  <c r="E1167" i="5"/>
  <c r="P1167" i="5" s="1"/>
  <c r="D1167" i="5"/>
  <c r="U1166" i="5"/>
  <c r="T1166" i="5"/>
  <c r="S1166" i="5"/>
  <c r="I1166" i="5"/>
  <c r="R1166" i="5" s="1"/>
  <c r="H1166" i="5"/>
  <c r="G1166" i="5"/>
  <c r="Q1166" i="5" s="1"/>
  <c r="F1166" i="5"/>
  <c r="E1166" i="5"/>
  <c r="P1166" i="5" s="1"/>
  <c r="D1166" i="5"/>
  <c r="U1165" i="5"/>
  <c r="T1165" i="5"/>
  <c r="S1165" i="5"/>
  <c r="I1165" i="5"/>
  <c r="R1165" i="5" s="1"/>
  <c r="H1165" i="5"/>
  <c r="G1165" i="5"/>
  <c r="Q1165" i="5" s="1"/>
  <c r="F1165" i="5"/>
  <c r="E1165" i="5"/>
  <c r="P1165" i="5" s="1"/>
  <c r="D1165" i="5"/>
  <c r="U1164" i="5"/>
  <c r="T1164" i="5"/>
  <c r="S1164" i="5"/>
  <c r="I1164" i="5"/>
  <c r="R1164" i="5" s="1"/>
  <c r="H1164" i="5"/>
  <c r="G1164" i="5"/>
  <c r="Q1164" i="5" s="1"/>
  <c r="F1164" i="5"/>
  <c r="E1164" i="5"/>
  <c r="P1164" i="5" s="1"/>
  <c r="D1164" i="5"/>
  <c r="U1163" i="5"/>
  <c r="T1163" i="5"/>
  <c r="S1163" i="5"/>
  <c r="I1163" i="5"/>
  <c r="R1163" i="5" s="1"/>
  <c r="H1163" i="5"/>
  <c r="G1163" i="5"/>
  <c r="Q1163" i="5" s="1"/>
  <c r="F1163" i="5"/>
  <c r="E1163" i="5"/>
  <c r="P1163" i="5" s="1"/>
  <c r="D1163" i="5"/>
  <c r="U1162" i="5"/>
  <c r="T1162" i="5"/>
  <c r="S1162" i="5"/>
  <c r="I1162" i="5"/>
  <c r="R1162" i="5" s="1"/>
  <c r="H1162" i="5"/>
  <c r="G1162" i="5"/>
  <c r="Q1162" i="5" s="1"/>
  <c r="F1162" i="5"/>
  <c r="E1162" i="5"/>
  <c r="P1162" i="5" s="1"/>
  <c r="D1162" i="5"/>
  <c r="U1161" i="5"/>
  <c r="T1161" i="5"/>
  <c r="S1161" i="5"/>
  <c r="I1161" i="5"/>
  <c r="R1161" i="5" s="1"/>
  <c r="H1161" i="5"/>
  <c r="G1161" i="5"/>
  <c r="Q1161" i="5" s="1"/>
  <c r="F1161" i="5"/>
  <c r="E1161" i="5"/>
  <c r="P1161" i="5" s="1"/>
  <c r="D1161" i="5"/>
  <c r="T1103" i="5"/>
  <c r="S1103" i="5"/>
  <c r="I1103" i="5"/>
  <c r="R1103" i="5" s="1"/>
  <c r="H1103" i="5"/>
  <c r="G1103" i="5"/>
  <c r="Q1103" i="5" s="1"/>
  <c r="F1103" i="5"/>
  <c r="E1103" i="5"/>
  <c r="P1103" i="5" s="1"/>
  <c r="D1103" i="5"/>
  <c r="U1103" i="5" s="1"/>
  <c r="T1102" i="5"/>
  <c r="S1102" i="5"/>
  <c r="I1102" i="5"/>
  <c r="R1102" i="5" s="1"/>
  <c r="H1102" i="5"/>
  <c r="G1102" i="5"/>
  <c r="Q1102" i="5" s="1"/>
  <c r="F1102" i="5"/>
  <c r="E1102" i="5"/>
  <c r="P1102" i="5" s="1"/>
  <c r="D1102" i="5"/>
  <c r="U1102" i="5" s="1"/>
  <c r="U3300" i="5"/>
  <c r="T3300" i="5"/>
  <c r="S3300" i="5"/>
  <c r="R3300" i="5"/>
  <c r="Q3300" i="5"/>
  <c r="P3300" i="5"/>
  <c r="U1101" i="5"/>
  <c r="T1101" i="5"/>
  <c r="S1101" i="5"/>
  <c r="I1101" i="5"/>
  <c r="R1101" i="5" s="1"/>
  <c r="H1101" i="5"/>
  <c r="G1101" i="5"/>
  <c r="Q1101" i="5" s="1"/>
  <c r="F1101" i="5"/>
  <c r="E1101" i="5"/>
  <c r="P1101" i="5" s="1"/>
  <c r="D1101" i="5"/>
  <c r="U1100" i="5"/>
  <c r="T1100" i="5"/>
  <c r="S1100" i="5"/>
  <c r="I1100" i="5"/>
  <c r="R1100" i="5" s="1"/>
  <c r="H1100" i="5"/>
  <c r="G1100" i="5"/>
  <c r="Q1100" i="5" s="1"/>
  <c r="F1100" i="5"/>
  <c r="E1100" i="5"/>
  <c r="P1100" i="5" s="1"/>
  <c r="D1100" i="5"/>
  <c r="U1099" i="5"/>
  <c r="T1099" i="5"/>
  <c r="S1099" i="5"/>
  <c r="I1099" i="5"/>
  <c r="R1099" i="5" s="1"/>
  <c r="H1099" i="5"/>
  <c r="G1099" i="5"/>
  <c r="Q1099" i="5" s="1"/>
  <c r="F1099" i="5"/>
  <c r="E1099" i="5"/>
  <c r="P1099" i="5" s="1"/>
  <c r="D1099" i="5"/>
  <c r="U1098" i="5"/>
  <c r="T1098" i="5"/>
  <c r="S1098" i="5"/>
  <c r="I1098" i="5"/>
  <c r="R1098" i="5" s="1"/>
  <c r="H1098" i="5"/>
  <c r="G1098" i="5"/>
  <c r="Q1098" i="5" s="1"/>
  <c r="F1098" i="5"/>
  <c r="E1098" i="5"/>
  <c r="P1098" i="5" s="1"/>
  <c r="D1098" i="5"/>
  <c r="U1097" i="5"/>
  <c r="T1097" i="5"/>
  <c r="S1097" i="5"/>
  <c r="I1097" i="5"/>
  <c r="R1097" i="5" s="1"/>
  <c r="H1097" i="5"/>
  <c r="G1097" i="5"/>
  <c r="Q1097" i="5" s="1"/>
  <c r="F1097" i="5"/>
  <c r="E1097" i="5"/>
  <c r="P1097" i="5" s="1"/>
  <c r="D1097" i="5"/>
  <c r="U1096" i="5"/>
  <c r="T1096" i="5"/>
  <c r="S1096" i="5"/>
  <c r="I1096" i="5"/>
  <c r="R1096" i="5" s="1"/>
  <c r="H1096" i="5"/>
  <c r="G1096" i="5"/>
  <c r="Q1096" i="5" s="1"/>
  <c r="F1096" i="5"/>
  <c r="E1096" i="5"/>
  <c r="P1096" i="5" s="1"/>
  <c r="D1096" i="5"/>
  <c r="U1095" i="5"/>
  <c r="T1095" i="5"/>
  <c r="S1095" i="5"/>
  <c r="I1095" i="5"/>
  <c r="R1095" i="5" s="1"/>
  <c r="H1095" i="5"/>
  <c r="G1095" i="5"/>
  <c r="Q1095" i="5" s="1"/>
  <c r="F1095" i="5"/>
  <c r="E1095" i="5"/>
  <c r="P1095" i="5" s="1"/>
  <c r="D1095" i="5"/>
  <c r="U1094" i="5"/>
  <c r="T1094" i="5"/>
  <c r="S1094" i="5"/>
  <c r="I1094" i="5"/>
  <c r="R1094" i="5" s="1"/>
  <c r="H1094" i="5"/>
  <c r="G1094" i="5"/>
  <c r="Q1094" i="5" s="1"/>
  <c r="F1094" i="5"/>
  <c r="E1094" i="5"/>
  <c r="P1094" i="5" s="1"/>
  <c r="D1094" i="5"/>
  <c r="U1093" i="5"/>
  <c r="T1093" i="5"/>
  <c r="S1093" i="5"/>
  <c r="I1093" i="5"/>
  <c r="R1093" i="5" s="1"/>
  <c r="H1093" i="5"/>
  <c r="G1093" i="5"/>
  <c r="Q1093" i="5" s="1"/>
  <c r="F1093" i="5"/>
  <c r="E1093" i="5"/>
  <c r="P1093" i="5" s="1"/>
  <c r="D1093" i="5"/>
  <c r="U1092" i="5"/>
  <c r="T1092" i="5"/>
  <c r="S1092" i="5"/>
  <c r="I1092" i="5"/>
  <c r="R1092" i="5" s="1"/>
  <c r="H1092" i="5"/>
  <c r="G1092" i="5"/>
  <c r="Q1092" i="5" s="1"/>
  <c r="F1092" i="5"/>
  <c r="E1092" i="5"/>
  <c r="P1092" i="5" s="1"/>
  <c r="D1092" i="5"/>
  <c r="U1091" i="5"/>
  <c r="T1091" i="5"/>
  <c r="S1091" i="5"/>
  <c r="I1091" i="5"/>
  <c r="R1091" i="5" s="1"/>
  <c r="H1091" i="5"/>
  <c r="G1091" i="5"/>
  <c r="Q1091" i="5" s="1"/>
  <c r="F1091" i="5"/>
  <c r="E1091" i="5"/>
  <c r="P1091" i="5" s="1"/>
  <c r="D1091" i="5"/>
  <c r="T1035" i="5"/>
  <c r="S1035" i="5"/>
  <c r="I1035" i="5"/>
  <c r="R1035" i="5" s="1"/>
  <c r="H1035" i="5"/>
  <c r="G1035" i="5"/>
  <c r="Q1035" i="5" s="1"/>
  <c r="F1035" i="5"/>
  <c r="E1035" i="5"/>
  <c r="P1035" i="5" s="1"/>
  <c r="D1035" i="5"/>
  <c r="U1035" i="5" s="1"/>
  <c r="T1034" i="5"/>
  <c r="S1034" i="5"/>
  <c r="I1034" i="5"/>
  <c r="R1034" i="5" s="1"/>
  <c r="H1034" i="5"/>
  <c r="G1034" i="5"/>
  <c r="Q1034" i="5" s="1"/>
  <c r="F1034" i="5"/>
  <c r="E1034" i="5"/>
  <c r="P1034" i="5" s="1"/>
  <c r="D1034" i="5"/>
  <c r="U1034" i="5" s="1"/>
  <c r="U3299" i="5"/>
  <c r="T3299" i="5"/>
  <c r="S3299" i="5"/>
  <c r="R3299" i="5"/>
  <c r="Q3299" i="5"/>
  <c r="P3299" i="5"/>
  <c r="U1033" i="5"/>
  <c r="T1033" i="5"/>
  <c r="S1033" i="5"/>
  <c r="I1033" i="5"/>
  <c r="R1033" i="5" s="1"/>
  <c r="H1033" i="5"/>
  <c r="G1033" i="5"/>
  <c r="Q1033" i="5" s="1"/>
  <c r="F1033" i="5"/>
  <c r="E1033" i="5"/>
  <c r="P1033" i="5" s="1"/>
  <c r="D1033" i="5"/>
  <c r="U1032" i="5"/>
  <c r="T1032" i="5"/>
  <c r="S1032" i="5"/>
  <c r="I1032" i="5"/>
  <c r="R1032" i="5" s="1"/>
  <c r="H1032" i="5"/>
  <c r="G1032" i="5"/>
  <c r="Q1032" i="5" s="1"/>
  <c r="F1032" i="5"/>
  <c r="E1032" i="5"/>
  <c r="P1032" i="5" s="1"/>
  <c r="D1032" i="5"/>
  <c r="U1031" i="5"/>
  <c r="T1031" i="5"/>
  <c r="S1031" i="5"/>
  <c r="I1031" i="5"/>
  <c r="R1031" i="5" s="1"/>
  <c r="H1031" i="5"/>
  <c r="G1031" i="5"/>
  <c r="Q1031" i="5" s="1"/>
  <c r="F1031" i="5"/>
  <c r="E1031" i="5"/>
  <c r="P1031" i="5" s="1"/>
  <c r="D1031" i="5"/>
  <c r="U1030" i="5"/>
  <c r="T1030" i="5"/>
  <c r="S1030" i="5"/>
  <c r="I1030" i="5"/>
  <c r="R1030" i="5" s="1"/>
  <c r="H1030" i="5"/>
  <c r="G1030" i="5"/>
  <c r="Q1030" i="5" s="1"/>
  <c r="F1030" i="5"/>
  <c r="E1030" i="5"/>
  <c r="P1030" i="5" s="1"/>
  <c r="D1030" i="5"/>
  <c r="U1029" i="5"/>
  <c r="T1029" i="5"/>
  <c r="S1029" i="5"/>
  <c r="I1029" i="5"/>
  <c r="R1029" i="5" s="1"/>
  <c r="H1029" i="5"/>
  <c r="G1029" i="5"/>
  <c r="Q1029" i="5" s="1"/>
  <c r="F1029" i="5"/>
  <c r="E1029" i="5"/>
  <c r="P1029" i="5" s="1"/>
  <c r="D1029" i="5"/>
  <c r="U1028" i="5"/>
  <c r="T1028" i="5"/>
  <c r="S1028" i="5"/>
  <c r="I1028" i="5"/>
  <c r="R1028" i="5" s="1"/>
  <c r="H1028" i="5"/>
  <c r="G1028" i="5"/>
  <c r="Q1028" i="5" s="1"/>
  <c r="F1028" i="5"/>
  <c r="E1028" i="5"/>
  <c r="P1028" i="5" s="1"/>
  <c r="D1028" i="5"/>
  <c r="U1027" i="5"/>
  <c r="T1027" i="5"/>
  <c r="S1027" i="5"/>
  <c r="I1027" i="5"/>
  <c r="R1027" i="5" s="1"/>
  <c r="H1027" i="5"/>
  <c r="G1027" i="5"/>
  <c r="Q1027" i="5" s="1"/>
  <c r="F1027" i="5"/>
  <c r="E1027" i="5"/>
  <c r="P1027" i="5" s="1"/>
  <c r="D1027" i="5"/>
  <c r="U1026" i="5"/>
  <c r="T1026" i="5"/>
  <c r="S1026" i="5"/>
  <c r="I1026" i="5"/>
  <c r="R1026" i="5" s="1"/>
  <c r="H1026" i="5"/>
  <c r="G1026" i="5"/>
  <c r="Q1026" i="5" s="1"/>
  <c r="F1026" i="5"/>
  <c r="E1026" i="5"/>
  <c r="P1026" i="5" s="1"/>
  <c r="D1026" i="5"/>
  <c r="U1025" i="5"/>
  <c r="T1025" i="5"/>
  <c r="S1025" i="5"/>
  <c r="I1025" i="5"/>
  <c r="R1025" i="5" s="1"/>
  <c r="H1025" i="5"/>
  <c r="G1025" i="5"/>
  <c r="Q1025" i="5" s="1"/>
  <c r="F1025" i="5"/>
  <c r="E1025" i="5"/>
  <c r="P1025" i="5" s="1"/>
  <c r="D1025" i="5"/>
  <c r="U1024" i="5"/>
  <c r="T1024" i="5"/>
  <c r="S1024" i="5"/>
  <c r="I1024" i="5"/>
  <c r="R1024" i="5" s="1"/>
  <c r="H1024" i="5"/>
  <c r="G1024" i="5"/>
  <c r="Q1024" i="5" s="1"/>
  <c r="F1024" i="5"/>
  <c r="E1024" i="5"/>
  <c r="P1024" i="5" s="1"/>
  <c r="D1024" i="5"/>
  <c r="T969" i="5"/>
  <c r="S969" i="5"/>
  <c r="I969" i="5"/>
  <c r="R969" i="5" s="1"/>
  <c r="H969" i="5"/>
  <c r="G969" i="5"/>
  <c r="Q969" i="5" s="1"/>
  <c r="F969" i="5"/>
  <c r="E969" i="5"/>
  <c r="P969" i="5" s="1"/>
  <c r="D969" i="5"/>
  <c r="U969" i="5" s="1"/>
  <c r="T968" i="5"/>
  <c r="S968" i="5"/>
  <c r="I968" i="5"/>
  <c r="R968" i="5" s="1"/>
  <c r="H968" i="5"/>
  <c r="G968" i="5"/>
  <c r="Q968" i="5" s="1"/>
  <c r="F968" i="5"/>
  <c r="E968" i="5"/>
  <c r="P968" i="5" s="1"/>
  <c r="D968" i="5"/>
  <c r="U968" i="5" s="1"/>
  <c r="U3206" i="5"/>
  <c r="T3206" i="5"/>
  <c r="S3206" i="5"/>
  <c r="P3206" i="5"/>
  <c r="I3206" i="5"/>
  <c r="R3206" i="5" s="1"/>
  <c r="H3206" i="5"/>
  <c r="G3206" i="5"/>
  <c r="Q3206" i="5" s="1"/>
  <c r="F3206" i="5"/>
  <c r="U967" i="5"/>
  <c r="T967" i="5"/>
  <c r="S967" i="5"/>
  <c r="I967" i="5"/>
  <c r="R967" i="5" s="1"/>
  <c r="H967" i="5"/>
  <c r="G967" i="5"/>
  <c r="Q967" i="5" s="1"/>
  <c r="F967" i="5"/>
  <c r="E967" i="5"/>
  <c r="P967" i="5" s="1"/>
  <c r="D967" i="5"/>
  <c r="U966" i="5"/>
  <c r="T966" i="5"/>
  <c r="S966" i="5"/>
  <c r="I966" i="5"/>
  <c r="R966" i="5" s="1"/>
  <c r="H966" i="5"/>
  <c r="G966" i="5"/>
  <c r="Q966" i="5" s="1"/>
  <c r="F966" i="5"/>
  <c r="E966" i="5"/>
  <c r="P966" i="5" s="1"/>
  <c r="D966" i="5"/>
  <c r="U965" i="5"/>
  <c r="T965" i="5"/>
  <c r="S965" i="5"/>
  <c r="I965" i="5"/>
  <c r="R965" i="5" s="1"/>
  <c r="H965" i="5"/>
  <c r="G965" i="5"/>
  <c r="Q965" i="5" s="1"/>
  <c r="F965" i="5"/>
  <c r="E965" i="5"/>
  <c r="P965" i="5" s="1"/>
  <c r="D965" i="5"/>
  <c r="U964" i="5"/>
  <c r="T964" i="5"/>
  <c r="S964" i="5"/>
  <c r="I964" i="5"/>
  <c r="R964" i="5" s="1"/>
  <c r="H964" i="5"/>
  <c r="G964" i="5"/>
  <c r="Q964" i="5" s="1"/>
  <c r="F964" i="5"/>
  <c r="E964" i="5"/>
  <c r="P964" i="5" s="1"/>
  <c r="D964" i="5"/>
  <c r="U963" i="5"/>
  <c r="T963" i="5"/>
  <c r="S963" i="5"/>
  <c r="I963" i="5"/>
  <c r="R963" i="5" s="1"/>
  <c r="H963" i="5"/>
  <c r="G963" i="5"/>
  <c r="Q963" i="5" s="1"/>
  <c r="F963" i="5"/>
  <c r="E963" i="5"/>
  <c r="P963" i="5" s="1"/>
  <c r="D963" i="5"/>
  <c r="U962" i="5"/>
  <c r="T962" i="5"/>
  <c r="S962" i="5"/>
  <c r="I962" i="5"/>
  <c r="R962" i="5" s="1"/>
  <c r="H962" i="5"/>
  <c r="G962" i="5"/>
  <c r="Q962" i="5" s="1"/>
  <c r="F962" i="5"/>
  <c r="E962" i="5"/>
  <c r="P962" i="5" s="1"/>
  <c r="D962" i="5"/>
  <c r="U961" i="5"/>
  <c r="T961" i="5"/>
  <c r="S961" i="5"/>
  <c r="I961" i="5"/>
  <c r="R961" i="5" s="1"/>
  <c r="H961" i="5"/>
  <c r="G961" i="5"/>
  <c r="Q961" i="5" s="1"/>
  <c r="F961" i="5"/>
  <c r="E961" i="5"/>
  <c r="P961" i="5" s="1"/>
  <c r="D961" i="5"/>
  <c r="U960" i="5"/>
  <c r="T960" i="5"/>
  <c r="S960" i="5"/>
  <c r="I960" i="5"/>
  <c r="R960" i="5" s="1"/>
  <c r="H960" i="5"/>
  <c r="G960" i="5"/>
  <c r="Q960" i="5" s="1"/>
  <c r="F960" i="5"/>
  <c r="E960" i="5"/>
  <c r="P960" i="5" s="1"/>
  <c r="D960" i="5"/>
  <c r="U959" i="5"/>
  <c r="T959" i="5"/>
  <c r="S959" i="5"/>
  <c r="I959" i="5"/>
  <c r="R959" i="5" s="1"/>
  <c r="H959" i="5"/>
  <c r="G959" i="5"/>
  <c r="Q959" i="5" s="1"/>
  <c r="F959" i="5"/>
  <c r="E959" i="5"/>
  <c r="P959" i="5" s="1"/>
  <c r="D959" i="5"/>
  <c r="U958" i="5"/>
  <c r="T958" i="5"/>
  <c r="S958" i="5"/>
  <c r="I958" i="5"/>
  <c r="R958" i="5" s="1"/>
  <c r="H958" i="5"/>
  <c r="G958" i="5"/>
  <c r="Q958" i="5" s="1"/>
  <c r="F958" i="5"/>
  <c r="E958" i="5"/>
  <c r="P958" i="5" s="1"/>
  <c r="D958" i="5"/>
  <c r="T903" i="5"/>
  <c r="S903" i="5"/>
  <c r="I903" i="5"/>
  <c r="R903" i="5" s="1"/>
  <c r="H903" i="5"/>
  <c r="G903" i="5"/>
  <c r="Q903" i="5" s="1"/>
  <c r="F903" i="5"/>
  <c r="E903" i="5"/>
  <c r="P903" i="5" s="1"/>
  <c r="D903" i="5"/>
  <c r="U903" i="5" s="1"/>
  <c r="T902" i="5"/>
  <c r="S902" i="5"/>
  <c r="I902" i="5"/>
  <c r="R902" i="5" s="1"/>
  <c r="H902" i="5"/>
  <c r="G902" i="5"/>
  <c r="Q902" i="5" s="1"/>
  <c r="F902" i="5"/>
  <c r="E902" i="5"/>
  <c r="P902" i="5" s="1"/>
  <c r="D902" i="5"/>
  <c r="U902" i="5" s="1"/>
  <c r="U3205" i="5"/>
  <c r="T3205" i="5"/>
  <c r="S3205" i="5"/>
  <c r="R3205" i="5"/>
  <c r="Q3205" i="5"/>
  <c r="U901" i="5"/>
  <c r="T901" i="5"/>
  <c r="S901" i="5"/>
  <c r="I901" i="5"/>
  <c r="R901" i="5" s="1"/>
  <c r="H901" i="5"/>
  <c r="G901" i="5"/>
  <c r="Q901" i="5" s="1"/>
  <c r="F901" i="5"/>
  <c r="E901" i="5"/>
  <c r="P901" i="5" s="1"/>
  <c r="D901" i="5"/>
  <c r="U900" i="5"/>
  <c r="T900" i="5"/>
  <c r="S900" i="5"/>
  <c r="I900" i="5"/>
  <c r="R900" i="5" s="1"/>
  <c r="H900" i="5"/>
  <c r="G900" i="5"/>
  <c r="Q900" i="5" s="1"/>
  <c r="F900" i="5"/>
  <c r="E900" i="5"/>
  <c r="P900" i="5" s="1"/>
  <c r="D900" i="5"/>
  <c r="U899" i="5"/>
  <c r="T899" i="5"/>
  <c r="S899" i="5"/>
  <c r="I899" i="5"/>
  <c r="R899" i="5" s="1"/>
  <c r="H899" i="5"/>
  <c r="G899" i="5"/>
  <c r="Q899" i="5" s="1"/>
  <c r="F899" i="5"/>
  <c r="E899" i="5"/>
  <c r="P899" i="5" s="1"/>
  <c r="D899" i="5"/>
  <c r="U898" i="5"/>
  <c r="T898" i="5"/>
  <c r="S898" i="5"/>
  <c r="I898" i="5"/>
  <c r="R898" i="5" s="1"/>
  <c r="H898" i="5"/>
  <c r="G898" i="5"/>
  <c r="Q898" i="5" s="1"/>
  <c r="F898" i="5"/>
  <c r="E898" i="5"/>
  <c r="P898" i="5" s="1"/>
  <c r="D898" i="5"/>
  <c r="U897" i="5"/>
  <c r="T897" i="5"/>
  <c r="S897" i="5"/>
  <c r="I897" i="5"/>
  <c r="R897" i="5" s="1"/>
  <c r="H897" i="5"/>
  <c r="G897" i="5"/>
  <c r="Q897" i="5" s="1"/>
  <c r="F897" i="5"/>
  <c r="E897" i="5"/>
  <c r="P897" i="5" s="1"/>
  <c r="D897" i="5"/>
  <c r="U896" i="5"/>
  <c r="T896" i="5"/>
  <c r="S896" i="5"/>
  <c r="I896" i="5"/>
  <c r="R896" i="5" s="1"/>
  <c r="H896" i="5"/>
  <c r="G896" i="5"/>
  <c r="Q896" i="5" s="1"/>
  <c r="F896" i="5"/>
  <c r="E896" i="5"/>
  <c r="P896" i="5" s="1"/>
  <c r="D896" i="5"/>
  <c r="U895" i="5"/>
  <c r="T895" i="5"/>
  <c r="S895" i="5"/>
  <c r="I895" i="5"/>
  <c r="R895" i="5" s="1"/>
  <c r="H895" i="5"/>
  <c r="G895" i="5"/>
  <c r="Q895" i="5" s="1"/>
  <c r="F895" i="5"/>
  <c r="E895" i="5"/>
  <c r="P895" i="5" s="1"/>
  <c r="D895" i="5"/>
  <c r="U894" i="5"/>
  <c r="T894" i="5"/>
  <c r="S894" i="5"/>
  <c r="I894" i="5"/>
  <c r="R894" i="5" s="1"/>
  <c r="H894" i="5"/>
  <c r="G894" i="5"/>
  <c r="Q894" i="5" s="1"/>
  <c r="F894" i="5"/>
  <c r="E894" i="5"/>
  <c r="P894" i="5" s="1"/>
  <c r="D894" i="5"/>
  <c r="U893" i="5"/>
  <c r="T893" i="5"/>
  <c r="S893" i="5"/>
  <c r="I893" i="5"/>
  <c r="R893" i="5" s="1"/>
  <c r="H893" i="5"/>
  <c r="G893" i="5"/>
  <c r="Q893" i="5" s="1"/>
  <c r="F893" i="5"/>
  <c r="E893" i="5"/>
  <c r="P893" i="5" s="1"/>
  <c r="D893" i="5"/>
  <c r="U892" i="5"/>
  <c r="T892" i="5"/>
  <c r="S892" i="5"/>
  <c r="I892" i="5"/>
  <c r="R892" i="5" s="1"/>
  <c r="H892" i="5"/>
  <c r="G892" i="5"/>
  <c r="Q892" i="5" s="1"/>
  <c r="F892" i="5"/>
  <c r="E892" i="5"/>
  <c r="P892" i="5" s="1"/>
  <c r="D892" i="5"/>
  <c r="T837" i="5"/>
  <c r="S837" i="5"/>
  <c r="I837" i="5"/>
  <c r="R837" i="5" s="1"/>
  <c r="H837" i="5"/>
  <c r="G837" i="5"/>
  <c r="Q837" i="5" s="1"/>
  <c r="F837" i="5"/>
  <c r="E837" i="5"/>
  <c r="P837" i="5" s="1"/>
  <c r="D837" i="5"/>
  <c r="U837" i="5" s="1"/>
  <c r="T836" i="5"/>
  <c r="S836" i="5"/>
  <c r="I836" i="5"/>
  <c r="R836" i="5" s="1"/>
  <c r="H836" i="5"/>
  <c r="G836" i="5"/>
  <c r="Q836" i="5" s="1"/>
  <c r="F836" i="5"/>
  <c r="E836" i="5"/>
  <c r="P836" i="5" s="1"/>
  <c r="D836" i="5"/>
  <c r="U836" i="5" s="1"/>
  <c r="U3204" i="5"/>
  <c r="T3204" i="5"/>
  <c r="S3204" i="5"/>
  <c r="R3204" i="5"/>
  <c r="Q3204" i="5"/>
  <c r="P3204" i="5"/>
  <c r="U835" i="5"/>
  <c r="T835" i="5"/>
  <c r="S835" i="5"/>
  <c r="I835" i="5"/>
  <c r="R835" i="5" s="1"/>
  <c r="H835" i="5"/>
  <c r="G835" i="5"/>
  <c r="Q835" i="5" s="1"/>
  <c r="F835" i="5"/>
  <c r="E835" i="5"/>
  <c r="P835" i="5" s="1"/>
  <c r="D835" i="5"/>
  <c r="U834" i="5"/>
  <c r="T834" i="5"/>
  <c r="S834" i="5"/>
  <c r="I834" i="5"/>
  <c r="R834" i="5" s="1"/>
  <c r="H834" i="5"/>
  <c r="G834" i="5"/>
  <c r="Q834" i="5" s="1"/>
  <c r="F834" i="5"/>
  <c r="E834" i="5"/>
  <c r="P834" i="5" s="1"/>
  <c r="D834" i="5"/>
  <c r="U833" i="5"/>
  <c r="T833" i="5"/>
  <c r="S833" i="5"/>
  <c r="I833" i="5"/>
  <c r="R833" i="5" s="1"/>
  <c r="H833" i="5"/>
  <c r="G833" i="5"/>
  <c r="Q833" i="5" s="1"/>
  <c r="F833" i="5"/>
  <c r="E833" i="5"/>
  <c r="P833" i="5" s="1"/>
  <c r="D833" i="5"/>
  <c r="U832" i="5"/>
  <c r="T832" i="5"/>
  <c r="S832" i="5"/>
  <c r="I832" i="5"/>
  <c r="R832" i="5" s="1"/>
  <c r="H832" i="5"/>
  <c r="G832" i="5"/>
  <c r="Q832" i="5" s="1"/>
  <c r="F832" i="5"/>
  <c r="E832" i="5"/>
  <c r="P832" i="5" s="1"/>
  <c r="D832" i="5"/>
  <c r="U831" i="5"/>
  <c r="T831" i="5"/>
  <c r="S831" i="5"/>
  <c r="I831" i="5"/>
  <c r="R831" i="5" s="1"/>
  <c r="H831" i="5"/>
  <c r="G831" i="5"/>
  <c r="Q831" i="5" s="1"/>
  <c r="F831" i="5"/>
  <c r="E831" i="5"/>
  <c r="P831" i="5" s="1"/>
  <c r="D831" i="5"/>
  <c r="U830" i="5"/>
  <c r="T830" i="5"/>
  <c r="S830" i="5"/>
  <c r="I830" i="5"/>
  <c r="R830" i="5" s="1"/>
  <c r="H830" i="5"/>
  <c r="G830" i="5"/>
  <c r="Q830" i="5" s="1"/>
  <c r="F830" i="5"/>
  <c r="E830" i="5"/>
  <c r="P830" i="5" s="1"/>
  <c r="D830" i="5"/>
  <c r="U829" i="5"/>
  <c r="T829" i="5"/>
  <c r="S829" i="5"/>
  <c r="I829" i="5"/>
  <c r="R829" i="5" s="1"/>
  <c r="H829" i="5"/>
  <c r="G829" i="5"/>
  <c r="Q829" i="5" s="1"/>
  <c r="F829" i="5"/>
  <c r="E829" i="5"/>
  <c r="P829" i="5" s="1"/>
  <c r="D829" i="5"/>
  <c r="U828" i="5"/>
  <c r="T828" i="5"/>
  <c r="S828" i="5"/>
  <c r="I828" i="5"/>
  <c r="R828" i="5" s="1"/>
  <c r="H828" i="5"/>
  <c r="G828" i="5"/>
  <c r="Q828" i="5" s="1"/>
  <c r="F828" i="5"/>
  <c r="E828" i="5"/>
  <c r="P828" i="5" s="1"/>
  <c r="D828" i="5"/>
  <c r="U827" i="5"/>
  <c r="T827" i="5"/>
  <c r="S827" i="5"/>
  <c r="I827" i="5"/>
  <c r="R827" i="5" s="1"/>
  <c r="H827" i="5"/>
  <c r="G827" i="5"/>
  <c r="Q827" i="5" s="1"/>
  <c r="F827" i="5"/>
  <c r="E827" i="5"/>
  <c r="P827" i="5" s="1"/>
  <c r="D827" i="5"/>
  <c r="U826" i="5"/>
  <c r="T826" i="5"/>
  <c r="S826" i="5"/>
  <c r="I826" i="5"/>
  <c r="R826" i="5" s="1"/>
  <c r="H826" i="5"/>
  <c r="G826" i="5"/>
  <c r="Q826" i="5" s="1"/>
  <c r="F826" i="5"/>
  <c r="E826" i="5"/>
  <c r="P826" i="5" s="1"/>
  <c r="D826" i="5"/>
  <c r="T771" i="5"/>
  <c r="S771" i="5"/>
  <c r="I771" i="5"/>
  <c r="R771" i="5" s="1"/>
  <c r="H771" i="5"/>
  <c r="G771" i="5"/>
  <c r="Q771" i="5" s="1"/>
  <c r="F771" i="5"/>
  <c r="E771" i="5"/>
  <c r="P771" i="5" s="1"/>
  <c r="D771" i="5"/>
  <c r="U771" i="5" s="1"/>
  <c r="T770" i="5"/>
  <c r="S770" i="5"/>
  <c r="I770" i="5"/>
  <c r="R770" i="5" s="1"/>
  <c r="H770" i="5"/>
  <c r="G770" i="5"/>
  <c r="Q770" i="5" s="1"/>
  <c r="F770" i="5"/>
  <c r="E770" i="5"/>
  <c r="P770" i="5" s="1"/>
  <c r="D770" i="5"/>
  <c r="U770" i="5" s="1"/>
  <c r="U3203" i="5"/>
  <c r="T3203" i="5"/>
  <c r="S3203" i="5"/>
  <c r="R3203" i="5"/>
  <c r="Q3203" i="5"/>
  <c r="P3203" i="5"/>
  <c r="U769" i="5"/>
  <c r="T769" i="5"/>
  <c r="S769" i="5"/>
  <c r="I769" i="5"/>
  <c r="R769" i="5" s="1"/>
  <c r="H769" i="5"/>
  <c r="G769" i="5"/>
  <c r="Q769" i="5" s="1"/>
  <c r="F769" i="5"/>
  <c r="E769" i="5"/>
  <c r="P769" i="5" s="1"/>
  <c r="D769" i="5"/>
  <c r="U768" i="5"/>
  <c r="T768" i="5"/>
  <c r="S768" i="5"/>
  <c r="I768" i="5"/>
  <c r="R768" i="5" s="1"/>
  <c r="H768" i="5"/>
  <c r="G768" i="5"/>
  <c r="Q768" i="5" s="1"/>
  <c r="F768" i="5"/>
  <c r="E768" i="5"/>
  <c r="P768" i="5" s="1"/>
  <c r="D768" i="5"/>
  <c r="U767" i="5"/>
  <c r="T767" i="5"/>
  <c r="S767" i="5"/>
  <c r="I767" i="5"/>
  <c r="R767" i="5" s="1"/>
  <c r="H767" i="5"/>
  <c r="G767" i="5"/>
  <c r="Q767" i="5" s="1"/>
  <c r="F767" i="5"/>
  <c r="E767" i="5"/>
  <c r="P767" i="5" s="1"/>
  <c r="D767" i="5"/>
  <c r="U766" i="5"/>
  <c r="T766" i="5"/>
  <c r="S766" i="5"/>
  <c r="I766" i="5"/>
  <c r="R766" i="5" s="1"/>
  <c r="H766" i="5"/>
  <c r="G766" i="5"/>
  <c r="Q766" i="5" s="1"/>
  <c r="F766" i="5"/>
  <c r="E766" i="5"/>
  <c r="P766" i="5" s="1"/>
  <c r="D766" i="5"/>
  <c r="U765" i="5"/>
  <c r="T765" i="5"/>
  <c r="S765" i="5"/>
  <c r="I765" i="5"/>
  <c r="R765" i="5" s="1"/>
  <c r="H765" i="5"/>
  <c r="G765" i="5"/>
  <c r="Q765" i="5" s="1"/>
  <c r="F765" i="5"/>
  <c r="E765" i="5"/>
  <c r="P765" i="5" s="1"/>
  <c r="D765" i="5"/>
  <c r="U764" i="5"/>
  <c r="T764" i="5"/>
  <c r="S764" i="5"/>
  <c r="I764" i="5"/>
  <c r="R764" i="5" s="1"/>
  <c r="H764" i="5"/>
  <c r="G764" i="5"/>
  <c r="Q764" i="5" s="1"/>
  <c r="F764" i="5"/>
  <c r="E764" i="5"/>
  <c r="P764" i="5" s="1"/>
  <c r="D764" i="5"/>
  <c r="U763" i="5"/>
  <c r="T763" i="5"/>
  <c r="S763" i="5"/>
  <c r="I763" i="5"/>
  <c r="R763" i="5" s="1"/>
  <c r="H763" i="5"/>
  <c r="G763" i="5"/>
  <c r="Q763" i="5" s="1"/>
  <c r="F763" i="5"/>
  <c r="E763" i="5"/>
  <c r="P763" i="5" s="1"/>
  <c r="D763" i="5"/>
  <c r="U762" i="5"/>
  <c r="T762" i="5"/>
  <c r="S762" i="5"/>
  <c r="I762" i="5"/>
  <c r="R762" i="5" s="1"/>
  <c r="H762" i="5"/>
  <c r="G762" i="5"/>
  <c r="Q762" i="5" s="1"/>
  <c r="F762" i="5"/>
  <c r="E762" i="5"/>
  <c r="P762" i="5" s="1"/>
  <c r="D762" i="5"/>
  <c r="U761" i="5"/>
  <c r="T761" i="5"/>
  <c r="S761" i="5"/>
  <c r="I761" i="5"/>
  <c r="R761" i="5" s="1"/>
  <c r="H761" i="5"/>
  <c r="G761" i="5"/>
  <c r="Q761" i="5" s="1"/>
  <c r="F761" i="5"/>
  <c r="E761" i="5"/>
  <c r="P761" i="5" s="1"/>
  <c r="D761" i="5"/>
  <c r="U760" i="5"/>
  <c r="T760" i="5"/>
  <c r="S760" i="5"/>
  <c r="I760" i="5"/>
  <c r="R760" i="5" s="1"/>
  <c r="H760" i="5"/>
  <c r="G760" i="5"/>
  <c r="Q760" i="5" s="1"/>
  <c r="F760" i="5"/>
  <c r="E760" i="5"/>
  <c r="P760" i="5" s="1"/>
  <c r="D760" i="5"/>
  <c r="T1230" i="5"/>
  <c r="S1230" i="5"/>
  <c r="I1230" i="5"/>
  <c r="R1230" i="5" s="1"/>
  <c r="H1230" i="5"/>
  <c r="G1230" i="5"/>
  <c r="Q1230" i="5" s="1"/>
  <c r="F1230" i="5"/>
  <c r="E1230" i="5"/>
  <c r="P1230" i="5" s="1"/>
  <c r="D1230" i="5"/>
  <c r="U1230" i="5" s="1"/>
  <c r="T1229" i="5"/>
  <c r="S1229" i="5"/>
  <c r="I1229" i="5"/>
  <c r="R1229" i="5" s="1"/>
  <c r="H1229" i="5"/>
  <c r="G1229" i="5"/>
  <c r="Q1229" i="5" s="1"/>
  <c r="F1229" i="5"/>
  <c r="E1229" i="5"/>
  <c r="P1229" i="5" s="1"/>
  <c r="D1229" i="5"/>
  <c r="U1229" i="5" s="1"/>
  <c r="U3202" i="5"/>
  <c r="T3202" i="5"/>
  <c r="S3202" i="5"/>
  <c r="R3202" i="5"/>
  <c r="Q3202" i="5"/>
  <c r="P3202" i="5"/>
  <c r="U1228" i="5"/>
  <c r="T1228" i="5"/>
  <c r="S1228" i="5"/>
  <c r="I1228" i="5"/>
  <c r="R1228" i="5" s="1"/>
  <c r="H1228" i="5"/>
  <c r="G1228" i="5"/>
  <c r="Q1228" i="5" s="1"/>
  <c r="F1228" i="5"/>
  <c r="E1228" i="5"/>
  <c r="P1228" i="5" s="1"/>
  <c r="D1228" i="5"/>
  <c r="U1227" i="5"/>
  <c r="T1227" i="5"/>
  <c r="S1227" i="5"/>
  <c r="I1227" i="5"/>
  <c r="R1227" i="5" s="1"/>
  <c r="H1227" i="5"/>
  <c r="G1227" i="5"/>
  <c r="Q1227" i="5" s="1"/>
  <c r="F1227" i="5"/>
  <c r="E1227" i="5"/>
  <c r="P1227" i="5" s="1"/>
  <c r="D1227" i="5"/>
  <c r="U1226" i="5"/>
  <c r="T1226" i="5"/>
  <c r="S1226" i="5"/>
  <c r="I1226" i="5"/>
  <c r="R1226" i="5" s="1"/>
  <c r="H1226" i="5"/>
  <c r="G1226" i="5"/>
  <c r="Q1226" i="5" s="1"/>
  <c r="F1226" i="5"/>
  <c r="E1226" i="5"/>
  <c r="P1226" i="5" s="1"/>
  <c r="D1226" i="5"/>
  <c r="U1225" i="5"/>
  <c r="T1225" i="5"/>
  <c r="S1225" i="5"/>
  <c r="I1225" i="5"/>
  <c r="R1225" i="5" s="1"/>
  <c r="H1225" i="5"/>
  <c r="G1225" i="5"/>
  <c r="Q1225" i="5" s="1"/>
  <c r="F1225" i="5"/>
  <c r="E1225" i="5"/>
  <c r="P1225" i="5" s="1"/>
  <c r="D1225" i="5"/>
  <c r="U1224" i="5"/>
  <c r="T1224" i="5"/>
  <c r="S1224" i="5"/>
  <c r="I1224" i="5"/>
  <c r="R1224" i="5" s="1"/>
  <c r="H1224" i="5"/>
  <c r="G1224" i="5"/>
  <c r="Q1224" i="5" s="1"/>
  <c r="F1224" i="5"/>
  <c r="E1224" i="5"/>
  <c r="P1224" i="5" s="1"/>
  <c r="D1224" i="5"/>
  <c r="U1223" i="5"/>
  <c r="T1223" i="5"/>
  <c r="S1223" i="5"/>
  <c r="I1223" i="5"/>
  <c r="R1223" i="5" s="1"/>
  <c r="H1223" i="5"/>
  <c r="G1223" i="5"/>
  <c r="Q1223" i="5" s="1"/>
  <c r="F1223" i="5"/>
  <c r="E1223" i="5"/>
  <c r="P1223" i="5" s="1"/>
  <c r="D1223" i="5"/>
  <c r="U1222" i="5"/>
  <c r="T1222" i="5"/>
  <c r="S1222" i="5"/>
  <c r="I1222" i="5"/>
  <c r="R1222" i="5" s="1"/>
  <c r="H1222" i="5"/>
  <c r="G1222" i="5"/>
  <c r="Q1222" i="5" s="1"/>
  <c r="F1222" i="5"/>
  <c r="E1222" i="5"/>
  <c r="P1222" i="5" s="1"/>
  <c r="D1222" i="5"/>
  <c r="U1221" i="5"/>
  <c r="T1221" i="5"/>
  <c r="S1221" i="5"/>
  <c r="I1221" i="5"/>
  <c r="R1221" i="5" s="1"/>
  <c r="H1221" i="5"/>
  <c r="G1221" i="5"/>
  <c r="Q1221" i="5" s="1"/>
  <c r="F1221" i="5"/>
  <c r="E1221" i="5"/>
  <c r="P1221" i="5" s="1"/>
  <c r="D1221" i="5"/>
  <c r="U1220" i="5"/>
  <c r="T1220" i="5"/>
  <c r="S1220" i="5"/>
  <c r="I1220" i="5"/>
  <c r="R1220" i="5" s="1"/>
  <c r="H1220" i="5"/>
  <c r="G1220" i="5"/>
  <c r="Q1220" i="5" s="1"/>
  <c r="F1220" i="5"/>
  <c r="E1220" i="5"/>
  <c r="P1220" i="5" s="1"/>
  <c r="D1220" i="5"/>
  <c r="U1219" i="5"/>
  <c r="T1219" i="5"/>
  <c r="S1219" i="5"/>
  <c r="I1219" i="5"/>
  <c r="R1219" i="5" s="1"/>
  <c r="H1219" i="5"/>
  <c r="G1219" i="5"/>
  <c r="Q1219" i="5" s="1"/>
  <c r="F1219" i="5"/>
  <c r="E1219" i="5"/>
  <c r="P1219" i="5" s="1"/>
  <c r="D1219" i="5"/>
  <c r="U1218" i="5"/>
  <c r="T1218" i="5"/>
  <c r="S1218" i="5"/>
  <c r="I1218" i="5"/>
  <c r="R1218" i="5" s="1"/>
  <c r="H1218" i="5"/>
  <c r="G1218" i="5"/>
  <c r="Q1218" i="5" s="1"/>
  <c r="F1218" i="5"/>
  <c r="E1218" i="5"/>
  <c r="P1218" i="5" s="1"/>
  <c r="D1218" i="5"/>
  <c r="T1160" i="5"/>
  <c r="S1160" i="5"/>
  <c r="I1160" i="5"/>
  <c r="R1160" i="5" s="1"/>
  <c r="H1160" i="5"/>
  <c r="G1160" i="5"/>
  <c r="Q1160" i="5" s="1"/>
  <c r="F1160" i="5"/>
  <c r="E1160" i="5"/>
  <c r="P1160" i="5" s="1"/>
  <c r="D1160" i="5"/>
  <c r="U1160" i="5" s="1"/>
  <c r="T1159" i="5"/>
  <c r="S1159" i="5"/>
  <c r="I1159" i="5"/>
  <c r="R1159" i="5" s="1"/>
  <c r="H1159" i="5"/>
  <c r="G1159" i="5"/>
  <c r="Q1159" i="5" s="1"/>
  <c r="F1159" i="5"/>
  <c r="E1159" i="5"/>
  <c r="P1159" i="5" s="1"/>
  <c r="D1159" i="5"/>
  <c r="U1159" i="5" s="1"/>
  <c r="U3201" i="5"/>
  <c r="T3201" i="5"/>
  <c r="S3201" i="5"/>
  <c r="R3201" i="5"/>
  <c r="Q3201" i="5"/>
  <c r="P3201" i="5"/>
  <c r="U1158" i="5"/>
  <c r="T1158" i="5"/>
  <c r="S1158" i="5"/>
  <c r="I1158" i="5"/>
  <c r="R1158" i="5" s="1"/>
  <c r="H1158" i="5"/>
  <c r="G1158" i="5"/>
  <c r="Q1158" i="5" s="1"/>
  <c r="F1158" i="5"/>
  <c r="E1158" i="5"/>
  <c r="P1158" i="5" s="1"/>
  <c r="D1158" i="5"/>
  <c r="U1157" i="5"/>
  <c r="T1157" i="5"/>
  <c r="S1157" i="5"/>
  <c r="I1157" i="5"/>
  <c r="R1157" i="5" s="1"/>
  <c r="H1157" i="5"/>
  <c r="G1157" i="5"/>
  <c r="Q1157" i="5" s="1"/>
  <c r="F1157" i="5"/>
  <c r="E1157" i="5"/>
  <c r="P1157" i="5" s="1"/>
  <c r="D1157" i="5"/>
  <c r="U1156" i="5"/>
  <c r="T1156" i="5"/>
  <c r="S1156" i="5"/>
  <c r="I1156" i="5"/>
  <c r="R1156" i="5" s="1"/>
  <c r="H1156" i="5"/>
  <c r="G1156" i="5"/>
  <c r="Q1156" i="5" s="1"/>
  <c r="F1156" i="5"/>
  <c r="E1156" i="5"/>
  <c r="P1156" i="5" s="1"/>
  <c r="D1156" i="5"/>
  <c r="U1155" i="5"/>
  <c r="T1155" i="5"/>
  <c r="S1155" i="5"/>
  <c r="I1155" i="5"/>
  <c r="R1155" i="5" s="1"/>
  <c r="H1155" i="5"/>
  <c r="G1155" i="5"/>
  <c r="Q1155" i="5" s="1"/>
  <c r="F1155" i="5"/>
  <c r="E1155" i="5"/>
  <c r="P1155" i="5" s="1"/>
  <c r="D1155" i="5"/>
  <c r="U1154" i="5"/>
  <c r="T1154" i="5"/>
  <c r="S1154" i="5"/>
  <c r="I1154" i="5"/>
  <c r="R1154" i="5" s="1"/>
  <c r="H1154" i="5"/>
  <c r="G1154" i="5"/>
  <c r="Q1154" i="5" s="1"/>
  <c r="F1154" i="5"/>
  <c r="E1154" i="5"/>
  <c r="P1154" i="5" s="1"/>
  <c r="D1154" i="5"/>
  <c r="U1153" i="5"/>
  <c r="T1153" i="5"/>
  <c r="S1153" i="5"/>
  <c r="I1153" i="5"/>
  <c r="R1153" i="5" s="1"/>
  <c r="H1153" i="5"/>
  <c r="G1153" i="5"/>
  <c r="Q1153" i="5" s="1"/>
  <c r="F1153" i="5"/>
  <c r="E1153" i="5"/>
  <c r="D1153" i="5"/>
  <c r="U1152" i="5"/>
  <c r="T1152" i="5"/>
  <c r="S1152" i="5"/>
  <c r="I1152" i="5"/>
  <c r="R1152" i="5" s="1"/>
  <c r="H1152" i="5"/>
  <c r="G1152" i="5"/>
  <c r="Q1152" i="5" s="1"/>
  <c r="F1152" i="5"/>
  <c r="E1152" i="5"/>
  <c r="P1152" i="5" s="1"/>
  <c r="D1152" i="5"/>
  <c r="U1151" i="5"/>
  <c r="T1151" i="5"/>
  <c r="S1151" i="5"/>
  <c r="I1151" i="5"/>
  <c r="R1151" i="5" s="1"/>
  <c r="H1151" i="5"/>
  <c r="G1151" i="5"/>
  <c r="Q1151" i="5" s="1"/>
  <c r="F1151" i="5"/>
  <c r="E1151" i="5"/>
  <c r="P1151" i="5" s="1"/>
  <c r="D1151" i="5"/>
  <c r="U1150" i="5"/>
  <c r="T1150" i="5"/>
  <c r="S1150" i="5"/>
  <c r="I1150" i="5"/>
  <c r="R1150" i="5" s="1"/>
  <c r="H1150" i="5"/>
  <c r="G1150" i="5"/>
  <c r="Q1150" i="5" s="1"/>
  <c r="F1150" i="5"/>
  <c r="E1150" i="5"/>
  <c r="P1150" i="5" s="1"/>
  <c r="D1150" i="5"/>
  <c r="U1149" i="5"/>
  <c r="T1149" i="5"/>
  <c r="S1149" i="5"/>
  <c r="I1149" i="5"/>
  <c r="R1149" i="5" s="1"/>
  <c r="H1149" i="5"/>
  <c r="G1149" i="5"/>
  <c r="Q1149" i="5" s="1"/>
  <c r="F1149" i="5"/>
  <c r="E1149" i="5"/>
  <c r="P1149" i="5" s="1"/>
  <c r="D1149" i="5"/>
  <c r="U1148" i="5"/>
  <c r="T1148" i="5"/>
  <c r="S1148" i="5"/>
  <c r="I1148" i="5"/>
  <c r="R1148" i="5" s="1"/>
  <c r="H1148" i="5"/>
  <c r="G1148" i="5"/>
  <c r="Q1148" i="5" s="1"/>
  <c r="F1148" i="5"/>
  <c r="E1148" i="5"/>
  <c r="P1148" i="5" s="1"/>
  <c r="D1148" i="5"/>
  <c r="T1090" i="5"/>
  <c r="S1090" i="5"/>
  <c r="I1090" i="5"/>
  <c r="R1090" i="5" s="1"/>
  <c r="H1090" i="5"/>
  <c r="G1090" i="5"/>
  <c r="Q1090" i="5" s="1"/>
  <c r="F1090" i="5"/>
  <c r="E1090" i="5"/>
  <c r="D1090" i="5"/>
  <c r="T1089" i="5"/>
  <c r="S1089" i="5"/>
  <c r="I1089" i="5"/>
  <c r="R1089" i="5" s="1"/>
  <c r="H1089" i="5"/>
  <c r="G1089" i="5"/>
  <c r="Q1089" i="5" s="1"/>
  <c r="F1089" i="5"/>
  <c r="E1089" i="5"/>
  <c r="P1089" i="5" s="1"/>
  <c r="D1089" i="5"/>
  <c r="U1089" i="5" s="1"/>
  <c r="U3108" i="5"/>
  <c r="T3108" i="5"/>
  <c r="S3108" i="5"/>
  <c r="P3108" i="5"/>
  <c r="I3108" i="5"/>
  <c r="R3108" i="5" s="1"/>
  <c r="H3108" i="5"/>
  <c r="G3108" i="5"/>
  <c r="Q3108" i="5" s="1"/>
  <c r="F3108" i="5"/>
  <c r="U1088" i="5"/>
  <c r="T1088" i="5"/>
  <c r="S1088" i="5"/>
  <c r="I1088" i="5"/>
  <c r="R1088" i="5" s="1"/>
  <c r="H1088" i="5"/>
  <c r="G1088" i="5"/>
  <c r="Q1088" i="5" s="1"/>
  <c r="F1088" i="5"/>
  <c r="E1088" i="5"/>
  <c r="P1088" i="5" s="1"/>
  <c r="D1088" i="5"/>
  <c r="U1087" i="5"/>
  <c r="T1087" i="5"/>
  <c r="S1087" i="5"/>
  <c r="I1087" i="5"/>
  <c r="R1087" i="5" s="1"/>
  <c r="H1087" i="5"/>
  <c r="G1087" i="5"/>
  <c r="Q1087" i="5" s="1"/>
  <c r="F1087" i="5"/>
  <c r="E1087" i="5"/>
  <c r="P1087" i="5" s="1"/>
  <c r="D1087" i="5"/>
  <c r="U1086" i="5"/>
  <c r="T1086" i="5"/>
  <c r="S1086" i="5"/>
  <c r="I1086" i="5"/>
  <c r="R1086" i="5" s="1"/>
  <c r="H1086" i="5"/>
  <c r="G1086" i="5"/>
  <c r="Q1086" i="5" s="1"/>
  <c r="F1086" i="5"/>
  <c r="E1086" i="5"/>
  <c r="P1086" i="5" s="1"/>
  <c r="D1086" i="5"/>
  <c r="U1085" i="5"/>
  <c r="T1085" i="5"/>
  <c r="S1085" i="5"/>
  <c r="I1085" i="5"/>
  <c r="R1085" i="5" s="1"/>
  <c r="H1085" i="5"/>
  <c r="G1085" i="5"/>
  <c r="Q1085" i="5" s="1"/>
  <c r="F1085" i="5"/>
  <c r="E1085" i="5"/>
  <c r="D1085" i="5"/>
  <c r="U1084" i="5"/>
  <c r="T1084" i="5"/>
  <c r="S1084" i="5"/>
  <c r="I1084" i="5"/>
  <c r="R1084" i="5" s="1"/>
  <c r="H1084" i="5"/>
  <c r="G1084" i="5"/>
  <c r="Q1084" i="5" s="1"/>
  <c r="F1084" i="5"/>
  <c r="E1084" i="5"/>
  <c r="P1084" i="5" s="1"/>
  <c r="D1084" i="5"/>
  <c r="U1083" i="5"/>
  <c r="T1083" i="5"/>
  <c r="S1083" i="5"/>
  <c r="I1083" i="5"/>
  <c r="R1083" i="5" s="1"/>
  <c r="H1083" i="5"/>
  <c r="G1083" i="5"/>
  <c r="Q1083" i="5" s="1"/>
  <c r="F1083" i="5"/>
  <c r="E1083" i="5"/>
  <c r="P1083" i="5" s="1"/>
  <c r="D1083" i="5"/>
  <c r="U1082" i="5"/>
  <c r="T1082" i="5"/>
  <c r="S1082" i="5"/>
  <c r="I1082" i="5"/>
  <c r="R1082" i="5" s="1"/>
  <c r="H1082" i="5"/>
  <c r="G1082" i="5"/>
  <c r="Q1082" i="5" s="1"/>
  <c r="F1082" i="5"/>
  <c r="E1082" i="5"/>
  <c r="P1082" i="5" s="1"/>
  <c r="D1082" i="5"/>
  <c r="U1081" i="5"/>
  <c r="T1081" i="5"/>
  <c r="S1081" i="5"/>
  <c r="I1081" i="5"/>
  <c r="R1081" i="5" s="1"/>
  <c r="H1081" i="5"/>
  <c r="G1081" i="5"/>
  <c r="Q1081" i="5" s="1"/>
  <c r="F1081" i="5"/>
  <c r="E1081" i="5"/>
  <c r="P1081" i="5" s="1"/>
  <c r="D1081" i="5"/>
  <c r="U1080" i="5"/>
  <c r="T1080" i="5"/>
  <c r="S1080" i="5"/>
  <c r="I1080" i="5"/>
  <c r="R1080" i="5" s="1"/>
  <c r="H1080" i="5"/>
  <c r="G1080" i="5"/>
  <c r="Q1080" i="5" s="1"/>
  <c r="F1080" i="5"/>
  <c r="E1080" i="5"/>
  <c r="P1080" i="5" s="1"/>
  <c r="D1080" i="5"/>
  <c r="U1079" i="5"/>
  <c r="T1079" i="5"/>
  <c r="S1079" i="5"/>
  <c r="I1079" i="5"/>
  <c r="R1079" i="5" s="1"/>
  <c r="H1079" i="5"/>
  <c r="G1079" i="5"/>
  <c r="Q1079" i="5" s="1"/>
  <c r="F1079" i="5"/>
  <c r="E1079" i="5"/>
  <c r="D1079" i="5"/>
  <c r="U1078" i="5"/>
  <c r="T1078" i="5"/>
  <c r="S1078" i="5"/>
  <c r="I1078" i="5"/>
  <c r="R1078" i="5" s="1"/>
  <c r="H1078" i="5"/>
  <c r="G1078" i="5"/>
  <c r="Q1078" i="5" s="1"/>
  <c r="F1078" i="5"/>
  <c r="E1078" i="5"/>
  <c r="P1078" i="5" s="1"/>
  <c r="D1078" i="5"/>
  <c r="T1023" i="5"/>
  <c r="S1023" i="5"/>
  <c r="I1023" i="5"/>
  <c r="R1023" i="5" s="1"/>
  <c r="H1023" i="5"/>
  <c r="G1023" i="5"/>
  <c r="Q1023" i="5" s="1"/>
  <c r="F1023" i="5"/>
  <c r="E1023" i="5"/>
  <c r="P1023" i="5" s="1"/>
  <c r="D1023" i="5"/>
  <c r="U1023" i="5" s="1"/>
  <c r="T1022" i="5"/>
  <c r="S1022" i="5"/>
  <c r="I1022" i="5"/>
  <c r="R1022" i="5" s="1"/>
  <c r="H1022" i="5"/>
  <c r="G1022" i="5"/>
  <c r="Q1022" i="5" s="1"/>
  <c r="F1022" i="5"/>
  <c r="E1022" i="5"/>
  <c r="P1022" i="5" s="1"/>
  <c r="D1022" i="5"/>
  <c r="U1022" i="5" s="1"/>
  <c r="U3107" i="5"/>
  <c r="T3107" i="5"/>
  <c r="S3107" i="5"/>
  <c r="R3107" i="5"/>
  <c r="Q3107" i="5"/>
  <c r="U1021" i="5"/>
  <c r="T1021" i="5"/>
  <c r="S1021" i="5"/>
  <c r="I1021" i="5"/>
  <c r="R1021" i="5" s="1"/>
  <c r="H1021" i="5"/>
  <c r="G1021" i="5"/>
  <c r="Q1021" i="5" s="1"/>
  <c r="F1021" i="5"/>
  <c r="E1021" i="5"/>
  <c r="P1021" i="5" s="1"/>
  <c r="D1021" i="5"/>
  <c r="U1020" i="5"/>
  <c r="T1020" i="5"/>
  <c r="S1020" i="5"/>
  <c r="I1020" i="5"/>
  <c r="R1020" i="5" s="1"/>
  <c r="H1020" i="5"/>
  <c r="G1020" i="5"/>
  <c r="Q1020" i="5" s="1"/>
  <c r="F1020" i="5"/>
  <c r="E1020" i="5"/>
  <c r="D1020" i="5"/>
  <c r="U1019" i="5"/>
  <c r="T1019" i="5"/>
  <c r="S1019" i="5"/>
  <c r="I1019" i="5"/>
  <c r="R1019" i="5" s="1"/>
  <c r="H1019" i="5"/>
  <c r="G1019" i="5"/>
  <c r="Q1019" i="5" s="1"/>
  <c r="F1019" i="5"/>
  <c r="E1019" i="5"/>
  <c r="P1019" i="5" s="1"/>
  <c r="D1019" i="5"/>
  <c r="U1018" i="5"/>
  <c r="T1018" i="5"/>
  <c r="S1018" i="5"/>
  <c r="I1018" i="5"/>
  <c r="R1018" i="5" s="1"/>
  <c r="H1018" i="5"/>
  <c r="G1018" i="5"/>
  <c r="Q1018" i="5" s="1"/>
  <c r="F1018" i="5"/>
  <c r="E1018" i="5"/>
  <c r="P1018" i="5" s="1"/>
  <c r="D1018" i="5"/>
  <c r="U1017" i="5"/>
  <c r="T1017" i="5"/>
  <c r="S1017" i="5"/>
  <c r="I1017" i="5"/>
  <c r="R1017" i="5" s="1"/>
  <c r="H1017" i="5"/>
  <c r="G1017" i="5"/>
  <c r="Q1017" i="5" s="1"/>
  <c r="F1017" i="5"/>
  <c r="E1017" i="5"/>
  <c r="P1017" i="5" s="1"/>
  <c r="D1017" i="5"/>
  <c r="U1016" i="5"/>
  <c r="T1016" i="5"/>
  <c r="S1016" i="5"/>
  <c r="I1016" i="5"/>
  <c r="R1016" i="5" s="1"/>
  <c r="H1016" i="5"/>
  <c r="G1016" i="5"/>
  <c r="Q1016" i="5" s="1"/>
  <c r="F1016" i="5"/>
  <c r="E1016" i="5"/>
  <c r="P1016" i="5" s="1"/>
  <c r="D1016" i="5"/>
  <c r="U1015" i="5"/>
  <c r="T1015" i="5"/>
  <c r="S1015" i="5"/>
  <c r="I1015" i="5"/>
  <c r="R1015" i="5" s="1"/>
  <c r="H1015" i="5"/>
  <c r="G1015" i="5"/>
  <c r="Q1015" i="5" s="1"/>
  <c r="F1015" i="5"/>
  <c r="E1015" i="5"/>
  <c r="P1015" i="5" s="1"/>
  <c r="D1015" i="5"/>
  <c r="U1014" i="5"/>
  <c r="T1014" i="5"/>
  <c r="S1014" i="5"/>
  <c r="I1014" i="5"/>
  <c r="R1014" i="5" s="1"/>
  <c r="H1014" i="5"/>
  <c r="G1014" i="5"/>
  <c r="Q1014" i="5" s="1"/>
  <c r="F1014" i="5"/>
  <c r="E1014" i="5"/>
  <c r="P1014" i="5" s="1"/>
  <c r="D1014" i="5"/>
  <c r="U1013" i="5"/>
  <c r="T1013" i="5"/>
  <c r="S1013" i="5"/>
  <c r="I1013" i="5"/>
  <c r="R1013" i="5" s="1"/>
  <c r="H1013" i="5"/>
  <c r="G1013" i="5"/>
  <c r="Q1013" i="5" s="1"/>
  <c r="F1013" i="5"/>
  <c r="E1013" i="5"/>
  <c r="P1013" i="5" s="1"/>
  <c r="D1013" i="5"/>
  <c r="U1012" i="5"/>
  <c r="T1012" i="5"/>
  <c r="S1012" i="5"/>
  <c r="I1012" i="5"/>
  <c r="R1012" i="5" s="1"/>
  <c r="H1012" i="5"/>
  <c r="G1012" i="5"/>
  <c r="Q1012" i="5" s="1"/>
  <c r="F1012" i="5"/>
  <c r="E1012" i="5"/>
  <c r="P1012" i="5" s="1"/>
  <c r="D1012" i="5"/>
  <c r="T957" i="5"/>
  <c r="S957" i="5"/>
  <c r="I957" i="5"/>
  <c r="R957" i="5" s="1"/>
  <c r="H957" i="5"/>
  <c r="G957" i="5"/>
  <c r="Q957" i="5" s="1"/>
  <c r="F957" i="5"/>
  <c r="E957" i="5"/>
  <c r="P957" i="5" s="1"/>
  <c r="D957" i="5"/>
  <c r="U957" i="5" s="1"/>
  <c r="T956" i="5"/>
  <c r="S956" i="5"/>
  <c r="I956" i="5"/>
  <c r="R956" i="5" s="1"/>
  <c r="H956" i="5"/>
  <c r="G956" i="5"/>
  <c r="Q956" i="5" s="1"/>
  <c r="F956" i="5"/>
  <c r="E956" i="5"/>
  <c r="P956" i="5" s="1"/>
  <c r="D956" i="5"/>
  <c r="U956" i="5" s="1"/>
  <c r="U3106" i="5"/>
  <c r="T3106" i="5"/>
  <c r="S3106" i="5"/>
  <c r="R3106" i="5"/>
  <c r="Q3106" i="5"/>
  <c r="P3106" i="5"/>
  <c r="U955" i="5"/>
  <c r="T955" i="5"/>
  <c r="S955" i="5"/>
  <c r="I955" i="5"/>
  <c r="R955" i="5" s="1"/>
  <c r="H955" i="5"/>
  <c r="G955" i="5"/>
  <c r="Q955" i="5" s="1"/>
  <c r="F955" i="5"/>
  <c r="E955" i="5"/>
  <c r="P955" i="5" s="1"/>
  <c r="D955" i="5"/>
  <c r="U954" i="5"/>
  <c r="T954" i="5"/>
  <c r="S954" i="5"/>
  <c r="I954" i="5"/>
  <c r="R954" i="5" s="1"/>
  <c r="H954" i="5"/>
  <c r="G954" i="5"/>
  <c r="Q954" i="5" s="1"/>
  <c r="F954" i="5"/>
  <c r="E954" i="5"/>
  <c r="P954" i="5" s="1"/>
  <c r="D954" i="5"/>
  <c r="U953" i="5"/>
  <c r="T953" i="5"/>
  <c r="S953" i="5"/>
  <c r="I953" i="5"/>
  <c r="R953" i="5" s="1"/>
  <c r="H953" i="5"/>
  <c r="G953" i="5"/>
  <c r="Q953" i="5" s="1"/>
  <c r="F953" i="5"/>
  <c r="E953" i="5"/>
  <c r="P953" i="5" s="1"/>
  <c r="D953" i="5"/>
  <c r="U952" i="5"/>
  <c r="T952" i="5"/>
  <c r="S952" i="5"/>
  <c r="I952" i="5"/>
  <c r="R952" i="5" s="1"/>
  <c r="H952" i="5"/>
  <c r="G952" i="5"/>
  <c r="Q952" i="5" s="1"/>
  <c r="F952" i="5"/>
  <c r="E952" i="5"/>
  <c r="P952" i="5" s="1"/>
  <c r="D952" i="5"/>
  <c r="U951" i="5"/>
  <c r="T951" i="5"/>
  <c r="S951" i="5"/>
  <c r="I951" i="5"/>
  <c r="R951" i="5" s="1"/>
  <c r="H951" i="5"/>
  <c r="G951" i="5"/>
  <c r="Q951" i="5" s="1"/>
  <c r="F951" i="5"/>
  <c r="E951" i="5"/>
  <c r="P951" i="5" s="1"/>
  <c r="D951" i="5"/>
  <c r="U950" i="5"/>
  <c r="T950" i="5"/>
  <c r="S950" i="5"/>
  <c r="I950" i="5"/>
  <c r="R950" i="5" s="1"/>
  <c r="H950" i="5"/>
  <c r="G950" i="5"/>
  <c r="Q950" i="5" s="1"/>
  <c r="F950" i="5"/>
  <c r="E950" i="5"/>
  <c r="P950" i="5" s="1"/>
  <c r="D950" i="5"/>
  <c r="U949" i="5"/>
  <c r="T949" i="5"/>
  <c r="S949" i="5"/>
  <c r="I949" i="5"/>
  <c r="R949" i="5" s="1"/>
  <c r="H949" i="5"/>
  <c r="G949" i="5"/>
  <c r="Q949" i="5" s="1"/>
  <c r="F949" i="5"/>
  <c r="E949" i="5"/>
  <c r="P949" i="5" s="1"/>
  <c r="D949" i="5"/>
  <c r="U948" i="5"/>
  <c r="T948" i="5"/>
  <c r="S948" i="5"/>
  <c r="I948" i="5"/>
  <c r="R948" i="5" s="1"/>
  <c r="H948" i="5"/>
  <c r="G948" i="5"/>
  <c r="Q948" i="5" s="1"/>
  <c r="F948" i="5"/>
  <c r="E948" i="5"/>
  <c r="P948" i="5" s="1"/>
  <c r="D948" i="5"/>
  <c r="U947" i="5"/>
  <c r="T947" i="5"/>
  <c r="S947" i="5"/>
  <c r="I947" i="5"/>
  <c r="R947" i="5" s="1"/>
  <c r="H947" i="5"/>
  <c r="G947" i="5"/>
  <c r="Q947" i="5" s="1"/>
  <c r="F947" i="5"/>
  <c r="E947" i="5"/>
  <c r="P947" i="5" s="1"/>
  <c r="D947" i="5"/>
  <c r="U946" i="5"/>
  <c r="T946" i="5"/>
  <c r="S946" i="5"/>
  <c r="I946" i="5"/>
  <c r="R946" i="5" s="1"/>
  <c r="H946" i="5"/>
  <c r="G946" i="5"/>
  <c r="Q946" i="5" s="1"/>
  <c r="F946" i="5"/>
  <c r="E946" i="5"/>
  <c r="P946" i="5" s="1"/>
  <c r="D946" i="5"/>
  <c r="T891" i="5"/>
  <c r="S891" i="5"/>
  <c r="I891" i="5"/>
  <c r="R891" i="5" s="1"/>
  <c r="H891" i="5"/>
  <c r="G891" i="5"/>
  <c r="Q891" i="5" s="1"/>
  <c r="F891" i="5"/>
  <c r="E891" i="5"/>
  <c r="P891" i="5" s="1"/>
  <c r="D891" i="5"/>
  <c r="U891" i="5" s="1"/>
  <c r="T890" i="5"/>
  <c r="S890" i="5"/>
  <c r="I890" i="5"/>
  <c r="R890" i="5" s="1"/>
  <c r="H890" i="5"/>
  <c r="G890" i="5"/>
  <c r="Q890" i="5" s="1"/>
  <c r="F890" i="5"/>
  <c r="E890" i="5"/>
  <c r="P890" i="5" s="1"/>
  <c r="D890" i="5"/>
  <c r="U890" i="5" s="1"/>
  <c r="U3105" i="5"/>
  <c r="T3105" i="5"/>
  <c r="S3105" i="5"/>
  <c r="R3105" i="5"/>
  <c r="Q3105" i="5"/>
  <c r="P3105" i="5"/>
  <c r="U889" i="5"/>
  <c r="T889" i="5"/>
  <c r="S889" i="5"/>
  <c r="I889" i="5"/>
  <c r="R889" i="5" s="1"/>
  <c r="H889" i="5"/>
  <c r="G889" i="5"/>
  <c r="Q889" i="5" s="1"/>
  <c r="F889" i="5"/>
  <c r="E889" i="5"/>
  <c r="P889" i="5" s="1"/>
  <c r="D889" i="5"/>
  <c r="U888" i="5"/>
  <c r="T888" i="5"/>
  <c r="S888" i="5"/>
  <c r="I888" i="5"/>
  <c r="R888" i="5" s="1"/>
  <c r="H888" i="5"/>
  <c r="G888" i="5"/>
  <c r="Q888" i="5" s="1"/>
  <c r="F888" i="5"/>
  <c r="E888" i="5"/>
  <c r="P888" i="5" s="1"/>
  <c r="D888" i="5"/>
  <c r="U887" i="5"/>
  <c r="T887" i="5"/>
  <c r="S887" i="5"/>
  <c r="I887" i="5"/>
  <c r="R887" i="5" s="1"/>
  <c r="H887" i="5"/>
  <c r="G887" i="5"/>
  <c r="Q887" i="5" s="1"/>
  <c r="F887" i="5"/>
  <c r="E887" i="5"/>
  <c r="P887" i="5" s="1"/>
  <c r="D887" i="5"/>
  <c r="U886" i="5"/>
  <c r="T886" i="5"/>
  <c r="S886" i="5"/>
  <c r="I886" i="5"/>
  <c r="R886" i="5" s="1"/>
  <c r="H886" i="5"/>
  <c r="G886" i="5"/>
  <c r="Q886" i="5" s="1"/>
  <c r="F886" i="5"/>
  <c r="E886" i="5"/>
  <c r="P886" i="5" s="1"/>
  <c r="D886" i="5"/>
  <c r="U885" i="5"/>
  <c r="T885" i="5"/>
  <c r="S885" i="5"/>
  <c r="I885" i="5"/>
  <c r="R885" i="5" s="1"/>
  <c r="H885" i="5"/>
  <c r="G885" i="5"/>
  <c r="Q885" i="5" s="1"/>
  <c r="F885" i="5"/>
  <c r="E885" i="5"/>
  <c r="P885" i="5" s="1"/>
  <c r="D885" i="5"/>
  <c r="U884" i="5"/>
  <c r="T884" i="5"/>
  <c r="S884" i="5"/>
  <c r="I884" i="5"/>
  <c r="R884" i="5" s="1"/>
  <c r="H884" i="5"/>
  <c r="G884" i="5"/>
  <c r="Q884" i="5" s="1"/>
  <c r="F884" i="5"/>
  <c r="E884" i="5"/>
  <c r="P884" i="5" s="1"/>
  <c r="D884" i="5"/>
  <c r="U883" i="5"/>
  <c r="T883" i="5"/>
  <c r="S883" i="5"/>
  <c r="I883" i="5"/>
  <c r="R883" i="5" s="1"/>
  <c r="H883" i="5"/>
  <c r="G883" i="5"/>
  <c r="Q883" i="5" s="1"/>
  <c r="F883" i="5"/>
  <c r="E883" i="5"/>
  <c r="P883" i="5" s="1"/>
  <c r="D883" i="5"/>
  <c r="U882" i="5"/>
  <c r="T882" i="5"/>
  <c r="S882" i="5"/>
  <c r="I882" i="5"/>
  <c r="R882" i="5" s="1"/>
  <c r="H882" i="5"/>
  <c r="G882" i="5"/>
  <c r="Q882" i="5" s="1"/>
  <c r="F882" i="5"/>
  <c r="E882" i="5"/>
  <c r="P882" i="5" s="1"/>
  <c r="D882" i="5"/>
  <c r="U881" i="5"/>
  <c r="T881" i="5"/>
  <c r="S881" i="5"/>
  <c r="I881" i="5"/>
  <c r="R881" i="5" s="1"/>
  <c r="H881" i="5"/>
  <c r="G881" i="5"/>
  <c r="Q881" i="5" s="1"/>
  <c r="F881" i="5"/>
  <c r="E881" i="5"/>
  <c r="P881" i="5" s="1"/>
  <c r="D881" i="5"/>
  <c r="U880" i="5"/>
  <c r="T880" i="5"/>
  <c r="S880" i="5"/>
  <c r="I880" i="5"/>
  <c r="R880" i="5" s="1"/>
  <c r="H880" i="5"/>
  <c r="G880" i="5"/>
  <c r="Q880" i="5" s="1"/>
  <c r="F880" i="5"/>
  <c r="E880" i="5"/>
  <c r="P880" i="5" s="1"/>
  <c r="D880" i="5"/>
  <c r="T825" i="5"/>
  <c r="S825" i="5"/>
  <c r="I825" i="5"/>
  <c r="R825" i="5" s="1"/>
  <c r="H825" i="5"/>
  <c r="G825" i="5"/>
  <c r="Q825" i="5" s="1"/>
  <c r="F825" i="5"/>
  <c r="E825" i="5"/>
  <c r="P825" i="5" s="1"/>
  <c r="D825" i="5"/>
  <c r="U825" i="5" s="1"/>
  <c r="T824" i="5"/>
  <c r="S824" i="5"/>
  <c r="I824" i="5"/>
  <c r="R824" i="5" s="1"/>
  <c r="H824" i="5"/>
  <c r="G824" i="5"/>
  <c r="Q824" i="5" s="1"/>
  <c r="F824" i="5"/>
  <c r="E824" i="5"/>
  <c r="P824" i="5" s="1"/>
  <c r="D824" i="5"/>
  <c r="U824" i="5" s="1"/>
  <c r="U3104" i="5"/>
  <c r="T3104" i="5"/>
  <c r="S3104" i="5"/>
  <c r="R3104" i="5"/>
  <c r="Q3104" i="5"/>
  <c r="P3104" i="5"/>
  <c r="U823" i="5"/>
  <c r="T823" i="5"/>
  <c r="S823" i="5"/>
  <c r="I823" i="5"/>
  <c r="R823" i="5" s="1"/>
  <c r="H823" i="5"/>
  <c r="G823" i="5"/>
  <c r="Q823" i="5" s="1"/>
  <c r="F823" i="5"/>
  <c r="E823" i="5"/>
  <c r="P823" i="5" s="1"/>
  <c r="D823" i="5"/>
  <c r="U822" i="5"/>
  <c r="T822" i="5"/>
  <c r="S822" i="5"/>
  <c r="I822" i="5"/>
  <c r="R822" i="5" s="1"/>
  <c r="H822" i="5"/>
  <c r="G822" i="5"/>
  <c r="Q822" i="5" s="1"/>
  <c r="F822" i="5"/>
  <c r="E822" i="5"/>
  <c r="P822" i="5" s="1"/>
  <c r="D822" i="5"/>
  <c r="U821" i="5"/>
  <c r="T821" i="5"/>
  <c r="S821" i="5"/>
  <c r="I821" i="5"/>
  <c r="R821" i="5" s="1"/>
  <c r="H821" i="5"/>
  <c r="G821" i="5"/>
  <c r="Q821" i="5" s="1"/>
  <c r="F821" i="5"/>
  <c r="E821" i="5"/>
  <c r="P821" i="5" s="1"/>
  <c r="D821" i="5"/>
  <c r="U820" i="5"/>
  <c r="T820" i="5"/>
  <c r="S820" i="5"/>
  <c r="I820" i="5"/>
  <c r="R820" i="5" s="1"/>
  <c r="H820" i="5"/>
  <c r="G820" i="5"/>
  <c r="Q820" i="5" s="1"/>
  <c r="F820" i="5"/>
  <c r="E820" i="5"/>
  <c r="P820" i="5" s="1"/>
  <c r="D820" i="5"/>
  <c r="U819" i="5"/>
  <c r="T819" i="5"/>
  <c r="S819" i="5"/>
  <c r="I819" i="5"/>
  <c r="R819" i="5" s="1"/>
  <c r="H819" i="5"/>
  <c r="G819" i="5"/>
  <c r="Q819" i="5" s="1"/>
  <c r="F819" i="5"/>
  <c r="E819" i="5"/>
  <c r="P819" i="5" s="1"/>
  <c r="D819" i="5"/>
  <c r="U818" i="5"/>
  <c r="T818" i="5"/>
  <c r="S818" i="5"/>
  <c r="I818" i="5"/>
  <c r="R818" i="5" s="1"/>
  <c r="H818" i="5"/>
  <c r="G818" i="5"/>
  <c r="Q818" i="5" s="1"/>
  <c r="F818" i="5"/>
  <c r="E818" i="5"/>
  <c r="P818" i="5" s="1"/>
  <c r="D818" i="5"/>
  <c r="U817" i="5"/>
  <c r="T817" i="5"/>
  <c r="S817" i="5"/>
  <c r="I817" i="5"/>
  <c r="R817" i="5" s="1"/>
  <c r="H817" i="5"/>
  <c r="G817" i="5"/>
  <c r="Q817" i="5" s="1"/>
  <c r="F817" i="5"/>
  <c r="E817" i="5"/>
  <c r="P817" i="5" s="1"/>
  <c r="D817" i="5"/>
  <c r="U816" i="5"/>
  <c r="T816" i="5"/>
  <c r="S816" i="5"/>
  <c r="I816" i="5"/>
  <c r="R816" i="5" s="1"/>
  <c r="H816" i="5"/>
  <c r="G816" i="5"/>
  <c r="Q816" i="5" s="1"/>
  <c r="F816" i="5"/>
  <c r="E816" i="5"/>
  <c r="P816" i="5" s="1"/>
  <c r="D816" i="5"/>
  <c r="U815" i="5"/>
  <c r="T815" i="5"/>
  <c r="S815" i="5"/>
  <c r="I815" i="5"/>
  <c r="R815" i="5" s="1"/>
  <c r="H815" i="5"/>
  <c r="G815" i="5"/>
  <c r="Q815" i="5" s="1"/>
  <c r="F815" i="5"/>
  <c r="E815" i="5"/>
  <c r="P815" i="5" s="1"/>
  <c r="D815" i="5"/>
  <c r="U814" i="5"/>
  <c r="T814" i="5"/>
  <c r="S814" i="5"/>
  <c r="I814" i="5"/>
  <c r="R814" i="5" s="1"/>
  <c r="H814" i="5"/>
  <c r="G814" i="5"/>
  <c r="Q814" i="5" s="1"/>
  <c r="F814" i="5"/>
  <c r="E814" i="5"/>
  <c r="P814" i="5" s="1"/>
  <c r="D814" i="5"/>
  <c r="T759" i="5"/>
  <c r="S759" i="5"/>
  <c r="I759" i="5"/>
  <c r="R759" i="5" s="1"/>
  <c r="H759" i="5"/>
  <c r="G759" i="5"/>
  <c r="Q759" i="5" s="1"/>
  <c r="F759" i="5"/>
  <c r="E759" i="5"/>
  <c r="P759" i="5" s="1"/>
  <c r="D759" i="5"/>
  <c r="U759" i="5" s="1"/>
  <c r="T758" i="5"/>
  <c r="S758" i="5"/>
  <c r="I758" i="5"/>
  <c r="R758" i="5" s="1"/>
  <c r="H758" i="5"/>
  <c r="G758" i="5"/>
  <c r="Q758" i="5" s="1"/>
  <c r="F758" i="5"/>
  <c r="E758" i="5"/>
  <c r="P758" i="5" s="1"/>
  <c r="D758" i="5"/>
  <c r="U758" i="5" s="1"/>
  <c r="U3103" i="5"/>
  <c r="T3103" i="5"/>
  <c r="S3103" i="5"/>
  <c r="R3103" i="5"/>
  <c r="Q3103" i="5"/>
  <c r="P3103" i="5"/>
  <c r="U757" i="5"/>
  <c r="T757" i="5"/>
  <c r="S757" i="5"/>
  <c r="I757" i="5"/>
  <c r="R757" i="5" s="1"/>
  <c r="H757" i="5"/>
  <c r="G757" i="5"/>
  <c r="Q757" i="5" s="1"/>
  <c r="F757" i="5"/>
  <c r="E757" i="5"/>
  <c r="P757" i="5" s="1"/>
  <c r="D757" i="5"/>
  <c r="U756" i="5"/>
  <c r="T756" i="5"/>
  <c r="S756" i="5"/>
  <c r="I756" i="5"/>
  <c r="R756" i="5" s="1"/>
  <c r="H756" i="5"/>
  <c r="G756" i="5"/>
  <c r="Q756" i="5" s="1"/>
  <c r="F756" i="5"/>
  <c r="E756" i="5"/>
  <c r="P756" i="5" s="1"/>
  <c r="D756" i="5"/>
  <c r="U755" i="5"/>
  <c r="T755" i="5"/>
  <c r="S755" i="5"/>
  <c r="I755" i="5"/>
  <c r="R755" i="5" s="1"/>
  <c r="H755" i="5"/>
  <c r="G755" i="5"/>
  <c r="Q755" i="5" s="1"/>
  <c r="F755" i="5"/>
  <c r="E755" i="5"/>
  <c r="P755" i="5" s="1"/>
  <c r="D755" i="5"/>
  <c r="U754" i="5"/>
  <c r="T754" i="5"/>
  <c r="S754" i="5"/>
  <c r="I754" i="5"/>
  <c r="R754" i="5" s="1"/>
  <c r="H754" i="5"/>
  <c r="G754" i="5"/>
  <c r="Q754" i="5" s="1"/>
  <c r="F754" i="5"/>
  <c r="E754" i="5"/>
  <c r="P754" i="5" s="1"/>
  <c r="D754" i="5"/>
  <c r="U753" i="5"/>
  <c r="T753" i="5"/>
  <c r="S753" i="5"/>
  <c r="I753" i="5"/>
  <c r="R753" i="5" s="1"/>
  <c r="H753" i="5"/>
  <c r="G753" i="5"/>
  <c r="Q753" i="5" s="1"/>
  <c r="F753" i="5"/>
  <c r="E753" i="5"/>
  <c r="P753" i="5" s="1"/>
  <c r="D753" i="5"/>
  <c r="U752" i="5"/>
  <c r="T752" i="5"/>
  <c r="S752" i="5"/>
  <c r="I752" i="5"/>
  <c r="R752" i="5" s="1"/>
  <c r="H752" i="5"/>
  <c r="G752" i="5"/>
  <c r="Q752" i="5" s="1"/>
  <c r="F752" i="5"/>
  <c r="E752" i="5"/>
  <c r="P752" i="5" s="1"/>
  <c r="D752" i="5"/>
  <c r="U751" i="5"/>
  <c r="T751" i="5"/>
  <c r="S751" i="5"/>
  <c r="I751" i="5"/>
  <c r="R751" i="5" s="1"/>
  <c r="H751" i="5"/>
  <c r="G751" i="5"/>
  <c r="Q751" i="5" s="1"/>
  <c r="F751" i="5"/>
  <c r="E751" i="5"/>
  <c r="P751" i="5" s="1"/>
  <c r="D751" i="5"/>
  <c r="U750" i="5"/>
  <c r="T750" i="5"/>
  <c r="S750" i="5"/>
  <c r="I750" i="5"/>
  <c r="R750" i="5" s="1"/>
  <c r="H750" i="5"/>
  <c r="G750" i="5"/>
  <c r="Q750" i="5" s="1"/>
  <c r="F750" i="5"/>
  <c r="E750" i="5"/>
  <c r="P750" i="5" s="1"/>
  <c r="D750" i="5"/>
  <c r="U749" i="5"/>
  <c r="T749" i="5"/>
  <c r="S749" i="5"/>
  <c r="I749" i="5"/>
  <c r="R749" i="5" s="1"/>
  <c r="H749" i="5"/>
  <c r="G749" i="5"/>
  <c r="Q749" i="5" s="1"/>
  <c r="F749" i="5"/>
  <c r="E749" i="5"/>
  <c r="P749" i="5" s="1"/>
  <c r="D749" i="5"/>
  <c r="U748" i="5"/>
  <c r="T748" i="5"/>
  <c r="S748" i="5"/>
  <c r="I748" i="5"/>
  <c r="R748" i="5" s="1"/>
  <c r="H748" i="5"/>
  <c r="G748" i="5"/>
  <c r="Q748" i="5" s="1"/>
  <c r="F748" i="5"/>
  <c r="E748" i="5"/>
  <c r="P748" i="5" s="1"/>
  <c r="D748" i="5"/>
  <c r="T5284" i="5"/>
  <c r="S5284" i="5"/>
  <c r="R5284" i="5"/>
  <c r="Q5284" i="5"/>
  <c r="T5184" i="5"/>
  <c r="S5184" i="5"/>
  <c r="R5184" i="5"/>
  <c r="Q5184" i="5"/>
  <c r="T5084" i="5"/>
  <c r="S5084" i="5"/>
  <c r="R5084" i="5"/>
  <c r="Q5084" i="5"/>
  <c r="T4984" i="5"/>
  <c r="S4984" i="5"/>
  <c r="R4984" i="5"/>
  <c r="Q4984" i="5"/>
  <c r="T4884" i="5"/>
  <c r="S4884" i="5"/>
  <c r="R4884" i="5"/>
  <c r="Q4884" i="5"/>
  <c r="U3010" i="5"/>
  <c r="T3010" i="5"/>
  <c r="S3010" i="5"/>
  <c r="P3010" i="5"/>
  <c r="I3010" i="5"/>
  <c r="R3010" i="5" s="1"/>
  <c r="H3010" i="5"/>
  <c r="G3010" i="5"/>
  <c r="Q3010" i="5" s="1"/>
  <c r="F3010" i="5"/>
  <c r="U3009" i="5"/>
  <c r="T3009" i="5"/>
  <c r="S3009" i="5"/>
  <c r="R3009" i="5"/>
  <c r="Q3009" i="5"/>
  <c r="U3008" i="5"/>
  <c r="T3008" i="5"/>
  <c r="S3008" i="5"/>
  <c r="R3008" i="5"/>
  <c r="Q3008" i="5"/>
  <c r="P3008" i="5"/>
  <c r="U3007" i="5"/>
  <c r="T3007" i="5"/>
  <c r="S3007" i="5"/>
  <c r="R3007" i="5"/>
  <c r="Q3007" i="5"/>
  <c r="P3007" i="5"/>
  <c r="U3006" i="5"/>
  <c r="T3006" i="5"/>
  <c r="S3006" i="5"/>
  <c r="R3006" i="5"/>
  <c r="Q3006" i="5"/>
  <c r="P3006" i="5"/>
  <c r="T5283" i="5"/>
  <c r="S5283" i="5"/>
  <c r="R5283" i="5"/>
  <c r="Q5283" i="5"/>
  <c r="E5283" i="5"/>
  <c r="P5283" i="5" s="1"/>
  <c r="D5283" i="5"/>
  <c r="U5283" i="5" s="1"/>
  <c r="T5183" i="5"/>
  <c r="S5183" i="5"/>
  <c r="R5183" i="5"/>
  <c r="Q5183" i="5"/>
  <c r="E5183" i="5"/>
  <c r="P5183" i="5" s="1"/>
  <c r="D5183" i="5"/>
  <c r="U5183" i="5" s="1"/>
  <c r="T5083" i="5"/>
  <c r="S5083" i="5"/>
  <c r="R5083" i="5"/>
  <c r="Q5083" i="5"/>
  <c r="E5083" i="5"/>
  <c r="P5083" i="5" s="1"/>
  <c r="D5083" i="5"/>
  <c r="U5083" i="5" s="1"/>
  <c r="T4983" i="5"/>
  <c r="S4983" i="5"/>
  <c r="R4983" i="5"/>
  <c r="Q4983" i="5"/>
  <c r="E4983" i="5"/>
  <c r="P4983" i="5" s="1"/>
  <c r="D4983" i="5"/>
  <c r="U4983" i="5" s="1"/>
  <c r="T4883" i="5"/>
  <c r="S4883" i="5"/>
  <c r="R4883" i="5"/>
  <c r="Q4883" i="5"/>
  <c r="E4883" i="5"/>
  <c r="P4883" i="5" s="1"/>
  <c r="D4883" i="5"/>
  <c r="U4883" i="5" s="1"/>
  <c r="U5282" i="5"/>
  <c r="T5282" i="5"/>
  <c r="S5282" i="5"/>
  <c r="R5282" i="5"/>
  <c r="Q5282" i="5"/>
  <c r="E5282" i="5"/>
  <c r="D5282" i="5"/>
  <c r="U5182" i="5"/>
  <c r="T5182" i="5"/>
  <c r="S5182" i="5"/>
  <c r="R5182" i="5"/>
  <c r="Q5182" i="5"/>
  <c r="E5182" i="5"/>
  <c r="D5182" i="5"/>
  <c r="U5082" i="5"/>
  <c r="T5082" i="5"/>
  <c r="S5082" i="5"/>
  <c r="R5082" i="5"/>
  <c r="Q5082" i="5"/>
  <c r="E5082" i="5"/>
  <c r="D5082" i="5"/>
  <c r="U4982" i="5"/>
  <c r="T4982" i="5"/>
  <c r="S4982" i="5"/>
  <c r="R4982" i="5"/>
  <c r="Q4982" i="5"/>
  <c r="E4982" i="5"/>
  <c r="D4982" i="5"/>
  <c r="U4882" i="5"/>
  <c r="T4882" i="5"/>
  <c r="S4882" i="5"/>
  <c r="R4882" i="5"/>
  <c r="Q4882" i="5"/>
  <c r="E4882" i="5"/>
  <c r="D4882" i="5"/>
  <c r="U5281" i="5"/>
  <c r="T5281" i="5"/>
  <c r="S5281" i="5"/>
  <c r="R5281" i="5"/>
  <c r="Q5281" i="5"/>
  <c r="E5281" i="5"/>
  <c r="P5281" i="5" s="1"/>
  <c r="D5281" i="5"/>
  <c r="U5181" i="5"/>
  <c r="T5181" i="5"/>
  <c r="S5181" i="5"/>
  <c r="R5181" i="5"/>
  <c r="Q5181" i="5"/>
  <c r="E5181" i="5"/>
  <c r="P5181" i="5" s="1"/>
  <c r="D5181" i="5"/>
  <c r="U5081" i="5"/>
  <c r="T5081" i="5"/>
  <c r="S5081" i="5"/>
  <c r="R5081" i="5"/>
  <c r="Q5081" i="5"/>
  <c r="E5081" i="5"/>
  <c r="P5081" i="5" s="1"/>
  <c r="D5081" i="5"/>
  <c r="U4981" i="5"/>
  <c r="T4981" i="5"/>
  <c r="S4981" i="5"/>
  <c r="R4981" i="5"/>
  <c r="Q4981" i="5"/>
  <c r="E4981" i="5"/>
  <c r="P4981" i="5" s="1"/>
  <c r="D4981" i="5"/>
  <c r="U4881" i="5"/>
  <c r="T4881" i="5"/>
  <c r="S4881" i="5"/>
  <c r="R4881" i="5"/>
  <c r="Q4881" i="5"/>
  <c r="E4881" i="5"/>
  <c r="P4881" i="5" s="1"/>
  <c r="D4881" i="5"/>
  <c r="U5280" i="5"/>
  <c r="T5280" i="5"/>
  <c r="S5280" i="5"/>
  <c r="R5280" i="5"/>
  <c r="Q5280" i="5"/>
  <c r="E5280" i="5"/>
  <c r="P5280" i="5" s="1"/>
  <c r="D5280" i="5"/>
  <c r="U5180" i="5"/>
  <c r="T5180" i="5"/>
  <c r="S5180" i="5"/>
  <c r="R5180" i="5"/>
  <c r="Q5180" i="5"/>
  <c r="E5180" i="5"/>
  <c r="P5180" i="5" s="1"/>
  <c r="D5180" i="5"/>
  <c r="U5080" i="5"/>
  <c r="T5080" i="5"/>
  <c r="S5080" i="5"/>
  <c r="R5080" i="5"/>
  <c r="Q5080" i="5"/>
  <c r="E5080" i="5"/>
  <c r="P5080" i="5" s="1"/>
  <c r="D5080" i="5"/>
  <c r="U4980" i="5"/>
  <c r="T4980" i="5"/>
  <c r="S4980" i="5"/>
  <c r="R4980" i="5"/>
  <c r="Q4980" i="5"/>
  <c r="E4980" i="5"/>
  <c r="P4980" i="5" s="1"/>
  <c r="D4980" i="5"/>
  <c r="U4880" i="5"/>
  <c r="T4880" i="5"/>
  <c r="S4880" i="5"/>
  <c r="R4880" i="5"/>
  <c r="Q4880" i="5"/>
  <c r="E4880" i="5"/>
  <c r="P4880" i="5" s="1"/>
  <c r="D4880" i="5"/>
  <c r="U5279" i="5"/>
  <c r="T5279" i="5"/>
  <c r="S5279" i="5"/>
  <c r="R5279" i="5"/>
  <c r="Q5279" i="5"/>
  <c r="E5279" i="5"/>
  <c r="P5279" i="5" s="1"/>
  <c r="D5279" i="5"/>
  <c r="U5179" i="5"/>
  <c r="T5179" i="5"/>
  <c r="S5179" i="5"/>
  <c r="R5179" i="5"/>
  <c r="Q5179" i="5"/>
  <c r="E5179" i="5"/>
  <c r="P5179" i="5" s="1"/>
  <c r="D5179" i="5"/>
  <c r="U5079" i="5"/>
  <c r="T5079" i="5"/>
  <c r="S5079" i="5"/>
  <c r="R5079" i="5"/>
  <c r="Q5079" i="5"/>
  <c r="E5079" i="5"/>
  <c r="P5079" i="5" s="1"/>
  <c r="D5079" i="5"/>
  <c r="U4979" i="5"/>
  <c r="T4979" i="5"/>
  <c r="S4979" i="5"/>
  <c r="R4979" i="5"/>
  <c r="Q4979" i="5"/>
  <c r="E4979" i="5"/>
  <c r="P4979" i="5" s="1"/>
  <c r="D4979" i="5"/>
  <c r="U4879" i="5"/>
  <c r="T4879" i="5"/>
  <c r="S4879" i="5"/>
  <c r="R4879" i="5"/>
  <c r="Q4879" i="5"/>
  <c r="E4879" i="5"/>
  <c r="P4879" i="5" s="1"/>
  <c r="D4879" i="5"/>
  <c r="U5278" i="5"/>
  <c r="T5278" i="5"/>
  <c r="S5278" i="5"/>
  <c r="R5278" i="5"/>
  <c r="Q5278" i="5"/>
  <c r="E5278" i="5"/>
  <c r="P5278" i="5" s="1"/>
  <c r="D5278" i="5"/>
  <c r="U5178" i="5"/>
  <c r="T5178" i="5"/>
  <c r="S5178" i="5"/>
  <c r="R5178" i="5"/>
  <c r="Q5178" i="5"/>
  <c r="E5178" i="5"/>
  <c r="P5178" i="5" s="1"/>
  <c r="D5178" i="5"/>
  <c r="U5078" i="5"/>
  <c r="T5078" i="5"/>
  <c r="S5078" i="5"/>
  <c r="R5078" i="5"/>
  <c r="Q5078" i="5"/>
  <c r="E5078" i="5"/>
  <c r="P5078" i="5" s="1"/>
  <c r="D5078" i="5"/>
  <c r="U4978" i="5"/>
  <c r="T4978" i="5"/>
  <c r="S4978" i="5"/>
  <c r="R4978" i="5"/>
  <c r="Q4978" i="5"/>
  <c r="E4978" i="5"/>
  <c r="P4978" i="5" s="1"/>
  <c r="D4978" i="5"/>
  <c r="U4878" i="5"/>
  <c r="T4878" i="5"/>
  <c r="S4878" i="5"/>
  <c r="R4878" i="5"/>
  <c r="Q4878" i="5"/>
  <c r="E4878" i="5"/>
  <c r="P4878" i="5" s="1"/>
  <c r="D4878" i="5"/>
  <c r="U5277" i="5"/>
  <c r="T5277" i="5"/>
  <c r="S5277" i="5"/>
  <c r="R5277" i="5"/>
  <c r="Q5277" i="5"/>
  <c r="E5277" i="5"/>
  <c r="P5277" i="5" s="1"/>
  <c r="D5277" i="5"/>
  <c r="U5177" i="5"/>
  <c r="T5177" i="5"/>
  <c r="S5177" i="5"/>
  <c r="R5177" i="5"/>
  <c r="Q5177" i="5"/>
  <c r="E5177" i="5"/>
  <c r="P5177" i="5" s="1"/>
  <c r="D5177" i="5"/>
  <c r="U5077" i="5"/>
  <c r="T5077" i="5"/>
  <c r="S5077" i="5"/>
  <c r="R5077" i="5"/>
  <c r="Q5077" i="5"/>
  <c r="E5077" i="5"/>
  <c r="P5077" i="5" s="1"/>
  <c r="D5077" i="5"/>
  <c r="U4977" i="5"/>
  <c r="T4977" i="5"/>
  <c r="S4977" i="5"/>
  <c r="R4977" i="5"/>
  <c r="Q4977" i="5"/>
  <c r="E4977" i="5"/>
  <c r="P4977" i="5" s="1"/>
  <c r="D4977" i="5"/>
  <c r="U4877" i="5"/>
  <c r="T4877" i="5"/>
  <c r="S4877" i="5"/>
  <c r="R4877" i="5"/>
  <c r="Q4877" i="5"/>
  <c r="E4877" i="5"/>
  <c r="P4877" i="5" s="1"/>
  <c r="D4877" i="5"/>
  <c r="U5276" i="5"/>
  <c r="T5276" i="5"/>
  <c r="S5276" i="5"/>
  <c r="R5276" i="5"/>
  <c r="Q5276" i="5"/>
  <c r="E5276" i="5"/>
  <c r="P5276" i="5" s="1"/>
  <c r="D5276" i="5"/>
  <c r="U5176" i="5"/>
  <c r="T5176" i="5"/>
  <c r="S5176" i="5"/>
  <c r="R5176" i="5"/>
  <c r="Q5176" i="5"/>
  <c r="E5176" i="5"/>
  <c r="P5176" i="5" s="1"/>
  <c r="D5176" i="5"/>
  <c r="U5076" i="5"/>
  <c r="T5076" i="5"/>
  <c r="S5076" i="5"/>
  <c r="R5076" i="5"/>
  <c r="Q5076" i="5"/>
  <c r="E5076" i="5"/>
  <c r="P5076" i="5" s="1"/>
  <c r="D5076" i="5"/>
  <c r="U4976" i="5"/>
  <c r="T4976" i="5"/>
  <c r="S4976" i="5"/>
  <c r="R4976" i="5"/>
  <c r="Q4976" i="5"/>
  <c r="E4976" i="5"/>
  <c r="P4976" i="5" s="1"/>
  <c r="D4976" i="5"/>
  <c r="U4876" i="5"/>
  <c r="T4876" i="5"/>
  <c r="S4876" i="5"/>
  <c r="R4876" i="5"/>
  <c r="Q4876" i="5"/>
  <c r="E4876" i="5"/>
  <c r="P4876" i="5" s="1"/>
  <c r="D4876" i="5"/>
  <c r="U5275" i="5"/>
  <c r="T5275" i="5"/>
  <c r="S5275" i="5"/>
  <c r="R5275" i="5"/>
  <c r="Q5275" i="5"/>
  <c r="E5275" i="5"/>
  <c r="P5275" i="5" s="1"/>
  <c r="D5275" i="5"/>
  <c r="U5175" i="5"/>
  <c r="T5175" i="5"/>
  <c r="S5175" i="5"/>
  <c r="R5175" i="5"/>
  <c r="Q5175" i="5"/>
  <c r="E5175" i="5"/>
  <c r="P5175" i="5" s="1"/>
  <c r="D5175" i="5"/>
  <c r="U5075" i="5"/>
  <c r="T5075" i="5"/>
  <c r="S5075" i="5"/>
  <c r="R5075" i="5"/>
  <c r="Q5075" i="5"/>
  <c r="E5075" i="5"/>
  <c r="P5075" i="5" s="1"/>
  <c r="D5075" i="5"/>
  <c r="U4975" i="5"/>
  <c r="T4975" i="5"/>
  <c r="S4975" i="5"/>
  <c r="R4975" i="5"/>
  <c r="Q4975" i="5"/>
  <c r="E4975" i="5"/>
  <c r="P4975" i="5" s="1"/>
  <c r="D4975" i="5"/>
  <c r="U4875" i="5"/>
  <c r="T4875" i="5"/>
  <c r="S4875" i="5"/>
  <c r="R4875" i="5"/>
  <c r="Q4875" i="5"/>
  <c r="E4875" i="5"/>
  <c r="P4875" i="5" s="1"/>
  <c r="D4875" i="5"/>
  <c r="U5274" i="5"/>
  <c r="T5274" i="5"/>
  <c r="S5274" i="5"/>
  <c r="R5274" i="5"/>
  <c r="Q5274" i="5"/>
  <c r="E5274" i="5"/>
  <c r="P5274" i="5" s="1"/>
  <c r="D5274" i="5"/>
  <c r="U5174" i="5"/>
  <c r="T5174" i="5"/>
  <c r="S5174" i="5"/>
  <c r="R5174" i="5"/>
  <c r="Q5174" i="5"/>
  <c r="E5174" i="5"/>
  <c r="P5174" i="5" s="1"/>
  <c r="D5174" i="5"/>
  <c r="U5074" i="5"/>
  <c r="T5074" i="5"/>
  <c r="S5074" i="5"/>
  <c r="R5074" i="5"/>
  <c r="Q5074" i="5"/>
  <c r="E5074" i="5"/>
  <c r="P5074" i="5" s="1"/>
  <c r="D5074" i="5"/>
  <c r="U4974" i="5"/>
  <c r="T4974" i="5"/>
  <c r="S4974" i="5"/>
  <c r="R4974" i="5"/>
  <c r="Q4974" i="5"/>
  <c r="E4974" i="5"/>
  <c r="P4974" i="5" s="1"/>
  <c r="D4974" i="5"/>
  <c r="U4874" i="5"/>
  <c r="T4874" i="5"/>
  <c r="S4874" i="5"/>
  <c r="R4874" i="5"/>
  <c r="Q4874" i="5"/>
  <c r="E4874" i="5"/>
  <c r="P4874" i="5" s="1"/>
  <c r="D4874" i="5"/>
  <c r="U5273" i="5"/>
  <c r="T5273" i="5"/>
  <c r="S5273" i="5"/>
  <c r="R5273" i="5"/>
  <c r="Q5273" i="5"/>
  <c r="E5273" i="5"/>
  <c r="P5273" i="5" s="1"/>
  <c r="D5273" i="5"/>
  <c r="U5173" i="5"/>
  <c r="T5173" i="5"/>
  <c r="S5173" i="5"/>
  <c r="R5173" i="5"/>
  <c r="Q5173" i="5"/>
  <c r="E5173" i="5"/>
  <c r="P5173" i="5" s="1"/>
  <c r="D5173" i="5"/>
  <c r="U5073" i="5"/>
  <c r="T5073" i="5"/>
  <c r="S5073" i="5"/>
  <c r="R5073" i="5"/>
  <c r="Q5073" i="5"/>
  <c r="E5073" i="5"/>
  <c r="P5073" i="5" s="1"/>
  <c r="D5073" i="5"/>
  <c r="U4973" i="5"/>
  <c r="T4973" i="5"/>
  <c r="S4973" i="5"/>
  <c r="R4973" i="5"/>
  <c r="Q4973" i="5"/>
  <c r="E4973" i="5"/>
  <c r="P4973" i="5" s="1"/>
  <c r="D4973" i="5"/>
  <c r="U4873" i="5"/>
  <c r="T4873" i="5"/>
  <c r="S4873" i="5"/>
  <c r="R4873" i="5"/>
  <c r="Q4873" i="5"/>
  <c r="E4873" i="5"/>
  <c r="P4873" i="5" s="1"/>
  <c r="D4873" i="5"/>
  <c r="U5272" i="5"/>
  <c r="T5272" i="5"/>
  <c r="S5272" i="5"/>
  <c r="R5272" i="5"/>
  <c r="Q5272" i="5"/>
  <c r="E5272" i="5"/>
  <c r="P5272" i="5" s="1"/>
  <c r="D5272" i="5"/>
  <c r="U5172" i="5"/>
  <c r="T5172" i="5"/>
  <c r="S5172" i="5"/>
  <c r="R5172" i="5"/>
  <c r="Q5172" i="5"/>
  <c r="E5172" i="5"/>
  <c r="P5172" i="5" s="1"/>
  <c r="D5172" i="5"/>
  <c r="U5072" i="5"/>
  <c r="T5072" i="5"/>
  <c r="S5072" i="5"/>
  <c r="R5072" i="5"/>
  <c r="Q5072" i="5"/>
  <c r="E5072" i="5"/>
  <c r="P5072" i="5" s="1"/>
  <c r="D5072" i="5"/>
  <c r="U4972" i="5"/>
  <c r="T4972" i="5"/>
  <c r="S4972" i="5"/>
  <c r="R4972" i="5"/>
  <c r="Q4972" i="5"/>
  <c r="E4972" i="5"/>
  <c r="P4972" i="5" s="1"/>
  <c r="D4972" i="5"/>
  <c r="U4872" i="5"/>
  <c r="T4872" i="5"/>
  <c r="S4872" i="5"/>
  <c r="R4872" i="5"/>
  <c r="Q4872" i="5"/>
  <c r="E4872" i="5"/>
  <c r="P4872" i="5" s="1"/>
  <c r="D4872" i="5"/>
  <c r="U5271" i="5"/>
  <c r="T5271" i="5"/>
  <c r="S5271" i="5"/>
  <c r="R5271" i="5"/>
  <c r="Q5271" i="5"/>
  <c r="E5271" i="5"/>
  <c r="P5271" i="5" s="1"/>
  <c r="D5271" i="5"/>
  <c r="U5171" i="5"/>
  <c r="T5171" i="5"/>
  <c r="S5171" i="5"/>
  <c r="R5171" i="5"/>
  <c r="Q5171" i="5"/>
  <c r="E5171" i="5"/>
  <c r="P5171" i="5" s="1"/>
  <c r="D5171" i="5"/>
  <c r="U5071" i="5"/>
  <c r="T5071" i="5"/>
  <c r="S5071" i="5"/>
  <c r="R5071" i="5"/>
  <c r="Q5071" i="5"/>
  <c r="E5071" i="5"/>
  <c r="P5071" i="5" s="1"/>
  <c r="D5071" i="5"/>
  <c r="U4971" i="5"/>
  <c r="T4971" i="5"/>
  <c r="S4971" i="5"/>
  <c r="R4971" i="5"/>
  <c r="Q4971" i="5"/>
  <c r="E4971" i="5"/>
  <c r="P4971" i="5" s="1"/>
  <c r="D4971" i="5"/>
  <c r="U4871" i="5"/>
  <c r="T4871" i="5"/>
  <c r="S4871" i="5"/>
  <c r="R4871" i="5"/>
  <c r="Q4871" i="5"/>
  <c r="E4871" i="5"/>
  <c r="P4871" i="5" s="1"/>
  <c r="D4871" i="5"/>
  <c r="U5270" i="5"/>
  <c r="T5270" i="5"/>
  <c r="S5270" i="5"/>
  <c r="R5270" i="5"/>
  <c r="Q5270" i="5"/>
  <c r="E5270" i="5"/>
  <c r="P5270" i="5" s="1"/>
  <c r="D5270" i="5"/>
  <c r="U5170" i="5"/>
  <c r="T5170" i="5"/>
  <c r="S5170" i="5"/>
  <c r="R5170" i="5"/>
  <c r="Q5170" i="5"/>
  <c r="E5170" i="5"/>
  <c r="P5170" i="5" s="1"/>
  <c r="D5170" i="5"/>
  <c r="U5070" i="5"/>
  <c r="T5070" i="5"/>
  <c r="S5070" i="5"/>
  <c r="R5070" i="5"/>
  <c r="Q5070" i="5"/>
  <c r="E5070" i="5"/>
  <c r="P5070" i="5" s="1"/>
  <c r="D5070" i="5"/>
  <c r="U4970" i="5"/>
  <c r="T4970" i="5"/>
  <c r="S4970" i="5"/>
  <c r="R4970" i="5"/>
  <c r="Q4970" i="5"/>
  <c r="E4970" i="5"/>
  <c r="P4970" i="5" s="1"/>
  <c r="D4970" i="5"/>
  <c r="U4870" i="5"/>
  <c r="T4870" i="5"/>
  <c r="S4870" i="5"/>
  <c r="R4870" i="5"/>
  <c r="Q4870" i="5"/>
  <c r="E4870" i="5"/>
  <c r="P4870" i="5" s="1"/>
  <c r="D4870" i="5"/>
  <c r="T5269" i="5"/>
  <c r="S5269" i="5"/>
  <c r="R5269" i="5"/>
  <c r="Q5269" i="5"/>
  <c r="E5269" i="5"/>
  <c r="P5269" i="5" s="1"/>
  <c r="D5269" i="5"/>
  <c r="U5269" i="5" s="1"/>
  <c r="T5169" i="5"/>
  <c r="S5169" i="5"/>
  <c r="R5169" i="5"/>
  <c r="Q5169" i="5"/>
  <c r="E5169" i="5"/>
  <c r="P5169" i="5" s="1"/>
  <c r="D5169" i="5"/>
  <c r="U5169" i="5" s="1"/>
  <c r="T5069" i="5"/>
  <c r="S5069" i="5"/>
  <c r="R5069" i="5"/>
  <c r="Q5069" i="5"/>
  <c r="E5069" i="5"/>
  <c r="P5069" i="5" s="1"/>
  <c r="D5069" i="5"/>
  <c r="U5069" i="5" s="1"/>
  <c r="T4969" i="5"/>
  <c r="S4969" i="5"/>
  <c r="R4969" i="5"/>
  <c r="Q4969" i="5"/>
  <c r="E4969" i="5"/>
  <c r="P4969" i="5" s="1"/>
  <c r="D4969" i="5"/>
  <c r="U4969" i="5" s="1"/>
  <c r="T4869" i="5"/>
  <c r="S4869" i="5"/>
  <c r="R4869" i="5"/>
  <c r="Q4869" i="5"/>
  <c r="E4869" i="5"/>
  <c r="P4869" i="5" s="1"/>
  <c r="D4869" i="5"/>
  <c r="U4869" i="5" s="1"/>
  <c r="T5268" i="5"/>
  <c r="S5268" i="5"/>
  <c r="R5268" i="5"/>
  <c r="Q5268" i="5"/>
  <c r="E5268" i="5"/>
  <c r="P5268" i="5" s="1"/>
  <c r="D5268" i="5"/>
  <c r="U5268" i="5" s="1"/>
  <c r="T5168" i="5"/>
  <c r="S5168" i="5"/>
  <c r="R5168" i="5"/>
  <c r="Q5168" i="5"/>
  <c r="E5168" i="5"/>
  <c r="P5168" i="5" s="1"/>
  <c r="D5168" i="5"/>
  <c r="U5168" i="5" s="1"/>
  <c r="T5068" i="5"/>
  <c r="S5068" i="5"/>
  <c r="R5068" i="5"/>
  <c r="Q5068" i="5"/>
  <c r="E5068" i="5"/>
  <c r="P5068" i="5" s="1"/>
  <c r="D5068" i="5"/>
  <c r="U5068" i="5" s="1"/>
  <c r="T4968" i="5"/>
  <c r="S4968" i="5"/>
  <c r="R4968" i="5"/>
  <c r="Q4968" i="5"/>
  <c r="E4968" i="5"/>
  <c r="P4968" i="5" s="1"/>
  <c r="D4968" i="5"/>
  <c r="U4968" i="5" s="1"/>
  <c r="T4868" i="5"/>
  <c r="S4868" i="5"/>
  <c r="R4868" i="5"/>
  <c r="Q4868" i="5"/>
  <c r="E4868" i="5"/>
  <c r="P4868" i="5" s="1"/>
  <c r="D4868" i="5"/>
  <c r="U4868" i="5" s="1"/>
  <c r="T4785" i="5"/>
  <c r="S4785" i="5"/>
  <c r="R4785" i="5"/>
  <c r="Q4785" i="5"/>
  <c r="T4668" i="5"/>
  <c r="S4668" i="5"/>
  <c r="R4668" i="5"/>
  <c r="Q4668" i="5"/>
  <c r="T4551" i="5"/>
  <c r="S4551" i="5"/>
  <c r="R4551" i="5"/>
  <c r="Q4551" i="5"/>
  <c r="T4434" i="5"/>
  <c r="S4434" i="5"/>
  <c r="R4434" i="5"/>
  <c r="Q4434" i="5"/>
  <c r="T4317" i="5"/>
  <c r="S4317" i="5"/>
  <c r="R4317" i="5"/>
  <c r="Q4317" i="5"/>
  <c r="U3005" i="5"/>
  <c r="T3005" i="5"/>
  <c r="S3005" i="5"/>
  <c r="R3005" i="5"/>
  <c r="Q3005" i="5"/>
  <c r="P3005" i="5"/>
  <c r="U2912" i="5"/>
  <c r="T2912" i="5"/>
  <c r="S2912" i="5"/>
  <c r="P2912" i="5"/>
  <c r="I2912" i="5"/>
  <c r="R2912" i="5" s="1"/>
  <c r="H2912" i="5"/>
  <c r="G2912" i="5"/>
  <c r="Q2912" i="5" s="1"/>
  <c r="F2912" i="5"/>
  <c r="U2911" i="5"/>
  <c r="T2911" i="5"/>
  <c r="S2911" i="5"/>
  <c r="R2911" i="5"/>
  <c r="Q2911" i="5"/>
  <c r="U2910" i="5"/>
  <c r="T2910" i="5"/>
  <c r="S2910" i="5"/>
  <c r="R2910" i="5"/>
  <c r="Q2910" i="5"/>
  <c r="P2910" i="5"/>
  <c r="U2909" i="5"/>
  <c r="T2909" i="5"/>
  <c r="S2909" i="5"/>
  <c r="R2909" i="5"/>
  <c r="Q2909" i="5"/>
  <c r="P2909" i="5"/>
  <c r="T4784" i="5"/>
  <c r="S4784" i="5"/>
  <c r="R4784" i="5"/>
  <c r="Q4784" i="5"/>
  <c r="E4784" i="5"/>
  <c r="P4784" i="5" s="1"/>
  <c r="D4784" i="5"/>
  <c r="U4784" i="5" s="1"/>
  <c r="T4667" i="5"/>
  <c r="S4667" i="5"/>
  <c r="R4667" i="5"/>
  <c r="Q4667" i="5"/>
  <c r="E4667" i="5"/>
  <c r="P4667" i="5" s="1"/>
  <c r="D4667" i="5"/>
  <c r="U4667" i="5" s="1"/>
  <c r="T4550" i="5"/>
  <c r="S4550" i="5"/>
  <c r="R4550" i="5"/>
  <c r="Q4550" i="5"/>
  <c r="E4550" i="5"/>
  <c r="P4550" i="5" s="1"/>
  <c r="D4550" i="5"/>
  <c r="U4550" i="5" s="1"/>
  <c r="T4433" i="5"/>
  <c r="S4433" i="5"/>
  <c r="R4433" i="5"/>
  <c r="Q4433" i="5"/>
  <c r="T4316" i="5"/>
  <c r="S4316" i="5"/>
  <c r="R4316" i="5"/>
  <c r="Q4316" i="5"/>
  <c r="U4783" i="5"/>
  <c r="T4783" i="5"/>
  <c r="S4783" i="5"/>
  <c r="R4783" i="5"/>
  <c r="Q4783" i="5"/>
  <c r="E4783" i="5"/>
  <c r="P4783" i="5" s="1"/>
  <c r="D4783" i="5"/>
  <c r="U4666" i="5"/>
  <c r="T4666" i="5"/>
  <c r="S4666" i="5"/>
  <c r="R4666" i="5"/>
  <c r="Q4666" i="5"/>
  <c r="E4666" i="5"/>
  <c r="P4666" i="5" s="1"/>
  <c r="D4666" i="5"/>
  <c r="U4549" i="5"/>
  <c r="T4549" i="5"/>
  <c r="S4549" i="5"/>
  <c r="R4549" i="5"/>
  <c r="Q4549" i="5"/>
  <c r="E4549" i="5"/>
  <c r="P4549" i="5" s="1"/>
  <c r="D4549" i="5"/>
  <c r="U4432" i="5"/>
  <c r="T4432" i="5"/>
  <c r="S4432" i="5"/>
  <c r="R4432" i="5"/>
  <c r="Q4432" i="5"/>
  <c r="U4315" i="5"/>
  <c r="T4315" i="5"/>
  <c r="S4315" i="5"/>
  <c r="R4315" i="5"/>
  <c r="Q4315" i="5"/>
  <c r="U4782" i="5"/>
  <c r="T4782" i="5"/>
  <c r="S4782" i="5"/>
  <c r="R4782" i="5"/>
  <c r="Q4782" i="5"/>
  <c r="E4782" i="5"/>
  <c r="P4782" i="5" s="1"/>
  <c r="D4782" i="5"/>
  <c r="U4665" i="5"/>
  <c r="T4665" i="5"/>
  <c r="S4665" i="5"/>
  <c r="R4665" i="5"/>
  <c r="Q4665" i="5"/>
  <c r="E4665" i="5"/>
  <c r="P4665" i="5" s="1"/>
  <c r="D4665" i="5"/>
  <c r="U4548" i="5"/>
  <c r="T4548" i="5"/>
  <c r="S4548" i="5"/>
  <c r="R4548" i="5"/>
  <c r="Q4548" i="5"/>
  <c r="E4548" i="5"/>
  <c r="P4548" i="5" s="1"/>
  <c r="D4548" i="5"/>
  <c r="U4431" i="5"/>
  <c r="T4431" i="5"/>
  <c r="S4431" i="5"/>
  <c r="R4431" i="5"/>
  <c r="Q4431" i="5"/>
  <c r="U4314" i="5"/>
  <c r="T4314" i="5"/>
  <c r="S4314" i="5"/>
  <c r="R4314" i="5"/>
  <c r="Q4314" i="5"/>
  <c r="U4781" i="5"/>
  <c r="T4781" i="5"/>
  <c r="S4781" i="5"/>
  <c r="R4781" i="5"/>
  <c r="Q4781" i="5"/>
  <c r="E4781" i="5"/>
  <c r="P4781" i="5" s="1"/>
  <c r="D4781" i="5"/>
  <c r="U4664" i="5"/>
  <c r="T4664" i="5"/>
  <c r="S4664" i="5"/>
  <c r="R4664" i="5"/>
  <c r="Q4664" i="5"/>
  <c r="E4664" i="5"/>
  <c r="P4664" i="5" s="1"/>
  <c r="D4664" i="5"/>
  <c r="U4547" i="5"/>
  <c r="T4547" i="5"/>
  <c r="S4547" i="5"/>
  <c r="R4547" i="5"/>
  <c r="Q4547" i="5"/>
  <c r="E4547" i="5"/>
  <c r="P4547" i="5" s="1"/>
  <c r="D4547" i="5"/>
  <c r="U4430" i="5"/>
  <c r="T4430" i="5"/>
  <c r="S4430" i="5"/>
  <c r="R4430" i="5"/>
  <c r="Q4430" i="5"/>
  <c r="U4313" i="5"/>
  <c r="T4313" i="5"/>
  <c r="S4313" i="5"/>
  <c r="R4313" i="5"/>
  <c r="Q4313" i="5"/>
  <c r="U4780" i="5"/>
  <c r="T4780" i="5"/>
  <c r="S4780" i="5"/>
  <c r="R4780" i="5"/>
  <c r="Q4780" i="5"/>
  <c r="E4780" i="5"/>
  <c r="P4780" i="5" s="1"/>
  <c r="D4780" i="5"/>
  <c r="U4663" i="5"/>
  <c r="T4663" i="5"/>
  <c r="S4663" i="5"/>
  <c r="R4663" i="5"/>
  <c r="Q4663" i="5"/>
  <c r="E4663" i="5"/>
  <c r="P4663" i="5" s="1"/>
  <c r="D4663" i="5"/>
  <c r="U4546" i="5"/>
  <c r="T4546" i="5"/>
  <c r="S4546" i="5"/>
  <c r="R4546" i="5"/>
  <c r="Q4546" i="5"/>
  <c r="U4429" i="5"/>
  <c r="T4429" i="5"/>
  <c r="S4429" i="5"/>
  <c r="R4429" i="5"/>
  <c r="Q4429" i="5"/>
  <c r="U4312" i="5"/>
  <c r="T4312" i="5"/>
  <c r="S4312" i="5"/>
  <c r="R4312" i="5"/>
  <c r="Q4312" i="5"/>
  <c r="U4779" i="5"/>
  <c r="T4779" i="5"/>
  <c r="S4779" i="5"/>
  <c r="R4779" i="5"/>
  <c r="Q4779" i="5"/>
  <c r="E4779" i="5"/>
  <c r="P4779" i="5" s="1"/>
  <c r="D4779" i="5"/>
  <c r="U4662" i="5"/>
  <c r="T4662" i="5"/>
  <c r="S4662" i="5"/>
  <c r="R4662" i="5"/>
  <c r="Q4662" i="5"/>
  <c r="E4662" i="5"/>
  <c r="P4662" i="5" s="1"/>
  <c r="D4662" i="5"/>
  <c r="U4545" i="5"/>
  <c r="T4545" i="5"/>
  <c r="S4545" i="5"/>
  <c r="R4545" i="5"/>
  <c r="Q4545" i="5"/>
  <c r="E4545" i="5"/>
  <c r="P4545" i="5" s="1"/>
  <c r="D4545" i="5"/>
  <c r="U4428" i="5"/>
  <c r="T4428" i="5"/>
  <c r="S4428" i="5"/>
  <c r="R4428" i="5"/>
  <c r="Q4428" i="5"/>
  <c r="U4311" i="5"/>
  <c r="T4311" i="5"/>
  <c r="S4311" i="5"/>
  <c r="R4311" i="5"/>
  <c r="Q4311" i="5"/>
  <c r="E4311" i="5"/>
  <c r="P4311" i="5" s="1"/>
  <c r="D4311" i="5"/>
  <c r="U4778" i="5"/>
  <c r="T4778" i="5"/>
  <c r="S4778" i="5"/>
  <c r="R4778" i="5"/>
  <c r="Q4778" i="5"/>
  <c r="E4778" i="5"/>
  <c r="P4778" i="5" s="1"/>
  <c r="D4778" i="5"/>
  <c r="U4661" i="5"/>
  <c r="T4661" i="5"/>
  <c r="S4661" i="5"/>
  <c r="R4661" i="5"/>
  <c r="Q4661" i="5"/>
  <c r="E4661" i="5"/>
  <c r="P4661" i="5" s="1"/>
  <c r="D4661" i="5"/>
  <c r="U4544" i="5"/>
  <c r="T4544" i="5"/>
  <c r="S4544" i="5"/>
  <c r="R4544" i="5"/>
  <c r="Q4544" i="5"/>
  <c r="E4544" i="5"/>
  <c r="P4544" i="5" s="1"/>
  <c r="D4544" i="5"/>
  <c r="U4427" i="5"/>
  <c r="T4427" i="5"/>
  <c r="S4427" i="5"/>
  <c r="R4427" i="5"/>
  <c r="Q4427" i="5"/>
  <c r="U4310" i="5"/>
  <c r="T4310" i="5"/>
  <c r="S4310" i="5"/>
  <c r="R4310" i="5"/>
  <c r="Q4310" i="5"/>
  <c r="E4310" i="5"/>
  <c r="P4310" i="5" s="1"/>
  <c r="D4310" i="5"/>
  <c r="U4777" i="5"/>
  <c r="T4777" i="5"/>
  <c r="S4777" i="5"/>
  <c r="R4777" i="5"/>
  <c r="Q4777" i="5"/>
  <c r="E4777" i="5"/>
  <c r="P4777" i="5" s="1"/>
  <c r="D4777" i="5"/>
  <c r="U4660" i="5"/>
  <c r="T4660" i="5"/>
  <c r="S4660" i="5"/>
  <c r="R4660" i="5"/>
  <c r="Q4660" i="5"/>
  <c r="E4660" i="5"/>
  <c r="P4660" i="5" s="1"/>
  <c r="D4660" i="5"/>
  <c r="U4543" i="5"/>
  <c r="T4543" i="5"/>
  <c r="S4543" i="5"/>
  <c r="R4543" i="5"/>
  <c r="Q4543" i="5"/>
  <c r="E4543" i="5"/>
  <c r="P4543" i="5" s="1"/>
  <c r="D4543" i="5"/>
  <c r="U4426" i="5"/>
  <c r="T4426" i="5"/>
  <c r="S4426" i="5"/>
  <c r="R4426" i="5"/>
  <c r="Q4426" i="5"/>
  <c r="U4309" i="5"/>
  <c r="T4309" i="5"/>
  <c r="S4309" i="5"/>
  <c r="R4309" i="5"/>
  <c r="Q4309" i="5"/>
  <c r="E4309" i="5"/>
  <c r="P4309" i="5" s="1"/>
  <c r="D4309" i="5"/>
  <c r="U4776" i="5"/>
  <c r="T4776" i="5"/>
  <c r="S4776" i="5"/>
  <c r="R4776" i="5"/>
  <c r="Q4776" i="5"/>
  <c r="E4776" i="5"/>
  <c r="P4776" i="5" s="1"/>
  <c r="D4776" i="5"/>
  <c r="U4659" i="5"/>
  <c r="T4659" i="5"/>
  <c r="S4659" i="5"/>
  <c r="R4659" i="5"/>
  <c r="Q4659" i="5"/>
  <c r="E4659" i="5"/>
  <c r="P4659" i="5" s="1"/>
  <c r="D4659" i="5"/>
  <c r="U4542" i="5"/>
  <c r="T4542" i="5"/>
  <c r="S4542" i="5"/>
  <c r="R4542" i="5"/>
  <c r="Q4542" i="5"/>
  <c r="E4542" i="5"/>
  <c r="P4542" i="5" s="1"/>
  <c r="D4542" i="5"/>
  <c r="U4425" i="5"/>
  <c r="T4425" i="5"/>
  <c r="S4425" i="5"/>
  <c r="R4425" i="5"/>
  <c r="Q4425" i="5"/>
  <c r="U4308" i="5"/>
  <c r="T4308" i="5"/>
  <c r="S4308" i="5"/>
  <c r="R4308" i="5"/>
  <c r="Q4308" i="5"/>
  <c r="E4308" i="5"/>
  <c r="P4308" i="5" s="1"/>
  <c r="D4308" i="5"/>
  <c r="U4775" i="5"/>
  <c r="T4775" i="5"/>
  <c r="S4775" i="5"/>
  <c r="R4775" i="5"/>
  <c r="Q4775" i="5"/>
  <c r="E4775" i="5"/>
  <c r="D4775" i="5"/>
  <c r="D4785" i="5" s="1"/>
  <c r="U4785" i="5" s="1"/>
  <c r="U4658" i="5"/>
  <c r="T4658" i="5"/>
  <c r="S4658" i="5"/>
  <c r="R4658" i="5"/>
  <c r="Q4658" i="5"/>
  <c r="E4658" i="5"/>
  <c r="D4658" i="5"/>
  <c r="D4668" i="5" s="1"/>
  <c r="U4668" i="5" s="1"/>
  <c r="U4541" i="5"/>
  <c r="T4541" i="5"/>
  <c r="S4541" i="5"/>
  <c r="R4541" i="5"/>
  <c r="Q4541" i="5"/>
  <c r="E4541" i="5"/>
  <c r="D4541" i="5"/>
  <c r="D4551" i="5" s="1"/>
  <c r="U4551" i="5" s="1"/>
  <c r="U4424" i="5"/>
  <c r="T4424" i="5"/>
  <c r="S4424" i="5"/>
  <c r="R4424" i="5"/>
  <c r="Q4424" i="5"/>
  <c r="U4307" i="5"/>
  <c r="T4307" i="5"/>
  <c r="S4307" i="5"/>
  <c r="R4307" i="5"/>
  <c r="Q4307" i="5"/>
  <c r="E4307" i="5"/>
  <c r="D4307" i="5"/>
  <c r="D4317" i="5" s="1"/>
  <c r="U4317" i="5" s="1"/>
  <c r="U4774" i="5"/>
  <c r="T4774" i="5"/>
  <c r="S4774" i="5"/>
  <c r="R4774" i="5"/>
  <c r="Q4774" i="5"/>
  <c r="E4774" i="5"/>
  <c r="P4774" i="5" s="1"/>
  <c r="D4774" i="5"/>
  <c r="U4657" i="5"/>
  <c r="T4657" i="5"/>
  <c r="S4657" i="5"/>
  <c r="R4657" i="5"/>
  <c r="Q4657" i="5"/>
  <c r="E4657" i="5"/>
  <c r="P4657" i="5" s="1"/>
  <c r="D4657" i="5"/>
  <c r="U4540" i="5"/>
  <c r="T4540" i="5"/>
  <c r="S4540" i="5"/>
  <c r="R4540" i="5"/>
  <c r="Q4540" i="5"/>
  <c r="E4540" i="5"/>
  <c r="P4540" i="5" s="1"/>
  <c r="D4540" i="5"/>
  <c r="U4423" i="5"/>
  <c r="T4423" i="5"/>
  <c r="S4423" i="5"/>
  <c r="R4423" i="5"/>
  <c r="Q4423" i="5"/>
  <c r="U4306" i="5"/>
  <c r="T4306" i="5"/>
  <c r="S4306" i="5"/>
  <c r="R4306" i="5"/>
  <c r="Q4306" i="5"/>
  <c r="E4306" i="5"/>
  <c r="P4306" i="5" s="1"/>
  <c r="D4306" i="5"/>
  <c r="U4773" i="5"/>
  <c r="T4773" i="5"/>
  <c r="S4773" i="5"/>
  <c r="R4773" i="5"/>
  <c r="Q4773" i="5"/>
  <c r="E4773" i="5"/>
  <c r="P4773" i="5" s="1"/>
  <c r="D4773" i="5"/>
  <c r="U4656" i="5"/>
  <c r="T4656" i="5"/>
  <c r="S4656" i="5"/>
  <c r="R4656" i="5"/>
  <c r="Q4656" i="5"/>
  <c r="E4656" i="5"/>
  <c r="P4656" i="5" s="1"/>
  <c r="D4656" i="5"/>
  <c r="U4539" i="5"/>
  <c r="T4539" i="5"/>
  <c r="S4539" i="5"/>
  <c r="R4539" i="5"/>
  <c r="Q4539" i="5"/>
  <c r="E4539" i="5"/>
  <c r="P4539" i="5" s="1"/>
  <c r="D4539" i="5"/>
  <c r="U4422" i="5"/>
  <c r="T4422" i="5"/>
  <c r="S4422" i="5"/>
  <c r="R4422" i="5"/>
  <c r="Q4422" i="5"/>
  <c r="U4305" i="5"/>
  <c r="T4305" i="5"/>
  <c r="S4305" i="5"/>
  <c r="R4305" i="5"/>
  <c r="Q4305" i="5"/>
  <c r="E4305" i="5"/>
  <c r="P4305" i="5" s="1"/>
  <c r="D4305" i="5"/>
  <c r="U4772" i="5"/>
  <c r="T4772" i="5"/>
  <c r="S4772" i="5"/>
  <c r="R4772" i="5"/>
  <c r="Q4772" i="5"/>
  <c r="E4772" i="5"/>
  <c r="P4772" i="5" s="1"/>
  <c r="D4772" i="5"/>
  <c r="U4655" i="5"/>
  <c r="T4655" i="5"/>
  <c r="S4655" i="5"/>
  <c r="R4655" i="5"/>
  <c r="Q4655" i="5"/>
  <c r="E4655" i="5"/>
  <c r="P4655" i="5" s="1"/>
  <c r="D4655" i="5"/>
  <c r="U4538" i="5"/>
  <c r="T4538" i="5"/>
  <c r="S4538" i="5"/>
  <c r="R4538" i="5"/>
  <c r="Q4538" i="5"/>
  <c r="U4421" i="5"/>
  <c r="T4421" i="5"/>
  <c r="S4421" i="5"/>
  <c r="R4421" i="5"/>
  <c r="Q4421" i="5"/>
  <c r="U4304" i="5"/>
  <c r="T4304" i="5"/>
  <c r="S4304" i="5"/>
  <c r="R4304" i="5"/>
  <c r="Q4304" i="5"/>
  <c r="E4304" i="5"/>
  <c r="P4304" i="5" s="1"/>
  <c r="D4304" i="5"/>
  <c r="U4771" i="5"/>
  <c r="T4771" i="5"/>
  <c r="S4771" i="5"/>
  <c r="R4771" i="5"/>
  <c r="Q4771" i="5"/>
  <c r="E4771" i="5"/>
  <c r="P4771" i="5" s="1"/>
  <c r="D4771" i="5"/>
  <c r="U4654" i="5"/>
  <c r="T4654" i="5"/>
  <c r="S4654" i="5"/>
  <c r="R4654" i="5"/>
  <c r="Q4654" i="5"/>
  <c r="E4654" i="5"/>
  <c r="P4654" i="5" s="1"/>
  <c r="D4654" i="5"/>
  <c r="U4537" i="5"/>
  <c r="T4537" i="5"/>
  <c r="S4537" i="5"/>
  <c r="R4537" i="5"/>
  <c r="Q4537" i="5"/>
  <c r="U4420" i="5"/>
  <c r="T4420" i="5"/>
  <c r="S4420" i="5"/>
  <c r="R4420" i="5"/>
  <c r="Q4420" i="5"/>
  <c r="U4303" i="5"/>
  <c r="T4303" i="5"/>
  <c r="S4303" i="5"/>
  <c r="R4303" i="5"/>
  <c r="Q4303" i="5"/>
  <c r="E4303" i="5"/>
  <c r="P4303" i="5" s="1"/>
  <c r="D4303" i="5"/>
  <c r="U4770" i="5"/>
  <c r="T4770" i="5"/>
  <c r="S4770" i="5"/>
  <c r="R4770" i="5"/>
  <c r="Q4770" i="5"/>
  <c r="E4770" i="5"/>
  <c r="P4770" i="5" s="1"/>
  <c r="D4770" i="5"/>
  <c r="U4653" i="5"/>
  <c r="T4653" i="5"/>
  <c r="S4653" i="5"/>
  <c r="R4653" i="5"/>
  <c r="Q4653" i="5"/>
  <c r="E4653" i="5"/>
  <c r="P4653" i="5" s="1"/>
  <c r="D4653" i="5"/>
  <c r="U4536" i="5"/>
  <c r="T4536" i="5"/>
  <c r="S4536" i="5"/>
  <c r="R4536" i="5"/>
  <c r="Q4536" i="5"/>
  <c r="E4536" i="5"/>
  <c r="P4536" i="5" s="1"/>
  <c r="D4536" i="5"/>
  <c r="U4419" i="5"/>
  <c r="T4419" i="5"/>
  <c r="S4419" i="5"/>
  <c r="R4419" i="5"/>
  <c r="Q4419" i="5"/>
  <c r="U4302" i="5"/>
  <c r="T4302" i="5"/>
  <c r="S4302" i="5"/>
  <c r="R4302" i="5"/>
  <c r="Q4302" i="5"/>
  <c r="E4302" i="5"/>
  <c r="P4302" i="5" s="1"/>
  <c r="D4302" i="5"/>
  <c r="U4769" i="5"/>
  <c r="T4769" i="5"/>
  <c r="S4769" i="5"/>
  <c r="R4769" i="5"/>
  <c r="Q4769" i="5"/>
  <c r="E4769" i="5"/>
  <c r="P4769" i="5" s="1"/>
  <c r="D4769" i="5"/>
  <c r="U4652" i="5"/>
  <c r="T4652" i="5"/>
  <c r="S4652" i="5"/>
  <c r="R4652" i="5"/>
  <c r="Q4652" i="5"/>
  <c r="E4652" i="5"/>
  <c r="P4652" i="5" s="1"/>
  <c r="D4652" i="5"/>
  <c r="U4535" i="5"/>
  <c r="T4535" i="5"/>
  <c r="S4535" i="5"/>
  <c r="R4535" i="5"/>
  <c r="Q4535" i="5"/>
  <c r="E4535" i="5"/>
  <c r="P4535" i="5" s="1"/>
  <c r="D4535" i="5"/>
  <c r="U4418" i="5"/>
  <c r="T4418" i="5"/>
  <c r="S4418" i="5"/>
  <c r="R4418" i="5"/>
  <c r="Q4418" i="5"/>
  <c r="U4301" i="5"/>
  <c r="T4301" i="5"/>
  <c r="S4301" i="5"/>
  <c r="R4301" i="5"/>
  <c r="Q4301" i="5"/>
  <c r="E4301" i="5"/>
  <c r="P4301" i="5" s="1"/>
  <c r="D4301" i="5"/>
  <c r="U4768" i="5"/>
  <c r="T4768" i="5"/>
  <c r="S4768" i="5"/>
  <c r="R4768" i="5"/>
  <c r="Q4768" i="5"/>
  <c r="E4768" i="5"/>
  <c r="P4768" i="5" s="1"/>
  <c r="D4768" i="5"/>
  <c r="U4651" i="5"/>
  <c r="T4651" i="5"/>
  <c r="S4651" i="5"/>
  <c r="R4651" i="5"/>
  <c r="Q4651" i="5"/>
  <c r="E4651" i="5"/>
  <c r="P4651" i="5" s="1"/>
  <c r="D4651" i="5"/>
  <c r="U4534" i="5"/>
  <c r="T4534" i="5"/>
  <c r="S4534" i="5"/>
  <c r="R4534" i="5"/>
  <c r="Q4534" i="5"/>
  <c r="E4534" i="5"/>
  <c r="P4534" i="5" s="1"/>
  <c r="D4534" i="5"/>
  <c r="U4417" i="5"/>
  <c r="T4417" i="5"/>
  <c r="S4417" i="5"/>
  <c r="R4417" i="5"/>
  <c r="Q4417" i="5"/>
  <c r="U4300" i="5"/>
  <c r="T4300" i="5"/>
  <c r="S4300" i="5"/>
  <c r="R4300" i="5"/>
  <c r="Q4300" i="5"/>
  <c r="E4300" i="5"/>
  <c r="P4300" i="5" s="1"/>
  <c r="D4300" i="5"/>
  <c r="T4767" i="5"/>
  <c r="S4767" i="5"/>
  <c r="R4767" i="5"/>
  <c r="Q4767" i="5"/>
  <c r="T4650" i="5"/>
  <c r="S4650" i="5"/>
  <c r="R4650" i="5"/>
  <c r="Q4650" i="5"/>
  <c r="E4650" i="5"/>
  <c r="P4650" i="5" s="1"/>
  <c r="D4650" i="5"/>
  <c r="U4650" i="5" s="1"/>
  <c r="T4533" i="5"/>
  <c r="S4533" i="5"/>
  <c r="R4533" i="5"/>
  <c r="Q4533" i="5"/>
  <c r="E4533" i="5"/>
  <c r="P4533" i="5" s="1"/>
  <c r="D4533" i="5"/>
  <c r="U4533" i="5" s="1"/>
  <c r="T4416" i="5"/>
  <c r="S4416" i="5"/>
  <c r="R4416" i="5"/>
  <c r="Q4416" i="5"/>
  <c r="T4299" i="5"/>
  <c r="S4299" i="5"/>
  <c r="R4299" i="5"/>
  <c r="Q4299" i="5"/>
  <c r="T4766" i="5"/>
  <c r="S4766" i="5"/>
  <c r="R4766" i="5"/>
  <c r="Q4766" i="5"/>
  <c r="T4649" i="5"/>
  <c r="S4649" i="5"/>
  <c r="R4649" i="5"/>
  <c r="Q4649" i="5"/>
  <c r="E4649" i="5"/>
  <c r="P4649" i="5" s="1"/>
  <c r="D4649" i="5"/>
  <c r="U4649" i="5" s="1"/>
  <c r="T4532" i="5"/>
  <c r="S4532" i="5"/>
  <c r="R4532" i="5"/>
  <c r="Q4532" i="5"/>
  <c r="E4532" i="5"/>
  <c r="P4532" i="5" s="1"/>
  <c r="D4532" i="5"/>
  <c r="U4532" i="5" s="1"/>
  <c r="T4415" i="5"/>
  <c r="S4415" i="5"/>
  <c r="R4415" i="5"/>
  <c r="Q4415" i="5"/>
  <c r="E4415" i="5"/>
  <c r="P4415" i="5" s="1"/>
  <c r="D4415" i="5"/>
  <c r="U4415" i="5" s="1"/>
  <c r="T4298" i="5"/>
  <c r="S4298" i="5"/>
  <c r="R4298" i="5"/>
  <c r="Q4298" i="5"/>
  <c r="T4185" i="5"/>
  <c r="S4185" i="5"/>
  <c r="R4185" i="5"/>
  <c r="Q4185" i="5"/>
  <c r="T4086" i="5"/>
  <c r="S4086" i="5"/>
  <c r="R4086" i="5"/>
  <c r="Q4086" i="5"/>
  <c r="T3987" i="5"/>
  <c r="S3987" i="5"/>
  <c r="R3987" i="5"/>
  <c r="Q3987" i="5"/>
  <c r="T3888" i="5"/>
  <c r="S3888" i="5"/>
  <c r="R3888" i="5"/>
  <c r="Q3888" i="5"/>
  <c r="T3789" i="5"/>
  <c r="S3789" i="5"/>
  <c r="R3789" i="5"/>
  <c r="Q3789" i="5"/>
  <c r="T3690" i="5"/>
  <c r="S3690" i="5"/>
  <c r="R3690" i="5"/>
  <c r="Q3690" i="5"/>
  <c r="T3592" i="5"/>
  <c r="S3592" i="5"/>
  <c r="R3592" i="5"/>
  <c r="Q3592" i="5"/>
  <c r="T3494" i="5"/>
  <c r="S3494" i="5"/>
  <c r="R3494" i="5"/>
  <c r="Q3494" i="5"/>
  <c r="T3396" i="5"/>
  <c r="S3396" i="5"/>
  <c r="R3396" i="5"/>
  <c r="Q3396" i="5"/>
  <c r="T3298" i="5"/>
  <c r="S3298" i="5"/>
  <c r="R3298" i="5"/>
  <c r="Q3298" i="5"/>
  <c r="T3200" i="5"/>
  <c r="S3200" i="5"/>
  <c r="R3200" i="5"/>
  <c r="Q3200" i="5"/>
  <c r="T3102" i="5"/>
  <c r="S3102" i="5"/>
  <c r="R3102" i="5"/>
  <c r="Q3102" i="5"/>
  <c r="T3004" i="5"/>
  <c r="S3004" i="5"/>
  <c r="R3004" i="5"/>
  <c r="Q3004" i="5"/>
  <c r="T2908" i="5"/>
  <c r="S2908" i="5"/>
  <c r="R2908" i="5"/>
  <c r="Q2908" i="5"/>
  <c r="T2814" i="5"/>
  <c r="S2814" i="5"/>
  <c r="R2814" i="5"/>
  <c r="Q2814" i="5"/>
  <c r="T2716" i="5"/>
  <c r="S2716" i="5"/>
  <c r="R2716" i="5"/>
  <c r="Q2716" i="5"/>
  <c r="U2907" i="5"/>
  <c r="T2907" i="5"/>
  <c r="S2907" i="5"/>
  <c r="R2907" i="5"/>
  <c r="Q2907" i="5"/>
  <c r="P2907" i="5"/>
  <c r="U2906" i="5"/>
  <c r="T2906" i="5"/>
  <c r="S2906" i="5"/>
  <c r="R2906" i="5"/>
  <c r="Q2906" i="5"/>
  <c r="P2906" i="5"/>
  <c r="U2813" i="5"/>
  <c r="T2813" i="5"/>
  <c r="S2813" i="5"/>
  <c r="P2813" i="5"/>
  <c r="I2813" i="5"/>
  <c r="R2813" i="5" s="1"/>
  <c r="H2813" i="5"/>
  <c r="G2813" i="5"/>
  <c r="Q2813" i="5" s="1"/>
  <c r="F2813" i="5"/>
  <c r="U2812" i="5"/>
  <c r="T2812" i="5"/>
  <c r="S2812" i="5"/>
  <c r="R2812" i="5"/>
  <c r="Q2812" i="5"/>
  <c r="U2811" i="5"/>
  <c r="T2811" i="5"/>
  <c r="S2811" i="5"/>
  <c r="R2811" i="5"/>
  <c r="Q2811" i="5"/>
  <c r="P2811" i="5"/>
  <c r="U2810" i="5"/>
  <c r="T2810" i="5"/>
  <c r="S2810" i="5"/>
  <c r="R2810" i="5"/>
  <c r="Q2810" i="5"/>
  <c r="P2810" i="5"/>
  <c r="U2809" i="5"/>
  <c r="T2809" i="5"/>
  <c r="S2809" i="5"/>
  <c r="R2809" i="5"/>
  <c r="Q2809" i="5"/>
  <c r="P2809" i="5"/>
  <c r="U2808" i="5"/>
  <c r="T2808" i="5"/>
  <c r="S2808" i="5"/>
  <c r="R2808" i="5"/>
  <c r="Q2808" i="5"/>
  <c r="P2808" i="5"/>
  <c r="U2715" i="5"/>
  <c r="T2715" i="5"/>
  <c r="S2715" i="5"/>
  <c r="P2715" i="5"/>
  <c r="I2715" i="5"/>
  <c r="R2715" i="5" s="1"/>
  <c r="H2715" i="5"/>
  <c r="G2715" i="5"/>
  <c r="Q2715" i="5" s="1"/>
  <c r="F2715" i="5"/>
  <c r="U2714" i="5"/>
  <c r="T2714" i="5"/>
  <c r="S2714" i="5"/>
  <c r="R2714" i="5"/>
  <c r="Q2714" i="5"/>
  <c r="U2713" i="5"/>
  <c r="T2713" i="5"/>
  <c r="S2713" i="5"/>
  <c r="R2713" i="5"/>
  <c r="Q2713" i="5"/>
  <c r="P2713" i="5"/>
  <c r="U2712" i="5"/>
  <c r="T2712" i="5"/>
  <c r="S2712" i="5"/>
  <c r="R2712" i="5"/>
  <c r="Q2712" i="5"/>
  <c r="P2712" i="5"/>
  <c r="U2711" i="5"/>
  <c r="T2711" i="5"/>
  <c r="S2711" i="5"/>
  <c r="R2711" i="5"/>
  <c r="Q2711" i="5"/>
  <c r="P2711" i="5"/>
  <c r="U2710" i="5"/>
  <c r="T2710" i="5"/>
  <c r="S2710" i="5"/>
  <c r="R2710" i="5"/>
  <c r="Q2710" i="5"/>
  <c r="P2710" i="5"/>
  <c r="U2573" i="5"/>
  <c r="T2573" i="5"/>
  <c r="S2573" i="5"/>
  <c r="P2573" i="5"/>
  <c r="I2573" i="5"/>
  <c r="R2573" i="5" s="1"/>
  <c r="H2573" i="5"/>
  <c r="G2573" i="5"/>
  <c r="Q2573" i="5" s="1"/>
  <c r="F2573" i="5"/>
  <c r="U2572" i="5"/>
  <c r="T2572" i="5"/>
  <c r="S2572" i="5"/>
  <c r="R2572" i="5"/>
  <c r="Q2572" i="5"/>
  <c r="P2572" i="5"/>
  <c r="T4184" i="5"/>
  <c r="S4184" i="5"/>
  <c r="R4184" i="5"/>
  <c r="Q4184" i="5"/>
  <c r="T4085" i="5"/>
  <c r="S4085" i="5"/>
  <c r="R4085" i="5"/>
  <c r="Q4085" i="5"/>
  <c r="T3986" i="5"/>
  <c r="S3986" i="5"/>
  <c r="R3986" i="5"/>
  <c r="Q3986" i="5"/>
  <c r="T3887" i="5"/>
  <c r="S3887" i="5"/>
  <c r="R3887" i="5"/>
  <c r="Q3887" i="5"/>
  <c r="T3788" i="5"/>
  <c r="S3788" i="5"/>
  <c r="R3788" i="5"/>
  <c r="Q3788" i="5"/>
  <c r="T3689" i="5"/>
  <c r="S3689" i="5"/>
  <c r="R3689" i="5"/>
  <c r="Q3689" i="5"/>
  <c r="T3591" i="5"/>
  <c r="S3591" i="5"/>
  <c r="R3591" i="5"/>
  <c r="Q3591" i="5"/>
  <c r="E3591" i="5"/>
  <c r="D3591" i="5"/>
  <c r="T3493" i="5"/>
  <c r="S3493" i="5"/>
  <c r="R3493" i="5"/>
  <c r="Q3493" i="5"/>
  <c r="E3493" i="5"/>
  <c r="P3493" i="5" s="1"/>
  <c r="D3493" i="5"/>
  <c r="U3493" i="5" s="1"/>
  <c r="T3395" i="5"/>
  <c r="S3395" i="5"/>
  <c r="R3395" i="5"/>
  <c r="Q3395" i="5"/>
  <c r="T3297" i="5"/>
  <c r="S3297" i="5"/>
  <c r="R3297" i="5"/>
  <c r="Q3297" i="5"/>
  <c r="E3297" i="5"/>
  <c r="P3297" i="5" s="1"/>
  <c r="D3297" i="5"/>
  <c r="U3297" i="5" s="1"/>
  <c r="T3199" i="5"/>
  <c r="S3199" i="5"/>
  <c r="R3199" i="5"/>
  <c r="Q3199" i="5"/>
  <c r="T3101" i="5"/>
  <c r="S3101" i="5"/>
  <c r="R3101" i="5"/>
  <c r="Q3101" i="5"/>
  <c r="T3003" i="5"/>
  <c r="S3003" i="5"/>
  <c r="R3003" i="5"/>
  <c r="Q3003" i="5"/>
  <c r="T2905" i="5"/>
  <c r="S2905" i="5"/>
  <c r="R2905" i="5"/>
  <c r="Q2905" i="5"/>
  <c r="T2807" i="5"/>
  <c r="S2807" i="5"/>
  <c r="R2807" i="5"/>
  <c r="Q2807" i="5"/>
  <c r="T2709" i="5"/>
  <c r="S2709" i="5"/>
  <c r="R2709" i="5"/>
  <c r="Q2709" i="5"/>
  <c r="U4183" i="5"/>
  <c r="T4183" i="5"/>
  <c r="S4183" i="5"/>
  <c r="R4183" i="5"/>
  <c r="Q4183" i="5"/>
  <c r="U4084" i="5"/>
  <c r="T4084" i="5"/>
  <c r="S4084" i="5"/>
  <c r="R4084" i="5"/>
  <c r="Q4084" i="5"/>
  <c r="U3985" i="5"/>
  <c r="T3985" i="5"/>
  <c r="S3985" i="5"/>
  <c r="R3985" i="5"/>
  <c r="Q3985" i="5"/>
  <c r="U3886" i="5"/>
  <c r="T3886" i="5"/>
  <c r="S3886" i="5"/>
  <c r="R3886" i="5"/>
  <c r="Q3886" i="5"/>
  <c r="U3787" i="5"/>
  <c r="T3787" i="5"/>
  <c r="S3787" i="5"/>
  <c r="R3787" i="5"/>
  <c r="Q3787" i="5"/>
  <c r="U3688" i="5"/>
  <c r="T3688" i="5"/>
  <c r="S3688" i="5"/>
  <c r="R3688" i="5"/>
  <c r="Q3688" i="5"/>
  <c r="U3590" i="5"/>
  <c r="T3590" i="5"/>
  <c r="S3590" i="5"/>
  <c r="R3590" i="5"/>
  <c r="Q3590" i="5"/>
  <c r="E3590" i="5"/>
  <c r="P3590" i="5" s="1"/>
  <c r="D3590" i="5"/>
  <c r="U3492" i="5"/>
  <c r="T3492" i="5"/>
  <c r="S3492" i="5"/>
  <c r="R3492" i="5"/>
  <c r="Q3492" i="5"/>
  <c r="E3492" i="5"/>
  <c r="D3492" i="5"/>
  <c r="D3704" i="5" s="1"/>
  <c r="U3704" i="5" s="1"/>
  <c r="U3394" i="5"/>
  <c r="T3394" i="5"/>
  <c r="S3394" i="5"/>
  <c r="R3394" i="5"/>
  <c r="Q3394" i="5"/>
  <c r="U3296" i="5"/>
  <c r="T3296" i="5"/>
  <c r="S3296" i="5"/>
  <c r="R3296" i="5"/>
  <c r="Q3296" i="5"/>
  <c r="U3198" i="5"/>
  <c r="T3198" i="5"/>
  <c r="S3198" i="5"/>
  <c r="R3198" i="5"/>
  <c r="Q3198" i="5"/>
  <c r="U3100" i="5"/>
  <c r="T3100" i="5"/>
  <c r="S3100" i="5"/>
  <c r="R3100" i="5"/>
  <c r="Q3100" i="5"/>
  <c r="U3002" i="5"/>
  <c r="T3002" i="5"/>
  <c r="S3002" i="5"/>
  <c r="R3002" i="5"/>
  <c r="Q3002" i="5"/>
  <c r="U2904" i="5"/>
  <c r="T2904" i="5"/>
  <c r="S2904" i="5"/>
  <c r="R2904" i="5"/>
  <c r="Q2904" i="5"/>
  <c r="U2806" i="5"/>
  <c r="T2806" i="5"/>
  <c r="S2806" i="5"/>
  <c r="R2806" i="5"/>
  <c r="Q2806" i="5"/>
  <c r="U2708" i="5"/>
  <c r="T2708" i="5"/>
  <c r="S2708" i="5"/>
  <c r="R2708" i="5"/>
  <c r="Q2708" i="5"/>
  <c r="U4182" i="5"/>
  <c r="T4182" i="5"/>
  <c r="S4182" i="5"/>
  <c r="R4182" i="5"/>
  <c r="Q4182" i="5"/>
  <c r="U4083" i="5"/>
  <c r="T4083" i="5"/>
  <c r="S4083" i="5"/>
  <c r="R4083" i="5"/>
  <c r="Q4083" i="5"/>
  <c r="U3984" i="5"/>
  <c r="T3984" i="5"/>
  <c r="S3984" i="5"/>
  <c r="R3984" i="5"/>
  <c r="Q3984" i="5"/>
  <c r="U3885" i="5"/>
  <c r="T3885" i="5"/>
  <c r="S3885" i="5"/>
  <c r="R3885" i="5"/>
  <c r="Q3885" i="5"/>
  <c r="U3786" i="5"/>
  <c r="T3786" i="5"/>
  <c r="S3786" i="5"/>
  <c r="R3786" i="5"/>
  <c r="Q3786" i="5"/>
  <c r="U3687" i="5"/>
  <c r="T3687" i="5"/>
  <c r="S3687" i="5"/>
  <c r="R3687" i="5"/>
  <c r="Q3687" i="5"/>
  <c r="U3589" i="5"/>
  <c r="T3589" i="5"/>
  <c r="S3589" i="5"/>
  <c r="R3589" i="5"/>
  <c r="Q3589" i="5"/>
  <c r="E3589" i="5"/>
  <c r="P3589" i="5" s="1"/>
  <c r="D3589" i="5"/>
  <c r="U3491" i="5"/>
  <c r="T3491" i="5"/>
  <c r="S3491" i="5"/>
  <c r="R3491" i="5"/>
  <c r="Q3491" i="5"/>
  <c r="E3491" i="5"/>
  <c r="P3491" i="5" s="1"/>
  <c r="D3491" i="5"/>
  <c r="U3393" i="5"/>
  <c r="T3393" i="5"/>
  <c r="S3393" i="5"/>
  <c r="R3393" i="5"/>
  <c r="Q3393" i="5"/>
  <c r="U3295" i="5"/>
  <c r="T3295" i="5"/>
  <c r="S3295" i="5"/>
  <c r="R3295" i="5"/>
  <c r="Q3295" i="5"/>
  <c r="U3197" i="5"/>
  <c r="T3197" i="5"/>
  <c r="S3197" i="5"/>
  <c r="R3197" i="5"/>
  <c r="Q3197" i="5"/>
  <c r="U3099" i="5"/>
  <c r="T3099" i="5"/>
  <c r="S3099" i="5"/>
  <c r="R3099" i="5"/>
  <c r="Q3099" i="5"/>
  <c r="U3001" i="5"/>
  <c r="T3001" i="5"/>
  <c r="S3001" i="5"/>
  <c r="R3001" i="5"/>
  <c r="Q3001" i="5"/>
  <c r="U2903" i="5"/>
  <c r="T2903" i="5"/>
  <c r="S2903" i="5"/>
  <c r="R2903" i="5"/>
  <c r="Q2903" i="5"/>
  <c r="U2805" i="5"/>
  <c r="T2805" i="5"/>
  <c r="S2805" i="5"/>
  <c r="R2805" i="5"/>
  <c r="Q2805" i="5"/>
  <c r="U2707" i="5"/>
  <c r="T2707" i="5"/>
  <c r="S2707" i="5"/>
  <c r="R2707" i="5"/>
  <c r="Q2707" i="5"/>
  <c r="U4181" i="5"/>
  <c r="T4181" i="5"/>
  <c r="S4181" i="5"/>
  <c r="R4181" i="5"/>
  <c r="Q4181" i="5"/>
  <c r="U4082" i="5"/>
  <c r="T4082" i="5"/>
  <c r="S4082" i="5"/>
  <c r="R4082" i="5"/>
  <c r="Q4082" i="5"/>
  <c r="U3983" i="5"/>
  <c r="T3983" i="5"/>
  <c r="S3983" i="5"/>
  <c r="R3983" i="5"/>
  <c r="Q3983" i="5"/>
  <c r="U3884" i="5"/>
  <c r="T3884" i="5"/>
  <c r="S3884" i="5"/>
  <c r="R3884" i="5"/>
  <c r="Q3884" i="5"/>
  <c r="U3785" i="5"/>
  <c r="T3785" i="5"/>
  <c r="S3785" i="5"/>
  <c r="R3785" i="5"/>
  <c r="Q3785" i="5"/>
  <c r="U3686" i="5"/>
  <c r="T3686" i="5"/>
  <c r="S3686" i="5"/>
  <c r="R3686" i="5"/>
  <c r="Q3686" i="5"/>
  <c r="U3588" i="5"/>
  <c r="T3588" i="5"/>
  <c r="S3588" i="5"/>
  <c r="R3588" i="5"/>
  <c r="Q3588" i="5"/>
  <c r="E3588" i="5"/>
  <c r="P3588" i="5" s="1"/>
  <c r="D3588" i="5"/>
  <c r="U3490" i="5"/>
  <c r="T3490" i="5"/>
  <c r="S3490" i="5"/>
  <c r="R3490" i="5"/>
  <c r="Q3490" i="5"/>
  <c r="E3490" i="5"/>
  <c r="P3490" i="5" s="1"/>
  <c r="D3490" i="5"/>
  <c r="U3392" i="5"/>
  <c r="T3392" i="5"/>
  <c r="S3392" i="5"/>
  <c r="R3392" i="5"/>
  <c r="Q3392" i="5"/>
  <c r="U3294" i="5"/>
  <c r="T3294" i="5"/>
  <c r="S3294" i="5"/>
  <c r="R3294" i="5"/>
  <c r="Q3294" i="5"/>
  <c r="U3196" i="5"/>
  <c r="T3196" i="5"/>
  <c r="S3196" i="5"/>
  <c r="R3196" i="5"/>
  <c r="Q3196" i="5"/>
  <c r="U3098" i="5"/>
  <c r="T3098" i="5"/>
  <c r="S3098" i="5"/>
  <c r="R3098" i="5"/>
  <c r="Q3098" i="5"/>
  <c r="U3000" i="5"/>
  <c r="T3000" i="5"/>
  <c r="S3000" i="5"/>
  <c r="R3000" i="5"/>
  <c r="Q3000" i="5"/>
  <c r="U2902" i="5"/>
  <c r="T2902" i="5"/>
  <c r="S2902" i="5"/>
  <c r="R2902" i="5"/>
  <c r="Q2902" i="5"/>
  <c r="U2804" i="5"/>
  <c r="T2804" i="5"/>
  <c r="S2804" i="5"/>
  <c r="R2804" i="5"/>
  <c r="Q2804" i="5"/>
  <c r="U2706" i="5"/>
  <c r="T2706" i="5"/>
  <c r="S2706" i="5"/>
  <c r="R2706" i="5"/>
  <c r="Q2706" i="5"/>
  <c r="U4180" i="5"/>
  <c r="T4180" i="5"/>
  <c r="S4180" i="5"/>
  <c r="R4180" i="5"/>
  <c r="Q4180" i="5"/>
  <c r="U4081" i="5"/>
  <c r="T4081" i="5"/>
  <c r="S4081" i="5"/>
  <c r="R4081" i="5"/>
  <c r="Q4081" i="5"/>
  <c r="U3982" i="5"/>
  <c r="T3982" i="5"/>
  <c r="S3982" i="5"/>
  <c r="R3982" i="5"/>
  <c r="Q3982" i="5"/>
  <c r="U3883" i="5"/>
  <c r="T3883" i="5"/>
  <c r="S3883" i="5"/>
  <c r="R3883" i="5"/>
  <c r="Q3883" i="5"/>
  <c r="U3784" i="5"/>
  <c r="T3784" i="5"/>
  <c r="S3784" i="5"/>
  <c r="R3784" i="5"/>
  <c r="Q3784" i="5"/>
  <c r="U3685" i="5"/>
  <c r="T3685" i="5"/>
  <c r="S3685" i="5"/>
  <c r="R3685" i="5"/>
  <c r="Q3685" i="5"/>
  <c r="E3685" i="5"/>
  <c r="P3685" i="5" s="1"/>
  <c r="D3685" i="5"/>
  <c r="U3587" i="5"/>
  <c r="T3587" i="5"/>
  <c r="S3587" i="5"/>
  <c r="R3587" i="5"/>
  <c r="Q3587" i="5"/>
  <c r="E3587" i="5"/>
  <c r="P3587" i="5" s="1"/>
  <c r="D3587" i="5"/>
  <c r="U3489" i="5"/>
  <c r="T3489" i="5"/>
  <c r="S3489" i="5"/>
  <c r="R3489" i="5"/>
  <c r="Q3489" i="5"/>
  <c r="E3489" i="5"/>
  <c r="P3489" i="5" s="1"/>
  <c r="D3489" i="5"/>
  <c r="U3391" i="5"/>
  <c r="T3391" i="5"/>
  <c r="S3391" i="5"/>
  <c r="R3391" i="5"/>
  <c r="Q3391" i="5"/>
  <c r="U3293" i="5"/>
  <c r="T3293" i="5"/>
  <c r="S3293" i="5"/>
  <c r="R3293" i="5"/>
  <c r="Q3293" i="5"/>
  <c r="U3195" i="5"/>
  <c r="T3195" i="5"/>
  <c r="S3195" i="5"/>
  <c r="R3195" i="5"/>
  <c r="Q3195" i="5"/>
  <c r="U3097" i="5"/>
  <c r="T3097" i="5"/>
  <c r="S3097" i="5"/>
  <c r="R3097" i="5"/>
  <c r="Q3097" i="5"/>
  <c r="U2999" i="5"/>
  <c r="T2999" i="5"/>
  <c r="S2999" i="5"/>
  <c r="R2999" i="5"/>
  <c r="Q2999" i="5"/>
  <c r="U2901" i="5"/>
  <c r="T2901" i="5"/>
  <c r="S2901" i="5"/>
  <c r="R2901" i="5"/>
  <c r="Q2901" i="5"/>
  <c r="U2803" i="5"/>
  <c r="T2803" i="5"/>
  <c r="S2803" i="5"/>
  <c r="R2803" i="5"/>
  <c r="Q2803" i="5"/>
  <c r="U2705" i="5"/>
  <c r="T2705" i="5"/>
  <c r="S2705" i="5"/>
  <c r="R2705" i="5"/>
  <c r="Q2705" i="5"/>
  <c r="U4179" i="5"/>
  <c r="T4179" i="5"/>
  <c r="S4179" i="5"/>
  <c r="R4179" i="5"/>
  <c r="Q4179" i="5"/>
  <c r="U4080" i="5"/>
  <c r="T4080" i="5"/>
  <c r="S4080" i="5"/>
  <c r="R4080" i="5"/>
  <c r="Q4080" i="5"/>
  <c r="U3981" i="5"/>
  <c r="T3981" i="5"/>
  <c r="S3981" i="5"/>
  <c r="R3981" i="5"/>
  <c r="Q3981" i="5"/>
  <c r="U3882" i="5"/>
  <c r="T3882" i="5"/>
  <c r="S3882" i="5"/>
  <c r="R3882" i="5"/>
  <c r="Q3882" i="5"/>
  <c r="U3783" i="5"/>
  <c r="T3783" i="5"/>
  <c r="S3783" i="5"/>
  <c r="R3783" i="5"/>
  <c r="Q3783" i="5"/>
  <c r="E3783" i="5"/>
  <c r="P3783" i="5" s="1"/>
  <c r="D3783" i="5"/>
  <c r="U3684" i="5"/>
  <c r="T3684" i="5"/>
  <c r="S3684" i="5"/>
  <c r="R3684" i="5"/>
  <c r="Q3684" i="5"/>
  <c r="E3684" i="5"/>
  <c r="P3684" i="5" s="1"/>
  <c r="D3684" i="5"/>
  <c r="U3586" i="5"/>
  <c r="T3586" i="5"/>
  <c r="S3586" i="5"/>
  <c r="R3586" i="5"/>
  <c r="Q3586" i="5"/>
  <c r="E3586" i="5"/>
  <c r="D3586" i="5"/>
  <c r="U3488" i="5"/>
  <c r="T3488" i="5"/>
  <c r="S3488" i="5"/>
  <c r="R3488" i="5"/>
  <c r="Q3488" i="5"/>
  <c r="E3488" i="5"/>
  <c r="P3488" i="5" s="1"/>
  <c r="D3488" i="5"/>
  <c r="U3390" i="5"/>
  <c r="T3390" i="5"/>
  <c r="S3390" i="5"/>
  <c r="R3390" i="5"/>
  <c r="Q3390" i="5"/>
  <c r="U3292" i="5"/>
  <c r="T3292" i="5"/>
  <c r="S3292" i="5"/>
  <c r="R3292" i="5"/>
  <c r="Q3292" i="5"/>
  <c r="U3194" i="5"/>
  <c r="T3194" i="5"/>
  <c r="S3194" i="5"/>
  <c r="R3194" i="5"/>
  <c r="Q3194" i="5"/>
  <c r="U3096" i="5"/>
  <c r="T3096" i="5"/>
  <c r="S3096" i="5"/>
  <c r="R3096" i="5"/>
  <c r="Q3096" i="5"/>
  <c r="U2998" i="5"/>
  <c r="T2998" i="5"/>
  <c r="S2998" i="5"/>
  <c r="R2998" i="5"/>
  <c r="Q2998" i="5"/>
  <c r="U2900" i="5"/>
  <c r="T2900" i="5"/>
  <c r="S2900" i="5"/>
  <c r="R2900" i="5"/>
  <c r="Q2900" i="5"/>
  <c r="U2802" i="5"/>
  <c r="T2802" i="5"/>
  <c r="S2802" i="5"/>
  <c r="R2802" i="5"/>
  <c r="Q2802" i="5"/>
  <c r="U2704" i="5"/>
  <c r="T2704" i="5"/>
  <c r="S2704" i="5"/>
  <c r="R2704" i="5"/>
  <c r="Q2704" i="5"/>
  <c r="U4178" i="5"/>
  <c r="T4178" i="5"/>
  <c r="S4178" i="5"/>
  <c r="R4178" i="5"/>
  <c r="Q4178" i="5"/>
  <c r="U4079" i="5"/>
  <c r="T4079" i="5"/>
  <c r="S4079" i="5"/>
  <c r="R4079" i="5"/>
  <c r="Q4079" i="5"/>
  <c r="U3980" i="5"/>
  <c r="T3980" i="5"/>
  <c r="S3980" i="5"/>
  <c r="R3980" i="5"/>
  <c r="Q3980" i="5"/>
  <c r="U3881" i="5"/>
  <c r="T3881" i="5"/>
  <c r="S3881" i="5"/>
  <c r="R3881" i="5"/>
  <c r="Q3881" i="5"/>
  <c r="E3881" i="5"/>
  <c r="P3881" i="5" s="1"/>
  <c r="D3881" i="5"/>
  <c r="U3782" i="5"/>
  <c r="T3782" i="5"/>
  <c r="S3782" i="5"/>
  <c r="R3782" i="5"/>
  <c r="Q3782" i="5"/>
  <c r="E3782" i="5"/>
  <c r="P3782" i="5" s="1"/>
  <c r="D3782" i="5"/>
  <c r="U3683" i="5"/>
  <c r="T3683" i="5"/>
  <c r="S3683" i="5"/>
  <c r="R3683" i="5"/>
  <c r="Q3683" i="5"/>
  <c r="E3683" i="5"/>
  <c r="P3683" i="5" s="1"/>
  <c r="D3683" i="5"/>
  <c r="U3585" i="5"/>
  <c r="T3585" i="5"/>
  <c r="S3585" i="5"/>
  <c r="R3585" i="5"/>
  <c r="Q3585" i="5"/>
  <c r="E3585" i="5"/>
  <c r="P3585" i="5" s="1"/>
  <c r="D3585" i="5"/>
  <c r="U3487" i="5"/>
  <c r="T3487" i="5"/>
  <c r="S3487" i="5"/>
  <c r="R3487" i="5"/>
  <c r="Q3487" i="5"/>
  <c r="E3487" i="5"/>
  <c r="P3487" i="5" s="1"/>
  <c r="D3487" i="5"/>
  <c r="U3389" i="5"/>
  <c r="T3389" i="5"/>
  <c r="S3389" i="5"/>
  <c r="R3389" i="5"/>
  <c r="Q3389" i="5"/>
  <c r="U3291" i="5"/>
  <c r="T3291" i="5"/>
  <c r="S3291" i="5"/>
  <c r="R3291" i="5"/>
  <c r="Q3291" i="5"/>
  <c r="U3193" i="5"/>
  <c r="T3193" i="5"/>
  <c r="S3193" i="5"/>
  <c r="R3193" i="5"/>
  <c r="Q3193" i="5"/>
  <c r="U3095" i="5"/>
  <c r="T3095" i="5"/>
  <c r="S3095" i="5"/>
  <c r="R3095" i="5"/>
  <c r="Q3095" i="5"/>
  <c r="U2997" i="5"/>
  <c r="T2997" i="5"/>
  <c r="S2997" i="5"/>
  <c r="R2997" i="5"/>
  <c r="Q2997" i="5"/>
  <c r="U2899" i="5"/>
  <c r="T2899" i="5"/>
  <c r="S2899" i="5"/>
  <c r="R2899" i="5"/>
  <c r="Q2899" i="5"/>
  <c r="U2801" i="5"/>
  <c r="T2801" i="5"/>
  <c r="S2801" i="5"/>
  <c r="R2801" i="5"/>
  <c r="Q2801" i="5"/>
  <c r="U2703" i="5"/>
  <c r="T2703" i="5"/>
  <c r="S2703" i="5"/>
  <c r="R2703" i="5"/>
  <c r="Q2703" i="5"/>
  <c r="U4177" i="5"/>
  <c r="T4177" i="5"/>
  <c r="S4177" i="5"/>
  <c r="R4177" i="5"/>
  <c r="Q4177" i="5"/>
  <c r="U4078" i="5"/>
  <c r="T4078" i="5"/>
  <c r="S4078" i="5"/>
  <c r="R4078" i="5"/>
  <c r="Q4078" i="5"/>
  <c r="U3979" i="5"/>
  <c r="T3979" i="5"/>
  <c r="S3979" i="5"/>
  <c r="R3979" i="5"/>
  <c r="Q3979" i="5"/>
  <c r="E3979" i="5"/>
  <c r="P3979" i="5" s="1"/>
  <c r="D3979" i="5"/>
  <c r="U3880" i="5"/>
  <c r="T3880" i="5"/>
  <c r="S3880" i="5"/>
  <c r="R3880" i="5"/>
  <c r="Q3880" i="5"/>
  <c r="E3880" i="5"/>
  <c r="P3880" i="5" s="1"/>
  <c r="D3880" i="5"/>
  <c r="U3781" i="5"/>
  <c r="T3781" i="5"/>
  <c r="S3781" i="5"/>
  <c r="R3781" i="5"/>
  <c r="Q3781" i="5"/>
  <c r="E3781" i="5"/>
  <c r="P3781" i="5" s="1"/>
  <c r="D3781" i="5"/>
  <c r="U3682" i="5"/>
  <c r="T3682" i="5"/>
  <c r="S3682" i="5"/>
  <c r="R3682" i="5"/>
  <c r="Q3682" i="5"/>
  <c r="E3682" i="5"/>
  <c r="P3682" i="5" s="1"/>
  <c r="D3682" i="5"/>
  <c r="U3584" i="5"/>
  <c r="T3584" i="5"/>
  <c r="S3584" i="5"/>
  <c r="R3584" i="5"/>
  <c r="Q3584" i="5"/>
  <c r="E3584" i="5"/>
  <c r="P3584" i="5" s="1"/>
  <c r="D3584" i="5"/>
  <c r="U3486" i="5"/>
  <c r="T3486" i="5"/>
  <c r="S3486" i="5"/>
  <c r="R3486" i="5"/>
  <c r="Q3486" i="5"/>
  <c r="E3486" i="5"/>
  <c r="P3486" i="5" s="1"/>
  <c r="D3486" i="5"/>
  <c r="U3388" i="5"/>
  <c r="T3388" i="5"/>
  <c r="S3388" i="5"/>
  <c r="R3388" i="5"/>
  <c r="Q3388" i="5"/>
  <c r="U3290" i="5"/>
  <c r="T3290" i="5"/>
  <c r="S3290" i="5"/>
  <c r="R3290" i="5"/>
  <c r="Q3290" i="5"/>
  <c r="U3192" i="5"/>
  <c r="T3192" i="5"/>
  <c r="S3192" i="5"/>
  <c r="R3192" i="5"/>
  <c r="Q3192" i="5"/>
  <c r="U3094" i="5"/>
  <c r="T3094" i="5"/>
  <c r="S3094" i="5"/>
  <c r="R3094" i="5"/>
  <c r="Q3094" i="5"/>
  <c r="U2996" i="5"/>
  <c r="T2996" i="5"/>
  <c r="S2996" i="5"/>
  <c r="R2996" i="5"/>
  <c r="Q2996" i="5"/>
  <c r="U2898" i="5"/>
  <c r="T2898" i="5"/>
  <c r="S2898" i="5"/>
  <c r="R2898" i="5"/>
  <c r="Q2898" i="5"/>
  <c r="U2800" i="5"/>
  <c r="T2800" i="5"/>
  <c r="S2800" i="5"/>
  <c r="R2800" i="5"/>
  <c r="Q2800" i="5"/>
  <c r="U2702" i="5"/>
  <c r="T2702" i="5"/>
  <c r="S2702" i="5"/>
  <c r="R2702" i="5"/>
  <c r="Q2702" i="5"/>
  <c r="U4176" i="5"/>
  <c r="T4176" i="5"/>
  <c r="S4176" i="5"/>
  <c r="R4176" i="5"/>
  <c r="Q4176" i="5"/>
  <c r="U4077" i="5"/>
  <c r="T4077" i="5"/>
  <c r="S4077" i="5"/>
  <c r="R4077" i="5"/>
  <c r="Q4077" i="5"/>
  <c r="E4077" i="5"/>
  <c r="P4077" i="5" s="1"/>
  <c r="D4077" i="5"/>
  <c r="U3978" i="5"/>
  <c r="T3978" i="5"/>
  <c r="S3978" i="5"/>
  <c r="R3978" i="5"/>
  <c r="Q3978" i="5"/>
  <c r="E3978" i="5"/>
  <c r="P3978" i="5" s="1"/>
  <c r="D3978" i="5"/>
  <c r="U3879" i="5"/>
  <c r="T3879" i="5"/>
  <c r="S3879" i="5"/>
  <c r="R3879" i="5"/>
  <c r="Q3879" i="5"/>
  <c r="E3879" i="5"/>
  <c r="P3879" i="5" s="1"/>
  <c r="D3879" i="5"/>
  <c r="U3780" i="5"/>
  <c r="T3780" i="5"/>
  <c r="S3780" i="5"/>
  <c r="R3780" i="5"/>
  <c r="Q3780" i="5"/>
  <c r="E3780" i="5"/>
  <c r="P3780" i="5" s="1"/>
  <c r="D3780" i="5"/>
  <c r="U3681" i="5"/>
  <c r="T3681" i="5"/>
  <c r="S3681" i="5"/>
  <c r="R3681" i="5"/>
  <c r="Q3681" i="5"/>
  <c r="E3681" i="5"/>
  <c r="P3681" i="5" s="1"/>
  <c r="D3681" i="5"/>
  <c r="U3583" i="5"/>
  <c r="T3583" i="5"/>
  <c r="S3583" i="5"/>
  <c r="R3583" i="5"/>
  <c r="Q3583" i="5"/>
  <c r="E3583" i="5"/>
  <c r="P3583" i="5" s="1"/>
  <c r="D3583" i="5"/>
  <c r="U3485" i="5"/>
  <c r="T3485" i="5"/>
  <c r="S3485" i="5"/>
  <c r="R3485" i="5"/>
  <c r="Q3485" i="5"/>
  <c r="E3485" i="5"/>
  <c r="P3485" i="5" s="1"/>
  <c r="D3485" i="5"/>
  <c r="U3387" i="5"/>
  <c r="T3387" i="5"/>
  <c r="S3387" i="5"/>
  <c r="R3387" i="5"/>
  <c r="Q3387" i="5"/>
  <c r="U3289" i="5"/>
  <c r="T3289" i="5"/>
  <c r="S3289" i="5"/>
  <c r="R3289" i="5"/>
  <c r="Q3289" i="5"/>
  <c r="U3191" i="5"/>
  <c r="T3191" i="5"/>
  <c r="S3191" i="5"/>
  <c r="R3191" i="5"/>
  <c r="Q3191" i="5"/>
  <c r="U3093" i="5"/>
  <c r="T3093" i="5"/>
  <c r="S3093" i="5"/>
  <c r="R3093" i="5"/>
  <c r="Q3093" i="5"/>
  <c r="U2995" i="5"/>
  <c r="T2995" i="5"/>
  <c r="S2995" i="5"/>
  <c r="R2995" i="5"/>
  <c r="Q2995" i="5"/>
  <c r="U2897" i="5"/>
  <c r="T2897" i="5"/>
  <c r="S2897" i="5"/>
  <c r="R2897" i="5"/>
  <c r="Q2897" i="5"/>
  <c r="U2799" i="5"/>
  <c r="T2799" i="5"/>
  <c r="S2799" i="5"/>
  <c r="R2799" i="5"/>
  <c r="Q2799" i="5"/>
  <c r="U2701" i="5"/>
  <c r="T2701" i="5"/>
  <c r="S2701" i="5"/>
  <c r="R2701" i="5"/>
  <c r="Q2701" i="5"/>
  <c r="U4175" i="5"/>
  <c r="T4175" i="5"/>
  <c r="S4175" i="5"/>
  <c r="R4175" i="5"/>
  <c r="Q4175" i="5"/>
  <c r="E4175" i="5"/>
  <c r="D4175" i="5"/>
  <c r="D4185" i="5" s="1"/>
  <c r="U4185" i="5" s="1"/>
  <c r="U4076" i="5"/>
  <c r="T4076" i="5"/>
  <c r="S4076" i="5"/>
  <c r="R4076" i="5"/>
  <c r="Q4076" i="5"/>
  <c r="E4076" i="5"/>
  <c r="D4076" i="5"/>
  <c r="D4086" i="5" s="1"/>
  <c r="U4086" i="5" s="1"/>
  <c r="U3977" i="5"/>
  <c r="T3977" i="5"/>
  <c r="S3977" i="5"/>
  <c r="R3977" i="5"/>
  <c r="Q3977" i="5"/>
  <c r="E3977" i="5"/>
  <c r="D3977" i="5"/>
  <c r="D3987" i="5" s="1"/>
  <c r="U3987" i="5" s="1"/>
  <c r="U3878" i="5"/>
  <c r="T3878" i="5"/>
  <c r="S3878" i="5"/>
  <c r="R3878" i="5"/>
  <c r="Q3878" i="5"/>
  <c r="E3878" i="5"/>
  <c r="D3878" i="5"/>
  <c r="D3888" i="5" s="1"/>
  <c r="U3779" i="5"/>
  <c r="T3779" i="5"/>
  <c r="S3779" i="5"/>
  <c r="R3779" i="5"/>
  <c r="Q3779" i="5"/>
  <c r="E3779" i="5"/>
  <c r="D3779" i="5"/>
  <c r="D3789" i="5" s="1"/>
  <c r="U3680" i="5"/>
  <c r="T3680" i="5"/>
  <c r="S3680" i="5"/>
  <c r="R3680" i="5"/>
  <c r="Q3680" i="5"/>
  <c r="E3680" i="5"/>
  <c r="D3680" i="5"/>
  <c r="D3690" i="5" s="1"/>
  <c r="U3582" i="5"/>
  <c r="T3582" i="5"/>
  <c r="S3582" i="5"/>
  <c r="R3582" i="5"/>
  <c r="Q3582" i="5"/>
  <c r="E3582" i="5"/>
  <c r="D3582" i="5"/>
  <c r="D3592" i="5" s="1"/>
  <c r="U3592" i="5" s="1"/>
  <c r="U3484" i="5"/>
  <c r="T3484" i="5"/>
  <c r="S3484" i="5"/>
  <c r="R3484" i="5"/>
  <c r="Q3484" i="5"/>
  <c r="E3484" i="5"/>
  <c r="D3484" i="5"/>
  <c r="D3494" i="5" s="1"/>
  <c r="U3494" i="5" s="1"/>
  <c r="U3386" i="5"/>
  <c r="T3386" i="5"/>
  <c r="S3386" i="5"/>
  <c r="R3386" i="5"/>
  <c r="Q3386" i="5"/>
  <c r="U3288" i="5"/>
  <c r="T3288" i="5"/>
  <c r="S3288" i="5"/>
  <c r="R3288" i="5"/>
  <c r="Q3288" i="5"/>
  <c r="U3190" i="5"/>
  <c r="T3190" i="5"/>
  <c r="S3190" i="5"/>
  <c r="R3190" i="5"/>
  <c r="Q3190" i="5"/>
  <c r="U3092" i="5"/>
  <c r="T3092" i="5"/>
  <c r="S3092" i="5"/>
  <c r="R3092" i="5"/>
  <c r="Q3092" i="5"/>
  <c r="U2994" i="5"/>
  <c r="T2994" i="5"/>
  <c r="S2994" i="5"/>
  <c r="R2994" i="5"/>
  <c r="Q2994" i="5"/>
  <c r="U2896" i="5"/>
  <c r="T2896" i="5"/>
  <c r="S2896" i="5"/>
  <c r="R2896" i="5"/>
  <c r="Q2896" i="5"/>
  <c r="U2798" i="5"/>
  <c r="T2798" i="5"/>
  <c r="S2798" i="5"/>
  <c r="R2798" i="5"/>
  <c r="Q2798" i="5"/>
  <c r="U2700" i="5"/>
  <c r="T2700" i="5"/>
  <c r="S2700" i="5"/>
  <c r="R2700" i="5"/>
  <c r="Q2700" i="5"/>
  <c r="U4174" i="5"/>
  <c r="T4174" i="5"/>
  <c r="S4174" i="5"/>
  <c r="R4174" i="5"/>
  <c r="Q4174" i="5"/>
  <c r="E4174" i="5"/>
  <c r="P4174" i="5" s="1"/>
  <c r="D4174" i="5"/>
  <c r="U4075" i="5"/>
  <c r="T4075" i="5"/>
  <c r="S4075" i="5"/>
  <c r="R4075" i="5"/>
  <c r="Q4075" i="5"/>
  <c r="E4075" i="5"/>
  <c r="P4075" i="5" s="1"/>
  <c r="D4075" i="5"/>
  <c r="U3976" i="5"/>
  <c r="T3976" i="5"/>
  <c r="S3976" i="5"/>
  <c r="R3976" i="5"/>
  <c r="Q3976" i="5"/>
  <c r="E3976" i="5"/>
  <c r="P3976" i="5" s="1"/>
  <c r="D3976" i="5"/>
  <c r="U3877" i="5"/>
  <c r="T3877" i="5"/>
  <c r="S3877" i="5"/>
  <c r="R3877" i="5"/>
  <c r="Q3877" i="5"/>
  <c r="E3877" i="5"/>
  <c r="P3877" i="5" s="1"/>
  <c r="D3877" i="5"/>
  <c r="U3778" i="5"/>
  <c r="T3778" i="5"/>
  <c r="S3778" i="5"/>
  <c r="R3778" i="5"/>
  <c r="Q3778" i="5"/>
  <c r="E3778" i="5"/>
  <c r="P3778" i="5" s="1"/>
  <c r="D3778" i="5"/>
  <c r="U3679" i="5"/>
  <c r="T3679" i="5"/>
  <c r="S3679" i="5"/>
  <c r="R3679" i="5"/>
  <c r="Q3679" i="5"/>
  <c r="E3679" i="5"/>
  <c r="P3679" i="5" s="1"/>
  <c r="D3679" i="5"/>
  <c r="U3581" i="5"/>
  <c r="T3581" i="5"/>
  <c r="S3581" i="5"/>
  <c r="R3581" i="5"/>
  <c r="Q3581" i="5"/>
  <c r="E3581" i="5"/>
  <c r="P3581" i="5" s="1"/>
  <c r="D3581" i="5"/>
  <c r="U3483" i="5"/>
  <c r="T3483" i="5"/>
  <c r="S3483" i="5"/>
  <c r="R3483" i="5"/>
  <c r="Q3483" i="5"/>
  <c r="E3483" i="5"/>
  <c r="P3483" i="5" s="1"/>
  <c r="D3483" i="5"/>
  <c r="U3385" i="5"/>
  <c r="T3385" i="5"/>
  <c r="S3385" i="5"/>
  <c r="R3385" i="5"/>
  <c r="Q3385" i="5"/>
  <c r="U3287" i="5"/>
  <c r="T3287" i="5"/>
  <c r="S3287" i="5"/>
  <c r="R3287" i="5"/>
  <c r="Q3287" i="5"/>
  <c r="U3189" i="5"/>
  <c r="T3189" i="5"/>
  <c r="S3189" i="5"/>
  <c r="R3189" i="5"/>
  <c r="Q3189" i="5"/>
  <c r="U3091" i="5"/>
  <c r="T3091" i="5"/>
  <c r="S3091" i="5"/>
  <c r="R3091" i="5"/>
  <c r="Q3091" i="5"/>
  <c r="U2993" i="5"/>
  <c r="T2993" i="5"/>
  <c r="S2993" i="5"/>
  <c r="R2993" i="5"/>
  <c r="Q2993" i="5"/>
  <c r="U2895" i="5"/>
  <c r="T2895" i="5"/>
  <c r="S2895" i="5"/>
  <c r="R2895" i="5"/>
  <c r="Q2895" i="5"/>
  <c r="U2797" i="5"/>
  <c r="T2797" i="5"/>
  <c r="S2797" i="5"/>
  <c r="R2797" i="5"/>
  <c r="Q2797" i="5"/>
  <c r="U2699" i="5"/>
  <c r="T2699" i="5"/>
  <c r="S2699" i="5"/>
  <c r="R2699" i="5"/>
  <c r="Q2699" i="5"/>
  <c r="U4173" i="5"/>
  <c r="T4173" i="5"/>
  <c r="S4173" i="5"/>
  <c r="R4173" i="5"/>
  <c r="Q4173" i="5"/>
  <c r="E4173" i="5"/>
  <c r="P4173" i="5" s="1"/>
  <c r="D4173" i="5"/>
  <c r="U4074" i="5"/>
  <c r="T4074" i="5"/>
  <c r="S4074" i="5"/>
  <c r="R4074" i="5"/>
  <c r="Q4074" i="5"/>
  <c r="E4074" i="5"/>
  <c r="P4074" i="5" s="1"/>
  <c r="D4074" i="5"/>
  <c r="U3975" i="5"/>
  <c r="T3975" i="5"/>
  <c r="S3975" i="5"/>
  <c r="R3975" i="5"/>
  <c r="Q3975" i="5"/>
  <c r="E3975" i="5"/>
  <c r="P3975" i="5" s="1"/>
  <c r="D3975" i="5"/>
  <c r="U3876" i="5"/>
  <c r="T3876" i="5"/>
  <c r="S3876" i="5"/>
  <c r="R3876" i="5"/>
  <c r="Q3876" i="5"/>
  <c r="E3876" i="5"/>
  <c r="P3876" i="5" s="1"/>
  <c r="D3876" i="5"/>
  <c r="U3777" i="5"/>
  <c r="T3777" i="5"/>
  <c r="S3777" i="5"/>
  <c r="R3777" i="5"/>
  <c r="Q3777" i="5"/>
  <c r="E3777" i="5"/>
  <c r="P3777" i="5" s="1"/>
  <c r="D3777" i="5"/>
  <c r="U3678" i="5"/>
  <c r="T3678" i="5"/>
  <c r="S3678" i="5"/>
  <c r="R3678" i="5"/>
  <c r="Q3678" i="5"/>
  <c r="E3678" i="5"/>
  <c r="P3678" i="5" s="1"/>
  <c r="D3678" i="5"/>
  <c r="U3580" i="5"/>
  <c r="T3580" i="5"/>
  <c r="S3580" i="5"/>
  <c r="R3580" i="5"/>
  <c r="Q3580" i="5"/>
  <c r="E3580" i="5"/>
  <c r="P3580" i="5" s="1"/>
  <c r="D3580" i="5"/>
  <c r="U3482" i="5"/>
  <c r="T3482" i="5"/>
  <c r="S3482" i="5"/>
  <c r="R3482" i="5"/>
  <c r="Q3482" i="5"/>
  <c r="E3482" i="5"/>
  <c r="P3482" i="5" s="1"/>
  <c r="D3482" i="5"/>
  <c r="U3384" i="5"/>
  <c r="T3384" i="5"/>
  <c r="S3384" i="5"/>
  <c r="R3384" i="5"/>
  <c r="Q3384" i="5"/>
  <c r="U3286" i="5"/>
  <c r="T3286" i="5"/>
  <c r="S3286" i="5"/>
  <c r="R3286" i="5"/>
  <c r="Q3286" i="5"/>
  <c r="U3188" i="5"/>
  <c r="T3188" i="5"/>
  <c r="S3188" i="5"/>
  <c r="R3188" i="5"/>
  <c r="Q3188" i="5"/>
  <c r="U3090" i="5"/>
  <c r="T3090" i="5"/>
  <c r="S3090" i="5"/>
  <c r="R3090" i="5"/>
  <c r="Q3090" i="5"/>
  <c r="U2992" i="5"/>
  <c r="T2992" i="5"/>
  <c r="S2992" i="5"/>
  <c r="R2992" i="5"/>
  <c r="Q2992" i="5"/>
  <c r="U2894" i="5"/>
  <c r="T2894" i="5"/>
  <c r="S2894" i="5"/>
  <c r="R2894" i="5"/>
  <c r="Q2894" i="5"/>
  <c r="U2796" i="5"/>
  <c r="T2796" i="5"/>
  <c r="S2796" i="5"/>
  <c r="R2796" i="5"/>
  <c r="Q2796" i="5"/>
  <c r="U2698" i="5"/>
  <c r="T2698" i="5"/>
  <c r="S2698" i="5"/>
  <c r="R2698" i="5"/>
  <c r="Q2698" i="5"/>
  <c r="U4172" i="5"/>
  <c r="T4172" i="5"/>
  <c r="S4172" i="5"/>
  <c r="R4172" i="5"/>
  <c r="Q4172" i="5"/>
  <c r="E4172" i="5"/>
  <c r="P4172" i="5" s="1"/>
  <c r="D4172" i="5"/>
  <c r="U4073" i="5"/>
  <c r="T4073" i="5"/>
  <c r="S4073" i="5"/>
  <c r="R4073" i="5"/>
  <c r="Q4073" i="5"/>
  <c r="E4073" i="5"/>
  <c r="P4073" i="5" s="1"/>
  <c r="D4073" i="5"/>
  <c r="U3974" i="5"/>
  <c r="T3974" i="5"/>
  <c r="S3974" i="5"/>
  <c r="R3974" i="5"/>
  <c r="Q3974" i="5"/>
  <c r="E3974" i="5"/>
  <c r="P3974" i="5" s="1"/>
  <c r="D3974" i="5"/>
  <c r="U3875" i="5"/>
  <c r="T3875" i="5"/>
  <c r="S3875" i="5"/>
  <c r="R3875" i="5"/>
  <c r="Q3875" i="5"/>
  <c r="E3875" i="5"/>
  <c r="P3875" i="5" s="1"/>
  <c r="D3875" i="5"/>
  <c r="U3776" i="5"/>
  <c r="T3776" i="5"/>
  <c r="S3776" i="5"/>
  <c r="R3776" i="5"/>
  <c r="Q3776" i="5"/>
  <c r="E3776" i="5"/>
  <c r="P3776" i="5" s="1"/>
  <c r="D3776" i="5"/>
  <c r="U3677" i="5"/>
  <c r="T3677" i="5"/>
  <c r="S3677" i="5"/>
  <c r="R3677" i="5"/>
  <c r="Q3677" i="5"/>
  <c r="E3677" i="5"/>
  <c r="P3677" i="5" s="1"/>
  <c r="D3677" i="5"/>
  <c r="U3579" i="5"/>
  <c r="T3579" i="5"/>
  <c r="S3579" i="5"/>
  <c r="R3579" i="5"/>
  <c r="Q3579" i="5"/>
  <c r="E3579" i="5"/>
  <c r="P3579" i="5" s="1"/>
  <c r="D3579" i="5"/>
  <c r="U3481" i="5"/>
  <c r="T3481" i="5"/>
  <c r="S3481" i="5"/>
  <c r="R3481" i="5"/>
  <c r="Q3481" i="5"/>
  <c r="E3481" i="5"/>
  <c r="P3481" i="5" s="1"/>
  <c r="D3481" i="5"/>
  <c r="U3383" i="5"/>
  <c r="T3383" i="5"/>
  <c r="S3383" i="5"/>
  <c r="R3383" i="5"/>
  <c r="Q3383" i="5"/>
  <c r="U3285" i="5"/>
  <c r="T3285" i="5"/>
  <c r="S3285" i="5"/>
  <c r="R3285" i="5"/>
  <c r="Q3285" i="5"/>
  <c r="U3187" i="5"/>
  <c r="T3187" i="5"/>
  <c r="S3187" i="5"/>
  <c r="R3187" i="5"/>
  <c r="Q3187" i="5"/>
  <c r="U3089" i="5"/>
  <c r="T3089" i="5"/>
  <c r="S3089" i="5"/>
  <c r="R3089" i="5"/>
  <c r="Q3089" i="5"/>
  <c r="U2991" i="5"/>
  <c r="T2991" i="5"/>
  <c r="S2991" i="5"/>
  <c r="R2991" i="5"/>
  <c r="Q2991" i="5"/>
  <c r="U2893" i="5"/>
  <c r="T2893" i="5"/>
  <c r="S2893" i="5"/>
  <c r="R2893" i="5"/>
  <c r="Q2893" i="5"/>
  <c r="U2795" i="5"/>
  <c r="T2795" i="5"/>
  <c r="S2795" i="5"/>
  <c r="R2795" i="5"/>
  <c r="Q2795" i="5"/>
  <c r="U2697" i="5"/>
  <c r="T2697" i="5"/>
  <c r="S2697" i="5"/>
  <c r="R2697" i="5"/>
  <c r="Q2697" i="5"/>
  <c r="U4171" i="5"/>
  <c r="T4171" i="5"/>
  <c r="S4171" i="5"/>
  <c r="R4171" i="5"/>
  <c r="Q4171" i="5"/>
  <c r="E4171" i="5"/>
  <c r="P4171" i="5" s="1"/>
  <c r="D4171" i="5"/>
  <c r="U4072" i="5"/>
  <c r="T4072" i="5"/>
  <c r="S4072" i="5"/>
  <c r="R4072" i="5"/>
  <c r="Q4072" i="5"/>
  <c r="E4072" i="5"/>
  <c r="P4072" i="5" s="1"/>
  <c r="D4072" i="5"/>
  <c r="U3973" i="5"/>
  <c r="T3973" i="5"/>
  <c r="S3973" i="5"/>
  <c r="R3973" i="5"/>
  <c r="Q3973" i="5"/>
  <c r="E3973" i="5"/>
  <c r="P3973" i="5" s="1"/>
  <c r="D3973" i="5"/>
  <c r="U3874" i="5"/>
  <c r="T3874" i="5"/>
  <c r="S3874" i="5"/>
  <c r="R3874" i="5"/>
  <c r="Q3874" i="5"/>
  <c r="E3874" i="5"/>
  <c r="P3874" i="5" s="1"/>
  <c r="D3874" i="5"/>
  <c r="U3775" i="5"/>
  <c r="T3775" i="5"/>
  <c r="S3775" i="5"/>
  <c r="R3775" i="5"/>
  <c r="Q3775" i="5"/>
  <c r="E3775" i="5"/>
  <c r="P3775" i="5" s="1"/>
  <c r="D3775" i="5"/>
  <c r="U3676" i="5"/>
  <c r="T3676" i="5"/>
  <c r="S3676" i="5"/>
  <c r="R3676" i="5"/>
  <c r="Q3676" i="5"/>
  <c r="E3676" i="5"/>
  <c r="P3676" i="5" s="1"/>
  <c r="D3676" i="5"/>
  <c r="U3578" i="5"/>
  <c r="T3578" i="5"/>
  <c r="S3578" i="5"/>
  <c r="R3578" i="5"/>
  <c r="Q3578" i="5"/>
  <c r="E3578" i="5"/>
  <c r="P3578" i="5" s="1"/>
  <c r="D3578" i="5"/>
  <c r="U3480" i="5"/>
  <c r="T3480" i="5"/>
  <c r="S3480" i="5"/>
  <c r="R3480" i="5"/>
  <c r="Q3480" i="5"/>
  <c r="E3480" i="5"/>
  <c r="P3480" i="5" s="1"/>
  <c r="D3480" i="5"/>
  <c r="U3382" i="5"/>
  <c r="T3382" i="5"/>
  <c r="S3382" i="5"/>
  <c r="R3382" i="5"/>
  <c r="Q3382" i="5"/>
  <c r="U3284" i="5"/>
  <c r="T3284" i="5"/>
  <c r="S3284" i="5"/>
  <c r="R3284" i="5"/>
  <c r="Q3284" i="5"/>
  <c r="U3186" i="5"/>
  <c r="T3186" i="5"/>
  <c r="S3186" i="5"/>
  <c r="R3186" i="5"/>
  <c r="Q3186" i="5"/>
  <c r="U3088" i="5"/>
  <c r="T3088" i="5"/>
  <c r="S3088" i="5"/>
  <c r="R3088" i="5"/>
  <c r="Q3088" i="5"/>
  <c r="U2990" i="5"/>
  <c r="T2990" i="5"/>
  <c r="S2990" i="5"/>
  <c r="R2990" i="5"/>
  <c r="Q2990" i="5"/>
  <c r="U2892" i="5"/>
  <c r="T2892" i="5"/>
  <c r="S2892" i="5"/>
  <c r="R2892" i="5"/>
  <c r="Q2892" i="5"/>
  <c r="U2794" i="5"/>
  <c r="T2794" i="5"/>
  <c r="S2794" i="5"/>
  <c r="R2794" i="5"/>
  <c r="Q2794" i="5"/>
  <c r="U2696" i="5"/>
  <c r="T2696" i="5"/>
  <c r="S2696" i="5"/>
  <c r="R2696" i="5"/>
  <c r="Q2696" i="5"/>
  <c r="T4170" i="5"/>
  <c r="S4170" i="5"/>
  <c r="R4170" i="5"/>
  <c r="Q4170" i="5"/>
  <c r="T4071" i="5"/>
  <c r="S4071" i="5"/>
  <c r="R4071" i="5"/>
  <c r="Q4071" i="5"/>
  <c r="T3972" i="5"/>
  <c r="S3972" i="5"/>
  <c r="R3972" i="5"/>
  <c r="Q3972" i="5"/>
  <c r="E3972" i="5"/>
  <c r="P3972" i="5" s="1"/>
  <c r="D3972" i="5"/>
  <c r="U3972" i="5" s="1"/>
  <c r="T3873" i="5"/>
  <c r="S3873" i="5"/>
  <c r="R3873" i="5"/>
  <c r="Q3873" i="5"/>
  <c r="E3873" i="5"/>
  <c r="P3873" i="5" s="1"/>
  <c r="D3873" i="5"/>
  <c r="U3873" i="5" s="1"/>
  <c r="T3774" i="5"/>
  <c r="S3774" i="5"/>
  <c r="R3774" i="5"/>
  <c r="Q3774" i="5"/>
  <c r="T3675" i="5"/>
  <c r="S3675" i="5"/>
  <c r="R3675" i="5"/>
  <c r="Q3675" i="5"/>
  <c r="T3577" i="5"/>
  <c r="S3577" i="5"/>
  <c r="R3577" i="5"/>
  <c r="Q3577" i="5"/>
  <c r="T3479" i="5"/>
  <c r="S3479" i="5"/>
  <c r="R3479" i="5"/>
  <c r="Q3479" i="5"/>
  <c r="T3381" i="5"/>
  <c r="S3381" i="5"/>
  <c r="R3381" i="5"/>
  <c r="Q3381" i="5"/>
  <c r="T3283" i="5"/>
  <c r="S3283" i="5"/>
  <c r="R3283" i="5"/>
  <c r="Q3283" i="5"/>
  <c r="T3185" i="5"/>
  <c r="S3185" i="5"/>
  <c r="R3185" i="5"/>
  <c r="Q3185" i="5"/>
  <c r="T3087" i="5"/>
  <c r="S3087" i="5"/>
  <c r="R3087" i="5"/>
  <c r="Q3087" i="5"/>
  <c r="T2989" i="5"/>
  <c r="S2989" i="5"/>
  <c r="R2989" i="5"/>
  <c r="Q2989" i="5"/>
  <c r="T2891" i="5"/>
  <c r="S2891" i="5"/>
  <c r="R2891" i="5"/>
  <c r="Q2891" i="5"/>
  <c r="E2891" i="5"/>
  <c r="D2891" i="5"/>
  <c r="T2793" i="5"/>
  <c r="S2793" i="5"/>
  <c r="R2793" i="5"/>
  <c r="Q2793" i="5"/>
  <c r="T2695" i="5"/>
  <c r="S2695" i="5"/>
  <c r="R2695" i="5"/>
  <c r="Q2695" i="5"/>
  <c r="T4169" i="5"/>
  <c r="S4169" i="5"/>
  <c r="R4169" i="5"/>
  <c r="Q4169" i="5"/>
  <c r="E4169" i="5"/>
  <c r="P4169" i="5" s="1"/>
  <c r="D4169" i="5"/>
  <c r="U4169" i="5" s="1"/>
  <c r="T4070" i="5"/>
  <c r="S4070" i="5"/>
  <c r="R4070" i="5"/>
  <c r="Q4070" i="5"/>
  <c r="E4070" i="5"/>
  <c r="P4070" i="5" s="1"/>
  <c r="D4070" i="5"/>
  <c r="U4070" i="5" s="1"/>
  <c r="T3971" i="5"/>
  <c r="S3971" i="5"/>
  <c r="R3971" i="5"/>
  <c r="Q3971" i="5"/>
  <c r="E3971" i="5"/>
  <c r="P3971" i="5" s="1"/>
  <c r="D3971" i="5"/>
  <c r="U3971" i="5" s="1"/>
  <c r="T3872" i="5"/>
  <c r="S3872" i="5"/>
  <c r="R3872" i="5"/>
  <c r="Q3872" i="5"/>
  <c r="E3872" i="5"/>
  <c r="P3872" i="5" s="1"/>
  <c r="D3872" i="5"/>
  <c r="U3872" i="5" s="1"/>
  <c r="T3773" i="5"/>
  <c r="S3773" i="5"/>
  <c r="R3773" i="5"/>
  <c r="Q3773" i="5"/>
  <c r="T3674" i="5"/>
  <c r="S3674" i="5"/>
  <c r="R3674" i="5"/>
  <c r="Q3674" i="5"/>
  <c r="E3674" i="5"/>
  <c r="P3674" i="5" s="1"/>
  <c r="D3674" i="5"/>
  <c r="U3674" i="5" s="1"/>
  <c r="T3576" i="5"/>
  <c r="S3576" i="5"/>
  <c r="R3576" i="5"/>
  <c r="Q3576" i="5"/>
  <c r="E3576" i="5"/>
  <c r="P3576" i="5" s="1"/>
  <c r="D3576" i="5"/>
  <c r="U3576" i="5" s="1"/>
  <c r="T3478" i="5"/>
  <c r="S3478" i="5"/>
  <c r="R3478" i="5"/>
  <c r="Q3478" i="5"/>
  <c r="E3478" i="5"/>
  <c r="D3478" i="5"/>
  <c r="T3380" i="5"/>
  <c r="S3380" i="5"/>
  <c r="R3380" i="5"/>
  <c r="Q3380" i="5"/>
  <c r="E3380" i="5"/>
  <c r="P3380" i="5" s="1"/>
  <c r="D3380" i="5"/>
  <c r="U3380" i="5" s="1"/>
  <c r="T3282" i="5"/>
  <c r="S3282" i="5"/>
  <c r="R3282" i="5"/>
  <c r="Q3282" i="5"/>
  <c r="E3282" i="5"/>
  <c r="P3282" i="5" s="1"/>
  <c r="D3282" i="5"/>
  <c r="U3282" i="5" s="1"/>
  <c r="T3184" i="5"/>
  <c r="S3184" i="5"/>
  <c r="R3184" i="5"/>
  <c r="Q3184" i="5"/>
  <c r="E3184" i="5"/>
  <c r="D3184" i="5"/>
  <c r="T3086" i="5"/>
  <c r="S3086" i="5"/>
  <c r="R3086" i="5"/>
  <c r="Q3086" i="5"/>
  <c r="E3086" i="5"/>
  <c r="D3086" i="5"/>
  <c r="T2988" i="5"/>
  <c r="S2988" i="5"/>
  <c r="R2988" i="5"/>
  <c r="Q2988" i="5"/>
  <c r="T2890" i="5"/>
  <c r="S2890" i="5"/>
  <c r="R2890" i="5"/>
  <c r="Q2890" i="5"/>
  <c r="T2792" i="5"/>
  <c r="S2792" i="5"/>
  <c r="R2792" i="5"/>
  <c r="Q2792" i="5"/>
  <c r="E2792" i="5"/>
  <c r="D2792" i="5"/>
  <c r="T2694" i="5"/>
  <c r="S2694" i="5"/>
  <c r="R2694" i="5"/>
  <c r="Q2694" i="5"/>
  <c r="E2694" i="5"/>
  <c r="D2694" i="5"/>
  <c r="U2571" i="5"/>
  <c r="T2571" i="5"/>
  <c r="S2571" i="5"/>
  <c r="R2571" i="5"/>
  <c r="Q2571" i="5"/>
  <c r="P2571" i="5"/>
  <c r="U2570" i="5"/>
  <c r="T2570" i="5"/>
  <c r="S2570" i="5"/>
  <c r="R2570" i="5"/>
  <c r="Q2570" i="5"/>
  <c r="P2570" i="5"/>
  <c r="U2505" i="5"/>
  <c r="T2505" i="5"/>
  <c r="S2505" i="5"/>
  <c r="P2505" i="5"/>
  <c r="I2505" i="5"/>
  <c r="R2505" i="5" s="1"/>
  <c r="H2505" i="5"/>
  <c r="G2505" i="5"/>
  <c r="Q2505" i="5" s="1"/>
  <c r="F2505" i="5"/>
  <c r="U2504" i="5"/>
  <c r="T2504" i="5"/>
  <c r="S2504" i="5"/>
  <c r="R2504" i="5"/>
  <c r="Q2504" i="5"/>
  <c r="P2504" i="5"/>
  <c r="U2503" i="5"/>
  <c r="T2503" i="5"/>
  <c r="S2503" i="5"/>
  <c r="R2503" i="5"/>
  <c r="Q2503" i="5"/>
  <c r="P2503" i="5"/>
  <c r="U2502" i="5"/>
  <c r="T2502" i="5"/>
  <c r="S2502" i="5"/>
  <c r="R2502" i="5"/>
  <c r="Q2502" i="5"/>
  <c r="P2502" i="5"/>
  <c r="U2437" i="5"/>
  <c r="T2437" i="5"/>
  <c r="S2437" i="5"/>
  <c r="P2437" i="5"/>
  <c r="I2437" i="5"/>
  <c r="R2437" i="5" s="1"/>
  <c r="H2437" i="5"/>
  <c r="G2437" i="5"/>
  <c r="Q2437" i="5" s="1"/>
  <c r="F2437" i="5"/>
  <c r="U2436" i="5"/>
  <c r="T2436" i="5"/>
  <c r="S2436" i="5"/>
  <c r="R2436" i="5"/>
  <c r="Q2436" i="5"/>
  <c r="P2436" i="5"/>
  <c r="U2435" i="5"/>
  <c r="T2435" i="5"/>
  <c r="S2435" i="5"/>
  <c r="R2435" i="5"/>
  <c r="Q2435" i="5"/>
  <c r="P2435" i="5"/>
  <c r="U2434" i="5"/>
  <c r="T2434" i="5"/>
  <c r="S2434" i="5"/>
  <c r="R2434" i="5"/>
  <c r="Q2434" i="5"/>
  <c r="P2434" i="5"/>
  <c r="U2430" i="5"/>
  <c r="T2430" i="5"/>
  <c r="S2430" i="5"/>
  <c r="I2430" i="5"/>
  <c r="R2430" i="5" s="1"/>
  <c r="H2430" i="5"/>
  <c r="G2430" i="5"/>
  <c r="Q2430" i="5" s="1"/>
  <c r="F2430" i="5"/>
  <c r="E2430" i="5"/>
  <c r="P2430" i="5" s="1"/>
  <c r="D2430" i="5"/>
  <c r="U2429" i="5"/>
  <c r="T2429" i="5"/>
  <c r="S2429" i="5"/>
  <c r="I2429" i="5"/>
  <c r="R2429" i="5" s="1"/>
  <c r="H2429" i="5"/>
  <c r="G2429" i="5"/>
  <c r="Q2429" i="5" s="1"/>
  <c r="F2429" i="5"/>
  <c r="E2429" i="5"/>
  <c r="P2429" i="5" s="1"/>
  <c r="D2429" i="5"/>
  <c r="U2428" i="5"/>
  <c r="T2428" i="5"/>
  <c r="S2428" i="5"/>
  <c r="I2428" i="5"/>
  <c r="R2428" i="5" s="1"/>
  <c r="H2428" i="5"/>
  <c r="G2428" i="5"/>
  <c r="Q2428" i="5" s="1"/>
  <c r="F2428" i="5"/>
  <c r="E2428" i="5"/>
  <c r="P2428" i="5" s="1"/>
  <c r="D2428" i="5"/>
  <c r="U2427" i="5"/>
  <c r="T2427" i="5"/>
  <c r="S2427" i="5"/>
  <c r="I2427" i="5"/>
  <c r="R2427" i="5" s="1"/>
  <c r="H2427" i="5"/>
  <c r="G2427" i="5"/>
  <c r="Q2427" i="5" s="1"/>
  <c r="F2427" i="5"/>
  <c r="E2427" i="5"/>
  <c r="P2427" i="5" s="1"/>
  <c r="D2427" i="5"/>
  <c r="U2367" i="5"/>
  <c r="T2367" i="5"/>
  <c r="S2367" i="5"/>
  <c r="I2367" i="5"/>
  <c r="R2367" i="5" s="1"/>
  <c r="H2367" i="5"/>
  <c r="G2367" i="5"/>
  <c r="Q2367" i="5" s="1"/>
  <c r="F2367" i="5"/>
  <c r="E2367" i="5"/>
  <c r="P2367" i="5" s="1"/>
  <c r="D2367" i="5"/>
  <c r="U2366" i="5"/>
  <c r="T2366" i="5"/>
  <c r="S2366" i="5"/>
  <c r="I2366" i="5"/>
  <c r="R2366" i="5" s="1"/>
  <c r="H2366" i="5"/>
  <c r="G2366" i="5"/>
  <c r="Q2366" i="5" s="1"/>
  <c r="F2366" i="5"/>
  <c r="E2366" i="5"/>
  <c r="P2366" i="5" s="1"/>
  <c r="D2366" i="5"/>
  <c r="U4168" i="5"/>
  <c r="T4168" i="5"/>
  <c r="S4168" i="5"/>
  <c r="R4168" i="5"/>
  <c r="Q4168" i="5"/>
  <c r="P4168" i="5"/>
  <c r="U4069" i="5"/>
  <c r="T4069" i="5"/>
  <c r="S4069" i="5"/>
  <c r="R4069" i="5"/>
  <c r="Q4069" i="5"/>
  <c r="P4069" i="5"/>
  <c r="U3970" i="5"/>
  <c r="T3970" i="5"/>
  <c r="S3970" i="5"/>
  <c r="R3970" i="5"/>
  <c r="Q3970" i="5"/>
  <c r="P3970" i="5"/>
  <c r="U3871" i="5"/>
  <c r="T3871" i="5"/>
  <c r="S3871" i="5"/>
  <c r="R3871" i="5"/>
  <c r="Q3871" i="5"/>
  <c r="P3871" i="5"/>
  <c r="U3772" i="5"/>
  <c r="T3772" i="5"/>
  <c r="S3772" i="5"/>
  <c r="R3772" i="5"/>
  <c r="Q3772" i="5"/>
  <c r="P3772" i="5"/>
  <c r="U3673" i="5"/>
  <c r="T3673" i="5"/>
  <c r="S3673" i="5"/>
  <c r="R3673" i="5"/>
  <c r="Q3673" i="5"/>
  <c r="P3673" i="5"/>
  <c r="U3575" i="5"/>
  <c r="T3575" i="5"/>
  <c r="S3575" i="5"/>
  <c r="R3575" i="5"/>
  <c r="Q3575" i="5"/>
  <c r="P3575" i="5"/>
  <c r="U3477" i="5"/>
  <c r="T3477" i="5"/>
  <c r="S3477" i="5"/>
  <c r="R3477" i="5"/>
  <c r="Q3477" i="5"/>
  <c r="P3477" i="5"/>
  <c r="U3379" i="5"/>
  <c r="T3379" i="5"/>
  <c r="S3379" i="5"/>
  <c r="R3379" i="5"/>
  <c r="Q3379" i="5"/>
  <c r="P3379" i="5"/>
  <c r="U3281" i="5"/>
  <c r="T3281" i="5"/>
  <c r="S3281" i="5"/>
  <c r="R3281" i="5"/>
  <c r="Q3281" i="5"/>
  <c r="P3281" i="5"/>
  <c r="U3183" i="5"/>
  <c r="T3183" i="5"/>
  <c r="S3183" i="5"/>
  <c r="R3183" i="5"/>
  <c r="Q3183" i="5"/>
  <c r="P3183" i="5"/>
  <c r="U3085" i="5"/>
  <c r="T3085" i="5"/>
  <c r="S3085" i="5"/>
  <c r="R3085" i="5"/>
  <c r="Q3085" i="5"/>
  <c r="P3085" i="5"/>
  <c r="U2987" i="5"/>
  <c r="T2987" i="5"/>
  <c r="S2987" i="5"/>
  <c r="R2987" i="5"/>
  <c r="Q2987" i="5"/>
  <c r="P2987" i="5"/>
  <c r="U2889" i="5"/>
  <c r="T2889" i="5"/>
  <c r="S2889" i="5"/>
  <c r="R2889" i="5"/>
  <c r="Q2889" i="5"/>
  <c r="P2889" i="5"/>
  <c r="U2791" i="5"/>
  <c r="T2791" i="5"/>
  <c r="S2791" i="5"/>
  <c r="R2791" i="5"/>
  <c r="Q2791" i="5"/>
  <c r="P2791" i="5"/>
  <c r="U2693" i="5"/>
  <c r="T2693" i="5"/>
  <c r="S2693" i="5"/>
  <c r="R2693" i="5"/>
  <c r="Q2693" i="5"/>
  <c r="P2693" i="5"/>
  <c r="U4167" i="5"/>
  <c r="T4167" i="5"/>
  <c r="S4167" i="5"/>
  <c r="R4167" i="5"/>
  <c r="Q4167" i="5"/>
  <c r="P4167" i="5"/>
  <c r="U4068" i="5"/>
  <c r="T4068" i="5"/>
  <c r="S4068" i="5"/>
  <c r="R4068" i="5"/>
  <c r="Q4068" i="5"/>
  <c r="P4068" i="5"/>
  <c r="U3969" i="5"/>
  <c r="T3969" i="5"/>
  <c r="S3969" i="5"/>
  <c r="R3969" i="5"/>
  <c r="Q3969" i="5"/>
  <c r="P3969" i="5"/>
  <c r="U3870" i="5"/>
  <c r="T3870" i="5"/>
  <c r="S3870" i="5"/>
  <c r="R3870" i="5"/>
  <c r="Q3870" i="5"/>
  <c r="P3870" i="5"/>
  <c r="U3771" i="5"/>
  <c r="T3771" i="5"/>
  <c r="S3771" i="5"/>
  <c r="R3771" i="5"/>
  <c r="Q3771" i="5"/>
  <c r="P3771" i="5"/>
  <c r="U3672" i="5"/>
  <c r="T3672" i="5"/>
  <c r="S3672" i="5"/>
  <c r="R3672" i="5"/>
  <c r="Q3672" i="5"/>
  <c r="P3672" i="5"/>
  <c r="U3574" i="5"/>
  <c r="T3574" i="5"/>
  <c r="S3574" i="5"/>
  <c r="R3574" i="5"/>
  <c r="Q3574" i="5"/>
  <c r="P3574" i="5"/>
  <c r="U3476" i="5"/>
  <c r="T3476" i="5"/>
  <c r="S3476" i="5"/>
  <c r="R3476" i="5"/>
  <c r="Q3476" i="5"/>
  <c r="P3476" i="5"/>
  <c r="U3378" i="5"/>
  <c r="T3378" i="5"/>
  <c r="S3378" i="5"/>
  <c r="R3378" i="5"/>
  <c r="Q3378" i="5"/>
  <c r="P3378" i="5"/>
  <c r="U3280" i="5"/>
  <c r="T3280" i="5"/>
  <c r="S3280" i="5"/>
  <c r="R3280" i="5"/>
  <c r="Q3280" i="5"/>
  <c r="P3280" i="5"/>
  <c r="U3182" i="5"/>
  <c r="T3182" i="5"/>
  <c r="S3182" i="5"/>
  <c r="R3182" i="5"/>
  <c r="Q3182" i="5"/>
  <c r="P3182" i="5"/>
  <c r="U3084" i="5"/>
  <c r="T3084" i="5"/>
  <c r="S3084" i="5"/>
  <c r="R3084" i="5"/>
  <c r="Q3084" i="5"/>
  <c r="P3084" i="5"/>
  <c r="U2986" i="5"/>
  <c r="T2986" i="5"/>
  <c r="S2986" i="5"/>
  <c r="R2986" i="5"/>
  <c r="Q2986" i="5"/>
  <c r="P2986" i="5"/>
  <c r="U2888" i="5"/>
  <c r="T2888" i="5"/>
  <c r="S2888" i="5"/>
  <c r="R2888" i="5"/>
  <c r="Q2888" i="5"/>
  <c r="P2888" i="5"/>
  <c r="U2790" i="5"/>
  <c r="T2790" i="5"/>
  <c r="S2790" i="5"/>
  <c r="R2790" i="5"/>
  <c r="Q2790" i="5"/>
  <c r="P2790" i="5"/>
  <c r="U2692" i="5"/>
  <c r="T2692" i="5"/>
  <c r="S2692" i="5"/>
  <c r="R2692" i="5"/>
  <c r="Q2692" i="5"/>
  <c r="P2692" i="5"/>
  <c r="U4166" i="5"/>
  <c r="T4166" i="5"/>
  <c r="S4166" i="5"/>
  <c r="R4166" i="5"/>
  <c r="Q4166" i="5"/>
  <c r="P4166" i="5"/>
  <c r="U4067" i="5"/>
  <c r="T4067" i="5"/>
  <c r="S4067" i="5"/>
  <c r="R4067" i="5"/>
  <c r="Q4067" i="5"/>
  <c r="P4067" i="5"/>
  <c r="U3968" i="5"/>
  <c r="T3968" i="5"/>
  <c r="S3968" i="5"/>
  <c r="R3968" i="5"/>
  <c r="Q3968" i="5"/>
  <c r="P3968" i="5"/>
  <c r="U3869" i="5"/>
  <c r="T3869" i="5"/>
  <c r="S3869" i="5"/>
  <c r="R3869" i="5"/>
  <c r="Q3869" i="5"/>
  <c r="P3869" i="5"/>
  <c r="U3770" i="5"/>
  <c r="T3770" i="5"/>
  <c r="S3770" i="5"/>
  <c r="R3770" i="5"/>
  <c r="Q3770" i="5"/>
  <c r="P3770" i="5"/>
  <c r="U3671" i="5"/>
  <c r="T3671" i="5"/>
  <c r="S3671" i="5"/>
  <c r="R3671" i="5"/>
  <c r="Q3671" i="5"/>
  <c r="P3671" i="5"/>
  <c r="U3573" i="5"/>
  <c r="T3573" i="5"/>
  <c r="S3573" i="5"/>
  <c r="R3573" i="5"/>
  <c r="Q3573" i="5"/>
  <c r="P3573" i="5"/>
  <c r="U3475" i="5"/>
  <c r="T3475" i="5"/>
  <c r="S3475" i="5"/>
  <c r="R3475" i="5"/>
  <c r="Q3475" i="5"/>
  <c r="P3475" i="5"/>
  <c r="U3377" i="5"/>
  <c r="T3377" i="5"/>
  <c r="S3377" i="5"/>
  <c r="R3377" i="5"/>
  <c r="Q3377" i="5"/>
  <c r="P3377" i="5"/>
  <c r="U3279" i="5"/>
  <c r="T3279" i="5"/>
  <c r="S3279" i="5"/>
  <c r="R3279" i="5"/>
  <c r="Q3279" i="5"/>
  <c r="P3279" i="5"/>
  <c r="U3181" i="5"/>
  <c r="T3181" i="5"/>
  <c r="S3181" i="5"/>
  <c r="R3181" i="5"/>
  <c r="Q3181" i="5"/>
  <c r="P3181" i="5"/>
  <c r="U3083" i="5"/>
  <c r="T3083" i="5"/>
  <c r="S3083" i="5"/>
  <c r="R3083" i="5"/>
  <c r="Q3083" i="5"/>
  <c r="P3083" i="5"/>
  <c r="U2985" i="5"/>
  <c r="T2985" i="5"/>
  <c r="S2985" i="5"/>
  <c r="R2985" i="5"/>
  <c r="Q2985" i="5"/>
  <c r="P2985" i="5"/>
  <c r="U2887" i="5"/>
  <c r="T2887" i="5"/>
  <c r="S2887" i="5"/>
  <c r="R2887" i="5"/>
  <c r="Q2887" i="5"/>
  <c r="P2887" i="5"/>
  <c r="U2789" i="5"/>
  <c r="T2789" i="5"/>
  <c r="S2789" i="5"/>
  <c r="R2789" i="5"/>
  <c r="Q2789" i="5"/>
  <c r="P2789" i="5"/>
  <c r="U2691" i="5"/>
  <c r="T2691" i="5"/>
  <c r="S2691" i="5"/>
  <c r="R2691" i="5"/>
  <c r="Q2691" i="5"/>
  <c r="P2691" i="5"/>
  <c r="U4165" i="5"/>
  <c r="T4165" i="5"/>
  <c r="S4165" i="5"/>
  <c r="R4165" i="5"/>
  <c r="Q4165" i="5"/>
  <c r="P4165" i="5"/>
  <c r="U4066" i="5"/>
  <c r="T4066" i="5"/>
  <c r="S4066" i="5"/>
  <c r="R4066" i="5"/>
  <c r="Q4066" i="5"/>
  <c r="P4066" i="5"/>
  <c r="U3967" i="5"/>
  <c r="T3967" i="5"/>
  <c r="S3967" i="5"/>
  <c r="R3967" i="5"/>
  <c r="Q3967" i="5"/>
  <c r="P3967" i="5"/>
  <c r="U3868" i="5"/>
  <c r="T3868" i="5"/>
  <c r="S3868" i="5"/>
  <c r="R3868" i="5"/>
  <c r="Q3868" i="5"/>
  <c r="P3868" i="5"/>
  <c r="U3769" i="5"/>
  <c r="T3769" i="5"/>
  <c r="S3769" i="5"/>
  <c r="R3769" i="5"/>
  <c r="Q3769" i="5"/>
  <c r="P3769" i="5"/>
  <c r="U3670" i="5"/>
  <c r="T3670" i="5"/>
  <c r="S3670" i="5"/>
  <c r="R3670" i="5"/>
  <c r="Q3670" i="5"/>
  <c r="P3670" i="5"/>
  <c r="U3572" i="5"/>
  <c r="T3572" i="5"/>
  <c r="S3572" i="5"/>
  <c r="R3572" i="5"/>
  <c r="Q3572" i="5"/>
  <c r="P3572" i="5"/>
  <c r="U3474" i="5"/>
  <c r="T3474" i="5"/>
  <c r="S3474" i="5"/>
  <c r="R3474" i="5"/>
  <c r="Q3474" i="5"/>
  <c r="P3474" i="5"/>
  <c r="U3376" i="5"/>
  <c r="T3376" i="5"/>
  <c r="S3376" i="5"/>
  <c r="R3376" i="5"/>
  <c r="Q3376" i="5"/>
  <c r="P3376" i="5"/>
  <c r="U3278" i="5"/>
  <c r="T3278" i="5"/>
  <c r="S3278" i="5"/>
  <c r="R3278" i="5"/>
  <c r="Q3278" i="5"/>
  <c r="P3278" i="5"/>
  <c r="U3180" i="5"/>
  <c r="T3180" i="5"/>
  <c r="S3180" i="5"/>
  <c r="R3180" i="5"/>
  <c r="Q3180" i="5"/>
  <c r="P3180" i="5"/>
  <c r="U3082" i="5"/>
  <c r="T3082" i="5"/>
  <c r="S3082" i="5"/>
  <c r="R3082" i="5"/>
  <c r="Q3082" i="5"/>
  <c r="P3082" i="5"/>
  <c r="U2984" i="5"/>
  <c r="T2984" i="5"/>
  <c r="S2984" i="5"/>
  <c r="R2984" i="5"/>
  <c r="Q2984" i="5"/>
  <c r="P2984" i="5"/>
  <c r="U2886" i="5"/>
  <c r="T2886" i="5"/>
  <c r="S2886" i="5"/>
  <c r="R2886" i="5"/>
  <c r="Q2886" i="5"/>
  <c r="P2886" i="5"/>
  <c r="U2788" i="5"/>
  <c r="T2788" i="5"/>
  <c r="S2788" i="5"/>
  <c r="R2788" i="5"/>
  <c r="Q2788" i="5"/>
  <c r="P2788" i="5"/>
  <c r="U2690" i="5"/>
  <c r="T2690" i="5"/>
  <c r="S2690" i="5"/>
  <c r="R2690" i="5"/>
  <c r="Q2690" i="5"/>
  <c r="P2690" i="5"/>
  <c r="U4164" i="5"/>
  <c r="T4164" i="5"/>
  <c r="S4164" i="5"/>
  <c r="R4164" i="5"/>
  <c r="Q4164" i="5"/>
  <c r="P4164" i="5"/>
  <c r="U4065" i="5"/>
  <c r="T4065" i="5"/>
  <c r="S4065" i="5"/>
  <c r="R4065" i="5"/>
  <c r="Q4065" i="5"/>
  <c r="P4065" i="5"/>
  <c r="U3966" i="5"/>
  <c r="T3966" i="5"/>
  <c r="S3966" i="5"/>
  <c r="R3966" i="5"/>
  <c r="Q3966" i="5"/>
  <c r="P3966" i="5"/>
  <c r="U3867" i="5"/>
  <c r="T3867" i="5"/>
  <c r="S3867" i="5"/>
  <c r="R3867" i="5"/>
  <c r="Q3867" i="5"/>
  <c r="P3867" i="5"/>
  <c r="U3768" i="5"/>
  <c r="T3768" i="5"/>
  <c r="S3768" i="5"/>
  <c r="R3768" i="5"/>
  <c r="Q3768" i="5"/>
  <c r="P3768" i="5"/>
  <c r="U3669" i="5"/>
  <c r="T3669" i="5"/>
  <c r="S3669" i="5"/>
  <c r="R3669" i="5"/>
  <c r="Q3669" i="5"/>
  <c r="P3669" i="5"/>
  <c r="U3571" i="5"/>
  <c r="T3571" i="5"/>
  <c r="S3571" i="5"/>
  <c r="R3571" i="5"/>
  <c r="Q3571" i="5"/>
  <c r="P3571" i="5"/>
  <c r="U3473" i="5"/>
  <c r="T3473" i="5"/>
  <c r="S3473" i="5"/>
  <c r="R3473" i="5"/>
  <c r="Q3473" i="5"/>
  <c r="P3473" i="5"/>
  <c r="U3375" i="5"/>
  <c r="T3375" i="5"/>
  <c r="S3375" i="5"/>
  <c r="R3375" i="5"/>
  <c r="Q3375" i="5"/>
  <c r="P3375" i="5"/>
  <c r="U3277" i="5"/>
  <c r="T3277" i="5"/>
  <c r="S3277" i="5"/>
  <c r="R3277" i="5"/>
  <c r="Q3277" i="5"/>
  <c r="P3277" i="5"/>
  <c r="U3179" i="5"/>
  <c r="T3179" i="5"/>
  <c r="S3179" i="5"/>
  <c r="R3179" i="5"/>
  <c r="Q3179" i="5"/>
  <c r="P3179" i="5"/>
  <c r="U3081" i="5"/>
  <c r="T3081" i="5"/>
  <c r="S3081" i="5"/>
  <c r="R3081" i="5"/>
  <c r="Q3081" i="5"/>
  <c r="P3081" i="5"/>
  <c r="U2983" i="5"/>
  <c r="T2983" i="5"/>
  <c r="S2983" i="5"/>
  <c r="R2983" i="5"/>
  <c r="Q2983" i="5"/>
  <c r="P2983" i="5"/>
  <c r="U2885" i="5"/>
  <c r="T2885" i="5"/>
  <c r="S2885" i="5"/>
  <c r="R2885" i="5"/>
  <c r="Q2885" i="5"/>
  <c r="P2885" i="5"/>
  <c r="U2787" i="5"/>
  <c r="T2787" i="5"/>
  <c r="S2787" i="5"/>
  <c r="R2787" i="5"/>
  <c r="Q2787" i="5"/>
  <c r="P2787" i="5"/>
  <c r="U2689" i="5"/>
  <c r="T2689" i="5"/>
  <c r="S2689" i="5"/>
  <c r="R2689" i="5"/>
  <c r="Q2689" i="5"/>
  <c r="P2689" i="5"/>
  <c r="U4163" i="5"/>
  <c r="T4163" i="5"/>
  <c r="S4163" i="5"/>
  <c r="R4163" i="5"/>
  <c r="Q4163" i="5"/>
  <c r="P4163" i="5"/>
  <c r="U4064" i="5"/>
  <c r="T4064" i="5"/>
  <c r="S4064" i="5"/>
  <c r="R4064" i="5"/>
  <c r="Q4064" i="5"/>
  <c r="P4064" i="5"/>
  <c r="U3965" i="5"/>
  <c r="T3965" i="5"/>
  <c r="S3965" i="5"/>
  <c r="R3965" i="5"/>
  <c r="Q3965" i="5"/>
  <c r="P3965" i="5"/>
  <c r="U3866" i="5"/>
  <c r="T3866" i="5"/>
  <c r="S3866" i="5"/>
  <c r="R3866" i="5"/>
  <c r="Q3866" i="5"/>
  <c r="P3866" i="5"/>
  <c r="U3767" i="5"/>
  <c r="T3767" i="5"/>
  <c r="S3767" i="5"/>
  <c r="R3767" i="5"/>
  <c r="Q3767" i="5"/>
  <c r="P3767" i="5"/>
  <c r="U3668" i="5"/>
  <c r="T3668" i="5"/>
  <c r="S3668" i="5"/>
  <c r="R3668" i="5"/>
  <c r="Q3668" i="5"/>
  <c r="P3668" i="5"/>
  <c r="U3570" i="5"/>
  <c r="T3570" i="5"/>
  <c r="S3570" i="5"/>
  <c r="R3570" i="5"/>
  <c r="Q3570" i="5"/>
  <c r="P3570" i="5"/>
  <c r="U3472" i="5"/>
  <c r="T3472" i="5"/>
  <c r="S3472" i="5"/>
  <c r="R3472" i="5"/>
  <c r="Q3472" i="5"/>
  <c r="P3472" i="5"/>
  <c r="U3374" i="5"/>
  <c r="T3374" i="5"/>
  <c r="S3374" i="5"/>
  <c r="R3374" i="5"/>
  <c r="Q3374" i="5"/>
  <c r="P3374" i="5"/>
  <c r="U3276" i="5"/>
  <c r="T3276" i="5"/>
  <c r="S3276" i="5"/>
  <c r="R3276" i="5"/>
  <c r="Q3276" i="5"/>
  <c r="P3276" i="5"/>
  <c r="U3178" i="5"/>
  <c r="T3178" i="5"/>
  <c r="S3178" i="5"/>
  <c r="R3178" i="5"/>
  <c r="Q3178" i="5"/>
  <c r="P3178" i="5"/>
  <c r="U3080" i="5"/>
  <c r="T3080" i="5"/>
  <c r="S3080" i="5"/>
  <c r="R3080" i="5"/>
  <c r="Q3080" i="5"/>
  <c r="P3080" i="5"/>
  <c r="U2982" i="5"/>
  <c r="T2982" i="5"/>
  <c r="S2982" i="5"/>
  <c r="R2982" i="5"/>
  <c r="Q2982" i="5"/>
  <c r="P2982" i="5"/>
  <c r="U2884" i="5"/>
  <c r="T2884" i="5"/>
  <c r="S2884" i="5"/>
  <c r="R2884" i="5"/>
  <c r="Q2884" i="5"/>
  <c r="P2884" i="5"/>
  <c r="U2786" i="5"/>
  <c r="T2786" i="5"/>
  <c r="S2786" i="5"/>
  <c r="R2786" i="5"/>
  <c r="Q2786" i="5"/>
  <c r="P2786" i="5"/>
  <c r="U2688" i="5"/>
  <c r="T2688" i="5"/>
  <c r="S2688" i="5"/>
  <c r="R2688" i="5"/>
  <c r="Q2688" i="5"/>
  <c r="P2688" i="5"/>
  <c r="U4162" i="5"/>
  <c r="T4162" i="5"/>
  <c r="S4162" i="5"/>
  <c r="R4162" i="5"/>
  <c r="Q4162" i="5"/>
  <c r="P4162" i="5"/>
  <c r="U4063" i="5"/>
  <c r="T4063" i="5"/>
  <c r="S4063" i="5"/>
  <c r="R4063" i="5"/>
  <c r="Q4063" i="5"/>
  <c r="P4063" i="5"/>
  <c r="U3964" i="5"/>
  <c r="T3964" i="5"/>
  <c r="S3964" i="5"/>
  <c r="R3964" i="5"/>
  <c r="Q3964" i="5"/>
  <c r="P3964" i="5"/>
  <c r="U3865" i="5"/>
  <c r="T3865" i="5"/>
  <c r="S3865" i="5"/>
  <c r="R3865" i="5"/>
  <c r="Q3865" i="5"/>
  <c r="P3865" i="5"/>
  <c r="U3766" i="5"/>
  <c r="T3766" i="5"/>
  <c r="S3766" i="5"/>
  <c r="R3766" i="5"/>
  <c r="Q3766" i="5"/>
  <c r="P3766" i="5"/>
  <c r="U3667" i="5"/>
  <c r="T3667" i="5"/>
  <c r="S3667" i="5"/>
  <c r="R3667" i="5"/>
  <c r="Q3667" i="5"/>
  <c r="P3667" i="5"/>
  <c r="U3569" i="5"/>
  <c r="T3569" i="5"/>
  <c r="S3569" i="5"/>
  <c r="R3569" i="5"/>
  <c r="Q3569" i="5"/>
  <c r="P3569" i="5"/>
  <c r="U3471" i="5"/>
  <c r="T3471" i="5"/>
  <c r="S3471" i="5"/>
  <c r="R3471" i="5"/>
  <c r="Q3471" i="5"/>
  <c r="P3471" i="5"/>
  <c r="U3373" i="5"/>
  <c r="T3373" i="5"/>
  <c r="S3373" i="5"/>
  <c r="R3373" i="5"/>
  <c r="Q3373" i="5"/>
  <c r="P3373" i="5"/>
  <c r="U3275" i="5"/>
  <c r="T3275" i="5"/>
  <c r="S3275" i="5"/>
  <c r="R3275" i="5"/>
  <c r="Q3275" i="5"/>
  <c r="P3275" i="5"/>
  <c r="U3177" i="5"/>
  <c r="T3177" i="5"/>
  <c r="S3177" i="5"/>
  <c r="R3177" i="5"/>
  <c r="Q3177" i="5"/>
  <c r="P3177" i="5"/>
  <c r="U3079" i="5"/>
  <c r="T3079" i="5"/>
  <c r="S3079" i="5"/>
  <c r="R3079" i="5"/>
  <c r="Q3079" i="5"/>
  <c r="P3079" i="5"/>
  <c r="U2981" i="5"/>
  <c r="T2981" i="5"/>
  <c r="S2981" i="5"/>
  <c r="R2981" i="5"/>
  <c r="Q2981" i="5"/>
  <c r="P2981" i="5"/>
  <c r="U2883" i="5"/>
  <c r="T2883" i="5"/>
  <c r="S2883" i="5"/>
  <c r="R2883" i="5"/>
  <c r="Q2883" i="5"/>
  <c r="P2883" i="5"/>
  <c r="U2785" i="5"/>
  <c r="T2785" i="5"/>
  <c r="S2785" i="5"/>
  <c r="R2785" i="5"/>
  <c r="Q2785" i="5"/>
  <c r="P2785" i="5"/>
  <c r="U2687" i="5"/>
  <c r="T2687" i="5"/>
  <c r="S2687" i="5"/>
  <c r="R2687" i="5"/>
  <c r="Q2687" i="5"/>
  <c r="P2687" i="5"/>
  <c r="U4161" i="5"/>
  <c r="T4161" i="5"/>
  <c r="S4161" i="5"/>
  <c r="R4161" i="5"/>
  <c r="Q4161" i="5"/>
  <c r="P4161" i="5"/>
  <c r="U4062" i="5"/>
  <c r="T4062" i="5"/>
  <c r="S4062" i="5"/>
  <c r="R4062" i="5"/>
  <c r="Q4062" i="5"/>
  <c r="P4062" i="5"/>
  <c r="U3963" i="5"/>
  <c r="T3963" i="5"/>
  <c r="S3963" i="5"/>
  <c r="R3963" i="5"/>
  <c r="Q3963" i="5"/>
  <c r="P3963" i="5"/>
  <c r="U3864" i="5"/>
  <c r="T3864" i="5"/>
  <c r="S3864" i="5"/>
  <c r="R3864" i="5"/>
  <c r="Q3864" i="5"/>
  <c r="P3864" i="5"/>
  <c r="U3765" i="5"/>
  <c r="T3765" i="5"/>
  <c r="S3765" i="5"/>
  <c r="R3765" i="5"/>
  <c r="Q3765" i="5"/>
  <c r="P3765" i="5"/>
  <c r="U3666" i="5"/>
  <c r="T3666" i="5"/>
  <c r="S3666" i="5"/>
  <c r="R3666" i="5"/>
  <c r="Q3666" i="5"/>
  <c r="P3666" i="5"/>
  <c r="U3568" i="5"/>
  <c r="T3568" i="5"/>
  <c r="S3568" i="5"/>
  <c r="R3568" i="5"/>
  <c r="Q3568" i="5"/>
  <c r="P3568" i="5"/>
  <c r="U3470" i="5"/>
  <c r="T3470" i="5"/>
  <c r="S3470" i="5"/>
  <c r="R3470" i="5"/>
  <c r="Q3470" i="5"/>
  <c r="P3470" i="5"/>
  <c r="U3372" i="5"/>
  <c r="T3372" i="5"/>
  <c r="S3372" i="5"/>
  <c r="R3372" i="5"/>
  <c r="Q3372" i="5"/>
  <c r="P3372" i="5"/>
  <c r="U3274" i="5"/>
  <c r="T3274" i="5"/>
  <c r="S3274" i="5"/>
  <c r="R3274" i="5"/>
  <c r="Q3274" i="5"/>
  <c r="P3274" i="5"/>
  <c r="U3176" i="5"/>
  <c r="T3176" i="5"/>
  <c r="S3176" i="5"/>
  <c r="R3176" i="5"/>
  <c r="Q3176" i="5"/>
  <c r="P3176" i="5"/>
  <c r="U3078" i="5"/>
  <c r="T3078" i="5"/>
  <c r="S3078" i="5"/>
  <c r="R3078" i="5"/>
  <c r="Q3078" i="5"/>
  <c r="P3078" i="5"/>
  <c r="U2980" i="5"/>
  <c r="T2980" i="5"/>
  <c r="S2980" i="5"/>
  <c r="R2980" i="5"/>
  <c r="Q2980" i="5"/>
  <c r="P2980" i="5"/>
  <c r="U2882" i="5"/>
  <c r="T2882" i="5"/>
  <c r="S2882" i="5"/>
  <c r="R2882" i="5"/>
  <c r="Q2882" i="5"/>
  <c r="P2882" i="5"/>
  <c r="U2784" i="5"/>
  <c r="T2784" i="5"/>
  <c r="S2784" i="5"/>
  <c r="R2784" i="5"/>
  <c r="Q2784" i="5"/>
  <c r="P2784" i="5"/>
  <c r="U2686" i="5"/>
  <c r="T2686" i="5"/>
  <c r="S2686" i="5"/>
  <c r="R2686" i="5"/>
  <c r="Q2686" i="5"/>
  <c r="P2686" i="5"/>
  <c r="U4160" i="5"/>
  <c r="T4160" i="5"/>
  <c r="S4160" i="5"/>
  <c r="R4160" i="5"/>
  <c r="Q4160" i="5"/>
  <c r="P4160" i="5"/>
  <c r="U4061" i="5"/>
  <c r="T4061" i="5"/>
  <c r="S4061" i="5"/>
  <c r="R4061" i="5"/>
  <c r="Q4061" i="5"/>
  <c r="P4061" i="5"/>
  <c r="U3962" i="5"/>
  <c r="T3962" i="5"/>
  <c r="S3962" i="5"/>
  <c r="R3962" i="5"/>
  <c r="Q3962" i="5"/>
  <c r="P3962" i="5"/>
  <c r="U3863" i="5"/>
  <c r="T3863" i="5"/>
  <c r="S3863" i="5"/>
  <c r="R3863" i="5"/>
  <c r="Q3863" i="5"/>
  <c r="P3863" i="5"/>
  <c r="U3764" i="5"/>
  <c r="T3764" i="5"/>
  <c r="S3764" i="5"/>
  <c r="R3764" i="5"/>
  <c r="Q3764" i="5"/>
  <c r="P3764" i="5"/>
  <c r="U3665" i="5"/>
  <c r="T3665" i="5"/>
  <c r="S3665" i="5"/>
  <c r="R3665" i="5"/>
  <c r="Q3665" i="5"/>
  <c r="P3665" i="5"/>
  <c r="U3567" i="5"/>
  <c r="T3567" i="5"/>
  <c r="S3567" i="5"/>
  <c r="R3567" i="5"/>
  <c r="Q3567" i="5"/>
  <c r="P3567" i="5"/>
  <c r="U3469" i="5"/>
  <c r="T3469" i="5"/>
  <c r="S3469" i="5"/>
  <c r="R3469" i="5"/>
  <c r="Q3469" i="5"/>
  <c r="P3469" i="5"/>
  <c r="U3371" i="5"/>
  <c r="T3371" i="5"/>
  <c r="S3371" i="5"/>
  <c r="R3371" i="5"/>
  <c r="Q3371" i="5"/>
  <c r="P3371" i="5"/>
  <c r="U3273" i="5"/>
  <c r="T3273" i="5"/>
  <c r="S3273" i="5"/>
  <c r="R3273" i="5"/>
  <c r="Q3273" i="5"/>
  <c r="P3273" i="5"/>
  <c r="U3175" i="5"/>
  <c r="T3175" i="5"/>
  <c r="S3175" i="5"/>
  <c r="R3175" i="5"/>
  <c r="Q3175" i="5"/>
  <c r="P3175" i="5"/>
  <c r="U3077" i="5"/>
  <c r="T3077" i="5"/>
  <c r="S3077" i="5"/>
  <c r="R3077" i="5"/>
  <c r="Q3077" i="5"/>
  <c r="P3077" i="5"/>
  <c r="U2979" i="5"/>
  <c r="T2979" i="5"/>
  <c r="S2979" i="5"/>
  <c r="R2979" i="5"/>
  <c r="Q2979" i="5"/>
  <c r="P2979" i="5"/>
  <c r="U2881" i="5"/>
  <c r="T2881" i="5"/>
  <c r="S2881" i="5"/>
  <c r="R2881" i="5"/>
  <c r="Q2881" i="5"/>
  <c r="P2881" i="5"/>
  <c r="U2783" i="5"/>
  <c r="T2783" i="5"/>
  <c r="S2783" i="5"/>
  <c r="R2783" i="5"/>
  <c r="Q2783" i="5"/>
  <c r="P2783" i="5"/>
  <c r="U2685" i="5"/>
  <c r="T2685" i="5"/>
  <c r="S2685" i="5"/>
  <c r="R2685" i="5"/>
  <c r="Q2685" i="5"/>
  <c r="P2685" i="5"/>
  <c r="U4159" i="5"/>
  <c r="T4159" i="5"/>
  <c r="S4159" i="5"/>
  <c r="R4159" i="5"/>
  <c r="Q4159" i="5"/>
  <c r="P4159" i="5"/>
  <c r="U4060" i="5"/>
  <c r="T4060" i="5"/>
  <c r="S4060" i="5"/>
  <c r="R4060" i="5"/>
  <c r="Q4060" i="5"/>
  <c r="P4060" i="5"/>
  <c r="U3961" i="5"/>
  <c r="T3961" i="5"/>
  <c r="S3961" i="5"/>
  <c r="R3961" i="5"/>
  <c r="Q3961" i="5"/>
  <c r="P3961" i="5"/>
  <c r="U3862" i="5"/>
  <c r="T3862" i="5"/>
  <c r="S3862" i="5"/>
  <c r="R3862" i="5"/>
  <c r="Q3862" i="5"/>
  <c r="P3862" i="5"/>
  <c r="U3763" i="5"/>
  <c r="T3763" i="5"/>
  <c r="S3763" i="5"/>
  <c r="R3763" i="5"/>
  <c r="Q3763" i="5"/>
  <c r="P3763" i="5"/>
  <c r="U3664" i="5"/>
  <c r="T3664" i="5"/>
  <c r="S3664" i="5"/>
  <c r="R3664" i="5"/>
  <c r="Q3664" i="5"/>
  <c r="P3664" i="5"/>
  <c r="U3566" i="5"/>
  <c r="T3566" i="5"/>
  <c r="S3566" i="5"/>
  <c r="R3566" i="5"/>
  <c r="Q3566" i="5"/>
  <c r="P3566" i="5"/>
  <c r="U3468" i="5"/>
  <c r="T3468" i="5"/>
  <c r="S3468" i="5"/>
  <c r="R3468" i="5"/>
  <c r="Q3468" i="5"/>
  <c r="P3468" i="5"/>
  <c r="U3370" i="5"/>
  <c r="T3370" i="5"/>
  <c r="S3370" i="5"/>
  <c r="R3370" i="5"/>
  <c r="Q3370" i="5"/>
  <c r="P3370" i="5"/>
  <c r="U3272" i="5"/>
  <c r="T3272" i="5"/>
  <c r="S3272" i="5"/>
  <c r="R3272" i="5"/>
  <c r="Q3272" i="5"/>
  <c r="P3272" i="5"/>
  <c r="U3174" i="5"/>
  <c r="T3174" i="5"/>
  <c r="S3174" i="5"/>
  <c r="R3174" i="5"/>
  <c r="Q3174" i="5"/>
  <c r="P3174" i="5"/>
  <c r="U3076" i="5"/>
  <c r="T3076" i="5"/>
  <c r="S3076" i="5"/>
  <c r="R3076" i="5"/>
  <c r="Q3076" i="5"/>
  <c r="P3076" i="5"/>
  <c r="U2978" i="5"/>
  <c r="T2978" i="5"/>
  <c r="S2978" i="5"/>
  <c r="R2978" i="5"/>
  <c r="Q2978" i="5"/>
  <c r="P2978" i="5"/>
  <c r="U2880" i="5"/>
  <c r="T2880" i="5"/>
  <c r="S2880" i="5"/>
  <c r="R2880" i="5"/>
  <c r="Q2880" i="5"/>
  <c r="P2880" i="5"/>
  <c r="U2782" i="5"/>
  <c r="T2782" i="5"/>
  <c r="S2782" i="5"/>
  <c r="R2782" i="5"/>
  <c r="Q2782" i="5"/>
  <c r="P2782" i="5"/>
  <c r="U2684" i="5"/>
  <c r="T2684" i="5"/>
  <c r="S2684" i="5"/>
  <c r="R2684" i="5"/>
  <c r="Q2684" i="5"/>
  <c r="P2684" i="5"/>
  <c r="U4158" i="5"/>
  <c r="T4158" i="5"/>
  <c r="S4158" i="5"/>
  <c r="R4158" i="5"/>
  <c r="Q4158" i="5"/>
  <c r="P4158" i="5"/>
  <c r="U4059" i="5"/>
  <c r="T4059" i="5"/>
  <c r="S4059" i="5"/>
  <c r="R4059" i="5"/>
  <c r="Q4059" i="5"/>
  <c r="P4059" i="5"/>
  <c r="U3960" i="5"/>
  <c r="T3960" i="5"/>
  <c r="S3960" i="5"/>
  <c r="R3960" i="5"/>
  <c r="Q3960" i="5"/>
  <c r="P3960" i="5"/>
  <c r="U3861" i="5"/>
  <c r="T3861" i="5"/>
  <c r="S3861" i="5"/>
  <c r="R3861" i="5"/>
  <c r="Q3861" i="5"/>
  <c r="P3861" i="5"/>
  <c r="U3762" i="5"/>
  <c r="T3762" i="5"/>
  <c r="S3762" i="5"/>
  <c r="R3762" i="5"/>
  <c r="Q3762" i="5"/>
  <c r="P3762" i="5"/>
  <c r="U3663" i="5"/>
  <c r="T3663" i="5"/>
  <c r="S3663" i="5"/>
  <c r="R3663" i="5"/>
  <c r="Q3663" i="5"/>
  <c r="P3663" i="5"/>
  <c r="U3565" i="5"/>
  <c r="T3565" i="5"/>
  <c r="S3565" i="5"/>
  <c r="R3565" i="5"/>
  <c r="Q3565" i="5"/>
  <c r="P3565" i="5"/>
  <c r="U3467" i="5"/>
  <c r="T3467" i="5"/>
  <c r="S3467" i="5"/>
  <c r="R3467" i="5"/>
  <c r="Q3467" i="5"/>
  <c r="P3467" i="5"/>
  <c r="U3369" i="5"/>
  <c r="T3369" i="5"/>
  <c r="S3369" i="5"/>
  <c r="R3369" i="5"/>
  <c r="Q3369" i="5"/>
  <c r="P3369" i="5"/>
  <c r="U3271" i="5"/>
  <c r="T3271" i="5"/>
  <c r="S3271" i="5"/>
  <c r="R3271" i="5"/>
  <c r="Q3271" i="5"/>
  <c r="P3271" i="5"/>
  <c r="U3173" i="5"/>
  <c r="T3173" i="5"/>
  <c r="S3173" i="5"/>
  <c r="R3173" i="5"/>
  <c r="Q3173" i="5"/>
  <c r="P3173" i="5"/>
  <c r="U3075" i="5"/>
  <c r="T3075" i="5"/>
  <c r="S3075" i="5"/>
  <c r="R3075" i="5"/>
  <c r="Q3075" i="5"/>
  <c r="P3075" i="5"/>
  <c r="U2977" i="5"/>
  <c r="T2977" i="5"/>
  <c r="S2977" i="5"/>
  <c r="R2977" i="5"/>
  <c r="Q2977" i="5"/>
  <c r="P2977" i="5"/>
  <c r="U2879" i="5"/>
  <c r="T2879" i="5"/>
  <c r="S2879" i="5"/>
  <c r="R2879" i="5"/>
  <c r="Q2879" i="5"/>
  <c r="P2879" i="5"/>
  <c r="U2781" i="5"/>
  <c r="T2781" i="5"/>
  <c r="S2781" i="5"/>
  <c r="R2781" i="5"/>
  <c r="Q2781" i="5"/>
  <c r="P2781" i="5"/>
  <c r="U2683" i="5"/>
  <c r="T2683" i="5"/>
  <c r="S2683" i="5"/>
  <c r="R2683" i="5"/>
  <c r="Q2683" i="5"/>
  <c r="P2683" i="5"/>
  <c r="U4157" i="5"/>
  <c r="T4157" i="5"/>
  <c r="S4157" i="5"/>
  <c r="R4157" i="5"/>
  <c r="Q4157" i="5"/>
  <c r="P4157" i="5"/>
  <c r="U4058" i="5"/>
  <c r="T4058" i="5"/>
  <c r="S4058" i="5"/>
  <c r="R4058" i="5"/>
  <c r="Q4058" i="5"/>
  <c r="P4058" i="5"/>
  <c r="U3959" i="5"/>
  <c r="T3959" i="5"/>
  <c r="S3959" i="5"/>
  <c r="R3959" i="5"/>
  <c r="Q3959" i="5"/>
  <c r="P3959" i="5"/>
  <c r="U3860" i="5"/>
  <c r="T3860" i="5"/>
  <c r="S3860" i="5"/>
  <c r="R3860" i="5"/>
  <c r="Q3860" i="5"/>
  <c r="P3860" i="5"/>
  <c r="U3761" i="5"/>
  <c r="T3761" i="5"/>
  <c r="S3761" i="5"/>
  <c r="R3761" i="5"/>
  <c r="Q3761" i="5"/>
  <c r="P3761" i="5"/>
  <c r="U3662" i="5"/>
  <c r="T3662" i="5"/>
  <c r="S3662" i="5"/>
  <c r="R3662" i="5"/>
  <c r="Q3662" i="5"/>
  <c r="P3662" i="5"/>
  <c r="U3564" i="5"/>
  <c r="T3564" i="5"/>
  <c r="S3564" i="5"/>
  <c r="R3564" i="5"/>
  <c r="Q3564" i="5"/>
  <c r="P3564" i="5"/>
  <c r="U3466" i="5"/>
  <c r="T3466" i="5"/>
  <c r="S3466" i="5"/>
  <c r="R3466" i="5"/>
  <c r="Q3466" i="5"/>
  <c r="P3466" i="5"/>
  <c r="U3368" i="5"/>
  <c r="T3368" i="5"/>
  <c r="S3368" i="5"/>
  <c r="R3368" i="5"/>
  <c r="Q3368" i="5"/>
  <c r="P3368" i="5"/>
  <c r="U3270" i="5"/>
  <c r="T3270" i="5"/>
  <c r="S3270" i="5"/>
  <c r="R3270" i="5"/>
  <c r="Q3270" i="5"/>
  <c r="P3270" i="5"/>
  <c r="U3172" i="5"/>
  <c r="T3172" i="5"/>
  <c r="S3172" i="5"/>
  <c r="R3172" i="5"/>
  <c r="Q3172" i="5"/>
  <c r="P3172" i="5"/>
  <c r="U3074" i="5"/>
  <c r="T3074" i="5"/>
  <c r="S3074" i="5"/>
  <c r="R3074" i="5"/>
  <c r="Q3074" i="5"/>
  <c r="P3074" i="5"/>
  <c r="U2976" i="5"/>
  <c r="T2976" i="5"/>
  <c r="S2976" i="5"/>
  <c r="R2976" i="5"/>
  <c r="Q2976" i="5"/>
  <c r="P2976" i="5"/>
  <c r="U2878" i="5"/>
  <c r="T2878" i="5"/>
  <c r="S2878" i="5"/>
  <c r="R2878" i="5"/>
  <c r="Q2878" i="5"/>
  <c r="P2878" i="5"/>
  <c r="U2780" i="5"/>
  <c r="T2780" i="5"/>
  <c r="S2780" i="5"/>
  <c r="R2780" i="5"/>
  <c r="Q2780" i="5"/>
  <c r="P2780" i="5"/>
  <c r="U2682" i="5"/>
  <c r="T2682" i="5"/>
  <c r="S2682" i="5"/>
  <c r="R2682" i="5"/>
  <c r="Q2682" i="5"/>
  <c r="P2682" i="5"/>
  <c r="U4156" i="5"/>
  <c r="T4156" i="5"/>
  <c r="S4156" i="5"/>
  <c r="R4156" i="5"/>
  <c r="Q4156" i="5"/>
  <c r="P4156" i="5"/>
  <c r="U4057" i="5"/>
  <c r="T4057" i="5"/>
  <c r="S4057" i="5"/>
  <c r="R4057" i="5"/>
  <c r="Q4057" i="5"/>
  <c r="P4057" i="5"/>
  <c r="U3958" i="5"/>
  <c r="T3958" i="5"/>
  <c r="S3958" i="5"/>
  <c r="R3958" i="5"/>
  <c r="Q3958" i="5"/>
  <c r="P3958" i="5"/>
  <c r="U3859" i="5"/>
  <c r="T3859" i="5"/>
  <c r="S3859" i="5"/>
  <c r="R3859" i="5"/>
  <c r="Q3859" i="5"/>
  <c r="P3859" i="5"/>
  <c r="U3760" i="5"/>
  <c r="T3760" i="5"/>
  <c r="S3760" i="5"/>
  <c r="R3760" i="5"/>
  <c r="Q3760" i="5"/>
  <c r="P3760" i="5"/>
  <c r="U3661" i="5"/>
  <c r="T3661" i="5"/>
  <c r="S3661" i="5"/>
  <c r="R3661" i="5"/>
  <c r="Q3661" i="5"/>
  <c r="P3661" i="5"/>
  <c r="U3563" i="5"/>
  <c r="T3563" i="5"/>
  <c r="S3563" i="5"/>
  <c r="R3563" i="5"/>
  <c r="Q3563" i="5"/>
  <c r="P3563" i="5"/>
  <c r="U3465" i="5"/>
  <c r="T3465" i="5"/>
  <c r="S3465" i="5"/>
  <c r="R3465" i="5"/>
  <c r="Q3465" i="5"/>
  <c r="P3465" i="5"/>
  <c r="U3367" i="5"/>
  <c r="T3367" i="5"/>
  <c r="S3367" i="5"/>
  <c r="R3367" i="5"/>
  <c r="Q3367" i="5"/>
  <c r="P3367" i="5"/>
  <c r="U3269" i="5"/>
  <c r="T3269" i="5"/>
  <c r="S3269" i="5"/>
  <c r="R3269" i="5"/>
  <c r="Q3269" i="5"/>
  <c r="P3269" i="5"/>
  <c r="U3171" i="5"/>
  <c r="T3171" i="5"/>
  <c r="S3171" i="5"/>
  <c r="R3171" i="5"/>
  <c r="Q3171" i="5"/>
  <c r="P3171" i="5"/>
  <c r="U3073" i="5"/>
  <c r="T3073" i="5"/>
  <c r="S3073" i="5"/>
  <c r="R3073" i="5"/>
  <c r="Q3073" i="5"/>
  <c r="P3073" i="5"/>
  <c r="U2975" i="5"/>
  <c r="T2975" i="5"/>
  <c r="S2975" i="5"/>
  <c r="R2975" i="5"/>
  <c r="Q2975" i="5"/>
  <c r="P2975" i="5"/>
  <c r="U2877" i="5"/>
  <c r="T2877" i="5"/>
  <c r="S2877" i="5"/>
  <c r="R2877" i="5"/>
  <c r="Q2877" i="5"/>
  <c r="P2877" i="5"/>
  <c r="U2779" i="5"/>
  <c r="T2779" i="5"/>
  <c r="S2779" i="5"/>
  <c r="R2779" i="5"/>
  <c r="Q2779" i="5"/>
  <c r="P2779" i="5"/>
  <c r="U2681" i="5"/>
  <c r="T2681" i="5"/>
  <c r="S2681" i="5"/>
  <c r="R2681" i="5"/>
  <c r="Q2681" i="5"/>
  <c r="P2681" i="5"/>
  <c r="U4155" i="5"/>
  <c r="T4155" i="5"/>
  <c r="S4155" i="5"/>
  <c r="R4155" i="5"/>
  <c r="Q4155" i="5"/>
  <c r="P4155" i="5"/>
  <c r="U4056" i="5"/>
  <c r="T4056" i="5"/>
  <c r="S4056" i="5"/>
  <c r="R4056" i="5"/>
  <c r="Q4056" i="5"/>
  <c r="P4056" i="5"/>
  <c r="U3957" i="5"/>
  <c r="T3957" i="5"/>
  <c r="S3957" i="5"/>
  <c r="R3957" i="5"/>
  <c r="Q3957" i="5"/>
  <c r="P3957" i="5"/>
  <c r="U3858" i="5"/>
  <c r="T3858" i="5"/>
  <c r="S3858" i="5"/>
  <c r="R3858" i="5"/>
  <c r="Q3858" i="5"/>
  <c r="P3858" i="5"/>
  <c r="U3759" i="5"/>
  <c r="T3759" i="5"/>
  <c r="S3759" i="5"/>
  <c r="R3759" i="5"/>
  <c r="Q3759" i="5"/>
  <c r="P3759" i="5"/>
  <c r="U3660" i="5"/>
  <c r="T3660" i="5"/>
  <c r="S3660" i="5"/>
  <c r="R3660" i="5"/>
  <c r="Q3660" i="5"/>
  <c r="P3660" i="5"/>
  <c r="U3562" i="5"/>
  <c r="T3562" i="5"/>
  <c r="S3562" i="5"/>
  <c r="R3562" i="5"/>
  <c r="Q3562" i="5"/>
  <c r="P3562" i="5"/>
  <c r="U3464" i="5"/>
  <c r="T3464" i="5"/>
  <c r="S3464" i="5"/>
  <c r="R3464" i="5"/>
  <c r="Q3464" i="5"/>
  <c r="P3464" i="5"/>
  <c r="U3366" i="5"/>
  <c r="T3366" i="5"/>
  <c r="S3366" i="5"/>
  <c r="R3366" i="5"/>
  <c r="Q3366" i="5"/>
  <c r="P3366" i="5"/>
  <c r="U3268" i="5"/>
  <c r="T3268" i="5"/>
  <c r="S3268" i="5"/>
  <c r="R3268" i="5"/>
  <c r="Q3268" i="5"/>
  <c r="P3268" i="5"/>
  <c r="U3170" i="5"/>
  <c r="T3170" i="5"/>
  <c r="S3170" i="5"/>
  <c r="R3170" i="5"/>
  <c r="Q3170" i="5"/>
  <c r="P3170" i="5"/>
  <c r="U3072" i="5"/>
  <c r="T3072" i="5"/>
  <c r="S3072" i="5"/>
  <c r="R3072" i="5"/>
  <c r="Q3072" i="5"/>
  <c r="P3072" i="5"/>
  <c r="U2974" i="5"/>
  <c r="T2974" i="5"/>
  <c r="S2974" i="5"/>
  <c r="R2974" i="5"/>
  <c r="Q2974" i="5"/>
  <c r="P2974" i="5"/>
  <c r="U2876" i="5"/>
  <c r="T2876" i="5"/>
  <c r="S2876" i="5"/>
  <c r="R2876" i="5"/>
  <c r="Q2876" i="5"/>
  <c r="P2876" i="5"/>
  <c r="U2778" i="5"/>
  <c r="T2778" i="5"/>
  <c r="S2778" i="5"/>
  <c r="R2778" i="5"/>
  <c r="Q2778" i="5"/>
  <c r="P2778" i="5"/>
  <c r="U2680" i="5"/>
  <c r="T2680" i="5"/>
  <c r="S2680" i="5"/>
  <c r="R2680" i="5"/>
  <c r="Q2680" i="5"/>
  <c r="P2680" i="5"/>
  <c r="U2365" i="5"/>
  <c r="T2365" i="5"/>
  <c r="S2365" i="5"/>
  <c r="I2365" i="5"/>
  <c r="R2365" i="5" s="1"/>
  <c r="H2365" i="5"/>
  <c r="G2365" i="5"/>
  <c r="Q2365" i="5" s="1"/>
  <c r="F2365" i="5"/>
  <c r="E2365" i="5"/>
  <c r="D2365" i="5"/>
  <c r="D2605" i="5" s="1"/>
  <c r="U2364" i="5"/>
  <c r="T2364" i="5"/>
  <c r="S2364" i="5"/>
  <c r="I2364" i="5"/>
  <c r="R2364" i="5" s="1"/>
  <c r="H2364" i="5"/>
  <c r="G2364" i="5"/>
  <c r="Q2364" i="5" s="1"/>
  <c r="F2364" i="5"/>
  <c r="E2364" i="5"/>
  <c r="D2364" i="5"/>
  <c r="D2604" i="5" s="1"/>
  <c r="U2604" i="5" s="1"/>
  <c r="U2304" i="5"/>
  <c r="T2304" i="5"/>
  <c r="S2304" i="5"/>
  <c r="I2304" i="5"/>
  <c r="R2304" i="5" s="1"/>
  <c r="H2304" i="5"/>
  <c r="G2304" i="5"/>
  <c r="Q2304" i="5" s="1"/>
  <c r="F2304" i="5"/>
  <c r="E2304" i="5"/>
  <c r="D2304" i="5"/>
  <c r="D3296" i="5" s="1"/>
  <c r="D3508" i="5" s="1"/>
  <c r="U3508" i="5" s="1"/>
  <c r="U2303" i="5"/>
  <c r="T2303" i="5"/>
  <c r="S2303" i="5"/>
  <c r="I2303" i="5"/>
  <c r="R2303" i="5" s="1"/>
  <c r="H2303" i="5"/>
  <c r="G2303" i="5"/>
  <c r="Q2303" i="5" s="1"/>
  <c r="F2303" i="5"/>
  <c r="E2303" i="5"/>
  <c r="D2303" i="5"/>
  <c r="D3295" i="5" s="1"/>
  <c r="U2302" i="5"/>
  <c r="T2302" i="5"/>
  <c r="S2302" i="5"/>
  <c r="I2302" i="5"/>
  <c r="R2302" i="5" s="1"/>
  <c r="H2302" i="5"/>
  <c r="G2302" i="5"/>
  <c r="Q2302" i="5" s="1"/>
  <c r="F2302" i="5"/>
  <c r="E2302" i="5"/>
  <c r="D2302" i="5"/>
  <c r="D3294" i="5" s="1"/>
  <c r="U2301" i="5"/>
  <c r="T2301" i="5"/>
  <c r="S2301" i="5"/>
  <c r="I2301" i="5"/>
  <c r="R2301" i="5" s="1"/>
  <c r="H2301" i="5"/>
  <c r="G2301" i="5"/>
  <c r="Q2301" i="5" s="1"/>
  <c r="F2301" i="5"/>
  <c r="E2301" i="5"/>
  <c r="D2301" i="5"/>
  <c r="D3293" i="5" s="1"/>
  <c r="U2241" i="5"/>
  <c r="T2241" i="5"/>
  <c r="S2241" i="5"/>
  <c r="I2241" i="5"/>
  <c r="R2241" i="5" s="1"/>
  <c r="H2241" i="5"/>
  <c r="G2241" i="5"/>
  <c r="Q2241" i="5" s="1"/>
  <c r="F2241" i="5"/>
  <c r="E2241" i="5"/>
  <c r="D2241" i="5"/>
  <c r="U2240" i="5"/>
  <c r="T2240" i="5"/>
  <c r="S2240" i="5"/>
  <c r="I2240" i="5"/>
  <c r="R2240" i="5" s="1"/>
  <c r="H2240" i="5"/>
  <c r="G2240" i="5"/>
  <c r="Q2240" i="5" s="1"/>
  <c r="F2240" i="5"/>
  <c r="E2240" i="5"/>
  <c r="D2240" i="5"/>
  <c r="U2239" i="5"/>
  <c r="T2239" i="5"/>
  <c r="S2239" i="5"/>
  <c r="I2239" i="5"/>
  <c r="R2239" i="5" s="1"/>
  <c r="H2239" i="5"/>
  <c r="G2239" i="5"/>
  <c r="Q2239" i="5" s="1"/>
  <c r="F2239" i="5"/>
  <c r="E2239" i="5"/>
  <c r="D2239" i="5"/>
  <c r="U2238" i="5"/>
  <c r="T2238" i="5"/>
  <c r="S2238" i="5"/>
  <c r="I2238" i="5"/>
  <c r="R2238" i="5" s="1"/>
  <c r="H2238" i="5"/>
  <c r="G2238" i="5"/>
  <c r="Q2238" i="5" s="1"/>
  <c r="F2238" i="5"/>
  <c r="E2238" i="5"/>
  <c r="D2238" i="5"/>
  <c r="U2178" i="5"/>
  <c r="T2178" i="5"/>
  <c r="S2178" i="5"/>
  <c r="I2178" i="5"/>
  <c r="R2178" i="5" s="1"/>
  <c r="H2178" i="5"/>
  <c r="G2178" i="5"/>
  <c r="Q2178" i="5" s="1"/>
  <c r="F2178" i="5"/>
  <c r="E2178" i="5"/>
  <c r="P2178" i="5" s="1"/>
  <c r="D2178" i="5"/>
  <c r="U2177" i="5"/>
  <c r="T2177" i="5"/>
  <c r="S2177" i="5"/>
  <c r="I2177" i="5"/>
  <c r="R2177" i="5" s="1"/>
  <c r="H2177" i="5"/>
  <c r="G2177" i="5"/>
  <c r="Q2177" i="5" s="1"/>
  <c r="F2177" i="5"/>
  <c r="E2177" i="5"/>
  <c r="P2177" i="5" s="1"/>
  <c r="D2177" i="5"/>
  <c r="U2176" i="5"/>
  <c r="T2176" i="5"/>
  <c r="S2176" i="5"/>
  <c r="I2176" i="5"/>
  <c r="R2176" i="5" s="1"/>
  <c r="H2176" i="5"/>
  <c r="G2176" i="5"/>
  <c r="Q2176" i="5" s="1"/>
  <c r="F2176" i="5"/>
  <c r="E2176" i="5"/>
  <c r="P2176" i="5" s="1"/>
  <c r="D2176" i="5"/>
  <c r="U2175" i="5"/>
  <c r="T2175" i="5"/>
  <c r="S2175" i="5"/>
  <c r="I2175" i="5"/>
  <c r="R2175" i="5" s="1"/>
  <c r="H2175" i="5"/>
  <c r="G2175" i="5"/>
  <c r="Q2175" i="5" s="1"/>
  <c r="F2175" i="5"/>
  <c r="E2175" i="5"/>
  <c r="P2175" i="5" s="1"/>
  <c r="D2175" i="5"/>
  <c r="U2115" i="5"/>
  <c r="T2115" i="5"/>
  <c r="S2115" i="5"/>
  <c r="I2115" i="5"/>
  <c r="R2115" i="5" s="1"/>
  <c r="H2115" i="5"/>
  <c r="G2115" i="5"/>
  <c r="Q2115" i="5" s="1"/>
  <c r="F2115" i="5"/>
  <c r="E2115" i="5"/>
  <c r="P2115" i="5" s="1"/>
  <c r="D2115" i="5"/>
  <c r="U2114" i="5"/>
  <c r="T2114" i="5"/>
  <c r="S2114" i="5"/>
  <c r="I2114" i="5"/>
  <c r="R2114" i="5" s="1"/>
  <c r="H2114" i="5"/>
  <c r="G2114" i="5"/>
  <c r="Q2114" i="5" s="1"/>
  <c r="F2114" i="5"/>
  <c r="E2114" i="5"/>
  <c r="P2114" i="5" s="1"/>
  <c r="D2114" i="5"/>
  <c r="U4154" i="5"/>
  <c r="T4154" i="5"/>
  <c r="S4154" i="5"/>
  <c r="R4154" i="5"/>
  <c r="Q4154" i="5"/>
  <c r="P4154" i="5"/>
  <c r="U4055" i="5"/>
  <c r="T4055" i="5"/>
  <c r="S4055" i="5"/>
  <c r="R4055" i="5"/>
  <c r="Q4055" i="5"/>
  <c r="P4055" i="5"/>
  <c r="U3956" i="5"/>
  <c r="T3956" i="5"/>
  <c r="S3956" i="5"/>
  <c r="R3956" i="5"/>
  <c r="Q3956" i="5"/>
  <c r="P3956" i="5"/>
  <c r="U3857" i="5"/>
  <c r="T3857" i="5"/>
  <c r="S3857" i="5"/>
  <c r="R3857" i="5"/>
  <c r="Q3857" i="5"/>
  <c r="P3857" i="5"/>
  <c r="U3758" i="5"/>
  <c r="T3758" i="5"/>
  <c r="S3758" i="5"/>
  <c r="R3758" i="5"/>
  <c r="Q3758" i="5"/>
  <c r="P3758" i="5"/>
  <c r="U3659" i="5"/>
  <c r="T3659" i="5"/>
  <c r="S3659" i="5"/>
  <c r="R3659" i="5"/>
  <c r="Q3659" i="5"/>
  <c r="P3659" i="5"/>
  <c r="U3561" i="5"/>
  <c r="T3561" i="5"/>
  <c r="S3561" i="5"/>
  <c r="R3561" i="5"/>
  <c r="Q3561" i="5"/>
  <c r="P3561" i="5"/>
  <c r="U3463" i="5"/>
  <c r="T3463" i="5"/>
  <c r="S3463" i="5"/>
  <c r="R3463" i="5"/>
  <c r="Q3463" i="5"/>
  <c r="P3463" i="5"/>
  <c r="U3365" i="5"/>
  <c r="T3365" i="5"/>
  <c r="S3365" i="5"/>
  <c r="R3365" i="5"/>
  <c r="Q3365" i="5"/>
  <c r="P3365" i="5"/>
  <c r="U3267" i="5"/>
  <c r="T3267" i="5"/>
  <c r="S3267" i="5"/>
  <c r="R3267" i="5"/>
  <c r="Q3267" i="5"/>
  <c r="P3267" i="5"/>
  <c r="U3169" i="5"/>
  <c r="T3169" i="5"/>
  <c r="S3169" i="5"/>
  <c r="R3169" i="5"/>
  <c r="Q3169" i="5"/>
  <c r="P3169" i="5"/>
  <c r="U3071" i="5"/>
  <c r="T3071" i="5"/>
  <c r="S3071" i="5"/>
  <c r="R3071" i="5"/>
  <c r="Q3071" i="5"/>
  <c r="P3071" i="5"/>
  <c r="U2973" i="5"/>
  <c r="T2973" i="5"/>
  <c r="S2973" i="5"/>
  <c r="R2973" i="5"/>
  <c r="Q2973" i="5"/>
  <c r="P2973" i="5"/>
  <c r="U2875" i="5"/>
  <c r="T2875" i="5"/>
  <c r="S2875" i="5"/>
  <c r="R2875" i="5"/>
  <c r="Q2875" i="5"/>
  <c r="P2875" i="5"/>
  <c r="U2777" i="5"/>
  <c r="T2777" i="5"/>
  <c r="S2777" i="5"/>
  <c r="R2777" i="5"/>
  <c r="Q2777" i="5"/>
  <c r="P2777" i="5"/>
  <c r="U2679" i="5"/>
  <c r="T2679" i="5"/>
  <c r="S2679" i="5"/>
  <c r="R2679" i="5"/>
  <c r="Q2679" i="5"/>
  <c r="P2679" i="5"/>
  <c r="U4153" i="5"/>
  <c r="T4153" i="5"/>
  <c r="S4153" i="5"/>
  <c r="R4153" i="5"/>
  <c r="Q4153" i="5"/>
  <c r="P4153" i="5"/>
  <c r="U4054" i="5"/>
  <c r="T4054" i="5"/>
  <c r="S4054" i="5"/>
  <c r="R4054" i="5"/>
  <c r="Q4054" i="5"/>
  <c r="P4054" i="5"/>
  <c r="U3955" i="5"/>
  <c r="T3955" i="5"/>
  <c r="S3955" i="5"/>
  <c r="R3955" i="5"/>
  <c r="Q3955" i="5"/>
  <c r="P3955" i="5"/>
  <c r="U3856" i="5"/>
  <c r="T3856" i="5"/>
  <c r="S3856" i="5"/>
  <c r="R3856" i="5"/>
  <c r="Q3856" i="5"/>
  <c r="P3856" i="5"/>
  <c r="U3757" i="5"/>
  <c r="T3757" i="5"/>
  <c r="S3757" i="5"/>
  <c r="R3757" i="5"/>
  <c r="Q3757" i="5"/>
  <c r="P3757" i="5"/>
  <c r="U3658" i="5"/>
  <c r="T3658" i="5"/>
  <c r="S3658" i="5"/>
  <c r="R3658" i="5"/>
  <c r="Q3658" i="5"/>
  <c r="P3658" i="5"/>
  <c r="U3560" i="5"/>
  <c r="T3560" i="5"/>
  <c r="S3560" i="5"/>
  <c r="R3560" i="5"/>
  <c r="Q3560" i="5"/>
  <c r="P3560" i="5"/>
  <c r="U3462" i="5"/>
  <c r="T3462" i="5"/>
  <c r="S3462" i="5"/>
  <c r="R3462" i="5"/>
  <c r="Q3462" i="5"/>
  <c r="P3462" i="5"/>
  <c r="U3364" i="5"/>
  <c r="T3364" i="5"/>
  <c r="S3364" i="5"/>
  <c r="R3364" i="5"/>
  <c r="Q3364" i="5"/>
  <c r="P3364" i="5"/>
  <c r="U3266" i="5"/>
  <c r="T3266" i="5"/>
  <c r="S3266" i="5"/>
  <c r="R3266" i="5"/>
  <c r="Q3266" i="5"/>
  <c r="P3266" i="5"/>
  <c r="U3168" i="5"/>
  <c r="T3168" i="5"/>
  <c r="S3168" i="5"/>
  <c r="R3168" i="5"/>
  <c r="Q3168" i="5"/>
  <c r="P3168" i="5"/>
  <c r="U3070" i="5"/>
  <c r="T3070" i="5"/>
  <c r="S3070" i="5"/>
  <c r="R3070" i="5"/>
  <c r="Q3070" i="5"/>
  <c r="P3070" i="5"/>
  <c r="U2972" i="5"/>
  <c r="T2972" i="5"/>
  <c r="S2972" i="5"/>
  <c r="R2972" i="5"/>
  <c r="Q2972" i="5"/>
  <c r="P2972" i="5"/>
  <c r="U2874" i="5"/>
  <c r="T2874" i="5"/>
  <c r="S2874" i="5"/>
  <c r="R2874" i="5"/>
  <c r="Q2874" i="5"/>
  <c r="P2874" i="5"/>
  <c r="U2776" i="5"/>
  <c r="T2776" i="5"/>
  <c r="S2776" i="5"/>
  <c r="R2776" i="5"/>
  <c r="Q2776" i="5"/>
  <c r="P2776" i="5"/>
  <c r="U2678" i="5"/>
  <c r="T2678" i="5"/>
  <c r="S2678" i="5"/>
  <c r="R2678" i="5"/>
  <c r="Q2678" i="5"/>
  <c r="P2678" i="5"/>
  <c r="U4152" i="5"/>
  <c r="T4152" i="5"/>
  <c r="S4152" i="5"/>
  <c r="R4152" i="5"/>
  <c r="Q4152" i="5"/>
  <c r="P4152" i="5"/>
  <c r="U4053" i="5"/>
  <c r="T4053" i="5"/>
  <c r="S4053" i="5"/>
  <c r="R4053" i="5"/>
  <c r="Q4053" i="5"/>
  <c r="P4053" i="5"/>
  <c r="U3954" i="5"/>
  <c r="T3954" i="5"/>
  <c r="S3954" i="5"/>
  <c r="R3954" i="5"/>
  <c r="Q3954" i="5"/>
  <c r="P3954" i="5"/>
  <c r="U3855" i="5"/>
  <c r="T3855" i="5"/>
  <c r="S3855" i="5"/>
  <c r="R3855" i="5"/>
  <c r="Q3855" i="5"/>
  <c r="P3855" i="5"/>
  <c r="U3756" i="5"/>
  <c r="T3756" i="5"/>
  <c r="S3756" i="5"/>
  <c r="R3756" i="5"/>
  <c r="Q3756" i="5"/>
  <c r="P3756" i="5"/>
  <c r="U3657" i="5"/>
  <c r="T3657" i="5"/>
  <c r="S3657" i="5"/>
  <c r="R3657" i="5"/>
  <c r="Q3657" i="5"/>
  <c r="P3657" i="5"/>
  <c r="U3559" i="5"/>
  <c r="T3559" i="5"/>
  <c r="S3559" i="5"/>
  <c r="R3559" i="5"/>
  <c r="Q3559" i="5"/>
  <c r="P3559" i="5"/>
  <c r="U3461" i="5"/>
  <c r="T3461" i="5"/>
  <c r="S3461" i="5"/>
  <c r="R3461" i="5"/>
  <c r="Q3461" i="5"/>
  <c r="P3461" i="5"/>
  <c r="U3363" i="5"/>
  <c r="T3363" i="5"/>
  <c r="S3363" i="5"/>
  <c r="R3363" i="5"/>
  <c r="Q3363" i="5"/>
  <c r="P3363" i="5"/>
  <c r="U3265" i="5"/>
  <c r="T3265" i="5"/>
  <c r="S3265" i="5"/>
  <c r="R3265" i="5"/>
  <c r="Q3265" i="5"/>
  <c r="P3265" i="5"/>
  <c r="U3167" i="5"/>
  <c r="T3167" i="5"/>
  <c r="S3167" i="5"/>
  <c r="R3167" i="5"/>
  <c r="Q3167" i="5"/>
  <c r="P3167" i="5"/>
  <c r="U3069" i="5"/>
  <c r="T3069" i="5"/>
  <c r="S3069" i="5"/>
  <c r="R3069" i="5"/>
  <c r="Q3069" i="5"/>
  <c r="P3069" i="5"/>
  <c r="U2971" i="5"/>
  <c r="T2971" i="5"/>
  <c r="S2971" i="5"/>
  <c r="R2971" i="5"/>
  <c r="Q2971" i="5"/>
  <c r="P2971" i="5"/>
  <c r="U2873" i="5"/>
  <c r="T2873" i="5"/>
  <c r="S2873" i="5"/>
  <c r="R2873" i="5"/>
  <c r="Q2873" i="5"/>
  <c r="P2873" i="5"/>
  <c r="U2775" i="5"/>
  <c r="T2775" i="5"/>
  <c r="S2775" i="5"/>
  <c r="R2775" i="5"/>
  <c r="Q2775" i="5"/>
  <c r="P2775" i="5"/>
  <c r="U2677" i="5"/>
  <c r="T2677" i="5"/>
  <c r="S2677" i="5"/>
  <c r="R2677" i="5"/>
  <c r="Q2677" i="5"/>
  <c r="P2677" i="5"/>
  <c r="U4151" i="5"/>
  <c r="T4151" i="5"/>
  <c r="S4151" i="5"/>
  <c r="R4151" i="5"/>
  <c r="Q4151" i="5"/>
  <c r="P4151" i="5"/>
  <c r="U4052" i="5"/>
  <c r="T4052" i="5"/>
  <c r="S4052" i="5"/>
  <c r="R4052" i="5"/>
  <c r="Q4052" i="5"/>
  <c r="P4052" i="5"/>
  <c r="U3953" i="5"/>
  <c r="T3953" i="5"/>
  <c r="S3953" i="5"/>
  <c r="R3953" i="5"/>
  <c r="Q3953" i="5"/>
  <c r="P3953" i="5"/>
  <c r="U3854" i="5"/>
  <c r="T3854" i="5"/>
  <c r="S3854" i="5"/>
  <c r="R3854" i="5"/>
  <c r="Q3854" i="5"/>
  <c r="P3854" i="5"/>
  <c r="U3755" i="5"/>
  <c r="T3755" i="5"/>
  <c r="S3755" i="5"/>
  <c r="R3755" i="5"/>
  <c r="Q3755" i="5"/>
  <c r="P3755" i="5"/>
  <c r="U3656" i="5"/>
  <c r="T3656" i="5"/>
  <c r="S3656" i="5"/>
  <c r="R3656" i="5"/>
  <c r="Q3656" i="5"/>
  <c r="P3656" i="5"/>
  <c r="U3558" i="5"/>
  <c r="T3558" i="5"/>
  <c r="S3558" i="5"/>
  <c r="R3558" i="5"/>
  <c r="Q3558" i="5"/>
  <c r="P3558" i="5"/>
  <c r="U3460" i="5"/>
  <c r="T3460" i="5"/>
  <c r="S3460" i="5"/>
  <c r="R3460" i="5"/>
  <c r="Q3460" i="5"/>
  <c r="P3460" i="5"/>
  <c r="U3362" i="5"/>
  <c r="T3362" i="5"/>
  <c r="S3362" i="5"/>
  <c r="R3362" i="5"/>
  <c r="Q3362" i="5"/>
  <c r="P3362" i="5"/>
  <c r="U3264" i="5"/>
  <c r="T3264" i="5"/>
  <c r="S3264" i="5"/>
  <c r="R3264" i="5"/>
  <c r="Q3264" i="5"/>
  <c r="P3264" i="5"/>
  <c r="U3166" i="5"/>
  <c r="T3166" i="5"/>
  <c r="S3166" i="5"/>
  <c r="R3166" i="5"/>
  <c r="Q3166" i="5"/>
  <c r="P3166" i="5"/>
  <c r="U3068" i="5"/>
  <c r="T3068" i="5"/>
  <c r="S3068" i="5"/>
  <c r="R3068" i="5"/>
  <c r="Q3068" i="5"/>
  <c r="P3068" i="5"/>
  <c r="U2970" i="5"/>
  <c r="T2970" i="5"/>
  <c r="S2970" i="5"/>
  <c r="R2970" i="5"/>
  <c r="Q2970" i="5"/>
  <c r="P2970" i="5"/>
  <c r="U2872" i="5"/>
  <c r="T2872" i="5"/>
  <c r="S2872" i="5"/>
  <c r="R2872" i="5"/>
  <c r="Q2872" i="5"/>
  <c r="P2872" i="5"/>
  <c r="U2774" i="5"/>
  <c r="T2774" i="5"/>
  <c r="S2774" i="5"/>
  <c r="R2774" i="5"/>
  <c r="Q2774" i="5"/>
  <c r="P2774" i="5"/>
  <c r="U2676" i="5"/>
  <c r="T2676" i="5"/>
  <c r="S2676" i="5"/>
  <c r="R2676" i="5"/>
  <c r="Q2676" i="5"/>
  <c r="P2676" i="5"/>
  <c r="U4150" i="5"/>
  <c r="T4150" i="5"/>
  <c r="S4150" i="5"/>
  <c r="R4150" i="5"/>
  <c r="Q4150" i="5"/>
  <c r="P4150" i="5"/>
  <c r="U4051" i="5"/>
  <c r="T4051" i="5"/>
  <c r="S4051" i="5"/>
  <c r="R4051" i="5"/>
  <c r="Q4051" i="5"/>
  <c r="P4051" i="5"/>
  <c r="U3952" i="5"/>
  <c r="T3952" i="5"/>
  <c r="S3952" i="5"/>
  <c r="R3952" i="5"/>
  <c r="Q3952" i="5"/>
  <c r="P3952" i="5"/>
  <c r="U3853" i="5"/>
  <c r="T3853" i="5"/>
  <c r="S3853" i="5"/>
  <c r="R3853" i="5"/>
  <c r="Q3853" i="5"/>
  <c r="P3853" i="5"/>
  <c r="U3754" i="5"/>
  <c r="T3754" i="5"/>
  <c r="S3754" i="5"/>
  <c r="R3754" i="5"/>
  <c r="Q3754" i="5"/>
  <c r="P3754" i="5"/>
  <c r="U3655" i="5"/>
  <c r="T3655" i="5"/>
  <c r="S3655" i="5"/>
  <c r="R3655" i="5"/>
  <c r="Q3655" i="5"/>
  <c r="P3655" i="5"/>
  <c r="U3557" i="5"/>
  <c r="T3557" i="5"/>
  <c r="S3557" i="5"/>
  <c r="R3557" i="5"/>
  <c r="Q3557" i="5"/>
  <c r="P3557" i="5"/>
  <c r="U3459" i="5"/>
  <c r="T3459" i="5"/>
  <c r="S3459" i="5"/>
  <c r="R3459" i="5"/>
  <c r="Q3459" i="5"/>
  <c r="P3459" i="5"/>
  <c r="U3361" i="5"/>
  <c r="T3361" i="5"/>
  <c r="S3361" i="5"/>
  <c r="R3361" i="5"/>
  <c r="Q3361" i="5"/>
  <c r="P3361" i="5"/>
  <c r="U3263" i="5"/>
  <c r="T3263" i="5"/>
  <c r="S3263" i="5"/>
  <c r="R3263" i="5"/>
  <c r="Q3263" i="5"/>
  <c r="P3263" i="5"/>
  <c r="U3165" i="5"/>
  <c r="T3165" i="5"/>
  <c r="S3165" i="5"/>
  <c r="R3165" i="5"/>
  <c r="Q3165" i="5"/>
  <c r="P3165" i="5"/>
  <c r="U3067" i="5"/>
  <c r="T3067" i="5"/>
  <c r="S3067" i="5"/>
  <c r="R3067" i="5"/>
  <c r="Q3067" i="5"/>
  <c r="P3067" i="5"/>
  <c r="U2969" i="5"/>
  <c r="T2969" i="5"/>
  <c r="S2969" i="5"/>
  <c r="R2969" i="5"/>
  <c r="Q2969" i="5"/>
  <c r="P2969" i="5"/>
  <c r="U2871" i="5"/>
  <c r="T2871" i="5"/>
  <c r="S2871" i="5"/>
  <c r="R2871" i="5"/>
  <c r="Q2871" i="5"/>
  <c r="P2871" i="5"/>
  <c r="U2773" i="5"/>
  <c r="T2773" i="5"/>
  <c r="S2773" i="5"/>
  <c r="R2773" i="5"/>
  <c r="Q2773" i="5"/>
  <c r="P2773" i="5"/>
  <c r="U2675" i="5"/>
  <c r="T2675" i="5"/>
  <c r="S2675" i="5"/>
  <c r="R2675" i="5"/>
  <c r="Q2675" i="5"/>
  <c r="P2675" i="5"/>
  <c r="U4149" i="5"/>
  <c r="T4149" i="5"/>
  <c r="S4149" i="5"/>
  <c r="R4149" i="5"/>
  <c r="Q4149" i="5"/>
  <c r="P4149" i="5"/>
  <c r="U4050" i="5"/>
  <c r="T4050" i="5"/>
  <c r="S4050" i="5"/>
  <c r="R4050" i="5"/>
  <c r="Q4050" i="5"/>
  <c r="P4050" i="5"/>
  <c r="U3951" i="5"/>
  <c r="T3951" i="5"/>
  <c r="S3951" i="5"/>
  <c r="R3951" i="5"/>
  <c r="Q3951" i="5"/>
  <c r="P3951" i="5"/>
  <c r="U3852" i="5"/>
  <c r="T3852" i="5"/>
  <c r="S3852" i="5"/>
  <c r="R3852" i="5"/>
  <c r="Q3852" i="5"/>
  <c r="P3852" i="5"/>
  <c r="U3753" i="5"/>
  <c r="T3753" i="5"/>
  <c r="S3753" i="5"/>
  <c r="R3753" i="5"/>
  <c r="Q3753" i="5"/>
  <c r="P3753" i="5"/>
  <c r="U3654" i="5"/>
  <c r="T3654" i="5"/>
  <c r="S3654" i="5"/>
  <c r="R3654" i="5"/>
  <c r="Q3654" i="5"/>
  <c r="P3654" i="5"/>
  <c r="U3556" i="5"/>
  <c r="T3556" i="5"/>
  <c r="S3556" i="5"/>
  <c r="R3556" i="5"/>
  <c r="Q3556" i="5"/>
  <c r="P3556" i="5"/>
  <c r="U3458" i="5"/>
  <c r="T3458" i="5"/>
  <c r="S3458" i="5"/>
  <c r="R3458" i="5"/>
  <c r="Q3458" i="5"/>
  <c r="P3458" i="5"/>
  <c r="U3360" i="5"/>
  <c r="T3360" i="5"/>
  <c r="S3360" i="5"/>
  <c r="R3360" i="5"/>
  <c r="Q3360" i="5"/>
  <c r="P3360" i="5"/>
  <c r="U3262" i="5"/>
  <c r="T3262" i="5"/>
  <c r="S3262" i="5"/>
  <c r="R3262" i="5"/>
  <c r="Q3262" i="5"/>
  <c r="P3262" i="5"/>
  <c r="U3164" i="5"/>
  <c r="T3164" i="5"/>
  <c r="S3164" i="5"/>
  <c r="R3164" i="5"/>
  <c r="Q3164" i="5"/>
  <c r="P3164" i="5"/>
  <c r="U3066" i="5"/>
  <c r="T3066" i="5"/>
  <c r="S3066" i="5"/>
  <c r="R3066" i="5"/>
  <c r="Q3066" i="5"/>
  <c r="P3066" i="5"/>
  <c r="U2968" i="5"/>
  <c r="T2968" i="5"/>
  <c r="S2968" i="5"/>
  <c r="R2968" i="5"/>
  <c r="Q2968" i="5"/>
  <c r="P2968" i="5"/>
  <c r="U2870" i="5"/>
  <c r="T2870" i="5"/>
  <c r="S2870" i="5"/>
  <c r="R2870" i="5"/>
  <c r="Q2870" i="5"/>
  <c r="P2870" i="5"/>
  <c r="U2772" i="5"/>
  <c r="T2772" i="5"/>
  <c r="S2772" i="5"/>
  <c r="R2772" i="5"/>
  <c r="Q2772" i="5"/>
  <c r="P2772" i="5"/>
  <c r="U2674" i="5"/>
  <c r="T2674" i="5"/>
  <c r="S2674" i="5"/>
  <c r="R2674" i="5"/>
  <c r="Q2674" i="5"/>
  <c r="P2674" i="5"/>
  <c r="U4148" i="5"/>
  <c r="T4148" i="5"/>
  <c r="S4148" i="5"/>
  <c r="R4148" i="5"/>
  <c r="Q4148" i="5"/>
  <c r="P4148" i="5"/>
  <c r="U4049" i="5"/>
  <c r="T4049" i="5"/>
  <c r="S4049" i="5"/>
  <c r="R4049" i="5"/>
  <c r="Q4049" i="5"/>
  <c r="P4049" i="5"/>
  <c r="U3950" i="5"/>
  <c r="T3950" i="5"/>
  <c r="S3950" i="5"/>
  <c r="R3950" i="5"/>
  <c r="Q3950" i="5"/>
  <c r="P3950" i="5"/>
  <c r="U3851" i="5"/>
  <c r="T3851" i="5"/>
  <c r="S3851" i="5"/>
  <c r="R3851" i="5"/>
  <c r="Q3851" i="5"/>
  <c r="P3851" i="5"/>
  <c r="U3752" i="5"/>
  <c r="T3752" i="5"/>
  <c r="S3752" i="5"/>
  <c r="R3752" i="5"/>
  <c r="Q3752" i="5"/>
  <c r="P3752" i="5"/>
  <c r="U3653" i="5"/>
  <c r="T3653" i="5"/>
  <c r="S3653" i="5"/>
  <c r="R3653" i="5"/>
  <c r="Q3653" i="5"/>
  <c r="P3653" i="5"/>
  <c r="U3555" i="5"/>
  <c r="T3555" i="5"/>
  <c r="S3555" i="5"/>
  <c r="R3555" i="5"/>
  <c r="Q3555" i="5"/>
  <c r="P3555" i="5"/>
  <c r="U3457" i="5"/>
  <c r="T3457" i="5"/>
  <c r="S3457" i="5"/>
  <c r="R3457" i="5"/>
  <c r="Q3457" i="5"/>
  <c r="P3457" i="5"/>
  <c r="U3359" i="5"/>
  <c r="T3359" i="5"/>
  <c r="S3359" i="5"/>
  <c r="R3359" i="5"/>
  <c r="Q3359" i="5"/>
  <c r="P3359" i="5"/>
  <c r="U3261" i="5"/>
  <c r="T3261" i="5"/>
  <c r="S3261" i="5"/>
  <c r="R3261" i="5"/>
  <c r="Q3261" i="5"/>
  <c r="P3261" i="5"/>
  <c r="U3163" i="5"/>
  <c r="T3163" i="5"/>
  <c r="S3163" i="5"/>
  <c r="R3163" i="5"/>
  <c r="Q3163" i="5"/>
  <c r="P3163" i="5"/>
  <c r="U3065" i="5"/>
  <c r="T3065" i="5"/>
  <c r="S3065" i="5"/>
  <c r="R3065" i="5"/>
  <c r="Q3065" i="5"/>
  <c r="P3065" i="5"/>
  <c r="U2967" i="5"/>
  <c r="T2967" i="5"/>
  <c r="S2967" i="5"/>
  <c r="R2967" i="5"/>
  <c r="Q2967" i="5"/>
  <c r="P2967" i="5"/>
  <c r="U2869" i="5"/>
  <c r="T2869" i="5"/>
  <c r="S2869" i="5"/>
  <c r="R2869" i="5"/>
  <c r="Q2869" i="5"/>
  <c r="P2869" i="5"/>
  <c r="U2771" i="5"/>
  <c r="T2771" i="5"/>
  <c r="S2771" i="5"/>
  <c r="R2771" i="5"/>
  <c r="Q2771" i="5"/>
  <c r="P2771" i="5"/>
  <c r="U2673" i="5"/>
  <c r="T2673" i="5"/>
  <c r="S2673" i="5"/>
  <c r="R2673" i="5"/>
  <c r="Q2673" i="5"/>
  <c r="P2673" i="5"/>
  <c r="U4147" i="5"/>
  <c r="T4147" i="5"/>
  <c r="S4147" i="5"/>
  <c r="R4147" i="5"/>
  <c r="Q4147" i="5"/>
  <c r="P4147" i="5"/>
  <c r="U4048" i="5"/>
  <c r="T4048" i="5"/>
  <c r="S4048" i="5"/>
  <c r="R4048" i="5"/>
  <c r="Q4048" i="5"/>
  <c r="P4048" i="5"/>
  <c r="U3949" i="5"/>
  <c r="T3949" i="5"/>
  <c r="S3949" i="5"/>
  <c r="R3949" i="5"/>
  <c r="Q3949" i="5"/>
  <c r="P3949" i="5"/>
  <c r="U3850" i="5"/>
  <c r="T3850" i="5"/>
  <c r="S3850" i="5"/>
  <c r="R3850" i="5"/>
  <c r="Q3850" i="5"/>
  <c r="P3850" i="5"/>
  <c r="U3751" i="5"/>
  <c r="T3751" i="5"/>
  <c r="S3751" i="5"/>
  <c r="R3751" i="5"/>
  <c r="Q3751" i="5"/>
  <c r="P3751" i="5"/>
  <c r="U3652" i="5"/>
  <c r="T3652" i="5"/>
  <c r="S3652" i="5"/>
  <c r="R3652" i="5"/>
  <c r="Q3652" i="5"/>
  <c r="P3652" i="5"/>
  <c r="U3554" i="5"/>
  <c r="T3554" i="5"/>
  <c r="S3554" i="5"/>
  <c r="R3554" i="5"/>
  <c r="Q3554" i="5"/>
  <c r="P3554" i="5"/>
  <c r="U3456" i="5"/>
  <c r="T3456" i="5"/>
  <c r="S3456" i="5"/>
  <c r="R3456" i="5"/>
  <c r="Q3456" i="5"/>
  <c r="P3456" i="5"/>
  <c r="U3358" i="5"/>
  <c r="T3358" i="5"/>
  <c r="S3358" i="5"/>
  <c r="R3358" i="5"/>
  <c r="Q3358" i="5"/>
  <c r="P3358" i="5"/>
  <c r="U3260" i="5"/>
  <c r="T3260" i="5"/>
  <c r="S3260" i="5"/>
  <c r="R3260" i="5"/>
  <c r="Q3260" i="5"/>
  <c r="P3260" i="5"/>
  <c r="U3162" i="5"/>
  <c r="T3162" i="5"/>
  <c r="S3162" i="5"/>
  <c r="R3162" i="5"/>
  <c r="Q3162" i="5"/>
  <c r="P3162" i="5"/>
  <c r="U3064" i="5"/>
  <c r="T3064" i="5"/>
  <c r="S3064" i="5"/>
  <c r="R3064" i="5"/>
  <c r="Q3064" i="5"/>
  <c r="P3064" i="5"/>
  <c r="U2966" i="5"/>
  <c r="T2966" i="5"/>
  <c r="S2966" i="5"/>
  <c r="R2966" i="5"/>
  <c r="Q2966" i="5"/>
  <c r="P2966" i="5"/>
  <c r="U2868" i="5"/>
  <c r="T2868" i="5"/>
  <c r="S2868" i="5"/>
  <c r="R2868" i="5"/>
  <c r="Q2868" i="5"/>
  <c r="P2868" i="5"/>
  <c r="U2770" i="5"/>
  <c r="T2770" i="5"/>
  <c r="S2770" i="5"/>
  <c r="R2770" i="5"/>
  <c r="Q2770" i="5"/>
  <c r="P2770" i="5"/>
  <c r="U2672" i="5"/>
  <c r="T2672" i="5"/>
  <c r="S2672" i="5"/>
  <c r="R2672" i="5"/>
  <c r="Q2672" i="5"/>
  <c r="P2672" i="5"/>
  <c r="U4146" i="5"/>
  <c r="T4146" i="5"/>
  <c r="S4146" i="5"/>
  <c r="R4146" i="5"/>
  <c r="Q4146" i="5"/>
  <c r="P4146" i="5"/>
  <c r="U4047" i="5"/>
  <c r="T4047" i="5"/>
  <c r="S4047" i="5"/>
  <c r="R4047" i="5"/>
  <c r="Q4047" i="5"/>
  <c r="P4047" i="5"/>
  <c r="U3948" i="5"/>
  <c r="T3948" i="5"/>
  <c r="S3948" i="5"/>
  <c r="R3948" i="5"/>
  <c r="Q3948" i="5"/>
  <c r="P3948" i="5"/>
  <c r="U3849" i="5"/>
  <c r="T3849" i="5"/>
  <c r="S3849" i="5"/>
  <c r="R3849" i="5"/>
  <c r="Q3849" i="5"/>
  <c r="P3849" i="5"/>
  <c r="U3750" i="5"/>
  <c r="T3750" i="5"/>
  <c r="S3750" i="5"/>
  <c r="R3750" i="5"/>
  <c r="Q3750" i="5"/>
  <c r="P3750" i="5"/>
  <c r="U3651" i="5"/>
  <c r="T3651" i="5"/>
  <c r="S3651" i="5"/>
  <c r="R3651" i="5"/>
  <c r="Q3651" i="5"/>
  <c r="P3651" i="5"/>
  <c r="U3553" i="5"/>
  <c r="T3553" i="5"/>
  <c r="S3553" i="5"/>
  <c r="R3553" i="5"/>
  <c r="Q3553" i="5"/>
  <c r="P3553" i="5"/>
  <c r="U3455" i="5"/>
  <c r="T3455" i="5"/>
  <c r="S3455" i="5"/>
  <c r="R3455" i="5"/>
  <c r="Q3455" i="5"/>
  <c r="P3455" i="5"/>
  <c r="U3357" i="5"/>
  <c r="T3357" i="5"/>
  <c r="S3357" i="5"/>
  <c r="R3357" i="5"/>
  <c r="Q3357" i="5"/>
  <c r="P3357" i="5"/>
  <c r="U3259" i="5"/>
  <c r="T3259" i="5"/>
  <c r="S3259" i="5"/>
  <c r="R3259" i="5"/>
  <c r="Q3259" i="5"/>
  <c r="P3259" i="5"/>
  <c r="U3161" i="5"/>
  <c r="T3161" i="5"/>
  <c r="S3161" i="5"/>
  <c r="R3161" i="5"/>
  <c r="Q3161" i="5"/>
  <c r="P3161" i="5"/>
  <c r="U3063" i="5"/>
  <c r="T3063" i="5"/>
  <c r="S3063" i="5"/>
  <c r="R3063" i="5"/>
  <c r="Q3063" i="5"/>
  <c r="P3063" i="5"/>
  <c r="U2965" i="5"/>
  <c r="T2965" i="5"/>
  <c r="S2965" i="5"/>
  <c r="R2965" i="5"/>
  <c r="Q2965" i="5"/>
  <c r="P2965" i="5"/>
  <c r="U2867" i="5"/>
  <c r="T2867" i="5"/>
  <c r="S2867" i="5"/>
  <c r="R2867" i="5"/>
  <c r="Q2867" i="5"/>
  <c r="P2867" i="5"/>
  <c r="U2769" i="5"/>
  <c r="T2769" i="5"/>
  <c r="S2769" i="5"/>
  <c r="R2769" i="5"/>
  <c r="Q2769" i="5"/>
  <c r="P2769" i="5"/>
  <c r="U2671" i="5"/>
  <c r="T2671" i="5"/>
  <c r="S2671" i="5"/>
  <c r="R2671" i="5"/>
  <c r="Q2671" i="5"/>
  <c r="P2671" i="5"/>
  <c r="U4145" i="5"/>
  <c r="T4145" i="5"/>
  <c r="S4145" i="5"/>
  <c r="R4145" i="5"/>
  <c r="Q4145" i="5"/>
  <c r="P4145" i="5"/>
  <c r="U4046" i="5"/>
  <c r="T4046" i="5"/>
  <c r="S4046" i="5"/>
  <c r="R4046" i="5"/>
  <c r="Q4046" i="5"/>
  <c r="P4046" i="5"/>
  <c r="U3947" i="5"/>
  <c r="T3947" i="5"/>
  <c r="S3947" i="5"/>
  <c r="R3947" i="5"/>
  <c r="Q3947" i="5"/>
  <c r="P3947" i="5"/>
  <c r="U3848" i="5"/>
  <c r="T3848" i="5"/>
  <c r="S3848" i="5"/>
  <c r="R3848" i="5"/>
  <c r="Q3848" i="5"/>
  <c r="P3848" i="5"/>
  <c r="U3749" i="5"/>
  <c r="T3749" i="5"/>
  <c r="S3749" i="5"/>
  <c r="R3749" i="5"/>
  <c r="Q3749" i="5"/>
  <c r="P3749" i="5"/>
  <c r="U3650" i="5"/>
  <c r="T3650" i="5"/>
  <c r="S3650" i="5"/>
  <c r="R3650" i="5"/>
  <c r="Q3650" i="5"/>
  <c r="P3650" i="5"/>
  <c r="U3552" i="5"/>
  <c r="T3552" i="5"/>
  <c r="S3552" i="5"/>
  <c r="R3552" i="5"/>
  <c r="Q3552" i="5"/>
  <c r="P3552" i="5"/>
  <c r="U3454" i="5"/>
  <c r="T3454" i="5"/>
  <c r="S3454" i="5"/>
  <c r="R3454" i="5"/>
  <c r="Q3454" i="5"/>
  <c r="P3454" i="5"/>
  <c r="U3356" i="5"/>
  <c r="T3356" i="5"/>
  <c r="S3356" i="5"/>
  <c r="R3356" i="5"/>
  <c r="Q3356" i="5"/>
  <c r="P3356" i="5"/>
  <c r="U3258" i="5"/>
  <c r="T3258" i="5"/>
  <c r="S3258" i="5"/>
  <c r="R3258" i="5"/>
  <c r="Q3258" i="5"/>
  <c r="P3258" i="5"/>
  <c r="U3160" i="5"/>
  <c r="T3160" i="5"/>
  <c r="S3160" i="5"/>
  <c r="R3160" i="5"/>
  <c r="Q3160" i="5"/>
  <c r="P3160" i="5"/>
  <c r="U3062" i="5"/>
  <c r="T3062" i="5"/>
  <c r="S3062" i="5"/>
  <c r="R3062" i="5"/>
  <c r="Q3062" i="5"/>
  <c r="P3062" i="5"/>
  <c r="U2964" i="5"/>
  <c r="T2964" i="5"/>
  <c r="S2964" i="5"/>
  <c r="R2964" i="5"/>
  <c r="Q2964" i="5"/>
  <c r="P2964" i="5"/>
  <c r="U2866" i="5"/>
  <c r="T2866" i="5"/>
  <c r="S2866" i="5"/>
  <c r="R2866" i="5"/>
  <c r="Q2866" i="5"/>
  <c r="P2866" i="5"/>
  <c r="U2768" i="5"/>
  <c r="T2768" i="5"/>
  <c r="S2768" i="5"/>
  <c r="R2768" i="5"/>
  <c r="Q2768" i="5"/>
  <c r="P2768" i="5"/>
  <c r="U2670" i="5"/>
  <c r="T2670" i="5"/>
  <c r="S2670" i="5"/>
  <c r="R2670" i="5"/>
  <c r="Q2670" i="5"/>
  <c r="P2670" i="5"/>
  <c r="U4144" i="5"/>
  <c r="T4144" i="5"/>
  <c r="S4144" i="5"/>
  <c r="R4144" i="5"/>
  <c r="Q4144" i="5"/>
  <c r="P4144" i="5"/>
  <c r="U4045" i="5"/>
  <c r="T4045" i="5"/>
  <c r="S4045" i="5"/>
  <c r="R4045" i="5"/>
  <c r="Q4045" i="5"/>
  <c r="P4045" i="5"/>
  <c r="U3946" i="5"/>
  <c r="T3946" i="5"/>
  <c r="S3946" i="5"/>
  <c r="R3946" i="5"/>
  <c r="Q3946" i="5"/>
  <c r="P3946" i="5"/>
  <c r="U3847" i="5"/>
  <c r="T3847" i="5"/>
  <c r="S3847" i="5"/>
  <c r="R3847" i="5"/>
  <c r="Q3847" i="5"/>
  <c r="P3847" i="5"/>
  <c r="U3748" i="5"/>
  <c r="T3748" i="5"/>
  <c r="S3748" i="5"/>
  <c r="R3748" i="5"/>
  <c r="Q3748" i="5"/>
  <c r="P3748" i="5"/>
  <c r="U3649" i="5"/>
  <c r="T3649" i="5"/>
  <c r="S3649" i="5"/>
  <c r="R3649" i="5"/>
  <c r="Q3649" i="5"/>
  <c r="P3649" i="5"/>
  <c r="U3551" i="5"/>
  <c r="T3551" i="5"/>
  <c r="S3551" i="5"/>
  <c r="R3551" i="5"/>
  <c r="Q3551" i="5"/>
  <c r="P3551" i="5"/>
  <c r="U3453" i="5"/>
  <c r="T3453" i="5"/>
  <c r="S3453" i="5"/>
  <c r="R3453" i="5"/>
  <c r="Q3453" i="5"/>
  <c r="P3453" i="5"/>
  <c r="U3355" i="5"/>
  <c r="T3355" i="5"/>
  <c r="S3355" i="5"/>
  <c r="R3355" i="5"/>
  <c r="Q3355" i="5"/>
  <c r="P3355" i="5"/>
  <c r="U3257" i="5"/>
  <c r="T3257" i="5"/>
  <c r="S3257" i="5"/>
  <c r="R3257" i="5"/>
  <c r="Q3257" i="5"/>
  <c r="P3257" i="5"/>
  <c r="U3159" i="5"/>
  <c r="T3159" i="5"/>
  <c r="S3159" i="5"/>
  <c r="R3159" i="5"/>
  <c r="Q3159" i="5"/>
  <c r="P3159" i="5"/>
  <c r="U3061" i="5"/>
  <c r="T3061" i="5"/>
  <c r="S3061" i="5"/>
  <c r="R3061" i="5"/>
  <c r="Q3061" i="5"/>
  <c r="P3061" i="5"/>
  <c r="U2963" i="5"/>
  <c r="T2963" i="5"/>
  <c r="S2963" i="5"/>
  <c r="R2963" i="5"/>
  <c r="Q2963" i="5"/>
  <c r="P2963" i="5"/>
  <c r="U2865" i="5"/>
  <c r="T2865" i="5"/>
  <c r="S2865" i="5"/>
  <c r="R2865" i="5"/>
  <c r="Q2865" i="5"/>
  <c r="P2865" i="5"/>
  <c r="U2767" i="5"/>
  <c r="T2767" i="5"/>
  <c r="S2767" i="5"/>
  <c r="R2767" i="5"/>
  <c r="Q2767" i="5"/>
  <c r="P2767" i="5"/>
  <c r="U2669" i="5"/>
  <c r="T2669" i="5"/>
  <c r="S2669" i="5"/>
  <c r="R2669" i="5"/>
  <c r="Q2669" i="5"/>
  <c r="P2669" i="5"/>
  <c r="U4143" i="5"/>
  <c r="T4143" i="5"/>
  <c r="S4143" i="5"/>
  <c r="R4143" i="5"/>
  <c r="Q4143" i="5"/>
  <c r="P4143" i="5"/>
  <c r="U4044" i="5"/>
  <c r="T4044" i="5"/>
  <c r="S4044" i="5"/>
  <c r="R4044" i="5"/>
  <c r="Q4044" i="5"/>
  <c r="P4044" i="5"/>
  <c r="U3945" i="5"/>
  <c r="T3945" i="5"/>
  <c r="S3945" i="5"/>
  <c r="R3945" i="5"/>
  <c r="Q3945" i="5"/>
  <c r="P3945" i="5"/>
  <c r="U3846" i="5"/>
  <c r="T3846" i="5"/>
  <c r="S3846" i="5"/>
  <c r="R3846" i="5"/>
  <c r="Q3846" i="5"/>
  <c r="P3846" i="5"/>
  <c r="U3747" i="5"/>
  <c r="T3747" i="5"/>
  <c r="S3747" i="5"/>
  <c r="R3747" i="5"/>
  <c r="Q3747" i="5"/>
  <c r="P3747" i="5"/>
  <c r="U3648" i="5"/>
  <c r="T3648" i="5"/>
  <c r="S3648" i="5"/>
  <c r="R3648" i="5"/>
  <c r="Q3648" i="5"/>
  <c r="P3648" i="5"/>
  <c r="U3550" i="5"/>
  <c r="T3550" i="5"/>
  <c r="S3550" i="5"/>
  <c r="R3550" i="5"/>
  <c r="Q3550" i="5"/>
  <c r="P3550" i="5"/>
  <c r="U3452" i="5"/>
  <c r="T3452" i="5"/>
  <c r="S3452" i="5"/>
  <c r="R3452" i="5"/>
  <c r="Q3452" i="5"/>
  <c r="P3452" i="5"/>
  <c r="U3354" i="5"/>
  <c r="T3354" i="5"/>
  <c r="S3354" i="5"/>
  <c r="R3354" i="5"/>
  <c r="Q3354" i="5"/>
  <c r="P3354" i="5"/>
  <c r="U3256" i="5"/>
  <c r="T3256" i="5"/>
  <c r="S3256" i="5"/>
  <c r="R3256" i="5"/>
  <c r="Q3256" i="5"/>
  <c r="P3256" i="5"/>
  <c r="U3158" i="5"/>
  <c r="T3158" i="5"/>
  <c r="S3158" i="5"/>
  <c r="R3158" i="5"/>
  <c r="Q3158" i="5"/>
  <c r="P3158" i="5"/>
  <c r="U3060" i="5"/>
  <c r="T3060" i="5"/>
  <c r="S3060" i="5"/>
  <c r="R3060" i="5"/>
  <c r="Q3060" i="5"/>
  <c r="P3060" i="5"/>
  <c r="U2962" i="5"/>
  <c r="T2962" i="5"/>
  <c r="S2962" i="5"/>
  <c r="R2962" i="5"/>
  <c r="Q2962" i="5"/>
  <c r="P2962" i="5"/>
  <c r="U2864" i="5"/>
  <c r="T2864" i="5"/>
  <c r="S2864" i="5"/>
  <c r="R2864" i="5"/>
  <c r="Q2864" i="5"/>
  <c r="P2864" i="5"/>
  <c r="U2766" i="5"/>
  <c r="T2766" i="5"/>
  <c r="S2766" i="5"/>
  <c r="R2766" i="5"/>
  <c r="Q2766" i="5"/>
  <c r="P2766" i="5"/>
  <c r="U2668" i="5"/>
  <c r="T2668" i="5"/>
  <c r="S2668" i="5"/>
  <c r="R2668" i="5"/>
  <c r="Q2668" i="5"/>
  <c r="P2668" i="5"/>
  <c r="U4142" i="5"/>
  <c r="T4142" i="5"/>
  <c r="S4142" i="5"/>
  <c r="R4142" i="5"/>
  <c r="Q4142" i="5"/>
  <c r="P4142" i="5"/>
  <c r="U4043" i="5"/>
  <c r="T4043" i="5"/>
  <c r="S4043" i="5"/>
  <c r="R4043" i="5"/>
  <c r="Q4043" i="5"/>
  <c r="P4043" i="5"/>
  <c r="U3944" i="5"/>
  <c r="T3944" i="5"/>
  <c r="S3944" i="5"/>
  <c r="R3944" i="5"/>
  <c r="Q3944" i="5"/>
  <c r="P3944" i="5"/>
  <c r="U3845" i="5"/>
  <c r="T3845" i="5"/>
  <c r="S3845" i="5"/>
  <c r="R3845" i="5"/>
  <c r="Q3845" i="5"/>
  <c r="P3845" i="5"/>
  <c r="U3746" i="5"/>
  <c r="T3746" i="5"/>
  <c r="S3746" i="5"/>
  <c r="R3746" i="5"/>
  <c r="Q3746" i="5"/>
  <c r="P3746" i="5"/>
  <c r="U3647" i="5"/>
  <c r="T3647" i="5"/>
  <c r="S3647" i="5"/>
  <c r="R3647" i="5"/>
  <c r="Q3647" i="5"/>
  <c r="P3647" i="5"/>
  <c r="U3549" i="5"/>
  <c r="T3549" i="5"/>
  <c r="S3549" i="5"/>
  <c r="R3549" i="5"/>
  <c r="Q3549" i="5"/>
  <c r="P3549" i="5"/>
  <c r="U3451" i="5"/>
  <c r="T3451" i="5"/>
  <c r="S3451" i="5"/>
  <c r="R3451" i="5"/>
  <c r="Q3451" i="5"/>
  <c r="P3451" i="5"/>
  <c r="U3353" i="5"/>
  <c r="T3353" i="5"/>
  <c r="S3353" i="5"/>
  <c r="R3353" i="5"/>
  <c r="Q3353" i="5"/>
  <c r="P3353" i="5"/>
  <c r="U3255" i="5"/>
  <c r="T3255" i="5"/>
  <c r="S3255" i="5"/>
  <c r="R3255" i="5"/>
  <c r="Q3255" i="5"/>
  <c r="P3255" i="5"/>
  <c r="U3157" i="5"/>
  <c r="T3157" i="5"/>
  <c r="S3157" i="5"/>
  <c r="R3157" i="5"/>
  <c r="Q3157" i="5"/>
  <c r="P3157" i="5"/>
  <c r="U3059" i="5"/>
  <c r="T3059" i="5"/>
  <c r="S3059" i="5"/>
  <c r="R3059" i="5"/>
  <c r="Q3059" i="5"/>
  <c r="P3059" i="5"/>
  <c r="U2961" i="5"/>
  <c r="T2961" i="5"/>
  <c r="S2961" i="5"/>
  <c r="R2961" i="5"/>
  <c r="Q2961" i="5"/>
  <c r="P2961" i="5"/>
  <c r="U2863" i="5"/>
  <c r="T2863" i="5"/>
  <c r="S2863" i="5"/>
  <c r="R2863" i="5"/>
  <c r="Q2863" i="5"/>
  <c r="P2863" i="5"/>
  <c r="U2765" i="5"/>
  <c r="T2765" i="5"/>
  <c r="S2765" i="5"/>
  <c r="R2765" i="5"/>
  <c r="Q2765" i="5"/>
  <c r="P2765" i="5"/>
  <c r="U2667" i="5"/>
  <c r="T2667" i="5"/>
  <c r="S2667" i="5"/>
  <c r="R2667" i="5"/>
  <c r="Q2667" i="5"/>
  <c r="P2667" i="5"/>
  <c r="U4141" i="5"/>
  <c r="T4141" i="5"/>
  <c r="S4141" i="5"/>
  <c r="R4141" i="5"/>
  <c r="Q4141" i="5"/>
  <c r="P4141" i="5"/>
  <c r="U4042" i="5"/>
  <c r="T4042" i="5"/>
  <c r="S4042" i="5"/>
  <c r="R4042" i="5"/>
  <c r="Q4042" i="5"/>
  <c r="P4042" i="5"/>
  <c r="U3943" i="5"/>
  <c r="T3943" i="5"/>
  <c r="S3943" i="5"/>
  <c r="R3943" i="5"/>
  <c r="Q3943" i="5"/>
  <c r="P3943" i="5"/>
  <c r="U3844" i="5"/>
  <c r="T3844" i="5"/>
  <c r="S3844" i="5"/>
  <c r="R3844" i="5"/>
  <c r="Q3844" i="5"/>
  <c r="P3844" i="5"/>
  <c r="U3745" i="5"/>
  <c r="T3745" i="5"/>
  <c r="S3745" i="5"/>
  <c r="R3745" i="5"/>
  <c r="Q3745" i="5"/>
  <c r="P3745" i="5"/>
  <c r="U3646" i="5"/>
  <c r="T3646" i="5"/>
  <c r="S3646" i="5"/>
  <c r="R3646" i="5"/>
  <c r="Q3646" i="5"/>
  <c r="P3646" i="5"/>
  <c r="U3548" i="5"/>
  <c r="T3548" i="5"/>
  <c r="S3548" i="5"/>
  <c r="R3548" i="5"/>
  <c r="Q3548" i="5"/>
  <c r="P3548" i="5"/>
  <c r="U3450" i="5"/>
  <c r="T3450" i="5"/>
  <c r="S3450" i="5"/>
  <c r="R3450" i="5"/>
  <c r="Q3450" i="5"/>
  <c r="P3450" i="5"/>
  <c r="U3352" i="5"/>
  <c r="T3352" i="5"/>
  <c r="S3352" i="5"/>
  <c r="R3352" i="5"/>
  <c r="Q3352" i="5"/>
  <c r="P3352" i="5"/>
  <c r="U3254" i="5"/>
  <c r="T3254" i="5"/>
  <c r="S3254" i="5"/>
  <c r="R3254" i="5"/>
  <c r="Q3254" i="5"/>
  <c r="P3254" i="5"/>
  <c r="U3156" i="5"/>
  <c r="T3156" i="5"/>
  <c r="S3156" i="5"/>
  <c r="R3156" i="5"/>
  <c r="Q3156" i="5"/>
  <c r="P3156" i="5"/>
  <c r="U3058" i="5"/>
  <c r="T3058" i="5"/>
  <c r="S3058" i="5"/>
  <c r="R3058" i="5"/>
  <c r="Q3058" i="5"/>
  <c r="P3058" i="5"/>
  <c r="U2960" i="5"/>
  <c r="T2960" i="5"/>
  <c r="S2960" i="5"/>
  <c r="R2960" i="5"/>
  <c r="Q2960" i="5"/>
  <c r="P2960" i="5"/>
  <c r="U2862" i="5"/>
  <c r="T2862" i="5"/>
  <c r="S2862" i="5"/>
  <c r="R2862" i="5"/>
  <c r="Q2862" i="5"/>
  <c r="P2862" i="5"/>
  <c r="U2764" i="5"/>
  <c r="T2764" i="5"/>
  <c r="S2764" i="5"/>
  <c r="R2764" i="5"/>
  <c r="Q2764" i="5"/>
  <c r="P2764" i="5"/>
  <c r="U2666" i="5"/>
  <c r="T2666" i="5"/>
  <c r="S2666" i="5"/>
  <c r="R2666" i="5"/>
  <c r="Q2666" i="5"/>
  <c r="P2666" i="5"/>
  <c r="U2113" i="5"/>
  <c r="T2113" i="5"/>
  <c r="S2113" i="5"/>
  <c r="I2113" i="5"/>
  <c r="R2113" i="5" s="1"/>
  <c r="H2113" i="5"/>
  <c r="G2113" i="5"/>
  <c r="Q2113" i="5" s="1"/>
  <c r="F2113" i="5"/>
  <c r="E2113" i="5"/>
  <c r="P2113" i="5" s="1"/>
  <c r="D2113" i="5"/>
  <c r="U2112" i="5"/>
  <c r="T2112" i="5"/>
  <c r="S2112" i="5"/>
  <c r="I2112" i="5"/>
  <c r="R2112" i="5" s="1"/>
  <c r="H2112" i="5"/>
  <c r="G2112" i="5"/>
  <c r="Q2112" i="5" s="1"/>
  <c r="F2112" i="5"/>
  <c r="E2112" i="5"/>
  <c r="P2112" i="5" s="1"/>
  <c r="D2112" i="5"/>
  <c r="U2053" i="5"/>
  <c r="T2053" i="5"/>
  <c r="S2053" i="5"/>
  <c r="I2053" i="5"/>
  <c r="R2053" i="5" s="1"/>
  <c r="H2053" i="5"/>
  <c r="G2053" i="5"/>
  <c r="Q2053" i="5" s="1"/>
  <c r="F2053" i="5"/>
  <c r="E2053" i="5"/>
  <c r="D2053" i="5"/>
  <c r="U2052" i="5"/>
  <c r="T2052" i="5"/>
  <c r="S2052" i="5"/>
  <c r="I2052" i="5"/>
  <c r="R2052" i="5" s="1"/>
  <c r="H2052" i="5"/>
  <c r="G2052" i="5"/>
  <c r="Q2052" i="5" s="1"/>
  <c r="F2052" i="5"/>
  <c r="E2052" i="5"/>
  <c r="D2052" i="5"/>
  <c r="U2051" i="5"/>
  <c r="T2051" i="5"/>
  <c r="S2051" i="5"/>
  <c r="I2051" i="5"/>
  <c r="R2051" i="5" s="1"/>
  <c r="H2051" i="5"/>
  <c r="G2051" i="5"/>
  <c r="Q2051" i="5" s="1"/>
  <c r="F2051" i="5"/>
  <c r="E2051" i="5"/>
  <c r="D2051" i="5"/>
  <c r="U2050" i="5"/>
  <c r="T2050" i="5"/>
  <c r="S2050" i="5"/>
  <c r="I2050" i="5"/>
  <c r="R2050" i="5" s="1"/>
  <c r="H2050" i="5"/>
  <c r="G2050" i="5"/>
  <c r="Q2050" i="5" s="1"/>
  <c r="F2050" i="5"/>
  <c r="E2050" i="5"/>
  <c r="D2050" i="5"/>
  <c r="U1991" i="5"/>
  <c r="T1991" i="5"/>
  <c r="S1991" i="5"/>
  <c r="I1991" i="5"/>
  <c r="R1991" i="5" s="1"/>
  <c r="H1991" i="5"/>
  <c r="G1991" i="5"/>
  <c r="Q1991" i="5" s="1"/>
  <c r="F1991" i="5"/>
  <c r="E1991" i="5"/>
  <c r="P1991" i="5" s="1"/>
  <c r="D1991" i="5"/>
  <c r="U1990" i="5"/>
  <c r="T1990" i="5"/>
  <c r="S1990" i="5"/>
  <c r="I1990" i="5"/>
  <c r="R1990" i="5" s="1"/>
  <c r="H1990" i="5"/>
  <c r="G1990" i="5"/>
  <c r="Q1990" i="5" s="1"/>
  <c r="F1990" i="5"/>
  <c r="E1990" i="5"/>
  <c r="P1990" i="5" s="1"/>
  <c r="D1990" i="5"/>
  <c r="U1989" i="5"/>
  <c r="T1989" i="5"/>
  <c r="S1989" i="5"/>
  <c r="I1989" i="5"/>
  <c r="R1989" i="5" s="1"/>
  <c r="H1989" i="5"/>
  <c r="G1989" i="5"/>
  <c r="Q1989" i="5" s="1"/>
  <c r="F1989" i="5"/>
  <c r="E1989" i="5"/>
  <c r="P1989" i="5" s="1"/>
  <c r="D1989" i="5"/>
  <c r="U1988" i="5"/>
  <c r="T1988" i="5"/>
  <c r="S1988" i="5"/>
  <c r="I1988" i="5"/>
  <c r="R1988" i="5" s="1"/>
  <c r="H1988" i="5"/>
  <c r="G1988" i="5"/>
  <c r="Q1988" i="5" s="1"/>
  <c r="F1988" i="5"/>
  <c r="E1988" i="5"/>
  <c r="D1988" i="5"/>
  <c r="U1929" i="5"/>
  <c r="T1929" i="5"/>
  <c r="S1929" i="5"/>
  <c r="I1929" i="5"/>
  <c r="R1929" i="5" s="1"/>
  <c r="H1929" i="5"/>
  <c r="G1929" i="5"/>
  <c r="Q1929" i="5" s="1"/>
  <c r="F1929" i="5"/>
  <c r="E1929" i="5"/>
  <c r="P1929" i="5" s="1"/>
  <c r="D1929" i="5"/>
  <c r="U1928" i="5"/>
  <c r="T1928" i="5"/>
  <c r="S1928" i="5"/>
  <c r="I1928" i="5"/>
  <c r="R1928" i="5" s="1"/>
  <c r="H1928" i="5"/>
  <c r="G1928" i="5"/>
  <c r="Q1928" i="5" s="1"/>
  <c r="F1928" i="5"/>
  <c r="E1928" i="5"/>
  <c r="P1928" i="5" s="1"/>
  <c r="D1928" i="5"/>
  <c r="U1927" i="5"/>
  <c r="T1927" i="5"/>
  <c r="S1927" i="5"/>
  <c r="I1927" i="5"/>
  <c r="R1927" i="5" s="1"/>
  <c r="H1927" i="5"/>
  <c r="G1927" i="5"/>
  <c r="Q1927" i="5" s="1"/>
  <c r="F1927" i="5"/>
  <c r="E1927" i="5"/>
  <c r="P1927" i="5" s="1"/>
  <c r="D1927" i="5"/>
  <c r="U1926" i="5"/>
  <c r="T1926" i="5"/>
  <c r="S1926" i="5"/>
  <c r="I1926" i="5"/>
  <c r="R1926" i="5" s="1"/>
  <c r="H1926" i="5"/>
  <c r="G1926" i="5"/>
  <c r="Q1926" i="5" s="1"/>
  <c r="F1926" i="5"/>
  <c r="E1926" i="5"/>
  <c r="P1926" i="5" s="1"/>
  <c r="D1926" i="5"/>
  <c r="U1867" i="5"/>
  <c r="T1867" i="5"/>
  <c r="S1867" i="5"/>
  <c r="I1867" i="5"/>
  <c r="R1867" i="5" s="1"/>
  <c r="H1867" i="5"/>
  <c r="G1867" i="5"/>
  <c r="Q1867" i="5" s="1"/>
  <c r="F1867" i="5"/>
  <c r="E1867" i="5"/>
  <c r="P1867" i="5" s="1"/>
  <c r="D1867" i="5"/>
  <c r="U1866" i="5"/>
  <c r="T1866" i="5"/>
  <c r="S1866" i="5"/>
  <c r="I1866" i="5"/>
  <c r="R1866" i="5" s="1"/>
  <c r="H1866" i="5"/>
  <c r="G1866" i="5"/>
  <c r="Q1866" i="5" s="1"/>
  <c r="F1866" i="5"/>
  <c r="E1866" i="5"/>
  <c r="P1866" i="5" s="1"/>
  <c r="D1866" i="5"/>
  <c r="U4140" i="5"/>
  <c r="T4140" i="5"/>
  <c r="S4140" i="5"/>
  <c r="R4140" i="5"/>
  <c r="Q4140" i="5"/>
  <c r="P4140" i="5"/>
  <c r="U4041" i="5"/>
  <c r="T4041" i="5"/>
  <c r="S4041" i="5"/>
  <c r="R4041" i="5"/>
  <c r="Q4041" i="5"/>
  <c r="P4041" i="5"/>
  <c r="U3942" i="5"/>
  <c r="T3942" i="5"/>
  <c r="S3942" i="5"/>
  <c r="R3942" i="5"/>
  <c r="Q3942" i="5"/>
  <c r="P3942" i="5"/>
  <c r="U3843" i="5"/>
  <c r="T3843" i="5"/>
  <c r="S3843" i="5"/>
  <c r="R3843" i="5"/>
  <c r="Q3843" i="5"/>
  <c r="P3843" i="5"/>
  <c r="U3744" i="5"/>
  <c r="T3744" i="5"/>
  <c r="S3744" i="5"/>
  <c r="R3744" i="5"/>
  <c r="Q3744" i="5"/>
  <c r="P3744" i="5"/>
  <c r="U3645" i="5"/>
  <c r="T3645" i="5"/>
  <c r="S3645" i="5"/>
  <c r="R3645" i="5"/>
  <c r="Q3645" i="5"/>
  <c r="P3645" i="5"/>
  <c r="U3547" i="5"/>
  <c r="T3547" i="5"/>
  <c r="S3547" i="5"/>
  <c r="R3547" i="5"/>
  <c r="Q3547" i="5"/>
  <c r="P3547" i="5"/>
  <c r="U3449" i="5"/>
  <c r="T3449" i="5"/>
  <c r="S3449" i="5"/>
  <c r="R3449" i="5"/>
  <c r="Q3449" i="5"/>
  <c r="P3449" i="5"/>
  <c r="U3351" i="5"/>
  <c r="T3351" i="5"/>
  <c r="S3351" i="5"/>
  <c r="R3351" i="5"/>
  <c r="Q3351" i="5"/>
  <c r="P3351" i="5"/>
  <c r="U3253" i="5"/>
  <c r="T3253" i="5"/>
  <c r="S3253" i="5"/>
  <c r="R3253" i="5"/>
  <c r="Q3253" i="5"/>
  <c r="P3253" i="5"/>
  <c r="U3155" i="5"/>
  <c r="T3155" i="5"/>
  <c r="S3155" i="5"/>
  <c r="R3155" i="5"/>
  <c r="Q3155" i="5"/>
  <c r="P3155" i="5"/>
  <c r="U3057" i="5"/>
  <c r="T3057" i="5"/>
  <c r="S3057" i="5"/>
  <c r="R3057" i="5"/>
  <c r="Q3057" i="5"/>
  <c r="P3057" i="5"/>
  <c r="U2959" i="5"/>
  <c r="T2959" i="5"/>
  <c r="S2959" i="5"/>
  <c r="R2959" i="5"/>
  <c r="Q2959" i="5"/>
  <c r="P2959" i="5"/>
  <c r="U2861" i="5"/>
  <c r="T2861" i="5"/>
  <c r="S2861" i="5"/>
  <c r="R2861" i="5"/>
  <c r="Q2861" i="5"/>
  <c r="P2861" i="5"/>
  <c r="U2763" i="5"/>
  <c r="T2763" i="5"/>
  <c r="S2763" i="5"/>
  <c r="R2763" i="5"/>
  <c r="Q2763" i="5"/>
  <c r="P2763" i="5"/>
  <c r="U2665" i="5"/>
  <c r="T2665" i="5"/>
  <c r="S2665" i="5"/>
  <c r="R2665" i="5"/>
  <c r="Q2665" i="5"/>
  <c r="P2665" i="5"/>
  <c r="U4139" i="5"/>
  <c r="T4139" i="5"/>
  <c r="S4139" i="5"/>
  <c r="R4139" i="5"/>
  <c r="Q4139" i="5"/>
  <c r="P4139" i="5"/>
  <c r="U4040" i="5"/>
  <c r="T4040" i="5"/>
  <c r="S4040" i="5"/>
  <c r="R4040" i="5"/>
  <c r="Q4040" i="5"/>
  <c r="P4040" i="5"/>
  <c r="U3941" i="5"/>
  <c r="T3941" i="5"/>
  <c r="S3941" i="5"/>
  <c r="R3941" i="5"/>
  <c r="Q3941" i="5"/>
  <c r="P3941" i="5"/>
  <c r="U3842" i="5"/>
  <c r="T3842" i="5"/>
  <c r="S3842" i="5"/>
  <c r="R3842" i="5"/>
  <c r="Q3842" i="5"/>
  <c r="P3842" i="5"/>
  <c r="U3743" i="5"/>
  <c r="T3743" i="5"/>
  <c r="S3743" i="5"/>
  <c r="R3743" i="5"/>
  <c r="Q3743" i="5"/>
  <c r="P3743" i="5"/>
  <c r="U3644" i="5"/>
  <c r="T3644" i="5"/>
  <c r="S3644" i="5"/>
  <c r="R3644" i="5"/>
  <c r="Q3644" i="5"/>
  <c r="P3644" i="5"/>
  <c r="U3546" i="5"/>
  <c r="T3546" i="5"/>
  <c r="S3546" i="5"/>
  <c r="R3546" i="5"/>
  <c r="Q3546" i="5"/>
  <c r="P3546" i="5"/>
  <c r="U3448" i="5"/>
  <c r="T3448" i="5"/>
  <c r="S3448" i="5"/>
  <c r="R3448" i="5"/>
  <c r="Q3448" i="5"/>
  <c r="P3448" i="5"/>
  <c r="U3350" i="5"/>
  <c r="T3350" i="5"/>
  <c r="S3350" i="5"/>
  <c r="R3350" i="5"/>
  <c r="Q3350" i="5"/>
  <c r="P3350" i="5"/>
  <c r="U3252" i="5"/>
  <c r="T3252" i="5"/>
  <c r="S3252" i="5"/>
  <c r="R3252" i="5"/>
  <c r="Q3252" i="5"/>
  <c r="P3252" i="5"/>
  <c r="U3154" i="5"/>
  <c r="T3154" i="5"/>
  <c r="S3154" i="5"/>
  <c r="R3154" i="5"/>
  <c r="Q3154" i="5"/>
  <c r="P3154" i="5"/>
  <c r="U3056" i="5"/>
  <c r="T3056" i="5"/>
  <c r="S3056" i="5"/>
  <c r="R3056" i="5"/>
  <c r="Q3056" i="5"/>
  <c r="P3056" i="5"/>
  <c r="U2958" i="5"/>
  <c r="T2958" i="5"/>
  <c r="S2958" i="5"/>
  <c r="R2958" i="5"/>
  <c r="Q2958" i="5"/>
  <c r="P2958" i="5"/>
  <c r="U2860" i="5"/>
  <c r="T2860" i="5"/>
  <c r="S2860" i="5"/>
  <c r="R2860" i="5"/>
  <c r="Q2860" i="5"/>
  <c r="P2860" i="5"/>
  <c r="U2762" i="5"/>
  <c r="T2762" i="5"/>
  <c r="S2762" i="5"/>
  <c r="R2762" i="5"/>
  <c r="Q2762" i="5"/>
  <c r="P2762" i="5"/>
  <c r="U2664" i="5"/>
  <c r="T2664" i="5"/>
  <c r="S2664" i="5"/>
  <c r="R2664" i="5"/>
  <c r="Q2664" i="5"/>
  <c r="P2664" i="5"/>
  <c r="U4138" i="5"/>
  <c r="T4138" i="5"/>
  <c r="S4138" i="5"/>
  <c r="R4138" i="5"/>
  <c r="Q4138" i="5"/>
  <c r="P4138" i="5"/>
  <c r="U4039" i="5"/>
  <c r="T4039" i="5"/>
  <c r="S4039" i="5"/>
  <c r="R4039" i="5"/>
  <c r="Q4039" i="5"/>
  <c r="P4039" i="5"/>
  <c r="U3940" i="5"/>
  <c r="T3940" i="5"/>
  <c r="S3940" i="5"/>
  <c r="R3940" i="5"/>
  <c r="Q3940" i="5"/>
  <c r="P3940" i="5"/>
  <c r="U3841" i="5"/>
  <c r="T3841" i="5"/>
  <c r="S3841" i="5"/>
  <c r="R3841" i="5"/>
  <c r="Q3841" i="5"/>
  <c r="P3841" i="5"/>
  <c r="U3742" i="5"/>
  <c r="T3742" i="5"/>
  <c r="S3742" i="5"/>
  <c r="R3742" i="5"/>
  <c r="Q3742" i="5"/>
  <c r="P3742" i="5"/>
  <c r="U3643" i="5"/>
  <c r="T3643" i="5"/>
  <c r="S3643" i="5"/>
  <c r="R3643" i="5"/>
  <c r="Q3643" i="5"/>
  <c r="P3643" i="5"/>
  <c r="U3545" i="5"/>
  <c r="T3545" i="5"/>
  <c r="S3545" i="5"/>
  <c r="R3545" i="5"/>
  <c r="Q3545" i="5"/>
  <c r="P3545" i="5"/>
  <c r="U3447" i="5"/>
  <c r="T3447" i="5"/>
  <c r="S3447" i="5"/>
  <c r="R3447" i="5"/>
  <c r="Q3447" i="5"/>
  <c r="P3447" i="5"/>
  <c r="U3349" i="5"/>
  <c r="T3349" i="5"/>
  <c r="S3349" i="5"/>
  <c r="R3349" i="5"/>
  <c r="Q3349" i="5"/>
  <c r="P3349" i="5"/>
  <c r="U3251" i="5"/>
  <c r="T3251" i="5"/>
  <c r="S3251" i="5"/>
  <c r="R3251" i="5"/>
  <c r="Q3251" i="5"/>
  <c r="P3251" i="5"/>
  <c r="U3153" i="5"/>
  <c r="T3153" i="5"/>
  <c r="S3153" i="5"/>
  <c r="R3153" i="5"/>
  <c r="Q3153" i="5"/>
  <c r="P3153" i="5"/>
  <c r="U3055" i="5"/>
  <c r="T3055" i="5"/>
  <c r="S3055" i="5"/>
  <c r="R3055" i="5"/>
  <c r="Q3055" i="5"/>
  <c r="P3055" i="5"/>
  <c r="U2957" i="5"/>
  <c r="T2957" i="5"/>
  <c r="S2957" i="5"/>
  <c r="R2957" i="5"/>
  <c r="Q2957" i="5"/>
  <c r="P2957" i="5"/>
  <c r="U2859" i="5"/>
  <c r="T2859" i="5"/>
  <c r="S2859" i="5"/>
  <c r="R2859" i="5"/>
  <c r="Q2859" i="5"/>
  <c r="P2859" i="5"/>
  <c r="U2761" i="5"/>
  <c r="T2761" i="5"/>
  <c r="S2761" i="5"/>
  <c r="R2761" i="5"/>
  <c r="Q2761" i="5"/>
  <c r="P2761" i="5"/>
  <c r="U2663" i="5"/>
  <c r="T2663" i="5"/>
  <c r="S2663" i="5"/>
  <c r="R2663" i="5"/>
  <c r="Q2663" i="5"/>
  <c r="P2663" i="5"/>
  <c r="U4137" i="5"/>
  <c r="T4137" i="5"/>
  <c r="S4137" i="5"/>
  <c r="R4137" i="5"/>
  <c r="Q4137" i="5"/>
  <c r="P4137" i="5"/>
  <c r="U4038" i="5"/>
  <c r="T4038" i="5"/>
  <c r="S4038" i="5"/>
  <c r="R4038" i="5"/>
  <c r="Q4038" i="5"/>
  <c r="P4038" i="5"/>
  <c r="U3939" i="5"/>
  <c r="T3939" i="5"/>
  <c r="S3939" i="5"/>
  <c r="R3939" i="5"/>
  <c r="Q3939" i="5"/>
  <c r="P3939" i="5"/>
  <c r="U3840" i="5"/>
  <c r="T3840" i="5"/>
  <c r="S3840" i="5"/>
  <c r="R3840" i="5"/>
  <c r="Q3840" i="5"/>
  <c r="P3840" i="5"/>
  <c r="U3741" i="5"/>
  <c r="T3741" i="5"/>
  <c r="S3741" i="5"/>
  <c r="R3741" i="5"/>
  <c r="Q3741" i="5"/>
  <c r="P3741" i="5"/>
  <c r="U3642" i="5"/>
  <c r="T3642" i="5"/>
  <c r="S3642" i="5"/>
  <c r="R3642" i="5"/>
  <c r="Q3642" i="5"/>
  <c r="P3642" i="5"/>
  <c r="U3544" i="5"/>
  <c r="T3544" i="5"/>
  <c r="S3544" i="5"/>
  <c r="R3544" i="5"/>
  <c r="Q3544" i="5"/>
  <c r="P3544" i="5"/>
  <c r="U3446" i="5"/>
  <c r="T3446" i="5"/>
  <c r="S3446" i="5"/>
  <c r="R3446" i="5"/>
  <c r="Q3446" i="5"/>
  <c r="P3446" i="5"/>
  <c r="U3348" i="5"/>
  <c r="T3348" i="5"/>
  <c r="S3348" i="5"/>
  <c r="R3348" i="5"/>
  <c r="Q3348" i="5"/>
  <c r="P3348" i="5"/>
  <c r="U3250" i="5"/>
  <c r="T3250" i="5"/>
  <c r="S3250" i="5"/>
  <c r="R3250" i="5"/>
  <c r="Q3250" i="5"/>
  <c r="P3250" i="5"/>
  <c r="U3152" i="5"/>
  <c r="T3152" i="5"/>
  <c r="S3152" i="5"/>
  <c r="R3152" i="5"/>
  <c r="Q3152" i="5"/>
  <c r="P3152" i="5"/>
  <c r="U3054" i="5"/>
  <c r="T3054" i="5"/>
  <c r="S3054" i="5"/>
  <c r="R3054" i="5"/>
  <c r="Q3054" i="5"/>
  <c r="P3054" i="5"/>
  <c r="U2956" i="5"/>
  <c r="T2956" i="5"/>
  <c r="S2956" i="5"/>
  <c r="R2956" i="5"/>
  <c r="Q2956" i="5"/>
  <c r="P2956" i="5"/>
  <c r="U2858" i="5"/>
  <c r="T2858" i="5"/>
  <c r="S2858" i="5"/>
  <c r="R2858" i="5"/>
  <c r="Q2858" i="5"/>
  <c r="P2858" i="5"/>
  <c r="U2760" i="5"/>
  <c r="T2760" i="5"/>
  <c r="S2760" i="5"/>
  <c r="R2760" i="5"/>
  <c r="Q2760" i="5"/>
  <c r="P2760" i="5"/>
  <c r="U2662" i="5"/>
  <c r="T2662" i="5"/>
  <c r="S2662" i="5"/>
  <c r="R2662" i="5"/>
  <c r="Q2662" i="5"/>
  <c r="P2662" i="5"/>
  <c r="U4136" i="5"/>
  <c r="T4136" i="5"/>
  <c r="S4136" i="5"/>
  <c r="R4136" i="5"/>
  <c r="Q4136" i="5"/>
  <c r="P4136" i="5"/>
  <c r="U4037" i="5"/>
  <c r="T4037" i="5"/>
  <c r="S4037" i="5"/>
  <c r="R4037" i="5"/>
  <c r="Q4037" i="5"/>
  <c r="P4037" i="5"/>
  <c r="U3938" i="5"/>
  <c r="T3938" i="5"/>
  <c r="S3938" i="5"/>
  <c r="R3938" i="5"/>
  <c r="Q3938" i="5"/>
  <c r="P3938" i="5"/>
  <c r="U3839" i="5"/>
  <c r="T3839" i="5"/>
  <c r="S3839" i="5"/>
  <c r="R3839" i="5"/>
  <c r="Q3839" i="5"/>
  <c r="P3839" i="5"/>
  <c r="U3740" i="5"/>
  <c r="T3740" i="5"/>
  <c r="S3740" i="5"/>
  <c r="R3740" i="5"/>
  <c r="Q3740" i="5"/>
  <c r="P3740" i="5"/>
  <c r="U3641" i="5"/>
  <c r="T3641" i="5"/>
  <c r="S3641" i="5"/>
  <c r="R3641" i="5"/>
  <c r="Q3641" i="5"/>
  <c r="P3641" i="5"/>
  <c r="U3543" i="5"/>
  <c r="T3543" i="5"/>
  <c r="S3543" i="5"/>
  <c r="R3543" i="5"/>
  <c r="Q3543" i="5"/>
  <c r="P3543" i="5"/>
  <c r="U3445" i="5"/>
  <c r="T3445" i="5"/>
  <c r="S3445" i="5"/>
  <c r="R3445" i="5"/>
  <c r="Q3445" i="5"/>
  <c r="P3445" i="5"/>
  <c r="U3347" i="5"/>
  <c r="T3347" i="5"/>
  <c r="S3347" i="5"/>
  <c r="R3347" i="5"/>
  <c r="Q3347" i="5"/>
  <c r="P3347" i="5"/>
  <c r="U3249" i="5"/>
  <c r="T3249" i="5"/>
  <c r="S3249" i="5"/>
  <c r="R3249" i="5"/>
  <c r="Q3249" i="5"/>
  <c r="P3249" i="5"/>
  <c r="U3151" i="5"/>
  <c r="T3151" i="5"/>
  <c r="S3151" i="5"/>
  <c r="R3151" i="5"/>
  <c r="Q3151" i="5"/>
  <c r="P3151" i="5"/>
  <c r="U3053" i="5"/>
  <c r="T3053" i="5"/>
  <c r="S3053" i="5"/>
  <c r="R3053" i="5"/>
  <c r="Q3053" i="5"/>
  <c r="P3053" i="5"/>
  <c r="U2955" i="5"/>
  <c r="T2955" i="5"/>
  <c r="S2955" i="5"/>
  <c r="R2955" i="5"/>
  <c r="Q2955" i="5"/>
  <c r="P2955" i="5"/>
  <c r="U2857" i="5"/>
  <c r="T2857" i="5"/>
  <c r="S2857" i="5"/>
  <c r="R2857" i="5"/>
  <c r="Q2857" i="5"/>
  <c r="P2857" i="5"/>
  <c r="U2759" i="5"/>
  <c r="T2759" i="5"/>
  <c r="S2759" i="5"/>
  <c r="R2759" i="5"/>
  <c r="Q2759" i="5"/>
  <c r="P2759" i="5"/>
  <c r="U2661" i="5"/>
  <c r="T2661" i="5"/>
  <c r="S2661" i="5"/>
  <c r="R2661" i="5"/>
  <c r="Q2661" i="5"/>
  <c r="P2661" i="5"/>
  <c r="U4135" i="5"/>
  <c r="T4135" i="5"/>
  <c r="S4135" i="5"/>
  <c r="R4135" i="5"/>
  <c r="Q4135" i="5"/>
  <c r="P4135" i="5"/>
  <c r="U4036" i="5"/>
  <c r="T4036" i="5"/>
  <c r="S4036" i="5"/>
  <c r="R4036" i="5"/>
  <c r="Q4036" i="5"/>
  <c r="P4036" i="5"/>
  <c r="U3937" i="5"/>
  <c r="T3937" i="5"/>
  <c r="S3937" i="5"/>
  <c r="R3937" i="5"/>
  <c r="Q3937" i="5"/>
  <c r="P3937" i="5"/>
  <c r="U3838" i="5"/>
  <c r="T3838" i="5"/>
  <c r="S3838" i="5"/>
  <c r="R3838" i="5"/>
  <c r="Q3838" i="5"/>
  <c r="P3838" i="5"/>
  <c r="U3739" i="5"/>
  <c r="T3739" i="5"/>
  <c r="S3739" i="5"/>
  <c r="R3739" i="5"/>
  <c r="Q3739" i="5"/>
  <c r="P3739" i="5"/>
  <c r="U3640" i="5"/>
  <c r="T3640" i="5"/>
  <c r="S3640" i="5"/>
  <c r="R3640" i="5"/>
  <c r="Q3640" i="5"/>
  <c r="P3640" i="5"/>
  <c r="U3542" i="5"/>
  <c r="T3542" i="5"/>
  <c r="S3542" i="5"/>
  <c r="R3542" i="5"/>
  <c r="Q3542" i="5"/>
  <c r="P3542" i="5"/>
  <c r="U3444" i="5"/>
  <c r="T3444" i="5"/>
  <c r="S3444" i="5"/>
  <c r="R3444" i="5"/>
  <c r="Q3444" i="5"/>
  <c r="P3444" i="5"/>
  <c r="U3346" i="5"/>
  <c r="T3346" i="5"/>
  <c r="S3346" i="5"/>
  <c r="R3346" i="5"/>
  <c r="Q3346" i="5"/>
  <c r="P3346" i="5"/>
  <c r="U3248" i="5"/>
  <c r="T3248" i="5"/>
  <c r="S3248" i="5"/>
  <c r="R3248" i="5"/>
  <c r="Q3248" i="5"/>
  <c r="P3248" i="5"/>
  <c r="U3150" i="5"/>
  <c r="T3150" i="5"/>
  <c r="S3150" i="5"/>
  <c r="R3150" i="5"/>
  <c r="Q3150" i="5"/>
  <c r="P3150" i="5"/>
  <c r="U3052" i="5"/>
  <c r="T3052" i="5"/>
  <c r="S3052" i="5"/>
  <c r="R3052" i="5"/>
  <c r="Q3052" i="5"/>
  <c r="P3052" i="5"/>
  <c r="U2954" i="5"/>
  <c r="T2954" i="5"/>
  <c r="S2954" i="5"/>
  <c r="R2954" i="5"/>
  <c r="Q2954" i="5"/>
  <c r="P2954" i="5"/>
  <c r="U2856" i="5"/>
  <c r="T2856" i="5"/>
  <c r="S2856" i="5"/>
  <c r="R2856" i="5"/>
  <c r="Q2856" i="5"/>
  <c r="P2856" i="5"/>
  <c r="U2758" i="5"/>
  <c r="T2758" i="5"/>
  <c r="S2758" i="5"/>
  <c r="R2758" i="5"/>
  <c r="Q2758" i="5"/>
  <c r="P2758" i="5"/>
  <c r="U2660" i="5"/>
  <c r="T2660" i="5"/>
  <c r="S2660" i="5"/>
  <c r="R2660" i="5"/>
  <c r="Q2660" i="5"/>
  <c r="P2660" i="5"/>
  <c r="U4134" i="5"/>
  <c r="T4134" i="5"/>
  <c r="S4134" i="5"/>
  <c r="R4134" i="5"/>
  <c r="Q4134" i="5"/>
  <c r="P4134" i="5"/>
  <c r="U4035" i="5"/>
  <c r="T4035" i="5"/>
  <c r="S4035" i="5"/>
  <c r="R4035" i="5"/>
  <c r="Q4035" i="5"/>
  <c r="P4035" i="5"/>
  <c r="U3936" i="5"/>
  <c r="T3936" i="5"/>
  <c r="S3936" i="5"/>
  <c r="R3936" i="5"/>
  <c r="Q3936" i="5"/>
  <c r="P3936" i="5"/>
  <c r="U3837" i="5"/>
  <c r="T3837" i="5"/>
  <c r="S3837" i="5"/>
  <c r="R3837" i="5"/>
  <c r="Q3837" i="5"/>
  <c r="P3837" i="5"/>
  <c r="U3738" i="5"/>
  <c r="T3738" i="5"/>
  <c r="S3738" i="5"/>
  <c r="R3738" i="5"/>
  <c r="Q3738" i="5"/>
  <c r="P3738" i="5"/>
  <c r="U3639" i="5"/>
  <c r="T3639" i="5"/>
  <c r="S3639" i="5"/>
  <c r="R3639" i="5"/>
  <c r="Q3639" i="5"/>
  <c r="P3639" i="5"/>
  <c r="U3541" i="5"/>
  <c r="T3541" i="5"/>
  <c r="S3541" i="5"/>
  <c r="R3541" i="5"/>
  <c r="Q3541" i="5"/>
  <c r="P3541" i="5"/>
  <c r="U3443" i="5"/>
  <c r="T3443" i="5"/>
  <c r="S3443" i="5"/>
  <c r="R3443" i="5"/>
  <c r="Q3443" i="5"/>
  <c r="P3443" i="5"/>
  <c r="U3345" i="5"/>
  <c r="T3345" i="5"/>
  <c r="S3345" i="5"/>
  <c r="R3345" i="5"/>
  <c r="Q3345" i="5"/>
  <c r="P3345" i="5"/>
  <c r="U3247" i="5"/>
  <c r="T3247" i="5"/>
  <c r="S3247" i="5"/>
  <c r="R3247" i="5"/>
  <c r="Q3247" i="5"/>
  <c r="P3247" i="5"/>
  <c r="U3149" i="5"/>
  <c r="T3149" i="5"/>
  <c r="S3149" i="5"/>
  <c r="R3149" i="5"/>
  <c r="Q3149" i="5"/>
  <c r="P3149" i="5"/>
  <c r="U3051" i="5"/>
  <c r="T3051" i="5"/>
  <c r="S3051" i="5"/>
  <c r="R3051" i="5"/>
  <c r="Q3051" i="5"/>
  <c r="P3051" i="5"/>
  <c r="U2953" i="5"/>
  <c r="T2953" i="5"/>
  <c r="S2953" i="5"/>
  <c r="R2953" i="5"/>
  <c r="Q2953" i="5"/>
  <c r="P2953" i="5"/>
  <c r="U2855" i="5"/>
  <c r="T2855" i="5"/>
  <c r="S2855" i="5"/>
  <c r="R2855" i="5"/>
  <c r="Q2855" i="5"/>
  <c r="P2855" i="5"/>
  <c r="U2757" i="5"/>
  <c r="T2757" i="5"/>
  <c r="S2757" i="5"/>
  <c r="R2757" i="5"/>
  <c r="Q2757" i="5"/>
  <c r="P2757" i="5"/>
  <c r="U2659" i="5"/>
  <c r="T2659" i="5"/>
  <c r="S2659" i="5"/>
  <c r="R2659" i="5"/>
  <c r="Q2659" i="5"/>
  <c r="P2659" i="5"/>
  <c r="U4133" i="5"/>
  <c r="T4133" i="5"/>
  <c r="S4133" i="5"/>
  <c r="R4133" i="5"/>
  <c r="Q4133" i="5"/>
  <c r="P4133" i="5"/>
  <c r="U4034" i="5"/>
  <c r="T4034" i="5"/>
  <c r="S4034" i="5"/>
  <c r="R4034" i="5"/>
  <c r="Q4034" i="5"/>
  <c r="P4034" i="5"/>
  <c r="U3935" i="5"/>
  <c r="T3935" i="5"/>
  <c r="S3935" i="5"/>
  <c r="R3935" i="5"/>
  <c r="Q3935" i="5"/>
  <c r="P3935" i="5"/>
  <c r="U3836" i="5"/>
  <c r="T3836" i="5"/>
  <c r="S3836" i="5"/>
  <c r="R3836" i="5"/>
  <c r="Q3836" i="5"/>
  <c r="P3836" i="5"/>
  <c r="U3737" i="5"/>
  <c r="T3737" i="5"/>
  <c r="S3737" i="5"/>
  <c r="R3737" i="5"/>
  <c r="Q3737" i="5"/>
  <c r="P3737" i="5"/>
  <c r="U3638" i="5"/>
  <c r="T3638" i="5"/>
  <c r="S3638" i="5"/>
  <c r="R3638" i="5"/>
  <c r="Q3638" i="5"/>
  <c r="P3638" i="5"/>
  <c r="U3540" i="5"/>
  <c r="T3540" i="5"/>
  <c r="S3540" i="5"/>
  <c r="R3540" i="5"/>
  <c r="Q3540" i="5"/>
  <c r="P3540" i="5"/>
  <c r="U3442" i="5"/>
  <c r="T3442" i="5"/>
  <c r="S3442" i="5"/>
  <c r="R3442" i="5"/>
  <c r="Q3442" i="5"/>
  <c r="P3442" i="5"/>
  <c r="U3344" i="5"/>
  <c r="T3344" i="5"/>
  <c r="S3344" i="5"/>
  <c r="R3344" i="5"/>
  <c r="Q3344" i="5"/>
  <c r="P3344" i="5"/>
  <c r="U3246" i="5"/>
  <c r="T3246" i="5"/>
  <c r="S3246" i="5"/>
  <c r="R3246" i="5"/>
  <c r="Q3246" i="5"/>
  <c r="P3246" i="5"/>
  <c r="U3148" i="5"/>
  <c r="T3148" i="5"/>
  <c r="S3148" i="5"/>
  <c r="R3148" i="5"/>
  <c r="Q3148" i="5"/>
  <c r="P3148" i="5"/>
  <c r="U3050" i="5"/>
  <c r="T3050" i="5"/>
  <c r="S3050" i="5"/>
  <c r="R3050" i="5"/>
  <c r="Q3050" i="5"/>
  <c r="P3050" i="5"/>
  <c r="U2952" i="5"/>
  <c r="T2952" i="5"/>
  <c r="S2952" i="5"/>
  <c r="R2952" i="5"/>
  <c r="Q2952" i="5"/>
  <c r="P2952" i="5"/>
  <c r="U2854" i="5"/>
  <c r="T2854" i="5"/>
  <c r="S2854" i="5"/>
  <c r="R2854" i="5"/>
  <c r="Q2854" i="5"/>
  <c r="P2854" i="5"/>
  <c r="U2756" i="5"/>
  <c r="T2756" i="5"/>
  <c r="S2756" i="5"/>
  <c r="R2756" i="5"/>
  <c r="Q2756" i="5"/>
  <c r="P2756" i="5"/>
  <c r="U2658" i="5"/>
  <c r="T2658" i="5"/>
  <c r="S2658" i="5"/>
  <c r="R2658" i="5"/>
  <c r="Q2658" i="5"/>
  <c r="P2658" i="5"/>
  <c r="U4132" i="5"/>
  <c r="T4132" i="5"/>
  <c r="S4132" i="5"/>
  <c r="R4132" i="5"/>
  <c r="Q4132" i="5"/>
  <c r="P4132" i="5"/>
  <c r="U4033" i="5"/>
  <c r="T4033" i="5"/>
  <c r="S4033" i="5"/>
  <c r="R4033" i="5"/>
  <c r="Q4033" i="5"/>
  <c r="P4033" i="5"/>
  <c r="U3934" i="5"/>
  <c r="T3934" i="5"/>
  <c r="S3934" i="5"/>
  <c r="R3934" i="5"/>
  <c r="Q3934" i="5"/>
  <c r="P3934" i="5"/>
  <c r="U3835" i="5"/>
  <c r="T3835" i="5"/>
  <c r="S3835" i="5"/>
  <c r="R3835" i="5"/>
  <c r="Q3835" i="5"/>
  <c r="P3835" i="5"/>
  <c r="U3736" i="5"/>
  <c r="T3736" i="5"/>
  <c r="S3736" i="5"/>
  <c r="R3736" i="5"/>
  <c r="Q3736" i="5"/>
  <c r="P3736" i="5"/>
  <c r="U3637" i="5"/>
  <c r="T3637" i="5"/>
  <c r="S3637" i="5"/>
  <c r="R3637" i="5"/>
  <c r="Q3637" i="5"/>
  <c r="P3637" i="5"/>
  <c r="U3539" i="5"/>
  <c r="T3539" i="5"/>
  <c r="S3539" i="5"/>
  <c r="R3539" i="5"/>
  <c r="Q3539" i="5"/>
  <c r="P3539" i="5"/>
  <c r="U3441" i="5"/>
  <c r="T3441" i="5"/>
  <c r="S3441" i="5"/>
  <c r="R3441" i="5"/>
  <c r="Q3441" i="5"/>
  <c r="P3441" i="5"/>
  <c r="U3343" i="5"/>
  <c r="T3343" i="5"/>
  <c r="S3343" i="5"/>
  <c r="R3343" i="5"/>
  <c r="Q3343" i="5"/>
  <c r="P3343" i="5"/>
  <c r="U3245" i="5"/>
  <c r="T3245" i="5"/>
  <c r="S3245" i="5"/>
  <c r="R3245" i="5"/>
  <c r="Q3245" i="5"/>
  <c r="P3245" i="5"/>
  <c r="U3147" i="5"/>
  <c r="T3147" i="5"/>
  <c r="S3147" i="5"/>
  <c r="R3147" i="5"/>
  <c r="Q3147" i="5"/>
  <c r="P3147" i="5"/>
  <c r="U3049" i="5"/>
  <c r="T3049" i="5"/>
  <c r="S3049" i="5"/>
  <c r="R3049" i="5"/>
  <c r="Q3049" i="5"/>
  <c r="P3049" i="5"/>
  <c r="U2951" i="5"/>
  <c r="T2951" i="5"/>
  <c r="S2951" i="5"/>
  <c r="R2951" i="5"/>
  <c r="Q2951" i="5"/>
  <c r="P2951" i="5"/>
  <c r="U2853" i="5"/>
  <c r="T2853" i="5"/>
  <c r="S2853" i="5"/>
  <c r="R2853" i="5"/>
  <c r="Q2853" i="5"/>
  <c r="P2853" i="5"/>
  <c r="U2755" i="5"/>
  <c r="T2755" i="5"/>
  <c r="S2755" i="5"/>
  <c r="R2755" i="5"/>
  <c r="Q2755" i="5"/>
  <c r="P2755" i="5"/>
  <c r="U2657" i="5"/>
  <c r="T2657" i="5"/>
  <c r="S2657" i="5"/>
  <c r="R2657" i="5"/>
  <c r="Q2657" i="5"/>
  <c r="P2657" i="5"/>
  <c r="U4131" i="5"/>
  <c r="T4131" i="5"/>
  <c r="S4131" i="5"/>
  <c r="R4131" i="5"/>
  <c r="Q4131" i="5"/>
  <c r="P4131" i="5"/>
  <c r="U4032" i="5"/>
  <c r="T4032" i="5"/>
  <c r="S4032" i="5"/>
  <c r="R4032" i="5"/>
  <c r="Q4032" i="5"/>
  <c r="P4032" i="5"/>
  <c r="U3933" i="5"/>
  <c r="T3933" i="5"/>
  <c r="S3933" i="5"/>
  <c r="R3933" i="5"/>
  <c r="Q3933" i="5"/>
  <c r="P3933" i="5"/>
  <c r="U3834" i="5"/>
  <c r="T3834" i="5"/>
  <c r="S3834" i="5"/>
  <c r="R3834" i="5"/>
  <c r="Q3834" i="5"/>
  <c r="P3834" i="5"/>
  <c r="U3735" i="5"/>
  <c r="T3735" i="5"/>
  <c r="S3735" i="5"/>
  <c r="R3735" i="5"/>
  <c r="Q3735" i="5"/>
  <c r="P3735" i="5"/>
  <c r="U3636" i="5"/>
  <c r="T3636" i="5"/>
  <c r="S3636" i="5"/>
  <c r="R3636" i="5"/>
  <c r="Q3636" i="5"/>
  <c r="P3636" i="5"/>
  <c r="U3538" i="5"/>
  <c r="T3538" i="5"/>
  <c r="S3538" i="5"/>
  <c r="R3538" i="5"/>
  <c r="Q3538" i="5"/>
  <c r="P3538" i="5"/>
  <c r="U3440" i="5"/>
  <c r="T3440" i="5"/>
  <c r="S3440" i="5"/>
  <c r="R3440" i="5"/>
  <c r="Q3440" i="5"/>
  <c r="P3440" i="5"/>
  <c r="U3342" i="5"/>
  <c r="T3342" i="5"/>
  <c r="S3342" i="5"/>
  <c r="R3342" i="5"/>
  <c r="Q3342" i="5"/>
  <c r="P3342" i="5"/>
  <c r="U3244" i="5"/>
  <c r="T3244" i="5"/>
  <c r="S3244" i="5"/>
  <c r="R3244" i="5"/>
  <c r="Q3244" i="5"/>
  <c r="P3244" i="5"/>
  <c r="U3146" i="5"/>
  <c r="T3146" i="5"/>
  <c r="S3146" i="5"/>
  <c r="R3146" i="5"/>
  <c r="Q3146" i="5"/>
  <c r="P3146" i="5"/>
  <c r="U3048" i="5"/>
  <c r="T3048" i="5"/>
  <c r="S3048" i="5"/>
  <c r="R3048" i="5"/>
  <c r="Q3048" i="5"/>
  <c r="P3048" i="5"/>
  <c r="U2950" i="5"/>
  <c r="T2950" i="5"/>
  <c r="S2950" i="5"/>
  <c r="R2950" i="5"/>
  <c r="Q2950" i="5"/>
  <c r="P2950" i="5"/>
  <c r="U2852" i="5"/>
  <c r="T2852" i="5"/>
  <c r="S2852" i="5"/>
  <c r="R2852" i="5"/>
  <c r="Q2852" i="5"/>
  <c r="P2852" i="5"/>
  <c r="U2754" i="5"/>
  <c r="T2754" i="5"/>
  <c r="S2754" i="5"/>
  <c r="R2754" i="5"/>
  <c r="Q2754" i="5"/>
  <c r="P2754" i="5"/>
  <c r="U2656" i="5"/>
  <c r="T2656" i="5"/>
  <c r="S2656" i="5"/>
  <c r="R2656" i="5"/>
  <c r="Q2656" i="5"/>
  <c r="P2656" i="5"/>
  <c r="U4130" i="5"/>
  <c r="T4130" i="5"/>
  <c r="S4130" i="5"/>
  <c r="R4130" i="5"/>
  <c r="Q4130" i="5"/>
  <c r="P4130" i="5"/>
  <c r="U4031" i="5"/>
  <c r="T4031" i="5"/>
  <c r="S4031" i="5"/>
  <c r="R4031" i="5"/>
  <c r="Q4031" i="5"/>
  <c r="P4031" i="5"/>
  <c r="U3932" i="5"/>
  <c r="T3932" i="5"/>
  <c r="S3932" i="5"/>
  <c r="R3932" i="5"/>
  <c r="Q3932" i="5"/>
  <c r="P3932" i="5"/>
  <c r="U3833" i="5"/>
  <c r="T3833" i="5"/>
  <c r="S3833" i="5"/>
  <c r="R3833" i="5"/>
  <c r="Q3833" i="5"/>
  <c r="P3833" i="5"/>
  <c r="U3734" i="5"/>
  <c r="T3734" i="5"/>
  <c r="S3734" i="5"/>
  <c r="R3734" i="5"/>
  <c r="Q3734" i="5"/>
  <c r="P3734" i="5"/>
  <c r="U3635" i="5"/>
  <c r="T3635" i="5"/>
  <c r="S3635" i="5"/>
  <c r="R3635" i="5"/>
  <c r="Q3635" i="5"/>
  <c r="P3635" i="5"/>
  <c r="U3537" i="5"/>
  <c r="T3537" i="5"/>
  <c r="S3537" i="5"/>
  <c r="R3537" i="5"/>
  <c r="Q3537" i="5"/>
  <c r="P3537" i="5"/>
  <c r="U3439" i="5"/>
  <c r="T3439" i="5"/>
  <c r="S3439" i="5"/>
  <c r="R3439" i="5"/>
  <c r="Q3439" i="5"/>
  <c r="P3439" i="5"/>
  <c r="U3341" i="5"/>
  <c r="T3341" i="5"/>
  <c r="S3341" i="5"/>
  <c r="R3341" i="5"/>
  <c r="Q3341" i="5"/>
  <c r="P3341" i="5"/>
  <c r="U3243" i="5"/>
  <c r="T3243" i="5"/>
  <c r="S3243" i="5"/>
  <c r="R3243" i="5"/>
  <c r="Q3243" i="5"/>
  <c r="P3243" i="5"/>
  <c r="U3145" i="5"/>
  <c r="T3145" i="5"/>
  <c r="S3145" i="5"/>
  <c r="R3145" i="5"/>
  <c r="Q3145" i="5"/>
  <c r="P3145" i="5"/>
  <c r="U3047" i="5"/>
  <c r="T3047" i="5"/>
  <c r="S3047" i="5"/>
  <c r="R3047" i="5"/>
  <c r="Q3047" i="5"/>
  <c r="P3047" i="5"/>
  <c r="U2949" i="5"/>
  <c r="T2949" i="5"/>
  <c r="S2949" i="5"/>
  <c r="R2949" i="5"/>
  <c r="Q2949" i="5"/>
  <c r="P2949" i="5"/>
  <c r="U2851" i="5"/>
  <c r="T2851" i="5"/>
  <c r="S2851" i="5"/>
  <c r="R2851" i="5"/>
  <c r="Q2851" i="5"/>
  <c r="P2851" i="5"/>
  <c r="U2753" i="5"/>
  <c r="T2753" i="5"/>
  <c r="S2753" i="5"/>
  <c r="R2753" i="5"/>
  <c r="Q2753" i="5"/>
  <c r="P2753" i="5"/>
  <c r="U2655" i="5"/>
  <c r="T2655" i="5"/>
  <c r="S2655" i="5"/>
  <c r="R2655" i="5"/>
  <c r="Q2655" i="5"/>
  <c r="P2655" i="5"/>
  <c r="U4129" i="5"/>
  <c r="T4129" i="5"/>
  <c r="S4129" i="5"/>
  <c r="R4129" i="5"/>
  <c r="Q4129" i="5"/>
  <c r="P4129" i="5"/>
  <c r="U4030" i="5"/>
  <c r="T4030" i="5"/>
  <c r="S4030" i="5"/>
  <c r="R4030" i="5"/>
  <c r="Q4030" i="5"/>
  <c r="P4030" i="5"/>
  <c r="U3931" i="5"/>
  <c r="T3931" i="5"/>
  <c r="S3931" i="5"/>
  <c r="R3931" i="5"/>
  <c r="Q3931" i="5"/>
  <c r="P3931" i="5"/>
  <c r="U3832" i="5"/>
  <c r="T3832" i="5"/>
  <c r="S3832" i="5"/>
  <c r="R3832" i="5"/>
  <c r="Q3832" i="5"/>
  <c r="P3832" i="5"/>
  <c r="U3733" i="5"/>
  <c r="T3733" i="5"/>
  <c r="S3733" i="5"/>
  <c r="R3733" i="5"/>
  <c r="Q3733" i="5"/>
  <c r="P3733" i="5"/>
  <c r="U3634" i="5"/>
  <c r="T3634" i="5"/>
  <c r="S3634" i="5"/>
  <c r="R3634" i="5"/>
  <c r="Q3634" i="5"/>
  <c r="P3634" i="5"/>
  <c r="U3536" i="5"/>
  <c r="T3536" i="5"/>
  <c r="S3536" i="5"/>
  <c r="R3536" i="5"/>
  <c r="Q3536" i="5"/>
  <c r="P3536" i="5"/>
  <c r="U3438" i="5"/>
  <c r="T3438" i="5"/>
  <c r="S3438" i="5"/>
  <c r="R3438" i="5"/>
  <c r="Q3438" i="5"/>
  <c r="P3438" i="5"/>
  <c r="U3340" i="5"/>
  <c r="T3340" i="5"/>
  <c r="S3340" i="5"/>
  <c r="R3340" i="5"/>
  <c r="Q3340" i="5"/>
  <c r="P3340" i="5"/>
  <c r="U3242" i="5"/>
  <c r="T3242" i="5"/>
  <c r="S3242" i="5"/>
  <c r="R3242" i="5"/>
  <c r="Q3242" i="5"/>
  <c r="P3242" i="5"/>
  <c r="U3144" i="5"/>
  <c r="T3144" i="5"/>
  <c r="S3144" i="5"/>
  <c r="R3144" i="5"/>
  <c r="Q3144" i="5"/>
  <c r="P3144" i="5"/>
  <c r="U3046" i="5"/>
  <c r="T3046" i="5"/>
  <c r="S3046" i="5"/>
  <c r="R3046" i="5"/>
  <c r="Q3046" i="5"/>
  <c r="P3046" i="5"/>
  <c r="U2948" i="5"/>
  <c r="T2948" i="5"/>
  <c r="S2948" i="5"/>
  <c r="R2948" i="5"/>
  <c r="Q2948" i="5"/>
  <c r="P2948" i="5"/>
  <c r="U2850" i="5"/>
  <c r="T2850" i="5"/>
  <c r="S2850" i="5"/>
  <c r="R2850" i="5"/>
  <c r="Q2850" i="5"/>
  <c r="P2850" i="5"/>
  <c r="U2752" i="5"/>
  <c r="T2752" i="5"/>
  <c r="S2752" i="5"/>
  <c r="R2752" i="5"/>
  <c r="Q2752" i="5"/>
  <c r="P2752" i="5"/>
  <c r="U2654" i="5"/>
  <c r="T2654" i="5"/>
  <c r="S2654" i="5"/>
  <c r="R2654" i="5"/>
  <c r="Q2654" i="5"/>
  <c r="P2654" i="5"/>
  <c r="U4128" i="5"/>
  <c r="T4128" i="5"/>
  <c r="S4128" i="5"/>
  <c r="R4128" i="5"/>
  <c r="Q4128" i="5"/>
  <c r="P4128" i="5"/>
  <c r="U4029" i="5"/>
  <c r="T4029" i="5"/>
  <c r="S4029" i="5"/>
  <c r="R4029" i="5"/>
  <c r="Q4029" i="5"/>
  <c r="P4029" i="5"/>
  <c r="U3930" i="5"/>
  <c r="T3930" i="5"/>
  <c r="S3930" i="5"/>
  <c r="R3930" i="5"/>
  <c r="Q3930" i="5"/>
  <c r="P3930" i="5"/>
  <c r="U3831" i="5"/>
  <c r="T3831" i="5"/>
  <c r="S3831" i="5"/>
  <c r="R3831" i="5"/>
  <c r="Q3831" i="5"/>
  <c r="P3831" i="5"/>
  <c r="U3732" i="5"/>
  <c r="T3732" i="5"/>
  <c r="S3732" i="5"/>
  <c r="R3732" i="5"/>
  <c r="Q3732" i="5"/>
  <c r="P3732" i="5"/>
  <c r="U3633" i="5"/>
  <c r="T3633" i="5"/>
  <c r="S3633" i="5"/>
  <c r="R3633" i="5"/>
  <c r="Q3633" i="5"/>
  <c r="P3633" i="5"/>
  <c r="U3535" i="5"/>
  <c r="T3535" i="5"/>
  <c r="S3535" i="5"/>
  <c r="R3535" i="5"/>
  <c r="Q3535" i="5"/>
  <c r="P3535" i="5"/>
  <c r="U3437" i="5"/>
  <c r="T3437" i="5"/>
  <c r="S3437" i="5"/>
  <c r="R3437" i="5"/>
  <c r="Q3437" i="5"/>
  <c r="P3437" i="5"/>
  <c r="U3339" i="5"/>
  <c r="T3339" i="5"/>
  <c r="S3339" i="5"/>
  <c r="R3339" i="5"/>
  <c r="Q3339" i="5"/>
  <c r="P3339" i="5"/>
  <c r="U3241" i="5"/>
  <c r="T3241" i="5"/>
  <c r="S3241" i="5"/>
  <c r="R3241" i="5"/>
  <c r="Q3241" i="5"/>
  <c r="P3241" i="5"/>
  <c r="U3143" i="5"/>
  <c r="T3143" i="5"/>
  <c r="S3143" i="5"/>
  <c r="R3143" i="5"/>
  <c r="Q3143" i="5"/>
  <c r="P3143" i="5"/>
  <c r="U3045" i="5"/>
  <c r="T3045" i="5"/>
  <c r="S3045" i="5"/>
  <c r="R3045" i="5"/>
  <c r="Q3045" i="5"/>
  <c r="P3045" i="5"/>
  <c r="U2947" i="5"/>
  <c r="T2947" i="5"/>
  <c r="S2947" i="5"/>
  <c r="R2947" i="5"/>
  <c r="Q2947" i="5"/>
  <c r="P2947" i="5"/>
  <c r="U2849" i="5"/>
  <c r="T2849" i="5"/>
  <c r="S2849" i="5"/>
  <c r="R2849" i="5"/>
  <c r="Q2849" i="5"/>
  <c r="P2849" i="5"/>
  <c r="U2751" i="5"/>
  <c r="T2751" i="5"/>
  <c r="S2751" i="5"/>
  <c r="R2751" i="5"/>
  <c r="Q2751" i="5"/>
  <c r="P2751" i="5"/>
  <c r="U2653" i="5"/>
  <c r="T2653" i="5"/>
  <c r="S2653" i="5"/>
  <c r="R2653" i="5"/>
  <c r="Q2653" i="5"/>
  <c r="P2653" i="5"/>
  <c r="U4127" i="5"/>
  <c r="T4127" i="5"/>
  <c r="S4127" i="5"/>
  <c r="R4127" i="5"/>
  <c r="Q4127" i="5"/>
  <c r="P4127" i="5"/>
  <c r="U4028" i="5"/>
  <c r="T4028" i="5"/>
  <c r="S4028" i="5"/>
  <c r="R4028" i="5"/>
  <c r="Q4028" i="5"/>
  <c r="P4028" i="5"/>
  <c r="U3929" i="5"/>
  <c r="T3929" i="5"/>
  <c r="S3929" i="5"/>
  <c r="R3929" i="5"/>
  <c r="Q3929" i="5"/>
  <c r="P3929" i="5"/>
  <c r="U3830" i="5"/>
  <c r="T3830" i="5"/>
  <c r="S3830" i="5"/>
  <c r="R3830" i="5"/>
  <c r="Q3830" i="5"/>
  <c r="P3830" i="5"/>
  <c r="U3731" i="5"/>
  <c r="T3731" i="5"/>
  <c r="S3731" i="5"/>
  <c r="R3731" i="5"/>
  <c r="Q3731" i="5"/>
  <c r="P3731" i="5"/>
  <c r="U3632" i="5"/>
  <c r="T3632" i="5"/>
  <c r="S3632" i="5"/>
  <c r="R3632" i="5"/>
  <c r="Q3632" i="5"/>
  <c r="P3632" i="5"/>
  <c r="U3534" i="5"/>
  <c r="T3534" i="5"/>
  <c r="S3534" i="5"/>
  <c r="R3534" i="5"/>
  <c r="Q3534" i="5"/>
  <c r="P3534" i="5"/>
  <c r="U3436" i="5"/>
  <c r="T3436" i="5"/>
  <c r="S3436" i="5"/>
  <c r="R3436" i="5"/>
  <c r="Q3436" i="5"/>
  <c r="P3436" i="5"/>
  <c r="U3338" i="5"/>
  <c r="T3338" i="5"/>
  <c r="S3338" i="5"/>
  <c r="R3338" i="5"/>
  <c r="Q3338" i="5"/>
  <c r="P3338" i="5"/>
  <c r="U3240" i="5"/>
  <c r="T3240" i="5"/>
  <c r="S3240" i="5"/>
  <c r="R3240" i="5"/>
  <c r="Q3240" i="5"/>
  <c r="P3240" i="5"/>
  <c r="U3142" i="5"/>
  <c r="T3142" i="5"/>
  <c r="S3142" i="5"/>
  <c r="R3142" i="5"/>
  <c r="Q3142" i="5"/>
  <c r="P3142" i="5"/>
  <c r="U3044" i="5"/>
  <c r="T3044" i="5"/>
  <c r="S3044" i="5"/>
  <c r="R3044" i="5"/>
  <c r="Q3044" i="5"/>
  <c r="P3044" i="5"/>
  <c r="U2946" i="5"/>
  <c r="T2946" i="5"/>
  <c r="S2946" i="5"/>
  <c r="R2946" i="5"/>
  <c r="Q2946" i="5"/>
  <c r="P2946" i="5"/>
  <c r="U2848" i="5"/>
  <c r="T2848" i="5"/>
  <c r="S2848" i="5"/>
  <c r="R2848" i="5"/>
  <c r="Q2848" i="5"/>
  <c r="P2848" i="5"/>
  <c r="U2750" i="5"/>
  <c r="T2750" i="5"/>
  <c r="S2750" i="5"/>
  <c r="R2750" i="5"/>
  <c r="Q2750" i="5"/>
  <c r="P2750" i="5"/>
  <c r="U2652" i="5"/>
  <c r="T2652" i="5"/>
  <c r="S2652" i="5"/>
  <c r="R2652" i="5"/>
  <c r="Q2652" i="5"/>
  <c r="P2652" i="5"/>
  <c r="U1865" i="5"/>
  <c r="T1865" i="5"/>
  <c r="S1865" i="5"/>
  <c r="I1865" i="5"/>
  <c r="R1865" i="5" s="1"/>
  <c r="H1865" i="5"/>
  <c r="G1865" i="5"/>
  <c r="Q1865" i="5" s="1"/>
  <c r="F1865" i="5"/>
  <c r="E1865" i="5"/>
  <c r="P1865" i="5" s="1"/>
  <c r="D1865" i="5"/>
  <c r="U1864" i="5"/>
  <c r="T1864" i="5"/>
  <c r="S1864" i="5"/>
  <c r="I1864" i="5"/>
  <c r="R1864" i="5" s="1"/>
  <c r="H1864" i="5"/>
  <c r="G1864" i="5"/>
  <c r="Q1864" i="5" s="1"/>
  <c r="F1864" i="5"/>
  <c r="E1864" i="5"/>
  <c r="P1864" i="5" s="1"/>
  <c r="D1864" i="5"/>
  <c r="U1805" i="5"/>
  <c r="T1805" i="5"/>
  <c r="S1805" i="5"/>
  <c r="I1805" i="5"/>
  <c r="R1805" i="5" s="1"/>
  <c r="H1805" i="5"/>
  <c r="G1805" i="5"/>
  <c r="Q1805" i="5" s="1"/>
  <c r="F1805" i="5"/>
  <c r="E1805" i="5"/>
  <c r="P1805" i="5" s="1"/>
  <c r="D1805" i="5"/>
  <c r="U1804" i="5"/>
  <c r="T1804" i="5"/>
  <c r="S1804" i="5"/>
  <c r="I1804" i="5"/>
  <c r="R1804" i="5" s="1"/>
  <c r="H1804" i="5"/>
  <c r="G1804" i="5"/>
  <c r="Q1804" i="5" s="1"/>
  <c r="F1804" i="5"/>
  <c r="E1804" i="5"/>
  <c r="P1804" i="5" s="1"/>
  <c r="D1804" i="5"/>
  <c r="U1803" i="5"/>
  <c r="T1803" i="5"/>
  <c r="S1803" i="5"/>
  <c r="I1803" i="5"/>
  <c r="R1803" i="5" s="1"/>
  <c r="H1803" i="5"/>
  <c r="G1803" i="5"/>
  <c r="Q1803" i="5" s="1"/>
  <c r="F1803" i="5"/>
  <c r="E1803" i="5"/>
  <c r="P1803" i="5" s="1"/>
  <c r="D1803" i="5"/>
  <c r="U1802" i="5"/>
  <c r="T1802" i="5"/>
  <c r="S1802" i="5"/>
  <c r="I1802" i="5"/>
  <c r="R1802" i="5" s="1"/>
  <c r="H1802" i="5"/>
  <c r="G1802" i="5"/>
  <c r="Q1802" i="5" s="1"/>
  <c r="F1802" i="5"/>
  <c r="E1802" i="5"/>
  <c r="P1802" i="5" s="1"/>
  <c r="D1802" i="5"/>
  <c r="U1739" i="5"/>
  <c r="T1739" i="5"/>
  <c r="S1739" i="5"/>
  <c r="I1739" i="5"/>
  <c r="R1739" i="5" s="1"/>
  <c r="H1739" i="5"/>
  <c r="G1739" i="5"/>
  <c r="Q1739" i="5" s="1"/>
  <c r="F1739" i="5"/>
  <c r="E1739" i="5"/>
  <c r="P1739" i="5" s="1"/>
  <c r="D1739" i="5"/>
  <c r="U1738" i="5"/>
  <c r="T1738" i="5"/>
  <c r="S1738" i="5"/>
  <c r="I1738" i="5"/>
  <c r="R1738" i="5" s="1"/>
  <c r="H1738" i="5"/>
  <c r="G1738" i="5"/>
  <c r="Q1738" i="5" s="1"/>
  <c r="F1738" i="5"/>
  <c r="E1738" i="5"/>
  <c r="P1738" i="5" s="1"/>
  <c r="D1738" i="5"/>
  <c r="U1737" i="5"/>
  <c r="T1737" i="5"/>
  <c r="S1737" i="5"/>
  <c r="I1737" i="5"/>
  <c r="R1737" i="5" s="1"/>
  <c r="H1737" i="5"/>
  <c r="G1737" i="5"/>
  <c r="Q1737" i="5" s="1"/>
  <c r="F1737" i="5"/>
  <c r="E1737" i="5"/>
  <c r="P1737" i="5" s="1"/>
  <c r="D1737" i="5"/>
  <c r="U1736" i="5"/>
  <c r="T1736" i="5"/>
  <c r="S1736" i="5"/>
  <c r="I1736" i="5"/>
  <c r="R1736" i="5" s="1"/>
  <c r="H1736" i="5"/>
  <c r="G1736" i="5"/>
  <c r="Q1736" i="5" s="1"/>
  <c r="F1736" i="5"/>
  <c r="E1736" i="5"/>
  <c r="P1736" i="5" s="1"/>
  <c r="D1736" i="5"/>
  <c r="U1673" i="5"/>
  <c r="T1673" i="5"/>
  <c r="S1673" i="5"/>
  <c r="I1673" i="5"/>
  <c r="R1673" i="5" s="1"/>
  <c r="H1673" i="5"/>
  <c r="G1673" i="5"/>
  <c r="Q1673" i="5" s="1"/>
  <c r="F1673" i="5"/>
  <c r="E1673" i="5"/>
  <c r="P1673" i="5" s="1"/>
  <c r="D1673" i="5"/>
  <c r="U1672" i="5"/>
  <c r="T1672" i="5"/>
  <c r="S1672" i="5"/>
  <c r="I1672" i="5"/>
  <c r="R1672" i="5" s="1"/>
  <c r="H1672" i="5"/>
  <c r="G1672" i="5"/>
  <c r="Q1672" i="5" s="1"/>
  <c r="F1672" i="5"/>
  <c r="E1672" i="5"/>
  <c r="P1672" i="5" s="1"/>
  <c r="D1672" i="5"/>
  <c r="U1671" i="5"/>
  <c r="T1671" i="5"/>
  <c r="S1671" i="5"/>
  <c r="I1671" i="5"/>
  <c r="R1671" i="5" s="1"/>
  <c r="H1671" i="5"/>
  <c r="G1671" i="5"/>
  <c r="Q1671" i="5" s="1"/>
  <c r="F1671" i="5"/>
  <c r="E1671" i="5"/>
  <c r="P1671" i="5" s="1"/>
  <c r="D1671" i="5"/>
  <c r="U1670" i="5"/>
  <c r="T1670" i="5"/>
  <c r="S1670" i="5"/>
  <c r="I1670" i="5"/>
  <c r="R1670" i="5" s="1"/>
  <c r="H1670" i="5"/>
  <c r="G1670" i="5"/>
  <c r="Q1670" i="5" s="1"/>
  <c r="F1670" i="5"/>
  <c r="E1670" i="5"/>
  <c r="P1670" i="5" s="1"/>
  <c r="D1670" i="5"/>
  <c r="U1607" i="5"/>
  <c r="T1607" i="5"/>
  <c r="S1607" i="5"/>
  <c r="I1607" i="5"/>
  <c r="R1607" i="5" s="1"/>
  <c r="H1607" i="5"/>
  <c r="G1607" i="5"/>
  <c r="Q1607" i="5" s="1"/>
  <c r="F1607" i="5"/>
  <c r="E1607" i="5"/>
  <c r="P1607" i="5" s="1"/>
  <c r="D1607" i="5"/>
  <c r="U1606" i="5"/>
  <c r="T1606" i="5"/>
  <c r="S1606" i="5"/>
  <c r="I1606" i="5"/>
  <c r="R1606" i="5" s="1"/>
  <c r="H1606" i="5"/>
  <c r="G1606" i="5"/>
  <c r="Q1606" i="5" s="1"/>
  <c r="F1606" i="5"/>
  <c r="E1606" i="5"/>
  <c r="P1606" i="5" s="1"/>
  <c r="D1606" i="5"/>
  <c r="U4126" i="5"/>
  <c r="T4126" i="5"/>
  <c r="S4126" i="5"/>
  <c r="R4126" i="5"/>
  <c r="Q4126" i="5"/>
  <c r="P4126" i="5"/>
  <c r="U4027" i="5"/>
  <c r="T4027" i="5"/>
  <c r="S4027" i="5"/>
  <c r="R4027" i="5"/>
  <c r="Q4027" i="5"/>
  <c r="P4027" i="5"/>
  <c r="U3928" i="5"/>
  <c r="T3928" i="5"/>
  <c r="S3928" i="5"/>
  <c r="R3928" i="5"/>
  <c r="Q3928" i="5"/>
  <c r="P3928" i="5"/>
  <c r="U3829" i="5"/>
  <c r="T3829" i="5"/>
  <c r="S3829" i="5"/>
  <c r="R3829" i="5"/>
  <c r="Q3829" i="5"/>
  <c r="P3829" i="5"/>
  <c r="U3730" i="5"/>
  <c r="T3730" i="5"/>
  <c r="S3730" i="5"/>
  <c r="R3730" i="5"/>
  <c r="Q3730" i="5"/>
  <c r="P3730" i="5"/>
  <c r="U3631" i="5"/>
  <c r="T3631" i="5"/>
  <c r="S3631" i="5"/>
  <c r="R3631" i="5"/>
  <c r="Q3631" i="5"/>
  <c r="P3631" i="5"/>
  <c r="U3533" i="5"/>
  <c r="T3533" i="5"/>
  <c r="S3533" i="5"/>
  <c r="R3533" i="5"/>
  <c r="Q3533" i="5"/>
  <c r="P3533" i="5"/>
  <c r="U3435" i="5"/>
  <c r="T3435" i="5"/>
  <c r="S3435" i="5"/>
  <c r="R3435" i="5"/>
  <c r="Q3435" i="5"/>
  <c r="P3435" i="5"/>
  <c r="U3337" i="5"/>
  <c r="T3337" i="5"/>
  <c r="S3337" i="5"/>
  <c r="R3337" i="5"/>
  <c r="Q3337" i="5"/>
  <c r="P3337" i="5"/>
  <c r="U3239" i="5"/>
  <c r="T3239" i="5"/>
  <c r="S3239" i="5"/>
  <c r="R3239" i="5"/>
  <c r="Q3239" i="5"/>
  <c r="P3239" i="5"/>
  <c r="U3141" i="5"/>
  <c r="T3141" i="5"/>
  <c r="S3141" i="5"/>
  <c r="R3141" i="5"/>
  <c r="Q3141" i="5"/>
  <c r="P3141" i="5"/>
  <c r="U3043" i="5"/>
  <c r="T3043" i="5"/>
  <c r="S3043" i="5"/>
  <c r="R3043" i="5"/>
  <c r="Q3043" i="5"/>
  <c r="P3043" i="5"/>
  <c r="U2945" i="5"/>
  <c r="T2945" i="5"/>
  <c r="S2945" i="5"/>
  <c r="R2945" i="5"/>
  <c r="Q2945" i="5"/>
  <c r="P2945" i="5"/>
  <c r="U2847" i="5"/>
  <c r="T2847" i="5"/>
  <c r="S2847" i="5"/>
  <c r="R2847" i="5"/>
  <c r="Q2847" i="5"/>
  <c r="P2847" i="5"/>
  <c r="U2749" i="5"/>
  <c r="T2749" i="5"/>
  <c r="S2749" i="5"/>
  <c r="R2749" i="5"/>
  <c r="Q2749" i="5"/>
  <c r="P2749" i="5"/>
  <c r="U2651" i="5"/>
  <c r="T2651" i="5"/>
  <c r="S2651" i="5"/>
  <c r="R2651" i="5"/>
  <c r="Q2651" i="5"/>
  <c r="P2651" i="5"/>
  <c r="U4125" i="5"/>
  <c r="T4125" i="5"/>
  <c r="S4125" i="5"/>
  <c r="R4125" i="5"/>
  <c r="Q4125" i="5"/>
  <c r="P4125" i="5"/>
  <c r="U4026" i="5"/>
  <c r="T4026" i="5"/>
  <c r="S4026" i="5"/>
  <c r="R4026" i="5"/>
  <c r="Q4026" i="5"/>
  <c r="P4026" i="5"/>
  <c r="U3927" i="5"/>
  <c r="T3927" i="5"/>
  <c r="S3927" i="5"/>
  <c r="R3927" i="5"/>
  <c r="Q3927" i="5"/>
  <c r="P3927" i="5"/>
  <c r="U3828" i="5"/>
  <c r="T3828" i="5"/>
  <c r="S3828" i="5"/>
  <c r="R3828" i="5"/>
  <c r="Q3828" i="5"/>
  <c r="P3828" i="5"/>
  <c r="U3729" i="5"/>
  <c r="T3729" i="5"/>
  <c r="S3729" i="5"/>
  <c r="R3729" i="5"/>
  <c r="Q3729" i="5"/>
  <c r="P3729" i="5"/>
  <c r="U3630" i="5"/>
  <c r="T3630" i="5"/>
  <c r="S3630" i="5"/>
  <c r="R3630" i="5"/>
  <c r="Q3630" i="5"/>
  <c r="P3630" i="5"/>
  <c r="U3532" i="5"/>
  <c r="T3532" i="5"/>
  <c r="S3532" i="5"/>
  <c r="R3532" i="5"/>
  <c r="Q3532" i="5"/>
  <c r="P3532" i="5"/>
  <c r="U3434" i="5"/>
  <c r="T3434" i="5"/>
  <c r="S3434" i="5"/>
  <c r="R3434" i="5"/>
  <c r="Q3434" i="5"/>
  <c r="P3434" i="5"/>
  <c r="U3336" i="5"/>
  <c r="T3336" i="5"/>
  <c r="S3336" i="5"/>
  <c r="R3336" i="5"/>
  <c r="Q3336" i="5"/>
  <c r="P3336" i="5"/>
  <c r="U3238" i="5"/>
  <c r="T3238" i="5"/>
  <c r="S3238" i="5"/>
  <c r="R3238" i="5"/>
  <c r="Q3238" i="5"/>
  <c r="P3238" i="5"/>
  <c r="U3140" i="5"/>
  <c r="T3140" i="5"/>
  <c r="S3140" i="5"/>
  <c r="R3140" i="5"/>
  <c r="Q3140" i="5"/>
  <c r="P3140" i="5"/>
  <c r="U3042" i="5"/>
  <c r="T3042" i="5"/>
  <c r="S3042" i="5"/>
  <c r="R3042" i="5"/>
  <c r="Q3042" i="5"/>
  <c r="P3042" i="5"/>
  <c r="U2944" i="5"/>
  <c r="T2944" i="5"/>
  <c r="S2944" i="5"/>
  <c r="R2944" i="5"/>
  <c r="Q2944" i="5"/>
  <c r="P2944" i="5"/>
  <c r="U2846" i="5"/>
  <c r="T2846" i="5"/>
  <c r="S2846" i="5"/>
  <c r="R2846" i="5"/>
  <c r="Q2846" i="5"/>
  <c r="P2846" i="5"/>
  <c r="U2748" i="5"/>
  <c r="T2748" i="5"/>
  <c r="S2748" i="5"/>
  <c r="R2748" i="5"/>
  <c r="Q2748" i="5"/>
  <c r="P2748" i="5"/>
  <c r="U2650" i="5"/>
  <c r="T2650" i="5"/>
  <c r="S2650" i="5"/>
  <c r="R2650" i="5"/>
  <c r="Q2650" i="5"/>
  <c r="P2650" i="5"/>
  <c r="U4124" i="5"/>
  <c r="T4124" i="5"/>
  <c r="S4124" i="5"/>
  <c r="R4124" i="5"/>
  <c r="Q4124" i="5"/>
  <c r="P4124" i="5"/>
  <c r="U4025" i="5"/>
  <c r="T4025" i="5"/>
  <c r="S4025" i="5"/>
  <c r="R4025" i="5"/>
  <c r="Q4025" i="5"/>
  <c r="P4025" i="5"/>
  <c r="U3926" i="5"/>
  <c r="T3926" i="5"/>
  <c r="S3926" i="5"/>
  <c r="R3926" i="5"/>
  <c r="Q3926" i="5"/>
  <c r="P3926" i="5"/>
  <c r="U3827" i="5"/>
  <c r="T3827" i="5"/>
  <c r="S3827" i="5"/>
  <c r="R3827" i="5"/>
  <c r="Q3827" i="5"/>
  <c r="P3827" i="5"/>
  <c r="U3728" i="5"/>
  <c r="T3728" i="5"/>
  <c r="S3728" i="5"/>
  <c r="R3728" i="5"/>
  <c r="Q3728" i="5"/>
  <c r="P3728" i="5"/>
  <c r="U3629" i="5"/>
  <c r="T3629" i="5"/>
  <c r="S3629" i="5"/>
  <c r="R3629" i="5"/>
  <c r="Q3629" i="5"/>
  <c r="P3629" i="5"/>
  <c r="U3531" i="5"/>
  <c r="T3531" i="5"/>
  <c r="S3531" i="5"/>
  <c r="R3531" i="5"/>
  <c r="Q3531" i="5"/>
  <c r="P3531" i="5"/>
  <c r="U3433" i="5"/>
  <c r="T3433" i="5"/>
  <c r="S3433" i="5"/>
  <c r="R3433" i="5"/>
  <c r="Q3433" i="5"/>
  <c r="P3433" i="5"/>
  <c r="U3335" i="5"/>
  <c r="T3335" i="5"/>
  <c r="S3335" i="5"/>
  <c r="R3335" i="5"/>
  <c r="Q3335" i="5"/>
  <c r="P3335" i="5"/>
  <c r="U3237" i="5"/>
  <c r="T3237" i="5"/>
  <c r="S3237" i="5"/>
  <c r="R3237" i="5"/>
  <c r="Q3237" i="5"/>
  <c r="P3237" i="5"/>
  <c r="U3139" i="5"/>
  <c r="T3139" i="5"/>
  <c r="S3139" i="5"/>
  <c r="R3139" i="5"/>
  <c r="Q3139" i="5"/>
  <c r="P3139" i="5"/>
  <c r="U3041" i="5"/>
  <c r="T3041" i="5"/>
  <c r="S3041" i="5"/>
  <c r="R3041" i="5"/>
  <c r="Q3041" i="5"/>
  <c r="P3041" i="5"/>
  <c r="U2943" i="5"/>
  <c r="T2943" i="5"/>
  <c r="S2943" i="5"/>
  <c r="R2943" i="5"/>
  <c r="Q2943" i="5"/>
  <c r="P2943" i="5"/>
  <c r="U2845" i="5"/>
  <c r="T2845" i="5"/>
  <c r="S2845" i="5"/>
  <c r="R2845" i="5"/>
  <c r="Q2845" i="5"/>
  <c r="P2845" i="5"/>
  <c r="U2747" i="5"/>
  <c r="T2747" i="5"/>
  <c r="S2747" i="5"/>
  <c r="R2747" i="5"/>
  <c r="Q2747" i="5"/>
  <c r="P2747" i="5"/>
  <c r="U2649" i="5"/>
  <c r="T2649" i="5"/>
  <c r="S2649" i="5"/>
  <c r="R2649" i="5"/>
  <c r="Q2649" i="5"/>
  <c r="P2649" i="5"/>
  <c r="U4123" i="5"/>
  <c r="T4123" i="5"/>
  <c r="S4123" i="5"/>
  <c r="R4123" i="5"/>
  <c r="Q4123" i="5"/>
  <c r="P4123" i="5"/>
  <c r="U4024" i="5"/>
  <c r="T4024" i="5"/>
  <c r="S4024" i="5"/>
  <c r="R4024" i="5"/>
  <c r="Q4024" i="5"/>
  <c r="P4024" i="5"/>
  <c r="U3925" i="5"/>
  <c r="T3925" i="5"/>
  <c r="S3925" i="5"/>
  <c r="R3925" i="5"/>
  <c r="Q3925" i="5"/>
  <c r="P3925" i="5"/>
  <c r="U3826" i="5"/>
  <c r="T3826" i="5"/>
  <c r="S3826" i="5"/>
  <c r="R3826" i="5"/>
  <c r="Q3826" i="5"/>
  <c r="P3826" i="5"/>
  <c r="U3727" i="5"/>
  <c r="T3727" i="5"/>
  <c r="S3727" i="5"/>
  <c r="R3727" i="5"/>
  <c r="Q3727" i="5"/>
  <c r="P3727" i="5"/>
  <c r="U3628" i="5"/>
  <c r="T3628" i="5"/>
  <c r="S3628" i="5"/>
  <c r="R3628" i="5"/>
  <c r="Q3628" i="5"/>
  <c r="P3628" i="5"/>
  <c r="U3530" i="5"/>
  <c r="T3530" i="5"/>
  <c r="S3530" i="5"/>
  <c r="R3530" i="5"/>
  <c r="Q3530" i="5"/>
  <c r="P3530" i="5"/>
  <c r="U3432" i="5"/>
  <c r="T3432" i="5"/>
  <c r="S3432" i="5"/>
  <c r="R3432" i="5"/>
  <c r="Q3432" i="5"/>
  <c r="P3432" i="5"/>
  <c r="U3334" i="5"/>
  <c r="T3334" i="5"/>
  <c r="S3334" i="5"/>
  <c r="R3334" i="5"/>
  <c r="Q3334" i="5"/>
  <c r="P3334" i="5"/>
  <c r="U3236" i="5"/>
  <c r="T3236" i="5"/>
  <c r="S3236" i="5"/>
  <c r="R3236" i="5"/>
  <c r="Q3236" i="5"/>
  <c r="P3236" i="5"/>
  <c r="U3138" i="5"/>
  <c r="T3138" i="5"/>
  <c r="S3138" i="5"/>
  <c r="R3138" i="5"/>
  <c r="Q3138" i="5"/>
  <c r="P3138" i="5"/>
  <c r="U3040" i="5"/>
  <c r="T3040" i="5"/>
  <c r="S3040" i="5"/>
  <c r="R3040" i="5"/>
  <c r="Q3040" i="5"/>
  <c r="P3040" i="5"/>
  <c r="U2942" i="5"/>
  <c r="T2942" i="5"/>
  <c r="S2942" i="5"/>
  <c r="R2942" i="5"/>
  <c r="Q2942" i="5"/>
  <c r="P2942" i="5"/>
  <c r="U2844" i="5"/>
  <c r="T2844" i="5"/>
  <c r="S2844" i="5"/>
  <c r="R2844" i="5"/>
  <c r="Q2844" i="5"/>
  <c r="P2844" i="5"/>
  <c r="U2746" i="5"/>
  <c r="T2746" i="5"/>
  <c r="S2746" i="5"/>
  <c r="R2746" i="5"/>
  <c r="Q2746" i="5"/>
  <c r="P2746" i="5"/>
  <c r="U2648" i="5"/>
  <c r="T2648" i="5"/>
  <c r="S2648" i="5"/>
  <c r="R2648" i="5"/>
  <c r="Q2648" i="5"/>
  <c r="P2648" i="5"/>
  <c r="U4122" i="5"/>
  <c r="T4122" i="5"/>
  <c r="S4122" i="5"/>
  <c r="R4122" i="5"/>
  <c r="Q4122" i="5"/>
  <c r="P4122" i="5"/>
  <c r="U4023" i="5"/>
  <c r="T4023" i="5"/>
  <c r="S4023" i="5"/>
  <c r="R4023" i="5"/>
  <c r="Q4023" i="5"/>
  <c r="P4023" i="5"/>
  <c r="U3924" i="5"/>
  <c r="T3924" i="5"/>
  <c r="S3924" i="5"/>
  <c r="R3924" i="5"/>
  <c r="Q3924" i="5"/>
  <c r="P3924" i="5"/>
  <c r="U3825" i="5"/>
  <c r="T3825" i="5"/>
  <c r="S3825" i="5"/>
  <c r="R3825" i="5"/>
  <c r="Q3825" i="5"/>
  <c r="P3825" i="5"/>
  <c r="U3726" i="5"/>
  <c r="T3726" i="5"/>
  <c r="S3726" i="5"/>
  <c r="R3726" i="5"/>
  <c r="Q3726" i="5"/>
  <c r="P3726" i="5"/>
  <c r="U3627" i="5"/>
  <c r="T3627" i="5"/>
  <c r="S3627" i="5"/>
  <c r="R3627" i="5"/>
  <c r="Q3627" i="5"/>
  <c r="P3627" i="5"/>
  <c r="U3529" i="5"/>
  <c r="T3529" i="5"/>
  <c r="S3529" i="5"/>
  <c r="R3529" i="5"/>
  <c r="Q3529" i="5"/>
  <c r="P3529" i="5"/>
  <c r="U3431" i="5"/>
  <c r="T3431" i="5"/>
  <c r="S3431" i="5"/>
  <c r="R3431" i="5"/>
  <c r="Q3431" i="5"/>
  <c r="P3431" i="5"/>
  <c r="U3333" i="5"/>
  <c r="T3333" i="5"/>
  <c r="S3333" i="5"/>
  <c r="R3333" i="5"/>
  <c r="Q3333" i="5"/>
  <c r="P3333" i="5"/>
  <c r="U3235" i="5"/>
  <c r="T3235" i="5"/>
  <c r="S3235" i="5"/>
  <c r="R3235" i="5"/>
  <c r="Q3235" i="5"/>
  <c r="P3235" i="5"/>
  <c r="U3137" i="5"/>
  <c r="T3137" i="5"/>
  <c r="S3137" i="5"/>
  <c r="R3137" i="5"/>
  <c r="Q3137" i="5"/>
  <c r="P3137" i="5"/>
  <c r="U3039" i="5"/>
  <c r="T3039" i="5"/>
  <c r="S3039" i="5"/>
  <c r="R3039" i="5"/>
  <c r="Q3039" i="5"/>
  <c r="P3039" i="5"/>
  <c r="U2941" i="5"/>
  <c r="T2941" i="5"/>
  <c r="S2941" i="5"/>
  <c r="R2941" i="5"/>
  <c r="Q2941" i="5"/>
  <c r="P2941" i="5"/>
  <c r="U2843" i="5"/>
  <c r="T2843" i="5"/>
  <c r="S2843" i="5"/>
  <c r="R2843" i="5"/>
  <c r="Q2843" i="5"/>
  <c r="P2843" i="5"/>
  <c r="U2745" i="5"/>
  <c r="T2745" i="5"/>
  <c r="S2745" i="5"/>
  <c r="R2745" i="5"/>
  <c r="Q2745" i="5"/>
  <c r="P2745" i="5"/>
  <c r="U2647" i="5"/>
  <c r="T2647" i="5"/>
  <c r="S2647" i="5"/>
  <c r="R2647" i="5"/>
  <c r="Q2647" i="5"/>
  <c r="P2647" i="5"/>
  <c r="U4121" i="5"/>
  <c r="T4121" i="5"/>
  <c r="S4121" i="5"/>
  <c r="R4121" i="5"/>
  <c r="Q4121" i="5"/>
  <c r="P4121" i="5"/>
  <c r="U4022" i="5"/>
  <c r="T4022" i="5"/>
  <c r="S4022" i="5"/>
  <c r="R4022" i="5"/>
  <c r="Q4022" i="5"/>
  <c r="P4022" i="5"/>
  <c r="U3923" i="5"/>
  <c r="T3923" i="5"/>
  <c r="S3923" i="5"/>
  <c r="R3923" i="5"/>
  <c r="Q3923" i="5"/>
  <c r="P3923" i="5"/>
  <c r="U3824" i="5"/>
  <c r="T3824" i="5"/>
  <c r="S3824" i="5"/>
  <c r="R3824" i="5"/>
  <c r="Q3824" i="5"/>
  <c r="P3824" i="5"/>
  <c r="U3725" i="5"/>
  <c r="T3725" i="5"/>
  <c r="S3725" i="5"/>
  <c r="R3725" i="5"/>
  <c r="Q3725" i="5"/>
  <c r="P3725" i="5"/>
  <c r="U3626" i="5"/>
  <c r="T3626" i="5"/>
  <c r="S3626" i="5"/>
  <c r="R3626" i="5"/>
  <c r="Q3626" i="5"/>
  <c r="P3626" i="5"/>
  <c r="U3528" i="5"/>
  <c r="T3528" i="5"/>
  <c r="S3528" i="5"/>
  <c r="R3528" i="5"/>
  <c r="Q3528" i="5"/>
  <c r="P3528" i="5"/>
  <c r="U3430" i="5"/>
  <c r="T3430" i="5"/>
  <c r="S3430" i="5"/>
  <c r="R3430" i="5"/>
  <c r="Q3430" i="5"/>
  <c r="P3430" i="5"/>
  <c r="U3332" i="5"/>
  <c r="T3332" i="5"/>
  <c r="S3332" i="5"/>
  <c r="R3332" i="5"/>
  <c r="Q3332" i="5"/>
  <c r="P3332" i="5"/>
  <c r="U3234" i="5"/>
  <c r="T3234" i="5"/>
  <c r="S3234" i="5"/>
  <c r="R3234" i="5"/>
  <c r="Q3234" i="5"/>
  <c r="P3234" i="5"/>
  <c r="U3136" i="5"/>
  <c r="T3136" i="5"/>
  <c r="S3136" i="5"/>
  <c r="R3136" i="5"/>
  <c r="Q3136" i="5"/>
  <c r="P3136" i="5"/>
  <c r="U3038" i="5"/>
  <c r="T3038" i="5"/>
  <c r="S3038" i="5"/>
  <c r="R3038" i="5"/>
  <c r="Q3038" i="5"/>
  <c r="P3038" i="5"/>
  <c r="U2940" i="5"/>
  <c r="T2940" i="5"/>
  <c r="S2940" i="5"/>
  <c r="R2940" i="5"/>
  <c r="Q2940" i="5"/>
  <c r="P2940" i="5"/>
  <c r="U2842" i="5"/>
  <c r="T2842" i="5"/>
  <c r="S2842" i="5"/>
  <c r="R2842" i="5"/>
  <c r="Q2842" i="5"/>
  <c r="P2842" i="5"/>
  <c r="U2744" i="5"/>
  <c r="T2744" i="5"/>
  <c r="S2744" i="5"/>
  <c r="R2744" i="5"/>
  <c r="Q2744" i="5"/>
  <c r="P2744" i="5"/>
  <c r="U2646" i="5"/>
  <c r="T2646" i="5"/>
  <c r="S2646" i="5"/>
  <c r="R2646" i="5"/>
  <c r="Q2646" i="5"/>
  <c r="P2646" i="5"/>
  <c r="U4120" i="5"/>
  <c r="T4120" i="5"/>
  <c r="S4120" i="5"/>
  <c r="R4120" i="5"/>
  <c r="Q4120" i="5"/>
  <c r="P4120" i="5"/>
  <c r="U4021" i="5"/>
  <c r="T4021" i="5"/>
  <c r="S4021" i="5"/>
  <c r="R4021" i="5"/>
  <c r="Q4021" i="5"/>
  <c r="P4021" i="5"/>
  <c r="U3922" i="5"/>
  <c r="T3922" i="5"/>
  <c r="S3922" i="5"/>
  <c r="R3922" i="5"/>
  <c r="Q3922" i="5"/>
  <c r="P3922" i="5"/>
  <c r="U3823" i="5"/>
  <c r="T3823" i="5"/>
  <c r="S3823" i="5"/>
  <c r="R3823" i="5"/>
  <c r="Q3823" i="5"/>
  <c r="P3823" i="5"/>
  <c r="U3724" i="5"/>
  <c r="T3724" i="5"/>
  <c r="S3724" i="5"/>
  <c r="R3724" i="5"/>
  <c r="Q3724" i="5"/>
  <c r="P3724" i="5"/>
  <c r="U3625" i="5"/>
  <c r="T3625" i="5"/>
  <c r="S3625" i="5"/>
  <c r="R3625" i="5"/>
  <c r="Q3625" i="5"/>
  <c r="P3625" i="5"/>
  <c r="U3527" i="5"/>
  <c r="T3527" i="5"/>
  <c r="S3527" i="5"/>
  <c r="R3527" i="5"/>
  <c r="Q3527" i="5"/>
  <c r="P3527" i="5"/>
  <c r="U3429" i="5"/>
  <c r="T3429" i="5"/>
  <c r="S3429" i="5"/>
  <c r="R3429" i="5"/>
  <c r="Q3429" i="5"/>
  <c r="P3429" i="5"/>
  <c r="U3331" i="5"/>
  <c r="T3331" i="5"/>
  <c r="S3331" i="5"/>
  <c r="R3331" i="5"/>
  <c r="Q3331" i="5"/>
  <c r="P3331" i="5"/>
  <c r="U3233" i="5"/>
  <c r="T3233" i="5"/>
  <c r="S3233" i="5"/>
  <c r="R3233" i="5"/>
  <c r="Q3233" i="5"/>
  <c r="P3233" i="5"/>
  <c r="U3135" i="5"/>
  <c r="T3135" i="5"/>
  <c r="S3135" i="5"/>
  <c r="R3135" i="5"/>
  <c r="Q3135" i="5"/>
  <c r="P3135" i="5"/>
  <c r="U3037" i="5"/>
  <c r="T3037" i="5"/>
  <c r="S3037" i="5"/>
  <c r="R3037" i="5"/>
  <c r="Q3037" i="5"/>
  <c r="P3037" i="5"/>
  <c r="U2939" i="5"/>
  <c r="T2939" i="5"/>
  <c r="S2939" i="5"/>
  <c r="R2939" i="5"/>
  <c r="Q2939" i="5"/>
  <c r="P2939" i="5"/>
  <c r="U2841" i="5"/>
  <c r="T2841" i="5"/>
  <c r="S2841" i="5"/>
  <c r="R2841" i="5"/>
  <c r="Q2841" i="5"/>
  <c r="P2841" i="5"/>
  <c r="U2743" i="5"/>
  <c r="T2743" i="5"/>
  <c r="S2743" i="5"/>
  <c r="R2743" i="5"/>
  <c r="Q2743" i="5"/>
  <c r="P2743" i="5"/>
  <c r="U2645" i="5"/>
  <c r="T2645" i="5"/>
  <c r="S2645" i="5"/>
  <c r="R2645" i="5"/>
  <c r="Q2645" i="5"/>
  <c r="P2645" i="5"/>
  <c r="U4119" i="5"/>
  <c r="T4119" i="5"/>
  <c r="S4119" i="5"/>
  <c r="R4119" i="5"/>
  <c r="Q4119" i="5"/>
  <c r="P4119" i="5"/>
  <c r="U4020" i="5"/>
  <c r="T4020" i="5"/>
  <c r="S4020" i="5"/>
  <c r="R4020" i="5"/>
  <c r="Q4020" i="5"/>
  <c r="P4020" i="5"/>
  <c r="U3921" i="5"/>
  <c r="T3921" i="5"/>
  <c r="S3921" i="5"/>
  <c r="R3921" i="5"/>
  <c r="Q3921" i="5"/>
  <c r="P3921" i="5"/>
  <c r="U3822" i="5"/>
  <c r="T3822" i="5"/>
  <c r="S3822" i="5"/>
  <c r="R3822" i="5"/>
  <c r="Q3822" i="5"/>
  <c r="P3822" i="5"/>
  <c r="U3723" i="5"/>
  <c r="T3723" i="5"/>
  <c r="S3723" i="5"/>
  <c r="R3723" i="5"/>
  <c r="Q3723" i="5"/>
  <c r="P3723" i="5"/>
  <c r="U3624" i="5"/>
  <c r="T3624" i="5"/>
  <c r="S3624" i="5"/>
  <c r="R3624" i="5"/>
  <c r="Q3624" i="5"/>
  <c r="P3624" i="5"/>
  <c r="U3526" i="5"/>
  <c r="T3526" i="5"/>
  <c r="S3526" i="5"/>
  <c r="R3526" i="5"/>
  <c r="Q3526" i="5"/>
  <c r="P3526" i="5"/>
  <c r="U3428" i="5"/>
  <c r="T3428" i="5"/>
  <c r="S3428" i="5"/>
  <c r="R3428" i="5"/>
  <c r="Q3428" i="5"/>
  <c r="P3428" i="5"/>
  <c r="U3330" i="5"/>
  <c r="T3330" i="5"/>
  <c r="S3330" i="5"/>
  <c r="R3330" i="5"/>
  <c r="Q3330" i="5"/>
  <c r="P3330" i="5"/>
  <c r="U3232" i="5"/>
  <c r="T3232" i="5"/>
  <c r="S3232" i="5"/>
  <c r="R3232" i="5"/>
  <c r="Q3232" i="5"/>
  <c r="P3232" i="5"/>
  <c r="U3134" i="5"/>
  <c r="T3134" i="5"/>
  <c r="S3134" i="5"/>
  <c r="R3134" i="5"/>
  <c r="Q3134" i="5"/>
  <c r="P3134" i="5"/>
  <c r="U3036" i="5"/>
  <c r="T3036" i="5"/>
  <c r="S3036" i="5"/>
  <c r="R3036" i="5"/>
  <c r="Q3036" i="5"/>
  <c r="P3036" i="5"/>
  <c r="U2938" i="5"/>
  <c r="T2938" i="5"/>
  <c r="S2938" i="5"/>
  <c r="R2938" i="5"/>
  <c r="Q2938" i="5"/>
  <c r="P2938" i="5"/>
  <c r="U2840" i="5"/>
  <c r="T2840" i="5"/>
  <c r="S2840" i="5"/>
  <c r="R2840" i="5"/>
  <c r="Q2840" i="5"/>
  <c r="P2840" i="5"/>
  <c r="U2742" i="5"/>
  <c r="T2742" i="5"/>
  <c r="S2742" i="5"/>
  <c r="R2742" i="5"/>
  <c r="Q2742" i="5"/>
  <c r="P2742" i="5"/>
  <c r="U2644" i="5"/>
  <c r="T2644" i="5"/>
  <c r="S2644" i="5"/>
  <c r="R2644" i="5"/>
  <c r="Q2644" i="5"/>
  <c r="P2644" i="5"/>
  <c r="U4118" i="5"/>
  <c r="T4118" i="5"/>
  <c r="S4118" i="5"/>
  <c r="R4118" i="5"/>
  <c r="Q4118" i="5"/>
  <c r="P4118" i="5"/>
  <c r="U4019" i="5"/>
  <c r="T4019" i="5"/>
  <c r="S4019" i="5"/>
  <c r="R4019" i="5"/>
  <c r="Q4019" i="5"/>
  <c r="P4019" i="5"/>
  <c r="U3920" i="5"/>
  <c r="T3920" i="5"/>
  <c r="S3920" i="5"/>
  <c r="R3920" i="5"/>
  <c r="Q3920" i="5"/>
  <c r="P3920" i="5"/>
  <c r="U3821" i="5"/>
  <c r="T3821" i="5"/>
  <c r="S3821" i="5"/>
  <c r="R3821" i="5"/>
  <c r="Q3821" i="5"/>
  <c r="P3821" i="5"/>
  <c r="U3722" i="5"/>
  <c r="T3722" i="5"/>
  <c r="S3722" i="5"/>
  <c r="R3722" i="5"/>
  <c r="Q3722" i="5"/>
  <c r="P3722" i="5"/>
  <c r="U3623" i="5"/>
  <c r="T3623" i="5"/>
  <c r="S3623" i="5"/>
  <c r="R3623" i="5"/>
  <c r="Q3623" i="5"/>
  <c r="P3623" i="5"/>
  <c r="U3525" i="5"/>
  <c r="T3525" i="5"/>
  <c r="S3525" i="5"/>
  <c r="R3525" i="5"/>
  <c r="Q3525" i="5"/>
  <c r="P3525" i="5"/>
  <c r="U3427" i="5"/>
  <c r="T3427" i="5"/>
  <c r="S3427" i="5"/>
  <c r="R3427" i="5"/>
  <c r="Q3427" i="5"/>
  <c r="P3427" i="5"/>
  <c r="U3329" i="5"/>
  <c r="T3329" i="5"/>
  <c r="S3329" i="5"/>
  <c r="R3329" i="5"/>
  <c r="Q3329" i="5"/>
  <c r="P3329" i="5"/>
  <c r="U3231" i="5"/>
  <c r="T3231" i="5"/>
  <c r="S3231" i="5"/>
  <c r="R3231" i="5"/>
  <c r="Q3231" i="5"/>
  <c r="P3231" i="5"/>
  <c r="U3133" i="5"/>
  <c r="T3133" i="5"/>
  <c r="S3133" i="5"/>
  <c r="R3133" i="5"/>
  <c r="Q3133" i="5"/>
  <c r="P3133" i="5"/>
  <c r="U3035" i="5"/>
  <c r="T3035" i="5"/>
  <c r="S3035" i="5"/>
  <c r="R3035" i="5"/>
  <c r="Q3035" i="5"/>
  <c r="P3035" i="5"/>
  <c r="U2937" i="5"/>
  <c r="T2937" i="5"/>
  <c r="S2937" i="5"/>
  <c r="R2937" i="5"/>
  <c r="Q2937" i="5"/>
  <c r="P2937" i="5"/>
  <c r="U2839" i="5"/>
  <c r="T2839" i="5"/>
  <c r="S2839" i="5"/>
  <c r="R2839" i="5"/>
  <c r="Q2839" i="5"/>
  <c r="P2839" i="5"/>
  <c r="U2741" i="5"/>
  <c r="T2741" i="5"/>
  <c r="S2741" i="5"/>
  <c r="R2741" i="5"/>
  <c r="Q2741" i="5"/>
  <c r="P2741" i="5"/>
  <c r="U2643" i="5"/>
  <c r="T2643" i="5"/>
  <c r="S2643" i="5"/>
  <c r="R2643" i="5"/>
  <c r="Q2643" i="5"/>
  <c r="P2643" i="5"/>
  <c r="U4117" i="5"/>
  <c r="T4117" i="5"/>
  <c r="S4117" i="5"/>
  <c r="R4117" i="5"/>
  <c r="Q4117" i="5"/>
  <c r="P4117" i="5"/>
  <c r="U4018" i="5"/>
  <c r="T4018" i="5"/>
  <c r="S4018" i="5"/>
  <c r="R4018" i="5"/>
  <c r="Q4018" i="5"/>
  <c r="P4018" i="5"/>
  <c r="U3919" i="5"/>
  <c r="T3919" i="5"/>
  <c r="S3919" i="5"/>
  <c r="R3919" i="5"/>
  <c r="Q3919" i="5"/>
  <c r="P3919" i="5"/>
  <c r="U3820" i="5"/>
  <c r="T3820" i="5"/>
  <c r="S3820" i="5"/>
  <c r="R3820" i="5"/>
  <c r="Q3820" i="5"/>
  <c r="P3820" i="5"/>
  <c r="U3721" i="5"/>
  <c r="T3721" i="5"/>
  <c r="S3721" i="5"/>
  <c r="R3721" i="5"/>
  <c r="Q3721" i="5"/>
  <c r="P3721" i="5"/>
  <c r="U3622" i="5"/>
  <c r="T3622" i="5"/>
  <c r="S3622" i="5"/>
  <c r="R3622" i="5"/>
  <c r="Q3622" i="5"/>
  <c r="P3622" i="5"/>
  <c r="U3524" i="5"/>
  <c r="T3524" i="5"/>
  <c r="S3524" i="5"/>
  <c r="R3524" i="5"/>
  <c r="Q3524" i="5"/>
  <c r="P3524" i="5"/>
  <c r="U3426" i="5"/>
  <c r="T3426" i="5"/>
  <c r="S3426" i="5"/>
  <c r="R3426" i="5"/>
  <c r="Q3426" i="5"/>
  <c r="P3426" i="5"/>
  <c r="U3328" i="5"/>
  <c r="T3328" i="5"/>
  <c r="S3328" i="5"/>
  <c r="R3328" i="5"/>
  <c r="Q3328" i="5"/>
  <c r="P3328" i="5"/>
  <c r="U3230" i="5"/>
  <c r="T3230" i="5"/>
  <c r="S3230" i="5"/>
  <c r="R3230" i="5"/>
  <c r="Q3230" i="5"/>
  <c r="P3230" i="5"/>
  <c r="U3132" i="5"/>
  <c r="T3132" i="5"/>
  <c r="S3132" i="5"/>
  <c r="R3132" i="5"/>
  <c r="Q3132" i="5"/>
  <c r="P3132" i="5"/>
  <c r="U3034" i="5"/>
  <c r="T3034" i="5"/>
  <c r="S3034" i="5"/>
  <c r="R3034" i="5"/>
  <c r="Q3034" i="5"/>
  <c r="P3034" i="5"/>
  <c r="U2936" i="5"/>
  <c r="T2936" i="5"/>
  <c r="S2936" i="5"/>
  <c r="R2936" i="5"/>
  <c r="Q2936" i="5"/>
  <c r="P2936" i="5"/>
  <c r="U2838" i="5"/>
  <c r="T2838" i="5"/>
  <c r="S2838" i="5"/>
  <c r="R2838" i="5"/>
  <c r="Q2838" i="5"/>
  <c r="P2838" i="5"/>
  <c r="U2740" i="5"/>
  <c r="T2740" i="5"/>
  <c r="S2740" i="5"/>
  <c r="R2740" i="5"/>
  <c r="Q2740" i="5"/>
  <c r="P2740" i="5"/>
  <c r="U2642" i="5"/>
  <c r="T2642" i="5"/>
  <c r="S2642" i="5"/>
  <c r="R2642" i="5"/>
  <c r="Q2642" i="5"/>
  <c r="P2642" i="5"/>
  <c r="U4116" i="5"/>
  <c r="T4116" i="5"/>
  <c r="S4116" i="5"/>
  <c r="R4116" i="5"/>
  <c r="Q4116" i="5"/>
  <c r="P4116" i="5"/>
  <c r="U4017" i="5"/>
  <c r="T4017" i="5"/>
  <c r="S4017" i="5"/>
  <c r="R4017" i="5"/>
  <c r="Q4017" i="5"/>
  <c r="P4017" i="5"/>
  <c r="U3918" i="5"/>
  <c r="T3918" i="5"/>
  <c r="S3918" i="5"/>
  <c r="R3918" i="5"/>
  <c r="Q3918" i="5"/>
  <c r="P3918" i="5"/>
  <c r="U3819" i="5"/>
  <c r="T3819" i="5"/>
  <c r="S3819" i="5"/>
  <c r="R3819" i="5"/>
  <c r="Q3819" i="5"/>
  <c r="P3819" i="5"/>
  <c r="U3720" i="5"/>
  <c r="T3720" i="5"/>
  <c r="S3720" i="5"/>
  <c r="R3720" i="5"/>
  <c r="Q3720" i="5"/>
  <c r="P3720" i="5"/>
  <c r="U3621" i="5"/>
  <c r="T3621" i="5"/>
  <c r="S3621" i="5"/>
  <c r="R3621" i="5"/>
  <c r="Q3621" i="5"/>
  <c r="P3621" i="5"/>
  <c r="U3523" i="5"/>
  <c r="T3523" i="5"/>
  <c r="S3523" i="5"/>
  <c r="R3523" i="5"/>
  <c r="Q3523" i="5"/>
  <c r="P3523" i="5"/>
  <c r="U3425" i="5"/>
  <c r="T3425" i="5"/>
  <c r="S3425" i="5"/>
  <c r="R3425" i="5"/>
  <c r="Q3425" i="5"/>
  <c r="P3425" i="5"/>
  <c r="U3327" i="5"/>
  <c r="T3327" i="5"/>
  <c r="S3327" i="5"/>
  <c r="R3327" i="5"/>
  <c r="Q3327" i="5"/>
  <c r="P3327" i="5"/>
  <c r="U3229" i="5"/>
  <c r="T3229" i="5"/>
  <c r="S3229" i="5"/>
  <c r="R3229" i="5"/>
  <c r="Q3229" i="5"/>
  <c r="P3229" i="5"/>
  <c r="U3131" i="5"/>
  <c r="T3131" i="5"/>
  <c r="S3131" i="5"/>
  <c r="R3131" i="5"/>
  <c r="Q3131" i="5"/>
  <c r="P3131" i="5"/>
  <c r="U3033" i="5"/>
  <c r="T3033" i="5"/>
  <c r="S3033" i="5"/>
  <c r="R3033" i="5"/>
  <c r="Q3033" i="5"/>
  <c r="P3033" i="5"/>
  <c r="U2935" i="5"/>
  <c r="T2935" i="5"/>
  <c r="S2935" i="5"/>
  <c r="R2935" i="5"/>
  <c r="Q2935" i="5"/>
  <c r="P2935" i="5"/>
  <c r="U2837" i="5"/>
  <c r="T2837" i="5"/>
  <c r="S2837" i="5"/>
  <c r="R2837" i="5"/>
  <c r="Q2837" i="5"/>
  <c r="P2837" i="5"/>
  <c r="U2739" i="5"/>
  <c r="T2739" i="5"/>
  <c r="S2739" i="5"/>
  <c r="R2739" i="5"/>
  <c r="Q2739" i="5"/>
  <c r="P2739" i="5"/>
  <c r="U2641" i="5"/>
  <c r="T2641" i="5"/>
  <c r="S2641" i="5"/>
  <c r="R2641" i="5"/>
  <c r="Q2641" i="5"/>
  <c r="P2641" i="5"/>
  <c r="U4115" i="5"/>
  <c r="T4115" i="5"/>
  <c r="S4115" i="5"/>
  <c r="R4115" i="5"/>
  <c r="Q4115" i="5"/>
  <c r="P4115" i="5"/>
  <c r="U4016" i="5"/>
  <c r="T4016" i="5"/>
  <c r="S4016" i="5"/>
  <c r="R4016" i="5"/>
  <c r="Q4016" i="5"/>
  <c r="P4016" i="5"/>
  <c r="U3917" i="5"/>
  <c r="T3917" i="5"/>
  <c r="S3917" i="5"/>
  <c r="R3917" i="5"/>
  <c r="Q3917" i="5"/>
  <c r="P3917" i="5"/>
  <c r="U3818" i="5"/>
  <c r="T3818" i="5"/>
  <c r="S3818" i="5"/>
  <c r="R3818" i="5"/>
  <c r="Q3818" i="5"/>
  <c r="P3818" i="5"/>
  <c r="U3719" i="5"/>
  <c r="T3719" i="5"/>
  <c r="S3719" i="5"/>
  <c r="R3719" i="5"/>
  <c r="Q3719" i="5"/>
  <c r="P3719" i="5"/>
  <c r="U3620" i="5"/>
  <c r="T3620" i="5"/>
  <c r="S3620" i="5"/>
  <c r="R3620" i="5"/>
  <c r="Q3620" i="5"/>
  <c r="P3620" i="5"/>
  <c r="U3522" i="5"/>
  <c r="T3522" i="5"/>
  <c r="S3522" i="5"/>
  <c r="R3522" i="5"/>
  <c r="Q3522" i="5"/>
  <c r="P3522" i="5"/>
  <c r="U3424" i="5"/>
  <c r="T3424" i="5"/>
  <c r="S3424" i="5"/>
  <c r="R3424" i="5"/>
  <c r="Q3424" i="5"/>
  <c r="P3424" i="5"/>
  <c r="U3326" i="5"/>
  <c r="T3326" i="5"/>
  <c r="S3326" i="5"/>
  <c r="R3326" i="5"/>
  <c r="Q3326" i="5"/>
  <c r="P3326" i="5"/>
  <c r="U3228" i="5"/>
  <c r="T3228" i="5"/>
  <c r="S3228" i="5"/>
  <c r="R3228" i="5"/>
  <c r="Q3228" i="5"/>
  <c r="P3228" i="5"/>
  <c r="U3130" i="5"/>
  <c r="T3130" i="5"/>
  <c r="S3130" i="5"/>
  <c r="R3130" i="5"/>
  <c r="Q3130" i="5"/>
  <c r="P3130" i="5"/>
  <c r="U3032" i="5"/>
  <c r="T3032" i="5"/>
  <c r="S3032" i="5"/>
  <c r="R3032" i="5"/>
  <c r="Q3032" i="5"/>
  <c r="P3032" i="5"/>
  <c r="U2934" i="5"/>
  <c r="T2934" i="5"/>
  <c r="S2934" i="5"/>
  <c r="R2934" i="5"/>
  <c r="Q2934" i="5"/>
  <c r="P2934" i="5"/>
  <c r="U2836" i="5"/>
  <c r="T2836" i="5"/>
  <c r="S2836" i="5"/>
  <c r="R2836" i="5"/>
  <c r="Q2836" i="5"/>
  <c r="P2836" i="5"/>
  <c r="U2738" i="5"/>
  <c r="T2738" i="5"/>
  <c r="S2738" i="5"/>
  <c r="R2738" i="5"/>
  <c r="Q2738" i="5"/>
  <c r="P2738" i="5"/>
  <c r="U2640" i="5"/>
  <c r="T2640" i="5"/>
  <c r="S2640" i="5"/>
  <c r="R2640" i="5"/>
  <c r="Q2640" i="5"/>
  <c r="P2640" i="5"/>
  <c r="U4114" i="5"/>
  <c r="T4114" i="5"/>
  <c r="S4114" i="5"/>
  <c r="R4114" i="5"/>
  <c r="Q4114" i="5"/>
  <c r="P4114" i="5"/>
  <c r="U4015" i="5"/>
  <c r="T4015" i="5"/>
  <c r="S4015" i="5"/>
  <c r="R4015" i="5"/>
  <c r="Q4015" i="5"/>
  <c r="P4015" i="5"/>
  <c r="U3916" i="5"/>
  <c r="T3916" i="5"/>
  <c r="S3916" i="5"/>
  <c r="R3916" i="5"/>
  <c r="Q3916" i="5"/>
  <c r="P3916" i="5"/>
  <c r="U3817" i="5"/>
  <c r="T3817" i="5"/>
  <c r="S3817" i="5"/>
  <c r="R3817" i="5"/>
  <c r="Q3817" i="5"/>
  <c r="P3817" i="5"/>
  <c r="U3718" i="5"/>
  <c r="T3718" i="5"/>
  <c r="S3718" i="5"/>
  <c r="R3718" i="5"/>
  <c r="Q3718" i="5"/>
  <c r="P3718" i="5"/>
  <c r="U3619" i="5"/>
  <c r="T3619" i="5"/>
  <c r="S3619" i="5"/>
  <c r="R3619" i="5"/>
  <c r="Q3619" i="5"/>
  <c r="P3619" i="5"/>
  <c r="U3521" i="5"/>
  <c r="T3521" i="5"/>
  <c r="S3521" i="5"/>
  <c r="R3521" i="5"/>
  <c r="Q3521" i="5"/>
  <c r="P3521" i="5"/>
  <c r="U3423" i="5"/>
  <c r="T3423" i="5"/>
  <c r="S3423" i="5"/>
  <c r="R3423" i="5"/>
  <c r="Q3423" i="5"/>
  <c r="P3423" i="5"/>
  <c r="U3325" i="5"/>
  <c r="T3325" i="5"/>
  <c r="S3325" i="5"/>
  <c r="R3325" i="5"/>
  <c r="Q3325" i="5"/>
  <c r="P3325" i="5"/>
  <c r="U3227" i="5"/>
  <c r="T3227" i="5"/>
  <c r="S3227" i="5"/>
  <c r="R3227" i="5"/>
  <c r="Q3227" i="5"/>
  <c r="P3227" i="5"/>
  <c r="U3129" i="5"/>
  <c r="T3129" i="5"/>
  <c r="S3129" i="5"/>
  <c r="R3129" i="5"/>
  <c r="Q3129" i="5"/>
  <c r="P3129" i="5"/>
  <c r="U3031" i="5"/>
  <c r="T3031" i="5"/>
  <c r="S3031" i="5"/>
  <c r="R3031" i="5"/>
  <c r="Q3031" i="5"/>
  <c r="P3031" i="5"/>
  <c r="U2933" i="5"/>
  <c r="T2933" i="5"/>
  <c r="S2933" i="5"/>
  <c r="R2933" i="5"/>
  <c r="Q2933" i="5"/>
  <c r="P2933" i="5"/>
  <c r="U2835" i="5"/>
  <c r="T2835" i="5"/>
  <c r="S2835" i="5"/>
  <c r="R2835" i="5"/>
  <c r="Q2835" i="5"/>
  <c r="P2835" i="5"/>
  <c r="U2737" i="5"/>
  <c r="T2737" i="5"/>
  <c r="S2737" i="5"/>
  <c r="R2737" i="5"/>
  <c r="Q2737" i="5"/>
  <c r="P2737" i="5"/>
  <c r="U2639" i="5"/>
  <c r="T2639" i="5"/>
  <c r="S2639" i="5"/>
  <c r="R2639" i="5"/>
  <c r="Q2639" i="5"/>
  <c r="P2639" i="5"/>
  <c r="U4113" i="5"/>
  <c r="T4113" i="5"/>
  <c r="S4113" i="5"/>
  <c r="R4113" i="5"/>
  <c r="Q4113" i="5"/>
  <c r="P4113" i="5"/>
  <c r="U4014" i="5"/>
  <c r="T4014" i="5"/>
  <c r="S4014" i="5"/>
  <c r="R4014" i="5"/>
  <c r="Q4014" i="5"/>
  <c r="P4014" i="5"/>
  <c r="U3915" i="5"/>
  <c r="T3915" i="5"/>
  <c r="S3915" i="5"/>
  <c r="R3915" i="5"/>
  <c r="Q3915" i="5"/>
  <c r="P3915" i="5"/>
  <c r="U3816" i="5"/>
  <c r="T3816" i="5"/>
  <c r="S3816" i="5"/>
  <c r="R3816" i="5"/>
  <c r="Q3816" i="5"/>
  <c r="P3816" i="5"/>
  <c r="U3717" i="5"/>
  <c r="T3717" i="5"/>
  <c r="S3717" i="5"/>
  <c r="R3717" i="5"/>
  <c r="Q3717" i="5"/>
  <c r="P3717" i="5"/>
  <c r="U3618" i="5"/>
  <c r="T3618" i="5"/>
  <c r="S3618" i="5"/>
  <c r="R3618" i="5"/>
  <c r="Q3618" i="5"/>
  <c r="P3618" i="5"/>
  <c r="U3520" i="5"/>
  <c r="T3520" i="5"/>
  <c r="S3520" i="5"/>
  <c r="R3520" i="5"/>
  <c r="Q3520" i="5"/>
  <c r="P3520" i="5"/>
  <c r="U3422" i="5"/>
  <c r="T3422" i="5"/>
  <c r="S3422" i="5"/>
  <c r="R3422" i="5"/>
  <c r="Q3422" i="5"/>
  <c r="P3422" i="5"/>
  <c r="U3324" i="5"/>
  <c r="T3324" i="5"/>
  <c r="S3324" i="5"/>
  <c r="R3324" i="5"/>
  <c r="Q3324" i="5"/>
  <c r="P3324" i="5"/>
  <c r="U3226" i="5"/>
  <c r="T3226" i="5"/>
  <c r="S3226" i="5"/>
  <c r="R3226" i="5"/>
  <c r="Q3226" i="5"/>
  <c r="P3226" i="5"/>
  <c r="U3128" i="5"/>
  <c r="T3128" i="5"/>
  <c r="S3128" i="5"/>
  <c r="R3128" i="5"/>
  <c r="Q3128" i="5"/>
  <c r="P3128" i="5"/>
  <c r="U3030" i="5"/>
  <c r="T3030" i="5"/>
  <c r="S3030" i="5"/>
  <c r="R3030" i="5"/>
  <c r="Q3030" i="5"/>
  <c r="P3030" i="5"/>
  <c r="U2932" i="5"/>
  <c r="T2932" i="5"/>
  <c r="S2932" i="5"/>
  <c r="R2932" i="5"/>
  <c r="Q2932" i="5"/>
  <c r="P2932" i="5"/>
  <c r="U2834" i="5"/>
  <c r="T2834" i="5"/>
  <c r="S2834" i="5"/>
  <c r="R2834" i="5"/>
  <c r="Q2834" i="5"/>
  <c r="P2834" i="5"/>
  <c r="U2736" i="5"/>
  <c r="T2736" i="5"/>
  <c r="S2736" i="5"/>
  <c r="R2736" i="5"/>
  <c r="Q2736" i="5"/>
  <c r="P2736" i="5"/>
  <c r="U2638" i="5"/>
  <c r="T2638" i="5"/>
  <c r="S2638" i="5"/>
  <c r="R2638" i="5"/>
  <c r="Q2638" i="5"/>
  <c r="P2638" i="5"/>
  <c r="U1605" i="5"/>
  <c r="T1605" i="5"/>
  <c r="S1605" i="5"/>
  <c r="I1605" i="5"/>
  <c r="R1605" i="5" s="1"/>
  <c r="H1605" i="5"/>
  <c r="G1605" i="5"/>
  <c r="Q1605" i="5" s="1"/>
  <c r="F1605" i="5"/>
  <c r="E1605" i="5"/>
  <c r="P1605" i="5" s="1"/>
  <c r="D1605" i="5"/>
  <c r="U1604" i="5"/>
  <c r="T1604" i="5"/>
  <c r="S1604" i="5"/>
  <c r="I1604" i="5"/>
  <c r="R1604" i="5" s="1"/>
  <c r="H1604" i="5"/>
  <c r="G1604" i="5"/>
  <c r="Q1604" i="5" s="1"/>
  <c r="F1604" i="5"/>
  <c r="E1604" i="5"/>
  <c r="P1604" i="5" s="1"/>
  <c r="D1604" i="5"/>
  <c r="U1541" i="5"/>
  <c r="T1541" i="5"/>
  <c r="S1541" i="5"/>
  <c r="I1541" i="5"/>
  <c r="R1541" i="5" s="1"/>
  <c r="H1541" i="5"/>
  <c r="G1541" i="5"/>
  <c r="Q1541" i="5" s="1"/>
  <c r="F1541" i="5"/>
  <c r="E1541" i="5"/>
  <c r="P1541" i="5" s="1"/>
  <c r="D1541" i="5"/>
  <c r="U1540" i="5"/>
  <c r="T1540" i="5"/>
  <c r="S1540" i="5"/>
  <c r="I1540" i="5"/>
  <c r="R1540" i="5" s="1"/>
  <c r="H1540" i="5"/>
  <c r="G1540" i="5"/>
  <c r="Q1540" i="5" s="1"/>
  <c r="F1540" i="5"/>
  <c r="E1540" i="5"/>
  <c r="P1540" i="5" s="1"/>
  <c r="D1540" i="5"/>
  <c r="U1539" i="5"/>
  <c r="T1539" i="5"/>
  <c r="S1539" i="5"/>
  <c r="I1539" i="5"/>
  <c r="R1539" i="5" s="1"/>
  <c r="H1539" i="5"/>
  <c r="G1539" i="5"/>
  <c r="Q1539" i="5" s="1"/>
  <c r="F1539" i="5"/>
  <c r="E1539" i="5"/>
  <c r="P1539" i="5" s="1"/>
  <c r="D1539" i="5"/>
  <c r="U4765" i="5"/>
  <c r="T4765" i="5"/>
  <c r="S4765" i="5"/>
  <c r="R4765" i="5"/>
  <c r="Q4765" i="5"/>
  <c r="P4765" i="5"/>
  <c r="U4648" i="5"/>
  <c r="T4648" i="5"/>
  <c r="S4648" i="5"/>
  <c r="R4648" i="5"/>
  <c r="Q4648" i="5"/>
  <c r="P4648" i="5"/>
  <c r="U4531" i="5"/>
  <c r="T4531" i="5"/>
  <c r="S4531" i="5"/>
  <c r="R4531" i="5"/>
  <c r="Q4531" i="5"/>
  <c r="P4531" i="5"/>
  <c r="U4414" i="5"/>
  <c r="T4414" i="5"/>
  <c r="S4414" i="5"/>
  <c r="R4414" i="5"/>
  <c r="Q4414" i="5"/>
  <c r="P4414" i="5"/>
  <c r="U4297" i="5"/>
  <c r="T4297" i="5"/>
  <c r="S4297" i="5"/>
  <c r="R4297" i="5"/>
  <c r="Q4297" i="5"/>
  <c r="P4297" i="5"/>
  <c r="U4764" i="5"/>
  <c r="T4764" i="5"/>
  <c r="S4764" i="5"/>
  <c r="R4764" i="5"/>
  <c r="Q4764" i="5"/>
  <c r="P4764" i="5"/>
  <c r="U4647" i="5"/>
  <c r="T4647" i="5"/>
  <c r="S4647" i="5"/>
  <c r="R4647" i="5"/>
  <c r="Q4647" i="5"/>
  <c r="P4647" i="5"/>
  <c r="U4530" i="5"/>
  <c r="T4530" i="5"/>
  <c r="S4530" i="5"/>
  <c r="R4530" i="5"/>
  <c r="Q4530" i="5"/>
  <c r="P4530" i="5"/>
  <c r="U4413" i="5"/>
  <c r="T4413" i="5"/>
  <c r="S4413" i="5"/>
  <c r="R4413" i="5"/>
  <c r="Q4413" i="5"/>
  <c r="P4413" i="5"/>
  <c r="U4296" i="5"/>
  <c r="T4296" i="5"/>
  <c r="S4296" i="5"/>
  <c r="R4296" i="5"/>
  <c r="Q4296" i="5"/>
  <c r="P4296" i="5"/>
  <c r="U4763" i="5"/>
  <c r="T4763" i="5"/>
  <c r="S4763" i="5"/>
  <c r="R4763" i="5"/>
  <c r="Q4763" i="5"/>
  <c r="P4763" i="5"/>
  <c r="U4646" i="5"/>
  <c r="T4646" i="5"/>
  <c r="S4646" i="5"/>
  <c r="R4646" i="5"/>
  <c r="Q4646" i="5"/>
  <c r="P4646" i="5"/>
  <c r="U4529" i="5"/>
  <c r="T4529" i="5"/>
  <c r="S4529" i="5"/>
  <c r="R4529" i="5"/>
  <c r="Q4529" i="5"/>
  <c r="P4529" i="5"/>
  <c r="U4412" i="5"/>
  <c r="T4412" i="5"/>
  <c r="S4412" i="5"/>
  <c r="R4412" i="5"/>
  <c r="Q4412" i="5"/>
  <c r="P4412" i="5"/>
  <c r="U4295" i="5"/>
  <c r="T4295" i="5"/>
  <c r="S4295" i="5"/>
  <c r="R4295" i="5"/>
  <c r="Q4295" i="5"/>
  <c r="P4295" i="5"/>
  <c r="U4762" i="5"/>
  <c r="T4762" i="5"/>
  <c r="S4762" i="5"/>
  <c r="R4762" i="5"/>
  <c r="Q4762" i="5"/>
  <c r="P4762" i="5"/>
  <c r="U4645" i="5"/>
  <c r="T4645" i="5"/>
  <c r="S4645" i="5"/>
  <c r="R4645" i="5"/>
  <c r="Q4645" i="5"/>
  <c r="P4645" i="5"/>
  <c r="U4528" i="5"/>
  <c r="T4528" i="5"/>
  <c r="S4528" i="5"/>
  <c r="R4528" i="5"/>
  <c r="Q4528" i="5"/>
  <c r="P4528" i="5"/>
  <c r="U4411" i="5"/>
  <c r="T4411" i="5"/>
  <c r="S4411" i="5"/>
  <c r="R4411" i="5"/>
  <c r="Q4411" i="5"/>
  <c r="P4411" i="5"/>
  <c r="U4294" i="5"/>
  <c r="T4294" i="5"/>
  <c r="S4294" i="5"/>
  <c r="R4294" i="5"/>
  <c r="Q4294" i="5"/>
  <c r="P4294" i="5"/>
  <c r="U4761" i="5"/>
  <c r="T4761" i="5"/>
  <c r="S4761" i="5"/>
  <c r="R4761" i="5"/>
  <c r="Q4761" i="5"/>
  <c r="P4761" i="5"/>
  <c r="U4644" i="5"/>
  <c r="T4644" i="5"/>
  <c r="S4644" i="5"/>
  <c r="R4644" i="5"/>
  <c r="Q4644" i="5"/>
  <c r="P4644" i="5"/>
  <c r="U4527" i="5"/>
  <c r="T4527" i="5"/>
  <c r="S4527" i="5"/>
  <c r="R4527" i="5"/>
  <c r="Q4527" i="5"/>
  <c r="P4527" i="5"/>
  <c r="U4410" i="5"/>
  <c r="T4410" i="5"/>
  <c r="S4410" i="5"/>
  <c r="R4410" i="5"/>
  <c r="Q4410" i="5"/>
  <c r="P4410" i="5"/>
  <c r="U4293" i="5"/>
  <c r="T4293" i="5"/>
  <c r="S4293" i="5"/>
  <c r="R4293" i="5"/>
  <c r="Q4293" i="5"/>
  <c r="P4293" i="5"/>
  <c r="U4760" i="5"/>
  <c r="T4760" i="5"/>
  <c r="S4760" i="5"/>
  <c r="R4760" i="5"/>
  <c r="Q4760" i="5"/>
  <c r="P4760" i="5"/>
  <c r="U4643" i="5"/>
  <c r="T4643" i="5"/>
  <c r="S4643" i="5"/>
  <c r="R4643" i="5"/>
  <c r="Q4643" i="5"/>
  <c r="P4643" i="5"/>
  <c r="U4526" i="5"/>
  <c r="T4526" i="5"/>
  <c r="S4526" i="5"/>
  <c r="R4526" i="5"/>
  <c r="Q4526" i="5"/>
  <c r="P4526" i="5"/>
  <c r="U4409" i="5"/>
  <c r="T4409" i="5"/>
  <c r="S4409" i="5"/>
  <c r="R4409" i="5"/>
  <c r="Q4409" i="5"/>
  <c r="P4409" i="5"/>
  <c r="U4292" i="5"/>
  <c r="T4292" i="5"/>
  <c r="S4292" i="5"/>
  <c r="R4292" i="5"/>
  <c r="Q4292" i="5"/>
  <c r="P4292" i="5"/>
  <c r="U4759" i="5"/>
  <c r="T4759" i="5"/>
  <c r="S4759" i="5"/>
  <c r="R4759" i="5"/>
  <c r="Q4759" i="5"/>
  <c r="P4759" i="5"/>
  <c r="U4642" i="5"/>
  <c r="T4642" i="5"/>
  <c r="S4642" i="5"/>
  <c r="R4642" i="5"/>
  <c r="Q4642" i="5"/>
  <c r="P4642" i="5"/>
  <c r="U4525" i="5"/>
  <c r="T4525" i="5"/>
  <c r="S4525" i="5"/>
  <c r="R4525" i="5"/>
  <c r="Q4525" i="5"/>
  <c r="P4525" i="5"/>
  <c r="U4408" i="5"/>
  <c r="T4408" i="5"/>
  <c r="S4408" i="5"/>
  <c r="R4408" i="5"/>
  <c r="Q4408" i="5"/>
  <c r="P4408" i="5"/>
  <c r="U4291" i="5"/>
  <c r="T4291" i="5"/>
  <c r="S4291" i="5"/>
  <c r="R4291" i="5"/>
  <c r="Q4291" i="5"/>
  <c r="P4291" i="5"/>
  <c r="U4758" i="5"/>
  <c r="T4758" i="5"/>
  <c r="S4758" i="5"/>
  <c r="R4758" i="5"/>
  <c r="Q4758" i="5"/>
  <c r="P4758" i="5"/>
  <c r="U4641" i="5"/>
  <c r="T4641" i="5"/>
  <c r="S4641" i="5"/>
  <c r="R4641" i="5"/>
  <c r="Q4641" i="5"/>
  <c r="P4641" i="5"/>
  <c r="U4524" i="5"/>
  <c r="T4524" i="5"/>
  <c r="S4524" i="5"/>
  <c r="R4524" i="5"/>
  <c r="Q4524" i="5"/>
  <c r="P4524" i="5"/>
  <c r="U4407" i="5"/>
  <c r="T4407" i="5"/>
  <c r="S4407" i="5"/>
  <c r="R4407" i="5"/>
  <c r="Q4407" i="5"/>
  <c r="P4407" i="5"/>
  <c r="U4290" i="5"/>
  <c r="T4290" i="5"/>
  <c r="S4290" i="5"/>
  <c r="R4290" i="5"/>
  <c r="Q4290" i="5"/>
  <c r="P4290" i="5"/>
  <c r="U4757" i="5"/>
  <c r="T4757" i="5"/>
  <c r="S4757" i="5"/>
  <c r="R4757" i="5"/>
  <c r="Q4757" i="5"/>
  <c r="P4757" i="5"/>
  <c r="U4640" i="5"/>
  <c r="T4640" i="5"/>
  <c r="S4640" i="5"/>
  <c r="R4640" i="5"/>
  <c r="Q4640" i="5"/>
  <c r="P4640" i="5"/>
  <c r="U4523" i="5"/>
  <c r="T4523" i="5"/>
  <c r="S4523" i="5"/>
  <c r="R4523" i="5"/>
  <c r="Q4523" i="5"/>
  <c r="P4523" i="5"/>
  <c r="U4406" i="5"/>
  <c r="T4406" i="5"/>
  <c r="S4406" i="5"/>
  <c r="R4406" i="5"/>
  <c r="Q4406" i="5"/>
  <c r="P4406" i="5"/>
  <c r="U4289" i="5"/>
  <c r="T4289" i="5"/>
  <c r="S4289" i="5"/>
  <c r="R4289" i="5"/>
  <c r="Q4289" i="5"/>
  <c r="P4289" i="5"/>
  <c r="U4756" i="5"/>
  <c r="T4756" i="5"/>
  <c r="S4756" i="5"/>
  <c r="R4756" i="5"/>
  <c r="Q4756" i="5"/>
  <c r="P4756" i="5"/>
  <c r="U4639" i="5"/>
  <c r="T4639" i="5"/>
  <c r="S4639" i="5"/>
  <c r="R4639" i="5"/>
  <c r="Q4639" i="5"/>
  <c r="P4639" i="5"/>
  <c r="U4522" i="5"/>
  <c r="T4522" i="5"/>
  <c r="S4522" i="5"/>
  <c r="R4522" i="5"/>
  <c r="Q4522" i="5"/>
  <c r="P4522" i="5"/>
  <c r="U4405" i="5"/>
  <c r="T4405" i="5"/>
  <c r="S4405" i="5"/>
  <c r="R4405" i="5"/>
  <c r="Q4405" i="5"/>
  <c r="P4405" i="5"/>
  <c r="U4288" i="5"/>
  <c r="T4288" i="5"/>
  <c r="S4288" i="5"/>
  <c r="R4288" i="5"/>
  <c r="Q4288" i="5"/>
  <c r="P4288" i="5"/>
  <c r="U4755" i="5"/>
  <c r="T4755" i="5"/>
  <c r="S4755" i="5"/>
  <c r="R4755" i="5"/>
  <c r="Q4755" i="5"/>
  <c r="P4755" i="5"/>
  <c r="U4638" i="5"/>
  <c r="T4638" i="5"/>
  <c r="S4638" i="5"/>
  <c r="R4638" i="5"/>
  <c r="Q4638" i="5"/>
  <c r="P4638" i="5"/>
  <c r="U4521" i="5"/>
  <c r="T4521" i="5"/>
  <c r="S4521" i="5"/>
  <c r="R4521" i="5"/>
  <c r="Q4521" i="5"/>
  <c r="P4521" i="5"/>
  <c r="U4404" i="5"/>
  <c r="T4404" i="5"/>
  <c r="S4404" i="5"/>
  <c r="R4404" i="5"/>
  <c r="Q4404" i="5"/>
  <c r="P4404" i="5"/>
  <c r="U4287" i="5"/>
  <c r="T4287" i="5"/>
  <c r="S4287" i="5"/>
  <c r="R4287" i="5"/>
  <c r="Q4287" i="5"/>
  <c r="P4287" i="5"/>
  <c r="U4754" i="5"/>
  <c r="T4754" i="5"/>
  <c r="S4754" i="5"/>
  <c r="R4754" i="5"/>
  <c r="Q4754" i="5"/>
  <c r="P4754" i="5"/>
  <c r="U4637" i="5"/>
  <c r="T4637" i="5"/>
  <c r="S4637" i="5"/>
  <c r="R4637" i="5"/>
  <c r="Q4637" i="5"/>
  <c r="P4637" i="5"/>
  <c r="U4520" i="5"/>
  <c r="T4520" i="5"/>
  <c r="S4520" i="5"/>
  <c r="R4520" i="5"/>
  <c r="Q4520" i="5"/>
  <c r="P4520" i="5"/>
  <c r="U4403" i="5"/>
  <c r="T4403" i="5"/>
  <c r="S4403" i="5"/>
  <c r="R4403" i="5"/>
  <c r="Q4403" i="5"/>
  <c r="P4403" i="5"/>
  <c r="U4286" i="5"/>
  <c r="T4286" i="5"/>
  <c r="S4286" i="5"/>
  <c r="R4286" i="5"/>
  <c r="Q4286" i="5"/>
  <c r="P4286" i="5"/>
  <c r="U4753" i="5"/>
  <c r="T4753" i="5"/>
  <c r="S4753" i="5"/>
  <c r="R4753" i="5"/>
  <c r="Q4753" i="5"/>
  <c r="P4753" i="5"/>
  <c r="U4636" i="5"/>
  <c r="T4636" i="5"/>
  <c r="S4636" i="5"/>
  <c r="R4636" i="5"/>
  <c r="Q4636" i="5"/>
  <c r="P4636" i="5"/>
  <c r="U4519" i="5"/>
  <c r="T4519" i="5"/>
  <c r="S4519" i="5"/>
  <c r="R4519" i="5"/>
  <c r="Q4519" i="5"/>
  <c r="P4519" i="5"/>
  <c r="U4402" i="5"/>
  <c r="T4402" i="5"/>
  <c r="S4402" i="5"/>
  <c r="R4402" i="5"/>
  <c r="Q4402" i="5"/>
  <c r="P4402" i="5"/>
  <c r="U4285" i="5"/>
  <c r="T4285" i="5"/>
  <c r="S4285" i="5"/>
  <c r="R4285" i="5"/>
  <c r="Q4285" i="5"/>
  <c r="P4285" i="5"/>
  <c r="U4752" i="5"/>
  <c r="T4752" i="5"/>
  <c r="S4752" i="5"/>
  <c r="R4752" i="5"/>
  <c r="Q4752" i="5"/>
  <c r="P4752" i="5"/>
  <c r="U4635" i="5"/>
  <c r="T4635" i="5"/>
  <c r="S4635" i="5"/>
  <c r="R4635" i="5"/>
  <c r="Q4635" i="5"/>
  <c r="P4635" i="5"/>
  <c r="U4518" i="5"/>
  <c r="T4518" i="5"/>
  <c r="S4518" i="5"/>
  <c r="R4518" i="5"/>
  <c r="Q4518" i="5"/>
  <c r="P4518" i="5"/>
  <c r="U4401" i="5"/>
  <c r="T4401" i="5"/>
  <c r="S4401" i="5"/>
  <c r="R4401" i="5"/>
  <c r="Q4401" i="5"/>
  <c r="P4401" i="5"/>
  <c r="U4284" i="5"/>
  <c r="T4284" i="5"/>
  <c r="S4284" i="5"/>
  <c r="R4284" i="5"/>
  <c r="Q4284" i="5"/>
  <c r="P4284" i="5"/>
  <c r="U4751" i="5"/>
  <c r="T4751" i="5"/>
  <c r="S4751" i="5"/>
  <c r="R4751" i="5"/>
  <c r="Q4751" i="5"/>
  <c r="P4751" i="5"/>
  <c r="U4634" i="5"/>
  <c r="T4634" i="5"/>
  <c r="S4634" i="5"/>
  <c r="R4634" i="5"/>
  <c r="Q4634" i="5"/>
  <c r="P4634" i="5"/>
  <c r="U4517" i="5"/>
  <c r="T4517" i="5"/>
  <c r="S4517" i="5"/>
  <c r="R4517" i="5"/>
  <c r="Q4517" i="5"/>
  <c r="P4517" i="5"/>
  <c r="U4400" i="5"/>
  <c r="T4400" i="5"/>
  <c r="S4400" i="5"/>
  <c r="R4400" i="5"/>
  <c r="Q4400" i="5"/>
  <c r="P4400" i="5"/>
  <c r="U4283" i="5"/>
  <c r="T4283" i="5"/>
  <c r="S4283" i="5"/>
  <c r="R4283" i="5"/>
  <c r="Q4283" i="5"/>
  <c r="P4283" i="5"/>
  <c r="U4750" i="5"/>
  <c r="T4750" i="5"/>
  <c r="S4750" i="5"/>
  <c r="R4750" i="5"/>
  <c r="Q4750" i="5"/>
  <c r="P4750" i="5"/>
  <c r="U4633" i="5"/>
  <c r="T4633" i="5"/>
  <c r="S4633" i="5"/>
  <c r="R4633" i="5"/>
  <c r="Q4633" i="5"/>
  <c r="P4633" i="5"/>
  <c r="U4516" i="5"/>
  <c r="T4516" i="5"/>
  <c r="S4516" i="5"/>
  <c r="R4516" i="5"/>
  <c r="Q4516" i="5"/>
  <c r="P4516" i="5"/>
  <c r="U4399" i="5"/>
  <c r="T4399" i="5"/>
  <c r="S4399" i="5"/>
  <c r="R4399" i="5"/>
  <c r="Q4399" i="5"/>
  <c r="P4399" i="5"/>
  <c r="U4282" i="5"/>
  <c r="T4282" i="5"/>
  <c r="S4282" i="5"/>
  <c r="R4282" i="5"/>
  <c r="Q4282" i="5"/>
  <c r="P4282" i="5"/>
  <c r="U4749" i="5"/>
  <c r="T4749" i="5"/>
  <c r="S4749" i="5"/>
  <c r="R4749" i="5"/>
  <c r="Q4749" i="5"/>
  <c r="P4749" i="5"/>
  <c r="U4632" i="5"/>
  <c r="T4632" i="5"/>
  <c r="S4632" i="5"/>
  <c r="R4632" i="5"/>
  <c r="Q4632" i="5"/>
  <c r="P4632" i="5"/>
  <c r="U4515" i="5"/>
  <c r="T4515" i="5"/>
  <c r="S4515" i="5"/>
  <c r="R4515" i="5"/>
  <c r="Q4515" i="5"/>
  <c r="P4515" i="5"/>
  <c r="U4398" i="5"/>
  <c r="T4398" i="5"/>
  <c r="S4398" i="5"/>
  <c r="R4398" i="5"/>
  <c r="Q4398" i="5"/>
  <c r="P4398" i="5"/>
  <c r="U4281" i="5"/>
  <c r="T4281" i="5"/>
  <c r="S4281" i="5"/>
  <c r="R4281" i="5"/>
  <c r="Q4281" i="5"/>
  <c r="P4281" i="5"/>
  <c r="U1538" i="5"/>
  <c r="T1538" i="5"/>
  <c r="S1538" i="5"/>
  <c r="I1538" i="5"/>
  <c r="R1538" i="5" s="1"/>
  <c r="H1538" i="5"/>
  <c r="G1538" i="5"/>
  <c r="Q1538" i="5" s="1"/>
  <c r="F1538" i="5"/>
  <c r="E1538" i="5"/>
  <c r="P1538" i="5" s="1"/>
  <c r="D1538" i="5"/>
  <c r="U1475" i="5"/>
  <c r="T1475" i="5"/>
  <c r="S1475" i="5"/>
  <c r="I1475" i="5"/>
  <c r="R1475" i="5" s="1"/>
  <c r="H1475" i="5"/>
  <c r="G1475" i="5"/>
  <c r="Q1475" i="5" s="1"/>
  <c r="F1475" i="5"/>
  <c r="E1475" i="5"/>
  <c r="P1475" i="5" s="1"/>
  <c r="D1475" i="5"/>
  <c r="U1474" i="5"/>
  <c r="T1474" i="5"/>
  <c r="S1474" i="5"/>
  <c r="I1474" i="5"/>
  <c r="R1474" i="5" s="1"/>
  <c r="H1474" i="5"/>
  <c r="G1474" i="5"/>
  <c r="Q1474" i="5" s="1"/>
  <c r="F1474" i="5"/>
  <c r="E1474" i="5"/>
  <c r="P1474" i="5" s="1"/>
  <c r="D1474" i="5"/>
  <c r="U1473" i="5"/>
  <c r="T1473" i="5"/>
  <c r="S1473" i="5"/>
  <c r="I1473" i="5"/>
  <c r="R1473" i="5" s="1"/>
  <c r="H1473" i="5"/>
  <c r="G1473" i="5"/>
  <c r="Q1473" i="5" s="1"/>
  <c r="F1473" i="5"/>
  <c r="E1473" i="5"/>
  <c r="P1473" i="5" s="1"/>
  <c r="D1473" i="5"/>
  <c r="U1472" i="5"/>
  <c r="T1472" i="5"/>
  <c r="S1472" i="5"/>
  <c r="I1472" i="5"/>
  <c r="R1472" i="5" s="1"/>
  <c r="H1472" i="5"/>
  <c r="G1472" i="5"/>
  <c r="Q1472" i="5" s="1"/>
  <c r="F1472" i="5"/>
  <c r="E1472" i="5"/>
  <c r="P1472" i="5" s="1"/>
  <c r="D1472" i="5"/>
  <c r="U4748" i="5"/>
  <c r="T4748" i="5"/>
  <c r="S4748" i="5"/>
  <c r="R4748" i="5"/>
  <c r="Q4748" i="5"/>
  <c r="P4748" i="5"/>
  <c r="U4631" i="5"/>
  <c r="T4631" i="5"/>
  <c r="S4631" i="5"/>
  <c r="R4631" i="5"/>
  <c r="Q4631" i="5"/>
  <c r="P4631" i="5"/>
  <c r="U4514" i="5"/>
  <c r="T4514" i="5"/>
  <c r="S4514" i="5"/>
  <c r="R4514" i="5"/>
  <c r="Q4514" i="5"/>
  <c r="P4514" i="5"/>
  <c r="U4397" i="5"/>
  <c r="T4397" i="5"/>
  <c r="S4397" i="5"/>
  <c r="R4397" i="5"/>
  <c r="Q4397" i="5"/>
  <c r="P4397" i="5"/>
  <c r="U4280" i="5"/>
  <c r="T4280" i="5"/>
  <c r="S4280" i="5"/>
  <c r="R4280" i="5"/>
  <c r="Q4280" i="5"/>
  <c r="P4280" i="5"/>
  <c r="U4747" i="5"/>
  <c r="T4747" i="5"/>
  <c r="S4747" i="5"/>
  <c r="R4747" i="5"/>
  <c r="Q4747" i="5"/>
  <c r="P4747" i="5"/>
  <c r="U4630" i="5"/>
  <c r="T4630" i="5"/>
  <c r="S4630" i="5"/>
  <c r="R4630" i="5"/>
  <c r="Q4630" i="5"/>
  <c r="P4630" i="5"/>
  <c r="U4513" i="5"/>
  <c r="T4513" i="5"/>
  <c r="S4513" i="5"/>
  <c r="R4513" i="5"/>
  <c r="Q4513" i="5"/>
  <c r="P4513" i="5"/>
  <c r="U4396" i="5"/>
  <c r="T4396" i="5"/>
  <c r="S4396" i="5"/>
  <c r="R4396" i="5"/>
  <c r="Q4396" i="5"/>
  <c r="P4396" i="5"/>
  <c r="U4279" i="5"/>
  <c r="T4279" i="5"/>
  <c r="S4279" i="5"/>
  <c r="R4279" i="5"/>
  <c r="Q4279" i="5"/>
  <c r="P4279" i="5"/>
  <c r="U4746" i="5"/>
  <c r="T4746" i="5"/>
  <c r="S4746" i="5"/>
  <c r="R4746" i="5"/>
  <c r="Q4746" i="5"/>
  <c r="P4746" i="5"/>
  <c r="U4629" i="5"/>
  <c r="T4629" i="5"/>
  <c r="S4629" i="5"/>
  <c r="R4629" i="5"/>
  <c r="Q4629" i="5"/>
  <c r="P4629" i="5"/>
  <c r="U4512" i="5"/>
  <c r="T4512" i="5"/>
  <c r="S4512" i="5"/>
  <c r="R4512" i="5"/>
  <c r="Q4512" i="5"/>
  <c r="P4512" i="5"/>
  <c r="U4395" i="5"/>
  <c r="T4395" i="5"/>
  <c r="S4395" i="5"/>
  <c r="R4395" i="5"/>
  <c r="Q4395" i="5"/>
  <c r="P4395" i="5"/>
  <c r="U4278" i="5"/>
  <c r="T4278" i="5"/>
  <c r="S4278" i="5"/>
  <c r="R4278" i="5"/>
  <c r="Q4278" i="5"/>
  <c r="P4278" i="5"/>
  <c r="U4745" i="5"/>
  <c r="T4745" i="5"/>
  <c r="S4745" i="5"/>
  <c r="R4745" i="5"/>
  <c r="Q4745" i="5"/>
  <c r="P4745" i="5"/>
  <c r="U4628" i="5"/>
  <c r="T4628" i="5"/>
  <c r="S4628" i="5"/>
  <c r="R4628" i="5"/>
  <c r="Q4628" i="5"/>
  <c r="P4628" i="5"/>
  <c r="U4511" i="5"/>
  <c r="T4511" i="5"/>
  <c r="S4511" i="5"/>
  <c r="R4511" i="5"/>
  <c r="Q4511" i="5"/>
  <c r="P4511" i="5"/>
  <c r="U4394" i="5"/>
  <c r="T4394" i="5"/>
  <c r="S4394" i="5"/>
  <c r="R4394" i="5"/>
  <c r="Q4394" i="5"/>
  <c r="P4394" i="5"/>
  <c r="U4277" i="5"/>
  <c r="T4277" i="5"/>
  <c r="S4277" i="5"/>
  <c r="R4277" i="5"/>
  <c r="Q4277" i="5"/>
  <c r="P4277" i="5"/>
  <c r="U4744" i="5"/>
  <c r="T4744" i="5"/>
  <c r="S4744" i="5"/>
  <c r="R4744" i="5"/>
  <c r="Q4744" i="5"/>
  <c r="P4744" i="5"/>
  <c r="U4627" i="5"/>
  <c r="T4627" i="5"/>
  <c r="S4627" i="5"/>
  <c r="R4627" i="5"/>
  <c r="Q4627" i="5"/>
  <c r="P4627" i="5"/>
  <c r="U4510" i="5"/>
  <c r="T4510" i="5"/>
  <c r="S4510" i="5"/>
  <c r="R4510" i="5"/>
  <c r="Q4510" i="5"/>
  <c r="P4510" i="5"/>
  <c r="U4393" i="5"/>
  <c r="T4393" i="5"/>
  <c r="S4393" i="5"/>
  <c r="R4393" i="5"/>
  <c r="Q4393" i="5"/>
  <c r="P4393" i="5"/>
  <c r="U4276" i="5"/>
  <c r="T4276" i="5"/>
  <c r="S4276" i="5"/>
  <c r="R4276" i="5"/>
  <c r="Q4276" i="5"/>
  <c r="P4276" i="5"/>
  <c r="U4743" i="5"/>
  <c r="T4743" i="5"/>
  <c r="S4743" i="5"/>
  <c r="R4743" i="5"/>
  <c r="Q4743" i="5"/>
  <c r="P4743" i="5"/>
  <c r="U4626" i="5"/>
  <c r="T4626" i="5"/>
  <c r="S4626" i="5"/>
  <c r="R4626" i="5"/>
  <c r="Q4626" i="5"/>
  <c r="P4626" i="5"/>
  <c r="U4509" i="5"/>
  <c r="T4509" i="5"/>
  <c r="S4509" i="5"/>
  <c r="R4509" i="5"/>
  <c r="Q4509" i="5"/>
  <c r="P4509" i="5"/>
  <c r="U4392" i="5"/>
  <c r="T4392" i="5"/>
  <c r="S4392" i="5"/>
  <c r="R4392" i="5"/>
  <c r="Q4392" i="5"/>
  <c r="P4392" i="5"/>
  <c r="U4275" i="5"/>
  <c r="T4275" i="5"/>
  <c r="S4275" i="5"/>
  <c r="R4275" i="5"/>
  <c r="Q4275" i="5"/>
  <c r="P4275" i="5"/>
  <c r="U4742" i="5"/>
  <c r="T4742" i="5"/>
  <c r="S4742" i="5"/>
  <c r="R4742" i="5"/>
  <c r="Q4742" i="5"/>
  <c r="P4742" i="5"/>
  <c r="U4625" i="5"/>
  <c r="T4625" i="5"/>
  <c r="S4625" i="5"/>
  <c r="R4625" i="5"/>
  <c r="Q4625" i="5"/>
  <c r="P4625" i="5"/>
  <c r="U4508" i="5"/>
  <c r="T4508" i="5"/>
  <c r="S4508" i="5"/>
  <c r="R4508" i="5"/>
  <c r="Q4508" i="5"/>
  <c r="P4508" i="5"/>
  <c r="U4391" i="5"/>
  <c r="T4391" i="5"/>
  <c r="S4391" i="5"/>
  <c r="R4391" i="5"/>
  <c r="Q4391" i="5"/>
  <c r="P4391" i="5"/>
  <c r="U4274" i="5"/>
  <c r="T4274" i="5"/>
  <c r="S4274" i="5"/>
  <c r="R4274" i="5"/>
  <c r="Q4274" i="5"/>
  <c r="P4274" i="5"/>
  <c r="U4741" i="5"/>
  <c r="T4741" i="5"/>
  <c r="S4741" i="5"/>
  <c r="R4741" i="5"/>
  <c r="Q4741" i="5"/>
  <c r="P4741" i="5"/>
  <c r="U4624" i="5"/>
  <c r="T4624" i="5"/>
  <c r="S4624" i="5"/>
  <c r="R4624" i="5"/>
  <c r="Q4624" i="5"/>
  <c r="P4624" i="5"/>
  <c r="U4507" i="5"/>
  <c r="T4507" i="5"/>
  <c r="S4507" i="5"/>
  <c r="R4507" i="5"/>
  <c r="Q4507" i="5"/>
  <c r="P4507" i="5"/>
  <c r="U4390" i="5"/>
  <c r="T4390" i="5"/>
  <c r="S4390" i="5"/>
  <c r="R4390" i="5"/>
  <c r="Q4390" i="5"/>
  <c r="P4390" i="5"/>
  <c r="U4273" i="5"/>
  <c r="T4273" i="5"/>
  <c r="S4273" i="5"/>
  <c r="R4273" i="5"/>
  <c r="Q4273" i="5"/>
  <c r="P4273" i="5"/>
  <c r="U4740" i="5"/>
  <c r="T4740" i="5"/>
  <c r="S4740" i="5"/>
  <c r="R4740" i="5"/>
  <c r="Q4740" i="5"/>
  <c r="P4740" i="5"/>
  <c r="U4623" i="5"/>
  <c r="T4623" i="5"/>
  <c r="S4623" i="5"/>
  <c r="R4623" i="5"/>
  <c r="Q4623" i="5"/>
  <c r="P4623" i="5"/>
  <c r="U4506" i="5"/>
  <c r="T4506" i="5"/>
  <c r="S4506" i="5"/>
  <c r="R4506" i="5"/>
  <c r="Q4506" i="5"/>
  <c r="P4506" i="5"/>
  <c r="U4389" i="5"/>
  <c r="T4389" i="5"/>
  <c r="S4389" i="5"/>
  <c r="R4389" i="5"/>
  <c r="Q4389" i="5"/>
  <c r="P4389" i="5"/>
  <c r="U4272" i="5"/>
  <c r="T4272" i="5"/>
  <c r="S4272" i="5"/>
  <c r="R4272" i="5"/>
  <c r="Q4272" i="5"/>
  <c r="P4272" i="5"/>
  <c r="U4739" i="5"/>
  <c r="T4739" i="5"/>
  <c r="S4739" i="5"/>
  <c r="R4739" i="5"/>
  <c r="Q4739" i="5"/>
  <c r="P4739" i="5"/>
  <c r="U4622" i="5"/>
  <c r="T4622" i="5"/>
  <c r="S4622" i="5"/>
  <c r="R4622" i="5"/>
  <c r="Q4622" i="5"/>
  <c r="P4622" i="5"/>
  <c r="U4505" i="5"/>
  <c r="T4505" i="5"/>
  <c r="S4505" i="5"/>
  <c r="R4505" i="5"/>
  <c r="Q4505" i="5"/>
  <c r="P4505" i="5"/>
  <c r="U4388" i="5"/>
  <c r="T4388" i="5"/>
  <c r="S4388" i="5"/>
  <c r="R4388" i="5"/>
  <c r="Q4388" i="5"/>
  <c r="P4388" i="5"/>
  <c r="U4271" i="5"/>
  <c r="T4271" i="5"/>
  <c r="S4271" i="5"/>
  <c r="R4271" i="5"/>
  <c r="Q4271" i="5"/>
  <c r="P4271" i="5"/>
  <c r="U4738" i="5"/>
  <c r="T4738" i="5"/>
  <c r="S4738" i="5"/>
  <c r="R4738" i="5"/>
  <c r="Q4738" i="5"/>
  <c r="P4738" i="5"/>
  <c r="U4621" i="5"/>
  <c r="T4621" i="5"/>
  <c r="S4621" i="5"/>
  <c r="R4621" i="5"/>
  <c r="Q4621" i="5"/>
  <c r="P4621" i="5"/>
  <c r="U4504" i="5"/>
  <c r="T4504" i="5"/>
  <c r="S4504" i="5"/>
  <c r="R4504" i="5"/>
  <c r="Q4504" i="5"/>
  <c r="P4504" i="5"/>
  <c r="U4387" i="5"/>
  <c r="T4387" i="5"/>
  <c r="S4387" i="5"/>
  <c r="R4387" i="5"/>
  <c r="Q4387" i="5"/>
  <c r="P4387" i="5"/>
  <c r="U4270" i="5"/>
  <c r="T4270" i="5"/>
  <c r="S4270" i="5"/>
  <c r="R4270" i="5"/>
  <c r="Q4270" i="5"/>
  <c r="P4270" i="5"/>
  <c r="U4737" i="5"/>
  <c r="T4737" i="5"/>
  <c r="S4737" i="5"/>
  <c r="R4737" i="5"/>
  <c r="Q4737" i="5"/>
  <c r="P4737" i="5"/>
  <c r="U4620" i="5"/>
  <c r="T4620" i="5"/>
  <c r="S4620" i="5"/>
  <c r="R4620" i="5"/>
  <c r="Q4620" i="5"/>
  <c r="P4620" i="5"/>
  <c r="U4503" i="5"/>
  <c r="T4503" i="5"/>
  <c r="S4503" i="5"/>
  <c r="R4503" i="5"/>
  <c r="Q4503" i="5"/>
  <c r="P4503" i="5"/>
  <c r="U4386" i="5"/>
  <c r="T4386" i="5"/>
  <c r="S4386" i="5"/>
  <c r="R4386" i="5"/>
  <c r="Q4386" i="5"/>
  <c r="P4386" i="5"/>
  <c r="U4269" i="5"/>
  <c r="T4269" i="5"/>
  <c r="S4269" i="5"/>
  <c r="R4269" i="5"/>
  <c r="Q4269" i="5"/>
  <c r="P4269" i="5"/>
  <c r="U4736" i="5"/>
  <c r="T4736" i="5"/>
  <c r="S4736" i="5"/>
  <c r="R4736" i="5"/>
  <c r="Q4736" i="5"/>
  <c r="P4736" i="5"/>
  <c r="U4619" i="5"/>
  <c r="T4619" i="5"/>
  <c r="S4619" i="5"/>
  <c r="R4619" i="5"/>
  <c r="Q4619" i="5"/>
  <c r="P4619" i="5"/>
  <c r="U4502" i="5"/>
  <c r="T4502" i="5"/>
  <c r="S4502" i="5"/>
  <c r="R4502" i="5"/>
  <c r="Q4502" i="5"/>
  <c r="P4502" i="5"/>
  <c r="U4385" i="5"/>
  <c r="T4385" i="5"/>
  <c r="S4385" i="5"/>
  <c r="R4385" i="5"/>
  <c r="Q4385" i="5"/>
  <c r="P4385" i="5"/>
  <c r="U4268" i="5"/>
  <c r="T4268" i="5"/>
  <c r="S4268" i="5"/>
  <c r="R4268" i="5"/>
  <c r="Q4268" i="5"/>
  <c r="P4268" i="5"/>
  <c r="U4735" i="5"/>
  <c r="T4735" i="5"/>
  <c r="S4735" i="5"/>
  <c r="R4735" i="5"/>
  <c r="Q4735" i="5"/>
  <c r="P4735" i="5"/>
  <c r="U4618" i="5"/>
  <c r="T4618" i="5"/>
  <c r="S4618" i="5"/>
  <c r="R4618" i="5"/>
  <c r="Q4618" i="5"/>
  <c r="P4618" i="5"/>
  <c r="U4501" i="5"/>
  <c r="T4501" i="5"/>
  <c r="S4501" i="5"/>
  <c r="R4501" i="5"/>
  <c r="Q4501" i="5"/>
  <c r="P4501" i="5"/>
  <c r="U4384" i="5"/>
  <c r="T4384" i="5"/>
  <c r="S4384" i="5"/>
  <c r="R4384" i="5"/>
  <c r="Q4384" i="5"/>
  <c r="P4384" i="5"/>
  <c r="U4267" i="5"/>
  <c r="T4267" i="5"/>
  <c r="S4267" i="5"/>
  <c r="R4267" i="5"/>
  <c r="Q4267" i="5"/>
  <c r="P4267" i="5"/>
  <c r="U4734" i="5"/>
  <c r="T4734" i="5"/>
  <c r="S4734" i="5"/>
  <c r="R4734" i="5"/>
  <c r="Q4734" i="5"/>
  <c r="P4734" i="5"/>
  <c r="U4617" i="5"/>
  <c r="T4617" i="5"/>
  <c r="S4617" i="5"/>
  <c r="R4617" i="5"/>
  <c r="Q4617" i="5"/>
  <c r="P4617" i="5"/>
  <c r="U4500" i="5"/>
  <c r="T4500" i="5"/>
  <c r="S4500" i="5"/>
  <c r="R4500" i="5"/>
  <c r="Q4500" i="5"/>
  <c r="P4500" i="5"/>
  <c r="U4383" i="5"/>
  <c r="T4383" i="5"/>
  <c r="S4383" i="5"/>
  <c r="R4383" i="5"/>
  <c r="Q4383" i="5"/>
  <c r="P4383" i="5"/>
  <c r="U4266" i="5"/>
  <c r="T4266" i="5"/>
  <c r="S4266" i="5"/>
  <c r="R4266" i="5"/>
  <c r="Q4266" i="5"/>
  <c r="P4266" i="5"/>
  <c r="U4733" i="5"/>
  <c r="T4733" i="5"/>
  <c r="S4733" i="5"/>
  <c r="R4733" i="5"/>
  <c r="Q4733" i="5"/>
  <c r="P4733" i="5"/>
  <c r="U4616" i="5"/>
  <c r="T4616" i="5"/>
  <c r="S4616" i="5"/>
  <c r="R4616" i="5"/>
  <c r="Q4616" i="5"/>
  <c r="P4616" i="5"/>
  <c r="U4499" i="5"/>
  <c r="T4499" i="5"/>
  <c r="S4499" i="5"/>
  <c r="R4499" i="5"/>
  <c r="Q4499" i="5"/>
  <c r="P4499" i="5"/>
  <c r="U4382" i="5"/>
  <c r="T4382" i="5"/>
  <c r="S4382" i="5"/>
  <c r="R4382" i="5"/>
  <c r="Q4382" i="5"/>
  <c r="P4382" i="5"/>
  <c r="U4265" i="5"/>
  <c r="T4265" i="5"/>
  <c r="S4265" i="5"/>
  <c r="R4265" i="5"/>
  <c r="Q4265" i="5"/>
  <c r="P4265" i="5"/>
  <c r="U4732" i="5"/>
  <c r="T4732" i="5"/>
  <c r="S4732" i="5"/>
  <c r="R4732" i="5"/>
  <c r="Q4732" i="5"/>
  <c r="P4732" i="5"/>
  <c r="U4615" i="5"/>
  <c r="T4615" i="5"/>
  <c r="S4615" i="5"/>
  <c r="R4615" i="5"/>
  <c r="Q4615" i="5"/>
  <c r="P4615" i="5"/>
  <c r="U4498" i="5"/>
  <c r="T4498" i="5"/>
  <c r="S4498" i="5"/>
  <c r="R4498" i="5"/>
  <c r="Q4498" i="5"/>
  <c r="P4498" i="5"/>
  <c r="U4381" i="5"/>
  <c r="T4381" i="5"/>
  <c r="S4381" i="5"/>
  <c r="R4381" i="5"/>
  <c r="Q4381" i="5"/>
  <c r="P4381" i="5"/>
  <c r="U4264" i="5"/>
  <c r="T4264" i="5"/>
  <c r="S4264" i="5"/>
  <c r="R4264" i="5"/>
  <c r="Q4264" i="5"/>
  <c r="P4264" i="5"/>
  <c r="U1357" i="5"/>
  <c r="T1357" i="5"/>
  <c r="S1357" i="5"/>
  <c r="I1357" i="5"/>
  <c r="R1357" i="5" s="1"/>
  <c r="H1357" i="5"/>
  <c r="G1357" i="5"/>
  <c r="Q1357" i="5" s="1"/>
  <c r="F1357" i="5"/>
  <c r="E1357" i="5"/>
  <c r="P1357" i="5" s="1"/>
  <c r="D1357" i="5"/>
  <c r="U1356" i="5"/>
  <c r="T1356" i="5"/>
  <c r="S1356" i="5"/>
  <c r="I1356" i="5"/>
  <c r="R1356" i="5" s="1"/>
  <c r="H1356" i="5"/>
  <c r="G1356" i="5"/>
  <c r="Q1356" i="5" s="1"/>
  <c r="F1356" i="5"/>
  <c r="E1356" i="5"/>
  <c r="P1356" i="5" s="1"/>
  <c r="D1356" i="5"/>
  <c r="U1355" i="5"/>
  <c r="T1355" i="5"/>
  <c r="S1355" i="5"/>
  <c r="I1355" i="5"/>
  <c r="R1355" i="5" s="1"/>
  <c r="H1355" i="5"/>
  <c r="G1355" i="5"/>
  <c r="Q1355" i="5" s="1"/>
  <c r="F1355" i="5"/>
  <c r="E1355" i="5"/>
  <c r="P1355" i="5" s="1"/>
  <c r="D1355" i="5"/>
  <c r="U1354" i="5"/>
  <c r="T1354" i="5"/>
  <c r="S1354" i="5"/>
  <c r="I1354" i="5"/>
  <c r="R1354" i="5" s="1"/>
  <c r="H1354" i="5"/>
  <c r="G1354" i="5"/>
  <c r="Q1354" i="5" s="1"/>
  <c r="F1354" i="5"/>
  <c r="E1354" i="5"/>
  <c r="P1354" i="5" s="1"/>
  <c r="D1354" i="5"/>
  <c r="U1287" i="5"/>
  <c r="T1287" i="5"/>
  <c r="S1287" i="5"/>
  <c r="I1287" i="5"/>
  <c r="R1287" i="5" s="1"/>
  <c r="H1287" i="5"/>
  <c r="G1287" i="5"/>
  <c r="Q1287" i="5" s="1"/>
  <c r="F1287" i="5"/>
  <c r="E1287" i="5"/>
  <c r="P1287" i="5" s="1"/>
  <c r="D1287" i="5"/>
  <c r="U4731" i="5"/>
  <c r="T4731" i="5"/>
  <c r="S4731" i="5"/>
  <c r="R4731" i="5"/>
  <c r="Q4731" i="5"/>
  <c r="P4731" i="5"/>
  <c r="U4614" i="5"/>
  <c r="T4614" i="5"/>
  <c r="S4614" i="5"/>
  <c r="R4614" i="5"/>
  <c r="Q4614" i="5"/>
  <c r="P4614" i="5"/>
  <c r="U4497" i="5"/>
  <c r="T4497" i="5"/>
  <c r="S4497" i="5"/>
  <c r="R4497" i="5"/>
  <c r="Q4497" i="5"/>
  <c r="P4497" i="5"/>
  <c r="U4380" i="5"/>
  <c r="T4380" i="5"/>
  <c r="S4380" i="5"/>
  <c r="R4380" i="5"/>
  <c r="Q4380" i="5"/>
  <c r="P4380" i="5"/>
  <c r="U4263" i="5"/>
  <c r="T4263" i="5"/>
  <c r="S4263" i="5"/>
  <c r="R4263" i="5"/>
  <c r="Q4263" i="5"/>
  <c r="P4263" i="5"/>
  <c r="U4730" i="5"/>
  <c r="T4730" i="5"/>
  <c r="S4730" i="5"/>
  <c r="R4730" i="5"/>
  <c r="Q4730" i="5"/>
  <c r="P4730" i="5"/>
  <c r="U4613" i="5"/>
  <c r="T4613" i="5"/>
  <c r="S4613" i="5"/>
  <c r="R4613" i="5"/>
  <c r="Q4613" i="5"/>
  <c r="P4613" i="5"/>
  <c r="U4496" i="5"/>
  <c r="T4496" i="5"/>
  <c r="S4496" i="5"/>
  <c r="R4496" i="5"/>
  <c r="Q4496" i="5"/>
  <c r="P4496" i="5"/>
  <c r="U4379" i="5"/>
  <c r="T4379" i="5"/>
  <c r="S4379" i="5"/>
  <c r="R4379" i="5"/>
  <c r="Q4379" i="5"/>
  <c r="P4379" i="5"/>
  <c r="U4262" i="5"/>
  <c r="T4262" i="5"/>
  <c r="S4262" i="5"/>
  <c r="R4262" i="5"/>
  <c r="Q4262" i="5"/>
  <c r="P4262" i="5"/>
  <c r="U4729" i="5"/>
  <c r="T4729" i="5"/>
  <c r="S4729" i="5"/>
  <c r="R4729" i="5"/>
  <c r="Q4729" i="5"/>
  <c r="P4729" i="5"/>
  <c r="U4612" i="5"/>
  <c r="T4612" i="5"/>
  <c r="S4612" i="5"/>
  <c r="R4612" i="5"/>
  <c r="Q4612" i="5"/>
  <c r="P4612" i="5"/>
  <c r="U4495" i="5"/>
  <c r="T4495" i="5"/>
  <c r="S4495" i="5"/>
  <c r="R4495" i="5"/>
  <c r="Q4495" i="5"/>
  <c r="P4495" i="5"/>
  <c r="U4378" i="5"/>
  <c r="T4378" i="5"/>
  <c r="S4378" i="5"/>
  <c r="R4378" i="5"/>
  <c r="Q4378" i="5"/>
  <c r="P4378" i="5"/>
  <c r="U4261" i="5"/>
  <c r="T4261" i="5"/>
  <c r="S4261" i="5"/>
  <c r="R4261" i="5"/>
  <c r="Q4261" i="5"/>
  <c r="P4261" i="5"/>
  <c r="U4728" i="5"/>
  <c r="T4728" i="5"/>
  <c r="S4728" i="5"/>
  <c r="R4728" i="5"/>
  <c r="Q4728" i="5"/>
  <c r="P4728" i="5"/>
  <c r="U4611" i="5"/>
  <c r="T4611" i="5"/>
  <c r="S4611" i="5"/>
  <c r="R4611" i="5"/>
  <c r="Q4611" i="5"/>
  <c r="P4611" i="5"/>
  <c r="U4494" i="5"/>
  <c r="T4494" i="5"/>
  <c r="S4494" i="5"/>
  <c r="R4494" i="5"/>
  <c r="Q4494" i="5"/>
  <c r="P4494" i="5"/>
  <c r="U4377" i="5"/>
  <c r="T4377" i="5"/>
  <c r="S4377" i="5"/>
  <c r="R4377" i="5"/>
  <c r="Q4377" i="5"/>
  <c r="P4377" i="5"/>
  <c r="U4260" i="5"/>
  <c r="T4260" i="5"/>
  <c r="S4260" i="5"/>
  <c r="R4260" i="5"/>
  <c r="Q4260" i="5"/>
  <c r="P4260" i="5"/>
  <c r="U4727" i="5"/>
  <c r="T4727" i="5"/>
  <c r="S4727" i="5"/>
  <c r="R4727" i="5"/>
  <c r="Q4727" i="5"/>
  <c r="P4727" i="5"/>
  <c r="U4610" i="5"/>
  <c r="T4610" i="5"/>
  <c r="S4610" i="5"/>
  <c r="R4610" i="5"/>
  <c r="Q4610" i="5"/>
  <c r="P4610" i="5"/>
  <c r="U4493" i="5"/>
  <c r="T4493" i="5"/>
  <c r="S4493" i="5"/>
  <c r="R4493" i="5"/>
  <c r="Q4493" i="5"/>
  <c r="P4493" i="5"/>
  <c r="U4376" i="5"/>
  <c r="T4376" i="5"/>
  <c r="S4376" i="5"/>
  <c r="R4376" i="5"/>
  <c r="Q4376" i="5"/>
  <c r="P4376" i="5"/>
  <c r="U4259" i="5"/>
  <c r="T4259" i="5"/>
  <c r="S4259" i="5"/>
  <c r="R4259" i="5"/>
  <c r="Q4259" i="5"/>
  <c r="P4259" i="5"/>
  <c r="U4726" i="5"/>
  <c r="T4726" i="5"/>
  <c r="S4726" i="5"/>
  <c r="R4726" i="5"/>
  <c r="Q4726" i="5"/>
  <c r="P4726" i="5"/>
  <c r="U4609" i="5"/>
  <c r="T4609" i="5"/>
  <c r="S4609" i="5"/>
  <c r="R4609" i="5"/>
  <c r="Q4609" i="5"/>
  <c r="P4609" i="5"/>
  <c r="U4492" i="5"/>
  <c r="T4492" i="5"/>
  <c r="S4492" i="5"/>
  <c r="R4492" i="5"/>
  <c r="Q4492" i="5"/>
  <c r="P4492" i="5"/>
  <c r="U4375" i="5"/>
  <c r="T4375" i="5"/>
  <c r="S4375" i="5"/>
  <c r="R4375" i="5"/>
  <c r="Q4375" i="5"/>
  <c r="P4375" i="5"/>
  <c r="U4258" i="5"/>
  <c r="T4258" i="5"/>
  <c r="S4258" i="5"/>
  <c r="R4258" i="5"/>
  <c r="Q4258" i="5"/>
  <c r="P4258" i="5"/>
  <c r="U4725" i="5"/>
  <c r="T4725" i="5"/>
  <c r="S4725" i="5"/>
  <c r="R4725" i="5"/>
  <c r="Q4725" i="5"/>
  <c r="P4725" i="5"/>
  <c r="U4608" i="5"/>
  <c r="T4608" i="5"/>
  <c r="S4608" i="5"/>
  <c r="R4608" i="5"/>
  <c r="Q4608" i="5"/>
  <c r="P4608" i="5"/>
  <c r="U4491" i="5"/>
  <c r="T4491" i="5"/>
  <c r="S4491" i="5"/>
  <c r="R4491" i="5"/>
  <c r="Q4491" i="5"/>
  <c r="P4491" i="5"/>
  <c r="U4374" i="5"/>
  <c r="T4374" i="5"/>
  <c r="S4374" i="5"/>
  <c r="R4374" i="5"/>
  <c r="Q4374" i="5"/>
  <c r="P4374" i="5"/>
  <c r="U4257" i="5"/>
  <c r="T4257" i="5"/>
  <c r="S4257" i="5"/>
  <c r="R4257" i="5"/>
  <c r="Q4257" i="5"/>
  <c r="P4257" i="5"/>
  <c r="U4724" i="5"/>
  <c r="T4724" i="5"/>
  <c r="S4724" i="5"/>
  <c r="R4724" i="5"/>
  <c r="Q4724" i="5"/>
  <c r="P4724" i="5"/>
  <c r="U4607" i="5"/>
  <c r="T4607" i="5"/>
  <c r="S4607" i="5"/>
  <c r="R4607" i="5"/>
  <c r="Q4607" i="5"/>
  <c r="P4607" i="5"/>
  <c r="U4490" i="5"/>
  <c r="T4490" i="5"/>
  <c r="S4490" i="5"/>
  <c r="R4490" i="5"/>
  <c r="Q4490" i="5"/>
  <c r="P4490" i="5"/>
  <c r="U4373" i="5"/>
  <c r="T4373" i="5"/>
  <c r="S4373" i="5"/>
  <c r="R4373" i="5"/>
  <c r="Q4373" i="5"/>
  <c r="P4373" i="5"/>
  <c r="U4256" i="5"/>
  <c r="T4256" i="5"/>
  <c r="S4256" i="5"/>
  <c r="R4256" i="5"/>
  <c r="Q4256" i="5"/>
  <c r="P4256" i="5"/>
  <c r="U4723" i="5"/>
  <c r="T4723" i="5"/>
  <c r="S4723" i="5"/>
  <c r="R4723" i="5"/>
  <c r="Q4723" i="5"/>
  <c r="P4723" i="5"/>
  <c r="U4606" i="5"/>
  <c r="T4606" i="5"/>
  <c r="S4606" i="5"/>
  <c r="R4606" i="5"/>
  <c r="Q4606" i="5"/>
  <c r="P4606" i="5"/>
  <c r="U4489" i="5"/>
  <c r="T4489" i="5"/>
  <c r="S4489" i="5"/>
  <c r="R4489" i="5"/>
  <c r="Q4489" i="5"/>
  <c r="P4489" i="5"/>
  <c r="U4372" i="5"/>
  <c r="T4372" i="5"/>
  <c r="S4372" i="5"/>
  <c r="R4372" i="5"/>
  <c r="Q4372" i="5"/>
  <c r="P4372" i="5"/>
  <c r="U4255" i="5"/>
  <c r="T4255" i="5"/>
  <c r="S4255" i="5"/>
  <c r="R4255" i="5"/>
  <c r="Q4255" i="5"/>
  <c r="P4255" i="5"/>
  <c r="U4722" i="5"/>
  <c r="T4722" i="5"/>
  <c r="S4722" i="5"/>
  <c r="R4722" i="5"/>
  <c r="Q4722" i="5"/>
  <c r="P4722" i="5"/>
  <c r="U4605" i="5"/>
  <c r="T4605" i="5"/>
  <c r="S4605" i="5"/>
  <c r="R4605" i="5"/>
  <c r="Q4605" i="5"/>
  <c r="P4605" i="5"/>
  <c r="U4488" i="5"/>
  <c r="T4488" i="5"/>
  <c r="S4488" i="5"/>
  <c r="R4488" i="5"/>
  <c r="Q4488" i="5"/>
  <c r="P4488" i="5"/>
  <c r="U4371" i="5"/>
  <c r="T4371" i="5"/>
  <c r="S4371" i="5"/>
  <c r="R4371" i="5"/>
  <c r="Q4371" i="5"/>
  <c r="P4371" i="5"/>
  <c r="U4254" i="5"/>
  <c r="T4254" i="5"/>
  <c r="S4254" i="5"/>
  <c r="R4254" i="5"/>
  <c r="Q4254" i="5"/>
  <c r="P4254" i="5"/>
  <c r="U4721" i="5"/>
  <c r="T4721" i="5"/>
  <c r="S4721" i="5"/>
  <c r="R4721" i="5"/>
  <c r="Q4721" i="5"/>
  <c r="P4721" i="5"/>
  <c r="U4604" i="5"/>
  <c r="T4604" i="5"/>
  <c r="S4604" i="5"/>
  <c r="R4604" i="5"/>
  <c r="Q4604" i="5"/>
  <c r="P4604" i="5"/>
  <c r="U4487" i="5"/>
  <c r="T4487" i="5"/>
  <c r="S4487" i="5"/>
  <c r="R4487" i="5"/>
  <c r="Q4487" i="5"/>
  <c r="P4487" i="5"/>
  <c r="U4370" i="5"/>
  <c r="T4370" i="5"/>
  <c r="S4370" i="5"/>
  <c r="R4370" i="5"/>
  <c r="Q4370" i="5"/>
  <c r="P4370" i="5"/>
  <c r="U4253" i="5"/>
  <c r="T4253" i="5"/>
  <c r="S4253" i="5"/>
  <c r="R4253" i="5"/>
  <c r="Q4253" i="5"/>
  <c r="P4253" i="5"/>
  <c r="U4720" i="5"/>
  <c r="T4720" i="5"/>
  <c r="S4720" i="5"/>
  <c r="R4720" i="5"/>
  <c r="Q4720" i="5"/>
  <c r="P4720" i="5"/>
  <c r="U4603" i="5"/>
  <c r="T4603" i="5"/>
  <c r="S4603" i="5"/>
  <c r="R4603" i="5"/>
  <c r="Q4603" i="5"/>
  <c r="P4603" i="5"/>
  <c r="U4486" i="5"/>
  <c r="T4486" i="5"/>
  <c r="S4486" i="5"/>
  <c r="R4486" i="5"/>
  <c r="Q4486" i="5"/>
  <c r="P4486" i="5"/>
  <c r="U4369" i="5"/>
  <c r="T4369" i="5"/>
  <c r="S4369" i="5"/>
  <c r="R4369" i="5"/>
  <c r="Q4369" i="5"/>
  <c r="P4369" i="5"/>
  <c r="U4252" i="5"/>
  <c r="T4252" i="5"/>
  <c r="S4252" i="5"/>
  <c r="R4252" i="5"/>
  <c r="Q4252" i="5"/>
  <c r="P4252" i="5"/>
  <c r="U4719" i="5"/>
  <c r="T4719" i="5"/>
  <c r="S4719" i="5"/>
  <c r="R4719" i="5"/>
  <c r="Q4719" i="5"/>
  <c r="P4719" i="5"/>
  <c r="U4602" i="5"/>
  <c r="T4602" i="5"/>
  <c r="S4602" i="5"/>
  <c r="R4602" i="5"/>
  <c r="Q4602" i="5"/>
  <c r="P4602" i="5"/>
  <c r="U4485" i="5"/>
  <c r="T4485" i="5"/>
  <c r="S4485" i="5"/>
  <c r="R4485" i="5"/>
  <c r="Q4485" i="5"/>
  <c r="P4485" i="5"/>
  <c r="U4368" i="5"/>
  <c r="T4368" i="5"/>
  <c r="S4368" i="5"/>
  <c r="R4368" i="5"/>
  <c r="Q4368" i="5"/>
  <c r="P4368" i="5"/>
  <c r="U4251" i="5"/>
  <c r="T4251" i="5"/>
  <c r="S4251" i="5"/>
  <c r="R4251" i="5"/>
  <c r="Q4251" i="5"/>
  <c r="P4251" i="5"/>
  <c r="U4718" i="5"/>
  <c r="T4718" i="5"/>
  <c r="S4718" i="5"/>
  <c r="R4718" i="5"/>
  <c r="Q4718" i="5"/>
  <c r="P4718" i="5"/>
  <c r="U4601" i="5"/>
  <c r="T4601" i="5"/>
  <c r="S4601" i="5"/>
  <c r="R4601" i="5"/>
  <c r="Q4601" i="5"/>
  <c r="P4601" i="5"/>
  <c r="U4484" i="5"/>
  <c r="T4484" i="5"/>
  <c r="S4484" i="5"/>
  <c r="R4484" i="5"/>
  <c r="Q4484" i="5"/>
  <c r="P4484" i="5"/>
  <c r="U4367" i="5"/>
  <c r="T4367" i="5"/>
  <c r="S4367" i="5"/>
  <c r="R4367" i="5"/>
  <c r="Q4367" i="5"/>
  <c r="P4367" i="5"/>
  <c r="U4250" i="5"/>
  <c r="T4250" i="5"/>
  <c r="S4250" i="5"/>
  <c r="R4250" i="5"/>
  <c r="Q4250" i="5"/>
  <c r="P4250" i="5"/>
  <c r="U4717" i="5"/>
  <c r="T4717" i="5"/>
  <c r="S4717" i="5"/>
  <c r="R4717" i="5"/>
  <c r="Q4717" i="5"/>
  <c r="P4717" i="5"/>
  <c r="U4600" i="5"/>
  <c r="T4600" i="5"/>
  <c r="S4600" i="5"/>
  <c r="R4600" i="5"/>
  <c r="Q4600" i="5"/>
  <c r="P4600" i="5"/>
  <c r="U4483" i="5"/>
  <c r="T4483" i="5"/>
  <c r="S4483" i="5"/>
  <c r="R4483" i="5"/>
  <c r="Q4483" i="5"/>
  <c r="P4483" i="5"/>
  <c r="U4366" i="5"/>
  <c r="T4366" i="5"/>
  <c r="S4366" i="5"/>
  <c r="R4366" i="5"/>
  <c r="Q4366" i="5"/>
  <c r="P4366" i="5"/>
  <c r="U4249" i="5"/>
  <c r="T4249" i="5"/>
  <c r="S4249" i="5"/>
  <c r="R4249" i="5"/>
  <c r="Q4249" i="5"/>
  <c r="P4249" i="5"/>
  <c r="U4716" i="5"/>
  <c r="T4716" i="5"/>
  <c r="S4716" i="5"/>
  <c r="R4716" i="5"/>
  <c r="Q4716" i="5"/>
  <c r="P4716" i="5"/>
  <c r="U4599" i="5"/>
  <c r="T4599" i="5"/>
  <c r="S4599" i="5"/>
  <c r="R4599" i="5"/>
  <c r="Q4599" i="5"/>
  <c r="P4599" i="5"/>
  <c r="U4482" i="5"/>
  <c r="T4482" i="5"/>
  <c r="S4482" i="5"/>
  <c r="R4482" i="5"/>
  <c r="Q4482" i="5"/>
  <c r="P4482" i="5"/>
  <c r="U4365" i="5"/>
  <c r="T4365" i="5"/>
  <c r="S4365" i="5"/>
  <c r="R4365" i="5"/>
  <c r="Q4365" i="5"/>
  <c r="P4365" i="5"/>
  <c r="U4248" i="5"/>
  <c r="T4248" i="5"/>
  <c r="S4248" i="5"/>
  <c r="R4248" i="5"/>
  <c r="Q4248" i="5"/>
  <c r="P4248" i="5"/>
  <c r="U4715" i="5"/>
  <c r="T4715" i="5"/>
  <c r="S4715" i="5"/>
  <c r="R4715" i="5"/>
  <c r="Q4715" i="5"/>
  <c r="P4715" i="5"/>
  <c r="U4598" i="5"/>
  <c r="T4598" i="5"/>
  <c r="S4598" i="5"/>
  <c r="R4598" i="5"/>
  <c r="Q4598" i="5"/>
  <c r="P4598" i="5"/>
  <c r="U4481" i="5"/>
  <c r="T4481" i="5"/>
  <c r="S4481" i="5"/>
  <c r="R4481" i="5"/>
  <c r="Q4481" i="5"/>
  <c r="P4481" i="5"/>
  <c r="U4364" i="5"/>
  <c r="T4364" i="5"/>
  <c r="S4364" i="5"/>
  <c r="R4364" i="5"/>
  <c r="Q4364" i="5"/>
  <c r="P4364" i="5"/>
  <c r="U4247" i="5"/>
  <c r="T4247" i="5"/>
  <c r="S4247" i="5"/>
  <c r="R4247" i="5"/>
  <c r="Q4247" i="5"/>
  <c r="P4247" i="5"/>
  <c r="U1286" i="5"/>
  <c r="T1286" i="5"/>
  <c r="S1286" i="5"/>
  <c r="I1286" i="5"/>
  <c r="R1286" i="5" s="1"/>
  <c r="H1286" i="5"/>
  <c r="G1286" i="5"/>
  <c r="Q1286" i="5" s="1"/>
  <c r="F1286" i="5"/>
  <c r="E1286" i="5"/>
  <c r="P1286" i="5" s="1"/>
  <c r="D1286" i="5"/>
  <c r="U1285" i="5"/>
  <c r="T1285" i="5"/>
  <c r="S1285" i="5"/>
  <c r="I1285" i="5"/>
  <c r="R1285" i="5" s="1"/>
  <c r="H1285" i="5"/>
  <c r="G1285" i="5"/>
  <c r="Q1285" i="5" s="1"/>
  <c r="F1285" i="5"/>
  <c r="E1285" i="5"/>
  <c r="P1285" i="5" s="1"/>
  <c r="D1285" i="5"/>
  <c r="U1284" i="5"/>
  <c r="T1284" i="5"/>
  <c r="S1284" i="5"/>
  <c r="I1284" i="5"/>
  <c r="R1284" i="5" s="1"/>
  <c r="H1284" i="5"/>
  <c r="G1284" i="5"/>
  <c r="Q1284" i="5" s="1"/>
  <c r="F1284" i="5"/>
  <c r="E1284" i="5"/>
  <c r="P1284" i="5" s="1"/>
  <c r="D1284" i="5"/>
  <c r="U1217" i="5"/>
  <c r="T1217" i="5"/>
  <c r="S1217" i="5"/>
  <c r="I1217" i="5"/>
  <c r="R1217" i="5" s="1"/>
  <c r="H1217" i="5"/>
  <c r="G1217" i="5"/>
  <c r="Q1217" i="5" s="1"/>
  <c r="F1217" i="5"/>
  <c r="E1217" i="5"/>
  <c r="P1217" i="5" s="1"/>
  <c r="D1217" i="5"/>
  <c r="U1216" i="5"/>
  <c r="T1216" i="5"/>
  <c r="S1216" i="5"/>
  <c r="I1216" i="5"/>
  <c r="R1216" i="5" s="1"/>
  <c r="H1216" i="5"/>
  <c r="G1216" i="5"/>
  <c r="Q1216" i="5" s="1"/>
  <c r="F1216" i="5"/>
  <c r="E1216" i="5"/>
  <c r="P1216" i="5" s="1"/>
  <c r="D1216" i="5"/>
  <c r="U4714" i="5"/>
  <c r="T4714" i="5"/>
  <c r="S4714" i="5"/>
  <c r="R4714" i="5"/>
  <c r="Q4714" i="5"/>
  <c r="P4714" i="5"/>
  <c r="U4597" i="5"/>
  <c r="T4597" i="5"/>
  <c r="S4597" i="5"/>
  <c r="R4597" i="5"/>
  <c r="Q4597" i="5"/>
  <c r="P4597" i="5"/>
  <c r="U4480" i="5"/>
  <c r="T4480" i="5"/>
  <c r="S4480" i="5"/>
  <c r="R4480" i="5"/>
  <c r="Q4480" i="5"/>
  <c r="P4480" i="5"/>
  <c r="U4363" i="5"/>
  <c r="T4363" i="5"/>
  <c r="S4363" i="5"/>
  <c r="R4363" i="5"/>
  <c r="Q4363" i="5"/>
  <c r="P4363" i="5"/>
  <c r="U4246" i="5"/>
  <c r="T4246" i="5"/>
  <c r="S4246" i="5"/>
  <c r="R4246" i="5"/>
  <c r="Q4246" i="5"/>
  <c r="P4246" i="5"/>
  <c r="U4713" i="5"/>
  <c r="T4713" i="5"/>
  <c r="S4713" i="5"/>
  <c r="R4713" i="5"/>
  <c r="Q4713" i="5"/>
  <c r="P4713" i="5"/>
  <c r="U4596" i="5"/>
  <c r="T4596" i="5"/>
  <c r="S4596" i="5"/>
  <c r="R4596" i="5"/>
  <c r="Q4596" i="5"/>
  <c r="P4596" i="5"/>
  <c r="U4479" i="5"/>
  <c r="T4479" i="5"/>
  <c r="S4479" i="5"/>
  <c r="R4479" i="5"/>
  <c r="Q4479" i="5"/>
  <c r="P4479" i="5"/>
  <c r="U4362" i="5"/>
  <c r="T4362" i="5"/>
  <c r="S4362" i="5"/>
  <c r="R4362" i="5"/>
  <c r="Q4362" i="5"/>
  <c r="P4362" i="5"/>
  <c r="U4245" i="5"/>
  <c r="T4245" i="5"/>
  <c r="S4245" i="5"/>
  <c r="R4245" i="5"/>
  <c r="Q4245" i="5"/>
  <c r="P4245" i="5"/>
  <c r="U4712" i="5"/>
  <c r="T4712" i="5"/>
  <c r="S4712" i="5"/>
  <c r="R4712" i="5"/>
  <c r="Q4712" i="5"/>
  <c r="P4712" i="5"/>
  <c r="U4595" i="5"/>
  <c r="T4595" i="5"/>
  <c r="S4595" i="5"/>
  <c r="R4595" i="5"/>
  <c r="Q4595" i="5"/>
  <c r="P4595" i="5"/>
  <c r="U4478" i="5"/>
  <c r="T4478" i="5"/>
  <c r="S4478" i="5"/>
  <c r="R4478" i="5"/>
  <c r="Q4478" i="5"/>
  <c r="P4478" i="5"/>
  <c r="U4361" i="5"/>
  <c r="T4361" i="5"/>
  <c r="S4361" i="5"/>
  <c r="R4361" i="5"/>
  <c r="Q4361" i="5"/>
  <c r="P4361" i="5"/>
  <c r="U4244" i="5"/>
  <c r="T4244" i="5"/>
  <c r="S4244" i="5"/>
  <c r="R4244" i="5"/>
  <c r="Q4244" i="5"/>
  <c r="P4244" i="5"/>
  <c r="U4711" i="5"/>
  <c r="T4711" i="5"/>
  <c r="S4711" i="5"/>
  <c r="R4711" i="5"/>
  <c r="Q4711" i="5"/>
  <c r="P4711" i="5"/>
  <c r="U4594" i="5"/>
  <c r="T4594" i="5"/>
  <c r="S4594" i="5"/>
  <c r="R4594" i="5"/>
  <c r="Q4594" i="5"/>
  <c r="P4594" i="5"/>
  <c r="U4477" i="5"/>
  <c r="T4477" i="5"/>
  <c r="S4477" i="5"/>
  <c r="R4477" i="5"/>
  <c r="Q4477" i="5"/>
  <c r="P4477" i="5"/>
  <c r="U4360" i="5"/>
  <c r="T4360" i="5"/>
  <c r="S4360" i="5"/>
  <c r="R4360" i="5"/>
  <c r="Q4360" i="5"/>
  <c r="P4360" i="5"/>
  <c r="U4243" i="5"/>
  <c r="T4243" i="5"/>
  <c r="S4243" i="5"/>
  <c r="R4243" i="5"/>
  <c r="Q4243" i="5"/>
  <c r="P4243" i="5"/>
  <c r="U4710" i="5"/>
  <c r="T4710" i="5"/>
  <c r="S4710" i="5"/>
  <c r="R4710" i="5"/>
  <c r="Q4710" i="5"/>
  <c r="P4710" i="5"/>
  <c r="U4593" i="5"/>
  <c r="T4593" i="5"/>
  <c r="S4593" i="5"/>
  <c r="R4593" i="5"/>
  <c r="Q4593" i="5"/>
  <c r="P4593" i="5"/>
  <c r="U4476" i="5"/>
  <c r="T4476" i="5"/>
  <c r="S4476" i="5"/>
  <c r="R4476" i="5"/>
  <c r="Q4476" i="5"/>
  <c r="P4476" i="5"/>
  <c r="U4359" i="5"/>
  <c r="T4359" i="5"/>
  <c r="S4359" i="5"/>
  <c r="R4359" i="5"/>
  <c r="Q4359" i="5"/>
  <c r="P4359" i="5"/>
  <c r="U4242" i="5"/>
  <c r="T4242" i="5"/>
  <c r="S4242" i="5"/>
  <c r="R4242" i="5"/>
  <c r="Q4242" i="5"/>
  <c r="P4242" i="5"/>
  <c r="U4709" i="5"/>
  <c r="T4709" i="5"/>
  <c r="S4709" i="5"/>
  <c r="R4709" i="5"/>
  <c r="Q4709" i="5"/>
  <c r="P4709" i="5"/>
  <c r="U4592" i="5"/>
  <c r="T4592" i="5"/>
  <c r="S4592" i="5"/>
  <c r="R4592" i="5"/>
  <c r="Q4592" i="5"/>
  <c r="P4592" i="5"/>
  <c r="U4475" i="5"/>
  <c r="T4475" i="5"/>
  <c r="S4475" i="5"/>
  <c r="R4475" i="5"/>
  <c r="Q4475" i="5"/>
  <c r="P4475" i="5"/>
  <c r="U4358" i="5"/>
  <c r="T4358" i="5"/>
  <c r="S4358" i="5"/>
  <c r="R4358" i="5"/>
  <c r="Q4358" i="5"/>
  <c r="P4358" i="5"/>
  <c r="U4241" i="5"/>
  <c r="T4241" i="5"/>
  <c r="S4241" i="5"/>
  <c r="R4241" i="5"/>
  <c r="Q4241" i="5"/>
  <c r="P4241" i="5"/>
  <c r="U4708" i="5"/>
  <c r="T4708" i="5"/>
  <c r="S4708" i="5"/>
  <c r="R4708" i="5"/>
  <c r="Q4708" i="5"/>
  <c r="P4708" i="5"/>
  <c r="U4591" i="5"/>
  <c r="T4591" i="5"/>
  <c r="S4591" i="5"/>
  <c r="R4591" i="5"/>
  <c r="Q4591" i="5"/>
  <c r="P4591" i="5"/>
  <c r="U4474" i="5"/>
  <c r="T4474" i="5"/>
  <c r="S4474" i="5"/>
  <c r="R4474" i="5"/>
  <c r="Q4474" i="5"/>
  <c r="P4474" i="5"/>
  <c r="U4357" i="5"/>
  <c r="T4357" i="5"/>
  <c r="S4357" i="5"/>
  <c r="R4357" i="5"/>
  <c r="Q4357" i="5"/>
  <c r="P4357" i="5"/>
  <c r="U4240" i="5"/>
  <c r="T4240" i="5"/>
  <c r="S4240" i="5"/>
  <c r="R4240" i="5"/>
  <c r="Q4240" i="5"/>
  <c r="P4240" i="5"/>
  <c r="U4707" i="5"/>
  <c r="T4707" i="5"/>
  <c r="S4707" i="5"/>
  <c r="R4707" i="5"/>
  <c r="Q4707" i="5"/>
  <c r="P4707" i="5"/>
  <c r="U4590" i="5"/>
  <c r="T4590" i="5"/>
  <c r="S4590" i="5"/>
  <c r="R4590" i="5"/>
  <c r="Q4590" i="5"/>
  <c r="P4590" i="5"/>
  <c r="U4473" i="5"/>
  <c r="T4473" i="5"/>
  <c r="S4473" i="5"/>
  <c r="R4473" i="5"/>
  <c r="Q4473" i="5"/>
  <c r="P4473" i="5"/>
  <c r="U4356" i="5"/>
  <c r="T4356" i="5"/>
  <c r="S4356" i="5"/>
  <c r="R4356" i="5"/>
  <c r="Q4356" i="5"/>
  <c r="P4356" i="5"/>
  <c r="U4239" i="5"/>
  <c r="T4239" i="5"/>
  <c r="S4239" i="5"/>
  <c r="R4239" i="5"/>
  <c r="Q4239" i="5"/>
  <c r="P4239" i="5"/>
  <c r="U4706" i="5"/>
  <c r="T4706" i="5"/>
  <c r="S4706" i="5"/>
  <c r="R4706" i="5"/>
  <c r="Q4706" i="5"/>
  <c r="P4706" i="5"/>
  <c r="U4589" i="5"/>
  <c r="T4589" i="5"/>
  <c r="S4589" i="5"/>
  <c r="R4589" i="5"/>
  <c r="Q4589" i="5"/>
  <c r="P4589" i="5"/>
  <c r="U4472" i="5"/>
  <c r="T4472" i="5"/>
  <c r="S4472" i="5"/>
  <c r="R4472" i="5"/>
  <c r="Q4472" i="5"/>
  <c r="P4472" i="5"/>
  <c r="U4355" i="5"/>
  <c r="T4355" i="5"/>
  <c r="S4355" i="5"/>
  <c r="R4355" i="5"/>
  <c r="Q4355" i="5"/>
  <c r="P4355" i="5"/>
  <c r="U4238" i="5"/>
  <c r="T4238" i="5"/>
  <c r="S4238" i="5"/>
  <c r="R4238" i="5"/>
  <c r="Q4238" i="5"/>
  <c r="P4238" i="5"/>
  <c r="U4705" i="5"/>
  <c r="T4705" i="5"/>
  <c r="S4705" i="5"/>
  <c r="R4705" i="5"/>
  <c r="Q4705" i="5"/>
  <c r="P4705" i="5"/>
  <c r="U4588" i="5"/>
  <c r="T4588" i="5"/>
  <c r="S4588" i="5"/>
  <c r="R4588" i="5"/>
  <c r="Q4588" i="5"/>
  <c r="P4588" i="5"/>
  <c r="U4471" i="5"/>
  <c r="T4471" i="5"/>
  <c r="S4471" i="5"/>
  <c r="R4471" i="5"/>
  <c r="Q4471" i="5"/>
  <c r="P4471" i="5"/>
  <c r="U4354" i="5"/>
  <c r="T4354" i="5"/>
  <c r="S4354" i="5"/>
  <c r="R4354" i="5"/>
  <c r="Q4354" i="5"/>
  <c r="P4354" i="5"/>
  <c r="U4237" i="5"/>
  <c r="T4237" i="5"/>
  <c r="S4237" i="5"/>
  <c r="R4237" i="5"/>
  <c r="Q4237" i="5"/>
  <c r="P4237" i="5"/>
  <c r="U4704" i="5"/>
  <c r="T4704" i="5"/>
  <c r="S4704" i="5"/>
  <c r="R4704" i="5"/>
  <c r="Q4704" i="5"/>
  <c r="P4704" i="5"/>
  <c r="U4587" i="5"/>
  <c r="T4587" i="5"/>
  <c r="S4587" i="5"/>
  <c r="R4587" i="5"/>
  <c r="Q4587" i="5"/>
  <c r="P4587" i="5"/>
  <c r="U4470" i="5"/>
  <c r="T4470" i="5"/>
  <c r="S4470" i="5"/>
  <c r="R4470" i="5"/>
  <c r="Q4470" i="5"/>
  <c r="P4470" i="5"/>
  <c r="U4353" i="5"/>
  <c r="T4353" i="5"/>
  <c r="S4353" i="5"/>
  <c r="R4353" i="5"/>
  <c r="Q4353" i="5"/>
  <c r="P4353" i="5"/>
  <c r="U4236" i="5"/>
  <c r="T4236" i="5"/>
  <c r="S4236" i="5"/>
  <c r="R4236" i="5"/>
  <c r="Q4236" i="5"/>
  <c r="P4236" i="5"/>
  <c r="U4703" i="5"/>
  <c r="T4703" i="5"/>
  <c r="S4703" i="5"/>
  <c r="R4703" i="5"/>
  <c r="Q4703" i="5"/>
  <c r="P4703" i="5"/>
  <c r="U4586" i="5"/>
  <c r="T4586" i="5"/>
  <c r="S4586" i="5"/>
  <c r="R4586" i="5"/>
  <c r="Q4586" i="5"/>
  <c r="P4586" i="5"/>
  <c r="U4469" i="5"/>
  <c r="T4469" i="5"/>
  <c r="S4469" i="5"/>
  <c r="R4469" i="5"/>
  <c r="Q4469" i="5"/>
  <c r="P4469" i="5"/>
  <c r="U4352" i="5"/>
  <c r="T4352" i="5"/>
  <c r="S4352" i="5"/>
  <c r="R4352" i="5"/>
  <c r="Q4352" i="5"/>
  <c r="P4352" i="5"/>
  <c r="U4235" i="5"/>
  <c r="T4235" i="5"/>
  <c r="S4235" i="5"/>
  <c r="R4235" i="5"/>
  <c r="Q4235" i="5"/>
  <c r="P4235" i="5"/>
  <c r="U4702" i="5"/>
  <c r="T4702" i="5"/>
  <c r="S4702" i="5"/>
  <c r="R4702" i="5"/>
  <c r="Q4702" i="5"/>
  <c r="P4702" i="5"/>
  <c r="U4585" i="5"/>
  <c r="T4585" i="5"/>
  <c r="S4585" i="5"/>
  <c r="R4585" i="5"/>
  <c r="Q4585" i="5"/>
  <c r="P4585" i="5"/>
  <c r="U4468" i="5"/>
  <c r="T4468" i="5"/>
  <c r="S4468" i="5"/>
  <c r="R4468" i="5"/>
  <c r="Q4468" i="5"/>
  <c r="P4468" i="5"/>
  <c r="U4351" i="5"/>
  <c r="T4351" i="5"/>
  <c r="S4351" i="5"/>
  <c r="R4351" i="5"/>
  <c r="Q4351" i="5"/>
  <c r="P4351" i="5"/>
  <c r="U4234" i="5"/>
  <c r="T4234" i="5"/>
  <c r="S4234" i="5"/>
  <c r="R4234" i="5"/>
  <c r="Q4234" i="5"/>
  <c r="P4234" i="5"/>
  <c r="U4701" i="5"/>
  <c r="T4701" i="5"/>
  <c r="S4701" i="5"/>
  <c r="R4701" i="5"/>
  <c r="Q4701" i="5"/>
  <c r="P4701" i="5"/>
  <c r="U4584" i="5"/>
  <c r="T4584" i="5"/>
  <c r="S4584" i="5"/>
  <c r="R4584" i="5"/>
  <c r="Q4584" i="5"/>
  <c r="P4584" i="5"/>
  <c r="U4467" i="5"/>
  <c r="T4467" i="5"/>
  <c r="S4467" i="5"/>
  <c r="R4467" i="5"/>
  <c r="Q4467" i="5"/>
  <c r="P4467" i="5"/>
  <c r="U4350" i="5"/>
  <c r="T4350" i="5"/>
  <c r="S4350" i="5"/>
  <c r="R4350" i="5"/>
  <c r="Q4350" i="5"/>
  <c r="P4350" i="5"/>
  <c r="U4233" i="5"/>
  <c r="T4233" i="5"/>
  <c r="S4233" i="5"/>
  <c r="R4233" i="5"/>
  <c r="Q4233" i="5"/>
  <c r="P4233" i="5"/>
  <c r="U4700" i="5"/>
  <c r="T4700" i="5"/>
  <c r="S4700" i="5"/>
  <c r="R4700" i="5"/>
  <c r="Q4700" i="5"/>
  <c r="P4700" i="5"/>
  <c r="U4583" i="5"/>
  <c r="T4583" i="5"/>
  <c r="S4583" i="5"/>
  <c r="R4583" i="5"/>
  <c r="Q4583" i="5"/>
  <c r="P4583" i="5"/>
  <c r="U4466" i="5"/>
  <c r="T4466" i="5"/>
  <c r="S4466" i="5"/>
  <c r="R4466" i="5"/>
  <c r="Q4466" i="5"/>
  <c r="P4466" i="5"/>
  <c r="U4349" i="5"/>
  <c r="T4349" i="5"/>
  <c r="S4349" i="5"/>
  <c r="R4349" i="5"/>
  <c r="Q4349" i="5"/>
  <c r="P4349" i="5"/>
  <c r="U4232" i="5"/>
  <c r="T4232" i="5"/>
  <c r="S4232" i="5"/>
  <c r="R4232" i="5"/>
  <c r="Q4232" i="5"/>
  <c r="P4232" i="5"/>
  <c r="U4699" i="5"/>
  <c r="T4699" i="5"/>
  <c r="S4699" i="5"/>
  <c r="R4699" i="5"/>
  <c r="Q4699" i="5"/>
  <c r="P4699" i="5"/>
  <c r="U4582" i="5"/>
  <c r="T4582" i="5"/>
  <c r="S4582" i="5"/>
  <c r="R4582" i="5"/>
  <c r="Q4582" i="5"/>
  <c r="P4582" i="5"/>
  <c r="U4465" i="5"/>
  <c r="T4465" i="5"/>
  <c r="S4465" i="5"/>
  <c r="R4465" i="5"/>
  <c r="Q4465" i="5"/>
  <c r="P4465" i="5"/>
  <c r="U4348" i="5"/>
  <c r="T4348" i="5"/>
  <c r="S4348" i="5"/>
  <c r="R4348" i="5"/>
  <c r="Q4348" i="5"/>
  <c r="P4348" i="5"/>
  <c r="U4231" i="5"/>
  <c r="T4231" i="5"/>
  <c r="S4231" i="5"/>
  <c r="R4231" i="5"/>
  <c r="Q4231" i="5"/>
  <c r="P4231" i="5"/>
  <c r="U4698" i="5"/>
  <c r="T4698" i="5"/>
  <c r="S4698" i="5"/>
  <c r="R4698" i="5"/>
  <c r="Q4698" i="5"/>
  <c r="P4698" i="5"/>
  <c r="U4581" i="5"/>
  <c r="T4581" i="5"/>
  <c r="S4581" i="5"/>
  <c r="R4581" i="5"/>
  <c r="Q4581" i="5"/>
  <c r="P4581" i="5"/>
  <c r="U4464" i="5"/>
  <c r="T4464" i="5"/>
  <c r="S4464" i="5"/>
  <c r="R4464" i="5"/>
  <c r="Q4464" i="5"/>
  <c r="P4464" i="5"/>
  <c r="U4347" i="5"/>
  <c r="T4347" i="5"/>
  <c r="S4347" i="5"/>
  <c r="R4347" i="5"/>
  <c r="Q4347" i="5"/>
  <c r="P4347" i="5"/>
  <c r="U4230" i="5"/>
  <c r="T4230" i="5"/>
  <c r="S4230" i="5"/>
  <c r="R4230" i="5"/>
  <c r="Q4230" i="5"/>
  <c r="P4230" i="5"/>
  <c r="U4697" i="5"/>
  <c r="T4697" i="5"/>
  <c r="S4697" i="5"/>
  <c r="R4697" i="5"/>
  <c r="Q4697" i="5"/>
  <c r="P4697" i="5"/>
  <c r="U4580" i="5"/>
  <c r="T4580" i="5"/>
  <c r="S4580" i="5"/>
  <c r="R4580" i="5"/>
  <c r="Q4580" i="5"/>
  <c r="P4580" i="5"/>
  <c r="U4463" i="5"/>
  <c r="T4463" i="5"/>
  <c r="S4463" i="5"/>
  <c r="R4463" i="5"/>
  <c r="Q4463" i="5"/>
  <c r="P4463" i="5"/>
  <c r="U4346" i="5"/>
  <c r="T4346" i="5"/>
  <c r="S4346" i="5"/>
  <c r="R4346" i="5"/>
  <c r="Q4346" i="5"/>
  <c r="P4346" i="5"/>
  <c r="U4229" i="5"/>
  <c r="T4229" i="5"/>
  <c r="S4229" i="5"/>
  <c r="R4229" i="5"/>
  <c r="Q4229" i="5"/>
  <c r="P4229" i="5"/>
  <c r="U1215" i="5"/>
  <c r="T1215" i="5"/>
  <c r="S1215" i="5"/>
  <c r="I1215" i="5"/>
  <c r="R1215" i="5" s="1"/>
  <c r="H1215" i="5"/>
  <c r="G1215" i="5"/>
  <c r="Q1215" i="5" s="1"/>
  <c r="F1215" i="5"/>
  <c r="E1215" i="5"/>
  <c r="P1215" i="5" s="1"/>
  <c r="D1215" i="5"/>
  <c r="U1214" i="5"/>
  <c r="T1214" i="5"/>
  <c r="S1214" i="5"/>
  <c r="I1214" i="5"/>
  <c r="R1214" i="5" s="1"/>
  <c r="H1214" i="5"/>
  <c r="G1214" i="5"/>
  <c r="Q1214" i="5" s="1"/>
  <c r="F1214" i="5"/>
  <c r="E1214" i="5"/>
  <c r="P1214" i="5" s="1"/>
  <c r="D1214" i="5"/>
  <c r="U1147" i="5"/>
  <c r="T1147" i="5"/>
  <c r="S1147" i="5"/>
  <c r="I1147" i="5"/>
  <c r="R1147" i="5" s="1"/>
  <c r="H1147" i="5"/>
  <c r="G1147" i="5"/>
  <c r="Q1147" i="5" s="1"/>
  <c r="F1147" i="5"/>
  <c r="E1147" i="5"/>
  <c r="P1147" i="5" s="1"/>
  <c r="D1147" i="5"/>
  <c r="U1146" i="5"/>
  <c r="T1146" i="5"/>
  <c r="S1146" i="5"/>
  <c r="I1146" i="5"/>
  <c r="R1146" i="5" s="1"/>
  <c r="H1146" i="5"/>
  <c r="G1146" i="5"/>
  <c r="Q1146" i="5" s="1"/>
  <c r="F1146" i="5"/>
  <c r="E1146" i="5"/>
  <c r="P1146" i="5" s="1"/>
  <c r="D1146" i="5"/>
  <c r="U1145" i="5"/>
  <c r="T1145" i="5"/>
  <c r="S1145" i="5"/>
  <c r="I1145" i="5"/>
  <c r="R1145" i="5" s="1"/>
  <c r="H1145" i="5"/>
  <c r="G1145" i="5"/>
  <c r="Q1145" i="5" s="1"/>
  <c r="F1145" i="5"/>
  <c r="E1145" i="5"/>
  <c r="P1145" i="5" s="1"/>
  <c r="D1145" i="5"/>
  <c r="U4696" i="5"/>
  <c r="T4696" i="5"/>
  <c r="S4696" i="5"/>
  <c r="R4696" i="5"/>
  <c r="Q4696" i="5"/>
  <c r="P4696" i="5"/>
  <c r="U4579" i="5"/>
  <c r="T4579" i="5"/>
  <c r="S4579" i="5"/>
  <c r="R4579" i="5"/>
  <c r="Q4579" i="5"/>
  <c r="P4579" i="5"/>
  <c r="U4462" i="5"/>
  <c r="T4462" i="5"/>
  <c r="S4462" i="5"/>
  <c r="R4462" i="5"/>
  <c r="Q4462" i="5"/>
  <c r="P4462" i="5"/>
  <c r="U4345" i="5"/>
  <c r="T4345" i="5"/>
  <c r="S4345" i="5"/>
  <c r="R4345" i="5"/>
  <c r="Q4345" i="5"/>
  <c r="P4345" i="5"/>
  <c r="U4228" i="5"/>
  <c r="T4228" i="5"/>
  <c r="S4228" i="5"/>
  <c r="R4228" i="5"/>
  <c r="Q4228" i="5"/>
  <c r="P4228" i="5"/>
  <c r="U4695" i="5"/>
  <c r="T4695" i="5"/>
  <c r="S4695" i="5"/>
  <c r="R4695" i="5"/>
  <c r="Q4695" i="5"/>
  <c r="P4695" i="5"/>
  <c r="U4578" i="5"/>
  <c r="T4578" i="5"/>
  <c r="S4578" i="5"/>
  <c r="R4578" i="5"/>
  <c r="Q4578" i="5"/>
  <c r="P4578" i="5"/>
  <c r="U4461" i="5"/>
  <c r="T4461" i="5"/>
  <c r="S4461" i="5"/>
  <c r="R4461" i="5"/>
  <c r="Q4461" i="5"/>
  <c r="P4461" i="5"/>
  <c r="U4344" i="5"/>
  <c r="T4344" i="5"/>
  <c r="S4344" i="5"/>
  <c r="R4344" i="5"/>
  <c r="Q4344" i="5"/>
  <c r="P4344" i="5"/>
  <c r="U4227" i="5"/>
  <c r="T4227" i="5"/>
  <c r="S4227" i="5"/>
  <c r="R4227" i="5"/>
  <c r="Q4227" i="5"/>
  <c r="P4227" i="5"/>
  <c r="U4694" i="5"/>
  <c r="T4694" i="5"/>
  <c r="S4694" i="5"/>
  <c r="R4694" i="5"/>
  <c r="Q4694" i="5"/>
  <c r="P4694" i="5"/>
  <c r="U4577" i="5"/>
  <c r="T4577" i="5"/>
  <c r="S4577" i="5"/>
  <c r="R4577" i="5"/>
  <c r="Q4577" i="5"/>
  <c r="P4577" i="5"/>
  <c r="U4460" i="5"/>
  <c r="T4460" i="5"/>
  <c r="S4460" i="5"/>
  <c r="R4460" i="5"/>
  <c r="Q4460" i="5"/>
  <c r="P4460" i="5"/>
  <c r="U4343" i="5"/>
  <c r="T4343" i="5"/>
  <c r="S4343" i="5"/>
  <c r="R4343" i="5"/>
  <c r="Q4343" i="5"/>
  <c r="P4343" i="5"/>
  <c r="U4226" i="5"/>
  <c r="T4226" i="5"/>
  <c r="S4226" i="5"/>
  <c r="R4226" i="5"/>
  <c r="Q4226" i="5"/>
  <c r="P4226" i="5"/>
  <c r="U4693" i="5"/>
  <c r="T4693" i="5"/>
  <c r="S4693" i="5"/>
  <c r="R4693" i="5"/>
  <c r="Q4693" i="5"/>
  <c r="P4693" i="5"/>
  <c r="U4576" i="5"/>
  <c r="T4576" i="5"/>
  <c r="S4576" i="5"/>
  <c r="R4576" i="5"/>
  <c r="Q4576" i="5"/>
  <c r="P4576" i="5"/>
  <c r="U4459" i="5"/>
  <c r="T4459" i="5"/>
  <c r="S4459" i="5"/>
  <c r="R4459" i="5"/>
  <c r="Q4459" i="5"/>
  <c r="P4459" i="5"/>
  <c r="U4342" i="5"/>
  <c r="T4342" i="5"/>
  <c r="S4342" i="5"/>
  <c r="R4342" i="5"/>
  <c r="Q4342" i="5"/>
  <c r="P4342" i="5"/>
  <c r="U4225" i="5"/>
  <c r="T4225" i="5"/>
  <c r="S4225" i="5"/>
  <c r="R4225" i="5"/>
  <c r="Q4225" i="5"/>
  <c r="P4225" i="5"/>
  <c r="U4692" i="5"/>
  <c r="T4692" i="5"/>
  <c r="S4692" i="5"/>
  <c r="R4692" i="5"/>
  <c r="Q4692" i="5"/>
  <c r="P4692" i="5"/>
  <c r="U4575" i="5"/>
  <c r="T4575" i="5"/>
  <c r="S4575" i="5"/>
  <c r="R4575" i="5"/>
  <c r="Q4575" i="5"/>
  <c r="P4575" i="5"/>
  <c r="U4458" i="5"/>
  <c r="T4458" i="5"/>
  <c r="S4458" i="5"/>
  <c r="R4458" i="5"/>
  <c r="Q4458" i="5"/>
  <c r="P4458" i="5"/>
  <c r="U4341" i="5"/>
  <c r="T4341" i="5"/>
  <c r="S4341" i="5"/>
  <c r="R4341" i="5"/>
  <c r="Q4341" i="5"/>
  <c r="P4341" i="5"/>
  <c r="U4224" i="5"/>
  <c r="T4224" i="5"/>
  <c r="S4224" i="5"/>
  <c r="R4224" i="5"/>
  <c r="Q4224" i="5"/>
  <c r="P4224" i="5"/>
  <c r="U4691" i="5"/>
  <c r="T4691" i="5"/>
  <c r="S4691" i="5"/>
  <c r="R4691" i="5"/>
  <c r="Q4691" i="5"/>
  <c r="P4691" i="5"/>
  <c r="U4574" i="5"/>
  <c r="T4574" i="5"/>
  <c r="S4574" i="5"/>
  <c r="R4574" i="5"/>
  <c r="Q4574" i="5"/>
  <c r="P4574" i="5"/>
  <c r="U4457" i="5"/>
  <c r="T4457" i="5"/>
  <c r="S4457" i="5"/>
  <c r="R4457" i="5"/>
  <c r="Q4457" i="5"/>
  <c r="P4457" i="5"/>
  <c r="U4340" i="5"/>
  <c r="T4340" i="5"/>
  <c r="S4340" i="5"/>
  <c r="R4340" i="5"/>
  <c r="Q4340" i="5"/>
  <c r="P4340" i="5"/>
  <c r="U4223" i="5"/>
  <c r="T4223" i="5"/>
  <c r="S4223" i="5"/>
  <c r="R4223" i="5"/>
  <c r="Q4223" i="5"/>
  <c r="P4223" i="5"/>
  <c r="U4690" i="5"/>
  <c r="T4690" i="5"/>
  <c r="S4690" i="5"/>
  <c r="R4690" i="5"/>
  <c r="Q4690" i="5"/>
  <c r="P4690" i="5"/>
  <c r="U4573" i="5"/>
  <c r="T4573" i="5"/>
  <c r="S4573" i="5"/>
  <c r="R4573" i="5"/>
  <c r="Q4573" i="5"/>
  <c r="P4573" i="5"/>
  <c r="U4456" i="5"/>
  <c r="T4456" i="5"/>
  <c r="S4456" i="5"/>
  <c r="R4456" i="5"/>
  <c r="Q4456" i="5"/>
  <c r="P4456" i="5"/>
  <c r="U4339" i="5"/>
  <c r="T4339" i="5"/>
  <c r="S4339" i="5"/>
  <c r="R4339" i="5"/>
  <c r="Q4339" i="5"/>
  <c r="P4339" i="5"/>
  <c r="U4222" i="5"/>
  <c r="T4222" i="5"/>
  <c r="S4222" i="5"/>
  <c r="R4222" i="5"/>
  <c r="Q4222" i="5"/>
  <c r="P4222" i="5"/>
  <c r="U4689" i="5"/>
  <c r="T4689" i="5"/>
  <c r="S4689" i="5"/>
  <c r="R4689" i="5"/>
  <c r="Q4689" i="5"/>
  <c r="P4689" i="5"/>
  <c r="U4572" i="5"/>
  <c r="T4572" i="5"/>
  <c r="S4572" i="5"/>
  <c r="R4572" i="5"/>
  <c r="Q4572" i="5"/>
  <c r="P4572" i="5"/>
  <c r="U4455" i="5"/>
  <c r="T4455" i="5"/>
  <c r="S4455" i="5"/>
  <c r="R4455" i="5"/>
  <c r="Q4455" i="5"/>
  <c r="P4455" i="5"/>
  <c r="U4338" i="5"/>
  <c r="T4338" i="5"/>
  <c r="S4338" i="5"/>
  <c r="R4338" i="5"/>
  <c r="Q4338" i="5"/>
  <c r="P4338" i="5"/>
  <c r="U4221" i="5"/>
  <c r="T4221" i="5"/>
  <c r="S4221" i="5"/>
  <c r="R4221" i="5"/>
  <c r="Q4221" i="5"/>
  <c r="P4221" i="5"/>
  <c r="U4688" i="5"/>
  <c r="T4688" i="5"/>
  <c r="S4688" i="5"/>
  <c r="R4688" i="5"/>
  <c r="Q4688" i="5"/>
  <c r="P4688" i="5"/>
  <c r="U4571" i="5"/>
  <c r="T4571" i="5"/>
  <c r="S4571" i="5"/>
  <c r="R4571" i="5"/>
  <c r="Q4571" i="5"/>
  <c r="P4571" i="5"/>
  <c r="U4454" i="5"/>
  <c r="T4454" i="5"/>
  <c r="S4454" i="5"/>
  <c r="R4454" i="5"/>
  <c r="Q4454" i="5"/>
  <c r="P4454" i="5"/>
  <c r="U4337" i="5"/>
  <c r="T4337" i="5"/>
  <c r="S4337" i="5"/>
  <c r="R4337" i="5"/>
  <c r="Q4337" i="5"/>
  <c r="P4337" i="5"/>
  <c r="U4220" i="5"/>
  <c r="T4220" i="5"/>
  <c r="S4220" i="5"/>
  <c r="R4220" i="5"/>
  <c r="Q4220" i="5"/>
  <c r="P4220" i="5"/>
  <c r="U4687" i="5"/>
  <c r="T4687" i="5"/>
  <c r="S4687" i="5"/>
  <c r="R4687" i="5"/>
  <c r="Q4687" i="5"/>
  <c r="P4687" i="5"/>
  <c r="U4570" i="5"/>
  <c r="T4570" i="5"/>
  <c r="S4570" i="5"/>
  <c r="R4570" i="5"/>
  <c r="Q4570" i="5"/>
  <c r="P4570" i="5"/>
  <c r="U4453" i="5"/>
  <c r="T4453" i="5"/>
  <c r="S4453" i="5"/>
  <c r="R4453" i="5"/>
  <c r="Q4453" i="5"/>
  <c r="P4453" i="5"/>
  <c r="U4336" i="5"/>
  <c r="T4336" i="5"/>
  <c r="S4336" i="5"/>
  <c r="R4336" i="5"/>
  <c r="Q4336" i="5"/>
  <c r="P4336" i="5"/>
  <c r="U4219" i="5"/>
  <c r="T4219" i="5"/>
  <c r="S4219" i="5"/>
  <c r="R4219" i="5"/>
  <c r="Q4219" i="5"/>
  <c r="P4219" i="5"/>
  <c r="U4686" i="5"/>
  <c r="T4686" i="5"/>
  <c r="S4686" i="5"/>
  <c r="R4686" i="5"/>
  <c r="Q4686" i="5"/>
  <c r="P4686" i="5"/>
  <c r="U4569" i="5"/>
  <c r="T4569" i="5"/>
  <c r="S4569" i="5"/>
  <c r="R4569" i="5"/>
  <c r="Q4569" i="5"/>
  <c r="P4569" i="5"/>
  <c r="U4452" i="5"/>
  <c r="T4452" i="5"/>
  <c r="S4452" i="5"/>
  <c r="R4452" i="5"/>
  <c r="Q4452" i="5"/>
  <c r="P4452" i="5"/>
  <c r="U4335" i="5"/>
  <c r="T4335" i="5"/>
  <c r="S4335" i="5"/>
  <c r="R4335" i="5"/>
  <c r="Q4335" i="5"/>
  <c r="P4335" i="5"/>
  <c r="U4218" i="5"/>
  <c r="T4218" i="5"/>
  <c r="S4218" i="5"/>
  <c r="R4218" i="5"/>
  <c r="Q4218" i="5"/>
  <c r="P4218" i="5"/>
  <c r="U4685" i="5"/>
  <c r="T4685" i="5"/>
  <c r="S4685" i="5"/>
  <c r="R4685" i="5"/>
  <c r="Q4685" i="5"/>
  <c r="P4685" i="5"/>
  <c r="U4568" i="5"/>
  <c r="T4568" i="5"/>
  <c r="S4568" i="5"/>
  <c r="R4568" i="5"/>
  <c r="Q4568" i="5"/>
  <c r="P4568" i="5"/>
  <c r="U4451" i="5"/>
  <c r="T4451" i="5"/>
  <c r="S4451" i="5"/>
  <c r="R4451" i="5"/>
  <c r="Q4451" i="5"/>
  <c r="P4451" i="5"/>
  <c r="U4334" i="5"/>
  <c r="T4334" i="5"/>
  <c r="S4334" i="5"/>
  <c r="R4334" i="5"/>
  <c r="Q4334" i="5"/>
  <c r="P4334" i="5"/>
  <c r="U4217" i="5"/>
  <c r="T4217" i="5"/>
  <c r="S4217" i="5"/>
  <c r="R4217" i="5"/>
  <c r="Q4217" i="5"/>
  <c r="P4217" i="5"/>
  <c r="U4684" i="5"/>
  <c r="T4684" i="5"/>
  <c r="S4684" i="5"/>
  <c r="R4684" i="5"/>
  <c r="Q4684" i="5"/>
  <c r="P4684" i="5"/>
  <c r="U4567" i="5"/>
  <c r="T4567" i="5"/>
  <c r="S4567" i="5"/>
  <c r="R4567" i="5"/>
  <c r="Q4567" i="5"/>
  <c r="P4567" i="5"/>
  <c r="U4450" i="5"/>
  <c r="T4450" i="5"/>
  <c r="S4450" i="5"/>
  <c r="R4450" i="5"/>
  <c r="Q4450" i="5"/>
  <c r="P4450" i="5"/>
  <c r="U4333" i="5"/>
  <c r="T4333" i="5"/>
  <c r="S4333" i="5"/>
  <c r="R4333" i="5"/>
  <c r="Q4333" i="5"/>
  <c r="P4333" i="5"/>
  <c r="U4216" i="5"/>
  <c r="T4216" i="5"/>
  <c r="S4216" i="5"/>
  <c r="R4216" i="5"/>
  <c r="Q4216" i="5"/>
  <c r="P4216" i="5"/>
  <c r="U4683" i="5"/>
  <c r="T4683" i="5"/>
  <c r="S4683" i="5"/>
  <c r="R4683" i="5"/>
  <c r="Q4683" i="5"/>
  <c r="P4683" i="5"/>
  <c r="U4566" i="5"/>
  <c r="T4566" i="5"/>
  <c r="S4566" i="5"/>
  <c r="R4566" i="5"/>
  <c r="Q4566" i="5"/>
  <c r="P4566" i="5"/>
  <c r="U4449" i="5"/>
  <c r="T4449" i="5"/>
  <c r="S4449" i="5"/>
  <c r="R4449" i="5"/>
  <c r="Q4449" i="5"/>
  <c r="P4449" i="5"/>
  <c r="U4332" i="5"/>
  <c r="T4332" i="5"/>
  <c r="S4332" i="5"/>
  <c r="R4332" i="5"/>
  <c r="Q4332" i="5"/>
  <c r="P4332" i="5"/>
  <c r="U4215" i="5"/>
  <c r="T4215" i="5"/>
  <c r="S4215" i="5"/>
  <c r="R4215" i="5"/>
  <c r="Q4215" i="5"/>
  <c r="P4215" i="5"/>
  <c r="U4682" i="5"/>
  <c r="T4682" i="5"/>
  <c r="S4682" i="5"/>
  <c r="R4682" i="5"/>
  <c r="Q4682" i="5"/>
  <c r="P4682" i="5"/>
  <c r="U4565" i="5"/>
  <c r="T4565" i="5"/>
  <c r="S4565" i="5"/>
  <c r="R4565" i="5"/>
  <c r="Q4565" i="5"/>
  <c r="P4565" i="5"/>
  <c r="U4448" i="5"/>
  <c r="T4448" i="5"/>
  <c r="S4448" i="5"/>
  <c r="R4448" i="5"/>
  <c r="Q4448" i="5"/>
  <c r="P4448" i="5"/>
  <c r="U4331" i="5"/>
  <c r="T4331" i="5"/>
  <c r="S4331" i="5"/>
  <c r="R4331" i="5"/>
  <c r="Q4331" i="5"/>
  <c r="P4331" i="5"/>
  <c r="U4214" i="5"/>
  <c r="T4214" i="5"/>
  <c r="S4214" i="5"/>
  <c r="R4214" i="5"/>
  <c r="Q4214" i="5"/>
  <c r="P4214" i="5"/>
  <c r="U4681" i="5"/>
  <c r="T4681" i="5"/>
  <c r="S4681" i="5"/>
  <c r="R4681" i="5"/>
  <c r="Q4681" i="5"/>
  <c r="P4681" i="5"/>
  <c r="U4564" i="5"/>
  <c r="T4564" i="5"/>
  <c r="S4564" i="5"/>
  <c r="R4564" i="5"/>
  <c r="Q4564" i="5"/>
  <c r="P4564" i="5"/>
  <c r="U4447" i="5"/>
  <c r="T4447" i="5"/>
  <c r="S4447" i="5"/>
  <c r="R4447" i="5"/>
  <c r="Q4447" i="5"/>
  <c r="P4447" i="5"/>
  <c r="U4330" i="5"/>
  <c r="T4330" i="5"/>
  <c r="S4330" i="5"/>
  <c r="R4330" i="5"/>
  <c r="Q4330" i="5"/>
  <c r="P4330" i="5"/>
  <c r="U4213" i="5"/>
  <c r="T4213" i="5"/>
  <c r="S4213" i="5"/>
  <c r="R4213" i="5"/>
  <c r="Q4213" i="5"/>
  <c r="P4213" i="5"/>
  <c r="U4680" i="5"/>
  <c r="T4680" i="5"/>
  <c r="S4680" i="5"/>
  <c r="R4680" i="5"/>
  <c r="Q4680" i="5"/>
  <c r="P4680" i="5"/>
  <c r="U4563" i="5"/>
  <c r="T4563" i="5"/>
  <c r="S4563" i="5"/>
  <c r="R4563" i="5"/>
  <c r="Q4563" i="5"/>
  <c r="P4563" i="5"/>
  <c r="U4446" i="5"/>
  <c r="T4446" i="5"/>
  <c r="S4446" i="5"/>
  <c r="R4446" i="5"/>
  <c r="Q4446" i="5"/>
  <c r="P4446" i="5"/>
  <c r="U4329" i="5"/>
  <c r="T4329" i="5"/>
  <c r="S4329" i="5"/>
  <c r="R4329" i="5"/>
  <c r="Q4329" i="5"/>
  <c r="P4329" i="5"/>
  <c r="U4212" i="5"/>
  <c r="T4212" i="5"/>
  <c r="S4212" i="5"/>
  <c r="R4212" i="5"/>
  <c r="Q4212" i="5"/>
  <c r="P4212" i="5"/>
  <c r="U1144" i="5"/>
  <c r="T1144" i="5"/>
  <c r="S1144" i="5"/>
  <c r="I1144" i="5"/>
  <c r="R1144" i="5" s="1"/>
  <c r="H1144" i="5"/>
  <c r="G1144" i="5"/>
  <c r="Q1144" i="5" s="1"/>
  <c r="F1144" i="5"/>
  <c r="E1144" i="5"/>
  <c r="P1144" i="5" s="1"/>
  <c r="D1144" i="5"/>
  <c r="U1077" i="5"/>
  <c r="T1077" i="5"/>
  <c r="S1077" i="5"/>
  <c r="I1077" i="5"/>
  <c r="R1077" i="5" s="1"/>
  <c r="H1077" i="5"/>
  <c r="G1077" i="5"/>
  <c r="Q1077" i="5" s="1"/>
  <c r="F1077" i="5"/>
  <c r="E1077" i="5"/>
  <c r="P1077" i="5" s="1"/>
  <c r="D1077" i="5"/>
  <c r="U1076" i="5"/>
  <c r="T1076" i="5"/>
  <c r="S1076" i="5"/>
  <c r="I1076" i="5"/>
  <c r="R1076" i="5" s="1"/>
  <c r="H1076" i="5"/>
  <c r="G1076" i="5"/>
  <c r="Q1076" i="5" s="1"/>
  <c r="F1076" i="5"/>
  <c r="E1076" i="5"/>
  <c r="P1076" i="5" s="1"/>
  <c r="D1076" i="5"/>
  <c r="U1075" i="5"/>
  <c r="T1075" i="5"/>
  <c r="S1075" i="5"/>
  <c r="I1075" i="5"/>
  <c r="R1075" i="5" s="1"/>
  <c r="H1075" i="5"/>
  <c r="G1075" i="5"/>
  <c r="Q1075" i="5" s="1"/>
  <c r="F1075" i="5"/>
  <c r="E1075" i="5"/>
  <c r="P1075" i="5" s="1"/>
  <c r="D1075" i="5"/>
  <c r="U1074" i="5"/>
  <c r="T1074" i="5"/>
  <c r="S1074" i="5"/>
  <c r="I1074" i="5"/>
  <c r="R1074" i="5" s="1"/>
  <c r="H1074" i="5"/>
  <c r="G1074" i="5"/>
  <c r="Q1074" i="5" s="1"/>
  <c r="F1074" i="5"/>
  <c r="E1074" i="5"/>
  <c r="P1074" i="5" s="1"/>
  <c r="D1074" i="5"/>
  <c r="U5267" i="5"/>
  <c r="T5267" i="5"/>
  <c r="S5267" i="5"/>
  <c r="R5267" i="5"/>
  <c r="Q5267" i="5"/>
  <c r="P5267" i="5"/>
  <c r="U5167" i="5"/>
  <c r="T5167" i="5"/>
  <c r="S5167" i="5"/>
  <c r="R5167" i="5"/>
  <c r="Q5167" i="5"/>
  <c r="P5167" i="5"/>
  <c r="U5067" i="5"/>
  <c r="T5067" i="5"/>
  <c r="S5067" i="5"/>
  <c r="R5067" i="5"/>
  <c r="Q5067" i="5"/>
  <c r="P5067" i="5"/>
  <c r="U4967" i="5"/>
  <c r="T4967" i="5"/>
  <c r="S4967" i="5"/>
  <c r="R4967" i="5"/>
  <c r="Q4967" i="5"/>
  <c r="P4967" i="5"/>
  <c r="U4867" i="5"/>
  <c r="T4867" i="5"/>
  <c r="S4867" i="5"/>
  <c r="R4867" i="5"/>
  <c r="Q4867" i="5"/>
  <c r="P4867" i="5"/>
  <c r="U5266" i="5"/>
  <c r="T5266" i="5"/>
  <c r="S5266" i="5"/>
  <c r="R5266" i="5"/>
  <c r="Q5266" i="5"/>
  <c r="P5266" i="5"/>
  <c r="U5166" i="5"/>
  <c r="T5166" i="5"/>
  <c r="S5166" i="5"/>
  <c r="R5166" i="5"/>
  <c r="Q5166" i="5"/>
  <c r="P5166" i="5"/>
  <c r="U5066" i="5"/>
  <c r="T5066" i="5"/>
  <c r="S5066" i="5"/>
  <c r="R5066" i="5"/>
  <c r="Q5066" i="5"/>
  <c r="P5066" i="5"/>
  <c r="U4966" i="5"/>
  <c r="T4966" i="5"/>
  <c r="S4966" i="5"/>
  <c r="R4966" i="5"/>
  <c r="Q4966" i="5"/>
  <c r="P4966" i="5"/>
  <c r="U4866" i="5"/>
  <c r="T4866" i="5"/>
  <c r="S4866" i="5"/>
  <c r="R4866" i="5"/>
  <c r="Q4866" i="5"/>
  <c r="P4866" i="5"/>
  <c r="U5265" i="5"/>
  <c r="T5265" i="5"/>
  <c r="S5265" i="5"/>
  <c r="R5265" i="5"/>
  <c r="Q5265" i="5"/>
  <c r="P5265" i="5"/>
  <c r="U5165" i="5"/>
  <c r="T5165" i="5"/>
  <c r="S5165" i="5"/>
  <c r="R5165" i="5"/>
  <c r="Q5165" i="5"/>
  <c r="P5165" i="5"/>
  <c r="U5065" i="5"/>
  <c r="T5065" i="5"/>
  <c r="S5065" i="5"/>
  <c r="R5065" i="5"/>
  <c r="Q5065" i="5"/>
  <c r="P5065" i="5"/>
  <c r="U4965" i="5"/>
  <c r="T4965" i="5"/>
  <c r="S4965" i="5"/>
  <c r="R4965" i="5"/>
  <c r="Q4965" i="5"/>
  <c r="P4965" i="5"/>
  <c r="U4865" i="5"/>
  <c r="T4865" i="5"/>
  <c r="S4865" i="5"/>
  <c r="R4865" i="5"/>
  <c r="Q4865" i="5"/>
  <c r="P4865" i="5"/>
  <c r="U5264" i="5"/>
  <c r="T5264" i="5"/>
  <c r="S5264" i="5"/>
  <c r="R5264" i="5"/>
  <c r="Q5264" i="5"/>
  <c r="P5264" i="5"/>
  <c r="U5164" i="5"/>
  <c r="T5164" i="5"/>
  <c r="S5164" i="5"/>
  <c r="R5164" i="5"/>
  <c r="Q5164" i="5"/>
  <c r="P5164" i="5"/>
  <c r="U5064" i="5"/>
  <c r="T5064" i="5"/>
  <c r="S5064" i="5"/>
  <c r="R5064" i="5"/>
  <c r="Q5064" i="5"/>
  <c r="P5064" i="5"/>
  <c r="U4964" i="5"/>
  <c r="T4964" i="5"/>
  <c r="S4964" i="5"/>
  <c r="R4964" i="5"/>
  <c r="Q4964" i="5"/>
  <c r="P4964" i="5"/>
  <c r="U4864" i="5"/>
  <c r="T4864" i="5"/>
  <c r="S4864" i="5"/>
  <c r="R4864" i="5"/>
  <c r="Q4864" i="5"/>
  <c r="P4864" i="5"/>
  <c r="U5263" i="5"/>
  <c r="T5263" i="5"/>
  <c r="S5263" i="5"/>
  <c r="R5263" i="5"/>
  <c r="Q5263" i="5"/>
  <c r="P5263" i="5"/>
  <c r="U5163" i="5"/>
  <c r="T5163" i="5"/>
  <c r="S5163" i="5"/>
  <c r="R5163" i="5"/>
  <c r="Q5163" i="5"/>
  <c r="P5163" i="5"/>
  <c r="U5063" i="5"/>
  <c r="T5063" i="5"/>
  <c r="S5063" i="5"/>
  <c r="R5063" i="5"/>
  <c r="Q5063" i="5"/>
  <c r="P5063" i="5"/>
  <c r="U4963" i="5"/>
  <c r="T4963" i="5"/>
  <c r="S4963" i="5"/>
  <c r="R4963" i="5"/>
  <c r="Q4963" i="5"/>
  <c r="P4963" i="5"/>
  <c r="U4863" i="5"/>
  <c r="T4863" i="5"/>
  <c r="S4863" i="5"/>
  <c r="R4863" i="5"/>
  <c r="Q4863" i="5"/>
  <c r="P4863" i="5"/>
  <c r="U5262" i="5"/>
  <c r="T5262" i="5"/>
  <c r="S5262" i="5"/>
  <c r="R5262" i="5"/>
  <c r="Q5262" i="5"/>
  <c r="P5262" i="5"/>
  <c r="U5162" i="5"/>
  <c r="T5162" i="5"/>
  <c r="S5162" i="5"/>
  <c r="R5162" i="5"/>
  <c r="Q5162" i="5"/>
  <c r="P5162" i="5"/>
  <c r="U5062" i="5"/>
  <c r="T5062" i="5"/>
  <c r="S5062" i="5"/>
  <c r="R5062" i="5"/>
  <c r="Q5062" i="5"/>
  <c r="P5062" i="5"/>
  <c r="U4962" i="5"/>
  <c r="T4962" i="5"/>
  <c r="S4962" i="5"/>
  <c r="R4962" i="5"/>
  <c r="Q4962" i="5"/>
  <c r="P4962" i="5"/>
  <c r="U4862" i="5"/>
  <c r="T4862" i="5"/>
  <c r="S4862" i="5"/>
  <c r="R4862" i="5"/>
  <c r="Q4862" i="5"/>
  <c r="P4862" i="5"/>
  <c r="U5261" i="5"/>
  <c r="T5261" i="5"/>
  <c r="S5261" i="5"/>
  <c r="R5261" i="5"/>
  <c r="Q5261" i="5"/>
  <c r="P5261" i="5"/>
  <c r="U5161" i="5"/>
  <c r="T5161" i="5"/>
  <c r="S5161" i="5"/>
  <c r="R5161" i="5"/>
  <c r="Q5161" i="5"/>
  <c r="P5161" i="5"/>
  <c r="U5061" i="5"/>
  <c r="T5061" i="5"/>
  <c r="S5061" i="5"/>
  <c r="R5061" i="5"/>
  <c r="Q5061" i="5"/>
  <c r="P5061" i="5"/>
  <c r="U4961" i="5"/>
  <c r="T4961" i="5"/>
  <c r="S4961" i="5"/>
  <c r="R4961" i="5"/>
  <c r="Q4961" i="5"/>
  <c r="P4961" i="5"/>
  <c r="U4861" i="5"/>
  <c r="T4861" i="5"/>
  <c r="S4861" i="5"/>
  <c r="R4861" i="5"/>
  <c r="Q4861" i="5"/>
  <c r="P4861" i="5"/>
  <c r="U5260" i="5"/>
  <c r="T5260" i="5"/>
  <c r="S5260" i="5"/>
  <c r="R5260" i="5"/>
  <c r="Q5260" i="5"/>
  <c r="P5260" i="5"/>
  <c r="U5160" i="5"/>
  <c r="T5160" i="5"/>
  <c r="S5160" i="5"/>
  <c r="R5160" i="5"/>
  <c r="Q5160" i="5"/>
  <c r="P5160" i="5"/>
  <c r="U5060" i="5"/>
  <c r="T5060" i="5"/>
  <c r="S5060" i="5"/>
  <c r="R5060" i="5"/>
  <c r="Q5060" i="5"/>
  <c r="P5060" i="5"/>
  <c r="U4960" i="5"/>
  <c r="T4960" i="5"/>
  <c r="S4960" i="5"/>
  <c r="R4960" i="5"/>
  <c r="Q4960" i="5"/>
  <c r="P4960" i="5"/>
  <c r="U4860" i="5"/>
  <c r="T4860" i="5"/>
  <c r="S4860" i="5"/>
  <c r="R4860" i="5"/>
  <c r="Q4860" i="5"/>
  <c r="P4860" i="5"/>
  <c r="U5259" i="5"/>
  <c r="T5259" i="5"/>
  <c r="S5259" i="5"/>
  <c r="R5259" i="5"/>
  <c r="Q5259" i="5"/>
  <c r="P5259" i="5"/>
  <c r="U5159" i="5"/>
  <c r="T5159" i="5"/>
  <c r="S5159" i="5"/>
  <c r="R5159" i="5"/>
  <c r="Q5159" i="5"/>
  <c r="P5159" i="5"/>
  <c r="U5059" i="5"/>
  <c r="T5059" i="5"/>
  <c r="S5059" i="5"/>
  <c r="R5059" i="5"/>
  <c r="Q5059" i="5"/>
  <c r="P5059" i="5"/>
  <c r="U4959" i="5"/>
  <c r="T4959" i="5"/>
  <c r="S4959" i="5"/>
  <c r="R4959" i="5"/>
  <c r="Q4959" i="5"/>
  <c r="P4959" i="5"/>
  <c r="U4859" i="5"/>
  <c r="T4859" i="5"/>
  <c r="S4859" i="5"/>
  <c r="R4859" i="5"/>
  <c r="Q4859" i="5"/>
  <c r="P4859" i="5"/>
  <c r="U5258" i="5"/>
  <c r="T5258" i="5"/>
  <c r="S5258" i="5"/>
  <c r="R5258" i="5"/>
  <c r="Q5258" i="5"/>
  <c r="P5258" i="5"/>
  <c r="U5158" i="5"/>
  <c r="T5158" i="5"/>
  <c r="S5158" i="5"/>
  <c r="R5158" i="5"/>
  <c r="Q5158" i="5"/>
  <c r="P5158" i="5"/>
  <c r="U5058" i="5"/>
  <c r="T5058" i="5"/>
  <c r="S5058" i="5"/>
  <c r="R5058" i="5"/>
  <c r="Q5058" i="5"/>
  <c r="P5058" i="5"/>
  <c r="U4958" i="5"/>
  <c r="T4958" i="5"/>
  <c r="S4958" i="5"/>
  <c r="R4958" i="5"/>
  <c r="Q4958" i="5"/>
  <c r="P4958" i="5"/>
  <c r="U4858" i="5"/>
  <c r="T4858" i="5"/>
  <c r="S4858" i="5"/>
  <c r="R4858" i="5"/>
  <c r="Q4858" i="5"/>
  <c r="P4858" i="5"/>
  <c r="U5257" i="5"/>
  <c r="T5257" i="5"/>
  <c r="S5257" i="5"/>
  <c r="R5257" i="5"/>
  <c r="Q5257" i="5"/>
  <c r="P5257" i="5"/>
  <c r="U5157" i="5"/>
  <c r="T5157" i="5"/>
  <c r="S5157" i="5"/>
  <c r="R5157" i="5"/>
  <c r="Q5157" i="5"/>
  <c r="P5157" i="5"/>
  <c r="U5057" i="5"/>
  <c r="T5057" i="5"/>
  <c r="S5057" i="5"/>
  <c r="R5057" i="5"/>
  <c r="Q5057" i="5"/>
  <c r="P5057" i="5"/>
  <c r="U4957" i="5"/>
  <c r="T4957" i="5"/>
  <c r="S4957" i="5"/>
  <c r="R4957" i="5"/>
  <c r="Q4957" i="5"/>
  <c r="P4957" i="5"/>
  <c r="U4857" i="5"/>
  <c r="T4857" i="5"/>
  <c r="S4857" i="5"/>
  <c r="R4857" i="5"/>
  <c r="Q4857" i="5"/>
  <c r="P4857" i="5"/>
  <c r="U5256" i="5"/>
  <c r="T5256" i="5"/>
  <c r="S5256" i="5"/>
  <c r="R5256" i="5"/>
  <c r="Q5256" i="5"/>
  <c r="P5256" i="5"/>
  <c r="U5156" i="5"/>
  <c r="T5156" i="5"/>
  <c r="S5156" i="5"/>
  <c r="R5156" i="5"/>
  <c r="Q5156" i="5"/>
  <c r="P5156" i="5"/>
  <c r="U5056" i="5"/>
  <c r="T5056" i="5"/>
  <c r="S5056" i="5"/>
  <c r="R5056" i="5"/>
  <c r="Q5056" i="5"/>
  <c r="P5056" i="5"/>
  <c r="U4956" i="5"/>
  <c r="T4956" i="5"/>
  <c r="S4956" i="5"/>
  <c r="R4956" i="5"/>
  <c r="Q4956" i="5"/>
  <c r="P4956" i="5"/>
  <c r="U4856" i="5"/>
  <c r="T4856" i="5"/>
  <c r="S4856" i="5"/>
  <c r="R4856" i="5"/>
  <c r="Q4856" i="5"/>
  <c r="P4856" i="5"/>
  <c r="U5255" i="5"/>
  <c r="T5255" i="5"/>
  <c r="S5255" i="5"/>
  <c r="R5255" i="5"/>
  <c r="Q5255" i="5"/>
  <c r="P5255" i="5"/>
  <c r="U5155" i="5"/>
  <c r="T5155" i="5"/>
  <c r="S5155" i="5"/>
  <c r="R5155" i="5"/>
  <c r="Q5155" i="5"/>
  <c r="P5155" i="5"/>
  <c r="U5055" i="5"/>
  <c r="T5055" i="5"/>
  <c r="S5055" i="5"/>
  <c r="R5055" i="5"/>
  <c r="Q5055" i="5"/>
  <c r="P5055" i="5"/>
  <c r="U4955" i="5"/>
  <c r="T4955" i="5"/>
  <c r="S4955" i="5"/>
  <c r="R4955" i="5"/>
  <c r="Q4955" i="5"/>
  <c r="P4955" i="5"/>
  <c r="U4855" i="5"/>
  <c r="T4855" i="5"/>
  <c r="S4855" i="5"/>
  <c r="R4855" i="5"/>
  <c r="Q4855" i="5"/>
  <c r="P4855" i="5"/>
  <c r="U5254" i="5"/>
  <c r="T5254" i="5"/>
  <c r="S5254" i="5"/>
  <c r="R5254" i="5"/>
  <c r="Q5254" i="5"/>
  <c r="P5254" i="5"/>
  <c r="U5154" i="5"/>
  <c r="T5154" i="5"/>
  <c r="S5154" i="5"/>
  <c r="R5154" i="5"/>
  <c r="Q5154" i="5"/>
  <c r="P5154" i="5"/>
  <c r="U5054" i="5"/>
  <c r="T5054" i="5"/>
  <c r="S5054" i="5"/>
  <c r="R5054" i="5"/>
  <c r="Q5054" i="5"/>
  <c r="P5054" i="5"/>
  <c r="U4954" i="5"/>
  <c r="T4954" i="5"/>
  <c r="S4954" i="5"/>
  <c r="R4954" i="5"/>
  <c r="Q4954" i="5"/>
  <c r="P4954" i="5"/>
  <c r="U4854" i="5"/>
  <c r="T4854" i="5"/>
  <c r="S4854" i="5"/>
  <c r="R4854" i="5"/>
  <c r="Q4854" i="5"/>
  <c r="P4854" i="5"/>
  <c r="U1011" i="5"/>
  <c r="T1011" i="5"/>
  <c r="S1011" i="5"/>
  <c r="I1011" i="5"/>
  <c r="R1011" i="5" s="1"/>
  <c r="H1011" i="5"/>
  <c r="G1011" i="5"/>
  <c r="Q1011" i="5" s="1"/>
  <c r="F1011" i="5"/>
  <c r="E1011" i="5"/>
  <c r="P1011" i="5" s="1"/>
  <c r="D1011" i="5"/>
  <c r="U1010" i="5"/>
  <c r="T1010" i="5"/>
  <c r="S1010" i="5"/>
  <c r="I1010" i="5"/>
  <c r="R1010" i="5" s="1"/>
  <c r="H1010" i="5"/>
  <c r="G1010" i="5"/>
  <c r="Q1010" i="5" s="1"/>
  <c r="F1010" i="5"/>
  <c r="E1010" i="5"/>
  <c r="P1010" i="5" s="1"/>
  <c r="D1010" i="5"/>
  <c r="U1009" i="5"/>
  <c r="T1009" i="5"/>
  <c r="S1009" i="5"/>
  <c r="I1009" i="5"/>
  <c r="R1009" i="5" s="1"/>
  <c r="H1009" i="5"/>
  <c r="G1009" i="5"/>
  <c r="Q1009" i="5" s="1"/>
  <c r="F1009" i="5"/>
  <c r="E1009" i="5"/>
  <c r="P1009" i="5" s="1"/>
  <c r="D1009" i="5"/>
  <c r="U1008" i="5"/>
  <c r="T1008" i="5"/>
  <c r="S1008" i="5"/>
  <c r="I1008" i="5"/>
  <c r="R1008" i="5" s="1"/>
  <c r="H1008" i="5"/>
  <c r="G1008" i="5"/>
  <c r="Q1008" i="5" s="1"/>
  <c r="F1008" i="5"/>
  <c r="E1008" i="5"/>
  <c r="P1008" i="5" s="1"/>
  <c r="D1008" i="5"/>
  <c r="U945" i="5"/>
  <c r="T945" i="5"/>
  <c r="S945" i="5"/>
  <c r="I945" i="5"/>
  <c r="R945" i="5" s="1"/>
  <c r="H945" i="5"/>
  <c r="G945" i="5"/>
  <c r="Q945" i="5" s="1"/>
  <c r="F945" i="5"/>
  <c r="E945" i="5"/>
  <c r="P945" i="5" s="1"/>
  <c r="D945" i="5"/>
  <c r="U5253" i="5"/>
  <c r="T5253" i="5"/>
  <c r="S5253" i="5"/>
  <c r="R5253" i="5"/>
  <c r="Q5253" i="5"/>
  <c r="P5253" i="5"/>
  <c r="U5153" i="5"/>
  <c r="T5153" i="5"/>
  <c r="S5153" i="5"/>
  <c r="R5153" i="5"/>
  <c r="Q5153" i="5"/>
  <c r="P5153" i="5"/>
  <c r="U5053" i="5"/>
  <c r="T5053" i="5"/>
  <c r="S5053" i="5"/>
  <c r="R5053" i="5"/>
  <c r="Q5053" i="5"/>
  <c r="P5053" i="5"/>
  <c r="U4953" i="5"/>
  <c r="T4953" i="5"/>
  <c r="S4953" i="5"/>
  <c r="R4953" i="5"/>
  <c r="Q4953" i="5"/>
  <c r="P4953" i="5"/>
  <c r="U4853" i="5"/>
  <c r="T4853" i="5"/>
  <c r="S4853" i="5"/>
  <c r="R4853" i="5"/>
  <c r="Q4853" i="5"/>
  <c r="P4853" i="5"/>
  <c r="U5252" i="5"/>
  <c r="T5252" i="5"/>
  <c r="S5252" i="5"/>
  <c r="R5252" i="5"/>
  <c r="Q5252" i="5"/>
  <c r="P5252" i="5"/>
  <c r="U5152" i="5"/>
  <c r="T5152" i="5"/>
  <c r="S5152" i="5"/>
  <c r="R5152" i="5"/>
  <c r="Q5152" i="5"/>
  <c r="P5152" i="5"/>
  <c r="U5052" i="5"/>
  <c r="T5052" i="5"/>
  <c r="S5052" i="5"/>
  <c r="R5052" i="5"/>
  <c r="Q5052" i="5"/>
  <c r="P5052" i="5"/>
  <c r="U4952" i="5"/>
  <c r="T4952" i="5"/>
  <c r="S4952" i="5"/>
  <c r="R4952" i="5"/>
  <c r="Q4952" i="5"/>
  <c r="P4952" i="5"/>
  <c r="U4852" i="5"/>
  <c r="T4852" i="5"/>
  <c r="S4852" i="5"/>
  <c r="R4852" i="5"/>
  <c r="Q4852" i="5"/>
  <c r="P4852" i="5"/>
  <c r="U5251" i="5"/>
  <c r="T5251" i="5"/>
  <c r="S5251" i="5"/>
  <c r="R5251" i="5"/>
  <c r="Q5251" i="5"/>
  <c r="P5251" i="5"/>
  <c r="U5151" i="5"/>
  <c r="T5151" i="5"/>
  <c r="S5151" i="5"/>
  <c r="R5151" i="5"/>
  <c r="Q5151" i="5"/>
  <c r="P5151" i="5"/>
  <c r="U5051" i="5"/>
  <c r="T5051" i="5"/>
  <c r="S5051" i="5"/>
  <c r="R5051" i="5"/>
  <c r="Q5051" i="5"/>
  <c r="P5051" i="5"/>
  <c r="U4951" i="5"/>
  <c r="T4951" i="5"/>
  <c r="S4951" i="5"/>
  <c r="R4951" i="5"/>
  <c r="Q4951" i="5"/>
  <c r="P4951" i="5"/>
  <c r="U4851" i="5"/>
  <c r="T4851" i="5"/>
  <c r="S4851" i="5"/>
  <c r="R4851" i="5"/>
  <c r="Q4851" i="5"/>
  <c r="P4851" i="5"/>
  <c r="U5250" i="5"/>
  <c r="T5250" i="5"/>
  <c r="S5250" i="5"/>
  <c r="R5250" i="5"/>
  <c r="Q5250" i="5"/>
  <c r="P5250" i="5"/>
  <c r="U5150" i="5"/>
  <c r="T5150" i="5"/>
  <c r="S5150" i="5"/>
  <c r="R5150" i="5"/>
  <c r="Q5150" i="5"/>
  <c r="P5150" i="5"/>
  <c r="U5050" i="5"/>
  <c r="T5050" i="5"/>
  <c r="S5050" i="5"/>
  <c r="R5050" i="5"/>
  <c r="Q5050" i="5"/>
  <c r="P5050" i="5"/>
  <c r="U4950" i="5"/>
  <c r="T4950" i="5"/>
  <c r="S4950" i="5"/>
  <c r="R4950" i="5"/>
  <c r="Q4950" i="5"/>
  <c r="P4950" i="5"/>
  <c r="U4850" i="5"/>
  <c r="T4850" i="5"/>
  <c r="S4850" i="5"/>
  <c r="R4850" i="5"/>
  <c r="Q4850" i="5"/>
  <c r="P4850" i="5"/>
  <c r="U5249" i="5"/>
  <c r="T5249" i="5"/>
  <c r="S5249" i="5"/>
  <c r="R5249" i="5"/>
  <c r="Q5249" i="5"/>
  <c r="P5249" i="5"/>
  <c r="U5149" i="5"/>
  <c r="T5149" i="5"/>
  <c r="S5149" i="5"/>
  <c r="R5149" i="5"/>
  <c r="Q5149" i="5"/>
  <c r="P5149" i="5"/>
  <c r="U5049" i="5"/>
  <c r="T5049" i="5"/>
  <c r="S5049" i="5"/>
  <c r="R5049" i="5"/>
  <c r="Q5049" i="5"/>
  <c r="P5049" i="5"/>
  <c r="U4949" i="5"/>
  <c r="T4949" i="5"/>
  <c r="S4949" i="5"/>
  <c r="R4949" i="5"/>
  <c r="Q4949" i="5"/>
  <c r="P4949" i="5"/>
  <c r="U4849" i="5"/>
  <c r="T4849" i="5"/>
  <c r="S4849" i="5"/>
  <c r="R4849" i="5"/>
  <c r="Q4849" i="5"/>
  <c r="P4849" i="5"/>
  <c r="U5248" i="5"/>
  <c r="T5248" i="5"/>
  <c r="S5248" i="5"/>
  <c r="R5248" i="5"/>
  <c r="Q5248" i="5"/>
  <c r="P5248" i="5"/>
  <c r="U5148" i="5"/>
  <c r="T5148" i="5"/>
  <c r="S5148" i="5"/>
  <c r="R5148" i="5"/>
  <c r="Q5148" i="5"/>
  <c r="P5148" i="5"/>
  <c r="U5048" i="5"/>
  <c r="T5048" i="5"/>
  <c r="S5048" i="5"/>
  <c r="R5048" i="5"/>
  <c r="Q5048" i="5"/>
  <c r="P5048" i="5"/>
  <c r="U4948" i="5"/>
  <c r="T4948" i="5"/>
  <c r="S4948" i="5"/>
  <c r="R4948" i="5"/>
  <c r="Q4948" i="5"/>
  <c r="P4948" i="5"/>
  <c r="U4848" i="5"/>
  <c r="T4848" i="5"/>
  <c r="S4848" i="5"/>
  <c r="R4848" i="5"/>
  <c r="Q4848" i="5"/>
  <c r="P4848" i="5"/>
  <c r="U5247" i="5"/>
  <c r="T5247" i="5"/>
  <c r="S5247" i="5"/>
  <c r="R5247" i="5"/>
  <c r="Q5247" i="5"/>
  <c r="P5247" i="5"/>
  <c r="U5147" i="5"/>
  <c r="T5147" i="5"/>
  <c r="S5147" i="5"/>
  <c r="R5147" i="5"/>
  <c r="Q5147" i="5"/>
  <c r="P5147" i="5"/>
  <c r="U5047" i="5"/>
  <c r="T5047" i="5"/>
  <c r="S5047" i="5"/>
  <c r="R5047" i="5"/>
  <c r="Q5047" i="5"/>
  <c r="P5047" i="5"/>
  <c r="U4947" i="5"/>
  <c r="T4947" i="5"/>
  <c r="S4947" i="5"/>
  <c r="R4947" i="5"/>
  <c r="Q4947" i="5"/>
  <c r="P4947" i="5"/>
  <c r="U4847" i="5"/>
  <c r="T4847" i="5"/>
  <c r="S4847" i="5"/>
  <c r="R4847" i="5"/>
  <c r="Q4847" i="5"/>
  <c r="P4847" i="5"/>
  <c r="U5246" i="5"/>
  <c r="T5246" i="5"/>
  <c r="S5246" i="5"/>
  <c r="R5246" i="5"/>
  <c r="Q5246" i="5"/>
  <c r="P5246" i="5"/>
  <c r="U5146" i="5"/>
  <c r="T5146" i="5"/>
  <c r="S5146" i="5"/>
  <c r="R5146" i="5"/>
  <c r="Q5146" i="5"/>
  <c r="P5146" i="5"/>
  <c r="U5046" i="5"/>
  <c r="T5046" i="5"/>
  <c r="S5046" i="5"/>
  <c r="R5046" i="5"/>
  <c r="Q5046" i="5"/>
  <c r="P5046" i="5"/>
  <c r="U4946" i="5"/>
  <c r="T4946" i="5"/>
  <c r="S4946" i="5"/>
  <c r="R4946" i="5"/>
  <c r="Q4946" i="5"/>
  <c r="P4946" i="5"/>
  <c r="U4846" i="5"/>
  <c r="T4846" i="5"/>
  <c r="S4846" i="5"/>
  <c r="R4846" i="5"/>
  <c r="Q4846" i="5"/>
  <c r="P4846" i="5"/>
  <c r="U5245" i="5"/>
  <c r="T5245" i="5"/>
  <c r="S5245" i="5"/>
  <c r="R5245" i="5"/>
  <c r="Q5245" i="5"/>
  <c r="P5245" i="5"/>
  <c r="U5145" i="5"/>
  <c r="T5145" i="5"/>
  <c r="S5145" i="5"/>
  <c r="R5145" i="5"/>
  <c r="Q5145" i="5"/>
  <c r="P5145" i="5"/>
  <c r="U5045" i="5"/>
  <c r="T5045" i="5"/>
  <c r="S5045" i="5"/>
  <c r="R5045" i="5"/>
  <c r="Q5045" i="5"/>
  <c r="P5045" i="5"/>
  <c r="U4945" i="5"/>
  <c r="T4945" i="5"/>
  <c r="S4945" i="5"/>
  <c r="R4945" i="5"/>
  <c r="Q4945" i="5"/>
  <c r="P4945" i="5"/>
  <c r="U4845" i="5"/>
  <c r="T4845" i="5"/>
  <c r="S4845" i="5"/>
  <c r="R4845" i="5"/>
  <c r="Q4845" i="5"/>
  <c r="P4845" i="5"/>
  <c r="U5244" i="5"/>
  <c r="T5244" i="5"/>
  <c r="S5244" i="5"/>
  <c r="R5244" i="5"/>
  <c r="Q5244" i="5"/>
  <c r="P5244" i="5"/>
  <c r="U5144" i="5"/>
  <c r="T5144" i="5"/>
  <c r="S5144" i="5"/>
  <c r="R5144" i="5"/>
  <c r="Q5144" i="5"/>
  <c r="P5144" i="5"/>
  <c r="U5044" i="5"/>
  <c r="T5044" i="5"/>
  <c r="S5044" i="5"/>
  <c r="R5044" i="5"/>
  <c r="Q5044" i="5"/>
  <c r="P5044" i="5"/>
  <c r="U4944" i="5"/>
  <c r="T4944" i="5"/>
  <c r="S4944" i="5"/>
  <c r="R4944" i="5"/>
  <c r="Q4944" i="5"/>
  <c r="P4944" i="5"/>
  <c r="U4844" i="5"/>
  <c r="T4844" i="5"/>
  <c r="S4844" i="5"/>
  <c r="R4844" i="5"/>
  <c r="Q4844" i="5"/>
  <c r="P4844" i="5"/>
  <c r="U5243" i="5"/>
  <c r="T5243" i="5"/>
  <c r="S5243" i="5"/>
  <c r="R5243" i="5"/>
  <c r="Q5243" i="5"/>
  <c r="P5243" i="5"/>
  <c r="U5143" i="5"/>
  <c r="T5143" i="5"/>
  <c r="S5143" i="5"/>
  <c r="R5143" i="5"/>
  <c r="Q5143" i="5"/>
  <c r="P5143" i="5"/>
  <c r="U5043" i="5"/>
  <c r="T5043" i="5"/>
  <c r="S5043" i="5"/>
  <c r="R5043" i="5"/>
  <c r="Q5043" i="5"/>
  <c r="P5043" i="5"/>
  <c r="U4943" i="5"/>
  <c r="T4943" i="5"/>
  <c r="S4943" i="5"/>
  <c r="R4943" i="5"/>
  <c r="Q4943" i="5"/>
  <c r="P4943" i="5"/>
  <c r="U4843" i="5"/>
  <c r="T4843" i="5"/>
  <c r="S4843" i="5"/>
  <c r="R4843" i="5"/>
  <c r="Q4843" i="5"/>
  <c r="P4843" i="5"/>
  <c r="U5242" i="5"/>
  <c r="T5242" i="5"/>
  <c r="S5242" i="5"/>
  <c r="R5242" i="5"/>
  <c r="Q5242" i="5"/>
  <c r="P5242" i="5"/>
  <c r="U5142" i="5"/>
  <c r="T5142" i="5"/>
  <c r="S5142" i="5"/>
  <c r="R5142" i="5"/>
  <c r="Q5142" i="5"/>
  <c r="P5142" i="5"/>
  <c r="U5042" i="5"/>
  <c r="T5042" i="5"/>
  <c r="S5042" i="5"/>
  <c r="R5042" i="5"/>
  <c r="Q5042" i="5"/>
  <c r="P5042" i="5"/>
  <c r="U4942" i="5"/>
  <c r="T4942" i="5"/>
  <c r="S4942" i="5"/>
  <c r="R4942" i="5"/>
  <c r="Q4942" i="5"/>
  <c r="P4942" i="5"/>
  <c r="U4842" i="5"/>
  <c r="T4842" i="5"/>
  <c r="S4842" i="5"/>
  <c r="R4842" i="5"/>
  <c r="Q4842" i="5"/>
  <c r="P4842" i="5"/>
  <c r="U5241" i="5"/>
  <c r="T5241" i="5"/>
  <c r="S5241" i="5"/>
  <c r="R5241" i="5"/>
  <c r="Q5241" i="5"/>
  <c r="P5241" i="5"/>
  <c r="U5141" i="5"/>
  <c r="T5141" i="5"/>
  <c r="S5141" i="5"/>
  <c r="R5141" i="5"/>
  <c r="Q5141" i="5"/>
  <c r="P5141" i="5"/>
  <c r="U5041" i="5"/>
  <c r="T5041" i="5"/>
  <c r="S5041" i="5"/>
  <c r="R5041" i="5"/>
  <c r="Q5041" i="5"/>
  <c r="P5041" i="5"/>
  <c r="U4941" i="5"/>
  <c r="T4941" i="5"/>
  <c r="S4941" i="5"/>
  <c r="R4941" i="5"/>
  <c r="Q4941" i="5"/>
  <c r="P4941" i="5"/>
  <c r="U4841" i="5"/>
  <c r="T4841" i="5"/>
  <c r="S4841" i="5"/>
  <c r="R4841" i="5"/>
  <c r="Q4841" i="5"/>
  <c r="P4841" i="5"/>
  <c r="U5240" i="5"/>
  <c r="T5240" i="5"/>
  <c r="S5240" i="5"/>
  <c r="R5240" i="5"/>
  <c r="Q5240" i="5"/>
  <c r="P5240" i="5"/>
  <c r="U5140" i="5"/>
  <c r="T5140" i="5"/>
  <c r="S5140" i="5"/>
  <c r="R5140" i="5"/>
  <c r="Q5140" i="5"/>
  <c r="P5140" i="5"/>
  <c r="U5040" i="5"/>
  <c r="T5040" i="5"/>
  <c r="S5040" i="5"/>
  <c r="R5040" i="5"/>
  <c r="Q5040" i="5"/>
  <c r="P5040" i="5"/>
  <c r="U4940" i="5"/>
  <c r="T4940" i="5"/>
  <c r="S4940" i="5"/>
  <c r="R4940" i="5"/>
  <c r="Q4940" i="5"/>
  <c r="P4940" i="5"/>
  <c r="U4840" i="5"/>
  <c r="T4840" i="5"/>
  <c r="S4840" i="5"/>
  <c r="R4840" i="5"/>
  <c r="Q4840" i="5"/>
  <c r="P4840" i="5"/>
  <c r="U944" i="5"/>
  <c r="T944" i="5"/>
  <c r="S944" i="5"/>
  <c r="I944" i="5"/>
  <c r="R944" i="5" s="1"/>
  <c r="H944" i="5"/>
  <c r="G944" i="5"/>
  <c r="Q944" i="5" s="1"/>
  <c r="F944" i="5"/>
  <c r="E944" i="5"/>
  <c r="P944" i="5" s="1"/>
  <c r="D944" i="5"/>
  <c r="U943" i="5"/>
  <c r="T943" i="5"/>
  <c r="S943" i="5"/>
  <c r="I943" i="5"/>
  <c r="R943" i="5" s="1"/>
  <c r="H943" i="5"/>
  <c r="G943" i="5"/>
  <c r="Q943" i="5" s="1"/>
  <c r="F943" i="5"/>
  <c r="E943" i="5"/>
  <c r="P943" i="5" s="1"/>
  <c r="D943" i="5"/>
  <c r="U942" i="5"/>
  <c r="T942" i="5"/>
  <c r="S942" i="5"/>
  <c r="I942" i="5"/>
  <c r="R942" i="5" s="1"/>
  <c r="H942" i="5"/>
  <c r="G942" i="5"/>
  <c r="Q942" i="5" s="1"/>
  <c r="F942" i="5"/>
  <c r="E942" i="5"/>
  <c r="P942" i="5" s="1"/>
  <c r="D942" i="5"/>
  <c r="U879" i="5"/>
  <c r="T879" i="5"/>
  <c r="S879" i="5"/>
  <c r="I879" i="5"/>
  <c r="R879" i="5" s="1"/>
  <c r="H879" i="5"/>
  <c r="G879" i="5"/>
  <c r="Q879" i="5" s="1"/>
  <c r="F879" i="5"/>
  <c r="E879" i="5"/>
  <c r="P879" i="5" s="1"/>
  <c r="D879" i="5"/>
  <c r="U878" i="5"/>
  <c r="T878" i="5"/>
  <c r="S878" i="5"/>
  <c r="I878" i="5"/>
  <c r="R878" i="5" s="1"/>
  <c r="H878" i="5"/>
  <c r="G878" i="5"/>
  <c r="Q878" i="5" s="1"/>
  <c r="F878" i="5"/>
  <c r="E878" i="5"/>
  <c r="P878" i="5" s="1"/>
  <c r="D878" i="5"/>
  <c r="U5239" i="5"/>
  <c r="T5239" i="5"/>
  <c r="S5239" i="5"/>
  <c r="R5239" i="5"/>
  <c r="Q5239" i="5"/>
  <c r="P5239" i="5"/>
  <c r="U5139" i="5"/>
  <c r="T5139" i="5"/>
  <c r="S5139" i="5"/>
  <c r="R5139" i="5"/>
  <c r="Q5139" i="5"/>
  <c r="P5139" i="5"/>
  <c r="U5039" i="5"/>
  <c r="T5039" i="5"/>
  <c r="S5039" i="5"/>
  <c r="R5039" i="5"/>
  <c r="Q5039" i="5"/>
  <c r="P5039" i="5"/>
  <c r="U4939" i="5"/>
  <c r="T4939" i="5"/>
  <c r="S4939" i="5"/>
  <c r="R4939" i="5"/>
  <c r="Q4939" i="5"/>
  <c r="P4939" i="5"/>
  <c r="U4839" i="5"/>
  <c r="T4839" i="5"/>
  <c r="S4839" i="5"/>
  <c r="R4839" i="5"/>
  <c r="Q4839" i="5"/>
  <c r="P4839" i="5"/>
  <c r="U5238" i="5"/>
  <c r="T5238" i="5"/>
  <c r="S5238" i="5"/>
  <c r="R5238" i="5"/>
  <c r="Q5238" i="5"/>
  <c r="P5238" i="5"/>
  <c r="U5138" i="5"/>
  <c r="T5138" i="5"/>
  <c r="S5138" i="5"/>
  <c r="R5138" i="5"/>
  <c r="Q5138" i="5"/>
  <c r="P5138" i="5"/>
  <c r="U5038" i="5"/>
  <c r="T5038" i="5"/>
  <c r="S5038" i="5"/>
  <c r="R5038" i="5"/>
  <c r="Q5038" i="5"/>
  <c r="P5038" i="5"/>
  <c r="U4938" i="5"/>
  <c r="T4938" i="5"/>
  <c r="S4938" i="5"/>
  <c r="R4938" i="5"/>
  <c r="Q4938" i="5"/>
  <c r="P4938" i="5"/>
  <c r="U4838" i="5"/>
  <c r="T4838" i="5"/>
  <c r="S4838" i="5"/>
  <c r="R4838" i="5"/>
  <c r="Q4838" i="5"/>
  <c r="P4838" i="5"/>
  <c r="U5237" i="5"/>
  <c r="T5237" i="5"/>
  <c r="S5237" i="5"/>
  <c r="R5237" i="5"/>
  <c r="Q5237" i="5"/>
  <c r="P5237" i="5"/>
  <c r="U5137" i="5"/>
  <c r="T5137" i="5"/>
  <c r="S5137" i="5"/>
  <c r="R5137" i="5"/>
  <c r="Q5137" i="5"/>
  <c r="P5137" i="5"/>
  <c r="U5037" i="5"/>
  <c r="T5037" i="5"/>
  <c r="S5037" i="5"/>
  <c r="R5037" i="5"/>
  <c r="Q5037" i="5"/>
  <c r="P5037" i="5"/>
  <c r="U4937" i="5"/>
  <c r="T4937" i="5"/>
  <c r="S4937" i="5"/>
  <c r="R4937" i="5"/>
  <c r="Q4937" i="5"/>
  <c r="P4937" i="5"/>
  <c r="U4837" i="5"/>
  <c r="T4837" i="5"/>
  <c r="S4837" i="5"/>
  <c r="R4837" i="5"/>
  <c r="Q4837" i="5"/>
  <c r="P4837" i="5"/>
  <c r="U5236" i="5"/>
  <c r="T5236" i="5"/>
  <c r="S5236" i="5"/>
  <c r="R5236" i="5"/>
  <c r="Q5236" i="5"/>
  <c r="P5236" i="5"/>
  <c r="U5136" i="5"/>
  <c r="T5136" i="5"/>
  <c r="S5136" i="5"/>
  <c r="R5136" i="5"/>
  <c r="Q5136" i="5"/>
  <c r="P5136" i="5"/>
  <c r="U5036" i="5"/>
  <c r="T5036" i="5"/>
  <c r="S5036" i="5"/>
  <c r="R5036" i="5"/>
  <c r="Q5036" i="5"/>
  <c r="P5036" i="5"/>
  <c r="U4936" i="5"/>
  <c r="T4936" i="5"/>
  <c r="S4936" i="5"/>
  <c r="R4936" i="5"/>
  <c r="Q4936" i="5"/>
  <c r="P4936" i="5"/>
  <c r="U4836" i="5"/>
  <c r="T4836" i="5"/>
  <c r="S4836" i="5"/>
  <c r="R4836" i="5"/>
  <c r="Q4836" i="5"/>
  <c r="P4836" i="5"/>
  <c r="U5235" i="5"/>
  <c r="T5235" i="5"/>
  <c r="S5235" i="5"/>
  <c r="R5235" i="5"/>
  <c r="Q5235" i="5"/>
  <c r="P5235" i="5"/>
  <c r="U5135" i="5"/>
  <c r="T5135" i="5"/>
  <c r="S5135" i="5"/>
  <c r="R5135" i="5"/>
  <c r="Q5135" i="5"/>
  <c r="P5135" i="5"/>
  <c r="U5035" i="5"/>
  <c r="T5035" i="5"/>
  <c r="S5035" i="5"/>
  <c r="R5035" i="5"/>
  <c r="Q5035" i="5"/>
  <c r="P5035" i="5"/>
  <c r="U4935" i="5"/>
  <c r="T4935" i="5"/>
  <c r="S4935" i="5"/>
  <c r="R4935" i="5"/>
  <c r="Q4935" i="5"/>
  <c r="P4935" i="5"/>
  <c r="U4835" i="5"/>
  <c r="T4835" i="5"/>
  <c r="S4835" i="5"/>
  <c r="R4835" i="5"/>
  <c r="Q4835" i="5"/>
  <c r="P4835" i="5"/>
  <c r="U5234" i="5"/>
  <c r="T5234" i="5"/>
  <c r="S5234" i="5"/>
  <c r="R5234" i="5"/>
  <c r="Q5234" i="5"/>
  <c r="P5234" i="5"/>
  <c r="U5134" i="5"/>
  <c r="T5134" i="5"/>
  <c r="S5134" i="5"/>
  <c r="R5134" i="5"/>
  <c r="Q5134" i="5"/>
  <c r="P5134" i="5"/>
  <c r="U5034" i="5"/>
  <c r="T5034" i="5"/>
  <c r="S5034" i="5"/>
  <c r="R5034" i="5"/>
  <c r="Q5034" i="5"/>
  <c r="P5034" i="5"/>
  <c r="U4934" i="5"/>
  <c r="T4934" i="5"/>
  <c r="S4934" i="5"/>
  <c r="R4934" i="5"/>
  <c r="Q4934" i="5"/>
  <c r="P4934" i="5"/>
  <c r="U4834" i="5"/>
  <c r="T4834" i="5"/>
  <c r="S4834" i="5"/>
  <c r="R4834" i="5"/>
  <c r="Q4834" i="5"/>
  <c r="P4834" i="5"/>
  <c r="U5233" i="5"/>
  <c r="T5233" i="5"/>
  <c r="S5233" i="5"/>
  <c r="R5233" i="5"/>
  <c r="Q5233" i="5"/>
  <c r="P5233" i="5"/>
  <c r="U5133" i="5"/>
  <c r="T5133" i="5"/>
  <c r="S5133" i="5"/>
  <c r="R5133" i="5"/>
  <c r="Q5133" i="5"/>
  <c r="P5133" i="5"/>
  <c r="U5033" i="5"/>
  <c r="T5033" i="5"/>
  <c r="S5033" i="5"/>
  <c r="R5033" i="5"/>
  <c r="Q5033" i="5"/>
  <c r="P5033" i="5"/>
  <c r="U4933" i="5"/>
  <c r="T4933" i="5"/>
  <c r="S4933" i="5"/>
  <c r="R4933" i="5"/>
  <c r="Q4933" i="5"/>
  <c r="P4933" i="5"/>
  <c r="U4833" i="5"/>
  <c r="T4833" i="5"/>
  <c r="S4833" i="5"/>
  <c r="R4833" i="5"/>
  <c r="Q4833" i="5"/>
  <c r="P4833" i="5"/>
  <c r="U5232" i="5"/>
  <c r="T5232" i="5"/>
  <c r="S5232" i="5"/>
  <c r="R5232" i="5"/>
  <c r="Q5232" i="5"/>
  <c r="P5232" i="5"/>
  <c r="U5132" i="5"/>
  <c r="T5132" i="5"/>
  <c r="S5132" i="5"/>
  <c r="R5132" i="5"/>
  <c r="Q5132" i="5"/>
  <c r="P5132" i="5"/>
  <c r="U5032" i="5"/>
  <c r="T5032" i="5"/>
  <c r="S5032" i="5"/>
  <c r="R5032" i="5"/>
  <c r="Q5032" i="5"/>
  <c r="P5032" i="5"/>
  <c r="U4932" i="5"/>
  <c r="T4932" i="5"/>
  <c r="S4932" i="5"/>
  <c r="R4932" i="5"/>
  <c r="Q4932" i="5"/>
  <c r="P4932" i="5"/>
  <c r="U4832" i="5"/>
  <c r="T4832" i="5"/>
  <c r="S4832" i="5"/>
  <c r="R4832" i="5"/>
  <c r="Q4832" i="5"/>
  <c r="P4832" i="5"/>
  <c r="U5231" i="5"/>
  <c r="T5231" i="5"/>
  <c r="S5231" i="5"/>
  <c r="R5231" i="5"/>
  <c r="Q5231" i="5"/>
  <c r="P5231" i="5"/>
  <c r="U5131" i="5"/>
  <c r="T5131" i="5"/>
  <c r="S5131" i="5"/>
  <c r="R5131" i="5"/>
  <c r="Q5131" i="5"/>
  <c r="P5131" i="5"/>
  <c r="U5031" i="5"/>
  <c r="T5031" i="5"/>
  <c r="S5031" i="5"/>
  <c r="R5031" i="5"/>
  <c r="Q5031" i="5"/>
  <c r="P5031" i="5"/>
  <c r="U4931" i="5"/>
  <c r="T4931" i="5"/>
  <c r="S4931" i="5"/>
  <c r="R4931" i="5"/>
  <c r="Q4931" i="5"/>
  <c r="P4931" i="5"/>
  <c r="U4831" i="5"/>
  <c r="T4831" i="5"/>
  <c r="S4831" i="5"/>
  <c r="R4831" i="5"/>
  <c r="Q4831" i="5"/>
  <c r="P4831" i="5"/>
  <c r="U5230" i="5"/>
  <c r="T5230" i="5"/>
  <c r="S5230" i="5"/>
  <c r="R5230" i="5"/>
  <c r="Q5230" i="5"/>
  <c r="P5230" i="5"/>
  <c r="U5130" i="5"/>
  <c r="T5130" i="5"/>
  <c r="S5130" i="5"/>
  <c r="R5130" i="5"/>
  <c r="Q5130" i="5"/>
  <c r="P5130" i="5"/>
  <c r="U5030" i="5"/>
  <c r="T5030" i="5"/>
  <c r="S5030" i="5"/>
  <c r="R5030" i="5"/>
  <c r="Q5030" i="5"/>
  <c r="P5030" i="5"/>
  <c r="U4930" i="5"/>
  <c r="T4930" i="5"/>
  <c r="S4930" i="5"/>
  <c r="R4930" i="5"/>
  <c r="Q4930" i="5"/>
  <c r="P4930" i="5"/>
  <c r="U4830" i="5"/>
  <c r="T4830" i="5"/>
  <c r="S4830" i="5"/>
  <c r="R4830" i="5"/>
  <c r="Q4830" i="5"/>
  <c r="P4830" i="5"/>
  <c r="U5229" i="5"/>
  <c r="T5229" i="5"/>
  <c r="S5229" i="5"/>
  <c r="R5229" i="5"/>
  <c r="Q5229" i="5"/>
  <c r="P5229" i="5"/>
  <c r="U5129" i="5"/>
  <c r="T5129" i="5"/>
  <c r="S5129" i="5"/>
  <c r="R5129" i="5"/>
  <c r="Q5129" i="5"/>
  <c r="P5129" i="5"/>
  <c r="U5029" i="5"/>
  <c r="T5029" i="5"/>
  <c r="S5029" i="5"/>
  <c r="R5029" i="5"/>
  <c r="Q5029" i="5"/>
  <c r="P5029" i="5"/>
  <c r="U4929" i="5"/>
  <c r="T4929" i="5"/>
  <c r="S4929" i="5"/>
  <c r="R4929" i="5"/>
  <c r="Q4929" i="5"/>
  <c r="P4929" i="5"/>
  <c r="U4829" i="5"/>
  <c r="T4829" i="5"/>
  <c r="S4829" i="5"/>
  <c r="R4829" i="5"/>
  <c r="Q4829" i="5"/>
  <c r="P4829" i="5"/>
  <c r="U5228" i="5"/>
  <c r="T5228" i="5"/>
  <c r="S5228" i="5"/>
  <c r="R5228" i="5"/>
  <c r="Q5228" i="5"/>
  <c r="P5228" i="5"/>
  <c r="U5128" i="5"/>
  <c r="T5128" i="5"/>
  <c r="S5128" i="5"/>
  <c r="R5128" i="5"/>
  <c r="Q5128" i="5"/>
  <c r="P5128" i="5"/>
  <c r="U5028" i="5"/>
  <c r="T5028" i="5"/>
  <c r="S5028" i="5"/>
  <c r="R5028" i="5"/>
  <c r="Q5028" i="5"/>
  <c r="P5028" i="5"/>
  <c r="U4928" i="5"/>
  <c r="T4928" i="5"/>
  <c r="S4928" i="5"/>
  <c r="R4928" i="5"/>
  <c r="Q4928" i="5"/>
  <c r="P4928" i="5"/>
  <c r="U4828" i="5"/>
  <c r="T4828" i="5"/>
  <c r="S4828" i="5"/>
  <c r="R4828" i="5"/>
  <c r="Q4828" i="5"/>
  <c r="P4828" i="5"/>
  <c r="U5227" i="5"/>
  <c r="T5227" i="5"/>
  <c r="S5227" i="5"/>
  <c r="R5227" i="5"/>
  <c r="Q5227" i="5"/>
  <c r="P5227" i="5"/>
  <c r="U5127" i="5"/>
  <c r="T5127" i="5"/>
  <c r="S5127" i="5"/>
  <c r="R5127" i="5"/>
  <c r="Q5127" i="5"/>
  <c r="P5127" i="5"/>
  <c r="U5027" i="5"/>
  <c r="T5027" i="5"/>
  <c r="S5027" i="5"/>
  <c r="R5027" i="5"/>
  <c r="Q5027" i="5"/>
  <c r="P5027" i="5"/>
  <c r="U4927" i="5"/>
  <c r="T4927" i="5"/>
  <c r="S4927" i="5"/>
  <c r="R4927" i="5"/>
  <c r="Q4927" i="5"/>
  <c r="P4927" i="5"/>
  <c r="U4827" i="5"/>
  <c r="T4827" i="5"/>
  <c r="S4827" i="5"/>
  <c r="R4827" i="5"/>
  <c r="Q4827" i="5"/>
  <c r="P4827" i="5"/>
  <c r="U5226" i="5"/>
  <c r="T5226" i="5"/>
  <c r="S5226" i="5"/>
  <c r="R5226" i="5"/>
  <c r="Q5226" i="5"/>
  <c r="P5226" i="5"/>
  <c r="U5126" i="5"/>
  <c r="T5126" i="5"/>
  <c r="S5126" i="5"/>
  <c r="R5126" i="5"/>
  <c r="Q5126" i="5"/>
  <c r="P5126" i="5"/>
  <c r="U5026" i="5"/>
  <c r="T5026" i="5"/>
  <c r="S5026" i="5"/>
  <c r="R5026" i="5"/>
  <c r="Q5026" i="5"/>
  <c r="P5026" i="5"/>
  <c r="U4926" i="5"/>
  <c r="T4926" i="5"/>
  <c r="S4926" i="5"/>
  <c r="R4926" i="5"/>
  <c r="Q4926" i="5"/>
  <c r="P4926" i="5"/>
  <c r="U4826" i="5"/>
  <c r="T4826" i="5"/>
  <c r="S4826" i="5"/>
  <c r="R4826" i="5"/>
  <c r="Q4826" i="5"/>
  <c r="P4826" i="5"/>
  <c r="U877" i="5"/>
  <c r="T877" i="5"/>
  <c r="S877" i="5"/>
  <c r="I877" i="5"/>
  <c r="R877" i="5" s="1"/>
  <c r="H877" i="5"/>
  <c r="G877" i="5"/>
  <c r="Q877" i="5" s="1"/>
  <c r="F877" i="5"/>
  <c r="E877" i="5"/>
  <c r="P877" i="5" s="1"/>
  <c r="D877" i="5"/>
  <c r="U876" i="5"/>
  <c r="T876" i="5"/>
  <c r="S876" i="5"/>
  <c r="I876" i="5"/>
  <c r="R876" i="5" s="1"/>
  <c r="H876" i="5"/>
  <c r="G876" i="5"/>
  <c r="Q876" i="5" s="1"/>
  <c r="F876" i="5"/>
  <c r="E876" i="5"/>
  <c r="P876" i="5" s="1"/>
  <c r="D876" i="5"/>
  <c r="U813" i="5"/>
  <c r="T813" i="5"/>
  <c r="S813" i="5"/>
  <c r="I813" i="5"/>
  <c r="R813" i="5" s="1"/>
  <c r="H813" i="5"/>
  <c r="G813" i="5"/>
  <c r="Q813" i="5" s="1"/>
  <c r="F813" i="5"/>
  <c r="E813" i="5"/>
  <c r="P813" i="5" s="1"/>
  <c r="D813" i="5"/>
  <c r="U812" i="5"/>
  <c r="T812" i="5"/>
  <c r="S812" i="5"/>
  <c r="I812" i="5"/>
  <c r="R812" i="5" s="1"/>
  <c r="H812" i="5"/>
  <c r="G812" i="5"/>
  <c r="Q812" i="5" s="1"/>
  <c r="F812" i="5"/>
  <c r="E812" i="5"/>
  <c r="P812" i="5" s="1"/>
  <c r="D812" i="5"/>
  <c r="U811" i="5"/>
  <c r="T811" i="5"/>
  <c r="S811" i="5"/>
  <c r="I811" i="5"/>
  <c r="R811" i="5" s="1"/>
  <c r="H811" i="5"/>
  <c r="G811" i="5"/>
  <c r="Q811" i="5" s="1"/>
  <c r="F811" i="5"/>
  <c r="E811" i="5"/>
  <c r="P811" i="5" s="1"/>
  <c r="D811" i="5"/>
  <c r="U5225" i="5"/>
  <c r="T5225" i="5"/>
  <c r="S5225" i="5"/>
  <c r="R5225" i="5"/>
  <c r="Q5225" i="5"/>
  <c r="P5225" i="5"/>
  <c r="U5125" i="5"/>
  <c r="T5125" i="5"/>
  <c r="S5125" i="5"/>
  <c r="R5125" i="5"/>
  <c r="Q5125" i="5"/>
  <c r="P5125" i="5"/>
  <c r="U5025" i="5"/>
  <c r="T5025" i="5"/>
  <c r="S5025" i="5"/>
  <c r="R5025" i="5"/>
  <c r="Q5025" i="5"/>
  <c r="P5025" i="5"/>
  <c r="U4925" i="5"/>
  <c r="T4925" i="5"/>
  <c r="S4925" i="5"/>
  <c r="R4925" i="5"/>
  <c r="Q4925" i="5"/>
  <c r="P4925" i="5"/>
  <c r="U4825" i="5"/>
  <c r="T4825" i="5"/>
  <c r="S4825" i="5"/>
  <c r="R4825" i="5"/>
  <c r="Q4825" i="5"/>
  <c r="P4825" i="5"/>
  <c r="U5224" i="5"/>
  <c r="T5224" i="5"/>
  <c r="S5224" i="5"/>
  <c r="R5224" i="5"/>
  <c r="Q5224" i="5"/>
  <c r="P5224" i="5"/>
  <c r="U5124" i="5"/>
  <c r="T5124" i="5"/>
  <c r="S5124" i="5"/>
  <c r="R5124" i="5"/>
  <c r="Q5124" i="5"/>
  <c r="P5124" i="5"/>
  <c r="U5024" i="5"/>
  <c r="T5024" i="5"/>
  <c r="S5024" i="5"/>
  <c r="R5024" i="5"/>
  <c r="Q5024" i="5"/>
  <c r="P5024" i="5"/>
  <c r="U4924" i="5"/>
  <c r="T4924" i="5"/>
  <c r="S4924" i="5"/>
  <c r="R4924" i="5"/>
  <c r="Q4924" i="5"/>
  <c r="P4924" i="5"/>
  <c r="U4824" i="5"/>
  <c r="T4824" i="5"/>
  <c r="S4824" i="5"/>
  <c r="R4824" i="5"/>
  <c r="Q4824" i="5"/>
  <c r="P4824" i="5"/>
  <c r="U5223" i="5"/>
  <c r="T5223" i="5"/>
  <c r="S5223" i="5"/>
  <c r="R5223" i="5"/>
  <c r="Q5223" i="5"/>
  <c r="P5223" i="5"/>
  <c r="U5123" i="5"/>
  <c r="T5123" i="5"/>
  <c r="S5123" i="5"/>
  <c r="R5123" i="5"/>
  <c r="Q5123" i="5"/>
  <c r="P5123" i="5"/>
  <c r="U5023" i="5"/>
  <c r="T5023" i="5"/>
  <c r="S5023" i="5"/>
  <c r="R5023" i="5"/>
  <c r="Q5023" i="5"/>
  <c r="P5023" i="5"/>
  <c r="U4923" i="5"/>
  <c r="T4923" i="5"/>
  <c r="S4923" i="5"/>
  <c r="R4923" i="5"/>
  <c r="Q4923" i="5"/>
  <c r="P4923" i="5"/>
  <c r="U4823" i="5"/>
  <c r="T4823" i="5"/>
  <c r="S4823" i="5"/>
  <c r="R4823" i="5"/>
  <c r="Q4823" i="5"/>
  <c r="P4823" i="5"/>
  <c r="U5222" i="5"/>
  <c r="T5222" i="5"/>
  <c r="S5222" i="5"/>
  <c r="R5222" i="5"/>
  <c r="Q5222" i="5"/>
  <c r="P5222" i="5"/>
  <c r="U5122" i="5"/>
  <c r="T5122" i="5"/>
  <c r="S5122" i="5"/>
  <c r="R5122" i="5"/>
  <c r="Q5122" i="5"/>
  <c r="P5122" i="5"/>
  <c r="U5022" i="5"/>
  <c r="T5022" i="5"/>
  <c r="S5022" i="5"/>
  <c r="R5022" i="5"/>
  <c r="Q5022" i="5"/>
  <c r="P5022" i="5"/>
  <c r="U4922" i="5"/>
  <c r="T4922" i="5"/>
  <c r="S4922" i="5"/>
  <c r="R4922" i="5"/>
  <c r="Q4922" i="5"/>
  <c r="P4922" i="5"/>
  <c r="U4822" i="5"/>
  <c r="T4822" i="5"/>
  <c r="S4822" i="5"/>
  <c r="R4822" i="5"/>
  <c r="Q4822" i="5"/>
  <c r="P4822" i="5"/>
  <c r="U5221" i="5"/>
  <c r="T5221" i="5"/>
  <c r="S5221" i="5"/>
  <c r="R5221" i="5"/>
  <c r="Q5221" i="5"/>
  <c r="P5221" i="5"/>
  <c r="U5121" i="5"/>
  <c r="T5121" i="5"/>
  <c r="S5121" i="5"/>
  <c r="R5121" i="5"/>
  <c r="Q5121" i="5"/>
  <c r="P5121" i="5"/>
  <c r="U5021" i="5"/>
  <c r="T5021" i="5"/>
  <c r="S5021" i="5"/>
  <c r="R5021" i="5"/>
  <c r="Q5021" i="5"/>
  <c r="P5021" i="5"/>
  <c r="U4921" i="5"/>
  <c r="T4921" i="5"/>
  <c r="S4921" i="5"/>
  <c r="R4921" i="5"/>
  <c r="Q4921" i="5"/>
  <c r="P4921" i="5"/>
  <c r="U4821" i="5"/>
  <c r="T4821" i="5"/>
  <c r="S4821" i="5"/>
  <c r="R4821" i="5"/>
  <c r="Q4821" i="5"/>
  <c r="P4821" i="5"/>
  <c r="U5220" i="5"/>
  <c r="T5220" i="5"/>
  <c r="S5220" i="5"/>
  <c r="R5220" i="5"/>
  <c r="Q5220" i="5"/>
  <c r="P5220" i="5"/>
  <c r="U5120" i="5"/>
  <c r="T5120" i="5"/>
  <c r="S5120" i="5"/>
  <c r="R5120" i="5"/>
  <c r="Q5120" i="5"/>
  <c r="P5120" i="5"/>
  <c r="U5020" i="5"/>
  <c r="T5020" i="5"/>
  <c r="S5020" i="5"/>
  <c r="R5020" i="5"/>
  <c r="Q5020" i="5"/>
  <c r="P5020" i="5"/>
  <c r="U4920" i="5"/>
  <c r="T4920" i="5"/>
  <c r="S4920" i="5"/>
  <c r="R4920" i="5"/>
  <c r="Q4920" i="5"/>
  <c r="P4920" i="5"/>
  <c r="U4820" i="5"/>
  <c r="T4820" i="5"/>
  <c r="S4820" i="5"/>
  <c r="R4820" i="5"/>
  <c r="Q4820" i="5"/>
  <c r="P4820" i="5"/>
  <c r="U5219" i="5"/>
  <c r="T5219" i="5"/>
  <c r="S5219" i="5"/>
  <c r="R5219" i="5"/>
  <c r="Q5219" i="5"/>
  <c r="P5219" i="5"/>
  <c r="U5119" i="5"/>
  <c r="T5119" i="5"/>
  <c r="S5119" i="5"/>
  <c r="R5119" i="5"/>
  <c r="Q5119" i="5"/>
  <c r="P5119" i="5"/>
  <c r="U5019" i="5"/>
  <c r="T5019" i="5"/>
  <c r="S5019" i="5"/>
  <c r="R5019" i="5"/>
  <c r="Q5019" i="5"/>
  <c r="P5019" i="5"/>
  <c r="U4919" i="5"/>
  <c r="T4919" i="5"/>
  <c r="S4919" i="5"/>
  <c r="R4919" i="5"/>
  <c r="Q4919" i="5"/>
  <c r="P4919" i="5"/>
  <c r="U4819" i="5"/>
  <c r="T4819" i="5"/>
  <c r="S4819" i="5"/>
  <c r="R4819" i="5"/>
  <c r="Q4819" i="5"/>
  <c r="P4819" i="5"/>
  <c r="U5218" i="5"/>
  <c r="T5218" i="5"/>
  <c r="S5218" i="5"/>
  <c r="R5218" i="5"/>
  <c r="Q5218" i="5"/>
  <c r="P5218" i="5"/>
  <c r="U5118" i="5"/>
  <c r="T5118" i="5"/>
  <c r="S5118" i="5"/>
  <c r="R5118" i="5"/>
  <c r="Q5118" i="5"/>
  <c r="P5118" i="5"/>
  <c r="U5018" i="5"/>
  <c r="T5018" i="5"/>
  <c r="S5018" i="5"/>
  <c r="R5018" i="5"/>
  <c r="Q5018" i="5"/>
  <c r="P5018" i="5"/>
  <c r="U4918" i="5"/>
  <c r="T4918" i="5"/>
  <c r="S4918" i="5"/>
  <c r="R4918" i="5"/>
  <c r="Q4918" i="5"/>
  <c r="P4918" i="5"/>
  <c r="U4818" i="5"/>
  <c r="T4818" i="5"/>
  <c r="S4818" i="5"/>
  <c r="R4818" i="5"/>
  <c r="Q4818" i="5"/>
  <c r="P4818" i="5"/>
  <c r="U5217" i="5"/>
  <c r="T5217" i="5"/>
  <c r="S5217" i="5"/>
  <c r="R5217" i="5"/>
  <c r="Q5217" i="5"/>
  <c r="P5217" i="5"/>
  <c r="U5117" i="5"/>
  <c r="T5117" i="5"/>
  <c r="S5117" i="5"/>
  <c r="R5117" i="5"/>
  <c r="Q5117" i="5"/>
  <c r="P5117" i="5"/>
  <c r="U5017" i="5"/>
  <c r="T5017" i="5"/>
  <c r="S5017" i="5"/>
  <c r="R5017" i="5"/>
  <c r="Q5017" i="5"/>
  <c r="P5017" i="5"/>
  <c r="U4917" i="5"/>
  <c r="T4917" i="5"/>
  <c r="S4917" i="5"/>
  <c r="R4917" i="5"/>
  <c r="Q4917" i="5"/>
  <c r="P4917" i="5"/>
  <c r="U4817" i="5"/>
  <c r="T4817" i="5"/>
  <c r="S4817" i="5"/>
  <c r="R4817" i="5"/>
  <c r="Q4817" i="5"/>
  <c r="P4817" i="5"/>
  <c r="U5216" i="5"/>
  <c r="T5216" i="5"/>
  <c r="S5216" i="5"/>
  <c r="R5216" i="5"/>
  <c r="Q5216" i="5"/>
  <c r="P5216" i="5"/>
  <c r="U5116" i="5"/>
  <c r="T5116" i="5"/>
  <c r="S5116" i="5"/>
  <c r="R5116" i="5"/>
  <c r="Q5116" i="5"/>
  <c r="P5116" i="5"/>
  <c r="U5016" i="5"/>
  <c r="T5016" i="5"/>
  <c r="S5016" i="5"/>
  <c r="R5016" i="5"/>
  <c r="Q5016" i="5"/>
  <c r="P5016" i="5"/>
  <c r="U4916" i="5"/>
  <c r="T4916" i="5"/>
  <c r="S4916" i="5"/>
  <c r="R4916" i="5"/>
  <c r="Q4916" i="5"/>
  <c r="P4916" i="5"/>
  <c r="U4816" i="5"/>
  <c r="T4816" i="5"/>
  <c r="S4816" i="5"/>
  <c r="R4816" i="5"/>
  <c r="Q4816" i="5"/>
  <c r="P4816" i="5"/>
  <c r="U5215" i="5"/>
  <c r="T5215" i="5"/>
  <c r="S5215" i="5"/>
  <c r="R5215" i="5"/>
  <c r="Q5215" i="5"/>
  <c r="P5215" i="5"/>
  <c r="U5115" i="5"/>
  <c r="T5115" i="5"/>
  <c r="S5115" i="5"/>
  <c r="R5115" i="5"/>
  <c r="Q5115" i="5"/>
  <c r="P5115" i="5"/>
  <c r="U5015" i="5"/>
  <c r="T5015" i="5"/>
  <c r="S5015" i="5"/>
  <c r="R5015" i="5"/>
  <c r="Q5015" i="5"/>
  <c r="P5015" i="5"/>
  <c r="U4915" i="5"/>
  <c r="T4915" i="5"/>
  <c r="S4915" i="5"/>
  <c r="R4915" i="5"/>
  <c r="Q4915" i="5"/>
  <c r="P4915" i="5"/>
  <c r="U4815" i="5"/>
  <c r="T4815" i="5"/>
  <c r="S4815" i="5"/>
  <c r="R4815" i="5"/>
  <c r="Q4815" i="5"/>
  <c r="P4815" i="5"/>
  <c r="U5214" i="5"/>
  <c r="T5214" i="5"/>
  <c r="S5214" i="5"/>
  <c r="R5214" i="5"/>
  <c r="Q5214" i="5"/>
  <c r="P5214" i="5"/>
  <c r="U5114" i="5"/>
  <c r="T5114" i="5"/>
  <c r="S5114" i="5"/>
  <c r="R5114" i="5"/>
  <c r="Q5114" i="5"/>
  <c r="P5114" i="5"/>
  <c r="U5014" i="5"/>
  <c r="T5014" i="5"/>
  <c r="S5014" i="5"/>
  <c r="R5014" i="5"/>
  <c r="Q5014" i="5"/>
  <c r="P5014" i="5"/>
  <c r="U4914" i="5"/>
  <c r="T4914" i="5"/>
  <c r="S4914" i="5"/>
  <c r="R4914" i="5"/>
  <c r="Q4914" i="5"/>
  <c r="P4914" i="5"/>
  <c r="U4814" i="5"/>
  <c r="T4814" i="5"/>
  <c r="S4814" i="5"/>
  <c r="R4814" i="5"/>
  <c r="Q4814" i="5"/>
  <c r="P4814" i="5"/>
  <c r="U5213" i="5"/>
  <c r="T5213" i="5"/>
  <c r="S5213" i="5"/>
  <c r="R5213" i="5"/>
  <c r="Q5213" i="5"/>
  <c r="P5213" i="5"/>
  <c r="U5113" i="5"/>
  <c r="T5113" i="5"/>
  <c r="S5113" i="5"/>
  <c r="R5113" i="5"/>
  <c r="Q5113" i="5"/>
  <c r="P5113" i="5"/>
  <c r="U5013" i="5"/>
  <c r="T5013" i="5"/>
  <c r="S5013" i="5"/>
  <c r="R5013" i="5"/>
  <c r="Q5013" i="5"/>
  <c r="P5013" i="5"/>
  <c r="U4913" i="5"/>
  <c r="T4913" i="5"/>
  <c r="S4913" i="5"/>
  <c r="R4913" i="5"/>
  <c r="Q4913" i="5"/>
  <c r="P4913" i="5"/>
  <c r="U4813" i="5"/>
  <c r="T4813" i="5"/>
  <c r="S4813" i="5"/>
  <c r="R4813" i="5"/>
  <c r="Q4813" i="5"/>
  <c r="P4813" i="5"/>
  <c r="U5212" i="5"/>
  <c r="T5212" i="5"/>
  <c r="S5212" i="5"/>
  <c r="R5212" i="5"/>
  <c r="Q5212" i="5"/>
  <c r="P5212" i="5"/>
  <c r="U5112" i="5"/>
  <c r="T5112" i="5"/>
  <c r="S5112" i="5"/>
  <c r="R5112" i="5"/>
  <c r="Q5112" i="5"/>
  <c r="P5112" i="5"/>
  <c r="U5012" i="5"/>
  <c r="T5012" i="5"/>
  <c r="S5012" i="5"/>
  <c r="R5012" i="5"/>
  <c r="Q5012" i="5"/>
  <c r="P5012" i="5"/>
  <c r="U4912" i="5"/>
  <c r="T4912" i="5"/>
  <c r="S4912" i="5"/>
  <c r="R4912" i="5"/>
  <c r="Q4912" i="5"/>
  <c r="P4912" i="5"/>
  <c r="U4812" i="5"/>
  <c r="T4812" i="5"/>
  <c r="S4812" i="5"/>
  <c r="R4812" i="5"/>
  <c r="Q4812" i="5"/>
  <c r="P4812" i="5"/>
  <c r="T5211" i="5"/>
  <c r="S5211" i="5"/>
  <c r="R5211" i="5"/>
  <c r="Q5211" i="5"/>
  <c r="E5211" i="5"/>
  <c r="P5211" i="5" s="1"/>
  <c r="D5211" i="5"/>
  <c r="U5211" i="5" s="1"/>
  <c r="T5111" i="5"/>
  <c r="S5111" i="5"/>
  <c r="R5111" i="5"/>
  <c r="Q5111" i="5"/>
  <c r="E5111" i="5"/>
  <c r="P5111" i="5" s="1"/>
  <c r="D5111" i="5"/>
  <c r="U5111" i="5" s="1"/>
  <c r="T5011" i="5"/>
  <c r="S5011" i="5"/>
  <c r="R5011" i="5"/>
  <c r="Q5011" i="5"/>
  <c r="E5011" i="5"/>
  <c r="P5011" i="5" s="1"/>
  <c r="D5011" i="5"/>
  <c r="U5011" i="5" s="1"/>
  <c r="T4911" i="5"/>
  <c r="S4911" i="5"/>
  <c r="R4911" i="5"/>
  <c r="Q4911" i="5"/>
  <c r="E4911" i="5"/>
  <c r="P4911" i="5" s="1"/>
  <c r="D4911" i="5"/>
  <c r="U4911" i="5" s="1"/>
  <c r="T4811" i="5"/>
  <c r="S4811" i="5"/>
  <c r="R4811" i="5"/>
  <c r="Q4811" i="5"/>
  <c r="U810" i="5"/>
  <c r="T810" i="5"/>
  <c r="S810" i="5"/>
  <c r="I810" i="5"/>
  <c r="R810" i="5" s="1"/>
  <c r="H810" i="5"/>
  <c r="G810" i="5"/>
  <c r="Q810" i="5" s="1"/>
  <c r="F810" i="5"/>
  <c r="E810" i="5"/>
  <c r="P810" i="5" s="1"/>
  <c r="D810" i="5"/>
  <c r="U747" i="5"/>
  <c r="T747" i="5"/>
  <c r="S747" i="5"/>
  <c r="I747" i="5"/>
  <c r="R747" i="5" s="1"/>
  <c r="H747" i="5"/>
  <c r="G747" i="5"/>
  <c r="Q747" i="5" s="1"/>
  <c r="F747" i="5"/>
  <c r="E747" i="5"/>
  <c r="P747" i="5" s="1"/>
  <c r="D747" i="5"/>
  <c r="U746" i="5"/>
  <c r="T746" i="5"/>
  <c r="S746" i="5"/>
  <c r="I746" i="5"/>
  <c r="R746" i="5" s="1"/>
  <c r="H746" i="5"/>
  <c r="G746" i="5"/>
  <c r="Q746" i="5" s="1"/>
  <c r="F746" i="5"/>
  <c r="E746" i="5"/>
  <c r="P746" i="5" s="1"/>
  <c r="D746" i="5"/>
  <c r="U745" i="5"/>
  <c r="T745" i="5"/>
  <c r="S745" i="5"/>
  <c r="I745" i="5"/>
  <c r="R745" i="5" s="1"/>
  <c r="H745" i="5"/>
  <c r="G745" i="5"/>
  <c r="Q745" i="5" s="1"/>
  <c r="F745" i="5"/>
  <c r="E745" i="5"/>
  <c r="P745" i="5" s="1"/>
  <c r="D745" i="5"/>
  <c r="U744" i="5"/>
  <c r="T744" i="5"/>
  <c r="S744" i="5"/>
  <c r="I744" i="5"/>
  <c r="R744" i="5" s="1"/>
  <c r="H744" i="5"/>
  <c r="G744" i="5"/>
  <c r="Q744" i="5" s="1"/>
  <c r="F744" i="5"/>
  <c r="E744" i="5"/>
  <c r="P744" i="5" s="1"/>
  <c r="D744" i="5"/>
  <c r="U5210" i="5"/>
  <c r="T5210" i="5"/>
  <c r="S5210" i="5"/>
  <c r="R5210" i="5"/>
  <c r="Q5210" i="5"/>
  <c r="P5210" i="5"/>
  <c r="U5110" i="5"/>
  <c r="T5110" i="5"/>
  <c r="S5110" i="5"/>
  <c r="R5110" i="5"/>
  <c r="Q5110" i="5"/>
  <c r="P5110" i="5"/>
  <c r="U5010" i="5"/>
  <c r="T5010" i="5"/>
  <c r="S5010" i="5"/>
  <c r="R5010" i="5"/>
  <c r="Q5010" i="5"/>
  <c r="P5010" i="5"/>
  <c r="U4910" i="5"/>
  <c r="T4910" i="5"/>
  <c r="S4910" i="5"/>
  <c r="R4910" i="5"/>
  <c r="Q4910" i="5"/>
  <c r="P4910" i="5"/>
  <c r="U4810" i="5"/>
  <c r="T4810" i="5"/>
  <c r="S4810" i="5"/>
  <c r="R4810" i="5"/>
  <c r="Q4810" i="5"/>
  <c r="P4810" i="5"/>
  <c r="U5209" i="5"/>
  <c r="T5209" i="5"/>
  <c r="S5209" i="5"/>
  <c r="R5209" i="5"/>
  <c r="Q5209" i="5"/>
  <c r="P5209" i="5"/>
  <c r="U5109" i="5"/>
  <c r="T5109" i="5"/>
  <c r="S5109" i="5"/>
  <c r="R5109" i="5"/>
  <c r="Q5109" i="5"/>
  <c r="P5109" i="5"/>
  <c r="U5009" i="5"/>
  <c r="T5009" i="5"/>
  <c r="S5009" i="5"/>
  <c r="R5009" i="5"/>
  <c r="Q5009" i="5"/>
  <c r="P5009" i="5"/>
  <c r="U4909" i="5"/>
  <c r="T4909" i="5"/>
  <c r="S4909" i="5"/>
  <c r="R4909" i="5"/>
  <c r="Q4909" i="5"/>
  <c r="P4909" i="5"/>
  <c r="U4809" i="5"/>
  <c r="T4809" i="5"/>
  <c r="S4809" i="5"/>
  <c r="R4809" i="5"/>
  <c r="Q4809" i="5"/>
  <c r="P4809" i="5"/>
  <c r="U5208" i="5"/>
  <c r="T5208" i="5"/>
  <c r="S5208" i="5"/>
  <c r="R5208" i="5"/>
  <c r="Q5208" i="5"/>
  <c r="P5208" i="5"/>
  <c r="U5108" i="5"/>
  <c r="T5108" i="5"/>
  <c r="S5108" i="5"/>
  <c r="R5108" i="5"/>
  <c r="Q5108" i="5"/>
  <c r="P5108" i="5"/>
  <c r="U5008" i="5"/>
  <c r="T5008" i="5"/>
  <c r="S5008" i="5"/>
  <c r="R5008" i="5"/>
  <c r="Q5008" i="5"/>
  <c r="P5008" i="5"/>
  <c r="U4908" i="5"/>
  <c r="T4908" i="5"/>
  <c r="S4908" i="5"/>
  <c r="R4908" i="5"/>
  <c r="Q4908" i="5"/>
  <c r="P4908" i="5"/>
  <c r="U4808" i="5"/>
  <c r="T4808" i="5"/>
  <c r="S4808" i="5"/>
  <c r="R4808" i="5"/>
  <c r="Q4808" i="5"/>
  <c r="P4808" i="5"/>
  <c r="U5207" i="5"/>
  <c r="T5207" i="5"/>
  <c r="S5207" i="5"/>
  <c r="R5207" i="5"/>
  <c r="Q5207" i="5"/>
  <c r="P5207" i="5"/>
  <c r="U5107" i="5"/>
  <c r="T5107" i="5"/>
  <c r="S5107" i="5"/>
  <c r="R5107" i="5"/>
  <c r="Q5107" i="5"/>
  <c r="P5107" i="5"/>
  <c r="U5007" i="5"/>
  <c r="T5007" i="5"/>
  <c r="S5007" i="5"/>
  <c r="R5007" i="5"/>
  <c r="Q5007" i="5"/>
  <c r="P5007" i="5"/>
  <c r="U4907" i="5"/>
  <c r="T4907" i="5"/>
  <c r="S4907" i="5"/>
  <c r="R4907" i="5"/>
  <c r="Q4907" i="5"/>
  <c r="P4907" i="5"/>
  <c r="U4807" i="5"/>
  <c r="T4807" i="5"/>
  <c r="S4807" i="5"/>
  <c r="R4807" i="5"/>
  <c r="Q4807" i="5"/>
  <c r="P4807" i="5"/>
  <c r="U5206" i="5"/>
  <c r="T5206" i="5"/>
  <c r="S5206" i="5"/>
  <c r="R5206" i="5"/>
  <c r="Q5206" i="5"/>
  <c r="P5206" i="5"/>
  <c r="U5106" i="5"/>
  <c r="T5106" i="5"/>
  <c r="S5106" i="5"/>
  <c r="R5106" i="5"/>
  <c r="Q5106" i="5"/>
  <c r="P5106" i="5"/>
  <c r="U5006" i="5"/>
  <c r="T5006" i="5"/>
  <c r="S5006" i="5"/>
  <c r="R5006" i="5"/>
  <c r="Q5006" i="5"/>
  <c r="P5006" i="5"/>
  <c r="U4906" i="5"/>
  <c r="T4906" i="5"/>
  <c r="S4906" i="5"/>
  <c r="R4906" i="5"/>
  <c r="Q4906" i="5"/>
  <c r="P4906" i="5"/>
  <c r="U4806" i="5"/>
  <c r="T4806" i="5"/>
  <c r="S4806" i="5"/>
  <c r="R4806" i="5"/>
  <c r="Q4806" i="5"/>
  <c r="P4806" i="5"/>
  <c r="U5205" i="5"/>
  <c r="T5205" i="5"/>
  <c r="S5205" i="5"/>
  <c r="R5205" i="5"/>
  <c r="Q5205" i="5"/>
  <c r="P5205" i="5"/>
  <c r="U5105" i="5"/>
  <c r="T5105" i="5"/>
  <c r="S5105" i="5"/>
  <c r="R5105" i="5"/>
  <c r="Q5105" i="5"/>
  <c r="P5105" i="5"/>
  <c r="U5005" i="5"/>
  <c r="T5005" i="5"/>
  <c r="S5005" i="5"/>
  <c r="R5005" i="5"/>
  <c r="Q5005" i="5"/>
  <c r="P5005" i="5"/>
  <c r="U4905" i="5"/>
  <c r="T4905" i="5"/>
  <c r="S4905" i="5"/>
  <c r="R4905" i="5"/>
  <c r="Q4905" i="5"/>
  <c r="P4905" i="5"/>
  <c r="U4805" i="5"/>
  <c r="T4805" i="5"/>
  <c r="S4805" i="5"/>
  <c r="R4805" i="5"/>
  <c r="Q4805" i="5"/>
  <c r="P4805" i="5"/>
  <c r="U5204" i="5"/>
  <c r="T5204" i="5"/>
  <c r="S5204" i="5"/>
  <c r="R5204" i="5"/>
  <c r="Q5204" i="5"/>
  <c r="P5204" i="5"/>
  <c r="U5104" i="5"/>
  <c r="T5104" i="5"/>
  <c r="S5104" i="5"/>
  <c r="R5104" i="5"/>
  <c r="Q5104" i="5"/>
  <c r="P5104" i="5"/>
  <c r="U5004" i="5"/>
  <c r="T5004" i="5"/>
  <c r="S5004" i="5"/>
  <c r="R5004" i="5"/>
  <c r="Q5004" i="5"/>
  <c r="P5004" i="5"/>
  <c r="U4904" i="5"/>
  <c r="T4904" i="5"/>
  <c r="S4904" i="5"/>
  <c r="R4904" i="5"/>
  <c r="Q4904" i="5"/>
  <c r="P4904" i="5"/>
  <c r="U4804" i="5"/>
  <c r="T4804" i="5"/>
  <c r="S4804" i="5"/>
  <c r="R4804" i="5"/>
  <c r="Q4804" i="5"/>
  <c r="P4804" i="5"/>
  <c r="U5203" i="5"/>
  <c r="T5203" i="5"/>
  <c r="S5203" i="5"/>
  <c r="R5203" i="5"/>
  <c r="Q5203" i="5"/>
  <c r="P5203" i="5"/>
  <c r="U5103" i="5"/>
  <c r="T5103" i="5"/>
  <c r="S5103" i="5"/>
  <c r="R5103" i="5"/>
  <c r="Q5103" i="5"/>
  <c r="P5103" i="5"/>
  <c r="U5003" i="5"/>
  <c r="T5003" i="5"/>
  <c r="S5003" i="5"/>
  <c r="R5003" i="5"/>
  <c r="Q5003" i="5"/>
  <c r="P5003" i="5"/>
  <c r="U4903" i="5"/>
  <c r="T4903" i="5"/>
  <c r="S4903" i="5"/>
  <c r="R4903" i="5"/>
  <c r="Q4903" i="5"/>
  <c r="P4903" i="5"/>
  <c r="U4803" i="5"/>
  <c r="T4803" i="5"/>
  <c r="S4803" i="5"/>
  <c r="R4803" i="5"/>
  <c r="Q4803" i="5"/>
  <c r="P4803" i="5"/>
  <c r="U5202" i="5"/>
  <c r="T5202" i="5"/>
  <c r="S5202" i="5"/>
  <c r="R5202" i="5"/>
  <c r="Q5202" i="5"/>
  <c r="P5202" i="5"/>
  <c r="U5102" i="5"/>
  <c r="T5102" i="5"/>
  <c r="S5102" i="5"/>
  <c r="R5102" i="5"/>
  <c r="Q5102" i="5"/>
  <c r="P5102" i="5"/>
  <c r="U5002" i="5"/>
  <c r="T5002" i="5"/>
  <c r="S5002" i="5"/>
  <c r="R5002" i="5"/>
  <c r="Q5002" i="5"/>
  <c r="P5002" i="5"/>
  <c r="U4902" i="5"/>
  <c r="T4902" i="5"/>
  <c r="S4902" i="5"/>
  <c r="R4902" i="5"/>
  <c r="Q4902" i="5"/>
  <c r="P4902" i="5"/>
  <c r="U4802" i="5"/>
  <c r="T4802" i="5"/>
  <c r="S4802" i="5"/>
  <c r="R4802" i="5"/>
  <c r="Q4802" i="5"/>
  <c r="P4802" i="5"/>
  <c r="U5201" i="5"/>
  <c r="T5201" i="5"/>
  <c r="S5201" i="5"/>
  <c r="R5201" i="5"/>
  <c r="Q5201" i="5"/>
  <c r="P5201" i="5"/>
  <c r="U5101" i="5"/>
  <c r="T5101" i="5"/>
  <c r="S5101" i="5"/>
  <c r="R5101" i="5"/>
  <c r="Q5101" i="5"/>
  <c r="P5101" i="5"/>
  <c r="U5001" i="5"/>
  <c r="T5001" i="5"/>
  <c r="S5001" i="5"/>
  <c r="R5001" i="5"/>
  <c r="Q5001" i="5"/>
  <c r="P5001" i="5"/>
  <c r="U4901" i="5"/>
  <c r="T4901" i="5"/>
  <c r="S4901" i="5"/>
  <c r="R4901" i="5"/>
  <c r="Q4901" i="5"/>
  <c r="P4901" i="5"/>
  <c r="U4801" i="5"/>
  <c r="T4801" i="5"/>
  <c r="S4801" i="5"/>
  <c r="R4801" i="5"/>
  <c r="Q4801" i="5"/>
  <c r="P4801" i="5"/>
  <c r="U5200" i="5"/>
  <c r="T5200" i="5"/>
  <c r="S5200" i="5"/>
  <c r="R5200" i="5"/>
  <c r="Q5200" i="5"/>
  <c r="P5200" i="5"/>
  <c r="U5100" i="5"/>
  <c r="T5100" i="5"/>
  <c r="S5100" i="5"/>
  <c r="R5100" i="5"/>
  <c r="Q5100" i="5"/>
  <c r="P5100" i="5"/>
  <c r="U5000" i="5"/>
  <c r="T5000" i="5"/>
  <c r="S5000" i="5"/>
  <c r="R5000" i="5"/>
  <c r="Q5000" i="5"/>
  <c r="P5000" i="5"/>
  <c r="U4900" i="5"/>
  <c r="T4900" i="5"/>
  <c r="S4900" i="5"/>
  <c r="R4900" i="5"/>
  <c r="Q4900" i="5"/>
  <c r="P4900" i="5"/>
  <c r="U4800" i="5"/>
  <c r="T4800" i="5"/>
  <c r="S4800" i="5"/>
  <c r="R4800" i="5"/>
  <c r="Q4800" i="5"/>
  <c r="P4800" i="5"/>
  <c r="U5199" i="5"/>
  <c r="T5199" i="5"/>
  <c r="S5199" i="5"/>
  <c r="R5199" i="5"/>
  <c r="Q5199" i="5"/>
  <c r="P5199" i="5"/>
  <c r="U5099" i="5"/>
  <c r="T5099" i="5"/>
  <c r="S5099" i="5"/>
  <c r="R5099" i="5"/>
  <c r="Q5099" i="5"/>
  <c r="P5099" i="5"/>
  <c r="U4999" i="5"/>
  <c r="T4999" i="5"/>
  <c r="S4999" i="5"/>
  <c r="R4999" i="5"/>
  <c r="Q4999" i="5"/>
  <c r="P4999" i="5"/>
  <c r="U4899" i="5"/>
  <c r="T4899" i="5"/>
  <c r="S4899" i="5"/>
  <c r="R4899" i="5"/>
  <c r="Q4899" i="5"/>
  <c r="P4899" i="5"/>
  <c r="U4799" i="5"/>
  <c r="T4799" i="5"/>
  <c r="S4799" i="5"/>
  <c r="R4799" i="5"/>
  <c r="Q4799" i="5"/>
  <c r="P4799" i="5"/>
  <c r="U5198" i="5"/>
  <c r="T5198" i="5"/>
  <c r="S5198" i="5"/>
  <c r="R5198" i="5"/>
  <c r="Q5198" i="5"/>
  <c r="P5198" i="5"/>
  <c r="U5098" i="5"/>
  <c r="T5098" i="5"/>
  <c r="S5098" i="5"/>
  <c r="R5098" i="5"/>
  <c r="Q5098" i="5"/>
  <c r="P5098" i="5"/>
  <c r="U4998" i="5"/>
  <c r="T4998" i="5"/>
  <c r="S4998" i="5"/>
  <c r="R4998" i="5"/>
  <c r="Q4998" i="5"/>
  <c r="P4998" i="5"/>
  <c r="U4898" i="5"/>
  <c r="T4898" i="5"/>
  <c r="S4898" i="5"/>
  <c r="R4898" i="5"/>
  <c r="Q4898" i="5"/>
  <c r="P4898" i="5"/>
  <c r="U4798" i="5"/>
  <c r="T4798" i="5"/>
  <c r="S4798" i="5"/>
  <c r="R4798" i="5"/>
  <c r="Q4798" i="5"/>
  <c r="P4798" i="5"/>
  <c r="U5197" i="5"/>
  <c r="T5197" i="5"/>
  <c r="S5197" i="5"/>
  <c r="R5197" i="5"/>
  <c r="Q5197" i="5"/>
  <c r="P5197" i="5"/>
  <c r="U5097" i="5"/>
  <c r="T5097" i="5"/>
  <c r="S5097" i="5"/>
  <c r="R5097" i="5"/>
  <c r="Q5097" i="5"/>
  <c r="P5097" i="5"/>
  <c r="U4997" i="5"/>
  <c r="T4997" i="5"/>
  <c r="S4997" i="5"/>
  <c r="R4997" i="5"/>
  <c r="Q4997" i="5"/>
  <c r="P4997" i="5"/>
  <c r="U4897" i="5"/>
  <c r="T4897" i="5"/>
  <c r="S4897" i="5"/>
  <c r="R4897" i="5"/>
  <c r="Q4897" i="5"/>
  <c r="P4897" i="5"/>
  <c r="U4797" i="5"/>
  <c r="T4797" i="5"/>
  <c r="S4797" i="5"/>
  <c r="R4797" i="5"/>
  <c r="Q4797" i="5"/>
  <c r="P4797" i="5"/>
  <c r="U733" i="5"/>
  <c r="T733" i="5"/>
  <c r="S733" i="5"/>
  <c r="I733" i="5"/>
  <c r="R733" i="5" s="1"/>
  <c r="H733" i="5"/>
  <c r="G733" i="5"/>
  <c r="Q733" i="5" s="1"/>
  <c r="F733" i="5"/>
  <c r="E733" i="5"/>
  <c r="P733" i="5" s="1"/>
  <c r="D733" i="5"/>
  <c r="T2426" i="5"/>
  <c r="S2426" i="5"/>
  <c r="I2426" i="5"/>
  <c r="R2426" i="5" s="1"/>
  <c r="H2426" i="5"/>
  <c r="G2426" i="5"/>
  <c r="Q2426" i="5" s="1"/>
  <c r="F2426" i="5"/>
  <c r="E2426" i="5"/>
  <c r="P2426" i="5" s="1"/>
  <c r="D2426" i="5"/>
  <c r="U2426" i="5" s="1"/>
  <c r="U2425" i="5"/>
  <c r="T2425" i="5"/>
  <c r="S2425" i="5"/>
  <c r="O2425" i="5"/>
  <c r="N2425" i="5"/>
  <c r="I2425" i="5"/>
  <c r="R2425" i="5" s="1"/>
  <c r="H2425" i="5"/>
  <c r="G2425" i="5"/>
  <c r="Q2425" i="5" s="1"/>
  <c r="F2425" i="5"/>
  <c r="E2425" i="5"/>
  <c r="P2425" i="5" s="1"/>
  <c r="D2425" i="5"/>
  <c r="U2424" i="5"/>
  <c r="T2424" i="5"/>
  <c r="S2424" i="5"/>
  <c r="I2424" i="5"/>
  <c r="R2424" i="5" s="1"/>
  <c r="H2424" i="5"/>
  <c r="G2424" i="5"/>
  <c r="Q2424" i="5" s="1"/>
  <c r="F2424" i="5"/>
  <c r="E2424" i="5"/>
  <c r="P2424" i="5" s="1"/>
  <c r="D2424" i="5"/>
  <c r="U2423" i="5"/>
  <c r="T2423" i="5"/>
  <c r="S2423" i="5"/>
  <c r="I2423" i="5"/>
  <c r="R2423" i="5" s="1"/>
  <c r="H2423" i="5"/>
  <c r="G2423" i="5"/>
  <c r="Q2423" i="5" s="1"/>
  <c r="F2423" i="5"/>
  <c r="E2423" i="5"/>
  <c r="P2423" i="5" s="1"/>
  <c r="D2423" i="5"/>
  <c r="U2422" i="5"/>
  <c r="T2422" i="5"/>
  <c r="S2422" i="5"/>
  <c r="I2422" i="5"/>
  <c r="R2422" i="5" s="1"/>
  <c r="H2422" i="5"/>
  <c r="G2422" i="5"/>
  <c r="Q2422" i="5" s="1"/>
  <c r="F2422" i="5"/>
  <c r="E2422" i="5"/>
  <c r="P2422" i="5" s="1"/>
  <c r="D2422" i="5"/>
  <c r="U2421" i="5"/>
  <c r="T2421" i="5"/>
  <c r="S2421" i="5"/>
  <c r="I2421" i="5"/>
  <c r="R2421" i="5" s="1"/>
  <c r="H2421" i="5"/>
  <c r="G2421" i="5"/>
  <c r="Q2421" i="5" s="1"/>
  <c r="F2421" i="5"/>
  <c r="E2421" i="5"/>
  <c r="P2421" i="5" s="1"/>
  <c r="D2421" i="5"/>
  <c r="T2420" i="5"/>
  <c r="S2420" i="5"/>
  <c r="I2420" i="5"/>
  <c r="R2420" i="5" s="1"/>
  <c r="H2420" i="5"/>
  <c r="G2420" i="5"/>
  <c r="Q2420" i="5" s="1"/>
  <c r="F2420" i="5"/>
  <c r="E2420" i="5"/>
  <c r="P2420" i="5" s="1"/>
  <c r="D2420" i="5"/>
  <c r="U2420" i="5" s="1"/>
  <c r="U2419" i="5"/>
  <c r="T2419" i="5"/>
  <c r="S2419" i="5"/>
  <c r="I2419" i="5"/>
  <c r="R2419" i="5" s="1"/>
  <c r="H2419" i="5"/>
  <c r="G2419" i="5"/>
  <c r="Q2419" i="5" s="1"/>
  <c r="F2419" i="5"/>
  <c r="E2419" i="5"/>
  <c r="P2419" i="5" s="1"/>
  <c r="D2419" i="5"/>
  <c r="U2418" i="5"/>
  <c r="T2418" i="5"/>
  <c r="S2418" i="5"/>
  <c r="O2418" i="5"/>
  <c r="N2418" i="5"/>
  <c r="I2418" i="5"/>
  <c r="R2418" i="5" s="1"/>
  <c r="H2418" i="5"/>
  <c r="G2418" i="5"/>
  <c r="Q2418" i="5" s="1"/>
  <c r="F2418" i="5"/>
  <c r="E2418" i="5"/>
  <c r="P2418" i="5" s="1"/>
  <c r="D2418" i="5"/>
  <c r="U2417" i="5"/>
  <c r="T2417" i="5"/>
  <c r="S2417" i="5"/>
  <c r="I2417" i="5"/>
  <c r="R2417" i="5" s="1"/>
  <c r="H2417" i="5"/>
  <c r="G2417" i="5"/>
  <c r="Q2417" i="5" s="1"/>
  <c r="F2417" i="5"/>
  <c r="E2417" i="5"/>
  <c r="P2417" i="5" s="1"/>
  <c r="D2417" i="5"/>
  <c r="U2416" i="5"/>
  <c r="T2416" i="5"/>
  <c r="S2416" i="5"/>
  <c r="O2416" i="5"/>
  <c r="N2416" i="5"/>
  <c r="I2416" i="5"/>
  <c r="R2416" i="5" s="1"/>
  <c r="H2416" i="5"/>
  <c r="G2416" i="5"/>
  <c r="Q2416" i="5" s="1"/>
  <c r="F2416" i="5"/>
  <c r="E2416" i="5"/>
  <c r="P2416" i="5" s="1"/>
  <c r="D2416" i="5"/>
  <c r="U2415" i="5"/>
  <c r="T2415" i="5"/>
  <c r="S2415" i="5"/>
  <c r="I2415" i="5"/>
  <c r="R2415" i="5" s="1"/>
  <c r="H2415" i="5"/>
  <c r="G2415" i="5"/>
  <c r="Q2415" i="5" s="1"/>
  <c r="F2415" i="5"/>
  <c r="E2415" i="5"/>
  <c r="P2415" i="5" s="1"/>
  <c r="D2415" i="5"/>
  <c r="U2414" i="5"/>
  <c r="T2414" i="5"/>
  <c r="S2414" i="5"/>
  <c r="O2414" i="5"/>
  <c r="N2414" i="5"/>
  <c r="I2414" i="5"/>
  <c r="R2414" i="5" s="1"/>
  <c r="H2414" i="5"/>
  <c r="G2414" i="5"/>
  <c r="Q2414" i="5" s="1"/>
  <c r="F2414" i="5"/>
  <c r="E2414" i="5"/>
  <c r="P2414" i="5" s="1"/>
  <c r="D2414" i="5"/>
  <c r="U2413" i="5"/>
  <c r="T2413" i="5"/>
  <c r="S2413" i="5"/>
  <c r="O2413" i="5"/>
  <c r="N2413" i="5"/>
  <c r="I2413" i="5"/>
  <c r="R2413" i="5" s="1"/>
  <c r="H2413" i="5"/>
  <c r="G2413" i="5"/>
  <c r="Q2413" i="5" s="1"/>
  <c r="F2413" i="5"/>
  <c r="E2413" i="5"/>
  <c r="P2413" i="5" s="1"/>
  <c r="D2413" i="5"/>
  <c r="U722" i="5"/>
  <c r="T722" i="5"/>
  <c r="S722" i="5"/>
  <c r="I722" i="5"/>
  <c r="R722" i="5" s="1"/>
  <c r="H722" i="5"/>
  <c r="G722" i="5"/>
  <c r="Q722" i="5" s="1"/>
  <c r="F722" i="5"/>
  <c r="E722" i="5"/>
  <c r="P722" i="5" s="1"/>
  <c r="D722" i="5"/>
  <c r="T2412" i="5"/>
  <c r="S2412" i="5"/>
  <c r="I2412" i="5"/>
  <c r="R2412" i="5" s="1"/>
  <c r="H2412" i="5"/>
  <c r="G2412" i="5"/>
  <c r="Q2412" i="5" s="1"/>
  <c r="F2412" i="5"/>
  <c r="E2412" i="5"/>
  <c r="P2412" i="5" s="1"/>
  <c r="D2412" i="5"/>
  <c r="U2412" i="5" s="1"/>
  <c r="U2411" i="5"/>
  <c r="T2411" i="5"/>
  <c r="S2411" i="5"/>
  <c r="I2411" i="5"/>
  <c r="R2411" i="5" s="1"/>
  <c r="H2411" i="5"/>
  <c r="G2411" i="5"/>
  <c r="Q2411" i="5" s="1"/>
  <c r="F2411" i="5"/>
  <c r="E2411" i="5"/>
  <c r="P2411" i="5" s="1"/>
  <c r="D2411" i="5"/>
  <c r="U2410" i="5"/>
  <c r="T2410" i="5"/>
  <c r="S2410" i="5"/>
  <c r="I2410" i="5"/>
  <c r="R2410" i="5" s="1"/>
  <c r="H2410" i="5"/>
  <c r="G2410" i="5"/>
  <c r="Q2410" i="5" s="1"/>
  <c r="F2410" i="5"/>
  <c r="E2410" i="5"/>
  <c r="P2410" i="5" s="1"/>
  <c r="D2410" i="5"/>
  <c r="U2409" i="5"/>
  <c r="T2409" i="5"/>
  <c r="S2409" i="5"/>
  <c r="I2409" i="5"/>
  <c r="R2409" i="5" s="1"/>
  <c r="H2409" i="5"/>
  <c r="G2409" i="5"/>
  <c r="Q2409" i="5" s="1"/>
  <c r="F2409" i="5"/>
  <c r="E2409" i="5"/>
  <c r="D2409" i="5"/>
  <c r="U2408" i="5"/>
  <c r="T2408" i="5"/>
  <c r="S2408" i="5"/>
  <c r="I2408" i="5"/>
  <c r="R2408" i="5" s="1"/>
  <c r="H2408" i="5"/>
  <c r="G2408" i="5"/>
  <c r="Q2408" i="5" s="1"/>
  <c r="F2408" i="5"/>
  <c r="E2408" i="5"/>
  <c r="P2408" i="5" s="1"/>
  <c r="D2408" i="5"/>
  <c r="U2407" i="5"/>
  <c r="T2407" i="5"/>
  <c r="S2407" i="5"/>
  <c r="I2407" i="5"/>
  <c r="R2407" i="5" s="1"/>
  <c r="H2407" i="5"/>
  <c r="G2407" i="5"/>
  <c r="Q2407" i="5" s="1"/>
  <c r="F2407" i="5"/>
  <c r="E2407" i="5"/>
  <c r="P2407" i="5" s="1"/>
  <c r="D2407" i="5"/>
  <c r="T2406" i="5"/>
  <c r="S2406" i="5"/>
  <c r="I2406" i="5"/>
  <c r="R2406" i="5" s="1"/>
  <c r="H2406" i="5"/>
  <c r="G2406" i="5"/>
  <c r="Q2406" i="5" s="1"/>
  <c r="F2406" i="5"/>
  <c r="E2406" i="5"/>
  <c r="P2406" i="5" s="1"/>
  <c r="D2406" i="5"/>
  <c r="U2406" i="5" s="1"/>
  <c r="U2405" i="5"/>
  <c r="T2405" i="5"/>
  <c r="S2405" i="5"/>
  <c r="I2405" i="5"/>
  <c r="R2405" i="5" s="1"/>
  <c r="H2405" i="5"/>
  <c r="G2405" i="5"/>
  <c r="Q2405" i="5" s="1"/>
  <c r="F2405" i="5"/>
  <c r="E2405" i="5"/>
  <c r="P2405" i="5" s="1"/>
  <c r="D2405" i="5"/>
  <c r="U2404" i="5"/>
  <c r="T2404" i="5"/>
  <c r="S2404" i="5"/>
  <c r="I2404" i="5"/>
  <c r="R2404" i="5" s="1"/>
  <c r="H2404" i="5"/>
  <c r="G2404" i="5"/>
  <c r="Q2404" i="5" s="1"/>
  <c r="F2404" i="5"/>
  <c r="E2404" i="5"/>
  <c r="P2404" i="5" s="1"/>
  <c r="D2404" i="5"/>
  <c r="U2403" i="5"/>
  <c r="T2403" i="5"/>
  <c r="S2403" i="5"/>
  <c r="I2403" i="5"/>
  <c r="R2403" i="5" s="1"/>
  <c r="H2403" i="5"/>
  <c r="G2403" i="5"/>
  <c r="Q2403" i="5" s="1"/>
  <c r="F2403" i="5"/>
  <c r="E2403" i="5"/>
  <c r="D2403" i="5"/>
  <c r="D3395" i="5" s="1"/>
  <c r="U3395" i="5" s="1"/>
  <c r="U2402" i="5"/>
  <c r="T2402" i="5"/>
  <c r="S2402" i="5"/>
  <c r="I2402" i="5"/>
  <c r="R2402" i="5" s="1"/>
  <c r="H2402" i="5"/>
  <c r="G2402" i="5"/>
  <c r="Q2402" i="5" s="1"/>
  <c r="F2402" i="5"/>
  <c r="E2402" i="5"/>
  <c r="D2402" i="5"/>
  <c r="D3394" i="5" s="1"/>
  <c r="D3606" i="5" s="1"/>
  <c r="U3606" i="5" s="1"/>
  <c r="U2401" i="5"/>
  <c r="T2401" i="5"/>
  <c r="S2401" i="5"/>
  <c r="I2401" i="5"/>
  <c r="R2401" i="5" s="1"/>
  <c r="H2401" i="5"/>
  <c r="G2401" i="5"/>
  <c r="Q2401" i="5" s="1"/>
  <c r="F2401" i="5"/>
  <c r="E2401" i="5"/>
  <c r="D2401" i="5"/>
  <c r="D3393" i="5" s="1"/>
  <c r="U2400" i="5"/>
  <c r="T2400" i="5"/>
  <c r="S2400" i="5"/>
  <c r="I2400" i="5"/>
  <c r="R2400" i="5" s="1"/>
  <c r="H2400" i="5"/>
  <c r="G2400" i="5"/>
  <c r="Q2400" i="5" s="1"/>
  <c r="F2400" i="5"/>
  <c r="E2400" i="5"/>
  <c r="D2400" i="5"/>
  <c r="D3392" i="5" s="1"/>
  <c r="U2399" i="5"/>
  <c r="T2399" i="5"/>
  <c r="S2399" i="5"/>
  <c r="I2399" i="5"/>
  <c r="R2399" i="5" s="1"/>
  <c r="H2399" i="5"/>
  <c r="G2399" i="5"/>
  <c r="Q2399" i="5" s="1"/>
  <c r="F2399" i="5"/>
  <c r="E2399" i="5"/>
  <c r="D2399" i="5"/>
  <c r="D3391" i="5" s="1"/>
  <c r="U711" i="5"/>
  <c r="T711" i="5"/>
  <c r="S711" i="5"/>
  <c r="I711" i="5"/>
  <c r="R711" i="5" s="1"/>
  <c r="H711" i="5"/>
  <c r="G711" i="5"/>
  <c r="Q711" i="5" s="1"/>
  <c r="F711" i="5"/>
  <c r="E711" i="5"/>
  <c r="P711" i="5" s="1"/>
  <c r="D711" i="5"/>
  <c r="T2398" i="5"/>
  <c r="S2398" i="5"/>
  <c r="I2398" i="5"/>
  <c r="R2398" i="5" s="1"/>
  <c r="H2398" i="5"/>
  <c r="G2398" i="5"/>
  <c r="Q2398" i="5" s="1"/>
  <c r="F2398" i="5"/>
  <c r="E2398" i="5"/>
  <c r="D2398" i="5"/>
  <c r="U2397" i="5"/>
  <c r="T2397" i="5"/>
  <c r="S2397" i="5"/>
  <c r="I2397" i="5"/>
  <c r="R2397" i="5" s="1"/>
  <c r="H2397" i="5"/>
  <c r="G2397" i="5"/>
  <c r="Q2397" i="5" s="1"/>
  <c r="F2397" i="5"/>
  <c r="E2397" i="5"/>
  <c r="D2397" i="5"/>
  <c r="D3389" i="5" s="1"/>
  <c r="U2396" i="5"/>
  <c r="T2396" i="5"/>
  <c r="S2396" i="5"/>
  <c r="I2396" i="5"/>
  <c r="R2396" i="5" s="1"/>
  <c r="H2396" i="5"/>
  <c r="G2396" i="5"/>
  <c r="Q2396" i="5" s="1"/>
  <c r="F2396" i="5"/>
  <c r="E2396" i="5"/>
  <c r="D2396" i="5"/>
  <c r="D3388" i="5" s="1"/>
  <c r="U2395" i="5"/>
  <c r="T2395" i="5"/>
  <c r="S2395" i="5"/>
  <c r="I2395" i="5"/>
  <c r="R2395" i="5" s="1"/>
  <c r="H2395" i="5"/>
  <c r="G2395" i="5"/>
  <c r="Q2395" i="5" s="1"/>
  <c r="F2395" i="5"/>
  <c r="E2395" i="5"/>
  <c r="D2395" i="5"/>
  <c r="D3387" i="5" s="1"/>
  <c r="U2394" i="5"/>
  <c r="T2394" i="5"/>
  <c r="S2394" i="5"/>
  <c r="I2394" i="5"/>
  <c r="R2394" i="5" s="1"/>
  <c r="H2394" i="5"/>
  <c r="G2394" i="5"/>
  <c r="Q2394" i="5" s="1"/>
  <c r="F2394" i="5"/>
  <c r="E2394" i="5"/>
  <c r="D2394" i="5"/>
  <c r="D3386" i="5" s="1"/>
  <c r="D3396" i="5" s="1"/>
  <c r="U3396" i="5" s="1"/>
  <c r="U2393" i="5"/>
  <c r="T2393" i="5"/>
  <c r="S2393" i="5"/>
  <c r="I2393" i="5"/>
  <c r="R2393" i="5" s="1"/>
  <c r="H2393" i="5"/>
  <c r="G2393" i="5"/>
  <c r="Q2393" i="5" s="1"/>
  <c r="F2393" i="5"/>
  <c r="E2393" i="5"/>
  <c r="D2393" i="5"/>
  <c r="D3385" i="5" s="1"/>
  <c r="T2392" i="5"/>
  <c r="S2392" i="5"/>
  <c r="I2392" i="5"/>
  <c r="R2392" i="5" s="1"/>
  <c r="H2392" i="5"/>
  <c r="G2392" i="5"/>
  <c r="Q2392" i="5" s="1"/>
  <c r="F2392" i="5"/>
  <c r="E2392" i="5"/>
  <c r="D2392" i="5"/>
  <c r="U2391" i="5"/>
  <c r="T2391" i="5"/>
  <c r="S2391" i="5"/>
  <c r="I2391" i="5"/>
  <c r="R2391" i="5" s="1"/>
  <c r="H2391" i="5"/>
  <c r="G2391" i="5"/>
  <c r="Q2391" i="5" s="1"/>
  <c r="F2391" i="5"/>
  <c r="E2391" i="5"/>
  <c r="D2391" i="5"/>
  <c r="D3383" i="5" s="1"/>
  <c r="U2390" i="5"/>
  <c r="T2390" i="5"/>
  <c r="S2390" i="5"/>
  <c r="I2390" i="5"/>
  <c r="R2390" i="5" s="1"/>
  <c r="H2390" i="5"/>
  <c r="G2390" i="5"/>
  <c r="Q2390" i="5" s="1"/>
  <c r="F2390" i="5"/>
  <c r="E2390" i="5"/>
  <c r="D2390" i="5"/>
  <c r="D3382" i="5" s="1"/>
  <c r="U2389" i="5"/>
  <c r="T2389" i="5"/>
  <c r="S2389" i="5"/>
  <c r="I2389" i="5"/>
  <c r="R2389" i="5" s="1"/>
  <c r="H2389" i="5"/>
  <c r="G2389" i="5"/>
  <c r="Q2389" i="5" s="1"/>
  <c r="F2389" i="5"/>
  <c r="E2389" i="5"/>
  <c r="P2389" i="5" s="1"/>
  <c r="D2389" i="5"/>
  <c r="U2388" i="5"/>
  <c r="T2388" i="5"/>
  <c r="S2388" i="5"/>
  <c r="I2388" i="5"/>
  <c r="R2388" i="5" s="1"/>
  <c r="H2388" i="5"/>
  <c r="G2388" i="5"/>
  <c r="Q2388" i="5" s="1"/>
  <c r="F2388" i="5"/>
  <c r="E2388" i="5"/>
  <c r="P2388" i="5" s="1"/>
  <c r="D2388" i="5"/>
  <c r="U2387" i="5"/>
  <c r="T2387" i="5"/>
  <c r="S2387" i="5"/>
  <c r="I2387" i="5"/>
  <c r="R2387" i="5" s="1"/>
  <c r="H2387" i="5"/>
  <c r="G2387" i="5"/>
  <c r="Q2387" i="5" s="1"/>
  <c r="F2387" i="5"/>
  <c r="E2387" i="5"/>
  <c r="P2387" i="5" s="1"/>
  <c r="D2387" i="5"/>
  <c r="U2386" i="5"/>
  <c r="T2386" i="5"/>
  <c r="S2386" i="5"/>
  <c r="I2386" i="5"/>
  <c r="R2386" i="5" s="1"/>
  <c r="H2386" i="5"/>
  <c r="G2386" i="5"/>
  <c r="Q2386" i="5" s="1"/>
  <c r="F2386" i="5"/>
  <c r="E2386" i="5"/>
  <c r="P2386" i="5" s="1"/>
  <c r="D2386" i="5"/>
  <c r="U2385" i="5"/>
  <c r="T2385" i="5"/>
  <c r="S2385" i="5"/>
  <c r="I2385" i="5"/>
  <c r="R2385" i="5" s="1"/>
  <c r="H2385" i="5"/>
  <c r="G2385" i="5"/>
  <c r="Q2385" i="5" s="1"/>
  <c r="F2385" i="5"/>
  <c r="E2385" i="5"/>
  <c r="P2385" i="5" s="1"/>
  <c r="D2385" i="5"/>
  <c r="U701" i="5"/>
  <c r="T701" i="5"/>
  <c r="S701" i="5"/>
  <c r="I701" i="5"/>
  <c r="R701" i="5" s="1"/>
  <c r="H701" i="5"/>
  <c r="G701" i="5"/>
  <c r="Q701" i="5" s="1"/>
  <c r="F701" i="5"/>
  <c r="E701" i="5"/>
  <c r="P701" i="5" s="1"/>
  <c r="D701" i="5"/>
  <c r="T2384" i="5"/>
  <c r="S2384" i="5"/>
  <c r="I2384" i="5"/>
  <c r="R2384" i="5" s="1"/>
  <c r="H2384" i="5"/>
  <c r="G2384" i="5"/>
  <c r="Q2384" i="5" s="1"/>
  <c r="F2384" i="5"/>
  <c r="E2384" i="5"/>
  <c r="P2384" i="5" s="1"/>
  <c r="D2384" i="5"/>
  <c r="U2384" i="5" s="1"/>
  <c r="U2383" i="5"/>
  <c r="T2383" i="5"/>
  <c r="S2383" i="5"/>
  <c r="I2383" i="5"/>
  <c r="R2383" i="5" s="1"/>
  <c r="H2383" i="5"/>
  <c r="G2383" i="5"/>
  <c r="Q2383" i="5" s="1"/>
  <c r="F2383" i="5"/>
  <c r="E2383" i="5"/>
  <c r="P2383" i="5" s="1"/>
  <c r="D2383" i="5"/>
  <c r="U2382" i="5"/>
  <c r="T2382" i="5"/>
  <c r="S2382" i="5"/>
  <c r="I2382" i="5"/>
  <c r="R2382" i="5" s="1"/>
  <c r="H2382" i="5"/>
  <c r="G2382" i="5"/>
  <c r="Q2382" i="5" s="1"/>
  <c r="F2382" i="5"/>
  <c r="E2382" i="5"/>
  <c r="P2382" i="5" s="1"/>
  <c r="D2382" i="5"/>
  <c r="U2381" i="5"/>
  <c r="T2381" i="5"/>
  <c r="S2381" i="5"/>
  <c r="I2381" i="5"/>
  <c r="R2381" i="5" s="1"/>
  <c r="H2381" i="5"/>
  <c r="G2381" i="5"/>
  <c r="Q2381" i="5" s="1"/>
  <c r="F2381" i="5"/>
  <c r="E2381" i="5"/>
  <c r="P2381" i="5" s="1"/>
  <c r="D2381" i="5"/>
  <c r="U2380" i="5"/>
  <c r="T2380" i="5"/>
  <c r="S2380" i="5"/>
  <c r="I2380" i="5"/>
  <c r="R2380" i="5" s="1"/>
  <c r="H2380" i="5"/>
  <c r="G2380" i="5"/>
  <c r="Q2380" i="5" s="1"/>
  <c r="F2380" i="5"/>
  <c r="E2380" i="5"/>
  <c r="P2380" i="5" s="1"/>
  <c r="D2380" i="5"/>
  <c r="U2379" i="5"/>
  <c r="T2379" i="5"/>
  <c r="S2379" i="5"/>
  <c r="I2379" i="5"/>
  <c r="R2379" i="5" s="1"/>
  <c r="H2379" i="5"/>
  <c r="G2379" i="5"/>
  <c r="Q2379" i="5" s="1"/>
  <c r="F2379" i="5"/>
  <c r="E2379" i="5"/>
  <c r="P2379" i="5" s="1"/>
  <c r="D2379" i="5"/>
  <c r="T2378" i="5"/>
  <c r="S2378" i="5"/>
  <c r="I2378" i="5"/>
  <c r="R2378" i="5" s="1"/>
  <c r="H2378" i="5"/>
  <c r="G2378" i="5"/>
  <c r="Q2378" i="5" s="1"/>
  <c r="F2378" i="5"/>
  <c r="E2378" i="5"/>
  <c r="P2378" i="5" s="1"/>
  <c r="D2378" i="5"/>
  <c r="U2378" i="5" s="1"/>
  <c r="U2377" i="5"/>
  <c r="T2377" i="5"/>
  <c r="S2377" i="5"/>
  <c r="I2377" i="5"/>
  <c r="R2377" i="5" s="1"/>
  <c r="H2377" i="5"/>
  <c r="G2377" i="5"/>
  <c r="Q2377" i="5" s="1"/>
  <c r="F2377" i="5"/>
  <c r="E2377" i="5"/>
  <c r="P2377" i="5" s="1"/>
  <c r="D2377" i="5"/>
  <c r="U2376" i="5"/>
  <c r="T2376" i="5"/>
  <c r="S2376" i="5"/>
  <c r="I2376" i="5"/>
  <c r="R2376" i="5" s="1"/>
  <c r="H2376" i="5"/>
  <c r="G2376" i="5"/>
  <c r="Q2376" i="5" s="1"/>
  <c r="F2376" i="5"/>
  <c r="E2376" i="5"/>
  <c r="P2376" i="5" s="1"/>
  <c r="D2376" i="5"/>
  <c r="U2375" i="5"/>
  <c r="T2375" i="5"/>
  <c r="S2375" i="5"/>
  <c r="I2375" i="5"/>
  <c r="R2375" i="5" s="1"/>
  <c r="H2375" i="5"/>
  <c r="G2375" i="5"/>
  <c r="Q2375" i="5" s="1"/>
  <c r="F2375" i="5"/>
  <c r="E2375" i="5"/>
  <c r="P2375" i="5" s="1"/>
  <c r="D2375" i="5"/>
  <c r="U2374" i="5"/>
  <c r="T2374" i="5"/>
  <c r="S2374" i="5"/>
  <c r="I2374" i="5"/>
  <c r="R2374" i="5" s="1"/>
  <c r="H2374" i="5"/>
  <c r="G2374" i="5"/>
  <c r="Q2374" i="5" s="1"/>
  <c r="F2374" i="5"/>
  <c r="E2374" i="5"/>
  <c r="P2374" i="5" s="1"/>
  <c r="D2374" i="5"/>
  <c r="U2373" i="5"/>
  <c r="T2373" i="5"/>
  <c r="S2373" i="5"/>
  <c r="I2373" i="5"/>
  <c r="R2373" i="5" s="1"/>
  <c r="H2373" i="5"/>
  <c r="G2373" i="5"/>
  <c r="Q2373" i="5" s="1"/>
  <c r="F2373" i="5"/>
  <c r="E2373" i="5"/>
  <c r="P2373" i="5" s="1"/>
  <c r="D2373" i="5"/>
  <c r="U2372" i="5"/>
  <c r="T2372" i="5"/>
  <c r="S2372" i="5"/>
  <c r="I2372" i="5"/>
  <c r="R2372" i="5" s="1"/>
  <c r="H2372" i="5"/>
  <c r="G2372" i="5"/>
  <c r="Q2372" i="5" s="1"/>
  <c r="F2372" i="5"/>
  <c r="E2372" i="5"/>
  <c r="P2372" i="5" s="1"/>
  <c r="D2372" i="5"/>
  <c r="U2371" i="5"/>
  <c r="T2371" i="5"/>
  <c r="S2371" i="5"/>
  <c r="I2371" i="5"/>
  <c r="R2371" i="5" s="1"/>
  <c r="H2371" i="5"/>
  <c r="G2371" i="5"/>
  <c r="Q2371" i="5" s="1"/>
  <c r="F2371" i="5"/>
  <c r="E2371" i="5"/>
  <c r="P2371" i="5" s="1"/>
  <c r="D2371" i="5"/>
  <c r="U691" i="5"/>
  <c r="T691" i="5"/>
  <c r="S691" i="5"/>
  <c r="I691" i="5"/>
  <c r="R691" i="5" s="1"/>
  <c r="H691" i="5"/>
  <c r="G691" i="5"/>
  <c r="Q691" i="5" s="1"/>
  <c r="F691" i="5"/>
  <c r="E691" i="5"/>
  <c r="P691" i="5" s="1"/>
  <c r="D691" i="5"/>
  <c r="T2363" i="5"/>
  <c r="S2363" i="5"/>
  <c r="I2363" i="5"/>
  <c r="R2363" i="5" s="1"/>
  <c r="H2363" i="5"/>
  <c r="G2363" i="5"/>
  <c r="Q2363" i="5" s="1"/>
  <c r="F2363" i="5"/>
  <c r="E2363" i="5"/>
  <c r="D2363" i="5"/>
  <c r="U2362" i="5"/>
  <c r="T2362" i="5"/>
  <c r="S2362" i="5"/>
  <c r="O2362" i="5"/>
  <c r="N2362" i="5"/>
  <c r="I2362" i="5"/>
  <c r="R2362" i="5" s="1"/>
  <c r="H2362" i="5"/>
  <c r="G2362" i="5"/>
  <c r="Q2362" i="5" s="1"/>
  <c r="F2362" i="5"/>
  <c r="E2362" i="5"/>
  <c r="D2362" i="5"/>
  <c r="D2602" i="5" s="1"/>
  <c r="U2602" i="5" s="1"/>
  <c r="U2361" i="5"/>
  <c r="T2361" i="5"/>
  <c r="S2361" i="5"/>
  <c r="I2361" i="5"/>
  <c r="R2361" i="5" s="1"/>
  <c r="H2361" i="5"/>
  <c r="G2361" i="5"/>
  <c r="Q2361" i="5" s="1"/>
  <c r="F2361" i="5"/>
  <c r="E2361" i="5"/>
  <c r="P2361" i="5" s="1"/>
  <c r="D2361" i="5"/>
  <c r="U2360" i="5"/>
  <c r="T2360" i="5"/>
  <c r="S2360" i="5"/>
  <c r="I2360" i="5"/>
  <c r="R2360" i="5" s="1"/>
  <c r="H2360" i="5"/>
  <c r="G2360" i="5"/>
  <c r="Q2360" i="5" s="1"/>
  <c r="F2360" i="5"/>
  <c r="E2360" i="5"/>
  <c r="P2360" i="5" s="1"/>
  <c r="D2360" i="5"/>
  <c r="U2359" i="5"/>
  <c r="T2359" i="5"/>
  <c r="S2359" i="5"/>
  <c r="I2359" i="5"/>
  <c r="R2359" i="5" s="1"/>
  <c r="H2359" i="5"/>
  <c r="G2359" i="5"/>
  <c r="Q2359" i="5" s="1"/>
  <c r="F2359" i="5"/>
  <c r="E2359" i="5"/>
  <c r="P2359" i="5" s="1"/>
  <c r="D2359" i="5"/>
  <c r="U2358" i="5"/>
  <c r="T2358" i="5"/>
  <c r="S2358" i="5"/>
  <c r="I2358" i="5"/>
  <c r="R2358" i="5" s="1"/>
  <c r="H2358" i="5"/>
  <c r="G2358" i="5"/>
  <c r="Q2358" i="5" s="1"/>
  <c r="F2358" i="5"/>
  <c r="E2358" i="5"/>
  <c r="P2358" i="5" s="1"/>
  <c r="D2358" i="5"/>
  <c r="T2357" i="5"/>
  <c r="S2357" i="5"/>
  <c r="I2357" i="5"/>
  <c r="R2357" i="5" s="1"/>
  <c r="H2357" i="5"/>
  <c r="G2357" i="5"/>
  <c r="Q2357" i="5" s="1"/>
  <c r="F2357" i="5"/>
  <c r="E2357" i="5"/>
  <c r="P2357" i="5" s="1"/>
  <c r="D2357" i="5"/>
  <c r="U2357" i="5" s="1"/>
  <c r="U2356" i="5"/>
  <c r="T2356" i="5"/>
  <c r="S2356" i="5"/>
  <c r="I2356" i="5"/>
  <c r="R2356" i="5" s="1"/>
  <c r="H2356" i="5"/>
  <c r="G2356" i="5"/>
  <c r="Q2356" i="5" s="1"/>
  <c r="F2356" i="5"/>
  <c r="E2356" i="5"/>
  <c r="P2356" i="5" s="1"/>
  <c r="D2356" i="5"/>
  <c r="U2355" i="5"/>
  <c r="T2355" i="5"/>
  <c r="S2355" i="5"/>
  <c r="O2355" i="5"/>
  <c r="N2355" i="5"/>
  <c r="I2355" i="5"/>
  <c r="R2355" i="5" s="1"/>
  <c r="H2355" i="5"/>
  <c r="G2355" i="5"/>
  <c r="Q2355" i="5" s="1"/>
  <c r="F2355" i="5"/>
  <c r="E2355" i="5"/>
  <c r="D2355" i="5"/>
  <c r="D3107" i="5" s="1"/>
  <c r="U2354" i="5"/>
  <c r="T2354" i="5"/>
  <c r="S2354" i="5"/>
  <c r="I2354" i="5"/>
  <c r="R2354" i="5" s="1"/>
  <c r="H2354" i="5"/>
  <c r="G2354" i="5"/>
  <c r="Q2354" i="5" s="1"/>
  <c r="F2354" i="5"/>
  <c r="E2354" i="5"/>
  <c r="P2354" i="5" s="1"/>
  <c r="D2354" i="5"/>
  <c r="U2353" i="5"/>
  <c r="T2353" i="5"/>
  <c r="S2353" i="5"/>
  <c r="O2353" i="5"/>
  <c r="N2353" i="5"/>
  <c r="I2353" i="5"/>
  <c r="R2353" i="5" s="1"/>
  <c r="H2353" i="5"/>
  <c r="G2353" i="5"/>
  <c r="Q2353" i="5" s="1"/>
  <c r="F2353" i="5"/>
  <c r="E2353" i="5"/>
  <c r="P2353" i="5" s="1"/>
  <c r="D2353" i="5"/>
  <c r="U2352" i="5"/>
  <c r="T2352" i="5"/>
  <c r="S2352" i="5"/>
  <c r="I2352" i="5"/>
  <c r="R2352" i="5" s="1"/>
  <c r="H2352" i="5"/>
  <c r="G2352" i="5"/>
  <c r="Q2352" i="5" s="1"/>
  <c r="F2352" i="5"/>
  <c r="E2352" i="5"/>
  <c r="P2352" i="5" s="1"/>
  <c r="D2352" i="5"/>
  <c r="U2351" i="5"/>
  <c r="T2351" i="5"/>
  <c r="S2351" i="5"/>
  <c r="O2351" i="5"/>
  <c r="N2351" i="5"/>
  <c r="I2351" i="5"/>
  <c r="R2351" i="5" s="1"/>
  <c r="H2351" i="5"/>
  <c r="G2351" i="5"/>
  <c r="Q2351" i="5" s="1"/>
  <c r="F2351" i="5"/>
  <c r="E2351" i="5"/>
  <c r="P2351" i="5" s="1"/>
  <c r="D2351" i="5"/>
  <c r="U2350" i="5"/>
  <c r="T2350" i="5"/>
  <c r="S2350" i="5"/>
  <c r="O2350" i="5"/>
  <c r="N2350" i="5"/>
  <c r="I2350" i="5"/>
  <c r="R2350" i="5" s="1"/>
  <c r="H2350" i="5"/>
  <c r="G2350" i="5"/>
  <c r="Q2350" i="5" s="1"/>
  <c r="F2350" i="5"/>
  <c r="E2350" i="5"/>
  <c r="P2350" i="5" s="1"/>
  <c r="D2350" i="5"/>
  <c r="U681" i="5"/>
  <c r="T681" i="5"/>
  <c r="S681" i="5"/>
  <c r="I681" i="5"/>
  <c r="R681" i="5" s="1"/>
  <c r="H681" i="5"/>
  <c r="G681" i="5"/>
  <c r="Q681" i="5" s="1"/>
  <c r="F681" i="5"/>
  <c r="E681" i="5"/>
  <c r="P681" i="5" s="1"/>
  <c r="D681" i="5"/>
  <c r="T2349" i="5"/>
  <c r="S2349" i="5"/>
  <c r="I2349" i="5"/>
  <c r="R2349" i="5" s="1"/>
  <c r="H2349" i="5"/>
  <c r="G2349" i="5"/>
  <c r="Q2349" i="5" s="1"/>
  <c r="F2349" i="5"/>
  <c r="E2349" i="5"/>
  <c r="D2349" i="5"/>
  <c r="U2348" i="5"/>
  <c r="T2348" i="5"/>
  <c r="S2348" i="5"/>
  <c r="I2348" i="5"/>
  <c r="R2348" i="5" s="1"/>
  <c r="H2348" i="5"/>
  <c r="G2348" i="5"/>
  <c r="Q2348" i="5" s="1"/>
  <c r="F2348" i="5"/>
  <c r="E2348" i="5"/>
  <c r="D2348" i="5"/>
  <c r="U2347" i="5"/>
  <c r="T2347" i="5"/>
  <c r="S2347" i="5"/>
  <c r="I2347" i="5"/>
  <c r="R2347" i="5" s="1"/>
  <c r="H2347" i="5"/>
  <c r="G2347" i="5"/>
  <c r="Q2347" i="5" s="1"/>
  <c r="F2347" i="5"/>
  <c r="E2347" i="5"/>
  <c r="D2347" i="5"/>
  <c r="U2346" i="5"/>
  <c r="T2346" i="5"/>
  <c r="S2346" i="5"/>
  <c r="I2346" i="5"/>
  <c r="R2346" i="5" s="1"/>
  <c r="H2346" i="5"/>
  <c r="G2346" i="5"/>
  <c r="Q2346" i="5" s="1"/>
  <c r="F2346" i="5"/>
  <c r="E2346" i="5"/>
  <c r="D2346" i="5"/>
  <c r="U2345" i="5"/>
  <c r="T2345" i="5"/>
  <c r="S2345" i="5"/>
  <c r="I2345" i="5"/>
  <c r="R2345" i="5" s="1"/>
  <c r="H2345" i="5"/>
  <c r="G2345" i="5"/>
  <c r="Q2345" i="5" s="1"/>
  <c r="F2345" i="5"/>
  <c r="E2345" i="5"/>
  <c r="D2345" i="5"/>
  <c r="U2344" i="5"/>
  <c r="T2344" i="5"/>
  <c r="S2344" i="5"/>
  <c r="I2344" i="5"/>
  <c r="R2344" i="5" s="1"/>
  <c r="H2344" i="5"/>
  <c r="G2344" i="5"/>
  <c r="Q2344" i="5" s="1"/>
  <c r="F2344" i="5"/>
  <c r="E2344" i="5"/>
  <c r="D2344" i="5"/>
  <c r="T2343" i="5"/>
  <c r="S2343" i="5"/>
  <c r="I2343" i="5"/>
  <c r="R2343" i="5" s="1"/>
  <c r="H2343" i="5"/>
  <c r="G2343" i="5"/>
  <c r="Q2343" i="5" s="1"/>
  <c r="F2343" i="5"/>
  <c r="E2343" i="5"/>
  <c r="D2343" i="5"/>
  <c r="U2342" i="5"/>
  <c r="T2342" i="5"/>
  <c r="S2342" i="5"/>
  <c r="I2342" i="5"/>
  <c r="R2342" i="5" s="1"/>
  <c r="H2342" i="5"/>
  <c r="G2342" i="5"/>
  <c r="Q2342" i="5" s="1"/>
  <c r="F2342" i="5"/>
  <c r="E2342" i="5"/>
  <c r="D2342" i="5"/>
  <c r="U2341" i="5"/>
  <c r="T2341" i="5"/>
  <c r="S2341" i="5"/>
  <c r="I2341" i="5"/>
  <c r="R2341" i="5" s="1"/>
  <c r="H2341" i="5"/>
  <c r="G2341" i="5"/>
  <c r="Q2341" i="5" s="1"/>
  <c r="F2341" i="5"/>
  <c r="E2341" i="5"/>
  <c r="D2341" i="5"/>
  <c r="U2340" i="5"/>
  <c r="T2340" i="5"/>
  <c r="S2340" i="5"/>
  <c r="I2340" i="5"/>
  <c r="R2340" i="5" s="1"/>
  <c r="H2340" i="5"/>
  <c r="G2340" i="5"/>
  <c r="Q2340" i="5" s="1"/>
  <c r="F2340" i="5"/>
  <c r="E2340" i="5"/>
  <c r="D2340" i="5"/>
  <c r="U2339" i="5"/>
  <c r="T2339" i="5"/>
  <c r="S2339" i="5"/>
  <c r="I2339" i="5"/>
  <c r="R2339" i="5" s="1"/>
  <c r="H2339" i="5"/>
  <c r="G2339" i="5"/>
  <c r="Q2339" i="5" s="1"/>
  <c r="F2339" i="5"/>
  <c r="E2339" i="5"/>
  <c r="D2339" i="5"/>
  <c r="U2338" i="5"/>
  <c r="T2338" i="5"/>
  <c r="S2338" i="5"/>
  <c r="I2338" i="5"/>
  <c r="R2338" i="5" s="1"/>
  <c r="H2338" i="5"/>
  <c r="G2338" i="5"/>
  <c r="Q2338" i="5" s="1"/>
  <c r="F2338" i="5"/>
  <c r="E2338" i="5"/>
  <c r="D2338" i="5"/>
  <c r="U2337" i="5"/>
  <c r="T2337" i="5"/>
  <c r="S2337" i="5"/>
  <c r="I2337" i="5"/>
  <c r="R2337" i="5" s="1"/>
  <c r="H2337" i="5"/>
  <c r="G2337" i="5"/>
  <c r="Q2337" i="5" s="1"/>
  <c r="F2337" i="5"/>
  <c r="E2337" i="5"/>
  <c r="D2337" i="5"/>
  <c r="U2336" i="5"/>
  <c r="T2336" i="5"/>
  <c r="S2336" i="5"/>
  <c r="I2336" i="5"/>
  <c r="R2336" i="5" s="1"/>
  <c r="H2336" i="5"/>
  <c r="G2336" i="5"/>
  <c r="Q2336" i="5" s="1"/>
  <c r="F2336" i="5"/>
  <c r="E2336" i="5"/>
  <c r="D2336" i="5"/>
  <c r="U671" i="5"/>
  <c r="T671" i="5"/>
  <c r="S671" i="5"/>
  <c r="I671" i="5"/>
  <c r="R671" i="5" s="1"/>
  <c r="H671" i="5"/>
  <c r="G671" i="5"/>
  <c r="Q671" i="5" s="1"/>
  <c r="F671" i="5"/>
  <c r="E671" i="5"/>
  <c r="P671" i="5" s="1"/>
  <c r="D671" i="5"/>
  <c r="T2335" i="5"/>
  <c r="S2335" i="5"/>
  <c r="I2335" i="5"/>
  <c r="R2335" i="5" s="1"/>
  <c r="H2335" i="5"/>
  <c r="G2335" i="5"/>
  <c r="Q2335" i="5" s="1"/>
  <c r="F2335" i="5"/>
  <c r="E2335" i="5"/>
  <c r="P2335" i="5" s="1"/>
  <c r="D2335" i="5"/>
  <c r="U2335" i="5" s="1"/>
  <c r="U2334" i="5"/>
  <c r="T2334" i="5"/>
  <c r="S2334" i="5"/>
  <c r="I2334" i="5"/>
  <c r="R2334" i="5" s="1"/>
  <c r="H2334" i="5"/>
  <c r="G2334" i="5"/>
  <c r="Q2334" i="5" s="1"/>
  <c r="F2334" i="5"/>
  <c r="E2334" i="5"/>
  <c r="P2334" i="5" s="1"/>
  <c r="D2334" i="5"/>
  <c r="U2333" i="5"/>
  <c r="T2333" i="5"/>
  <c r="S2333" i="5"/>
  <c r="I2333" i="5"/>
  <c r="R2333" i="5" s="1"/>
  <c r="H2333" i="5"/>
  <c r="G2333" i="5"/>
  <c r="Q2333" i="5" s="1"/>
  <c r="F2333" i="5"/>
  <c r="E2333" i="5"/>
  <c r="P2333" i="5" s="1"/>
  <c r="D2333" i="5"/>
  <c r="U2332" i="5"/>
  <c r="T2332" i="5"/>
  <c r="S2332" i="5"/>
  <c r="I2332" i="5"/>
  <c r="R2332" i="5" s="1"/>
  <c r="H2332" i="5"/>
  <c r="G2332" i="5"/>
  <c r="Q2332" i="5" s="1"/>
  <c r="F2332" i="5"/>
  <c r="E2332" i="5"/>
  <c r="P2332" i="5" s="1"/>
  <c r="D2332" i="5"/>
  <c r="U2331" i="5"/>
  <c r="T2331" i="5"/>
  <c r="S2331" i="5"/>
  <c r="I2331" i="5"/>
  <c r="R2331" i="5" s="1"/>
  <c r="H2331" i="5"/>
  <c r="G2331" i="5"/>
  <c r="Q2331" i="5" s="1"/>
  <c r="F2331" i="5"/>
  <c r="E2331" i="5"/>
  <c r="P2331" i="5" s="1"/>
  <c r="D2331" i="5"/>
  <c r="U2330" i="5"/>
  <c r="T2330" i="5"/>
  <c r="S2330" i="5"/>
  <c r="I2330" i="5"/>
  <c r="R2330" i="5" s="1"/>
  <c r="H2330" i="5"/>
  <c r="G2330" i="5"/>
  <c r="Q2330" i="5" s="1"/>
  <c r="F2330" i="5"/>
  <c r="E2330" i="5"/>
  <c r="P2330" i="5" s="1"/>
  <c r="D2330" i="5"/>
  <c r="T2329" i="5"/>
  <c r="S2329" i="5"/>
  <c r="I2329" i="5"/>
  <c r="R2329" i="5" s="1"/>
  <c r="H2329" i="5"/>
  <c r="G2329" i="5"/>
  <c r="Q2329" i="5" s="1"/>
  <c r="F2329" i="5"/>
  <c r="E2329" i="5"/>
  <c r="P2329" i="5" s="1"/>
  <c r="D2329" i="5"/>
  <c r="U2329" i="5" s="1"/>
  <c r="U2328" i="5"/>
  <c r="T2328" i="5"/>
  <c r="S2328" i="5"/>
  <c r="I2328" i="5"/>
  <c r="R2328" i="5" s="1"/>
  <c r="H2328" i="5"/>
  <c r="G2328" i="5"/>
  <c r="Q2328" i="5" s="1"/>
  <c r="F2328" i="5"/>
  <c r="E2328" i="5"/>
  <c r="P2328" i="5" s="1"/>
  <c r="D2328" i="5"/>
  <c r="U2327" i="5"/>
  <c r="T2327" i="5"/>
  <c r="S2327" i="5"/>
  <c r="I2327" i="5"/>
  <c r="R2327" i="5" s="1"/>
  <c r="H2327" i="5"/>
  <c r="G2327" i="5"/>
  <c r="Q2327" i="5" s="1"/>
  <c r="F2327" i="5"/>
  <c r="E2327" i="5"/>
  <c r="P2327" i="5" s="1"/>
  <c r="D2327" i="5"/>
  <c r="U2326" i="5"/>
  <c r="T2326" i="5"/>
  <c r="S2326" i="5"/>
  <c r="I2326" i="5"/>
  <c r="R2326" i="5" s="1"/>
  <c r="H2326" i="5"/>
  <c r="G2326" i="5"/>
  <c r="Q2326" i="5" s="1"/>
  <c r="F2326" i="5"/>
  <c r="E2326" i="5"/>
  <c r="P2326" i="5" s="1"/>
  <c r="D2326" i="5"/>
  <c r="U2325" i="5"/>
  <c r="T2325" i="5"/>
  <c r="S2325" i="5"/>
  <c r="I2325" i="5"/>
  <c r="R2325" i="5" s="1"/>
  <c r="H2325" i="5"/>
  <c r="G2325" i="5"/>
  <c r="Q2325" i="5" s="1"/>
  <c r="F2325" i="5"/>
  <c r="E2325" i="5"/>
  <c r="P2325" i="5" s="1"/>
  <c r="D2325" i="5"/>
  <c r="U2324" i="5"/>
  <c r="T2324" i="5"/>
  <c r="S2324" i="5"/>
  <c r="I2324" i="5"/>
  <c r="R2324" i="5" s="1"/>
  <c r="H2324" i="5"/>
  <c r="G2324" i="5"/>
  <c r="Q2324" i="5" s="1"/>
  <c r="F2324" i="5"/>
  <c r="E2324" i="5"/>
  <c r="P2324" i="5" s="1"/>
  <c r="D2324" i="5"/>
  <c r="U2323" i="5"/>
  <c r="T2323" i="5"/>
  <c r="S2323" i="5"/>
  <c r="I2323" i="5"/>
  <c r="R2323" i="5" s="1"/>
  <c r="H2323" i="5"/>
  <c r="G2323" i="5"/>
  <c r="Q2323" i="5" s="1"/>
  <c r="F2323" i="5"/>
  <c r="E2323" i="5"/>
  <c r="P2323" i="5" s="1"/>
  <c r="D2323" i="5"/>
  <c r="U2322" i="5"/>
  <c r="T2322" i="5"/>
  <c r="S2322" i="5"/>
  <c r="I2322" i="5"/>
  <c r="R2322" i="5" s="1"/>
  <c r="H2322" i="5"/>
  <c r="G2322" i="5"/>
  <c r="Q2322" i="5" s="1"/>
  <c r="F2322" i="5"/>
  <c r="E2322" i="5"/>
  <c r="P2322" i="5" s="1"/>
  <c r="D2322" i="5"/>
  <c r="U661" i="5"/>
  <c r="T661" i="5"/>
  <c r="S661" i="5"/>
  <c r="I661" i="5"/>
  <c r="R661" i="5" s="1"/>
  <c r="H661" i="5"/>
  <c r="G661" i="5"/>
  <c r="Q661" i="5" s="1"/>
  <c r="F661" i="5"/>
  <c r="E661" i="5"/>
  <c r="P661" i="5" s="1"/>
  <c r="D661" i="5"/>
  <c r="T2321" i="5"/>
  <c r="S2321" i="5"/>
  <c r="I2321" i="5"/>
  <c r="R2321" i="5" s="1"/>
  <c r="H2321" i="5"/>
  <c r="G2321" i="5"/>
  <c r="Q2321" i="5" s="1"/>
  <c r="F2321" i="5"/>
  <c r="E2321" i="5"/>
  <c r="P2321" i="5" s="1"/>
  <c r="D2321" i="5"/>
  <c r="U2321" i="5" s="1"/>
  <c r="U2320" i="5"/>
  <c r="T2320" i="5"/>
  <c r="S2320" i="5"/>
  <c r="I2320" i="5"/>
  <c r="R2320" i="5" s="1"/>
  <c r="H2320" i="5"/>
  <c r="G2320" i="5"/>
  <c r="Q2320" i="5" s="1"/>
  <c r="F2320" i="5"/>
  <c r="E2320" i="5"/>
  <c r="P2320" i="5" s="1"/>
  <c r="D2320" i="5"/>
  <c r="U2319" i="5"/>
  <c r="T2319" i="5"/>
  <c r="S2319" i="5"/>
  <c r="I2319" i="5"/>
  <c r="R2319" i="5" s="1"/>
  <c r="H2319" i="5"/>
  <c r="G2319" i="5"/>
  <c r="Q2319" i="5" s="1"/>
  <c r="F2319" i="5"/>
  <c r="E2319" i="5"/>
  <c r="P2319" i="5" s="1"/>
  <c r="D2319" i="5"/>
  <c r="U2318" i="5"/>
  <c r="T2318" i="5"/>
  <c r="S2318" i="5"/>
  <c r="I2318" i="5"/>
  <c r="R2318" i="5" s="1"/>
  <c r="H2318" i="5"/>
  <c r="G2318" i="5"/>
  <c r="Q2318" i="5" s="1"/>
  <c r="F2318" i="5"/>
  <c r="E2318" i="5"/>
  <c r="P2318" i="5" s="1"/>
  <c r="D2318" i="5"/>
  <c r="U2317" i="5"/>
  <c r="T2317" i="5"/>
  <c r="S2317" i="5"/>
  <c r="I2317" i="5"/>
  <c r="R2317" i="5" s="1"/>
  <c r="H2317" i="5"/>
  <c r="G2317" i="5"/>
  <c r="Q2317" i="5" s="1"/>
  <c r="F2317" i="5"/>
  <c r="E2317" i="5"/>
  <c r="P2317" i="5" s="1"/>
  <c r="D2317" i="5"/>
  <c r="U2316" i="5"/>
  <c r="T2316" i="5"/>
  <c r="S2316" i="5"/>
  <c r="I2316" i="5"/>
  <c r="R2316" i="5" s="1"/>
  <c r="H2316" i="5"/>
  <c r="G2316" i="5"/>
  <c r="Q2316" i="5" s="1"/>
  <c r="F2316" i="5"/>
  <c r="E2316" i="5"/>
  <c r="P2316" i="5" s="1"/>
  <c r="D2316" i="5"/>
  <c r="T2315" i="5"/>
  <c r="S2315" i="5"/>
  <c r="I2315" i="5"/>
  <c r="R2315" i="5" s="1"/>
  <c r="H2315" i="5"/>
  <c r="G2315" i="5"/>
  <c r="Q2315" i="5" s="1"/>
  <c r="F2315" i="5"/>
  <c r="E2315" i="5"/>
  <c r="P2315" i="5" s="1"/>
  <c r="D2315" i="5"/>
  <c r="U2315" i="5" s="1"/>
  <c r="U2314" i="5"/>
  <c r="T2314" i="5"/>
  <c r="S2314" i="5"/>
  <c r="I2314" i="5"/>
  <c r="R2314" i="5" s="1"/>
  <c r="H2314" i="5"/>
  <c r="G2314" i="5"/>
  <c r="Q2314" i="5" s="1"/>
  <c r="F2314" i="5"/>
  <c r="E2314" i="5"/>
  <c r="P2314" i="5" s="1"/>
  <c r="D2314" i="5"/>
  <c r="U2313" i="5"/>
  <c r="T2313" i="5"/>
  <c r="S2313" i="5"/>
  <c r="I2313" i="5"/>
  <c r="R2313" i="5" s="1"/>
  <c r="H2313" i="5"/>
  <c r="G2313" i="5"/>
  <c r="Q2313" i="5" s="1"/>
  <c r="F2313" i="5"/>
  <c r="E2313" i="5"/>
  <c r="P2313" i="5" s="1"/>
  <c r="D2313" i="5"/>
  <c r="U2312" i="5"/>
  <c r="T2312" i="5"/>
  <c r="S2312" i="5"/>
  <c r="I2312" i="5"/>
  <c r="R2312" i="5" s="1"/>
  <c r="H2312" i="5"/>
  <c r="G2312" i="5"/>
  <c r="Q2312" i="5" s="1"/>
  <c r="F2312" i="5"/>
  <c r="E2312" i="5"/>
  <c r="P2312" i="5" s="1"/>
  <c r="D2312" i="5"/>
  <c r="U2311" i="5"/>
  <c r="T2311" i="5"/>
  <c r="S2311" i="5"/>
  <c r="I2311" i="5"/>
  <c r="R2311" i="5" s="1"/>
  <c r="H2311" i="5"/>
  <c r="G2311" i="5"/>
  <c r="Q2311" i="5" s="1"/>
  <c r="F2311" i="5"/>
  <c r="E2311" i="5"/>
  <c r="D2311" i="5"/>
  <c r="U2310" i="5"/>
  <c r="T2310" i="5"/>
  <c r="S2310" i="5"/>
  <c r="I2310" i="5"/>
  <c r="R2310" i="5" s="1"/>
  <c r="H2310" i="5"/>
  <c r="G2310" i="5"/>
  <c r="Q2310" i="5" s="1"/>
  <c r="F2310" i="5"/>
  <c r="E2310" i="5"/>
  <c r="P2310" i="5" s="1"/>
  <c r="D2310" i="5"/>
  <c r="U2309" i="5"/>
  <c r="T2309" i="5"/>
  <c r="S2309" i="5"/>
  <c r="I2309" i="5"/>
  <c r="R2309" i="5" s="1"/>
  <c r="H2309" i="5"/>
  <c r="G2309" i="5"/>
  <c r="Q2309" i="5" s="1"/>
  <c r="F2309" i="5"/>
  <c r="E2309" i="5"/>
  <c r="P2309" i="5" s="1"/>
  <c r="D2309" i="5"/>
  <c r="U2308" i="5"/>
  <c r="T2308" i="5"/>
  <c r="S2308" i="5"/>
  <c r="I2308" i="5"/>
  <c r="R2308" i="5" s="1"/>
  <c r="H2308" i="5"/>
  <c r="G2308" i="5"/>
  <c r="Q2308" i="5" s="1"/>
  <c r="F2308" i="5"/>
  <c r="E2308" i="5"/>
  <c r="P2308" i="5" s="1"/>
  <c r="D2308" i="5"/>
  <c r="U651" i="5"/>
  <c r="T651" i="5"/>
  <c r="S651" i="5"/>
  <c r="I651" i="5"/>
  <c r="R651" i="5" s="1"/>
  <c r="H651" i="5"/>
  <c r="G651" i="5"/>
  <c r="Q651" i="5" s="1"/>
  <c r="F651" i="5"/>
  <c r="E651" i="5"/>
  <c r="P651" i="5" s="1"/>
  <c r="D651" i="5"/>
  <c r="T2300" i="5"/>
  <c r="S2300" i="5"/>
  <c r="I2300" i="5"/>
  <c r="R2300" i="5" s="1"/>
  <c r="H2300" i="5"/>
  <c r="G2300" i="5"/>
  <c r="Q2300" i="5" s="1"/>
  <c r="F2300" i="5"/>
  <c r="E2300" i="5"/>
  <c r="D2300" i="5"/>
  <c r="U2299" i="5"/>
  <c r="T2299" i="5"/>
  <c r="S2299" i="5"/>
  <c r="O2299" i="5"/>
  <c r="N2299" i="5"/>
  <c r="I2299" i="5"/>
  <c r="R2299" i="5" s="1"/>
  <c r="H2299" i="5"/>
  <c r="G2299" i="5"/>
  <c r="Q2299" i="5" s="1"/>
  <c r="F2299" i="5"/>
  <c r="E2299" i="5"/>
  <c r="D2299" i="5"/>
  <c r="D3291" i="5" s="1"/>
  <c r="D3675" i="5" s="1"/>
  <c r="U3675" i="5" s="1"/>
  <c r="U2298" i="5"/>
  <c r="T2298" i="5"/>
  <c r="S2298" i="5"/>
  <c r="I2298" i="5"/>
  <c r="R2298" i="5" s="1"/>
  <c r="H2298" i="5"/>
  <c r="G2298" i="5"/>
  <c r="Q2298" i="5" s="1"/>
  <c r="F2298" i="5"/>
  <c r="E2298" i="5"/>
  <c r="D2298" i="5"/>
  <c r="D3290" i="5" s="1"/>
  <c r="U2297" i="5"/>
  <c r="T2297" i="5"/>
  <c r="S2297" i="5"/>
  <c r="I2297" i="5"/>
  <c r="R2297" i="5" s="1"/>
  <c r="H2297" i="5"/>
  <c r="G2297" i="5"/>
  <c r="Q2297" i="5" s="1"/>
  <c r="F2297" i="5"/>
  <c r="E2297" i="5"/>
  <c r="D2297" i="5"/>
  <c r="D2537" i="5" s="1"/>
  <c r="U2296" i="5"/>
  <c r="T2296" i="5"/>
  <c r="S2296" i="5"/>
  <c r="I2296" i="5"/>
  <c r="R2296" i="5" s="1"/>
  <c r="H2296" i="5"/>
  <c r="G2296" i="5"/>
  <c r="Q2296" i="5" s="1"/>
  <c r="F2296" i="5"/>
  <c r="E2296" i="5"/>
  <c r="D2296" i="5"/>
  <c r="D2536" i="5" s="1"/>
  <c r="U2295" i="5"/>
  <c r="T2295" i="5"/>
  <c r="S2295" i="5"/>
  <c r="I2295" i="5"/>
  <c r="R2295" i="5" s="1"/>
  <c r="H2295" i="5"/>
  <c r="G2295" i="5"/>
  <c r="Q2295" i="5" s="1"/>
  <c r="F2295" i="5"/>
  <c r="E2295" i="5"/>
  <c r="D2295" i="5"/>
  <c r="D2535" i="5" s="1"/>
  <c r="T2294" i="5"/>
  <c r="S2294" i="5"/>
  <c r="I2294" i="5"/>
  <c r="R2294" i="5" s="1"/>
  <c r="H2294" i="5"/>
  <c r="G2294" i="5"/>
  <c r="Q2294" i="5" s="1"/>
  <c r="F2294" i="5"/>
  <c r="E2294" i="5"/>
  <c r="D2294" i="5"/>
  <c r="U2293" i="5"/>
  <c r="T2293" i="5"/>
  <c r="S2293" i="5"/>
  <c r="I2293" i="5"/>
  <c r="R2293" i="5" s="1"/>
  <c r="H2293" i="5"/>
  <c r="G2293" i="5"/>
  <c r="Q2293" i="5" s="1"/>
  <c r="F2293" i="5"/>
  <c r="E2293" i="5"/>
  <c r="D2293" i="5"/>
  <c r="D3285" i="5" s="1"/>
  <c r="U2292" i="5"/>
  <c r="T2292" i="5"/>
  <c r="S2292" i="5"/>
  <c r="O2292" i="5"/>
  <c r="N2292" i="5"/>
  <c r="I2292" i="5"/>
  <c r="R2292" i="5" s="1"/>
  <c r="H2292" i="5"/>
  <c r="G2292" i="5"/>
  <c r="Q2292" i="5" s="1"/>
  <c r="F2292" i="5"/>
  <c r="E2292" i="5"/>
  <c r="D2292" i="5"/>
  <c r="D3284" i="5" s="1"/>
  <c r="U2291" i="5"/>
  <c r="T2291" i="5"/>
  <c r="S2291" i="5"/>
  <c r="I2291" i="5"/>
  <c r="R2291" i="5" s="1"/>
  <c r="H2291" i="5"/>
  <c r="G2291" i="5"/>
  <c r="Q2291" i="5" s="1"/>
  <c r="F2291" i="5"/>
  <c r="E2291" i="5"/>
  <c r="P2291" i="5" s="1"/>
  <c r="D2291" i="5"/>
  <c r="U2290" i="5"/>
  <c r="T2290" i="5"/>
  <c r="S2290" i="5"/>
  <c r="O2290" i="5"/>
  <c r="N2290" i="5"/>
  <c r="I2290" i="5"/>
  <c r="R2290" i="5" s="1"/>
  <c r="H2290" i="5"/>
  <c r="G2290" i="5"/>
  <c r="Q2290" i="5" s="1"/>
  <c r="F2290" i="5"/>
  <c r="E2290" i="5"/>
  <c r="P2290" i="5" s="1"/>
  <c r="D2290" i="5"/>
  <c r="U2289" i="5"/>
  <c r="T2289" i="5"/>
  <c r="S2289" i="5"/>
  <c r="I2289" i="5"/>
  <c r="R2289" i="5" s="1"/>
  <c r="H2289" i="5"/>
  <c r="G2289" i="5"/>
  <c r="Q2289" i="5" s="1"/>
  <c r="F2289" i="5"/>
  <c r="E2289" i="5"/>
  <c r="P2289" i="5" s="1"/>
  <c r="D2289" i="5"/>
  <c r="U2288" i="5"/>
  <c r="T2288" i="5"/>
  <c r="S2288" i="5"/>
  <c r="O2288" i="5"/>
  <c r="N2288" i="5"/>
  <c r="I2288" i="5"/>
  <c r="R2288" i="5" s="1"/>
  <c r="H2288" i="5"/>
  <c r="G2288" i="5"/>
  <c r="Q2288" i="5" s="1"/>
  <c r="F2288" i="5"/>
  <c r="E2288" i="5"/>
  <c r="P2288" i="5" s="1"/>
  <c r="D2288" i="5"/>
  <c r="U2287" i="5"/>
  <c r="T2287" i="5"/>
  <c r="S2287" i="5"/>
  <c r="O2287" i="5"/>
  <c r="N2287" i="5"/>
  <c r="I2287" i="5"/>
  <c r="R2287" i="5" s="1"/>
  <c r="H2287" i="5"/>
  <c r="G2287" i="5"/>
  <c r="Q2287" i="5" s="1"/>
  <c r="F2287" i="5"/>
  <c r="E2287" i="5"/>
  <c r="P2287" i="5" s="1"/>
  <c r="D2287" i="5"/>
  <c r="U641" i="5"/>
  <c r="T641" i="5"/>
  <c r="S641" i="5"/>
  <c r="I641" i="5"/>
  <c r="R641" i="5" s="1"/>
  <c r="H641" i="5"/>
  <c r="G641" i="5"/>
  <c r="Q641" i="5" s="1"/>
  <c r="F641" i="5"/>
  <c r="E641" i="5"/>
  <c r="P641" i="5" s="1"/>
  <c r="D641" i="5"/>
  <c r="T2286" i="5"/>
  <c r="S2286" i="5"/>
  <c r="I2286" i="5"/>
  <c r="R2286" i="5" s="1"/>
  <c r="H2286" i="5"/>
  <c r="G2286" i="5"/>
  <c r="Q2286" i="5" s="1"/>
  <c r="F2286" i="5"/>
  <c r="E2286" i="5"/>
  <c r="P2286" i="5" s="1"/>
  <c r="D2286" i="5"/>
  <c r="U2286" i="5" s="1"/>
  <c r="U2285" i="5"/>
  <c r="T2285" i="5"/>
  <c r="S2285" i="5"/>
  <c r="I2285" i="5"/>
  <c r="R2285" i="5" s="1"/>
  <c r="H2285" i="5"/>
  <c r="G2285" i="5"/>
  <c r="Q2285" i="5" s="1"/>
  <c r="F2285" i="5"/>
  <c r="E2285" i="5"/>
  <c r="P2285" i="5" s="1"/>
  <c r="D2285" i="5"/>
  <c r="U2284" i="5"/>
  <c r="T2284" i="5"/>
  <c r="S2284" i="5"/>
  <c r="I2284" i="5"/>
  <c r="R2284" i="5" s="1"/>
  <c r="H2284" i="5"/>
  <c r="G2284" i="5"/>
  <c r="Q2284" i="5" s="1"/>
  <c r="F2284" i="5"/>
  <c r="E2284" i="5"/>
  <c r="P2284" i="5" s="1"/>
  <c r="D2284" i="5"/>
  <c r="U2283" i="5"/>
  <c r="T2283" i="5"/>
  <c r="S2283" i="5"/>
  <c r="I2283" i="5"/>
  <c r="R2283" i="5" s="1"/>
  <c r="H2283" i="5"/>
  <c r="G2283" i="5"/>
  <c r="Q2283" i="5" s="1"/>
  <c r="F2283" i="5"/>
  <c r="E2283" i="5"/>
  <c r="P2283" i="5" s="1"/>
  <c r="D2283" i="5"/>
  <c r="U2282" i="5"/>
  <c r="T2282" i="5"/>
  <c r="S2282" i="5"/>
  <c r="I2282" i="5"/>
  <c r="R2282" i="5" s="1"/>
  <c r="H2282" i="5"/>
  <c r="G2282" i="5"/>
  <c r="Q2282" i="5" s="1"/>
  <c r="F2282" i="5"/>
  <c r="E2282" i="5"/>
  <c r="P2282" i="5" s="1"/>
  <c r="D2282" i="5"/>
  <c r="U2281" i="5"/>
  <c r="T2281" i="5"/>
  <c r="S2281" i="5"/>
  <c r="I2281" i="5"/>
  <c r="R2281" i="5" s="1"/>
  <c r="H2281" i="5"/>
  <c r="G2281" i="5"/>
  <c r="Q2281" i="5" s="1"/>
  <c r="F2281" i="5"/>
  <c r="E2281" i="5"/>
  <c r="P2281" i="5" s="1"/>
  <c r="D2281" i="5"/>
  <c r="T2280" i="5"/>
  <c r="S2280" i="5"/>
  <c r="I2280" i="5"/>
  <c r="R2280" i="5" s="1"/>
  <c r="H2280" i="5"/>
  <c r="G2280" i="5"/>
  <c r="Q2280" i="5" s="1"/>
  <c r="F2280" i="5"/>
  <c r="E2280" i="5"/>
  <c r="P2280" i="5" s="1"/>
  <c r="D2280" i="5"/>
  <c r="U2280" i="5" s="1"/>
  <c r="U2279" i="5"/>
  <c r="T2279" i="5"/>
  <c r="S2279" i="5"/>
  <c r="I2279" i="5"/>
  <c r="R2279" i="5" s="1"/>
  <c r="H2279" i="5"/>
  <c r="G2279" i="5"/>
  <c r="Q2279" i="5" s="1"/>
  <c r="F2279" i="5"/>
  <c r="E2279" i="5"/>
  <c r="P2279" i="5" s="1"/>
  <c r="D2279" i="5"/>
  <c r="U2278" i="5"/>
  <c r="T2278" i="5"/>
  <c r="S2278" i="5"/>
  <c r="I2278" i="5"/>
  <c r="R2278" i="5" s="1"/>
  <c r="H2278" i="5"/>
  <c r="G2278" i="5"/>
  <c r="Q2278" i="5" s="1"/>
  <c r="F2278" i="5"/>
  <c r="E2278" i="5"/>
  <c r="P2278" i="5" s="1"/>
  <c r="D2278" i="5"/>
  <c r="U2277" i="5"/>
  <c r="T2277" i="5"/>
  <c r="S2277" i="5"/>
  <c r="I2277" i="5"/>
  <c r="R2277" i="5" s="1"/>
  <c r="H2277" i="5"/>
  <c r="G2277" i="5"/>
  <c r="Q2277" i="5" s="1"/>
  <c r="F2277" i="5"/>
  <c r="E2277" i="5"/>
  <c r="P2277" i="5" s="1"/>
  <c r="D2277" i="5"/>
  <c r="U2276" i="5"/>
  <c r="T2276" i="5"/>
  <c r="S2276" i="5"/>
  <c r="I2276" i="5"/>
  <c r="R2276" i="5" s="1"/>
  <c r="H2276" i="5"/>
  <c r="G2276" i="5"/>
  <c r="Q2276" i="5" s="1"/>
  <c r="F2276" i="5"/>
  <c r="E2276" i="5"/>
  <c r="P2276" i="5" s="1"/>
  <c r="D2276" i="5"/>
  <c r="U2275" i="5"/>
  <c r="T2275" i="5"/>
  <c r="S2275" i="5"/>
  <c r="I2275" i="5"/>
  <c r="R2275" i="5" s="1"/>
  <c r="H2275" i="5"/>
  <c r="G2275" i="5"/>
  <c r="Q2275" i="5" s="1"/>
  <c r="F2275" i="5"/>
  <c r="E2275" i="5"/>
  <c r="P2275" i="5" s="1"/>
  <c r="D2275" i="5"/>
  <c r="U2274" i="5"/>
  <c r="T2274" i="5"/>
  <c r="S2274" i="5"/>
  <c r="I2274" i="5"/>
  <c r="R2274" i="5" s="1"/>
  <c r="H2274" i="5"/>
  <c r="G2274" i="5"/>
  <c r="Q2274" i="5" s="1"/>
  <c r="F2274" i="5"/>
  <c r="E2274" i="5"/>
  <c r="P2274" i="5" s="1"/>
  <c r="D2274" i="5"/>
  <c r="U2273" i="5"/>
  <c r="T2273" i="5"/>
  <c r="S2273" i="5"/>
  <c r="I2273" i="5"/>
  <c r="R2273" i="5" s="1"/>
  <c r="H2273" i="5"/>
  <c r="G2273" i="5"/>
  <c r="Q2273" i="5" s="1"/>
  <c r="F2273" i="5"/>
  <c r="E2273" i="5"/>
  <c r="P2273" i="5" s="1"/>
  <c r="D2273" i="5"/>
  <c r="U631" i="5"/>
  <c r="T631" i="5"/>
  <c r="S631" i="5"/>
  <c r="I631" i="5"/>
  <c r="R631" i="5" s="1"/>
  <c r="H631" i="5"/>
  <c r="G631" i="5"/>
  <c r="Q631" i="5" s="1"/>
  <c r="F631" i="5"/>
  <c r="E631" i="5"/>
  <c r="P631" i="5" s="1"/>
  <c r="D631" i="5"/>
  <c r="T2272" i="5"/>
  <c r="S2272" i="5"/>
  <c r="I2272" i="5"/>
  <c r="R2272" i="5" s="1"/>
  <c r="H2272" i="5"/>
  <c r="G2272" i="5"/>
  <c r="Q2272" i="5" s="1"/>
  <c r="F2272" i="5"/>
  <c r="E2272" i="5"/>
  <c r="P2272" i="5" s="1"/>
  <c r="D2272" i="5"/>
  <c r="U2272" i="5" s="1"/>
  <c r="U2271" i="5"/>
  <c r="T2271" i="5"/>
  <c r="S2271" i="5"/>
  <c r="I2271" i="5"/>
  <c r="R2271" i="5" s="1"/>
  <c r="H2271" i="5"/>
  <c r="G2271" i="5"/>
  <c r="Q2271" i="5" s="1"/>
  <c r="F2271" i="5"/>
  <c r="E2271" i="5"/>
  <c r="P2271" i="5" s="1"/>
  <c r="D2271" i="5"/>
  <c r="U2270" i="5"/>
  <c r="T2270" i="5"/>
  <c r="S2270" i="5"/>
  <c r="I2270" i="5"/>
  <c r="R2270" i="5" s="1"/>
  <c r="H2270" i="5"/>
  <c r="G2270" i="5"/>
  <c r="Q2270" i="5" s="1"/>
  <c r="F2270" i="5"/>
  <c r="E2270" i="5"/>
  <c r="P2270" i="5" s="1"/>
  <c r="D2270" i="5"/>
  <c r="U2269" i="5"/>
  <c r="T2269" i="5"/>
  <c r="S2269" i="5"/>
  <c r="I2269" i="5"/>
  <c r="R2269" i="5" s="1"/>
  <c r="H2269" i="5"/>
  <c r="G2269" i="5"/>
  <c r="Q2269" i="5" s="1"/>
  <c r="F2269" i="5"/>
  <c r="E2269" i="5"/>
  <c r="P2269" i="5" s="1"/>
  <c r="D2269" i="5"/>
  <c r="U2268" i="5"/>
  <c r="T2268" i="5"/>
  <c r="S2268" i="5"/>
  <c r="I2268" i="5"/>
  <c r="R2268" i="5" s="1"/>
  <c r="H2268" i="5"/>
  <c r="G2268" i="5"/>
  <c r="Q2268" i="5" s="1"/>
  <c r="F2268" i="5"/>
  <c r="E2268" i="5"/>
  <c r="P2268" i="5" s="1"/>
  <c r="D2268" i="5"/>
  <c r="U2267" i="5"/>
  <c r="T2267" i="5"/>
  <c r="S2267" i="5"/>
  <c r="I2267" i="5"/>
  <c r="R2267" i="5" s="1"/>
  <c r="H2267" i="5"/>
  <c r="G2267" i="5"/>
  <c r="Q2267" i="5" s="1"/>
  <c r="F2267" i="5"/>
  <c r="E2267" i="5"/>
  <c r="P2267" i="5" s="1"/>
  <c r="D2267" i="5"/>
  <c r="T2266" i="5"/>
  <c r="S2266" i="5"/>
  <c r="I2266" i="5"/>
  <c r="R2266" i="5" s="1"/>
  <c r="H2266" i="5"/>
  <c r="G2266" i="5"/>
  <c r="Q2266" i="5" s="1"/>
  <c r="F2266" i="5"/>
  <c r="E2266" i="5"/>
  <c r="P2266" i="5" s="1"/>
  <c r="D2266" i="5"/>
  <c r="U2266" i="5" s="1"/>
  <c r="U2265" i="5"/>
  <c r="T2265" i="5"/>
  <c r="S2265" i="5"/>
  <c r="I2265" i="5"/>
  <c r="R2265" i="5" s="1"/>
  <c r="H2265" i="5"/>
  <c r="G2265" i="5"/>
  <c r="Q2265" i="5" s="1"/>
  <c r="F2265" i="5"/>
  <c r="E2265" i="5"/>
  <c r="P2265" i="5" s="1"/>
  <c r="D2265" i="5"/>
  <c r="U2264" i="5"/>
  <c r="T2264" i="5"/>
  <c r="S2264" i="5"/>
  <c r="I2264" i="5"/>
  <c r="R2264" i="5" s="1"/>
  <c r="H2264" i="5"/>
  <c r="G2264" i="5"/>
  <c r="Q2264" i="5" s="1"/>
  <c r="F2264" i="5"/>
  <c r="E2264" i="5"/>
  <c r="P2264" i="5" s="1"/>
  <c r="D2264" i="5"/>
  <c r="U2263" i="5"/>
  <c r="T2263" i="5"/>
  <c r="S2263" i="5"/>
  <c r="I2263" i="5"/>
  <c r="R2263" i="5" s="1"/>
  <c r="H2263" i="5"/>
  <c r="G2263" i="5"/>
  <c r="Q2263" i="5" s="1"/>
  <c r="F2263" i="5"/>
  <c r="E2263" i="5"/>
  <c r="P2263" i="5" s="1"/>
  <c r="D2263" i="5"/>
  <c r="U2262" i="5"/>
  <c r="T2262" i="5"/>
  <c r="S2262" i="5"/>
  <c r="I2262" i="5"/>
  <c r="R2262" i="5" s="1"/>
  <c r="H2262" i="5"/>
  <c r="G2262" i="5"/>
  <c r="Q2262" i="5" s="1"/>
  <c r="F2262" i="5"/>
  <c r="E2262" i="5"/>
  <c r="P2262" i="5" s="1"/>
  <c r="D2262" i="5"/>
  <c r="U2261" i="5"/>
  <c r="T2261" i="5"/>
  <c r="S2261" i="5"/>
  <c r="I2261" i="5"/>
  <c r="R2261" i="5" s="1"/>
  <c r="H2261" i="5"/>
  <c r="G2261" i="5"/>
  <c r="Q2261" i="5" s="1"/>
  <c r="F2261" i="5"/>
  <c r="E2261" i="5"/>
  <c r="P2261" i="5" s="1"/>
  <c r="D2261" i="5"/>
  <c r="U2260" i="5"/>
  <c r="T2260" i="5"/>
  <c r="S2260" i="5"/>
  <c r="I2260" i="5"/>
  <c r="R2260" i="5" s="1"/>
  <c r="H2260" i="5"/>
  <c r="G2260" i="5"/>
  <c r="Q2260" i="5" s="1"/>
  <c r="F2260" i="5"/>
  <c r="E2260" i="5"/>
  <c r="P2260" i="5" s="1"/>
  <c r="D2260" i="5"/>
  <c r="U2259" i="5"/>
  <c r="T2259" i="5"/>
  <c r="S2259" i="5"/>
  <c r="I2259" i="5"/>
  <c r="R2259" i="5" s="1"/>
  <c r="H2259" i="5"/>
  <c r="G2259" i="5"/>
  <c r="Q2259" i="5" s="1"/>
  <c r="F2259" i="5"/>
  <c r="E2259" i="5"/>
  <c r="P2259" i="5" s="1"/>
  <c r="D2259" i="5"/>
  <c r="U621" i="5"/>
  <c r="T621" i="5"/>
  <c r="S621" i="5"/>
  <c r="I621" i="5"/>
  <c r="R621" i="5" s="1"/>
  <c r="H621" i="5"/>
  <c r="G621" i="5"/>
  <c r="Q621" i="5" s="1"/>
  <c r="F621" i="5"/>
  <c r="E621" i="5"/>
  <c r="P621" i="5" s="1"/>
  <c r="D621" i="5"/>
  <c r="T2258" i="5"/>
  <c r="S2258" i="5"/>
  <c r="I2258" i="5"/>
  <c r="R2258" i="5" s="1"/>
  <c r="H2258" i="5"/>
  <c r="G2258" i="5"/>
  <c r="Q2258" i="5" s="1"/>
  <c r="F2258" i="5"/>
  <c r="E2258" i="5"/>
  <c r="P2258" i="5" s="1"/>
  <c r="D2258" i="5"/>
  <c r="U2258" i="5" s="1"/>
  <c r="U2257" i="5"/>
  <c r="T2257" i="5"/>
  <c r="S2257" i="5"/>
  <c r="I2257" i="5"/>
  <c r="R2257" i="5" s="1"/>
  <c r="H2257" i="5"/>
  <c r="G2257" i="5"/>
  <c r="Q2257" i="5" s="1"/>
  <c r="F2257" i="5"/>
  <c r="E2257" i="5"/>
  <c r="D2257" i="5"/>
  <c r="U2256" i="5"/>
  <c r="T2256" i="5"/>
  <c r="S2256" i="5"/>
  <c r="I2256" i="5"/>
  <c r="R2256" i="5" s="1"/>
  <c r="H2256" i="5"/>
  <c r="G2256" i="5"/>
  <c r="Q2256" i="5" s="1"/>
  <c r="F2256" i="5"/>
  <c r="E2256" i="5"/>
  <c r="P2256" i="5" s="1"/>
  <c r="D2256" i="5"/>
  <c r="U2255" i="5"/>
  <c r="T2255" i="5"/>
  <c r="S2255" i="5"/>
  <c r="I2255" i="5"/>
  <c r="R2255" i="5" s="1"/>
  <c r="H2255" i="5"/>
  <c r="G2255" i="5"/>
  <c r="Q2255" i="5" s="1"/>
  <c r="F2255" i="5"/>
  <c r="E2255" i="5"/>
  <c r="P2255" i="5" s="1"/>
  <c r="D2255" i="5"/>
  <c r="U2254" i="5"/>
  <c r="T2254" i="5"/>
  <c r="S2254" i="5"/>
  <c r="I2254" i="5"/>
  <c r="R2254" i="5" s="1"/>
  <c r="H2254" i="5"/>
  <c r="G2254" i="5"/>
  <c r="Q2254" i="5" s="1"/>
  <c r="F2254" i="5"/>
  <c r="E2254" i="5"/>
  <c r="P2254" i="5" s="1"/>
  <c r="D2254" i="5"/>
  <c r="U2253" i="5"/>
  <c r="T2253" i="5"/>
  <c r="S2253" i="5"/>
  <c r="I2253" i="5"/>
  <c r="R2253" i="5" s="1"/>
  <c r="H2253" i="5"/>
  <c r="G2253" i="5"/>
  <c r="Q2253" i="5" s="1"/>
  <c r="F2253" i="5"/>
  <c r="E2253" i="5"/>
  <c r="P2253" i="5" s="1"/>
  <c r="D2253" i="5"/>
  <c r="T2252" i="5"/>
  <c r="S2252" i="5"/>
  <c r="I2252" i="5"/>
  <c r="R2252" i="5" s="1"/>
  <c r="H2252" i="5"/>
  <c r="G2252" i="5"/>
  <c r="Q2252" i="5" s="1"/>
  <c r="F2252" i="5"/>
  <c r="E2252" i="5"/>
  <c r="P2252" i="5" s="1"/>
  <c r="D2252" i="5"/>
  <c r="U2252" i="5" s="1"/>
  <c r="U2251" i="5"/>
  <c r="T2251" i="5"/>
  <c r="S2251" i="5"/>
  <c r="I2251" i="5"/>
  <c r="R2251" i="5" s="1"/>
  <c r="H2251" i="5"/>
  <c r="G2251" i="5"/>
  <c r="Q2251" i="5" s="1"/>
  <c r="F2251" i="5"/>
  <c r="E2251" i="5"/>
  <c r="D2251" i="5"/>
  <c r="U2250" i="5"/>
  <c r="T2250" i="5"/>
  <c r="S2250" i="5"/>
  <c r="I2250" i="5"/>
  <c r="R2250" i="5" s="1"/>
  <c r="H2250" i="5"/>
  <c r="G2250" i="5"/>
  <c r="Q2250" i="5" s="1"/>
  <c r="F2250" i="5"/>
  <c r="E2250" i="5"/>
  <c r="D2250" i="5"/>
  <c r="U2249" i="5"/>
  <c r="T2249" i="5"/>
  <c r="S2249" i="5"/>
  <c r="I2249" i="5"/>
  <c r="R2249" i="5" s="1"/>
  <c r="H2249" i="5"/>
  <c r="G2249" i="5"/>
  <c r="Q2249" i="5" s="1"/>
  <c r="F2249" i="5"/>
  <c r="E2249" i="5"/>
  <c r="D2249" i="5"/>
  <c r="U2248" i="5"/>
  <c r="T2248" i="5"/>
  <c r="S2248" i="5"/>
  <c r="I2248" i="5"/>
  <c r="R2248" i="5" s="1"/>
  <c r="H2248" i="5"/>
  <c r="G2248" i="5"/>
  <c r="Q2248" i="5" s="1"/>
  <c r="F2248" i="5"/>
  <c r="E2248" i="5"/>
  <c r="D2248" i="5"/>
  <c r="U2247" i="5"/>
  <c r="T2247" i="5"/>
  <c r="S2247" i="5"/>
  <c r="I2247" i="5"/>
  <c r="R2247" i="5" s="1"/>
  <c r="H2247" i="5"/>
  <c r="G2247" i="5"/>
  <c r="Q2247" i="5" s="1"/>
  <c r="F2247" i="5"/>
  <c r="E2247" i="5"/>
  <c r="D2247" i="5"/>
  <c r="U2246" i="5"/>
  <c r="T2246" i="5"/>
  <c r="S2246" i="5"/>
  <c r="I2246" i="5"/>
  <c r="R2246" i="5" s="1"/>
  <c r="H2246" i="5"/>
  <c r="G2246" i="5"/>
  <c r="Q2246" i="5" s="1"/>
  <c r="F2246" i="5"/>
  <c r="E2246" i="5"/>
  <c r="D2246" i="5"/>
  <c r="U2245" i="5"/>
  <c r="T2245" i="5"/>
  <c r="S2245" i="5"/>
  <c r="I2245" i="5"/>
  <c r="R2245" i="5" s="1"/>
  <c r="H2245" i="5"/>
  <c r="G2245" i="5"/>
  <c r="Q2245" i="5" s="1"/>
  <c r="F2245" i="5"/>
  <c r="E2245" i="5"/>
  <c r="D2245" i="5"/>
  <c r="U611" i="5"/>
  <c r="S611" i="5"/>
  <c r="I611" i="5"/>
  <c r="R611" i="5" s="1"/>
  <c r="H611" i="5"/>
  <c r="G611" i="5"/>
  <c r="Q611" i="5" s="1"/>
  <c r="F611" i="5"/>
  <c r="E611" i="5"/>
  <c r="P611" i="5" s="1"/>
  <c r="D611" i="5"/>
  <c r="T2237" i="5"/>
  <c r="S2237" i="5"/>
  <c r="I2237" i="5"/>
  <c r="R2237" i="5" s="1"/>
  <c r="H2237" i="5"/>
  <c r="G2237" i="5"/>
  <c r="Q2237" i="5" s="1"/>
  <c r="F2237" i="5"/>
  <c r="E2237" i="5"/>
  <c r="P2237" i="5" s="1"/>
  <c r="D2237" i="5"/>
  <c r="U2237" i="5" s="1"/>
  <c r="U2236" i="5"/>
  <c r="T2236" i="5"/>
  <c r="S2236" i="5"/>
  <c r="O2236" i="5"/>
  <c r="N2236" i="5"/>
  <c r="I2236" i="5"/>
  <c r="R2236" i="5" s="1"/>
  <c r="H2236" i="5"/>
  <c r="G2236" i="5"/>
  <c r="Q2236" i="5" s="1"/>
  <c r="F2236" i="5"/>
  <c r="E2236" i="5"/>
  <c r="P2236" i="5" s="1"/>
  <c r="D2236" i="5"/>
  <c r="U2235" i="5"/>
  <c r="T2235" i="5"/>
  <c r="S2235" i="5"/>
  <c r="I2235" i="5"/>
  <c r="R2235" i="5" s="1"/>
  <c r="H2235" i="5"/>
  <c r="G2235" i="5"/>
  <c r="Q2235" i="5" s="1"/>
  <c r="F2235" i="5"/>
  <c r="E2235" i="5"/>
  <c r="P2235" i="5" s="1"/>
  <c r="D2235" i="5"/>
  <c r="U2234" i="5"/>
  <c r="T2234" i="5"/>
  <c r="S2234" i="5"/>
  <c r="I2234" i="5"/>
  <c r="R2234" i="5" s="1"/>
  <c r="H2234" i="5"/>
  <c r="G2234" i="5"/>
  <c r="Q2234" i="5" s="1"/>
  <c r="F2234" i="5"/>
  <c r="E2234" i="5"/>
  <c r="P2234" i="5" s="1"/>
  <c r="D2234" i="5"/>
  <c r="U2233" i="5"/>
  <c r="T2233" i="5"/>
  <c r="S2233" i="5"/>
  <c r="I2233" i="5"/>
  <c r="R2233" i="5" s="1"/>
  <c r="H2233" i="5"/>
  <c r="G2233" i="5"/>
  <c r="Q2233" i="5" s="1"/>
  <c r="F2233" i="5"/>
  <c r="E2233" i="5"/>
  <c r="P2233" i="5" s="1"/>
  <c r="D2233" i="5"/>
  <c r="U2232" i="5"/>
  <c r="T2232" i="5"/>
  <c r="S2232" i="5"/>
  <c r="I2232" i="5"/>
  <c r="R2232" i="5" s="1"/>
  <c r="H2232" i="5"/>
  <c r="G2232" i="5"/>
  <c r="Q2232" i="5" s="1"/>
  <c r="F2232" i="5"/>
  <c r="E2232" i="5"/>
  <c r="P2232" i="5" s="1"/>
  <c r="D2232" i="5"/>
  <c r="T2231" i="5"/>
  <c r="S2231" i="5"/>
  <c r="I2231" i="5"/>
  <c r="R2231" i="5" s="1"/>
  <c r="H2231" i="5"/>
  <c r="G2231" i="5"/>
  <c r="Q2231" i="5" s="1"/>
  <c r="F2231" i="5"/>
  <c r="E2231" i="5"/>
  <c r="P2231" i="5" s="1"/>
  <c r="D2231" i="5"/>
  <c r="U2231" i="5" s="1"/>
  <c r="U2230" i="5"/>
  <c r="T2230" i="5"/>
  <c r="S2230" i="5"/>
  <c r="I2230" i="5"/>
  <c r="R2230" i="5" s="1"/>
  <c r="H2230" i="5"/>
  <c r="G2230" i="5"/>
  <c r="Q2230" i="5" s="1"/>
  <c r="F2230" i="5"/>
  <c r="E2230" i="5"/>
  <c r="P2230" i="5" s="1"/>
  <c r="D2230" i="5"/>
  <c r="U2229" i="5"/>
  <c r="T2229" i="5"/>
  <c r="S2229" i="5"/>
  <c r="O2229" i="5"/>
  <c r="N2229" i="5"/>
  <c r="I2229" i="5"/>
  <c r="R2229" i="5" s="1"/>
  <c r="H2229" i="5"/>
  <c r="G2229" i="5"/>
  <c r="Q2229" i="5" s="1"/>
  <c r="F2229" i="5"/>
  <c r="E2229" i="5"/>
  <c r="D2229" i="5"/>
  <c r="D2469" i="5" s="1"/>
  <c r="U2469" i="5" s="1"/>
  <c r="U2228" i="5"/>
  <c r="T2228" i="5"/>
  <c r="S2228" i="5"/>
  <c r="I2228" i="5"/>
  <c r="R2228" i="5" s="1"/>
  <c r="H2228" i="5"/>
  <c r="G2228" i="5"/>
  <c r="Q2228" i="5" s="1"/>
  <c r="F2228" i="5"/>
  <c r="E2228" i="5"/>
  <c r="D2228" i="5"/>
  <c r="D2468" i="5" s="1"/>
  <c r="U2468" i="5" s="1"/>
  <c r="U2227" i="5"/>
  <c r="T2227" i="5"/>
  <c r="S2227" i="5"/>
  <c r="O2227" i="5"/>
  <c r="N2227" i="5"/>
  <c r="I2227" i="5"/>
  <c r="R2227" i="5" s="1"/>
  <c r="H2227" i="5"/>
  <c r="G2227" i="5"/>
  <c r="Q2227" i="5" s="1"/>
  <c r="F2227" i="5"/>
  <c r="E2227" i="5"/>
  <c r="D2227" i="5"/>
  <c r="D2467" i="5" s="1"/>
  <c r="U2467" i="5" s="1"/>
  <c r="U2226" i="5"/>
  <c r="T2226" i="5"/>
  <c r="S2226" i="5"/>
  <c r="I2226" i="5"/>
  <c r="R2226" i="5" s="1"/>
  <c r="H2226" i="5"/>
  <c r="G2226" i="5"/>
  <c r="Q2226" i="5" s="1"/>
  <c r="F2226" i="5"/>
  <c r="E2226" i="5"/>
  <c r="D2226" i="5"/>
  <c r="D2466" i="5" s="1"/>
  <c r="U2466" i="5" s="1"/>
  <c r="U2225" i="5"/>
  <c r="T2225" i="5"/>
  <c r="S2225" i="5"/>
  <c r="O2225" i="5"/>
  <c r="N2225" i="5"/>
  <c r="I2225" i="5"/>
  <c r="R2225" i="5" s="1"/>
  <c r="H2225" i="5"/>
  <c r="G2225" i="5"/>
  <c r="Q2225" i="5" s="1"/>
  <c r="F2225" i="5"/>
  <c r="E2225" i="5"/>
  <c r="P2225" i="5" s="1"/>
  <c r="D2225" i="5"/>
  <c r="U2224" i="5"/>
  <c r="T2224" i="5"/>
  <c r="S2224" i="5"/>
  <c r="O2224" i="5"/>
  <c r="N2224" i="5"/>
  <c r="I2224" i="5"/>
  <c r="R2224" i="5" s="1"/>
  <c r="H2224" i="5"/>
  <c r="G2224" i="5"/>
  <c r="Q2224" i="5" s="1"/>
  <c r="F2224" i="5"/>
  <c r="E2224" i="5"/>
  <c r="P2224" i="5" s="1"/>
  <c r="D2224" i="5"/>
  <c r="U601" i="5"/>
  <c r="S601" i="5"/>
  <c r="I601" i="5"/>
  <c r="R601" i="5" s="1"/>
  <c r="H601" i="5"/>
  <c r="G601" i="5"/>
  <c r="Q601" i="5" s="1"/>
  <c r="F601" i="5"/>
  <c r="E601" i="5"/>
  <c r="P601" i="5" s="1"/>
  <c r="D601" i="5"/>
  <c r="T2223" i="5"/>
  <c r="S2223" i="5"/>
  <c r="I2223" i="5"/>
  <c r="R2223" i="5" s="1"/>
  <c r="H2223" i="5"/>
  <c r="G2223" i="5"/>
  <c r="Q2223" i="5" s="1"/>
  <c r="F2223" i="5"/>
  <c r="E2223" i="5"/>
  <c r="P2223" i="5" s="1"/>
  <c r="D2223" i="5"/>
  <c r="U2223" i="5" s="1"/>
  <c r="U2222" i="5"/>
  <c r="T2222" i="5"/>
  <c r="S2222" i="5"/>
  <c r="I2222" i="5"/>
  <c r="R2222" i="5" s="1"/>
  <c r="H2222" i="5"/>
  <c r="G2222" i="5"/>
  <c r="Q2222" i="5" s="1"/>
  <c r="F2222" i="5"/>
  <c r="E2222" i="5"/>
  <c r="P2222" i="5" s="1"/>
  <c r="D2222" i="5"/>
  <c r="U2221" i="5"/>
  <c r="T2221" i="5"/>
  <c r="S2221" i="5"/>
  <c r="I2221" i="5"/>
  <c r="R2221" i="5" s="1"/>
  <c r="H2221" i="5"/>
  <c r="G2221" i="5"/>
  <c r="Q2221" i="5" s="1"/>
  <c r="F2221" i="5"/>
  <c r="E2221" i="5"/>
  <c r="P2221" i="5" s="1"/>
  <c r="D2221" i="5"/>
  <c r="U2220" i="5"/>
  <c r="T2220" i="5"/>
  <c r="S2220" i="5"/>
  <c r="I2220" i="5"/>
  <c r="R2220" i="5" s="1"/>
  <c r="H2220" i="5"/>
  <c r="G2220" i="5"/>
  <c r="Q2220" i="5" s="1"/>
  <c r="F2220" i="5"/>
  <c r="E2220" i="5"/>
  <c r="P2220" i="5" s="1"/>
  <c r="D2220" i="5"/>
  <c r="U2219" i="5"/>
  <c r="T2219" i="5"/>
  <c r="S2219" i="5"/>
  <c r="I2219" i="5"/>
  <c r="R2219" i="5" s="1"/>
  <c r="H2219" i="5"/>
  <c r="G2219" i="5"/>
  <c r="Q2219" i="5" s="1"/>
  <c r="F2219" i="5"/>
  <c r="E2219" i="5"/>
  <c r="P2219" i="5" s="1"/>
  <c r="D2219" i="5"/>
  <c r="U2218" i="5"/>
  <c r="T2218" i="5"/>
  <c r="S2218" i="5"/>
  <c r="I2218" i="5"/>
  <c r="R2218" i="5" s="1"/>
  <c r="H2218" i="5"/>
  <c r="G2218" i="5"/>
  <c r="Q2218" i="5" s="1"/>
  <c r="F2218" i="5"/>
  <c r="E2218" i="5"/>
  <c r="P2218" i="5" s="1"/>
  <c r="D2218" i="5"/>
  <c r="T2217" i="5"/>
  <c r="S2217" i="5"/>
  <c r="I2217" i="5"/>
  <c r="R2217" i="5" s="1"/>
  <c r="H2217" i="5"/>
  <c r="G2217" i="5"/>
  <c r="Q2217" i="5" s="1"/>
  <c r="F2217" i="5"/>
  <c r="E2217" i="5"/>
  <c r="P2217" i="5" s="1"/>
  <c r="D2217" i="5"/>
  <c r="U2217" i="5" s="1"/>
  <c r="U2216" i="5"/>
  <c r="T2216" i="5"/>
  <c r="S2216" i="5"/>
  <c r="I2216" i="5"/>
  <c r="R2216" i="5" s="1"/>
  <c r="H2216" i="5"/>
  <c r="G2216" i="5"/>
  <c r="Q2216" i="5" s="1"/>
  <c r="F2216" i="5"/>
  <c r="E2216" i="5"/>
  <c r="P2216" i="5" s="1"/>
  <c r="D2216" i="5"/>
  <c r="U2215" i="5"/>
  <c r="T2215" i="5"/>
  <c r="S2215" i="5"/>
  <c r="I2215" i="5"/>
  <c r="R2215" i="5" s="1"/>
  <c r="H2215" i="5"/>
  <c r="G2215" i="5"/>
  <c r="Q2215" i="5" s="1"/>
  <c r="F2215" i="5"/>
  <c r="E2215" i="5"/>
  <c r="P2215" i="5" s="1"/>
  <c r="D2215" i="5"/>
  <c r="U2214" i="5"/>
  <c r="T2214" i="5"/>
  <c r="S2214" i="5"/>
  <c r="I2214" i="5"/>
  <c r="R2214" i="5" s="1"/>
  <c r="H2214" i="5"/>
  <c r="G2214" i="5"/>
  <c r="Q2214" i="5" s="1"/>
  <c r="F2214" i="5"/>
  <c r="E2214" i="5"/>
  <c r="P2214" i="5" s="1"/>
  <c r="D2214" i="5"/>
  <c r="U2213" i="5"/>
  <c r="T2213" i="5"/>
  <c r="S2213" i="5"/>
  <c r="I2213" i="5"/>
  <c r="R2213" i="5" s="1"/>
  <c r="H2213" i="5"/>
  <c r="G2213" i="5"/>
  <c r="Q2213" i="5" s="1"/>
  <c r="F2213" i="5"/>
  <c r="E2213" i="5"/>
  <c r="D2213" i="5"/>
  <c r="D3205" i="5" s="1"/>
  <c r="U2212" i="5"/>
  <c r="T2212" i="5"/>
  <c r="S2212" i="5"/>
  <c r="I2212" i="5"/>
  <c r="R2212" i="5" s="1"/>
  <c r="H2212" i="5"/>
  <c r="G2212" i="5"/>
  <c r="Q2212" i="5" s="1"/>
  <c r="F2212" i="5"/>
  <c r="E2212" i="5"/>
  <c r="P2212" i="5" s="1"/>
  <c r="D2212" i="5"/>
  <c r="U2211" i="5"/>
  <c r="T2211" i="5"/>
  <c r="S2211" i="5"/>
  <c r="I2211" i="5"/>
  <c r="R2211" i="5" s="1"/>
  <c r="H2211" i="5"/>
  <c r="G2211" i="5"/>
  <c r="Q2211" i="5" s="1"/>
  <c r="F2211" i="5"/>
  <c r="E2211" i="5"/>
  <c r="P2211" i="5" s="1"/>
  <c r="D2211" i="5"/>
  <c r="U2210" i="5"/>
  <c r="T2210" i="5"/>
  <c r="S2210" i="5"/>
  <c r="I2210" i="5"/>
  <c r="R2210" i="5" s="1"/>
  <c r="H2210" i="5"/>
  <c r="G2210" i="5"/>
  <c r="Q2210" i="5" s="1"/>
  <c r="F2210" i="5"/>
  <c r="E2210" i="5"/>
  <c r="P2210" i="5" s="1"/>
  <c r="D2210" i="5"/>
  <c r="U591" i="5"/>
  <c r="S591" i="5"/>
  <c r="I591" i="5"/>
  <c r="R591" i="5" s="1"/>
  <c r="H591" i="5"/>
  <c r="G591" i="5"/>
  <c r="Q591" i="5" s="1"/>
  <c r="F591" i="5"/>
  <c r="E591" i="5"/>
  <c r="P591" i="5" s="1"/>
  <c r="D591" i="5"/>
  <c r="T2209" i="5"/>
  <c r="S2209" i="5"/>
  <c r="I2209" i="5"/>
  <c r="R2209" i="5" s="1"/>
  <c r="H2209" i="5"/>
  <c r="G2209" i="5"/>
  <c r="Q2209" i="5" s="1"/>
  <c r="F2209" i="5"/>
  <c r="E2209" i="5"/>
  <c r="P2209" i="5" s="1"/>
  <c r="D2209" i="5"/>
  <c r="U2209" i="5" s="1"/>
  <c r="U2208" i="5"/>
  <c r="T2208" i="5"/>
  <c r="S2208" i="5"/>
  <c r="I2208" i="5"/>
  <c r="R2208" i="5" s="1"/>
  <c r="H2208" i="5"/>
  <c r="G2208" i="5"/>
  <c r="Q2208" i="5" s="1"/>
  <c r="F2208" i="5"/>
  <c r="E2208" i="5"/>
  <c r="P2208" i="5" s="1"/>
  <c r="D2208" i="5"/>
  <c r="U2207" i="5"/>
  <c r="T2207" i="5"/>
  <c r="S2207" i="5"/>
  <c r="I2207" i="5"/>
  <c r="R2207" i="5" s="1"/>
  <c r="H2207" i="5"/>
  <c r="G2207" i="5"/>
  <c r="Q2207" i="5" s="1"/>
  <c r="F2207" i="5"/>
  <c r="E2207" i="5"/>
  <c r="D2207" i="5"/>
  <c r="D3199" i="5" s="1"/>
  <c r="U3199" i="5" s="1"/>
  <c r="U2206" i="5"/>
  <c r="T2206" i="5"/>
  <c r="S2206" i="5"/>
  <c r="I2206" i="5"/>
  <c r="R2206" i="5" s="1"/>
  <c r="H2206" i="5"/>
  <c r="G2206" i="5"/>
  <c r="Q2206" i="5" s="1"/>
  <c r="F2206" i="5"/>
  <c r="E2206" i="5"/>
  <c r="D2206" i="5"/>
  <c r="D3198" i="5" s="1"/>
  <c r="D3410" i="5" s="1"/>
  <c r="U3410" i="5" s="1"/>
  <c r="U2205" i="5"/>
  <c r="T2205" i="5"/>
  <c r="S2205" i="5"/>
  <c r="I2205" i="5"/>
  <c r="R2205" i="5" s="1"/>
  <c r="H2205" i="5"/>
  <c r="G2205" i="5"/>
  <c r="Q2205" i="5" s="1"/>
  <c r="F2205" i="5"/>
  <c r="E2205" i="5"/>
  <c r="D2205" i="5"/>
  <c r="D3197" i="5" s="1"/>
  <c r="U2204" i="5"/>
  <c r="T2204" i="5"/>
  <c r="S2204" i="5"/>
  <c r="I2204" i="5"/>
  <c r="R2204" i="5" s="1"/>
  <c r="H2204" i="5"/>
  <c r="G2204" i="5"/>
  <c r="Q2204" i="5" s="1"/>
  <c r="F2204" i="5"/>
  <c r="E2204" i="5"/>
  <c r="D2204" i="5"/>
  <c r="D3196" i="5" s="1"/>
  <c r="T2203" i="5"/>
  <c r="S2203" i="5"/>
  <c r="I2203" i="5"/>
  <c r="R2203" i="5" s="1"/>
  <c r="H2203" i="5"/>
  <c r="G2203" i="5"/>
  <c r="Q2203" i="5" s="1"/>
  <c r="F2203" i="5"/>
  <c r="E2203" i="5"/>
  <c r="D2203" i="5"/>
  <c r="U2202" i="5"/>
  <c r="T2202" i="5"/>
  <c r="S2202" i="5"/>
  <c r="I2202" i="5"/>
  <c r="R2202" i="5" s="1"/>
  <c r="H2202" i="5"/>
  <c r="G2202" i="5"/>
  <c r="Q2202" i="5" s="1"/>
  <c r="F2202" i="5"/>
  <c r="E2202" i="5"/>
  <c r="D2202" i="5"/>
  <c r="D3194" i="5" s="1"/>
  <c r="U2201" i="5"/>
  <c r="T2201" i="5"/>
  <c r="S2201" i="5"/>
  <c r="I2201" i="5"/>
  <c r="R2201" i="5" s="1"/>
  <c r="H2201" i="5"/>
  <c r="G2201" i="5"/>
  <c r="Q2201" i="5" s="1"/>
  <c r="F2201" i="5"/>
  <c r="E2201" i="5"/>
  <c r="D2201" i="5"/>
  <c r="D3193" i="5" s="1"/>
  <c r="D3577" i="5" s="1"/>
  <c r="U3577" i="5" s="1"/>
  <c r="U2200" i="5"/>
  <c r="T2200" i="5"/>
  <c r="S2200" i="5"/>
  <c r="I2200" i="5"/>
  <c r="R2200" i="5" s="1"/>
  <c r="H2200" i="5"/>
  <c r="G2200" i="5"/>
  <c r="Q2200" i="5" s="1"/>
  <c r="F2200" i="5"/>
  <c r="E2200" i="5"/>
  <c r="D2200" i="5"/>
  <c r="D3192" i="5" s="1"/>
  <c r="D4184" i="5" s="1"/>
  <c r="U4184" i="5" s="1"/>
  <c r="U2199" i="5"/>
  <c r="T2199" i="5"/>
  <c r="S2199" i="5"/>
  <c r="I2199" i="5"/>
  <c r="R2199" i="5" s="1"/>
  <c r="H2199" i="5"/>
  <c r="G2199" i="5"/>
  <c r="Q2199" i="5" s="1"/>
  <c r="F2199" i="5"/>
  <c r="E2199" i="5"/>
  <c r="D2199" i="5"/>
  <c r="D3191" i="5" s="1"/>
  <c r="D4183" i="5" s="1"/>
  <c r="U2198" i="5"/>
  <c r="T2198" i="5"/>
  <c r="S2198" i="5"/>
  <c r="I2198" i="5"/>
  <c r="R2198" i="5" s="1"/>
  <c r="H2198" i="5"/>
  <c r="G2198" i="5"/>
  <c r="Q2198" i="5" s="1"/>
  <c r="F2198" i="5"/>
  <c r="E2198" i="5"/>
  <c r="D2198" i="5"/>
  <c r="D3190" i="5" s="1"/>
  <c r="U2197" i="5"/>
  <c r="T2197" i="5"/>
  <c r="S2197" i="5"/>
  <c r="I2197" i="5"/>
  <c r="R2197" i="5" s="1"/>
  <c r="H2197" i="5"/>
  <c r="G2197" i="5"/>
  <c r="Q2197" i="5" s="1"/>
  <c r="F2197" i="5"/>
  <c r="E2197" i="5"/>
  <c r="D2197" i="5"/>
  <c r="D3189" i="5" s="1"/>
  <c r="D4181" i="5" s="1"/>
  <c r="U2196" i="5"/>
  <c r="T2196" i="5"/>
  <c r="S2196" i="5"/>
  <c r="I2196" i="5"/>
  <c r="R2196" i="5" s="1"/>
  <c r="H2196" i="5"/>
  <c r="G2196" i="5"/>
  <c r="Q2196" i="5" s="1"/>
  <c r="F2196" i="5"/>
  <c r="E2196" i="5"/>
  <c r="D2196" i="5"/>
  <c r="D3188" i="5" s="1"/>
  <c r="D4180" i="5" s="1"/>
  <c r="U581" i="5"/>
  <c r="S581" i="5"/>
  <c r="I581" i="5"/>
  <c r="R581" i="5" s="1"/>
  <c r="H581" i="5"/>
  <c r="G581" i="5"/>
  <c r="Q581" i="5" s="1"/>
  <c r="F581" i="5"/>
  <c r="E581" i="5"/>
  <c r="P581" i="5" s="1"/>
  <c r="D581" i="5"/>
  <c r="T2195" i="5"/>
  <c r="S2195" i="5"/>
  <c r="I2195" i="5"/>
  <c r="R2195" i="5" s="1"/>
  <c r="H2195" i="5"/>
  <c r="G2195" i="5"/>
  <c r="Q2195" i="5" s="1"/>
  <c r="F2195" i="5"/>
  <c r="E2195" i="5"/>
  <c r="D2195" i="5"/>
  <c r="U2194" i="5"/>
  <c r="T2194" i="5"/>
  <c r="S2194" i="5"/>
  <c r="I2194" i="5"/>
  <c r="R2194" i="5" s="1"/>
  <c r="H2194" i="5"/>
  <c r="G2194" i="5"/>
  <c r="Q2194" i="5" s="1"/>
  <c r="F2194" i="5"/>
  <c r="E2194" i="5"/>
  <c r="D2194" i="5"/>
  <c r="D3186" i="5" s="1"/>
  <c r="D4178" i="5" s="1"/>
  <c r="U2193" i="5"/>
  <c r="T2193" i="5"/>
  <c r="S2193" i="5"/>
  <c r="I2193" i="5"/>
  <c r="R2193" i="5" s="1"/>
  <c r="H2193" i="5"/>
  <c r="G2193" i="5"/>
  <c r="Q2193" i="5" s="1"/>
  <c r="F2193" i="5"/>
  <c r="E2193" i="5"/>
  <c r="P2193" i="5" s="1"/>
  <c r="D2193" i="5"/>
  <c r="U2192" i="5"/>
  <c r="T2192" i="5"/>
  <c r="S2192" i="5"/>
  <c r="I2192" i="5"/>
  <c r="R2192" i="5" s="1"/>
  <c r="H2192" i="5"/>
  <c r="G2192" i="5"/>
  <c r="Q2192" i="5" s="1"/>
  <c r="F2192" i="5"/>
  <c r="E2192" i="5"/>
  <c r="P2192" i="5" s="1"/>
  <c r="D2192" i="5"/>
  <c r="U2191" i="5"/>
  <c r="T2191" i="5"/>
  <c r="S2191" i="5"/>
  <c r="I2191" i="5"/>
  <c r="R2191" i="5" s="1"/>
  <c r="H2191" i="5"/>
  <c r="G2191" i="5"/>
  <c r="Q2191" i="5" s="1"/>
  <c r="F2191" i="5"/>
  <c r="E2191" i="5"/>
  <c r="P2191" i="5" s="1"/>
  <c r="D2191" i="5"/>
  <c r="U2190" i="5"/>
  <c r="T2190" i="5"/>
  <c r="S2190" i="5"/>
  <c r="I2190" i="5"/>
  <c r="R2190" i="5" s="1"/>
  <c r="H2190" i="5"/>
  <c r="G2190" i="5"/>
  <c r="Q2190" i="5" s="1"/>
  <c r="F2190" i="5"/>
  <c r="E2190" i="5"/>
  <c r="P2190" i="5" s="1"/>
  <c r="D2190" i="5"/>
  <c r="T2189" i="5"/>
  <c r="S2189" i="5"/>
  <c r="I2189" i="5"/>
  <c r="R2189" i="5" s="1"/>
  <c r="H2189" i="5"/>
  <c r="G2189" i="5"/>
  <c r="Q2189" i="5" s="1"/>
  <c r="F2189" i="5"/>
  <c r="E2189" i="5"/>
  <c r="P2189" i="5" s="1"/>
  <c r="D2189" i="5"/>
  <c r="U2189" i="5" s="1"/>
  <c r="U2188" i="5"/>
  <c r="T2188" i="5"/>
  <c r="S2188" i="5"/>
  <c r="I2188" i="5"/>
  <c r="R2188" i="5" s="1"/>
  <c r="H2188" i="5"/>
  <c r="G2188" i="5"/>
  <c r="Q2188" i="5" s="1"/>
  <c r="F2188" i="5"/>
  <c r="E2188" i="5"/>
  <c r="P2188" i="5" s="1"/>
  <c r="D2188" i="5"/>
  <c r="U2187" i="5"/>
  <c r="T2187" i="5"/>
  <c r="S2187" i="5"/>
  <c r="I2187" i="5"/>
  <c r="R2187" i="5" s="1"/>
  <c r="H2187" i="5"/>
  <c r="G2187" i="5"/>
  <c r="Q2187" i="5" s="1"/>
  <c r="F2187" i="5"/>
  <c r="E2187" i="5"/>
  <c r="P2187" i="5" s="1"/>
  <c r="D2187" i="5"/>
  <c r="U2186" i="5"/>
  <c r="T2186" i="5"/>
  <c r="S2186" i="5"/>
  <c r="I2186" i="5"/>
  <c r="R2186" i="5" s="1"/>
  <c r="H2186" i="5"/>
  <c r="G2186" i="5"/>
  <c r="Q2186" i="5" s="1"/>
  <c r="F2186" i="5"/>
  <c r="E2186" i="5"/>
  <c r="P2186" i="5" s="1"/>
  <c r="D2186" i="5"/>
  <c r="U2185" i="5"/>
  <c r="T2185" i="5"/>
  <c r="S2185" i="5"/>
  <c r="I2185" i="5"/>
  <c r="R2185" i="5" s="1"/>
  <c r="H2185" i="5"/>
  <c r="G2185" i="5"/>
  <c r="Q2185" i="5" s="1"/>
  <c r="F2185" i="5"/>
  <c r="E2185" i="5"/>
  <c r="P2185" i="5" s="1"/>
  <c r="D2185" i="5"/>
  <c r="U2184" i="5"/>
  <c r="T2184" i="5"/>
  <c r="S2184" i="5"/>
  <c r="I2184" i="5"/>
  <c r="R2184" i="5" s="1"/>
  <c r="H2184" i="5"/>
  <c r="G2184" i="5"/>
  <c r="Q2184" i="5" s="1"/>
  <c r="F2184" i="5"/>
  <c r="E2184" i="5"/>
  <c r="P2184" i="5" s="1"/>
  <c r="D2184" i="5"/>
  <c r="U2183" i="5"/>
  <c r="T2183" i="5"/>
  <c r="S2183" i="5"/>
  <c r="I2183" i="5"/>
  <c r="R2183" i="5" s="1"/>
  <c r="H2183" i="5"/>
  <c r="G2183" i="5"/>
  <c r="Q2183" i="5" s="1"/>
  <c r="F2183" i="5"/>
  <c r="E2183" i="5"/>
  <c r="P2183" i="5" s="1"/>
  <c r="D2183" i="5"/>
  <c r="U2182" i="5"/>
  <c r="T2182" i="5"/>
  <c r="S2182" i="5"/>
  <c r="I2182" i="5"/>
  <c r="R2182" i="5" s="1"/>
  <c r="H2182" i="5"/>
  <c r="G2182" i="5"/>
  <c r="Q2182" i="5" s="1"/>
  <c r="F2182" i="5"/>
  <c r="E2182" i="5"/>
  <c r="P2182" i="5" s="1"/>
  <c r="D2182" i="5"/>
  <c r="U571" i="5"/>
  <c r="S571" i="5"/>
  <c r="I571" i="5"/>
  <c r="R571" i="5" s="1"/>
  <c r="H571" i="5"/>
  <c r="G571" i="5"/>
  <c r="Q571" i="5" s="1"/>
  <c r="F571" i="5"/>
  <c r="E571" i="5"/>
  <c r="P571" i="5" s="1"/>
  <c r="D571" i="5"/>
  <c r="T2174" i="5"/>
  <c r="S2174" i="5"/>
  <c r="I2174" i="5"/>
  <c r="R2174" i="5" s="1"/>
  <c r="H2174" i="5"/>
  <c r="G2174" i="5"/>
  <c r="Q2174" i="5" s="1"/>
  <c r="F2174" i="5"/>
  <c r="E2174" i="5"/>
  <c r="P2174" i="5" s="1"/>
  <c r="D2174" i="5"/>
  <c r="U2174" i="5" s="1"/>
  <c r="U2173" i="5"/>
  <c r="T2173" i="5"/>
  <c r="S2173" i="5"/>
  <c r="O2173" i="5"/>
  <c r="N2173" i="5"/>
  <c r="I2173" i="5"/>
  <c r="R2173" i="5" s="1"/>
  <c r="H2173" i="5"/>
  <c r="G2173" i="5"/>
  <c r="Q2173" i="5" s="1"/>
  <c r="F2173" i="5"/>
  <c r="E2173" i="5"/>
  <c r="P2173" i="5" s="1"/>
  <c r="D2173" i="5"/>
  <c r="U2172" i="5"/>
  <c r="T2172" i="5"/>
  <c r="S2172" i="5"/>
  <c r="I2172" i="5"/>
  <c r="R2172" i="5" s="1"/>
  <c r="H2172" i="5"/>
  <c r="G2172" i="5"/>
  <c r="Q2172" i="5" s="1"/>
  <c r="F2172" i="5"/>
  <c r="E2172" i="5"/>
  <c r="P2172" i="5" s="1"/>
  <c r="D2172" i="5"/>
  <c r="U2171" i="5"/>
  <c r="T2171" i="5"/>
  <c r="S2171" i="5"/>
  <c r="I2171" i="5"/>
  <c r="R2171" i="5" s="1"/>
  <c r="H2171" i="5"/>
  <c r="G2171" i="5"/>
  <c r="Q2171" i="5" s="1"/>
  <c r="F2171" i="5"/>
  <c r="E2171" i="5"/>
  <c r="P2171" i="5" s="1"/>
  <c r="D2171" i="5"/>
  <c r="U2170" i="5"/>
  <c r="T2170" i="5"/>
  <c r="S2170" i="5"/>
  <c r="I2170" i="5"/>
  <c r="R2170" i="5" s="1"/>
  <c r="H2170" i="5"/>
  <c r="G2170" i="5"/>
  <c r="Q2170" i="5" s="1"/>
  <c r="F2170" i="5"/>
  <c r="E2170" i="5"/>
  <c r="P2170" i="5" s="1"/>
  <c r="D2170" i="5"/>
  <c r="U2169" i="5"/>
  <c r="T2169" i="5"/>
  <c r="S2169" i="5"/>
  <c r="I2169" i="5"/>
  <c r="R2169" i="5" s="1"/>
  <c r="H2169" i="5"/>
  <c r="G2169" i="5"/>
  <c r="Q2169" i="5" s="1"/>
  <c r="F2169" i="5"/>
  <c r="E2169" i="5"/>
  <c r="P2169" i="5" s="1"/>
  <c r="D2169" i="5"/>
  <c r="T2168" i="5"/>
  <c r="S2168" i="5"/>
  <c r="I2168" i="5"/>
  <c r="R2168" i="5" s="1"/>
  <c r="H2168" i="5"/>
  <c r="G2168" i="5"/>
  <c r="Q2168" i="5" s="1"/>
  <c r="F2168" i="5"/>
  <c r="E2168" i="5"/>
  <c r="P2168" i="5" s="1"/>
  <c r="D2168" i="5"/>
  <c r="U2168" i="5" s="1"/>
  <c r="U2167" i="5"/>
  <c r="T2167" i="5"/>
  <c r="S2167" i="5"/>
  <c r="I2167" i="5"/>
  <c r="R2167" i="5" s="1"/>
  <c r="H2167" i="5"/>
  <c r="G2167" i="5"/>
  <c r="Q2167" i="5" s="1"/>
  <c r="F2167" i="5"/>
  <c r="E2167" i="5"/>
  <c r="P2167" i="5" s="1"/>
  <c r="D2167" i="5"/>
  <c r="U2166" i="5"/>
  <c r="T2166" i="5"/>
  <c r="S2166" i="5"/>
  <c r="O2166" i="5"/>
  <c r="N2166" i="5"/>
  <c r="I2166" i="5"/>
  <c r="R2166" i="5" s="1"/>
  <c r="H2166" i="5"/>
  <c r="G2166" i="5"/>
  <c r="Q2166" i="5" s="1"/>
  <c r="F2166" i="5"/>
  <c r="E2166" i="5"/>
  <c r="P2166" i="5" s="1"/>
  <c r="D2166" i="5"/>
  <c r="U2165" i="5"/>
  <c r="T2165" i="5"/>
  <c r="S2165" i="5"/>
  <c r="I2165" i="5"/>
  <c r="R2165" i="5" s="1"/>
  <c r="H2165" i="5"/>
  <c r="G2165" i="5"/>
  <c r="Q2165" i="5" s="1"/>
  <c r="F2165" i="5"/>
  <c r="E2165" i="5"/>
  <c r="P2165" i="5" s="1"/>
  <c r="D2165" i="5"/>
  <c r="U2164" i="5"/>
  <c r="T2164" i="5"/>
  <c r="S2164" i="5"/>
  <c r="O2164" i="5"/>
  <c r="N2164" i="5"/>
  <c r="I2164" i="5"/>
  <c r="R2164" i="5" s="1"/>
  <c r="H2164" i="5"/>
  <c r="G2164" i="5"/>
  <c r="Q2164" i="5" s="1"/>
  <c r="F2164" i="5"/>
  <c r="E2164" i="5"/>
  <c r="P2164" i="5" s="1"/>
  <c r="D2164" i="5"/>
  <c r="U2163" i="5"/>
  <c r="T2163" i="5"/>
  <c r="S2163" i="5"/>
  <c r="I2163" i="5"/>
  <c r="R2163" i="5" s="1"/>
  <c r="H2163" i="5"/>
  <c r="G2163" i="5"/>
  <c r="Q2163" i="5" s="1"/>
  <c r="F2163" i="5"/>
  <c r="E2163" i="5"/>
  <c r="P2163" i="5" s="1"/>
  <c r="D2163" i="5"/>
  <c r="U2162" i="5"/>
  <c r="T2162" i="5"/>
  <c r="S2162" i="5"/>
  <c r="O2162" i="5"/>
  <c r="N2162" i="5"/>
  <c r="I2162" i="5"/>
  <c r="R2162" i="5" s="1"/>
  <c r="H2162" i="5"/>
  <c r="G2162" i="5"/>
  <c r="Q2162" i="5" s="1"/>
  <c r="F2162" i="5"/>
  <c r="E2162" i="5"/>
  <c r="P2162" i="5" s="1"/>
  <c r="D2162" i="5"/>
  <c r="U2161" i="5"/>
  <c r="T2161" i="5"/>
  <c r="S2161" i="5"/>
  <c r="O2161" i="5"/>
  <c r="N2161" i="5"/>
  <c r="I2161" i="5"/>
  <c r="R2161" i="5" s="1"/>
  <c r="H2161" i="5"/>
  <c r="G2161" i="5"/>
  <c r="Q2161" i="5" s="1"/>
  <c r="F2161" i="5"/>
  <c r="E2161" i="5"/>
  <c r="P2161" i="5" s="1"/>
  <c r="D2161" i="5"/>
  <c r="U561" i="5"/>
  <c r="S561" i="5"/>
  <c r="I561" i="5"/>
  <c r="R561" i="5" s="1"/>
  <c r="H561" i="5"/>
  <c r="G561" i="5"/>
  <c r="Q561" i="5" s="1"/>
  <c r="F561" i="5"/>
  <c r="E561" i="5"/>
  <c r="P561" i="5" s="1"/>
  <c r="D561" i="5"/>
  <c r="T2160" i="5"/>
  <c r="S2160" i="5"/>
  <c r="I2160" i="5"/>
  <c r="R2160" i="5" s="1"/>
  <c r="H2160" i="5"/>
  <c r="G2160" i="5"/>
  <c r="Q2160" i="5" s="1"/>
  <c r="F2160" i="5"/>
  <c r="E2160" i="5"/>
  <c r="P2160" i="5" s="1"/>
  <c r="D2160" i="5"/>
  <c r="U2160" i="5" s="1"/>
  <c r="U2159" i="5"/>
  <c r="T2159" i="5"/>
  <c r="S2159" i="5"/>
  <c r="I2159" i="5"/>
  <c r="R2159" i="5" s="1"/>
  <c r="H2159" i="5"/>
  <c r="G2159" i="5"/>
  <c r="Q2159" i="5" s="1"/>
  <c r="F2159" i="5"/>
  <c r="E2159" i="5"/>
  <c r="D2159" i="5"/>
  <c r="U2158" i="5"/>
  <c r="T2158" i="5"/>
  <c r="S2158" i="5"/>
  <c r="I2158" i="5"/>
  <c r="R2158" i="5" s="1"/>
  <c r="H2158" i="5"/>
  <c r="G2158" i="5"/>
  <c r="Q2158" i="5" s="1"/>
  <c r="F2158" i="5"/>
  <c r="E2158" i="5"/>
  <c r="P2158" i="5" s="1"/>
  <c r="D2158" i="5"/>
  <c r="U2157" i="5"/>
  <c r="T2157" i="5"/>
  <c r="S2157" i="5"/>
  <c r="I2157" i="5"/>
  <c r="R2157" i="5" s="1"/>
  <c r="H2157" i="5"/>
  <c r="G2157" i="5"/>
  <c r="Q2157" i="5" s="1"/>
  <c r="F2157" i="5"/>
  <c r="E2157" i="5"/>
  <c r="P2157" i="5" s="1"/>
  <c r="D2157" i="5"/>
  <c r="U2156" i="5"/>
  <c r="T2156" i="5"/>
  <c r="S2156" i="5"/>
  <c r="I2156" i="5"/>
  <c r="R2156" i="5" s="1"/>
  <c r="H2156" i="5"/>
  <c r="G2156" i="5"/>
  <c r="Q2156" i="5" s="1"/>
  <c r="F2156" i="5"/>
  <c r="E2156" i="5"/>
  <c r="P2156" i="5" s="1"/>
  <c r="D2156" i="5"/>
  <c r="U2155" i="5"/>
  <c r="T2155" i="5"/>
  <c r="S2155" i="5"/>
  <c r="I2155" i="5"/>
  <c r="R2155" i="5" s="1"/>
  <c r="H2155" i="5"/>
  <c r="G2155" i="5"/>
  <c r="Q2155" i="5" s="1"/>
  <c r="F2155" i="5"/>
  <c r="E2155" i="5"/>
  <c r="P2155" i="5" s="1"/>
  <c r="D2155" i="5"/>
  <c r="T2154" i="5"/>
  <c r="S2154" i="5"/>
  <c r="I2154" i="5"/>
  <c r="R2154" i="5" s="1"/>
  <c r="H2154" i="5"/>
  <c r="G2154" i="5"/>
  <c r="Q2154" i="5" s="1"/>
  <c r="F2154" i="5"/>
  <c r="E2154" i="5"/>
  <c r="P2154" i="5" s="1"/>
  <c r="D2154" i="5"/>
  <c r="U2154" i="5" s="1"/>
  <c r="U2153" i="5"/>
  <c r="T2153" i="5"/>
  <c r="S2153" i="5"/>
  <c r="I2153" i="5"/>
  <c r="R2153" i="5" s="1"/>
  <c r="H2153" i="5"/>
  <c r="G2153" i="5"/>
  <c r="Q2153" i="5" s="1"/>
  <c r="F2153" i="5"/>
  <c r="E2153" i="5"/>
  <c r="D2153" i="5"/>
  <c r="U2152" i="5"/>
  <c r="T2152" i="5"/>
  <c r="S2152" i="5"/>
  <c r="I2152" i="5"/>
  <c r="R2152" i="5" s="1"/>
  <c r="H2152" i="5"/>
  <c r="G2152" i="5"/>
  <c r="Q2152" i="5" s="1"/>
  <c r="F2152" i="5"/>
  <c r="E2152" i="5"/>
  <c r="D2152" i="5"/>
  <c r="U2151" i="5"/>
  <c r="T2151" i="5"/>
  <c r="S2151" i="5"/>
  <c r="I2151" i="5"/>
  <c r="R2151" i="5" s="1"/>
  <c r="H2151" i="5"/>
  <c r="G2151" i="5"/>
  <c r="Q2151" i="5" s="1"/>
  <c r="F2151" i="5"/>
  <c r="E2151" i="5"/>
  <c r="D2151" i="5"/>
  <c r="U2150" i="5"/>
  <c r="T2150" i="5"/>
  <c r="S2150" i="5"/>
  <c r="I2150" i="5"/>
  <c r="R2150" i="5" s="1"/>
  <c r="H2150" i="5"/>
  <c r="G2150" i="5"/>
  <c r="Q2150" i="5" s="1"/>
  <c r="F2150" i="5"/>
  <c r="E2150" i="5"/>
  <c r="D2150" i="5"/>
  <c r="U2149" i="5"/>
  <c r="T2149" i="5"/>
  <c r="S2149" i="5"/>
  <c r="I2149" i="5"/>
  <c r="R2149" i="5" s="1"/>
  <c r="H2149" i="5"/>
  <c r="G2149" i="5"/>
  <c r="Q2149" i="5" s="1"/>
  <c r="F2149" i="5"/>
  <c r="E2149" i="5"/>
  <c r="D2149" i="5"/>
  <c r="U2148" i="5"/>
  <c r="T2148" i="5"/>
  <c r="S2148" i="5"/>
  <c r="I2148" i="5"/>
  <c r="R2148" i="5" s="1"/>
  <c r="H2148" i="5"/>
  <c r="G2148" i="5"/>
  <c r="Q2148" i="5" s="1"/>
  <c r="F2148" i="5"/>
  <c r="E2148" i="5"/>
  <c r="D2148" i="5"/>
  <c r="U2147" i="5"/>
  <c r="T2147" i="5"/>
  <c r="S2147" i="5"/>
  <c r="I2147" i="5"/>
  <c r="R2147" i="5" s="1"/>
  <c r="H2147" i="5"/>
  <c r="G2147" i="5"/>
  <c r="Q2147" i="5" s="1"/>
  <c r="F2147" i="5"/>
  <c r="E2147" i="5"/>
  <c r="D2147" i="5"/>
  <c r="U551" i="5"/>
  <c r="S551" i="5"/>
  <c r="I551" i="5"/>
  <c r="R551" i="5" s="1"/>
  <c r="H551" i="5"/>
  <c r="G551" i="5"/>
  <c r="Q551" i="5" s="1"/>
  <c r="F551" i="5"/>
  <c r="E551" i="5"/>
  <c r="P551" i="5" s="1"/>
  <c r="D551" i="5"/>
  <c r="T2146" i="5"/>
  <c r="S2146" i="5"/>
  <c r="I2146" i="5"/>
  <c r="R2146" i="5" s="1"/>
  <c r="H2146" i="5"/>
  <c r="G2146" i="5"/>
  <c r="Q2146" i="5" s="1"/>
  <c r="F2146" i="5"/>
  <c r="E2146" i="5"/>
  <c r="D2146" i="5"/>
  <c r="U2145" i="5"/>
  <c r="T2145" i="5"/>
  <c r="S2145" i="5"/>
  <c r="I2145" i="5"/>
  <c r="R2145" i="5" s="1"/>
  <c r="H2145" i="5"/>
  <c r="G2145" i="5"/>
  <c r="Q2145" i="5" s="1"/>
  <c r="F2145" i="5"/>
  <c r="E2145" i="5"/>
  <c r="D2145" i="5"/>
  <c r="U2144" i="5"/>
  <c r="T2144" i="5"/>
  <c r="S2144" i="5"/>
  <c r="I2144" i="5"/>
  <c r="R2144" i="5" s="1"/>
  <c r="H2144" i="5"/>
  <c r="G2144" i="5"/>
  <c r="Q2144" i="5" s="1"/>
  <c r="F2144" i="5"/>
  <c r="E2144" i="5"/>
  <c r="D2144" i="5"/>
  <c r="U2143" i="5"/>
  <c r="T2143" i="5"/>
  <c r="S2143" i="5"/>
  <c r="I2143" i="5"/>
  <c r="R2143" i="5" s="1"/>
  <c r="H2143" i="5"/>
  <c r="G2143" i="5"/>
  <c r="Q2143" i="5" s="1"/>
  <c r="F2143" i="5"/>
  <c r="E2143" i="5"/>
  <c r="D2143" i="5"/>
  <c r="U2142" i="5"/>
  <c r="T2142" i="5"/>
  <c r="S2142" i="5"/>
  <c r="I2142" i="5"/>
  <c r="R2142" i="5" s="1"/>
  <c r="H2142" i="5"/>
  <c r="G2142" i="5"/>
  <c r="Q2142" i="5" s="1"/>
  <c r="F2142" i="5"/>
  <c r="E2142" i="5"/>
  <c r="D2142" i="5"/>
  <c r="U2141" i="5"/>
  <c r="T2141" i="5"/>
  <c r="S2141" i="5"/>
  <c r="I2141" i="5"/>
  <c r="R2141" i="5" s="1"/>
  <c r="H2141" i="5"/>
  <c r="G2141" i="5"/>
  <c r="Q2141" i="5" s="1"/>
  <c r="F2141" i="5"/>
  <c r="E2141" i="5"/>
  <c r="D2141" i="5"/>
  <c r="T2140" i="5"/>
  <c r="S2140" i="5"/>
  <c r="I2140" i="5"/>
  <c r="R2140" i="5" s="1"/>
  <c r="H2140" i="5"/>
  <c r="G2140" i="5"/>
  <c r="Q2140" i="5" s="1"/>
  <c r="F2140" i="5"/>
  <c r="E2140" i="5"/>
  <c r="D2140" i="5"/>
  <c r="U2139" i="5"/>
  <c r="T2139" i="5"/>
  <c r="S2139" i="5"/>
  <c r="I2139" i="5"/>
  <c r="R2139" i="5" s="1"/>
  <c r="H2139" i="5"/>
  <c r="G2139" i="5"/>
  <c r="Q2139" i="5" s="1"/>
  <c r="F2139" i="5"/>
  <c r="E2139" i="5"/>
  <c r="P2139" i="5" s="1"/>
  <c r="D2139" i="5"/>
  <c r="U2138" i="5"/>
  <c r="T2138" i="5"/>
  <c r="S2138" i="5"/>
  <c r="I2138" i="5"/>
  <c r="R2138" i="5" s="1"/>
  <c r="H2138" i="5"/>
  <c r="G2138" i="5"/>
  <c r="Q2138" i="5" s="1"/>
  <c r="F2138" i="5"/>
  <c r="E2138" i="5"/>
  <c r="P2138" i="5" s="1"/>
  <c r="D2138" i="5"/>
  <c r="U2137" i="5"/>
  <c r="T2137" i="5"/>
  <c r="S2137" i="5"/>
  <c r="I2137" i="5"/>
  <c r="R2137" i="5" s="1"/>
  <c r="H2137" i="5"/>
  <c r="G2137" i="5"/>
  <c r="Q2137" i="5" s="1"/>
  <c r="F2137" i="5"/>
  <c r="E2137" i="5"/>
  <c r="P2137" i="5" s="1"/>
  <c r="D2137" i="5"/>
  <c r="U2136" i="5"/>
  <c r="T2136" i="5"/>
  <c r="S2136" i="5"/>
  <c r="I2136" i="5"/>
  <c r="R2136" i="5" s="1"/>
  <c r="H2136" i="5"/>
  <c r="G2136" i="5"/>
  <c r="Q2136" i="5" s="1"/>
  <c r="F2136" i="5"/>
  <c r="E2136" i="5"/>
  <c r="P2136" i="5" s="1"/>
  <c r="D2136" i="5"/>
  <c r="U2135" i="5"/>
  <c r="T2135" i="5"/>
  <c r="S2135" i="5"/>
  <c r="I2135" i="5"/>
  <c r="R2135" i="5" s="1"/>
  <c r="H2135" i="5"/>
  <c r="G2135" i="5"/>
  <c r="Q2135" i="5" s="1"/>
  <c r="F2135" i="5"/>
  <c r="E2135" i="5"/>
  <c r="P2135" i="5" s="1"/>
  <c r="D2135" i="5"/>
  <c r="U2134" i="5"/>
  <c r="T2134" i="5"/>
  <c r="S2134" i="5"/>
  <c r="I2134" i="5"/>
  <c r="R2134" i="5" s="1"/>
  <c r="H2134" i="5"/>
  <c r="G2134" i="5"/>
  <c r="Q2134" i="5" s="1"/>
  <c r="F2134" i="5"/>
  <c r="E2134" i="5"/>
  <c r="P2134" i="5" s="1"/>
  <c r="D2134" i="5"/>
  <c r="U2133" i="5"/>
  <c r="T2133" i="5"/>
  <c r="S2133" i="5"/>
  <c r="I2133" i="5"/>
  <c r="R2133" i="5" s="1"/>
  <c r="H2133" i="5"/>
  <c r="G2133" i="5"/>
  <c r="Q2133" i="5" s="1"/>
  <c r="F2133" i="5"/>
  <c r="E2133" i="5"/>
  <c r="P2133" i="5" s="1"/>
  <c r="D2133" i="5"/>
  <c r="U541" i="5"/>
  <c r="S541" i="5"/>
  <c r="I541" i="5"/>
  <c r="R541" i="5" s="1"/>
  <c r="H541" i="5"/>
  <c r="G541" i="5"/>
  <c r="Q541" i="5" s="1"/>
  <c r="F541" i="5"/>
  <c r="E541" i="5"/>
  <c r="P541" i="5" s="1"/>
  <c r="D541" i="5"/>
  <c r="T2132" i="5"/>
  <c r="S2132" i="5"/>
  <c r="I2132" i="5"/>
  <c r="R2132" i="5" s="1"/>
  <c r="H2132" i="5"/>
  <c r="G2132" i="5"/>
  <c r="Q2132" i="5" s="1"/>
  <c r="F2132" i="5"/>
  <c r="E2132" i="5"/>
  <c r="P2132" i="5" s="1"/>
  <c r="D2132" i="5"/>
  <c r="U2132" i="5" s="1"/>
  <c r="U2131" i="5"/>
  <c r="T2131" i="5"/>
  <c r="S2131" i="5"/>
  <c r="I2131" i="5"/>
  <c r="R2131" i="5" s="1"/>
  <c r="H2131" i="5"/>
  <c r="G2131" i="5"/>
  <c r="Q2131" i="5" s="1"/>
  <c r="F2131" i="5"/>
  <c r="E2131" i="5"/>
  <c r="P2131" i="5" s="1"/>
  <c r="D2131" i="5"/>
  <c r="U2130" i="5"/>
  <c r="T2130" i="5"/>
  <c r="S2130" i="5"/>
  <c r="I2130" i="5"/>
  <c r="R2130" i="5" s="1"/>
  <c r="H2130" i="5"/>
  <c r="G2130" i="5"/>
  <c r="Q2130" i="5" s="1"/>
  <c r="F2130" i="5"/>
  <c r="E2130" i="5"/>
  <c r="P2130" i="5" s="1"/>
  <c r="D2130" i="5"/>
  <c r="U2129" i="5"/>
  <c r="T2129" i="5"/>
  <c r="S2129" i="5"/>
  <c r="I2129" i="5"/>
  <c r="R2129" i="5" s="1"/>
  <c r="H2129" i="5"/>
  <c r="G2129" i="5"/>
  <c r="Q2129" i="5" s="1"/>
  <c r="F2129" i="5"/>
  <c r="E2129" i="5"/>
  <c r="P2129" i="5" s="1"/>
  <c r="D2129" i="5"/>
  <c r="U2128" i="5"/>
  <c r="T2128" i="5"/>
  <c r="S2128" i="5"/>
  <c r="I2128" i="5"/>
  <c r="R2128" i="5" s="1"/>
  <c r="H2128" i="5"/>
  <c r="G2128" i="5"/>
  <c r="Q2128" i="5" s="1"/>
  <c r="F2128" i="5"/>
  <c r="E2128" i="5"/>
  <c r="P2128" i="5" s="1"/>
  <c r="D2128" i="5"/>
  <c r="U2127" i="5"/>
  <c r="T2127" i="5"/>
  <c r="S2127" i="5"/>
  <c r="I2127" i="5"/>
  <c r="R2127" i="5" s="1"/>
  <c r="H2127" i="5"/>
  <c r="G2127" i="5"/>
  <c r="Q2127" i="5" s="1"/>
  <c r="F2127" i="5"/>
  <c r="E2127" i="5"/>
  <c r="P2127" i="5" s="1"/>
  <c r="D2127" i="5"/>
  <c r="T2126" i="5"/>
  <c r="S2126" i="5"/>
  <c r="I2126" i="5"/>
  <c r="R2126" i="5" s="1"/>
  <c r="H2126" i="5"/>
  <c r="G2126" i="5"/>
  <c r="Q2126" i="5" s="1"/>
  <c r="F2126" i="5"/>
  <c r="E2126" i="5"/>
  <c r="P2126" i="5" s="1"/>
  <c r="D2126" i="5"/>
  <c r="U2126" i="5" s="1"/>
  <c r="U2125" i="5"/>
  <c r="T2125" i="5"/>
  <c r="S2125" i="5"/>
  <c r="I2125" i="5"/>
  <c r="R2125" i="5" s="1"/>
  <c r="H2125" i="5"/>
  <c r="G2125" i="5"/>
  <c r="Q2125" i="5" s="1"/>
  <c r="F2125" i="5"/>
  <c r="E2125" i="5"/>
  <c r="P2125" i="5" s="1"/>
  <c r="D2125" i="5"/>
  <c r="U2124" i="5"/>
  <c r="T2124" i="5"/>
  <c r="S2124" i="5"/>
  <c r="I2124" i="5"/>
  <c r="R2124" i="5" s="1"/>
  <c r="H2124" i="5"/>
  <c r="G2124" i="5"/>
  <c r="Q2124" i="5" s="1"/>
  <c r="F2124" i="5"/>
  <c r="E2124" i="5"/>
  <c r="P2124" i="5" s="1"/>
  <c r="D2124" i="5"/>
  <c r="U2123" i="5"/>
  <c r="T2123" i="5"/>
  <c r="S2123" i="5"/>
  <c r="I2123" i="5"/>
  <c r="R2123" i="5" s="1"/>
  <c r="H2123" i="5"/>
  <c r="G2123" i="5"/>
  <c r="Q2123" i="5" s="1"/>
  <c r="F2123" i="5"/>
  <c r="E2123" i="5"/>
  <c r="P2123" i="5" s="1"/>
  <c r="D2123" i="5"/>
  <c r="U2122" i="5"/>
  <c r="T2122" i="5"/>
  <c r="S2122" i="5"/>
  <c r="I2122" i="5"/>
  <c r="R2122" i="5" s="1"/>
  <c r="H2122" i="5"/>
  <c r="G2122" i="5"/>
  <c r="Q2122" i="5" s="1"/>
  <c r="F2122" i="5"/>
  <c r="E2122" i="5"/>
  <c r="P2122" i="5" s="1"/>
  <c r="D2122" i="5"/>
  <c r="U2121" i="5"/>
  <c r="T2121" i="5"/>
  <c r="S2121" i="5"/>
  <c r="I2121" i="5"/>
  <c r="R2121" i="5" s="1"/>
  <c r="H2121" i="5"/>
  <c r="G2121" i="5"/>
  <c r="Q2121" i="5" s="1"/>
  <c r="F2121" i="5"/>
  <c r="E2121" i="5"/>
  <c r="P2121" i="5" s="1"/>
  <c r="D2121" i="5"/>
  <c r="U2120" i="5"/>
  <c r="T2120" i="5"/>
  <c r="S2120" i="5"/>
  <c r="I2120" i="5"/>
  <c r="R2120" i="5" s="1"/>
  <c r="H2120" i="5"/>
  <c r="G2120" i="5"/>
  <c r="Q2120" i="5" s="1"/>
  <c r="F2120" i="5"/>
  <c r="E2120" i="5"/>
  <c r="P2120" i="5" s="1"/>
  <c r="D2120" i="5"/>
  <c r="U2119" i="5"/>
  <c r="T2119" i="5"/>
  <c r="S2119" i="5"/>
  <c r="I2119" i="5"/>
  <c r="R2119" i="5" s="1"/>
  <c r="H2119" i="5"/>
  <c r="G2119" i="5"/>
  <c r="Q2119" i="5" s="1"/>
  <c r="F2119" i="5"/>
  <c r="E2119" i="5"/>
  <c r="P2119" i="5" s="1"/>
  <c r="D2119" i="5"/>
  <c r="U531" i="5"/>
  <c r="S531" i="5"/>
  <c r="I531" i="5"/>
  <c r="R531" i="5" s="1"/>
  <c r="H531" i="5"/>
  <c r="G531" i="5"/>
  <c r="Q531" i="5" s="1"/>
  <c r="F531" i="5"/>
  <c r="E531" i="5"/>
  <c r="P531" i="5" s="1"/>
  <c r="D531" i="5"/>
  <c r="T2111" i="5"/>
  <c r="S2111" i="5"/>
  <c r="I2111" i="5"/>
  <c r="R2111" i="5" s="1"/>
  <c r="H2111" i="5"/>
  <c r="G2111" i="5"/>
  <c r="Q2111" i="5" s="1"/>
  <c r="F2111" i="5"/>
  <c r="E2111" i="5"/>
  <c r="P2111" i="5" s="1"/>
  <c r="D2111" i="5"/>
  <c r="U2111" i="5" s="1"/>
  <c r="U2110" i="5"/>
  <c r="T2110" i="5"/>
  <c r="S2110" i="5"/>
  <c r="O2110" i="5"/>
  <c r="N2110" i="5"/>
  <c r="I2110" i="5"/>
  <c r="R2110" i="5" s="1"/>
  <c r="H2110" i="5"/>
  <c r="G2110" i="5"/>
  <c r="Q2110" i="5" s="1"/>
  <c r="F2110" i="5"/>
  <c r="E2110" i="5"/>
  <c r="P2110" i="5" s="1"/>
  <c r="D2110" i="5"/>
  <c r="U2109" i="5"/>
  <c r="T2109" i="5"/>
  <c r="S2109" i="5"/>
  <c r="I2109" i="5"/>
  <c r="R2109" i="5" s="1"/>
  <c r="H2109" i="5"/>
  <c r="G2109" i="5"/>
  <c r="Q2109" i="5" s="1"/>
  <c r="F2109" i="5"/>
  <c r="E2109" i="5"/>
  <c r="P2109" i="5" s="1"/>
  <c r="D2109" i="5"/>
  <c r="U2108" i="5"/>
  <c r="T2108" i="5"/>
  <c r="S2108" i="5"/>
  <c r="I2108" i="5"/>
  <c r="R2108" i="5" s="1"/>
  <c r="H2108" i="5"/>
  <c r="G2108" i="5"/>
  <c r="Q2108" i="5" s="1"/>
  <c r="F2108" i="5"/>
  <c r="E2108" i="5"/>
  <c r="P2108" i="5" s="1"/>
  <c r="D2108" i="5"/>
  <c r="U2107" i="5"/>
  <c r="T2107" i="5"/>
  <c r="S2107" i="5"/>
  <c r="I2107" i="5"/>
  <c r="R2107" i="5" s="1"/>
  <c r="H2107" i="5"/>
  <c r="G2107" i="5"/>
  <c r="Q2107" i="5" s="1"/>
  <c r="F2107" i="5"/>
  <c r="E2107" i="5"/>
  <c r="P2107" i="5" s="1"/>
  <c r="D2107" i="5"/>
  <c r="U2106" i="5"/>
  <c r="T2106" i="5"/>
  <c r="S2106" i="5"/>
  <c r="I2106" i="5"/>
  <c r="R2106" i="5" s="1"/>
  <c r="H2106" i="5"/>
  <c r="G2106" i="5"/>
  <c r="Q2106" i="5" s="1"/>
  <c r="F2106" i="5"/>
  <c r="E2106" i="5"/>
  <c r="P2106" i="5" s="1"/>
  <c r="D2106" i="5"/>
  <c r="T2105" i="5"/>
  <c r="S2105" i="5"/>
  <c r="I2105" i="5"/>
  <c r="R2105" i="5" s="1"/>
  <c r="H2105" i="5"/>
  <c r="G2105" i="5"/>
  <c r="Q2105" i="5" s="1"/>
  <c r="F2105" i="5"/>
  <c r="E2105" i="5"/>
  <c r="P2105" i="5" s="1"/>
  <c r="D2105" i="5"/>
  <c r="U2105" i="5" s="1"/>
  <c r="U2104" i="5"/>
  <c r="T2104" i="5"/>
  <c r="S2104" i="5"/>
  <c r="I2104" i="5"/>
  <c r="R2104" i="5" s="1"/>
  <c r="H2104" i="5"/>
  <c r="G2104" i="5"/>
  <c r="Q2104" i="5" s="1"/>
  <c r="F2104" i="5"/>
  <c r="E2104" i="5"/>
  <c r="P2104" i="5" s="1"/>
  <c r="D2104" i="5"/>
  <c r="U2103" i="5"/>
  <c r="T2103" i="5"/>
  <c r="S2103" i="5"/>
  <c r="O2103" i="5"/>
  <c r="N2103" i="5"/>
  <c r="I2103" i="5"/>
  <c r="R2103" i="5" s="1"/>
  <c r="H2103" i="5"/>
  <c r="G2103" i="5"/>
  <c r="Q2103" i="5" s="1"/>
  <c r="F2103" i="5"/>
  <c r="E2103" i="5"/>
  <c r="P2103" i="5" s="1"/>
  <c r="D2103" i="5"/>
  <c r="U2102" i="5"/>
  <c r="T2102" i="5"/>
  <c r="S2102" i="5"/>
  <c r="I2102" i="5"/>
  <c r="R2102" i="5" s="1"/>
  <c r="H2102" i="5"/>
  <c r="G2102" i="5"/>
  <c r="Q2102" i="5" s="1"/>
  <c r="F2102" i="5"/>
  <c r="E2102" i="5"/>
  <c r="P2102" i="5" s="1"/>
  <c r="D2102" i="5"/>
  <c r="U2101" i="5"/>
  <c r="T2101" i="5"/>
  <c r="S2101" i="5"/>
  <c r="O2101" i="5"/>
  <c r="N2101" i="5"/>
  <c r="I2101" i="5"/>
  <c r="R2101" i="5" s="1"/>
  <c r="H2101" i="5"/>
  <c r="G2101" i="5"/>
  <c r="Q2101" i="5" s="1"/>
  <c r="F2101" i="5"/>
  <c r="E2101" i="5"/>
  <c r="P2101" i="5" s="1"/>
  <c r="D2101" i="5"/>
  <c r="U2100" i="5"/>
  <c r="T2100" i="5"/>
  <c r="S2100" i="5"/>
  <c r="I2100" i="5"/>
  <c r="R2100" i="5" s="1"/>
  <c r="H2100" i="5"/>
  <c r="G2100" i="5"/>
  <c r="Q2100" i="5" s="1"/>
  <c r="F2100" i="5"/>
  <c r="E2100" i="5"/>
  <c r="P2100" i="5" s="1"/>
  <c r="D2100" i="5"/>
  <c r="U2099" i="5"/>
  <c r="T2099" i="5"/>
  <c r="S2099" i="5"/>
  <c r="O2099" i="5"/>
  <c r="N2099" i="5"/>
  <c r="I2099" i="5"/>
  <c r="R2099" i="5" s="1"/>
  <c r="H2099" i="5"/>
  <c r="G2099" i="5"/>
  <c r="Q2099" i="5" s="1"/>
  <c r="F2099" i="5"/>
  <c r="E2099" i="5"/>
  <c r="P2099" i="5" s="1"/>
  <c r="D2099" i="5"/>
  <c r="U2098" i="5"/>
  <c r="T2098" i="5"/>
  <c r="S2098" i="5"/>
  <c r="O2098" i="5"/>
  <c r="N2098" i="5"/>
  <c r="I2098" i="5"/>
  <c r="R2098" i="5" s="1"/>
  <c r="H2098" i="5"/>
  <c r="G2098" i="5"/>
  <c r="Q2098" i="5" s="1"/>
  <c r="F2098" i="5"/>
  <c r="E2098" i="5"/>
  <c r="P2098" i="5" s="1"/>
  <c r="D2098" i="5"/>
  <c r="U521" i="5"/>
  <c r="S521" i="5"/>
  <c r="I521" i="5"/>
  <c r="R521" i="5" s="1"/>
  <c r="H521" i="5"/>
  <c r="G521" i="5"/>
  <c r="Q521" i="5" s="1"/>
  <c r="F521" i="5"/>
  <c r="E521" i="5"/>
  <c r="P521" i="5" s="1"/>
  <c r="D521" i="5"/>
  <c r="T2097" i="5"/>
  <c r="S2097" i="5"/>
  <c r="I2097" i="5"/>
  <c r="R2097" i="5" s="1"/>
  <c r="H2097" i="5"/>
  <c r="G2097" i="5"/>
  <c r="Q2097" i="5" s="1"/>
  <c r="F2097" i="5"/>
  <c r="E2097" i="5"/>
  <c r="P2097" i="5" s="1"/>
  <c r="D2097" i="5"/>
  <c r="U2097" i="5" s="1"/>
  <c r="U2096" i="5"/>
  <c r="T2096" i="5"/>
  <c r="S2096" i="5"/>
  <c r="I2096" i="5"/>
  <c r="R2096" i="5" s="1"/>
  <c r="H2096" i="5"/>
  <c r="G2096" i="5"/>
  <c r="Q2096" i="5" s="1"/>
  <c r="F2096" i="5"/>
  <c r="E2096" i="5"/>
  <c r="P2096" i="5" s="1"/>
  <c r="D2096" i="5"/>
  <c r="U2095" i="5"/>
  <c r="T2095" i="5"/>
  <c r="S2095" i="5"/>
  <c r="I2095" i="5"/>
  <c r="R2095" i="5" s="1"/>
  <c r="H2095" i="5"/>
  <c r="G2095" i="5"/>
  <c r="Q2095" i="5" s="1"/>
  <c r="F2095" i="5"/>
  <c r="E2095" i="5"/>
  <c r="P2095" i="5" s="1"/>
  <c r="D2095" i="5"/>
  <c r="U2094" i="5"/>
  <c r="T2094" i="5"/>
  <c r="S2094" i="5"/>
  <c r="I2094" i="5"/>
  <c r="R2094" i="5" s="1"/>
  <c r="H2094" i="5"/>
  <c r="G2094" i="5"/>
  <c r="Q2094" i="5" s="1"/>
  <c r="F2094" i="5"/>
  <c r="E2094" i="5"/>
  <c r="P2094" i="5" s="1"/>
  <c r="D2094" i="5"/>
  <c r="U2093" i="5"/>
  <c r="T2093" i="5"/>
  <c r="S2093" i="5"/>
  <c r="I2093" i="5"/>
  <c r="R2093" i="5" s="1"/>
  <c r="H2093" i="5"/>
  <c r="G2093" i="5"/>
  <c r="Q2093" i="5" s="1"/>
  <c r="F2093" i="5"/>
  <c r="E2093" i="5"/>
  <c r="P2093" i="5" s="1"/>
  <c r="D2093" i="5"/>
  <c r="U2092" i="5"/>
  <c r="T2092" i="5"/>
  <c r="S2092" i="5"/>
  <c r="I2092" i="5"/>
  <c r="R2092" i="5" s="1"/>
  <c r="H2092" i="5"/>
  <c r="G2092" i="5"/>
  <c r="Q2092" i="5" s="1"/>
  <c r="F2092" i="5"/>
  <c r="E2092" i="5"/>
  <c r="P2092" i="5" s="1"/>
  <c r="D2092" i="5"/>
  <c r="T2091" i="5"/>
  <c r="S2091" i="5"/>
  <c r="I2091" i="5"/>
  <c r="R2091" i="5" s="1"/>
  <c r="H2091" i="5"/>
  <c r="G2091" i="5"/>
  <c r="Q2091" i="5" s="1"/>
  <c r="F2091" i="5"/>
  <c r="E2091" i="5"/>
  <c r="P2091" i="5" s="1"/>
  <c r="D2091" i="5"/>
  <c r="U2091" i="5" s="1"/>
  <c r="U2090" i="5"/>
  <c r="T2090" i="5"/>
  <c r="S2090" i="5"/>
  <c r="I2090" i="5"/>
  <c r="R2090" i="5" s="1"/>
  <c r="H2090" i="5"/>
  <c r="G2090" i="5"/>
  <c r="Q2090" i="5" s="1"/>
  <c r="F2090" i="5"/>
  <c r="E2090" i="5"/>
  <c r="P2090" i="5" s="1"/>
  <c r="D2090" i="5"/>
  <c r="U2089" i="5"/>
  <c r="T2089" i="5"/>
  <c r="S2089" i="5"/>
  <c r="I2089" i="5"/>
  <c r="R2089" i="5" s="1"/>
  <c r="H2089" i="5"/>
  <c r="G2089" i="5"/>
  <c r="Q2089" i="5" s="1"/>
  <c r="F2089" i="5"/>
  <c r="E2089" i="5"/>
  <c r="P2089" i="5" s="1"/>
  <c r="D2089" i="5"/>
  <c r="U2088" i="5"/>
  <c r="T2088" i="5"/>
  <c r="S2088" i="5"/>
  <c r="I2088" i="5"/>
  <c r="R2088" i="5" s="1"/>
  <c r="H2088" i="5"/>
  <c r="G2088" i="5"/>
  <c r="Q2088" i="5" s="1"/>
  <c r="F2088" i="5"/>
  <c r="E2088" i="5"/>
  <c r="P2088" i="5" s="1"/>
  <c r="D2088" i="5"/>
  <c r="U2087" i="5"/>
  <c r="T2087" i="5"/>
  <c r="S2087" i="5"/>
  <c r="I2087" i="5"/>
  <c r="R2087" i="5" s="1"/>
  <c r="H2087" i="5"/>
  <c r="G2087" i="5"/>
  <c r="Q2087" i="5" s="1"/>
  <c r="F2087" i="5"/>
  <c r="E2087" i="5"/>
  <c r="P2087" i="5" s="1"/>
  <c r="D2087" i="5"/>
  <c r="U2086" i="5"/>
  <c r="T2086" i="5"/>
  <c r="S2086" i="5"/>
  <c r="I2086" i="5"/>
  <c r="R2086" i="5" s="1"/>
  <c r="H2086" i="5"/>
  <c r="G2086" i="5"/>
  <c r="Q2086" i="5" s="1"/>
  <c r="F2086" i="5"/>
  <c r="E2086" i="5"/>
  <c r="P2086" i="5" s="1"/>
  <c r="D2086" i="5"/>
  <c r="U2085" i="5"/>
  <c r="T2085" i="5"/>
  <c r="S2085" i="5"/>
  <c r="I2085" i="5"/>
  <c r="R2085" i="5" s="1"/>
  <c r="H2085" i="5"/>
  <c r="G2085" i="5"/>
  <c r="Q2085" i="5" s="1"/>
  <c r="F2085" i="5"/>
  <c r="E2085" i="5"/>
  <c r="P2085" i="5" s="1"/>
  <c r="D2085" i="5"/>
  <c r="U2084" i="5"/>
  <c r="T2084" i="5"/>
  <c r="S2084" i="5"/>
  <c r="I2084" i="5"/>
  <c r="R2084" i="5" s="1"/>
  <c r="H2084" i="5"/>
  <c r="G2084" i="5"/>
  <c r="Q2084" i="5" s="1"/>
  <c r="F2084" i="5"/>
  <c r="E2084" i="5"/>
  <c r="P2084" i="5" s="1"/>
  <c r="D2084" i="5"/>
  <c r="U511" i="5"/>
  <c r="S511" i="5"/>
  <c r="I511" i="5"/>
  <c r="R511" i="5" s="1"/>
  <c r="H511" i="5"/>
  <c r="G511" i="5"/>
  <c r="Q511" i="5" s="1"/>
  <c r="F511" i="5"/>
  <c r="E511" i="5"/>
  <c r="P511" i="5" s="1"/>
  <c r="D511" i="5"/>
  <c r="T2083" i="5"/>
  <c r="S2083" i="5"/>
  <c r="I2083" i="5"/>
  <c r="R2083" i="5" s="1"/>
  <c r="H2083" i="5"/>
  <c r="G2083" i="5"/>
  <c r="Q2083" i="5" s="1"/>
  <c r="F2083" i="5"/>
  <c r="E2083" i="5"/>
  <c r="P2083" i="5" s="1"/>
  <c r="D2083" i="5"/>
  <c r="U2083" i="5" s="1"/>
  <c r="U2082" i="5"/>
  <c r="T2082" i="5"/>
  <c r="S2082" i="5"/>
  <c r="I2082" i="5"/>
  <c r="R2082" i="5" s="1"/>
  <c r="H2082" i="5"/>
  <c r="G2082" i="5"/>
  <c r="Q2082" i="5" s="1"/>
  <c r="F2082" i="5"/>
  <c r="E2082" i="5"/>
  <c r="P2082" i="5" s="1"/>
  <c r="D2082" i="5"/>
  <c r="U2081" i="5"/>
  <c r="T2081" i="5"/>
  <c r="S2081" i="5"/>
  <c r="I2081" i="5"/>
  <c r="R2081" i="5" s="1"/>
  <c r="H2081" i="5"/>
  <c r="G2081" i="5"/>
  <c r="Q2081" i="5" s="1"/>
  <c r="F2081" i="5"/>
  <c r="E2081" i="5"/>
  <c r="P2081" i="5" s="1"/>
  <c r="D2081" i="5"/>
  <c r="U2080" i="5"/>
  <c r="T2080" i="5"/>
  <c r="S2080" i="5"/>
  <c r="I2080" i="5"/>
  <c r="R2080" i="5" s="1"/>
  <c r="H2080" i="5"/>
  <c r="G2080" i="5"/>
  <c r="Q2080" i="5" s="1"/>
  <c r="F2080" i="5"/>
  <c r="E2080" i="5"/>
  <c r="P2080" i="5" s="1"/>
  <c r="D2080" i="5"/>
  <c r="U2079" i="5"/>
  <c r="T2079" i="5"/>
  <c r="S2079" i="5"/>
  <c r="I2079" i="5"/>
  <c r="R2079" i="5" s="1"/>
  <c r="H2079" i="5"/>
  <c r="G2079" i="5"/>
  <c r="Q2079" i="5" s="1"/>
  <c r="F2079" i="5"/>
  <c r="E2079" i="5"/>
  <c r="P2079" i="5" s="1"/>
  <c r="D2079" i="5"/>
  <c r="U2078" i="5"/>
  <c r="T2078" i="5"/>
  <c r="S2078" i="5"/>
  <c r="I2078" i="5"/>
  <c r="R2078" i="5" s="1"/>
  <c r="H2078" i="5"/>
  <c r="G2078" i="5"/>
  <c r="Q2078" i="5" s="1"/>
  <c r="F2078" i="5"/>
  <c r="E2078" i="5"/>
  <c r="P2078" i="5" s="1"/>
  <c r="D2078" i="5"/>
  <c r="T2077" i="5"/>
  <c r="S2077" i="5"/>
  <c r="I2077" i="5"/>
  <c r="R2077" i="5" s="1"/>
  <c r="H2077" i="5"/>
  <c r="G2077" i="5"/>
  <c r="Q2077" i="5" s="1"/>
  <c r="F2077" i="5"/>
  <c r="E2077" i="5"/>
  <c r="P2077" i="5" s="1"/>
  <c r="D2077" i="5"/>
  <c r="U2077" i="5" s="1"/>
  <c r="U2076" i="5"/>
  <c r="T2076" i="5"/>
  <c r="S2076" i="5"/>
  <c r="I2076" i="5"/>
  <c r="R2076" i="5" s="1"/>
  <c r="H2076" i="5"/>
  <c r="G2076" i="5"/>
  <c r="Q2076" i="5" s="1"/>
  <c r="F2076" i="5"/>
  <c r="E2076" i="5"/>
  <c r="P2076" i="5" s="1"/>
  <c r="D2076" i="5"/>
  <c r="U2075" i="5"/>
  <c r="T2075" i="5"/>
  <c r="S2075" i="5"/>
  <c r="I2075" i="5"/>
  <c r="R2075" i="5" s="1"/>
  <c r="H2075" i="5"/>
  <c r="G2075" i="5"/>
  <c r="Q2075" i="5" s="1"/>
  <c r="F2075" i="5"/>
  <c r="E2075" i="5"/>
  <c r="P2075" i="5" s="1"/>
  <c r="D2075" i="5"/>
  <c r="U2074" i="5"/>
  <c r="T2074" i="5"/>
  <c r="S2074" i="5"/>
  <c r="I2074" i="5"/>
  <c r="R2074" i="5" s="1"/>
  <c r="H2074" i="5"/>
  <c r="G2074" i="5"/>
  <c r="Q2074" i="5" s="1"/>
  <c r="F2074" i="5"/>
  <c r="E2074" i="5"/>
  <c r="P2074" i="5" s="1"/>
  <c r="D2074" i="5"/>
  <c r="U2073" i="5"/>
  <c r="T2073" i="5"/>
  <c r="S2073" i="5"/>
  <c r="I2073" i="5"/>
  <c r="R2073" i="5" s="1"/>
  <c r="H2073" i="5"/>
  <c r="G2073" i="5"/>
  <c r="Q2073" i="5" s="1"/>
  <c r="F2073" i="5"/>
  <c r="E2073" i="5"/>
  <c r="P2073" i="5" s="1"/>
  <c r="D2073" i="5"/>
  <c r="U2072" i="5"/>
  <c r="T2072" i="5"/>
  <c r="S2072" i="5"/>
  <c r="I2072" i="5"/>
  <c r="R2072" i="5" s="1"/>
  <c r="H2072" i="5"/>
  <c r="G2072" i="5"/>
  <c r="Q2072" i="5" s="1"/>
  <c r="F2072" i="5"/>
  <c r="E2072" i="5"/>
  <c r="P2072" i="5" s="1"/>
  <c r="D2072" i="5"/>
  <c r="U2071" i="5"/>
  <c r="T2071" i="5"/>
  <c r="S2071" i="5"/>
  <c r="I2071" i="5"/>
  <c r="R2071" i="5" s="1"/>
  <c r="H2071" i="5"/>
  <c r="G2071" i="5"/>
  <c r="Q2071" i="5" s="1"/>
  <c r="F2071" i="5"/>
  <c r="E2071" i="5"/>
  <c r="P2071" i="5" s="1"/>
  <c r="D2071" i="5"/>
  <c r="U2070" i="5"/>
  <c r="T2070" i="5"/>
  <c r="S2070" i="5"/>
  <c r="I2070" i="5"/>
  <c r="R2070" i="5" s="1"/>
  <c r="H2070" i="5"/>
  <c r="G2070" i="5"/>
  <c r="Q2070" i="5" s="1"/>
  <c r="F2070" i="5"/>
  <c r="E2070" i="5"/>
  <c r="P2070" i="5" s="1"/>
  <c r="D2070" i="5"/>
  <c r="U501" i="5"/>
  <c r="S501" i="5"/>
  <c r="I501" i="5"/>
  <c r="R501" i="5" s="1"/>
  <c r="H501" i="5"/>
  <c r="G501" i="5"/>
  <c r="Q501" i="5" s="1"/>
  <c r="F501" i="5"/>
  <c r="E501" i="5"/>
  <c r="P501" i="5" s="1"/>
  <c r="D501" i="5"/>
  <c r="T2069" i="5"/>
  <c r="S2069" i="5"/>
  <c r="I2069" i="5"/>
  <c r="R2069" i="5" s="1"/>
  <c r="H2069" i="5"/>
  <c r="G2069" i="5"/>
  <c r="Q2069" i="5" s="1"/>
  <c r="F2069" i="5"/>
  <c r="E2069" i="5"/>
  <c r="P2069" i="5" s="1"/>
  <c r="D2069" i="5"/>
  <c r="U2069" i="5" s="1"/>
  <c r="U2068" i="5"/>
  <c r="T2068" i="5"/>
  <c r="S2068" i="5"/>
  <c r="I2068" i="5"/>
  <c r="R2068" i="5" s="1"/>
  <c r="H2068" i="5"/>
  <c r="G2068" i="5"/>
  <c r="Q2068" i="5" s="1"/>
  <c r="F2068" i="5"/>
  <c r="E2068" i="5"/>
  <c r="P2068" i="5" s="1"/>
  <c r="D2068" i="5"/>
  <c r="U2067" i="5"/>
  <c r="T2067" i="5"/>
  <c r="S2067" i="5"/>
  <c r="I2067" i="5"/>
  <c r="R2067" i="5" s="1"/>
  <c r="H2067" i="5"/>
  <c r="G2067" i="5"/>
  <c r="Q2067" i="5" s="1"/>
  <c r="F2067" i="5"/>
  <c r="E2067" i="5"/>
  <c r="P2067" i="5" s="1"/>
  <c r="D2067" i="5"/>
  <c r="U2066" i="5"/>
  <c r="T2066" i="5"/>
  <c r="S2066" i="5"/>
  <c r="I2066" i="5"/>
  <c r="R2066" i="5" s="1"/>
  <c r="H2066" i="5"/>
  <c r="G2066" i="5"/>
  <c r="Q2066" i="5" s="1"/>
  <c r="F2066" i="5"/>
  <c r="E2066" i="5"/>
  <c r="P2066" i="5" s="1"/>
  <c r="D2066" i="5"/>
  <c r="U2065" i="5"/>
  <c r="T2065" i="5"/>
  <c r="S2065" i="5"/>
  <c r="I2065" i="5"/>
  <c r="R2065" i="5" s="1"/>
  <c r="H2065" i="5"/>
  <c r="G2065" i="5"/>
  <c r="Q2065" i="5" s="1"/>
  <c r="F2065" i="5"/>
  <c r="E2065" i="5"/>
  <c r="P2065" i="5" s="1"/>
  <c r="D2065" i="5"/>
  <c r="U2064" i="5"/>
  <c r="T2064" i="5"/>
  <c r="S2064" i="5"/>
  <c r="I2064" i="5"/>
  <c r="R2064" i="5" s="1"/>
  <c r="H2064" i="5"/>
  <c r="G2064" i="5"/>
  <c r="Q2064" i="5" s="1"/>
  <c r="F2064" i="5"/>
  <c r="E2064" i="5"/>
  <c r="P2064" i="5" s="1"/>
  <c r="D2064" i="5"/>
  <c r="T2063" i="5"/>
  <c r="S2063" i="5"/>
  <c r="I2063" i="5"/>
  <c r="R2063" i="5" s="1"/>
  <c r="H2063" i="5"/>
  <c r="G2063" i="5"/>
  <c r="Q2063" i="5" s="1"/>
  <c r="F2063" i="5"/>
  <c r="E2063" i="5"/>
  <c r="P2063" i="5" s="1"/>
  <c r="D2063" i="5"/>
  <c r="U2063" i="5" s="1"/>
  <c r="U2062" i="5"/>
  <c r="T2062" i="5"/>
  <c r="S2062" i="5"/>
  <c r="I2062" i="5"/>
  <c r="R2062" i="5" s="1"/>
  <c r="H2062" i="5"/>
  <c r="G2062" i="5"/>
  <c r="Q2062" i="5" s="1"/>
  <c r="F2062" i="5"/>
  <c r="E2062" i="5"/>
  <c r="P2062" i="5" s="1"/>
  <c r="D2062" i="5"/>
  <c r="U2061" i="5"/>
  <c r="T2061" i="5"/>
  <c r="S2061" i="5"/>
  <c r="I2061" i="5"/>
  <c r="R2061" i="5" s="1"/>
  <c r="H2061" i="5"/>
  <c r="G2061" i="5"/>
  <c r="Q2061" i="5" s="1"/>
  <c r="F2061" i="5"/>
  <c r="E2061" i="5"/>
  <c r="P2061" i="5" s="1"/>
  <c r="D2061" i="5"/>
  <c r="U2060" i="5"/>
  <c r="T2060" i="5"/>
  <c r="S2060" i="5"/>
  <c r="I2060" i="5"/>
  <c r="R2060" i="5" s="1"/>
  <c r="H2060" i="5"/>
  <c r="G2060" i="5"/>
  <c r="Q2060" i="5" s="1"/>
  <c r="F2060" i="5"/>
  <c r="E2060" i="5"/>
  <c r="P2060" i="5" s="1"/>
  <c r="D2060" i="5"/>
  <c r="U2059" i="5"/>
  <c r="T2059" i="5"/>
  <c r="S2059" i="5"/>
  <c r="I2059" i="5"/>
  <c r="R2059" i="5" s="1"/>
  <c r="H2059" i="5"/>
  <c r="G2059" i="5"/>
  <c r="Q2059" i="5" s="1"/>
  <c r="F2059" i="5"/>
  <c r="E2059" i="5"/>
  <c r="P2059" i="5" s="1"/>
  <c r="D2059" i="5"/>
  <c r="U2058" i="5"/>
  <c r="T2058" i="5"/>
  <c r="S2058" i="5"/>
  <c r="I2058" i="5"/>
  <c r="R2058" i="5" s="1"/>
  <c r="H2058" i="5"/>
  <c r="G2058" i="5"/>
  <c r="Q2058" i="5" s="1"/>
  <c r="F2058" i="5"/>
  <c r="E2058" i="5"/>
  <c r="P2058" i="5" s="1"/>
  <c r="D2058" i="5"/>
  <c r="U2057" i="5"/>
  <c r="T2057" i="5"/>
  <c r="S2057" i="5"/>
  <c r="I2057" i="5"/>
  <c r="R2057" i="5" s="1"/>
  <c r="H2057" i="5"/>
  <c r="G2057" i="5"/>
  <c r="Q2057" i="5" s="1"/>
  <c r="F2057" i="5"/>
  <c r="E2057" i="5"/>
  <c r="P2057" i="5" s="1"/>
  <c r="D2057" i="5"/>
  <c r="U2056" i="5"/>
  <c r="T2056" i="5"/>
  <c r="S2056" i="5"/>
  <c r="I2056" i="5"/>
  <c r="R2056" i="5" s="1"/>
  <c r="H2056" i="5"/>
  <c r="G2056" i="5"/>
  <c r="Q2056" i="5" s="1"/>
  <c r="F2056" i="5"/>
  <c r="E2056" i="5"/>
  <c r="P2056" i="5" s="1"/>
  <c r="D2056" i="5"/>
  <c r="U491" i="5"/>
  <c r="S491" i="5"/>
  <c r="I491" i="5"/>
  <c r="R491" i="5" s="1"/>
  <c r="H491" i="5"/>
  <c r="G491" i="5"/>
  <c r="Q491" i="5" s="1"/>
  <c r="F491" i="5"/>
  <c r="E491" i="5"/>
  <c r="P491" i="5" s="1"/>
  <c r="D491" i="5"/>
  <c r="T2049" i="5"/>
  <c r="S2049" i="5"/>
  <c r="I2049" i="5"/>
  <c r="R2049" i="5" s="1"/>
  <c r="H2049" i="5"/>
  <c r="G2049" i="5"/>
  <c r="Q2049" i="5" s="1"/>
  <c r="F2049" i="5"/>
  <c r="E2049" i="5"/>
  <c r="D2049" i="5"/>
  <c r="U2048" i="5"/>
  <c r="T2048" i="5"/>
  <c r="S2048" i="5"/>
  <c r="O2048" i="5"/>
  <c r="N2048" i="5"/>
  <c r="I2048" i="5"/>
  <c r="R2048" i="5" s="1"/>
  <c r="H2048" i="5"/>
  <c r="G2048" i="5"/>
  <c r="Q2048" i="5" s="1"/>
  <c r="F2048" i="5"/>
  <c r="E2048" i="5"/>
  <c r="D2048" i="5"/>
  <c r="U2047" i="5"/>
  <c r="T2047" i="5"/>
  <c r="S2047" i="5"/>
  <c r="I2047" i="5"/>
  <c r="R2047" i="5" s="1"/>
  <c r="H2047" i="5"/>
  <c r="G2047" i="5"/>
  <c r="Q2047" i="5" s="1"/>
  <c r="F2047" i="5"/>
  <c r="E2047" i="5"/>
  <c r="D2047" i="5"/>
  <c r="D2799" i="5" s="1"/>
  <c r="D4417" i="5" s="1"/>
  <c r="U2046" i="5"/>
  <c r="T2046" i="5"/>
  <c r="S2046" i="5"/>
  <c r="I2046" i="5"/>
  <c r="R2046" i="5" s="1"/>
  <c r="H2046" i="5"/>
  <c r="G2046" i="5"/>
  <c r="Q2046" i="5" s="1"/>
  <c r="F2046" i="5"/>
  <c r="E2046" i="5"/>
  <c r="D2046" i="5"/>
  <c r="D2798" i="5" s="1"/>
  <c r="D2814" i="5" s="1"/>
  <c r="U2045" i="5"/>
  <c r="T2045" i="5"/>
  <c r="S2045" i="5"/>
  <c r="I2045" i="5"/>
  <c r="R2045" i="5" s="1"/>
  <c r="H2045" i="5"/>
  <c r="G2045" i="5"/>
  <c r="Q2045" i="5" s="1"/>
  <c r="F2045" i="5"/>
  <c r="E2045" i="5"/>
  <c r="D2045" i="5"/>
  <c r="D2797" i="5" s="1"/>
  <c r="U2044" i="5"/>
  <c r="T2044" i="5"/>
  <c r="S2044" i="5"/>
  <c r="I2044" i="5"/>
  <c r="R2044" i="5" s="1"/>
  <c r="H2044" i="5"/>
  <c r="G2044" i="5"/>
  <c r="Q2044" i="5" s="1"/>
  <c r="F2044" i="5"/>
  <c r="E2044" i="5"/>
  <c r="D2044" i="5"/>
  <c r="D2796" i="5" s="1"/>
  <c r="D3788" i="5" s="1"/>
  <c r="U3788" i="5" s="1"/>
  <c r="T2043" i="5"/>
  <c r="S2043" i="5"/>
  <c r="I2043" i="5"/>
  <c r="R2043" i="5" s="1"/>
  <c r="H2043" i="5"/>
  <c r="G2043" i="5"/>
  <c r="Q2043" i="5" s="1"/>
  <c r="F2043" i="5"/>
  <c r="E2043" i="5"/>
  <c r="D2043" i="5"/>
  <c r="U2042" i="5"/>
  <c r="T2042" i="5"/>
  <c r="S2042" i="5"/>
  <c r="I2042" i="5"/>
  <c r="R2042" i="5" s="1"/>
  <c r="H2042" i="5"/>
  <c r="G2042" i="5"/>
  <c r="Q2042" i="5" s="1"/>
  <c r="F2042" i="5"/>
  <c r="E2042" i="5"/>
  <c r="D2042" i="5"/>
  <c r="D2794" i="5" s="1"/>
  <c r="D3786" i="5" s="1"/>
  <c r="D4170" i="5" s="1"/>
  <c r="U4170" i="5" s="1"/>
  <c r="U2041" i="5"/>
  <c r="T2041" i="5"/>
  <c r="S2041" i="5"/>
  <c r="I2041" i="5"/>
  <c r="R2041" i="5" s="1"/>
  <c r="H2041" i="5"/>
  <c r="G2041" i="5"/>
  <c r="Q2041" i="5" s="1"/>
  <c r="F2041" i="5"/>
  <c r="E2041" i="5"/>
  <c r="P2041" i="5" s="1"/>
  <c r="D2041" i="5"/>
  <c r="U2040" i="5"/>
  <c r="T2040" i="5"/>
  <c r="S2040" i="5"/>
  <c r="O2040" i="5"/>
  <c r="N2040" i="5"/>
  <c r="I2040" i="5"/>
  <c r="R2040" i="5" s="1"/>
  <c r="H2040" i="5"/>
  <c r="G2040" i="5"/>
  <c r="Q2040" i="5" s="1"/>
  <c r="F2040" i="5"/>
  <c r="E2040" i="5"/>
  <c r="P2040" i="5" s="1"/>
  <c r="D2040" i="5"/>
  <c r="U2039" i="5"/>
  <c r="T2039" i="5"/>
  <c r="S2039" i="5"/>
  <c r="I2039" i="5"/>
  <c r="R2039" i="5" s="1"/>
  <c r="H2039" i="5"/>
  <c r="G2039" i="5"/>
  <c r="Q2039" i="5" s="1"/>
  <c r="F2039" i="5"/>
  <c r="E2039" i="5"/>
  <c r="P2039" i="5" s="1"/>
  <c r="D2039" i="5"/>
  <c r="U2038" i="5"/>
  <c r="T2038" i="5"/>
  <c r="S2038" i="5"/>
  <c r="O2038" i="5"/>
  <c r="N2038" i="5"/>
  <c r="I2038" i="5"/>
  <c r="R2038" i="5" s="1"/>
  <c r="H2038" i="5"/>
  <c r="G2038" i="5"/>
  <c r="Q2038" i="5" s="1"/>
  <c r="F2038" i="5"/>
  <c r="E2038" i="5"/>
  <c r="P2038" i="5" s="1"/>
  <c r="D2038" i="5"/>
  <c r="U2037" i="5"/>
  <c r="T2037" i="5"/>
  <c r="S2037" i="5"/>
  <c r="O2037" i="5"/>
  <c r="N2037" i="5"/>
  <c r="I2037" i="5"/>
  <c r="R2037" i="5" s="1"/>
  <c r="H2037" i="5"/>
  <c r="G2037" i="5"/>
  <c r="Q2037" i="5" s="1"/>
  <c r="F2037" i="5"/>
  <c r="E2037" i="5"/>
  <c r="P2037" i="5" s="1"/>
  <c r="D2037" i="5"/>
  <c r="U2036" i="5"/>
  <c r="T2036" i="5"/>
  <c r="S2036" i="5"/>
  <c r="O2036" i="5"/>
  <c r="N2036" i="5"/>
  <c r="I2036" i="5"/>
  <c r="R2036" i="5" s="1"/>
  <c r="H2036" i="5"/>
  <c r="G2036" i="5"/>
  <c r="Q2036" i="5" s="1"/>
  <c r="F2036" i="5"/>
  <c r="E2036" i="5"/>
  <c r="P2036" i="5" s="1"/>
  <c r="D2036" i="5"/>
  <c r="U481" i="5"/>
  <c r="S481" i="5"/>
  <c r="I481" i="5"/>
  <c r="R481" i="5" s="1"/>
  <c r="H481" i="5"/>
  <c r="G481" i="5"/>
  <c r="Q481" i="5" s="1"/>
  <c r="F481" i="5"/>
  <c r="E481" i="5"/>
  <c r="P481" i="5" s="1"/>
  <c r="D481" i="5"/>
  <c r="T2035" i="5"/>
  <c r="S2035" i="5"/>
  <c r="I2035" i="5"/>
  <c r="R2035" i="5" s="1"/>
  <c r="H2035" i="5"/>
  <c r="G2035" i="5"/>
  <c r="Q2035" i="5" s="1"/>
  <c r="F2035" i="5"/>
  <c r="E2035" i="5"/>
  <c r="P2035" i="5" s="1"/>
  <c r="D2035" i="5"/>
  <c r="U2035" i="5" s="1"/>
  <c r="U2034" i="5"/>
  <c r="T2034" i="5"/>
  <c r="S2034" i="5"/>
  <c r="I2034" i="5"/>
  <c r="R2034" i="5" s="1"/>
  <c r="H2034" i="5"/>
  <c r="G2034" i="5"/>
  <c r="Q2034" i="5" s="1"/>
  <c r="F2034" i="5"/>
  <c r="E2034" i="5"/>
  <c r="P2034" i="5" s="1"/>
  <c r="D2034" i="5"/>
  <c r="U2033" i="5"/>
  <c r="T2033" i="5"/>
  <c r="S2033" i="5"/>
  <c r="I2033" i="5"/>
  <c r="R2033" i="5" s="1"/>
  <c r="H2033" i="5"/>
  <c r="G2033" i="5"/>
  <c r="Q2033" i="5" s="1"/>
  <c r="F2033" i="5"/>
  <c r="E2033" i="5"/>
  <c r="P2033" i="5" s="1"/>
  <c r="D2033" i="5"/>
  <c r="U2032" i="5"/>
  <c r="T2032" i="5"/>
  <c r="S2032" i="5"/>
  <c r="I2032" i="5"/>
  <c r="R2032" i="5" s="1"/>
  <c r="H2032" i="5"/>
  <c r="G2032" i="5"/>
  <c r="Q2032" i="5" s="1"/>
  <c r="F2032" i="5"/>
  <c r="E2032" i="5"/>
  <c r="P2032" i="5" s="1"/>
  <c r="D2032" i="5"/>
  <c r="U2031" i="5"/>
  <c r="T2031" i="5"/>
  <c r="S2031" i="5"/>
  <c r="I2031" i="5"/>
  <c r="R2031" i="5" s="1"/>
  <c r="H2031" i="5"/>
  <c r="G2031" i="5"/>
  <c r="Q2031" i="5" s="1"/>
  <c r="F2031" i="5"/>
  <c r="E2031" i="5"/>
  <c r="P2031" i="5" s="1"/>
  <c r="D2031" i="5"/>
  <c r="U2030" i="5"/>
  <c r="T2030" i="5"/>
  <c r="S2030" i="5"/>
  <c r="I2030" i="5"/>
  <c r="R2030" i="5" s="1"/>
  <c r="H2030" i="5"/>
  <c r="G2030" i="5"/>
  <c r="Q2030" i="5" s="1"/>
  <c r="F2030" i="5"/>
  <c r="E2030" i="5"/>
  <c r="P2030" i="5" s="1"/>
  <c r="D2030" i="5"/>
  <c r="T2029" i="5"/>
  <c r="S2029" i="5"/>
  <c r="I2029" i="5"/>
  <c r="R2029" i="5" s="1"/>
  <c r="H2029" i="5"/>
  <c r="G2029" i="5"/>
  <c r="Q2029" i="5" s="1"/>
  <c r="F2029" i="5"/>
  <c r="E2029" i="5"/>
  <c r="P2029" i="5" s="1"/>
  <c r="D2029" i="5"/>
  <c r="U2029" i="5" s="1"/>
  <c r="U2028" i="5"/>
  <c r="T2028" i="5"/>
  <c r="S2028" i="5"/>
  <c r="I2028" i="5"/>
  <c r="R2028" i="5" s="1"/>
  <c r="H2028" i="5"/>
  <c r="G2028" i="5"/>
  <c r="Q2028" i="5" s="1"/>
  <c r="F2028" i="5"/>
  <c r="E2028" i="5"/>
  <c r="P2028" i="5" s="1"/>
  <c r="D2028" i="5"/>
  <c r="U2027" i="5"/>
  <c r="T2027" i="5"/>
  <c r="S2027" i="5"/>
  <c r="I2027" i="5"/>
  <c r="R2027" i="5" s="1"/>
  <c r="H2027" i="5"/>
  <c r="G2027" i="5"/>
  <c r="Q2027" i="5" s="1"/>
  <c r="F2027" i="5"/>
  <c r="E2027" i="5"/>
  <c r="P2027" i="5" s="1"/>
  <c r="D2027" i="5"/>
  <c r="U2026" i="5"/>
  <c r="T2026" i="5"/>
  <c r="S2026" i="5"/>
  <c r="I2026" i="5"/>
  <c r="R2026" i="5" s="1"/>
  <c r="H2026" i="5"/>
  <c r="G2026" i="5"/>
  <c r="Q2026" i="5" s="1"/>
  <c r="F2026" i="5"/>
  <c r="E2026" i="5"/>
  <c r="P2026" i="5" s="1"/>
  <c r="D2026" i="5"/>
  <c r="U2025" i="5"/>
  <c r="T2025" i="5"/>
  <c r="S2025" i="5"/>
  <c r="I2025" i="5"/>
  <c r="R2025" i="5" s="1"/>
  <c r="H2025" i="5"/>
  <c r="G2025" i="5"/>
  <c r="Q2025" i="5" s="1"/>
  <c r="F2025" i="5"/>
  <c r="E2025" i="5"/>
  <c r="P2025" i="5" s="1"/>
  <c r="D2025" i="5"/>
  <c r="U2024" i="5"/>
  <c r="T2024" i="5"/>
  <c r="S2024" i="5"/>
  <c r="I2024" i="5"/>
  <c r="R2024" i="5" s="1"/>
  <c r="H2024" i="5"/>
  <c r="G2024" i="5"/>
  <c r="Q2024" i="5" s="1"/>
  <c r="F2024" i="5"/>
  <c r="E2024" i="5"/>
  <c r="P2024" i="5" s="1"/>
  <c r="D2024" i="5"/>
  <c r="U2023" i="5"/>
  <c r="T2023" i="5"/>
  <c r="S2023" i="5"/>
  <c r="I2023" i="5"/>
  <c r="R2023" i="5" s="1"/>
  <c r="H2023" i="5"/>
  <c r="G2023" i="5"/>
  <c r="Q2023" i="5" s="1"/>
  <c r="F2023" i="5"/>
  <c r="E2023" i="5"/>
  <c r="P2023" i="5" s="1"/>
  <c r="D2023" i="5"/>
  <c r="U2022" i="5"/>
  <c r="T2022" i="5"/>
  <c r="S2022" i="5"/>
  <c r="I2022" i="5"/>
  <c r="R2022" i="5" s="1"/>
  <c r="H2022" i="5"/>
  <c r="G2022" i="5"/>
  <c r="Q2022" i="5" s="1"/>
  <c r="F2022" i="5"/>
  <c r="E2022" i="5"/>
  <c r="P2022" i="5" s="1"/>
  <c r="D2022" i="5"/>
  <c r="U471" i="5"/>
  <c r="S471" i="5"/>
  <c r="I471" i="5"/>
  <c r="R471" i="5" s="1"/>
  <c r="H471" i="5"/>
  <c r="G471" i="5"/>
  <c r="Q471" i="5" s="1"/>
  <c r="F471" i="5"/>
  <c r="E471" i="5"/>
  <c r="P471" i="5" s="1"/>
  <c r="D471" i="5"/>
  <c r="T2021" i="5"/>
  <c r="S2021" i="5"/>
  <c r="I2021" i="5"/>
  <c r="R2021" i="5" s="1"/>
  <c r="H2021" i="5"/>
  <c r="G2021" i="5"/>
  <c r="Q2021" i="5" s="1"/>
  <c r="F2021" i="5"/>
  <c r="E2021" i="5"/>
  <c r="P2021" i="5" s="1"/>
  <c r="D2021" i="5"/>
  <c r="U2021" i="5" s="1"/>
  <c r="U2020" i="5"/>
  <c r="T2020" i="5"/>
  <c r="S2020" i="5"/>
  <c r="I2020" i="5"/>
  <c r="R2020" i="5" s="1"/>
  <c r="H2020" i="5"/>
  <c r="G2020" i="5"/>
  <c r="Q2020" i="5" s="1"/>
  <c r="F2020" i="5"/>
  <c r="E2020" i="5"/>
  <c r="P2020" i="5" s="1"/>
  <c r="D2020" i="5"/>
  <c r="U2019" i="5"/>
  <c r="T2019" i="5"/>
  <c r="S2019" i="5"/>
  <c r="I2019" i="5"/>
  <c r="R2019" i="5" s="1"/>
  <c r="H2019" i="5"/>
  <c r="G2019" i="5"/>
  <c r="Q2019" i="5" s="1"/>
  <c r="F2019" i="5"/>
  <c r="E2019" i="5"/>
  <c r="P2019" i="5" s="1"/>
  <c r="D2019" i="5"/>
  <c r="U2018" i="5"/>
  <c r="T2018" i="5"/>
  <c r="S2018" i="5"/>
  <c r="I2018" i="5"/>
  <c r="R2018" i="5" s="1"/>
  <c r="H2018" i="5"/>
  <c r="G2018" i="5"/>
  <c r="Q2018" i="5" s="1"/>
  <c r="F2018" i="5"/>
  <c r="E2018" i="5"/>
  <c r="P2018" i="5" s="1"/>
  <c r="D2018" i="5"/>
  <c r="U2017" i="5"/>
  <c r="T2017" i="5"/>
  <c r="S2017" i="5"/>
  <c r="I2017" i="5"/>
  <c r="R2017" i="5" s="1"/>
  <c r="H2017" i="5"/>
  <c r="G2017" i="5"/>
  <c r="Q2017" i="5" s="1"/>
  <c r="F2017" i="5"/>
  <c r="E2017" i="5"/>
  <c r="P2017" i="5" s="1"/>
  <c r="D2017" i="5"/>
  <c r="U2016" i="5"/>
  <c r="T2016" i="5"/>
  <c r="S2016" i="5"/>
  <c r="I2016" i="5"/>
  <c r="R2016" i="5" s="1"/>
  <c r="H2016" i="5"/>
  <c r="G2016" i="5"/>
  <c r="Q2016" i="5" s="1"/>
  <c r="F2016" i="5"/>
  <c r="E2016" i="5"/>
  <c r="P2016" i="5" s="1"/>
  <c r="D2016" i="5"/>
  <c r="T2015" i="5"/>
  <c r="S2015" i="5"/>
  <c r="I2015" i="5"/>
  <c r="R2015" i="5" s="1"/>
  <c r="H2015" i="5"/>
  <c r="G2015" i="5"/>
  <c r="Q2015" i="5" s="1"/>
  <c r="F2015" i="5"/>
  <c r="E2015" i="5"/>
  <c r="P2015" i="5" s="1"/>
  <c r="D2015" i="5"/>
  <c r="U2015" i="5" s="1"/>
  <c r="U2014" i="5"/>
  <c r="T2014" i="5"/>
  <c r="S2014" i="5"/>
  <c r="I2014" i="5"/>
  <c r="R2014" i="5" s="1"/>
  <c r="H2014" i="5"/>
  <c r="G2014" i="5"/>
  <c r="Q2014" i="5" s="1"/>
  <c r="F2014" i="5"/>
  <c r="E2014" i="5"/>
  <c r="P2014" i="5" s="1"/>
  <c r="D2014" i="5"/>
  <c r="U2013" i="5"/>
  <c r="T2013" i="5"/>
  <c r="S2013" i="5"/>
  <c r="I2013" i="5"/>
  <c r="R2013" i="5" s="1"/>
  <c r="H2013" i="5"/>
  <c r="G2013" i="5"/>
  <c r="Q2013" i="5" s="1"/>
  <c r="F2013" i="5"/>
  <c r="E2013" i="5"/>
  <c r="P2013" i="5" s="1"/>
  <c r="D2013" i="5"/>
  <c r="U2012" i="5"/>
  <c r="T2012" i="5"/>
  <c r="S2012" i="5"/>
  <c r="I2012" i="5"/>
  <c r="R2012" i="5" s="1"/>
  <c r="H2012" i="5"/>
  <c r="G2012" i="5"/>
  <c r="Q2012" i="5" s="1"/>
  <c r="F2012" i="5"/>
  <c r="E2012" i="5"/>
  <c r="P2012" i="5" s="1"/>
  <c r="D2012" i="5"/>
  <c r="U2011" i="5"/>
  <c r="T2011" i="5"/>
  <c r="S2011" i="5"/>
  <c r="I2011" i="5"/>
  <c r="R2011" i="5" s="1"/>
  <c r="H2011" i="5"/>
  <c r="G2011" i="5"/>
  <c r="Q2011" i="5" s="1"/>
  <c r="F2011" i="5"/>
  <c r="E2011" i="5"/>
  <c r="P2011" i="5" s="1"/>
  <c r="D2011" i="5"/>
  <c r="U2010" i="5"/>
  <c r="T2010" i="5"/>
  <c r="S2010" i="5"/>
  <c r="I2010" i="5"/>
  <c r="R2010" i="5" s="1"/>
  <c r="H2010" i="5"/>
  <c r="G2010" i="5"/>
  <c r="Q2010" i="5" s="1"/>
  <c r="F2010" i="5"/>
  <c r="E2010" i="5"/>
  <c r="P2010" i="5" s="1"/>
  <c r="D2010" i="5"/>
  <c r="U2009" i="5"/>
  <c r="T2009" i="5"/>
  <c r="S2009" i="5"/>
  <c r="I2009" i="5"/>
  <c r="R2009" i="5" s="1"/>
  <c r="H2009" i="5"/>
  <c r="G2009" i="5"/>
  <c r="Q2009" i="5" s="1"/>
  <c r="F2009" i="5"/>
  <c r="E2009" i="5"/>
  <c r="P2009" i="5" s="1"/>
  <c r="D2009" i="5"/>
  <c r="U2008" i="5"/>
  <c r="T2008" i="5"/>
  <c r="S2008" i="5"/>
  <c r="I2008" i="5"/>
  <c r="R2008" i="5" s="1"/>
  <c r="H2008" i="5"/>
  <c r="G2008" i="5"/>
  <c r="Q2008" i="5" s="1"/>
  <c r="F2008" i="5"/>
  <c r="E2008" i="5"/>
  <c r="P2008" i="5" s="1"/>
  <c r="D2008" i="5"/>
  <c r="U461" i="5"/>
  <c r="S461" i="5"/>
  <c r="I461" i="5"/>
  <c r="R461" i="5" s="1"/>
  <c r="H461" i="5"/>
  <c r="G461" i="5"/>
  <c r="Q461" i="5" s="1"/>
  <c r="F461" i="5"/>
  <c r="E461" i="5"/>
  <c r="P461" i="5" s="1"/>
  <c r="D461" i="5"/>
  <c r="T2007" i="5"/>
  <c r="S2007" i="5"/>
  <c r="I2007" i="5"/>
  <c r="R2007" i="5" s="1"/>
  <c r="H2007" i="5"/>
  <c r="G2007" i="5"/>
  <c r="Q2007" i="5" s="1"/>
  <c r="F2007" i="5"/>
  <c r="E2007" i="5"/>
  <c r="P2007" i="5" s="1"/>
  <c r="D2007" i="5"/>
  <c r="U2007" i="5" s="1"/>
  <c r="U2006" i="5"/>
  <c r="T2006" i="5"/>
  <c r="S2006" i="5"/>
  <c r="I2006" i="5"/>
  <c r="R2006" i="5" s="1"/>
  <c r="H2006" i="5"/>
  <c r="G2006" i="5"/>
  <c r="Q2006" i="5" s="1"/>
  <c r="F2006" i="5"/>
  <c r="E2006" i="5"/>
  <c r="P2006" i="5" s="1"/>
  <c r="D2006" i="5"/>
  <c r="U2005" i="5"/>
  <c r="T2005" i="5"/>
  <c r="S2005" i="5"/>
  <c r="I2005" i="5"/>
  <c r="R2005" i="5" s="1"/>
  <c r="H2005" i="5"/>
  <c r="G2005" i="5"/>
  <c r="Q2005" i="5" s="1"/>
  <c r="F2005" i="5"/>
  <c r="E2005" i="5"/>
  <c r="P2005" i="5" s="1"/>
  <c r="D2005" i="5"/>
  <c r="U2004" i="5"/>
  <c r="T2004" i="5"/>
  <c r="S2004" i="5"/>
  <c r="I2004" i="5"/>
  <c r="R2004" i="5" s="1"/>
  <c r="H2004" i="5"/>
  <c r="G2004" i="5"/>
  <c r="Q2004" i="5" s="1"/>
  <c r="F2004" i="5"/>
  <c r="E2004" i="5"/>
  <c r="D2004" i="5"/>
  <c r="D2996" i="5" s="1"/>
  <c r="U2003" i="5"/>
  <c r="T2003" i="5"/>
  <c r="S2003" i="5"/>
  <c r="I2003" i="5"/>
  <c r="R2003" i="5" s="1"/>
  <c r="H2003" i="5"/>
  <c r="G2003" i="5"/>
  <c r="Q2003" i="5" s="1"/>
  <c r="F2003" i="5"/>
  <c r="E2003" i="5"/>
  <c r="D2003" i="5"/>
  <c r="D2995" i="5" s="1"/>
  <c r="D4298" i="5" s="1"/>
  <c r="U4298" i="5" s="1"/>
  <c r="U2002" i="5"/>
  <c r="T2002" i="5"/>
  <c r="S2002" i="5"/>
  <c r="I2002" i="5"/>
  <c r="R2002" i="5" s="1"/>
  <c r="H2002" i="5"/>
  <c r="G2002" i="5"/>
  <c r="Q2002" i="5" s="1"/>
  <c r="F2002" i="5"/>
  <c r="E2002" i="5"/>
  <c r="D2002" i="5"/>
  <c r="D2994" i="5" s="1"/>
  <c r="T2001" i="5"/>
  <c r="S2001" i="5"/>
  <c r="I2001" i="5"/>
  <c r="R2001" i="5" s="1"/>
  <c r="H2001" i="5"/>
  <c r="G2001" i="5"/>
  <c r="Q2001" i="5" s="1"/>
  <c r="F2001" i="5"/>
  <c r="E2001" i="5"/>
  <c r="P2001" i="5" s="1"/>
  <c r="D2001" i="5"/>
  <c r="U2001" i="5" s="1"/>
  <c r="U2000" i="5"/>
  <c r="T2000" i="5"/>
  <c r="S2000" i="5"/>
  <c r="I2000" i="5"/>
  <c r="R2000" i="5" s="1"/>
  <c r="H2000" i="5"/>
  <c r="G2000" i="5"/>
  <c r="Q2000" i="5" s="1"/>
  <c r="F2000" i="5"/>
  <c r="E2000" i="5"/>
  <c r="P2000" i="5" s="1"/>
  <c r="D2000" i="5"/>
  <c r="U1999" i="5"/>
  <c r="T1999" i="5"/>
  <c r="S1999" i="5"/>
  <c r="I1999" i="5"/>
  <c r="R1999" i="5" s="1"/>
  <c r="H1999" i="5"/>
  <c r="G1999" i="5"/>
  <c r="Q1999" i="5" s="1"/>
  <c r="F1999" i="5"/>
  <c r="E1999" i="5"/>
  <c r="P1999" i="5" s="1"/>
  <c r="D1999" i="5"/>
  <c r="U1998" i="5"/>
  <c r="T1998" i="5"/>
  <c r="S1998" i="5"/>
  <c r="I1998" i="5"/>
  <c r="R1998" i="5" s="1"/>
  <c r="H1998" i="5"/>
  <c r="G1998" i="5"/>
  <c r="Q1998" i="5" s="1"/>
  <c r="F1998" i="5"/>
  <c r="E1998" i="5"/>
  <c r="P1998" i="5" s="1"/>
  <c r="D1998" i="5"/>
  <c r="U1997" i="5"/>
  <c r="T1997" i="5"/>
  <c r="S1997" i="5"/>
  <c r="I1997" i="5"/>
  <c r="R1997" i="5" s="1"/>
  <c r="H1997" i="5"/>
  <c r="G1997" i="5"/>
  <c r="Q1997" i="5" s="1"/>
  <c r="F1997" i="5"/>
  <c r="E1997" i="5"/>
  <c r="P1997" i="5" s="1"/>
  <c r="D1997" i="5"/>
  <c r="U1996" i="5"/>
  <c r="T1996" i="5"/>
  <c r="S1996" i="5"/>
  <c r="I1996" i="5"/>
  <c r="R1996" i="5" s="1"/>
  <c r="H1996" i="5"/>
  <c r="G1996" i="5"/>
  <c r="Q1996" i="5" s="1"/>
  <c r="F1996" i="5"/>
  <c r="E1996" i="5"/>
  <c r="P1996" i="5" s="1"/>
  <c r="D1996" i="5"/>
  <c r="U1995" i="5"/>
  <c r="T1995" i="5"/>
  <c r="S1995" i="5"/>
  <c r="I1995" i="5"/>
  <c r="R1995" i="5" s="1"/>
  <c r="H1995" i="5"/>
  <c r="G1995" i="5"/>
  <c r="Q1995" i="5" s="1"/>
  <c r="F1995" i="5"/>
  <c r="E1995" i="5"/>
  <c r="P1995" i="5" s="1"/>
  <c r="D1995" i="5"/>
  <c r="U1994" i="5"/>
  <c r="T1994" i="5"/>
  <c r="S1994" i="5"/>
  <c r="I1994" i="5"/>
  <c r="R1994" i="5" s="1"/>
  <c r="H1994" i="5"/>
  <c r="G1994" i="5"/>
  <c r="Q1994" i="5" s="1"/>
  <c r="F1994" i="5"/>
  <c r="E1994" i="5"/>
  <c r="P1994" i="5" s="1"/>
  <c r="D1994" i="5"/>
  <c r="U451" i="5"/>
  <c r="S451" i="5"/>
  <c r="I451" i="5"/>
  <c r="R451" i="5" s="1"/>
  <c r="H451" i="5"/>
  <c r="G451" i="5"/>
  <c r="Q451" i="5" s="1"/>
  <c r="F451" i="5"/>
  <c r="E451" i="5"/>
  <c r="P451" i="5" s="1"/>
  <c r="D451" i="5"/>
  <c r="T1987" i="5"/>
  <c r="S1987" i="5"/>
  <c r="I1987" i="5"/>
  <c r="R1987" i="5" s="1"/>
  <c r="H1987" i="5"/>
  <c r="G1987" i="5"/>
  <c r="Q1987" i="5" s="1"/>
  <c r="F1987" i="5"/>
  <c r="E1987" i="5"/>
  <c r="P1987" i="5" s="1"/>
  <c r="D1987" i="5"/>
  <c r="U1987" i="5" s="1"/>
  <c r="U1986" i="5"/>
  <c r="T1986" i="5"/>
  <c r="S1986" i="5"/>
  <c r="O1986" i="5"/>
  <c r="N1986" i="5"/>
  <c r="I1986" i="5"/>
  <c r="R1986" i="5" s="1"/>
  <c r="H1986" i="5"/>
  <c r="G1986" i="5"/>
  <c r="Q1986" i="5" s="1"/>
  <c r="F1986" i="5"/>
  <c r="E1986" i="5"/>
  <c r="P1986" i="5" s="1"/>
  <c r="D1986" i="5"/>
  <c r="U1985" i="5"/>
  <c r="T1985" i="5"/>
  <c r="S1985" i="5"/>
  <c r="I1985" i="5"/>
  <c r="R1985" i="5" s="1"/>
  <c r="H1985" i="5"/>
  <c r="G1985" i="5"/>
  <c r="Q1985" i="5" s="1"/>
  <c r="F1985" i="5"/>
  <c r="E1985" i="5"/>
  <c r="P1985" i="5" s="1"/>
  <c r="D1985" i="5"/>
  <c r="U1984" i="5"/>
  <c r="T1984" i="5"/>
  <c r="S1984" i="5"/>
  <c r="I1984" i="5"/>
  <c r="R1984" i="5" s="1"/>
  <c r="H1984" i="5"/>
  <c r="G1984" i="5"/>
  <c r="Q1984" i="5" s="1"/>
  <c r="F1984" i="5"/>
  <c r="E1984" i="5"/>
  <c r="P1984" i="5" s="1"/>
  <c r="D1984" i="5"/>
  <c r="U1983" i="5"/>
  <c r="T1983" i="5"/>
  <c r="S1983" i="5"/>
  <c r="I1983" i="5"/>
  <c r="R1983" i="5" s="1"/>
  <c r="H1983" i="5"/>
  <c r="G1983" i="5"/>
  <c r="Q1983" i="5" s="1"/>
  <c r="F1983" i="5"/>
  <c r="E1983" i="5"/>
  <c r="P1983" i="5" s="1"/>
  <c r="D1983" i="5"/>
  <c r="U1982" i="5"/>
  <c r="T1982" i="5"/>
  <c r="S1982" i="5"/>
  <c r="I1982" i="5"/>
  <c r="R1982" i="5" s="1"/>
  <c r="H1982" i="5"/>
  <c r="G1982" i="5"/>
  <c r="Q1982" i="5" s="1"/>
  <c r="F1982" i="5"/>
  <c r="E1982" i="5"/>
  <c r="P1982" i="5" s="1"/>
  <c r="D1982" i="5"/>
  <c r="T1981" i="5"/>
  <c r="S1981" i="5"/>
  <c r="I1981" i="5"/>
  <c r="R1981" i="5" s="1"/>
  <c r="H1981" i="5"/>
  <c r="G1981" i="5"/>
  <c r="Q1981" i="5" s="1"/>
  <c r="F1981" i="5"/>
  <c r="E1981" i="5"/>
  <c r="P1981" i="5" s="1"/>
  <c r="D1981" i="5"/>
  <c r="U1981" i="5" s="1"/>
  <c r="U1980" i="5"/>
  <c r="T1980" i="5"/>
  <c r="S1980" i="5"/>
  <c r="I1980" i="5"/>
  <c r="R1980" i="5" s="1"/>
  <c r="H1980" i="5"/>
  <c r="G1980" i="5"/>
  <c r="Q1980" i="5" s="1"/>
  <c r="F1980" i="5"/>
  <c r="E1980" i="5"/>
  <c r="P1980" i="5" s="1"/>
  <c r="D1980" i="5"/>
  <c r="U1979" i="5"/>
  <c r="T1979" i="5"/>
  <c r="S1979" i="5"/>
  <c r="I1979" i="5"/>
  <c r="R1979" i="5" s="1"/>
  <c r="H1979" i="5"/>
  <c r="G1979" i="5"/>
  <c r="Q1979" i="5" s="1"/>
  <c r="F1979" i="5"/>
  <c r="E1979" i="5"/>
  <c r="P1979" i="5" s="1"/>
  <c r="D1979" i="5"/>
  <c r="U1978" i="5"/>
  <c r="T1978" i="5"/>
  <c r="S1978" i="5"/>
  <c r="O1978" i="5"/>
  <c r="N1978" i="5"/>
  <c r="I1978" i="5"/>
  <c r="R1978" i="5" s="1"/>
  <c r="H1978" i="5"/>
  <c r="G1978" i="5"/>
  <c r="Q1978" i="5" s="1"/>
  <c r="F1978" i="5"/>
  <c r="E1978" i="5"/>
  <c r="P1978" i="5" s="1"/>
  <c r="D1978" i="5"/>
  <c r="U1977" i="5"/>
  <c r="T1977" i="5"/>
  <c r="S1977" i="5"/>
  <c r="I1977" i="5"/>
  <c r="R1977" i="5" s="1"/>
  <c r="H1977" i="5"/>
  <c r="G1977" i="5"/>
  <c r="Q1977" i="5" s="1"/>
  <c r="F1977" i="5"/>
  <c r="E1977" i="5"/>
  <c r="P1977" i="5" s="1"/>
  <c r="D1977" i="5"/>
  <c r="U1976" i="5"/>
  <c r="T1976" i="5"/>
  <c r="S1976" i="5"/>
  <c r="O1976" i="5"/>
  <c r="N1976" i="5"/>
  <c r="I1976" i="5"/>
  <c r="R1976" i="5" s="1"/>
  <c r="H1976" i="5"/>
  <c r="G1976" i="5"/>
  <c r="Q1976" i="5" s="1"/>
  <c r="F1976" i="5"/>
  <c r="E1976" i="5"/>
  <c r="P1976" i="5" s="1"/>
  <c r="D1976" i="5"/>
  <c r="U1975" i="5"/>
  <c r="T1975" i="5"/>
  <c r="S1975" i="5"/>
  <c r="O1975" i="5"/>
  <c r="N1975" i="5"/>
  <c r="I1975" i="5"/>
  <c r="R1975" i="5" s="1"/>
  <c r="H1975" i="5"/>
  <c r="G1975" i="5"/>
  <c r="Q1975" i="5" s="1"/>
  <c r="F1975" i="5"/>
  <c r="E1975" i="5"/>
  <c r="P1975" i="5" s="1"/>
  <c r="D1975" i="5"/>
  <c r="U1974" i="5"/>
  <c r="T1974" i="5"/>
  <c r="S1974" i="5"/>
  <c r="O1974" i="5"/>
  <c r="N1974" i="5"/>
  <c r="I1974" i="5"/>
  <c r="R1974" i="5" s="1"/>
  <c r="H1974" i="5"/>
  <c r="G1974" i="5"/>
  <c r="Q1974" i="5" s="1"/>
  <c r="F1974" i="5"/>
  <c r="E1974" i="5"/>
  <c r="P1974" i="5" s="1"/>
  <c r="D1974" i="5"/>
  <c r="U441" i="5"/>
  <c r="S441" i="5"/>
  <c r="I441" i="5"/>
  <c r="R441" i="5" s="1"/>
  <c r="H441" i="5"/>
  <c r="G441" i="5"/>
  <c r="Q441" i="5" s="1"/>
  <c r="F441" i="5"/>
  <c r="E441" i="5"/>
  <c r="P441" i="5" s="1"/>
  <c r="D441" i="5"/>
  <c r="T1973" i="5"/>
  <c r="S1973" i="5"/>
  <c r="I1973" i="5"/>
  <c r="R1973" i="5" s="1"/>
  <c r="H1973" i="5"/>
  <c r="G1973" i="5"/>
  <c r="Q1973" i="5" s="1"/>
  <c r="F1973" i="5"/>
  <c r="E1973" i="5"/>
  <c r="P1973" i="5" s="1"/>
  <c r="D1973" i="5"/>
  <c r="U1973" i="5" s="1"/>
  <c r="U1972" i="5"/>
  <c r="T1972" i="5"/>
  <c r="S1972" i="5"/>
  <c r="I1972" i="5"/>
  <c r="R1972" i="5" s="1"/>
  <c r="H1972" i="5"/>
  <c r="G1972" i="5"/>
  <c r="Q1972" i="5" s="1"/>
  <c r="F1972" i="5"/>
  <c r="E1972" i="5"/>
  <c r="P1972" i="5" s="1"/>
  <c r="D1972" i="5"/>
  <c r="U1971" i="5"/>
  <c r="T1971" i="5"/>
  <c r="S1971" i="5"/>
  <c r="I1971" i="5"/>
  <c r="R1971" i="5" s="1"/>
  <c r="H1971" i="5"/>
  <c r="G1971" i="5"/>
  <c r="Q1971" i="5" s="1"/>
  <c r="F1971" i="5"/>
  <c r="E1971" i="5"/>
  <c r="P1971" i="5" s="1"/>
  <c r="D1971" i="5"/>
  <c r="U1970" i="5"/>
  <c r="T1970" i="5"/>
  <c r="S1970" i="5"/>
  <c r="I1970" i="5"/>
  <c r="R1970" i="5" s="1"/>
  <c r="H1970" i="5"/>
  <c r="G1970" i="5"/>
  <c r="Q1970" i="5" s="1"/>
  <c r="F1970" i="5"/>
  <c r="E1970" i="5"/>
  <c r="P1970" i="5" s="1"/>
  <c r="D1970" i="5"/>
  <c r="U1969" i="5"/>
  <c r="T1969" i="5"/>
  <c r="S1969" i="5"/>
  <c r="I1969" i="5"/>
  <c r="R1969" i="5" s="1"/>
  <c r="H1969" i="5"/>
  <c r="G1969" i="5"/>
  <c r="Q1969" i="5" s="1"/>
  <c r="F1969" i="5"/>
  <c r="E1969" i="5"/>
  <c r="P1969" i="5" s="1"/>
  <c r="D1969" i="5"/>
  <c r="U1968" i="5"/>
  <c r="T1968" i="5"/>
  <c r="S1968" i="5"/>
  <c r="I1968" i="5"/>
  <c r="R1968" i="5" s="1"/>
  <c r="H1968" i="5"/>
  <c r="G1968" i="5"/>
  <c r="Q1968" i="5" s="1"/>
  <c r="F1968" i="5"/>
  <c r="E1968" i="5"/>
  <c r="P1968" i="5" s="1"/>
  <c r="D1968" i="5"/>
  <c r="T1967" i="5"/>
  <c r="S1967" i="5"/>
  <c r="I1967" i="5"/>
  <c r="R1967" i="5" s="1"/>
  <c r="H1967" i="5"/>
  <c r="G1967" i="5"/>
  <c r="Q1967" i="5" s="1"/>
  <c r="F1967" i="5"/>
  <c r="E1967" i="5"/>
  <c r="P1967" i="5" s="1"/>
  <c r="D1967" i="5"/>
  <c r="U1967" i="5" s="1"/>
  <c r="U1966" i="5"/>
  <c r="T1966" i="5"/>
  <c r="S1966" i="5"/>
  <c r="I1966" i="5"/>
  <c r="R1966" i="5" s="1"/>
  <c r="H1966" i="5"/>
  <c r="G1966" i="5"/>
  <c r="Q1966" i="5" s="1"/>
  <c r="F1966" i="5"/>
  <c r="E1966" i="5"/>
  <c r="P1966" i="5" s="1"/>
  <c r="D1966" i="5"/>
  <c r="U1965" i="5"/>
  <c r="T1965" i="5"/>
  <c r="S1965" i="5"/>
  <c r="I1965" i="5"/>
  <c r="R1965" i="5" s="1"/>
  <c r="H1965" i="5"/>
  <c r="G1965" i="5"/>
  <c r="Q1965" i="5" s="1"/>
  <c r="F1965" i="5"/>
  <c r="E1965" i="5"/>
  <c r="P1965" i="5" s="1"/>
  <c r="D1965" i="5"/>
  <c r="U1964" i="5"/>
  <c r="T1964" i="5"/>
  <c r="S1964" i="5"/>
  <c r="I1964" i="5"/>
  <c r="R1964" i="5" s="1"/>
  <c r="H1964" i="5"/>
  <c r="G1964" i="5"/>
  <c r="Q1964" i="5" s="1"/>
  <c r="F1964" i="5"/>
  <c r="E1964" i="5"/>
  <c r="P1964" i="5" s="1"/>
  <c r="D1964" i="5"/>
  <c r="U1963" i="5"/>
  <c r="T1963" i="5"/>
  <c r="S1963" i="5"/>
  <c r="I1963" i="5"/>
  <c r="R1963" i="5" s="1"/>
  <c r="H1963" i="5"/>
  <c r="G1963" i="5"/>
  <c r="Q1963" i="5" s="1"/>
  <c r="F1963" i="5"/>
  <c r="E1963" i="5"/>
  <c r="P1963" i="5" s="1"/>
  <c r="D1963" i="5"/>
  <c r="U1962" i="5"/>
  <c r="T1962" i="5"/>
  <c r="S1962" i="5"/>
  <c r="I1962" i="5"/>
  <c r="R1962" i="5" s="1"/>
  <c r="H1962" i="5"/>
  <c r="G1962" i="5"/>
  <c r="Q1962" i="5" s="1"/>
  <c r="F1962" i="5"/>
  <c r="E1962" i="5"/>
  <c r="P1962" i="5" s="1"/>
  <c r="D1962" i="5"/>
  <c r="U1961" i="5"/>
  <c r="T1961" i="5"/>
  <c r="S1961" i="5"/>
  <c r="I1961" i="5"/>
  <c r="R1961" i="5" s="1"/>
  <c r="H1961" i="5"/>
  <c r="G1961" i="5"/>
  <c r="Q1961" i="5" s="1"/>
  <c r="F1961" i="5"/>
  <c r="E1961" i="5"/>
  <c r="P1961" i="5" s="1"/>
  <c r="D1961" i="5"/>
  <c r="U1960" i="5"/>
  <c r="T1960" i="5"/>
  <c r="S1960" i="5"/>
  <c r="I1960" i="5"/>
  <c r="R1960" i="5" s="1"/>
  <c r="H1960" i="5"/>
  <c r="G1960" i="5"/>
  <c r="Q1960" i="5" s="1"/>
  <c r="F1960" i="5"/>
  <c r="E1960" i="5"/>
  <c r="P1960" i="5" s="1"/>
  <c r="D1960" i="5"/>
  <c r="U431" i="5"/>
  <c r="S431" i="5"/>
  <c r="I431" i="5"/>
  <c r="R431" i="5" s="1"/>
  <c r="H431" i="5"/>
  <c r="G431" i="5"/>
  <c r="Q431" i="5" s="1"/>
  <c r="F431" i="5"/>
  <c r="E431" i="5"/>
  <c r="P431" i="5" s="1"/>
  <c r="D431" i="5"/>
  <c r="T1959" i="5"/>
  <c r="S1959" i="5"/>
  <c r="I1959" i="5"/>
  <c r="R1959" i="5" s="1"/>
  <c r="H1959" i="5"/>
  <c r="G1959" i="5"/>
  <c r="Q1959" i="5" s="1"/>
  <c r="F1959" i="5"/>
  <c r="E1959" i="5"/>
  <c r="P1959" i="5" s="1"/>
  <c r="D1959" i="5"/>
  <c r="U1959" i="5" s="1"/>
  <c r="U1958" i="5"/>
  <c r="T1958" i="5"/>
  <c r="S1958" i="5"/>
  <c r="I1958" i="5"/>
  <c r="R1958" i="5" s="1"/>
  <c r="H1958" i="5"/>
  <c r="G1958" i="5"/>
  <c r="Q1958" i="5" s="1"/>
  <c r="F1958" i="5"/>
  <c r="E1958" i="5"/>
  <c r="P1958" i="5" s="1"/>
  <c r="D1958" i="5"/>
  <c r="U1957" i="5"/>
  <c r="T1957" i="5"/>
  <c r="S1957" i="5"/>
  <c r="I1957" i="5"/>
  <c r="R1957" i="5" s="1"/>
  <c r="H1957" i="5"/>
  <c r="G1957" i="5"/>
  <c r="Q1957" i="5" s="1"/>
  <c r="F1957" i="5"/>
  <c r="E1957" i="5"/>
  <c r="D1957" i="5"/>
  <c r="U1956" i="5"/>
  <c r="T1956" i="5"/>
  <c r="S1956" i="5"/>
  <c r="I1956" i="5"/>
  <c r="R1956" i="5" s="1"/>
  <c r="H1956" i="5"/>
  <c r="G1956" i="5"/>
  <c r="Q1956" i="5" s="1"/>
  <c r="F1956" i="5"/>
  <c r="E1956" i="5"/>
  <c r="D1956" i="5"/>
  <c r="U1955" i="5"/>
  <c r="T1955" i="5"/>
  <c r="S1955" i="5"/>
  <c r="I1955" i="5"/>
  <c r="R1955" i="5" s="1"/>
  <c r="H1955" i="5"/>
  <c r="G1955" i="5"/>
  <c r="Q1955" i="5" s="1"/>
  <c r="F1955" i="5"/>
  <c r="E1955" i="5"/>
  <c r="D1955" i="5"/>
  <c r="U1954" i="5"/>
  <c r="T1954" i="5"/>
  <c r="S1954" i="5"/>
  <c r="I1954" i="5"/>
  <c r="R1954" i="5" s="1"/>
  <c r="H1954" i="5"/>
  <c r="G1954" i="5"/>
  <c r="Q1954" i="5" s="1"/>
  <c r="F1954" i="5"/>
  <c r="E1954" i="5"/>
  <c r="D1954" i="5"/>
  <c r="T1953" i="5"/>
  <c r="S1953" i="5"/>
  <c r="I1953" i="5"/>
  <c r="R1953" i="5" s="1"/>
  <c r="H1953" i="5"/>
  <c r="G1953" i="5"/>
  <c r="Q1953" i="5" s="1"/>
  <c r="F1953" i="5"/>
  <c r="E1953" i="5"/>
  <c r="D1953" i="5"/>
  <c r="U1952" i="5"/>
  <c r="T1952" i="5"/>
  <c r="S1952" i="5"/>
  <c r="I1952" i="5"/>
  <c r="R1952" i="5" s="1"/>
  <c r="H1952" i="5"/>
  <c r="G1952" i="5"/>
  <c r="Q1952" i="5" s="1"/>
  <c r="F1952" i="5"/>
  <c r="E1952" i="5"/>
  <c r="D1952" i="5"/>
  <c r="U1951" i="5"/>
  <c r="T1951" i="5"/>
  <c r="S1951" i="5"/>
  <c r="I1951" i="5"/>
  <c r="R1951" i="5" s="1"/>
  <c r="H1951" i="5"/>
  <c r="G1951" i="5"/>
  <c r="Q1951" i="5" s="1"/>
  <c r="F1951" i="5"/>
  <c r="E1951" i="5"/>
  <c r="D1951" i="5"/>
  <c r="U1950" i="5"/>
  <c r="T1950" i="5"/>
  <c r="S1950" i="5"/>
  <c r="I1950" i="5"/>
  <c r="R1950" i="5" s="1"/>
  <c r="H1950" i="5"/>
  <c r="G1950" i="5"/>
  <c r="Q1950" i="5" s="1"/>
  <c r="F1950" i="5"/>
  <c r="E1950" i="5"/>
  <c r="D1950" i="5"/>
  <c r="U1949" i="5"/>
  <c r="T1949" i="5"/>
  <c r="S1949" i="5"/>
  <c r="I1949" i="5"/>
  <c r="R1949" i="5" s="1"/>
  <c r="H1949" i="5"/>
  <c r="G1949" i="5"/>
  <c r="Q1949" i="5" s="1"/>
  <c r="F1949" i="5"/>
  <c r="E1949" i="5"/>
  <c r="D1949" i="5"/>
  <c r="U1948" i="5"/>
  <c r="T1948" i="5"/>
  <c r="S1948" i="5"/>
  <c r="I1948" i="5"/>
  <c r="R1948" i="5" s="1"/>
  <c r="H1948" i="5"/>
  <c r="G1948" i="5"/>
  <c r="Q1948" i="5" s="1"/>
  <c r="F1948" i="5"/>
  <c r="E1948" i="5"/>
  <c r="D1948" i="5"/>
  <c r="U1947" i="5"/>
  <c r="T1947" i="5"/>
  <c r="S1947" i="5"/>
  <c r="I1947" i="5"/>
  <c r="R1947" i="5" s="1"/>
  <c r="H1947" i="5"/>
  <c r="G1947" i="5"/>
  <c r="Q1947" i="5" s="1"/>
  <c r="F1947" i="5"/>
  <c r="E1947" i="5"/>
  <c r="D1947" i="5"/>
  <c r="U1946" i="5"/>
  <c r="T1946" i="5"/>
  <c r="S1946" i="5"/>
  <c r="I1946" i="5"/>
  <c r="R1946" i="5" s="1"/>
  <c r="H1946" i="5"/>
  <c r="G1946" i="5"/>
  <c r="Q1946" i="5" s="1"/>
  <c r="F1946" i="5"/>
  <c r="E1946" i="5"/>
  <c r="D1946" i="5"/>
  <c r="U421" i="5"/>
  <c r="S421" i="5"/>
  <c r="I421" i="5"/>
  <c r="R421" i="5" s="1"/>
  <c r="H421" i="5"/>
  <c r="G421" i="5"/>
  <c r="Q421" i="5" s="1"/>
  <c r="F421" i="5"/>
  <c r="E421" i="5"/>
  <c r="P421" i="5" s="1"/>
  <c r="D421" i="5"/>
  <c r="T1945" i="5"/>
  <c r="S1945" i="5"/>
  <c r="I1945" i="5"/>
  <c r="R1945" i="5" s="1"/>
  <c r="H1945" i="5"/>
  <c r="G1945" i="5"/>
  <c r="Q1945" i="5" s="1"/>
  <c r="F1945" i="5"/>
  <c r="E1945" i="5"/>
  <c r="D1945" i="5"/>
  <c r="U1944" i="5"/>
  <c r="T1944" i="5"/>
  <c r="S1944" i="5"/>
  <c r="I1944" i="5"/>
  <c r="R1944" i="5" s="1"/>
  <c r="H1944" i="5"/>
  <c r="G1944" i="5"/>
  <c r="Q1944" i="5" s="1"/>
  <c r="F1944" i="5"/>
  <c r="E1944" i="5"/>
  <c r="D1944" i="5"/>
  <c r="U1943" i="5"/>
  <c r="T1943" i="5"/>
  <c r="S1943" i="5"/>
  <c r="I1943" i="5"/>
  <c r="R1943" i="5" s="1"/>
  <c r="H1943" i="5"/>
  <c r="G1943" i="5"/>
  <c r="Q1943" i="5" s="1"/>
  <c r="F1943" i="5"/>
  <c r="E1943" i="5"/>
  <c r="P1943" i="5" s="1"/>
  <c r="D1943" i="5"/>
  <c r="U1942" i="5"/>
  <c r="T1942" i="5"/>
  <c r="S1942" i="5"/>
  <c r="I1942" i="5"/>
  <c r="R1942" i="5" s="1"/>
  <c r="H1942" i="5"/>
  <c r="G1942" i="5"/>
  <c r="Q1942" i="5" s="1"/>
  <c r="F1942" i="5"/>
  <c r="E1942" i="5"/>
  <c r="P1942" i="5" s="1"/>
  <c r="D1942" i="5"/>
  <c r="U1941" i="5"/>
  <c r="T1941" i="5"/>
  <c r="S1941" i="5"/>
  <c r="I1941" i="5"/>
  <c r="R1941" i="5" s="1"/>
  <c r="H1941" i="5"/>
  <c r="G1941" i="5"/>
  <c r="Q1941" i="5" s="1"/>
  <c r="F1941" i="5"/>
  <c r="E1941" i="5"/>
  <c r="P1941" i="5" s="1"/>
  <c r="D1941" i="5"/>
  <c r="U1940" i="5"/>
  <c r="T1940" i="5"/>
  <c r="S1940" i="5"/>
  <c r="I1940" i="5"/>
  <c r="R1940" i="5" s="1"/>
  <c r="H1940" i="5"/>
  <c r="G1940" i="5"/>
  <c r="Q1940" i="5" s="1"/>
  <c r="F1940" i="5"/>
  <c r="E1940" i="5"/>
  <c r="P1940" i="5" s="1"/>
  <c r="D1940" i="5"/>
  <c r="T1939" i="5"/>
  <c r="S1939" i="5"/>
  <c r="I1939" i="5"/>
  <c r="R1939" i="5" s="1"/>
  <c r="H1939" i="5"/>
  <c r="G1939" i="5"/>
  <c r="Q1939" i="5" s="1"/>
  <c r="F1939" i="5"/>
  <c r="E1939" i="5"/>
  <c r="P1939" i="5" s="1"/>
  <c r="D1939" i="5"/>
  <c r="U1939" i="5" s="1"/>
  <c r="U1938" i="5"/>
  <c r="T1938" i="5"/>
  <c r="S1938" i="5"/>
  <c r="I1938" i="5"/>
  <c r="R1938" i="5" s="1"/>
  <c r="H1938" i="5"/>
  <c r="G1938" i="5"/>
  <c r="Q1938" i="5" s="1"/>
  <c r="F1938" i="5"/>
  <c r="E1938" i="5"/>
  <c r="P1938" i="5" s="1"/>
  <c r="D1938" i="5"/>
  <c r="U1937" i="5"/>
  <c r="T1937" i="5"/>
  <c r="S1937" i="5"/>
  <c r="I1937" i="5"/>
  <c r="R1937" i="5" s="1"/>
  <c r="H1937" i="5"/>
  <c r="G1937" i="5"/>
  <c r="Q1937" i="5" s="1"/>
  <c r="F1937" i="5"/>
  <c r="E1937" i="5"/>
  <c r="P1937" i="5" s="1"/>
  <c r="D1937" i="5"/>
  <c r="U1936" i="5"/>
  <c r="T1936" i="5"/>
  <c r="S1936" i="5"/>
  <c r="I1936" i="5"/>
  <c r="R1936" i="5" s="1"/>
  <c r="H1936" i="5"/>
  <c r="G1936" i="5"/>
  <c r="Q1936" i="5" s="1"/>
  <c r="F1936" i="5"/>
  <c r="E1936" i="5"/>
  <c r="P1936" i="5" s="1"/>
  <c r="D1936" i="5"/>
  <c r="U1935" i="5"/>
  <c r="T1935" i="5"/>
  <c r="S1935" i="5"/>
  <c r="I1935" i="5"/>
  <c r="R1935" i="5" s="1"/>
  <c r="H1935" i="5"/>
  <c r="G1935" i="5"/>
  <c r="Q1935" i="5" s="1"/>
  <c r="F1935" i="5"/>
  <c r="E1935" i="5"/>
  <c r="P1935" i="5" s="1"/>
  <c r="D1935" i="5"/>
  <c r="U1934" i="5"/>
  <c r="T1934" i="5"/>
  <c r="S1934" i="5"/>
  <c r="I1934" i="5"/>
  <c r="R1934" i="5" s="1"/>
  <c r="H1934" i="5"/>
  <c r="G1934" i="5"/>
  <c r="Q1934" i="5" s="1"/>
  <c r="F1934" i="5"/>
  <c r="E1934" i="5"/>
  <c r="P1934" i="5" s="1"/>
  <c r="D1934" i="5"/>
  <c r="U1933" i="5"/>
  <c r="T1933" i="5"/>
  <c r="S1933" i="5"/>
  <c r="I1933" i="5"/>
  <c r="R1933" i="5" s="1"/>
  <c r="H1933" i="5"/>
  <c r="G1933" i="5"/>
  <c r="Q1933" i="5" s="1"/>
  <c r="F1933" i="5"/>
  <c r="E1933" i="5"/>
  <c r="P1933" i="5" s="1"/>
  <c r="D1933" i="5"/>
  <c r="U1932" i="5"/>
  <c r="T1932" i="5"/>
  <c r="S1932" i="5"/>
  <c r="I1932" i="5"/>
  <c r="R1932" i="5" s="1"/>
  <c r="H1932" i="5"/>
  <c r="G1932" i="5"/>
  <c r="Q1932" i="5" s="1"/>
  <c r="F1932" i="5"/>
  <c r="E1932" i="5"/>
  <c r="P1932" i="5" s="1"/>
  <c r="D1932" i="5"/>
  <c r="U411" i="5"/>
  <c r="S411" i="5"/>
  <c r="I411" i="5"/>
  <c r="R411" i="5" s="1"/>
  <c r="H411" i="5"/>
  <c r="G411" i="5"/>
  <c r="Q411" i="5" s="1"/>
  <c r="F411" i="5"/>
  <c r="E411" i="5"/>
  <c r="P411" i="5" s="1"/>
  <c r="D411" i="5"/>
  <c r="T1925" i="5"/>
  <c r="S1925" i="5"/>
  <c r="I1925" i="5"/>
  <c r="R1925" i="5" s="1"/>
  <c r="H1925" i="5"/>
  <c r="G1925" i="5"/>
  <c r="Q1925" i="5" s="1"/>
  <c r="F1925" i="5"/>
  <c r="E1925" i="5"/>
  <c r="P1925" i="5" s="1"/>
  <c r="D1925" i="5"/>
  <c r="U1925" i="5" s="1"/>
  <c r="U1924" i="5"/>
  <c r="T1924" i="5"/>
  <c r="S1924" i="5"/>
  <c r="O1924" i="5"/>
  <c r="N1924" i="5"/>
  <c r="I1924" i="5"/>
  <c r="R1924" i="5" s="1"/>
  <c r="H1924" i="5"/>
  <c r="G1924" i="5"/>
  <c r="Q1924" i="5" s="1"/>
  <c r="F1924" i="5"/>
  <c r="E1924" i="5"/>
  <c r="P1924" i="5" s="1"/>
  <c r="D1924" i="5"/>
  <c r="U1923" i="5"/>
  <c r="T1923" i="5"/>
  <c r="S1923" i="5"/>
  <c r="I1923" i="5"/>
  <c r="R1923" i="5" s="1"/>
  <c r="H1923" i="5"/>
  <c r="G1923" i="5"/>
  <c r="Q1923" i="5" s="1"/>
  <c r="F1923" i="5"/>
  <c r="E1923" i="5"/>
  <c r="P1923" i="5" s="1"/>
  <c r="D1923" i="5"/>
  <c r="U1922" i="5"/>
  <c r="T1922" i="5"/>
  <c r="S1922" i="5"/>
  <c r="I1922" i="5"/>
  <c r="R1922" i="5" s="1"/>
  <c r="H1922" i="5"/>
  <c r="G1922" i="5"/>
  <c r="Q1922" i="5" s="1"/>
  <c r="F1922" i="5"/>
  <c r="E1922" i="5"/>
  <c r="P1922" i="5" s="1"/>
  <c r="D1922" i="5"/>
  <c r="U1921" i="5"/>
  <c r="T1921" i="5"/>
  <c r="S1921" i="5"/>
  <c r="I1921" i="5"/>
  <c r="R1921" i="5" s="1"/>
  <c r="H1921" i="5"/>
  <c r="G1921" i="5"/>
  <c r="Q1921" i="5" s="1"/>
  <c r="F1921" i="5"/>
  <c r="E1921" i="5"/>
  <c r="P1921" i="5" s="1"/>
  <c r="D1921" i="5"/>
  <c r="U1920" i="5"/>
  <c r="T1920" i="5"/>
  <c r="S1920" i="5"/>
  <c r="I1920" i="5"/>
  <c r="R1920" i="5" s="1"/>
  <c r="H1920" i="5"/>
  <c r="G1920" i="5"/>
  <c r="Q1920" i="5" s="1"/>
  <c r="F1920" i="5"/>
  <c r="E1920" i="5"/>
  <c r="P1920" i="5" s="1"/>
  <c r="D1920" i="5"/>
  <c r="T1919" i="5"/>
  <c r="S1919" i="5"/>
  <c r="I1919" i="5"/>
  <c r="R1919" i="5" s="1"/>
  <c r="H1919" i="5"/>
  <c r="G1919" i="5"/>
  <c r="Q1919" i="5" s="1"/>
  <c r="F1919" i="5"/>
  <c r="E1919" i="5"/>
  <c r="P1919" i="5" s="1"/>
  <c r="D1919" i="5"/>
  <c r="U1919" i="5" s="1"/>
  <c r="U1918" i="5"/>
  <c r="T1918" i="5"/>
  <c r="S1918" i="5"/>
  <c r="I1918" i="5"/>
  <c r="R1918" i="5" s="1"/>
  <c r="H1918" i="5"/>
  <c r="G1918" i="5"/>
  <c r="Q1918" i="5" s="1"/>
  <c r="F1918" i="5"/>
  <c r="E1918" i="5"/>
  <c r="P1918" i="5" s="1"/>
  <c r="D1918" i="5"/>
  <c r="U1917" i="5"/>
  <c r="T1917" i="5"/>
  <c r="S1917" i="5"/>
  <c r="I1917" i="5"/>
  <c r="R1917" i="5" s="1"/>
  <c r="H1917" i="5"/>
  <c r="G1917" i="5"/>
  <c r="Q1917" i="5" s="1"/>
  <c r="F1917" i="5"/>
  <c r="E1917" i="5"/>
  <c r="P1917" i="5" s="1"/>
  <c r="D1917" i="5"/>
  <c r="U1916" i="5"/>
  <c r="T1916" i="5"/>
  <c r="S1916" i="5"/>
  <c r="O1916" i="5"/>
  <c r="N1916" i="5"/>
  <c r="I1916" i="5"/>
  <c r="R1916" i="5" s="1"/>
  <c r="H1916" i="5"/>
  <c r="G1916" i="5"/>
  <c r="Q1916" i="5" s="1"/>
  <c r="F1916" i="5"/>
  <c r="E1916" i="5"/>
  <c r="P1916" i="5" s="1"/>
  <c r="D1916" i="5"/>
  <c r="U1915" i="5"/>
  <c r="T1915" i="5"/>
  <c r="S1915" i="5"/>
  <c r="I1915" i="5"/>
  <c r="R1915" i="5" s="1"/>
  <c r="H1915" i="5"/>
  <c r="G1915" i="5"/>
  <c r="Q1915" i="5" s="1"/>
  <c r="F1915" i="5"/>
  <c r="E1915" i="5"/>
  <c r="P1915" i="5" s="1"/>
  <c r="D1915" i="5"/>
  <c r="U1914" i="5"/>
  <c r="T1914" i="5"/>
  <c r="S1914" i="5"/>
  <c r="O1914" i="5"/>
  <c r="N1914" i="5"/>
  <c r="I1914" i="5"/>
  <c r="R1914" i="5" s="1"/>
  <c r="H1914" i="5"/>
  <c r="G1914" i="5"/>
  <c r="Q1914" i="5" s="1"/>
  <c r="F1914" i="5"/>
  <c r="E1914" i="5"/>
  <c r="P1914" i="5" s="1"/>
  <c r="D1914" i="5"/>
  <c r="U1913" i="5"/>
  <c r="T1913" i="5"/>
  <c r="S1913" i="5"/>
  <c r="O1913" i="5"/>
  <c r="N1913" i="5"/>
  <c r="I1913" i="5"/>
  <c r="R1913" i="5" s="1"/>
  <c r="H1913" i="5"/>
  <c r="G1913" i="5"/>
  <c r="Q1913" i="5" s="1"/>
  <c r="F1913" i="5"/>
  <c r="E1913" i="5"/>
  <c r="P1913" i="5" s="1"/>
  <c r="D1913" i="5"/>
  <c r="U1912" i="5"/>
  <c r="T1912" i="5"/>
  <c r="S1912" i="5"/>
  <c r="O1912" i="5"/>
  <c r="N1912" i="5"/>
  <c r="I1912" i="5"/>
  <c r="R1912" i="5" s="1"/>
  <c r="H1912" i="5"/>
  <c r="G1912" i="5"/>
  <c r="Q1912" i="5" s="1"/>
  <c r="F1912" i="5"/>
  <c r="E1912" i="5"/>
  <c r="P1912" i="5" s="1"/>
  <c r="D1912" i="5"/>
  <c r="U401" i="5"/>
  <c r="S401" i="5"/>
  <c r="I401" i="5"/>
  <c r="R401" i="5" s="1"/>
  <c r="H401" i="5"/>
  <c r="G401" i="5"/>
  <c r="Q401" i="5" s="1"/>
  <c r="F401" i="5"/>
  <c r="E401" i="5"/>
  <c r="P401" i="5" s="1"/>
  <c r="D401" i="5"/>
  <c r="T1911" i="5"/>
  <c r="S1911" i="5"/>
  <c r="I1911" i="5"/>
  <c r="R1911" i="5" s="1"/>
  <c r="H1911" i="5"/>
  <c r="G1911" i="5"/>
  <c r="Q1911" i="5" s="1"/>
  <c r="F1911" i="5"/>
  <c r="E1911" i="5"/>
  <c r="P1911" i="5" s="1"/>
  <c r="D1911" i="5"/>
  <c r="U1911" i="5" s="1"/>
  <c r="U1910" i="5"/>
  <c r="T1910" i="5"/>
  <c r="S1910" i="5"/>
  <c r="I1910" i="5"/>
  <c r="R1910" i="5" s="1"/>
  <c r="H1910" i="5"/>
  <c r="G1910" i="5"/>
  <c r="Q1910" i="5" s="1"/>
  <c r="F1910" i="5"/>
  <c r="E1910" i="5"/>
  <c r="P1910" i="5" s="1"/>
  <c r="D1910" i="5"/>
  <c r="U1909" i="5"/>
  <c r="T1909" i="5"/>
  <c r="S1909" i="5"/>
  <c r="I1909" i="5"/>
  <c r="R1909" i="5" s="1"/>
  <c r="H1909" i="5"/>
  <c r="G1909" i="5"/>
  <c r="Q1909" i="5" s="1"/>
  <c r="F1909" i="5"/>
  <c r="E1909" i="5"/>
  <c r="P1909" i="5" s="1"/>
  <c r="D1909" i="5"/>
  <c r="U1908" i="5"/>
  <c r="T1908" i="5"/>
  <c r="S1908" i="5"/>
  <c r="I1908" i="5"/>
  <c r="R1908" i="5" s="1"/>
  <c r="H1908" i="5"/>
  <c r="G1908" i="5"/>
  <c r="Q1908" i="5" s="1"/>
  <c r="F1908" i="5"/>
  <c r="E1908" i="5"/>
  <c r="P1908" i="5" s="1"/>
  <c r="D1908" i="5"/>
  <c r="U1907" i="5"/>
  <c r="T1907" i="5"/>
  <c r="S1907" i="5"/>
  <c r="I1907" i="5"/>
  <c r="R1907" i="5" s="1"/>
  <c r="H1907" i="5"/>
  <c r="G1907" i="5"/>
  <c r="Q1907" i="5" s="1"/>
  <c r="F1907" i="5"/>
  <c r="E1907" i="5"/>
  <c r="P1907" i="5" s="1"/>
  <c r="D1907" i="5"/>
  <c r="U1906" i="5"/>
  <c r="T1906" i="5"/>
  <c r="S1906" i="5"/>
  <c r="I1906" i="5"/>
  <c r="R1906" i="5" s="1"/>
  <c r="H1906" i="5"/>
  <c r="G1906" i="5"/>
  <c r="Q1906" i="5" s="1"/>
  <c r="F1906" i="5"/>
  <c r="E1906" i="5"/>
  <c r="P1906" i="5" s="1"/>
  <c r="D1906" i="5"/>
  <c r="T1905" i="5"/>
  <c r="S1905" i="5"/>
  <c r="I1905" i="5"/>
  <c r="R1905" i="5" s="1"/>
  <c r="H1905" i="5"/>
  <c r="G1905" i="5"/>
  <c r="Q1905" i="5" s="1"/>
  <c r="F1905" i="5"/>
  <c r="E1905" i="5"/>
  <c r="P1905" i="5" s="1"/>
  <c r="D1905" i="5"/>
  <c r="U1905" i="5" s="1"/>
  <c r="U1904" i="5"/>
  <c r="T1904" i="5"/>
  <c r="S1904" i="5"/>
  <c r="I1904" i="5"/>
  <c r="R1904" i="5" s="1"/>
  <c r="H1904" i="5"/>
  <c r="G1904" i="5"/>
  <c r="Q1904" i="5" s="1"/>
  <c r="F1904" i="5"/>
  <c r="E1904" i="5"/>
  <c r="P1904" i="5" s="1"/>
  <c r="D1904" i="5"/>
  <c r="U1903" i="5"/>
  <c r="T1903" i="5"/>
  <c r="S1903" i="5"/>
  <c r="I1903" i="5"/>
  <c r="R1903" i="5" s="1"/>
  <c r="H1903" i="5"/>
  <c r="G1903" i="5"/>
  <c r="Q1903" i="5" s="1"/>
  <c r="F1903" i="5"/>
  <c r="E1903" i="5"/>
  <c r="P1903" i="5" s="1"/>
  <c r="D1903" i="5"/>
  <c r="U1902" i="5"/>
  <c r="T1902" i="5"/>
  <c r="S1902" i="5"/>
  <c r="I1902" i="5"/>
  <c r="R1902" i="5" s="1"/>
  <c r="H1902" i="5"/>
  <c r="G1902" i="5"/>
  <c r="Q1902" i="5" s="1"/>
  <c r="F1902" i="5"/>
  <c r="E1902" i="5"/>
  <c r="P1902" i="5" s="1"/>
  <c r="D1902" i="5"/>
  <c r="U1901" i="5"/>
  <c r="T1901" i="5"/>
  <c r="S1901" i="5"/>
  <c r="I1901" i="5"/>
  <c r="R1901" i="5" s="1"/>
  <c r="H1901" i="5"/>
  <c r="G1901" i="5"/>
  <c r="Q1901" i="5" s="1"/>
  <c r="F1901" i="5"/>
  <c r="E1901" i="5"/>
  <c r="P1901" i="5" s="1"/>
  <c r="D1901" i="5"/>
  <c r="U1900" i="5"/>
  <c r="T1900" i="5"/>
  <c r="S1900" i="5"/>
  <c r="I1900" i="5"/>
  <c r="R1900" i="5" s="1"/>
  <c r="H1900" i="5"/>
  <c r="G1900" i="5"/>
  <c r="Q1900" i="5" s="1"/>
  <c r="F1900" i="5"/>
  <c r="E1900" i="5"/>
  <c r="P1900" i="5" s="1"/>
  <c r="D1900" i="5"/>
  <c r="U1899" i="5"/>
  <c r="T1899" i="5"/>
  <c r="S1899" i="5"/>
  <c r="I1899" i="5"/>
  <c r="R1899" i="5" s="1"/>
  <c r="H1899" i="5"/>
  <c r="G1899" i="5"/>
  <c r="Q1899" i="5" s="1"/>
  <c r="F1899" i="5"/>
  <c r="E1899" i="5"/>
  <c r="P1899" i="5" s="1"/>
  <c r="D1899" i="5"/>
  <c r="U1898" i="5"/>
  <c r="T1898" i="5"/>
  <c r="S1898" i="5"/>
  <c r="I1898" i="5"/>
  <c r="R1898" i="5" s="1"/>
  <c r="H1898" i="5"/>
  <c r="G1898" i="5"/>
  <c r="Q1898" i="5" s="1"/>
  <c r="F1898" i="5"/>
  <c r="E1898" i="5"/>
  <c r="P1898" i="5" s="1"/>
  <c r="D1898" i="5"/>
  <c r="U391" i="5"/>
  <c r="S391" i="5"/>
  <c r="I391" i="5"/>
  <c r="R391" i="5" s="1"/>
  <c r="H391" i="5"/>
  <c r="G391" i="5"/>
  <c r="Q391" i="5" s="1"/>
  <c r="F391" i="5"/>
  <c r="E391" i="5"/>
  <c r="P391" i="5" s="1"/>
  <c r="D391" i="5"/>
  <c r="T1897" i="5"/>
  <c r="S1897" i="5"/>
  <c r="I1897" i="5"/>
  <c r="R1897" i="5" s="1"/>
  <c r="H1897" i="5"/>
  <c r="G1897" i="5"/>
  <c r="Q1897" i="5" s="1"/>
  <c r="F1897" i="5"/>
  <c r="E1897" i="5"/>
  <c r="P1897" i="5" s="1"/>
  <c r="D1897" i="5"/>
  <c r="U1897" i="5" s="1"/>
  <c r="U1896" i="5"/>
  <c r="T1896" i="5"/>
  <c r="S1896" i="5"/>
  <c r="I1896" i="5"/>
  <c r="R1896" i="5" s="1"/>
  <c r="H1896" i="5"/>
  <c r="G1896" i="5"/>
  <c r="Q1896" i="5" s="1"/>
  <c r="F1896" i="5"/>
  <c r="E1896" i="5"/>
  <c r="P1896" i="5" s="1"/>
  <c r="D1896" i="5"/>
  <c r="U1895" i="5"/>
  <c r="T1895" i="5"/>
  <c r="S1895" i="5"/>
  <c r="I1895" i="5"/>
  <c r="R1895" i="5" s="1"/>
  <c r="H1895" i="5"/>
  <c r="G1895" i="5"/>
  <c r="Q1895" i="5" s="1"/>
  <c r="F1895" i="5"/>
  <c r="E1895" i="5"/>
  <c r="P1895" i="5" s="1"/>
  <c r="D1895" i="5"/>
  <c r="U1894" i="5"/>
  <c r="T1894" i="5"/>
  <c r="S1894" i="5"/>
  <c r="I1894" i="5"/>
  <c r="R1894" i="5" s="1"/>
  <c r="H1894" i="5"/>
  <c r="G1894" i="5"/>
  <c r="Q1894" i="5" s="1"/>
  <c r="F1894" i="5"/>
  <c r="E1894" i="5"/>
  <c r="P1894" i="5" s="1"/>
  <c r="D1894" i="5"/>
  <c r="U1893" i="5"/>
  <c r="T1893" i="5"/>
  <c r="S1893" i="5"/>
  <c r="I1893" i="5"/>
  <c r="R1893" i="5" s="1"/>
  <c r="H1893" i="5"/>
  <c r="G1893" i="5"/>
  <c r="Q1893" i="5" s="1"/>
  <c r="F1893" i="5"/>
  <c r="E1893" i="5"/>
  <c r="P1893" i="5" s="1"/>
  <c r="D1893" i="5"/>
  <c r="U1892" i="5"/>
  <c r="T1892" i="5"/>
  <c r="S1892" i="5"/>
  <c r="I1892" i="5"/>
  <c r="R1892" i="5" s="1"/>
  <c r="H1892" i="5"/>
  <c r="G1892" i="5"/>
  <c r="Q1892" i="5" s="1"/>
  <c r="F1892" i="5"/>
  <c r="E1892" i="5"/>
  <c r="P1892" i="5" s="1"/>
  <c r="D1892" i="5"/>
  <c r="T1891" i="5"/>
  <c r="S1891" i="5"/>
  <c r="I1891" i="5"/>
  <c r="R1891" i="5" s="1"/>
  <c r="H1891" i="5"/>
  <c r="G1891" i="5"/>
  <c r="Q1891" i="5" s="1"/>
  <c r="F1891" i="5"/>
  <c r="E1891" i="5"/>
  <c r="P1891" i="5" s="1"/>
  <c r="D1891" i="5"/>
  <c r="U1891" i="5" s="1"/>
  <c r="U1890" i="5"/>
  <c r="T1890" i="5"/>
  <c r="S1890" i="5"/>
  <c r="I1890" i="5"/>
  <c r="R1890" i="5" s="1"/>
  <c r="H1890" i="5"/>
  <c r="G1890" i="5"/>
  <c r="Q1890" i="5" s="1"/>
  <c r="F1890" i="5"/>
  <c r="E1890" i="5"/>
  <c r="P1890" i="5" s="1"/>
  <c r="D1890" i="5"/>
  <c r="U1889" i="5"/>
  <c r="T1889" i="5"/>
  <c r="S1889" i="5"/>
  <c r="I1889" i="5"/>
  <c r="R1889" i="5" s="1"/>
  <c r="H1889" i="5"/>
  <c r="G1889" i="5"/>
  <c r="Q1889" i="5" s="1"/>
  <c r="F1889" i="5"/>
  <c r="E1889" i="5"/>
  <c r="P1889" i="5" s="1"/>
  <c r="D1889" i="5"/>
  <c r="U1888" i="5"/>
  <c r="T1888" i="5"/>
  <c r="S1888" i="5"/>
  <c r="I1888" i="5"/>
  <c r="R1888" i="5" s="1"/>
  <c r="H1888" i="5"/>
  <c r="G1888" i="5"/>
  <c r="Q1888" i="5" s="1"/>
  <c r="F1888" i="5"/>
  <c r="E1888" i="5"/>
  <c r="P1888" i="5" s="1"/>
  <c r="D1888" i="5"/>
  <c r="U1887" i="5"/>
  <c r="T1887" i="5"/>
  <c r="S1887" i="5"/>
  <c r="I1887" i="5"/>
  <c r="R1887" i="5" s="1"/>
  <c r="H1887" i="5"/>
  <c r="G1887" i="5"/>
  <c r="Q1887" i="5" s="1"/>
  <c r="F1887" i="5"/>
  <c r="E1887" i="5"/>
  <c r="P1887" i="5" s="1"/>
  <c r="D1887" i="5"/>
  <c r="U1886" i="5"/>
  <c r="T1886" i="5"/>
  <c r="S1886" i="5"/>
  <c r="I1886" i="5"/>
  <c r="R1886" i="5" s="1"/>
  <c r="H1886" i="5"/>
  <c r="G1886" i="5"/>
  <c r="Q1886" i="5" s="1"/>
  <c r="F1886" i="5"/>
  <c r="E1886" i="5"/>
  <c r="P1886" i="5" s="1"/>
  <c r="D1886" i="5"/>
  <c r="U1885" i="5"/>
  <c r="T1885" i="5"/>
  <c r="S1885" i="5"/>
  <c r="I1885" i="5"/>
  <c r="R1885" i="5" s="1"/>
  <c r="H1885" i="5"/>
  <c r="G1885" i="5"/>
  <c r="Q1885" i="5" s="1"/>
  <c r="F1885" i="5"/>
  <c r="E1885" i="5"/>
  <c r="P1885" i="5" s="1"/>
  <c r="D1885" i="5"/>
  <c r="U1884" i="5"/>
  <c r="T1884" i="5"/>
  <c r="S1884" i="5"/>
  <c r="I1884" i="5"/>
  <c r="R1884" i="5" s="1"/>
  <c r="H1884" i="5"/>
  <c r="G1884" i="5"/>
  <c r="Q1884" i="5" s="1"/>
  <c r="F1884" i="5"/>
  <c r="E1884" i="5"/>
  <c r="P1884" i="5" s="1"/>
  <c r="D1884" i="5"/>
  <c r="U381" i="5"/>
  <c r="S381" i="5"/>
  <c r="I381" i="5"/>
  <c r="R381" i="5" s="1"/>
  <c r="H381" i="5"/>
  <c r="G381" i="5"/>
  <c r="Q381" i="5" s="1"/>
  <c r="F381" i="5"/>
  <c r="E381" i="5"/>
  <c r="P381" i="5" s="1"/>
  <c r="D381" i="5"/>
  <c r="T1883" i="5"/>
  <c r="S1883" i="5"/>
  <c r="I1883" i="5"/>
  <c r="R1883" i="5" s="1"/>
  <c r="H1883" i="5"/>
  <c r="G1883" i="5"/>
  <c r="Q1883" i="5" s="1"/>
  <c r="F1883" i="5"/>
  <c r="E1883" i="5"/>
  <c r="P1883" i="5" s="1"/>
  <c r="D1883" i="5"/>
  <c r="U1883" i="5" s="1"/>
  <c r="U1882" i="5"/>
  <c r="T1882" i="5"/>
  <c r="S1882" i="5"/>
  <c r="I1882" i="5"/>
  <c r="R1882" i="5" s="1"/>
  <c r="H1882" i="5"/>
  <c r="G1882" i="5"/>
  <c r="Q1882" i="5" s="1"/>
  <c r="F1882" i="5"/>
  <c r="E1882" i="5"/>
  <c r="P1882" i="5" s="1"/>
  <c r="D1882" i="5"/>
  <c r="U1881" i="5"/>
  <c r="T1881" i="5"/>
  <c r="S1881" i="5"/>
  <c r="I1881" i="5"/>
  <c r="R1881" i="5" s="1"/>
  <c r="H1881" i="5"/>
  <c r="G1881" i="5"/>
  <c r="Q1881" i="5" s="1"/>
  <c r="F1881" i="5"/>
  <c r="E1881" i="5"/>
  <c r="P1881" i="5" s="1"/>
  <c r="D1881" i="5"/>
  <c r="U1880" i="5"/>
  <c r="T1880" i="5"/>
  <c r="S1880" i="5"/>
  <c r="I1880" i="5"/>
  <c r="R1880" i="5" s="1"/>
  <c r="H1880" i="5"/>
  <c r="G1880" i="5"/>
  <c r="Q1880" i="5" s="1"/>
  <c r="F1880" i="5"/>
  <c r="E1880" i="5"/>
  <c r="P1880" i="5" s="1"/>
  <c r="D1880" i="5"/>
  <c r="U1879" i="5"/>
  <c r="T1879" i="5"/>
  <c r="S1879" i="5"/>
  <c r="I1879" i="5"/>
  <c r="R1879" i="5" s="1"/>
  <c r="H1879" i="5"/>
  <c r="G1879" i="5"/>
  <c r="Q1879" i="5" s="1"/>
  <c r="F1879" i="5"/>
  <c r="E1879" i="5"/>
  <c r="P1879" i="5" s="1"/>
  <c r="D1879" i="5"/>
  <c r="U1878" i="5"/>
  <c r="T1878" i="5"/>
  <c r="S1878" i="5"/>
  <c r="I1878" i="5"/>
  <c r="R1878" i="5" s="1"/>
  <c r="H1878" i="5"/>
  <c r="G1878" i="5"/>
  <c r="Q1878" i="5" s="1"/>
  <c r="F1878" i="5"/>
  <c r="E1878" i="5"/>
  <c r="P1878" i="5" s="1"/>
  <c r="D1878" i="5"/>
  <c r="T1877" i="5"/>
  <c r="S1877" i="5"/>
  <c r="I1877" i="5"/>
  <c r="R1877" i="5" s="1"/>
  <c r="H1877" i="5"/>
  <c r="G1877" i="5"/>
  <c r="Q1877" i="5" s="1"/>
  <c r="F1877" i="5"/>
  <c r="E1877" i="5"/>
  <c r="P1877" i="5" s="1"/>
  <c r="D1877" i="5"/>
  <c r="U1877" i="5" s="1"/>
  <c r="U1876" i="5"/>
  <c r="T1876" i="5"/>
  <c r="S1876" i="5"/>
  <c r="I1876" i="5"/>
  <c r="R1876" i="5" s="1"/>
  <c r="H1876" i="5"/>
  <c r="G1876" i="5"/>
  <c r="Q1876" i="5" s="1"/>
  <c r="F1876" i="5"/>
  <c r="E1876" i="5"/>
  <c r="P1876" i="5" s="1"/>
  <c r="D1876" i="5"/>
  <c r="U1875" i="5"/>
  <c r="T1875" i="5"/>
  <c r="S1875" i="5"/>
  <c r="I1875" i="5"/>
  <c r="R1875" i="5" s="1"/>
  <c r="H1875" i="5"/>
  <c r="G1875" i="5"/>
  <c r="Q1875" i="5" s="1"/>
  <c r="F1875" i="5"/>
  <c r="E1875" i="5"/>
  <c r="P1875" i="5" s="1"/>
  <c r="D1875" i="5"/>
  <c r="U1874" i="5"/>
  <c r="T1874" i="5"/>
  <c r="S1874" i="5"/>
  <c r="I1874" i="5"/>
  <c r="R1874" i="5" s="1"/>
  <c r="H1874" i="5"/>
  <c r="G1874" i="5"/>
  <c r="Q1874" i="5" s="1"/>
  <c r="F1874" i="5"/>
  <c r="E1874" i="5"/>
  <c r="P1874" i="5" s="1"/>
  <c r="D1874" i="5"/>
  <c r="U1873" i="5"/>
  <c r="T1873" i="5"/>
  <c r="S1873" i="5"/>
  <c r="I1873" i="5"/>
  <c r="R1873" i="5" s="1"/>
  <c r="H1873" i="5"/>
  <c r="G1873" i="5"/>
  <c r="Q1873" i="5" s="1"/>
  <c r="F1873" i="5"/>
  <c r="E1873" i="5"/>
  <c r="P1873" i="5" s="1"/>
  <c r="D1873" i="5"/>
  <c r="U1872" i="5"/>
  <c r="T1872" i="5"/>
  <c r="S1872" i="5"/>
  <c r="I1872" i="5"/>
  <c r="R1872" i="5" s="1"/>
  <c r="H1872" i="5"/>
  <c r="G1872" i="5"/>
  <c r="Q1872" i="5" s="1"/>
  <c r="F1872" i="5"/>
  <c r="E1872" i="5"/>
  <c r="P1872" i="5" s="1"/>
  <c r="D1872" i="5"/>
  <c r="U1871" i="5"/>
  <c r="T1871" i="5"/>
  <c r="S1871" i="5"/>
  <c r="I1871" i="5"/>
  <c r="R1871" i="5" s="1"/>
  <c r="H1871" i="5"/>
  <c r="G1871" i="5"/>
  <c r="Q1871" i="5" s="1"/>
  <c r="F1871" i="5"/>
  <c r="E1871" i="5"/>
  <c r="P1871" i="5" s="1"/>
  <c r="D1871" i="5"/>
  <c r="U1870" i="5"/>
  <c r="T1870" i="5"/>
  <c r="S1870" i="5"/>
  <c r="I1870" i="5"/>
  <c r="R1870" i="5" s="1"/>
  <c r="H1870" i="5"/>
  <c r="G1870" i="5"/>
  <c r="Q1870" i="5" s="1"/>
  <c r="F1870" i="5"/>
  <c r="E1870" i="5"/>
  <c r="P1870" i="5" s="1"/>
  <c r="D1870" i="5"/>
  <c r="U371" i="5"/>
  <c r="S371" i="5"/>
  <c r="I371" i="5"/>
  <c r="R371" i="5" s="1"/>
  <c r="H371" i="5"/>
  <c r="G371" i="5"/>
  <c r="Q371" i="5" s="1"/>
  <c r="F371" i="5"/>
  <c r="E371" i="5"/>
  <c r="P371" i="5" s="1"/>
  <c r="D371" i="5"/>
  <c r="T1863" i="5"/>
  <c r="S1863" i="5"/>
  <c r="I1863" i="5"/>
  <c r="R1863" i="5" s="1"/>
  <c r="H1863" i="5"/>
  <c r="G1863" i="5"/>
  <c r="Q1863" i="5" s="1"/>
  <c r="F1863" i="5"/>
  <c r="E1863" i="5"/>
  <c r="P1863" i="5" s="1"/>
  <c r="D1863" i="5"/>
  <c r="U1863" i="5" s="1"/>
  <c r="U1862" i="5"/>
  <c r="T1862" i="5"/>
  <c r="S1862" i="5"/>
  <c r="O1862" i="5"/>
  <c r="N1862" i="5"/>
  <c r="I1862" i="5"/>
  <c r="R1862" i="5" s="1"/>
  <c r="H1862" i="5"/>
  <c r="G1862" i="5"/>
  <c r="Q1862" i="5" s="1"/>
  <c r="F1862" i="5"/>
  <c r="E1862" i="5"/>
  <c r="P1862" i="5" s="1"/>
  <c r="D1862" i="5"/>
  <c r="U1861" i="5"/>
  <c r="T1861" i="5"/>
  <c r="S1861" i="5"/>
  <c r="I1861" i="5"/>
  <c r="R1861" i="5" s="1"/>
  <c r="H1861" i="5"/>
  <c r="G1861" i="5"/>
  <c r="Q1861" i="5" s="1"/>
  <c r="F1861" i="5"/>
  <c r="E1861" i="5"/>
  <c r="P1861" i="5" s="1"/>
  <c r="D1861" i="5"/>
  <c r="U1860" i="5"/>
  <c r="T1860" i="5"/>
  <c r="S1860" i="5"/>
  <c r="I1860" i="5"/>
  <c r="R1860" i="5" s="1"/>
  <c r="H1860" i="5"/>
  <c r="G1860" i="5"/>
  <c r="Q1860" i="5" s="1"/>
  <c r="F1860" i="5"/>
  <c r="E1860" i="5"/>
  <c r="P1860" i="5" s="1"/>
  <c r="D1860" i="5"/>
  <c r="U1859" i="5"/>
  <c r="T1859" i="5"/>
  <c r="S1859" i="5"/>
  <c r="I1859" i="5"/>
  <c r="R1859" i="5" s="1"/>
  <c r="H1859" i="5"/>
  <c r="G1859" i="5"/>
  <c r="Q1859" i="5" s="1"/>
  <c r="F1859" i="5"/>
  <c r="E1859" i="5"/>
  <c r="P1859" i="5" s="1"/>
  <c r="D1859" i="5"/>
  <c r="U1858" i="5"/>
  <c r="T1858" i="5"/>
  <c r="S1858" i="5"/>
  <c r="I1858" i="5"/>
  <c r="R1858" i="5" s="1"/>
  <c r="H1858" i="5"/>
  <c r="G1858" i="5"/>
  <c r="Q1858" i="5" s="1"/>
  <c r="F1858" i="5"/>
  <c r="E1858" i="5"/>
  <c r="P1858" i="5" s="1"/>
  <c r="D1858" i="5"/>
  <c r="T1857" i="5"/>
  <c r="S1857" i="5"/>
  <c r="I1857" i="5"/>
  <c r="R1857" i="5" s="1"/>
  <c r="H1857" i="5"/>
  <c r="G1857" i="5"/>
  <c r="Q1857" i="5" s="1"/>
  <c r="F1857" i="5"/>
  <c r="E1857" i="5"/>
  <c r="P1857" i="5" s="1"/>
  <c r="D1857" i="5"/>
  <c r="U1857" i="5" s="1"/>
  <c r="U1856" i="5"/>
  <c r="T1856" i="5"/>
  <c r="S1856" i="5"/>
  <c r="I1856" i="5"/>
  <c r="R1856" i="5" s="1"/>
  <c r="H1856" i="5"/>
  <c r="G1856" i="5"/>
  <c r="Q1856" i="5" s="1"/>
  <c r="F1856" i="5"/>
  <c r="E1856" i="5"/>
  <c r="P1856" i="5" s="1"/>
  <c r="D1856" i="5"/>
  <c r="U1855" i="5"/>
  <c r="T1855" i="5"/>
  <c r="S1855" i="5"/>
  <c r="I1855" i="5"/>
  <c r="R1855" i="5" s="1"/>
  <c r="H1855" i="5"/>
  <c r="G1855" i="5"/>
  <c r="Q1855" i="5" s="1"/>
  <c r="F1855" i="5"/>
  <c r="E1855" i="5"/>
  <c r="P1855" i="5" s="1"/>
  <c r="D1855" i="5"/>
  <c r="U1854" i="5"/>
  <c r="T1854" i="5"/>
  <c r="S1854" i="5"/>
  <c r="O1854" i="5"/>
  <c r="N1854" i="5"/>
  <c r="I1854" i="5"/>
  <c r="R1854" i="5" s="1"/>
  <c r="H1854" i="5"/>
  <c r="G1854" i="5"/>
  <c r="Q1854" i="5" s="1"/>
  <c r="F1854" i="5"/>
  <c r="E1854" i="5"/>
  <c r="P1854" i="5" s="1"/>
  <c r="D1854" i="5"/>
  <c r="U1853" i="5"/>
  <c r="T1853" i="5"/>
  <c r="S1853" i="5"/>
  <c r="I1853" i="5"/>
  <c r="R1853" i="5" s="1"/>
  <c r="H1853" i="5"/>
  <c r="G1853" i="5"/>
  <c r="Q1853" i="5" s="1"/>
  <c r="F1853" i="5"/>
  <c r="E1853" i="5"/>
  <c r="P1853" i="5" s="1"/>
  <c r="D1853" i="5"/>
  <c r="U1852" i="5"/>
  <c r="T1852" i="5"/>
  <c r="S1852" i="5"/>
  <c r="O1852" i="5"/>
  <c r="N1852" i="5"/>
  <c r="I1852" i="5"/>
  <c r="R1852" i="5" s="1"/>
  <c r="H1852" i="5"/>
  <c r="G1852" i="5"/>
  <c r="Q1852" i="5" s="1"/>
  <c r="F1852" i="5"/>
  <c r="E1852" i="5"/>
  <c r="P1852" i="5" s="1"/>
  <c r="D1852" i="5"/>
  <c r="U1851" i="5"/>
  <c r="T1851" i="5"/>
  <c r="S1851" i="5"/>
  <c r="O1851" i="5"/>
  <c r="N1851" i="5"/>
  <c r="I1851" i="5"/>
  <c r="R1851" i="5" s="1"/>
  <c r="H1851" i="5"/>
  <c r="G1851" i="5"/>
  <c r="Q1851" i="5" s="1"/>
  <c r="F1851" i="5"/>
  <c r="E1851" i="5"/>
  <c r="P1851" i="5" s="1"/>
  <c r="D1851" i="5"/>
  <c r="U1850" i="5"/>
  <c r="T1850" i="5"/>
  <c r="S1850" i="5"/>
  <c r="O1850" i="5"/>
  <c r="N1850" i="5"/>
  <c r="I1850" i="5"/>
  <c r="R1850" i="5" s="1"/>
  <c r="H1850" i="5"/>
  <c r="G1850" i="5"/>
  <c r="Q1850" i="5" s="1"/>
  <c r="F1850" i="5"/>
  <c r="E1850" i="5"/>
  <c r="P1850" i="5" s="1"/>
  <c r="D1850" i="5"/>
  <c r="U361" i="5"/>
  <c r="S361" i="5"/>
  <c r="I361" i="5"/>
  <c r="R361" i="5" s="1"/>
  <c r="H361" i="5"/>
  <c r="G361" i="5"/>
  <c r="Q361" i="5" s="1"/>
  <c r="F361" i="5"/>
  <c r="E361" i="5"/>
  <c r="P361" i="5" s="1"/>
  <c r="D361" i="5"/>
  <c r="T1849" i="5"/>
  <c r="S1849" i="5"/>
  <c r="I1849" i="5"/>
  <c r="R1849" i="5" s="1"/>
  <c r="H1849" i="5"/>
  <c r="G1849" i="5"/>
  <c r="Q1849" i="5" s="1"/>
  <c r="F1849" i="5"/>
  <c r="E1849" i="5"/>
  <c r="P1849" i="5" s="1"/>
  <c r="D1849" i="5"/>
  <c r="U1849" i="5" s="1"/>
  <c r="U1848" i="5"/>
  <c r="T1848" i="5"/>
  <c r="S1848" i="5"/>
  <c r="I1848" i="5"/>
  <c r="R1848" i="5" s="1"/>
  <c r="H1848" i="5"/>
  <c r="G1848" i="5"/>
  <c r="Q1848" i="5" s="1"/>
  <c r="F1848" i="5"/>
  <c r="E1848" i="5"/>
  <c r="P1848" i="5" s="1"/>
  <c r="D1848" i="5"/>
  <c r="U1847" i="5"/>
  <c r="T1847" i="5"/>
  <c r="S1847" i="5"/>
  <c r="I1847" i="5"/>
  <c r="R1847" i="5" s="1"/>
  <c r="H1847" i="5"/>
  <c r="G1847" i="5"/>
  <c r="Q1847" i="5" s="1"/>
  <c r="F1847" i="5"/>
  <c r="E1847" i="5"/>
  <c r="P1847" i="5" s="1"/>
  <c r="D1847" i="5"/>
  <c r="U1846" i="5"/>
  <c r="T1846" i="5"/>
  <c r="S1846" i="5"/>
  <c r="I1846" i="5"/>
  <c r="R1846" i="5" s="1"/>
  <c r="H1846" i="5"/>
  <c r="G1846" i="5"/>
  <c r="Q1846" i="5" s="1"/>
  <c r="F1846" i="5"/>
  <c r="E1846" i="5"/>
  <c r="P1846" i="5" s="1"/>
  <c r="D1846" i="5"/>
  <c r="U1845" i="5"/>
  <c r="T1845" i="5"/>
  <c r="S1845" i="5"/>
  <c r="I1845" i="5"/>
  <c r="R1845" i="5" s="1"/>
  <c r="H1845" i="5"/>
  <c r="G1845" i="5"/>
  <c r="Q1845" i="5" s="1"/>
  <c r="F1845" i="5"/>
  <c r="E1845" i="5"/>
  <c r="P1845" i="5" s="1"/>
  <c r="D1845" i="5"/>
  <c r="U1844" i="5"/>
  <c r="T1844" i="5"/>
  <c r="S1844" i="5"/>
  <c r="I1844" i="5"/>
  <c r="R1844" i="5" s="1"/>
  <c r="H1844" i="5"/>
  <c r="G1844" i="5"/>
  <c r="Q1844" i="5" s="1"/>
  <c r="F1844" i="5"/>
  <c r="E1844" i="5"/>
  <c r="P1844" i="5" s="1"/>
  <c r="D1844" i="5"/>
  <c r="T1843" i="5"/>
  <c r="S1843" i="5"/>
  <c r="I1843" i="5"/>
  <c r="R1843" i="5" s="1"/>
  <c r="H1843" i="5"/>
  <c r="G1843" i="5"/>
  <c r="Q1843" i="5" s="1"/>
  <c r="F1843" i="5"/>
  <c r="E1843" i="5"/>
  <c r="P1843" i="5" s="1"/>
  <c r="D1843" i="5"/>
  <c r="U1843" i="5" s="1"/>
  <c r="U1842" i="5"/>
  <c r="T1842" i="5"/>
  <c r="S1842" i="5"/>
  <c r="I1842" i="5"/>
  <c r="R1842" i="5" s="1"/>
  <c r="H1842" i="5"/>
  <c r="G1842" i="5"/>
  <c r="Q1842" i="5" s="1"/>
  <c r="F1842" i="5"/>
  <c r="E1842" i="5"/>
  <c r="P1842" i="5" s="1"/>
  <c r="D1842" i="5"/>
  <c r="U1841" i="5"/>
  <c r="T1841" i="5"/>
  <c r="S1841" i="5"/>
  <c r="I1841" i="5"/>
  <c r="R1841" i="5" s="1"/>
  <c r="H1841" i="5"/>
  <c r="G1841" i="5"/>
  <c r="Q1841" i="5" s="1"/>
  <c r="F1841" i="5"/>
  <c r="E1841" i="5"/>
  <c r="P1841" i="5" s="1"/>
  <c r="D1841" i="5"/>
  <c r="U1840" i="5"/>
  <c r="T1840" i="5"/>
  <c r="S1840" i="5"/>
  <c r="I1840" i="5"/>
  <c r="R1840" i="5" s="1"/>
  <c r="H1840" i="5"/>
  <c r="G1840" i="5"/>
  <c r="Q1840" i="5" s="1"/>
  <c r="F1840" i="5"/>
  <c r="E1840" i="5"/>
  <c r="P1840" i="5" s="1"/>
  <c r="D1840" i="5"/>
  <c r="U1839" i="5"/>
  <c r="T1839" i="5"/>
  <c r="S1839" i="5"/>
  <c r="I1839" i="5"/>
  <c r="R1839" i="5" s="1"/>
  <c r="H1839" i="5"/>
  <c r="G1839" i="5"/>
  <c r="Q1839" i="5" s="1"/>
  <c r="F1839" i="5"/>
  <c r="E1839" i="5"/>
  <c r="P1839" i="5" s="1"/>
  <c r="D1839" i="5"/>
  <c r="U1838" i="5"/>
  <c r="T1838" i="5"/>
  <c r="S1838" i="5"/>
  <c r="I1838" i="5"/>
  <c r="R1838" i="5" s="1"/>
  <c r="H1838" i="5"/>
  <c r="G1838" i="5"/>
  <c r="Q1838" i="5" s="1"/>
  <c r="F1838" i="5"/>
  <c r="E1838" i="5"/>
  <c r="P1838" i="5" s="1"/>
  <c r="D1838" i="5"/>
  <c r="U1837" i="5"/>
  <c r="T1837" i="5"/>
  <c r="S1837" i="5"/>
  <c r="I1837" i="5"/>
  <c r="R1837" i="5" s="1"/>
  <c r="H1837" i="5"/>
  <c r="G1837" i="5"/>
  <c r="Q1837" i="5" s="1"/>
  <c r="F1837" i="5"/>
  <c r="E1837" i="5"/>
  <c r="P1837" i="5" s="1"/>
  <c r="D1837" i="5"/>
  <c r="U1836" i="5"/>
  <c r="T1836" i="5"/>
  <c r="S1836" i="5"/>
  <c r="I1836" i="5"/>
  <c r="R1836" i="5" s="1"/>
  <c r="H1836" i="5"/>
  <c r="G1836" i="5"/>
  <c r="Q1836" i="5" s="1"/>
  <c r="F1836" i="5"/>
  <c r="E1836" i="5"/>
  <c r="P1836" i="5" s="1"/>
  <c r="D1836" i="5"/>
  <c r="U351" i="5"/>
  <c r="S351" i="5"/>
  <c r="I351" i="5"/>
  <c r="R351" i="5" s="1"/>
  <c r="H351" i="5"/>
  <c r="G351" i="5"/>
  <c r="Q351" i="5" s="1"/>
  <c r="F351" i="5"/>
  <c r="E351" i="5"/>
  <c r="P351" i="5" s="1"/>
  <c r="D351" i="5"/>
  <c r="T1835" i="5"/>
  <c r="S1835" i="5"/>
  <c r="I1835" i="5"/>
  <c r="R1835" i="5" s="1"/>
  <c r="H1835" i="5"/>
  <c r="G1835" i="5"/>
  <c r="Q1835" i="5" s="1"/>
  <c r="F1835" i="5"/>
  <c r="E1835" i="5"/>
  <c r="P1835" i="5" s="1"/>
  <c r="D1835" i="5"/>
  <c r="U1835" i="5" s="1"/>
  <c r="U1834" i="5"/>
  <c r="T1834" i="5"/>
  <c r="S1834" i="5"/>
  <c r="I1834" i="5"/>
  <c r="R1834" i="5" s="1"/>
  <c r="H1834" i="5"/>
  <c r="G1834" i="5"/>
  <c r="Q1834" i="5" s="1"/>
  <c r="F1834" i="5"/>
  <c r="E1834" i="5"/>
  <c r="P1834" i="5" s="1"/>
  <c r="D1834" i="5"/>
  <c r="U1833" i="5"/>
  <c r="T1833" i="5"/>
  <c r="S1833" i="5"/>
  <c r="I1833" i="5"/>
  <c r="R1833" i="5" s="1"/>
  <c r="H1833" i="5"/>
  <c r="G1833" i="5"/>
  <c r="Q1833" i="5" s="1"/>
  <c r="F1833" i="5"/>
  <c r="E1833" i="5"/>
  <c r="P1833" i="5" s="1"/>
  <c r="D1833" i="5"/>
  <c r="U1832" i="5"/>
  <c r="T1832" i="5"/>
  <c r="S1832" i="5"/>
  <c r="I1832" i="5"/>
  <c r="R1832" i="5" s="1"/>
  <c r="H1832" i="5"/>
  <c r="G1832" i="5"/>
  <c r="Q1832" i="5" s="1"/>
  <c r="F1832" i="5"/>
  <c r="E1832" i="5"/>
  <c r="P1832" i="5" s="1"/>
  <c r="D1832" i="5"/>
  <c r="U1831" i="5"/>
  <c r="T1831" i="5"/>
  <c r="S1831" i="5"/>
  <c r="I1831" i="5"/>
  <c r="R1831" i="5" s="1"/>
  <c r="H1831" i="5"/>
  <c r="G1831" i="5"/>
  <c r="Q1831" i="5" s="1"/>
  <c r="F1831" i="5"/>
  <c r="E1831" i="5"/>
  <c r="P1831" i="5" s="1"/>
  <c r="D1831" i="5"/>
  <c r="U1830" i="5"/>
  <c r="T1830" i="5"/>
  <c r="S1830" i="5"/>
  <c r="I1830" i="5"/>
  <c r="R1830" i="5" s="1"/>
  <c r="H1830" i="5"/>
  <c r="G1830" i="5"/>
  <c r="Q1830" i="5" s="1"/>
  <c r="F1830" i="5"/>
  <c r="E1830" i="5"/>
  <c r="P1830" i="5" s="1"/>
  <c r="D1830" i="5"/>
  <c r="T1829" i="5"/>
  <c r="S1829" i="5"/>
  <c r="I1829" i="5"/>
  <c r="R1829" i="5" s="1"/>
  <c r="H1829" i="5"/>
  <c r="G1829" i="5"/>
  <c r="Q1829" i="5" s="1"/>
  <c r="F1829" i="5"/>
  <c r="E1829" i="5"/>
  <c r="P1829" i="5" s="1"/>
  <c r="D1829" i="5"/>
  <c r="U1829" i="5" s="1"/>
  <c r="U1828" i="5"/>
  <c r="T1828" i="5"/>
  <c r="S1828" i="5"/>
  <c r="I1828" i="5"/>
  <c r="R1828" i="5" s="1"/>
  <c r="H1828" i="5"/>
  <c r="G1828" i="5"/>
  <c r="Q1828" i="5" s="1"/>
  <c r="F1828" i="5"/>
  <c r="E1828" i="5"/>
  <c r="P1828" i="5" s="1"/>
  <c r="D1828" i="5"/>
  <c r="U1827" i="5"/>
  <c r="T1827" i="5"/>
  <c r="S1827" i="5"/>
  <c r="I1827" i="5"/>
  <c r="R1827" i="5" s="1"/>
  <c r="H1827" i="5"/>
  <c r="G1827" i="5"/>
  <c r="Q1827" i="5" s="1"/>
  <c r="F1827" i="5"/>
  <c r="E1827" i="5"/>
  <c r="P1827" i="5" s="1"/>
  <c r="D1827" i="5"/>
  <c r="U1826" i="5"/>
  <c r="T1826" i="5"/>
  <c r="S1826" i="5"/>
  <c r="I1826" i="5"/>
  <c r="R1826" i="5" s="1"/>
  <c r="H1826" i="5"/>
  <c r="G1826" i="5"/>
  <c r="Q1826" i="5" s="1"/>
  <c r="F1826" i="5"/>
  <c r="E1826" i="5"/>
  <c r="P1826" i="5" s="1"/>
  <c r="D1826" i="5"/>
  <c r="U1825" i="5"/>
  <c r="T1825" i="5"/>
  <c r="S1825" i="5"/>
  <c r="I1825" i="5"/>
  <c r="R1825" i="5" s="1"/>
  <c r="H1825" i="5"/>
  <c r="G1825" i="5"/>
  <c r="Q1825" i="5" s="1"/>
  <c r="F1825" i="5"/>
  <c r="E1825" i="5"/>
  <c r="P1825" i="5" s="1"/>
  <c r="D1825" i="5"/>
  <c r="U1824" i="5"/>
  <c r="T1824" i="5"/>
  <c r="S1824" i="5"/>
  <c r="I1824" i="5"/>
  <c r="R1824" i="5" s="1"/>
  <c r="H1824" i="5"/>
  <c r="G1824" i="5"/>
  <c r="Q1824" i="5" s="1"/>
  <c r="F1824" i="5"/>
  <c r="E1824" i="5"/>
  <c r="P1824" i="5" s="1"/>
  <c r="D1824" i="5"/>
  <c r="U1823" i="5"/>
  <c r="T1823" i="5"/>
  <c r="S1823" i="5"/>
  <c r="I1823" i="5"/>
  <c r="R1823" i="5" s="1"/>
  <c r="H1823" i="5"/>
  <c r="G1823" i="5"/>
  <c r="Q1823" i="5" s="1"/>
  <c r="F1823" i="5"/>
  <c r="E1823" i="5"/>
  <c r="P1823" i="5" s="1"/>
  <c r="D1823" i="5"/>
  <c r="U1822" i="5"/>
  <c r="T1822" i="5"/>
  <c r="S1822" i="5"/>
  <c r="I1822" i="5"/>
  <c r="R1822" i="5" s="1"/>
  <c r="H1822" i="5"/>
  <c r="G1822" i="5"/>
  <c r="Q1822" i="5" s="1"/>
  <c r="F1822" i="5"/>
  <c r="E1822" i="5"/>
  <c r="P1822" i="5" s="1"/>
  <c r="D1822" i="5"/>
  <c r="U341" i="5"/>
  <c r="S341" i="5"/>
  <c r="I341" i="5"/>
  <c r="R341" i="5" s="1"/>
  <c r="H341" i="5"/>
  <c r="G341" i="5"/>
  <c r="Q341" i="5" s="1"/>
  <c r="F341" i="5"/>
  <c r="E341" i="5"/>
  <c r="P341" i="5" s="1"/>
  <c r="D341" i="5"/>
  <c r="T1821" i="5"/>
  <c r="S1821" i="5"/>
  <c r="I1821" i="5"/>
  <c r="R1821" i="5" s="1"/>
  <c r="H1821" i="5"/>
  <c r="G1821" i="5"/>
  <c r="Q1821" i="5" s="1"/>
  <c r="F1821" i="5"/>
  <c r="E1821" i="5"/>
  <c r="P1821" i="5" s="1"/>
  <c r="D1821" i="5"/>
  <c r="U1821" i="5" s="1"/>
  <c r="U1820" i="5"/>
  <c r="T1820" i="5"/>
  <c r="S1820" i="5"/>
  <c r="I1820" i="5"/>
  <c r="R1820" i="5" s="1"/>
  <c r="H1820" i="5"/>
  <c r="G1820" i="5"/>
  <c r="Q1820" i="5" s="1"/>
  <c r="F1820" i="5"/>
  <c r="E1820" i="5"/>
  <c r="P1820" i="5" s="1"/>
  <c r="D1820" i="5"/>
  <c r="U1819" i="5"/>
  <c r="T1819" i="5"/>
  <c r="S1819" i="5"/>
  <c r="I1819" i="5"/>
  <c r="R1819" i="5" s="1"/>
  <c r="H1819" i="5"/>
  <c r="G1819" i="5"/>
  <c r="Q1819" i="5" s="1"/>
  <c r="F1819" i="5"/>
  <c r="E1819" i="5"/>
  <c r="P1819" i="5" s="1"/>
  <c r="D1819" i="5"/>
  <c r="U1818" i="5"/>
  <c r="T1818" i="5"/>
  <c r="S1818" i="5"/>
  <c r="I1818" i="5"/>
  <c r="R1818" i="5" s="1"/>
  <c r="H1818" i="5"/>
  <c r="G1818" i="5"/>
  <c r="Q1818" i="5" s="1"/>
  <c r="F1818" i="5"/>
  <c r="E1818" i="5"/>
  <c r="P1818" i="5" s="1"/>
  <c r="D1818" i="5"/>
  <c r="U1817" i="5"/>
  <c r="T1817" i="5"/>
  <c r="S1817" i="5"/>
  <c r="I1817" i="5"/>
  <c r="R1817" i="5" s="1"/>
  <c r="H1817" i="5"/>
  <c r="G1817" i="5"/>
  <c r="Q1817" i="5" s="1"/>
  <c r="F1817" i="5"/>
  <c r="E1817" i="5"/>
  <c r="P1817" i="5" s="1"/>
  <c r="D1817" i="5"/>
  <c r="U1816" i="5"/>
  <c r="T1816" i="5"/>
  <c r="S1816" i="5"/>
  <c r="I1816" i="5"/>
  <c r="R1816" i="5" s="1"/>
  <c r="H1816" i="5"/>
  <c r="G1816" i="5"/>
  <c r="Q1816" i="5" s="1"/>
  <c r="F1816" i="5"/>
  <c r="E1816" i="5"/>
  <c r="P1816" i="5" s="1"/>
  <c r="D1816" i="5"/>
  <c r="T1815" i="5"/>
  <c r="S1815" i="5"/>
  <c r="I1815" i="5"/>
  <c r="R1815" i="5" s="1"/>
  <c r="H1815" i="5"/>
  <c r="G1815" i="5"/>
  <c r="Q1815" i="5" s="1"/>
  <c r="F1815" i="5"/>
  <c r="E1815" i="5"/>
  <c r="D1815" i="5"/>
  <c r="U1814" i="5"/>
  <c r="T1814" i="5"/>
  <c r="S1814" i="5"/>
  <c r="I1814" i="5"/>
  <c r="R1814" i="5" s="1"/>
  <c r="H1814" i="5"/>
  <c r="G1814" i="5"/>
  <c r="Q1814" i="5" s="1"/>
  <c r="F1814" i="5"/>
  <c r="E1814" i="5"/>
  <c r="D1814" i="5"/>
  <c r="D2806" i="5" s="1"/>
  <c r="U1813" i="5"/>
  <c r="T1813" i="5"/>
  <c r="S1813" i="5"/>
  <c r="I1813" i="5"/>
  <c r="R1813" i="5" s="1"/>
  <c r="H1813" i="5"/>
  <c r="G1813" i="5"/>
  <c r="Q1813" i="5" s="1"/>
  <c r="F1813" i="5"/>
  <c r="E1813" i="5"/>
  <c r="P1813" i="5" s="1"/>
  <c r="D1813" i="5"/>
  <c r="U1812" i="5"/>
  <c r="T1812" i="5"/>
  <c r="S1812" i="5"/>
  <c r="I1812" i="5"/>
  <c r="R1812" i="5" s="1"/>
  <c r="H1812" i="5"/>
  <c r="G1812" i="5"/>
  <c r="Q1812" i="5" s="1"/>
  <c r="F1812" i="5"/>
  <c r="E1812" i="5"/>
  <c r="P1812" i="5" s="1"/>
  <c r="D1812" i="5"/>
  <c r="U1811" i="5"/>
  <c r="T1811" i="5"/>
  <c r="S1811" i="5"/>
  <c r="I1811" i="5"/>
  <c r="R1811" i="5" s="1"/>
  <c r="H1811" i="5"/>
  <c r="G1811" i="5"/>
  <c r="Q1811" i="5" s="1"/>
  <c r="F1811" i="5"/>
  <c r="E1811" i="5"/>
  <c r="P1811" i="5" s="1"/>
  <c r="D1811" i="5"/>
  <c r="U1810" i="5"/>
  <c r="T1810" i="5"/>
  <c r="S1810" i="5"/>
  <c r="I1810" i="5"/>
  <c r="R1810" i="5" s="1"/>
  <c r="H1810" i="5"/>
  <c r="G1810" i="5"/>
  <c r="Q1810" i="5" s="1"/>
  <c r="F1810" i="5"/>
  <c r="E1810" i="5"/>
  <c r="P1810" i="5" s="1"/>
  <c r="D1810" i="5"/>
  <c r="U1809" i="5"/>
  <c r="T1809" i="5"/>
  <c r="S1809" i="5"/>
  <c r="I1809" i="5"/>
  <c r="R1809" i="5" s="1"/>
  <c r="H1809" i="5"/>
  <c r="G1809" i="5"/>
  <c r="Q1809" i="5" s="1"/>
  <c r="F1809" i="5"/>
  <c r="E1809" i="5"/>
  <c r="P1809" i="5" s="1"/>
  <c r="D1809" i="5"/>
  <c r="U1808" i="5"/>
  <c r="T1808" i="5"/>
  <c r="S1808" i="5"/>
  <c r="I1808" i="5"/>
  <c r="R1808" i="5" s="1"/>
  <c r="H1808" i="5"/>
  <c r="G1808" i="5"/>
  <c r="Q1808" i="5" s="1"/>
  <c r="F1808" i="5"/>
  <c r="E1808" i="5"/>
  <c r="P1808" i="5" s="1"/>
  <c r="D1808" i="5"/>
  <c r="U331" i="5"/>
  <c r="S331" i="5"/>
  <c r="I331" i="5"/>
  <c r="R331" i="5" s="1"/>
  <c r="H331" i="5"/>
  <c r="G331" i="5"/>
  <c r="Q331" i="5" s="1"/>
  <c r="F331" i="5"/>
  <c r="E331" i="5"/>
  <c r="P331" i="5" s="1"/>
  <c r="D331" i="5"/>
  <c r="T1801" i="5"/>
  <c r="S1801" i="5"/>
  <c r="I1801" i="5"/>
  <c r="R1801" i="5" s="1"/>
  <c r="H1801" i="5"/>
  <c r="G1801" i="5"/>
  <c r="Q1801" i="5" s="1"/>
  <c r="F1801" i="5"/>
  <c r="E1801" i="5"/>
  <c r="P1801" i="5" s="1"/>
  <c r="D1801" i="5"/>
  <c r="U1801" i="5" s="1"/>
  <c r="U1800" i="5"/>
  <c r="T1800" i="5"/>
  <c r="S1800" i="5"/>
  <c r="O1800" i="5"/>
  <c r="N1800" i="5"/>
  <c r="I1800" i="5"/>
  <c r="R1800" i="5" s="1"/>
  <c r="H1800" i="5"/>
  <c r="G1800" i="5"/>
  <c r="Q1800" i="5" s="1"/>
  <c r="F1800" i="5"/>
  <c r="E1800" i="5"/>
  <c r="P1800" i="5" s="1"/>
  <c r="D1800" i="5"/>
  <c r="U1799" i="5"/>
  <c r="T1799" i="5"/>
  <c r="S1799" i="5"/>
  <c r="I1799" i="5"/>
  <c r="R1799" i="5" s="1"/>
  <c r="H1799" i="5"/>
  <c r="G1799" i="5"/>
  <c r="Q1799" i="5" s="1"/>
  <c r="F1799" i="5"/>
  <c r="E1799" i="5"/>
  <c r="P1799" i="5" s="1"/>
  <c r="D1799" i="5"/>
  <c r="U1798" i="5"/>
  <c r="T1798" i="5"/>
  <c r="S1798" i="5"/>
  <c r="I1798" i="5"/>
  <c r="R1798" i="5" s="1"/>
  <c r="H1798" i="5"/>
  <c r="G1798" i="5"/>
  <c r="Q1798" i="5" s="1"/>
  <c r="F1798" i="5"/>
  <c r="E1798" i="5"/>
  <c r="P1798" i="5" s="1"/>
  <c r="D1798" i="5"/>
  <c r="U1797" i="5"/>
  <c r="T1797" i="5"/>
  <c r="S1797" i="5"/>
  <c r="I1797" i="5"/>
  <c r="R1797" i="5" s="1"/>
  <c r="H1797" i="5"/>
  <c r="G1797" i="5"/>
  <c r="Q1797" i="5" s="1"/>
  <c r="F1797" i="5"/>
  <c r="E1797" i="5"/>
  <c r="P1797" i="5" s="1"/>
  <c r="D1797" i="5"/>
  <c r="U1796" i="5"/>
  <c r="T1796" i="5"/>
  <c r="S1796" i="5"/>
  <c r="I1796" i="5"/>
  <c r="R1796" i="5" s="1"/>
  <c r="H1796" i="5"/>
  <c r="G1796" i="5"/>
  <c r="Q1796" i="5" s="1"/>
  <c r="F1796" i="5"/>
  <c r="E1796" i="5"/>
  <c r="P1796" i="5" s="1"/>
  <c r="D1796" i="5"/>
  <c r="T1795" i="5"/>
  <c r="S1795" i="5"/>
  <c r="I1795" i="5"/>
  <c r="R1795" i="5" s="1"/>
  <c r="H1795" i="5"/>
  <c r="G1795" i="5"/>
  <c r="Q1795" i="5" s="1"/>
  <c r="F1795" i="5"/>
  <c r="E1795" i="5"/>
  <c r="P1795" i="5" s="1"/>
  <c r="D1795" i="5"/>
  <c r="U1795" i="5" s="1"/>
  <c r="U1794" i="5"/>
  <c r="T1794" i="5"/>
  <c r="S1794" i="5"/>
  <c r="I1794" i="5"/>
  <c r="R1794" i="5" s="1"/>
  <c r="H1794" i="5"/>
  <c r="G1794" i="5"/>
  <c r="Q1794" i="5" s="1"/>
  <c r="F1794" i="5"/>
  <c r="E1794" i="5"/>
  <c r="P1794" i="5" s="1"/>
  <c r="D1794" i="5"/>
  <c r="U1793" i="5"/>
  <c r="T1793" i="5"/>
  <c r="S1793" i="5"/>
  <c r="I1793" i="5"/>
  <c r="R1793" i="5" s="1"/>
  <c r="H1793" i="5"/>
  <c r="G1793" i="5"/>
  <c r="Q1793" i="5" s="1"/>
  <c r="F1793" i="5"/>
  <c r="E1793" i="5"/>
  <c r="P1793" i="5" s="1"/>
  <c r="D1793" i="5"/>
  <c r="U1792" i="5"/>
  <c r="T1792" i="5"/>
  <c r="S1792" i="5"/>
  <c r="O1792" i="5"/>
  <c r="N1792" i="5"/>
  <c r="I1792" i="5"/>
  <c r="R1792" i="5" s="1"/>
  <c r="H1792" i="5"/>
  <c r="G1792" i="5"/>
  <c r="Q1792" i="5" s="1"/>
  <c r="F1792" i="5"/>
  <c r="E1792" i="5"/>
  <c r="P1792" i="5" s="1"/>
  <c r="D1792" i="5"/>
  <c r="U1791" i="5"/>
  <c r="T1791" i="5"/>
  <c r="S1791" i="5"/>
  <c r="I1791" i="5"/>
  <c r="R1791" i="5" s="1"/>
  <c r="H1791" i="5"/>
  <c r="G1791" i="5"/>
  <c r="Q1791" i="5" s="1"/>
  <c r="F1791" i="5"/>
  <c r="E1791" i="5"/>
  <c r="P1791" i="5" s="1"/>
  <c r="D1791" i="5"/>
  <c r="U1790" i="5"/>
  <c r="T1790" i="5"/>
  <c r="S1790" i="5"/>
  <c r="I1790" i="5"/>
  <c r="R1790" i="5" s="1"/>
  <c r="H1790" i="5"/>
  <c r="G1790" i="5"/>
  <c r="Q1790" i="5" s="1"/>
  <c r="F1790" i="5"/>
  <c r="E1790" i="5"/>
  <c r="P1790" i="5" s="1"/>
  <c r="D1790" i="5"/>
  <c r="U1789" i="5"/>
  <c r="T1789" i="5"/>
  <c r="S1789" i="5"/>
  <c r="O1789" i="5"/>
  <c r="N1789" i="5"/>
  <c r="I1789" i="5"/>
  <c r="R1789" i="5" s="1"/>
  <c r="H1789" i="5"/>
  <c r="G1789" i="5"/>
  <c r="Q1789" i="5" s="1"/>
  <c r="F1789" i="5"/>
  <c r="E1789" i="5"/>
  <c r="P1789" i="5" s="1"/>
  <c r="D1789" i="5"/>
  <c r="U1788" i="5"/>
  <c r="T1788" i="5"/>
  <c r="S1788" i="5"/>
  <c r="O1788" i="5"/>
  <c r="N1788" i="5"/>
  <c r="I1788" i="5"/>
  <c r="R1788" i="5" s="1"/>
  <c r="H1788" i="5"/>
  <c r="G1788" i="5"/>
  <c r="Q1788" i="5" s="1"/>
  <c r="F1788" i="5"/>
  <c r="E1788" i="5"/>
  <c r="P1788" i="5" s="1"/>
  <c r="D1788" i="5"/>
  <c r="U1787" i="5"/>
  <c r="T1787" i="5"/>
  <c r="S1787" i="5"/>
  <c r="O1787" i="5"/>
  <c r="N1787" i="5"/>
  <c r="I1787" i="5"/>
  <c r="R1787" i="5" s="1"/>
  <c r="H1787" i="5"/>
  <c r="G1787" i="5"/>
  <c r="Q1787" i="5" s="1"/>
  <c r="F1787" i="5"/>
  <c r="E1787" i="5"/>
  <c r="P1787" i="5" s="1"/>
  <c r="D1787" i="5"/>
  <c r="U321" i="5"/>
  <c r="S321" i="5"/>
  <c r="I321" i="5"/>
  <c r="R321" i="5" s="1"/>
  <c r="H321" i="5"/>
  <c r="G321" i="5"/>
  <c r="Q321" i="5" s="1"/>
  <c r="F321" i="5"/>
  <c r="E321" i="5"/>
  <c r="P321" i="5" s="1"/>
  <c r="D321" i="5"/>
  <c r="T1786" i="5"/>
  <c r="S1786" i="5"/>
  <c r="I1786" i="5"/>
  <c r="R1786" i="5" s="1"/>
  <c r="H1786" i="5"/>
  <c r="G1786" i="5"/>
  <c r="Q1786" i="5" s="1"/>
  <c r="F1786" i="5"/>
  <c r="E1786" i="5"/>
  <c r="P1786" i="5" s="1"/>
  <c r="D1786" i="5"/>
  <c r="U1786" i="5" s="1"/>
  <c r="U1785" i="5"/>
  <c r="T1785" i="5"/>
  <c r="S1785" i="5"/>
  <c r="I1785" i="5"/>
  <c r="R1785" i="5" s="1"/>
  <c r="H1785" i="5"/>
  <c r="G1785" i="5"/>
  <c r="Q1785" i="5" s="1"/>
  <c r="F1785" i="5"/>
  <c r="E1785" i="5"/>
  <c r="P1785" i="5" s="1"/>
  <c r="D1785" i="5"/>
  <c r="U1784" i="5"/>
  <c r="T1784" i="5"/>
  <c r="S1784" i="5"/>
  <c r="I1784" i="5"/>
  <c r="R1784" i="5" s="1"/>
  <c r="H1784" i="5"/>
  <c r="G1784" i="5"/>
  <c r="Q1784" i="5" s="1"/>
  <c r="F1784" i="5"/>
  <c r="E1784" i="5"/>
  <c r="P1784" i="5" s="1"/>
  <c r="D1784" i="5"/>
  <c r="U1783" i="5"/>
  <c r="T1783" i="5"/>
  <c r="S1783" i="5"/>
  <c r="I1783" i="5"/>
  <c r="R1783" i="5" s="1"/>
  <c r="H1783" i="5"/>
  <c r="G1783" i="5"/>
  <c r="Q1783" i="5" s="1"/>
  <c r="F1783" i="5"/>
  <c r="E1783" i="5"/>
  <c r="P1783" i="5" s="1"/>
  <c r="D1783" i="5"/>
  <c r="U1782" i="5"/>
  <c r="T1782" i="5"/>
  <c r="S1782" i="5"/>
  <c r="I1782" i="5"/>
  <c r="R1782" i="5" s="1"/>
  <c r="H1782" i="5"/>
  <c r="G1782" i="5"/>
  <c r="Q1782" i="5" s="1"/>
  <c r="F1782" i="5"/>
  <c r="E1782" i="5"/>
  <c r="P1782" i="5" s="1"/>
  <c r="D1782" i="5"/>
  <c r="U1781" i="5"/>
  <c r="T1781" i="5"/>
  <c r="S1781" i="5"/>
  <c r="I1781" i="5"/>
  <c r="R1781" i="5" s="1"/>
  <c r="H1781" i="5"/>
  <c r="G1781" i="5"/>
  <c r="Q1781" i="5" s="1"/>
  <c r="F1781" i="5"/>
  <c r="E1781" i="5"/>
  <c r="P1781" i="5" s="1"/>
  <c r="D1781" i="5"/>
  <c r="T1780" i="5"/>
  <c r="S1780" i="5"/>
  <c r="I1780" i="5"/>
  <c r="R1780" i="5" s="1"/>
  <c r="H1780" i="5"/>
  <c r="G1780" i="5"/>
  <c r="Q1780" i="5" s="1"/>
  <c r="F1780" i="5"/>
  <c r="E1780" i="5"/>
  <c r="P1780" i="5" s="1"/>
  <c r="D1780" i="5"/>
  <c r="U1780" i="5" s="1"/>
  <c r="U1779" i="5"/>
  <c r="T1779" i="5"/>
  <c r="S1779" i="5"/>
  <c r="I1779" i="5"/>
  <c r="R1779" i="5" s="1"/>
  <c r="H1779" i="5"/>
  <c r="G1779" i="5"/>
  <c r="Q1779" i="5" s="1"/>
  <c r="F1779" i="5"/>
  <c r="E1779" i="5"/>
  <c r="P1779" i="5" s="1"/>
  <c r="D1779" i="5"/>
  <c r="U1778" i="5"/>
  <c r="T1778" i="5"/>
  <c r="S1778" i="5"/>
  <c r="I1778" i="5"/>
  <c r="R1778" i="5" s="1"/>
  <c r="H1778" i="5"/>
  <c r="G1778" i="5"/>
  <c r="Q1778" i="5" s="1"/>
  <c r="F1778" i="5"/>
  <c r="E1778" i="5"/>
  <c r="P1778" i="5" s="1"/>
  <c r="D1778" i="5"/>
  <c r="U1777" i="5"/>
  <c r="T1777" i="5"/>
  <c r="S1777" i="5"/>
  <c r="I1777" i="5"/>
  <c r="R1777" i="5" s="1"/>
  <c r="H1777" i="5"/>
  <c r="G1777" i="5"/>
  <c r="Q1777" i="5" s="1"/>
  <c r="F1777" i="5"/>
  <c r="E1777" i="5"/>
  <c r="P1777" i="5" s="1"/>
  <c r="D1777" i="5"/>
  <c r="U1776" i="5"/>
  <c r="T1776" i="5"/>
  <c r="S1776" i="5"/>
  <c r="I1776" i="5"/>
  <c r="R1776" i="5" s="1"/>
  <c r="H1776" i="5"/>
  <c r="G1776" i="5"/>
  <c r="Q1776" i="5" s="1"/>
  <c r="F1776" i="5"/>
  <c r="E1776" i="5"/>
  <c r="P1776" i="5" s="1"/>
  <c r="D1776" i="5"/>
  <c r="U1775" i="5"/>
  <c r="T1775" i="5"/>
  <c r="S1775" i="5"/>
  <c r="I1775" i="5"/>
  <c r="R1775" i="5" s="1"/>
  <c r="H1775" i="5"/>
  <c r="G1775" i="5"/>
  <c r="Q1775" i="5" s="1"/>
  <c r="F1775" i="5"/>
  <c r="E1775" i="5"/>
  <c r="P1775" i="5" s="1"/>
  <c r="D1775" i="5"/>
  <c r="U1774" i="5"/>
  <c r="T1774" i="5"/>
  <c r="S1774" i="5"/>
  <c r="I1774" i="5"/>
  <c r="R1774" i="5" s="1"/>
  <c r="H1774" i="5"/>
  <c r="G1774" i="5"/>
  <c r="Q1774" i="5" s="1"/>
  <c r="F1774" i="5"/>
  <c r="E1774" i="5"/>
  <c r="P1774" i="5" s="1"/>
  <c r="D1774" i="5"/>
  <c r="U1773" i="5"/>
  <c r="T1773" i="5"/>
  <c r="S1773" i="5"/>
  <c r="I1773" i="5"/>
  <c r="R1773" i="5" s="1"/>
  <c r="H1773" i="5"/>
  <c r="G1773" i="5"/>
  <c r="Q1773" i="5" s="1"/>
  <c r="F1773" i="5"/>
  <c r="E1773" i="5"/>
  <c r="P1773" i="5" s="1"/>
  <c r="D1773" i="5"/>
  <c r="U1772" i="5"/>
  <c r="T1772" i="5"/>
  <c r="S1772" i="5"/>
  <c r="I1772" i="5"/>
  <c r="R1772" i="5" s="1"/>
  <c r="H1772" i="5"/>
  <c r="G1772" i="5"/>
  <c r="Q1772" i="5" s="1"/>
  <c r="F1772" i="5"/>
  <c r="E1772" i="5"/>
  <c r="P1772" i="5" s="1"/>
  <c r="D1772" i="5"/>
  <c r="U311" i="5"/>
  <c r="S311" i="5"/>
  <c r="I311" i="5"/>
  <c r="R311" i="5" s="1"/>
  <c r="H311" i="5"/>
  <c r="G311" i="5"/>
  <c r="Q311" i="5" s="1"/>
  <c r="F311" i="5"/>
  <c r="E311" i="5"/>
  <c r="P311" i="5" s="1"/>
  <c r="D311" i="5"/>
  <c r="T1771" i="5"/>
  <c r="S1771" i="5"/>
  <c r="I1771" i="5"/>
  <c r="R1771" i="5" s="1"/>
  <c r="H1771" i="5"/>
  <c r="G1771" i="5"/>
  <c r="Q1771" i="5" s="1"/>
  <c r="F1771" i="5"/>
  <c r="E1771" i="5"/>
  <c r="P1771" i="5" s="1"/>
  <c r="D1771" i="5"/>
  <c r="U1771" i="5" s="1"/>
  <c r="U1770" i="5"/>
  <c r="T1770" i="5"/>
  <c r="S1770" i="5"/>
  <c r="I1770" i="5"/>
  <c r="R1770" i="5" s="1"/>
  <c r="H1770" i="5"/>
  <c r="G1770" i="5"/>
  <c r="Q1770" i="5" s="1"/>
  <c r="F1770" i="5"/>
  <c r="E1770" i="5"/>
  <c r="P1770" i="5" s="1"/>
  <c r="D1770" i="5"/>
  <c r="U1769" i="5"/>
  <c r="T1769" i="5"/>
  <c r="S1769" i="5"/>
  <c r="I1769" i="5"/>
  <c r="R1769" i="5" s="1"/>
  <c r="H1769" i="5"/>
  <c r="G1769" i="5"/>
  <c r="Q1769" i="5" s="1"/>
  <c r="F1769" i="5"/>
  <c r="E1769" i="5"/>
  <c r="P1769" i="5" s="1"/>
  <c r="D1769" i="5"/>
  <c r="U1768" i="5"/>
  <c r="T1768" i="5"/>
  <c r="S1768" i="5"/>
  <c r="I1768" i="5"/>
  <c r="R1768" i="5" s="1"/>
  <c r="H1768" i="5"/>
  <c r="G1768" i="5"/>
  <c r="Q1768" i="5" s="1"/>
  <c r="F1768" i="5"/>
  <c r="E1768" i="5"/>
  <c r="P1768" i="5" s="1"/>
  <c r="D1768" i="5"/>
  <c r="U1767" i="5"/>
  <c r="T1767" i="5"/>
  <c r="S1767" i="5"/>
  <c r="I1767" i="5"/>
  <c r="R1767" i="5" s="1"/>
  <c r="H1767" i="5"/>
  <c r="G1767" i="5"/>
  <c r="Q1767" i="5" s="1"/>
  <c r="F1767" i="5"/>
  <c r="E1767" i="5"/>
  <c r="P1767" i="5" s="1"/>
  <c r="D1767" i="5"/>
  <c r="U1766" i="5"/>
  <c r="T1766" i="5"/>
  <c r="S1766" i="5"/>
  <c r="I1766" i="5"/>
  <c r="R1766" i="5" s="1"/>
  <c r="H1766" i="5"/>
  <c r="G1766" i="5"/>
  <c r="Q1766" i="5" s="1"/>
  <c r="F1766" i="5"/>
  <c r="E1766" i="5"/>
  <c r="P1766" i="5" s="1"/>
  <c r="D1766" i="5"/>
  <c r="T1765" i="5"/>
  <c r="S1765" i="5"/>
  <c r="I1765" i="5"/>
  <c r="R1765" i="5" s="1"/>
  <c r="H1765" i="5"/>
  <c r="G1765" i="5"/>
  <c r="Q1765" i="5" s="1"/>
  <c r="F1765" i="5"/>
  <c r="E1765" i="5"/>
  <c r="P1765" i="5" s="1"/>
  <c r="D1765" i="5"/>
  <c r="U1765" i="5" s="1"/>
  <c r="U1764" i="5"/>
  <c r="T1764" i="5"/>
  <c r="S1764" i="5"/>
  <c r="I1764" i="5"/>
  <c r="R1764" i="5" s="1"/>
  <c r="H1764" i="5"/>
  <c r="G1764" i="5"/>
  <c r="Q1764" i="5" s="1"/>
  <c r="F1764" i="5"/>
  <c r="E1764" i="5"/>
  <c r="P1764" i="5" s="1"/>
  <c r="D1764" i="5"/>
  <c r="U1763" i="5"/>
  <c r="T1763" i="5"/>
  <c r="S1763" i="5"/>
  <c r="I1763" i="5"/>
  <c r="R1763" i="5" s="1"/>
  <c r="H1763" i="5"/>
  <c r="G1763" i="5"/>
  <c r="Q1763" i="5" s="1"/>
  <c r="F1763" i="5"/>
  <c r="E1763" i="5"/>
  <c r="P1763" i="5" s="1"/>
  <c r="D1763" i="5"/>
  <c r="U1762" i="5"/>
  <c r="T1762" i="5"/>
  <c r="S1762" i="5"/>
  <c r="I1762" i="5"/>
  <c r="R1762" i="5" s="1"/>
  <c r="H1762" i="5"/>
  <c r="G1762" i="5"/>
  <c r="Q1762" i="5" s="1"/>
  <c r="F1762" i="5"/>
  <c r="E1762" i="5"/>
  <c r="P1762" i="5" s="1"/>
  <c r="D1762" i="5"/>
  <c r="U1761" i="5"/>
  <c r="T1761" i="5"/>
  <c r="S1761" i="5"/>
  <c r="I1761" i="5"/>
  <c r="R1761" i="5" s="1"/>
  <c r="H1761" i="5"/>
  <c r="G1761" i="5"/>
  <c r="Q1761" i="5" s="1"/>
  <c r="F1761" i="5"/>
  <c r="E1761" i="5"/>
  <c r="P1761" i="5" s="1"/>
  <c r="D1761" i="5"/>
  <c r="U1760" i="5"/>
  <c r="T1760" i="5"/>
  <c r="S1760" i="5"/>
  <c r="I1760" i="5"/>
  <c r="R1760" i="5" s="1"/>
  <c r="H1760" i="5"/>
  <c r="G1760" i="5"/>
  <c r="Q1760" i="5" s="1"/>
  <c r="F1760" i="5"/>
  <c r="E1760" i="5"/>
  <c r="P1760" i="5" s="1"/>
  <c r="D1760" i="5"/>
  <c r="U1759" i="5"/>
  <c r="T1759" i="5"/>
  <c r="S1759" i="5"/>
  <c r="I1759" i="5"/>
  <c r="R1759" i="5" s="1"/>
  <c r="H1759" i="5"/>
  <c r="G1759" i="5"/>
  <c r="Q1759" i="5" s="1"/>
  <c r="F1759" i="5"/>
  <c r="E1759" i="5"/>
  <c r="P1759" i="5" s="1"/>
  <c r="D1759" i="5"/>
  <c r="U1758" i="5"/>
  <c r="T1758" i="5"/>
  <c r="S1758" i="5"/>
  <c r="I1758" i="5"/>
  <c r="R1758" i="5" s="1"/>
  <c r="H1758" i="5"/>
  <c r="G1758" i="5"/>
  <c r="Q1758" i="5" s="1"/>
  <c r="F1758" i="5"/>
  <c r="E1758" i="5"/>
  <c r="P1758" i="5" s="1"/>
  <c r="D1758" i="5"/>
  <c r="U1757" i="5"/>
  <c r="T1757" i="5"/>
  <c r="S1757" i="5"/>
  <c r="I1757" i="5"/>
  <c r="R1757" i="5" s="1"/>
  <c r="H1757" i="5"/>
  <c r="G1757" i="5"/>
  <c r="Q1757" i="5" s="1"/>
  <c r="F1757" i="5"/>
  <c r="E1757" i="5"/>
  <c r="P1757" i="5" s="1"/>
  <c r="D1757" i="5"/>
  <c r="U301" i="5"/>
  <c r="S301" i="5"/>
  <c r="I301" i="5"/>
  <c r="R301" i="5" s="1"/>
  <c r="H301" i="5"/>
  <c r="G301" i="5"/>
  <c r="Q301" i="5" s="1"/>
  <c r="F301" i="5"/>
  <c r="E301" i="5"/>
  <c r="P301" i="5" s="1"/>
  <c r="D301" i="5"/>
  <c r="T1756" i="5"/>
  <c r="S1756" i="5"/>
  <c r="I1756" i="5"/>
  <c r="R1756" i="5" s="1"/>
  <c r="H1756" i="5"/>
  <c r="G1756" i="5"/>
  <c r="Q1756" i="5" s="1"/>
  <c r="F1756" i="5"/>
  <c r="E1756" i="5"/>
  <c r="P1756" i="5" s="1"/>
  <c r="D1756" i="5"/>
  <c r="U1756" i="5" s="1"/>
  <c r="U1755" i="5"/>
  <c r="T1755" i="5"/>
  <c r="S1755" i="5"/>
  <c r="I1755" i="5"/>
  <c r="R1755" i="5" s="1"/>
  <c r="H1755" i="5"/>
  <c r="G1755" i="5"/>
  <c r="Q1755" i="5" s="1"/>
  <c r="F1755" i="5"/>
  <c r="E1755" i="5"/>
  <c r="P1755" i="5" s="1"/>
  <c r="D1755" i="5"/>
  <c r="U1754" i="5"/>
  <c r="T1754" i="5"/>
  <c r="S1754" i="5"/>
  <c r="I1754" i="5"/>
  <c r="R1754" i="5" s="1"/>
  <c r="H1754" i="5"/>
  <c r="G1754" i="5"/>
  <c r="Q1754" i="5" s="1"/>
  <c r="F1754" i="5"/>
  <c r="E1754" i="5"/>
  <c r="P1754" i="5" s="1"/>
  <c r="D1754" i="5"/>
  <c r="U1753" i="5"/>
  <c r="T1753" i="5"/>
  <c r="S1753" i="5"/>
  <c r="I1753" i="5"/>
  <c r="R1753" i="5" s="1"/>
  <c r="H1753" i="5"/>
  <c r="G1753" i="5"/>
  <c r="Q1753" i="5" s="1"/>
  <c r="F1753" i="5"/>
  <c r="E1753" i="5"/>
  <c r="P1753" i="5" s="1"/>
  <c r="D1753" i="5"/>
  <c r="U1752" i="5"/>
  <c r="T1752" i="5"/>
  <c r="S1752" i="5"/>
  <c r="I1752" i="5"/>
  <c r="R1752" i="5" s="1"/>
  <c r="H1752" i="5"/>
  <c r="G1752" i="5"/>
  <c r="Q1752" i="5" s="1"/>
  <c r="F1752" i="5"/>
  <c r="E1752" i="5"/>
  <c r="P1752" i="5" s="1"/>
  <c r="D1752" i="5"/>
  <c r="U1751" i="5"/>
  <c r="T1751" i="5"/>
  <c r="S1751" i="5"/>
  <c r="I1751" i="5"/>
  <c r="R1751" i="5" s="1"/>
  <c r="H1751" i="5"/>
  <c r="G1751" i="5"/>
  <c r="Q1751" i="5" s="1"/>
  <c r="F1751" i="5"/>
  <c r="E1751" i="5"/>
  <c r="P1751" i="5" s="1"/>
  <c r="D1751" i="5"/>
  <c r="T1750" i="5"/>
  <c r="S1750" i="5"/>
  <c r="I1750" i="5"/>
  <c r="R1750" i="5" s="1"/>
  <c r="H1750" i="5"/>
  <c r="G1750" i="5"/>
  <c r="Q1750" i="5" s="1"/>
  <c r="F1750" i="5"/>
  <c r="E1750" i="5"/>
  <c r="P1750" i="5" s="1"/>
  <c r="D1750" i="5"/>
  <c r="U1750" i="5" s="1"/>
  <c r="U1749" i="5"/>
  <c r="T1749" i="5"/>
  <c r="S1749" i="5"/>
  <c r="I1749" i="5"/>
  <c r="R1749" i="5" s="1"/>
  <c r="H1749" i="5"/>
  <c r="G1749" i="5"/>
  <c r="Q1749" i="5" s="1"/>
  <c r="F1749" i="5"/>
  <c r="E1749" i="5"/>
  <c r="P1749" i="5" s="1"/>
  <c r="D1749" i="5"/>
  <c r="U1748" i="5"/>
  <c r="T1748" i="5"/>
  <c r="S1748" i="5"/>
  <c r="I1748" i="5"/>
  <c r="R1748" i="5" s="1"/>
  <c r="H1748" i="5"/>
  <c r="G1748" i="5"/>
  <c r="Q1748" i="5" s="1"/>
  <c r="F1748" i="5"/>
  <c r="E1748" i="5"/>
  <c r="P1748" i="5" s="1"/>
  <c r="D1748" i="5"/>
  <c r="U1747" i="5"/>
  <c r="T1747" i="5"/>
  <c r="S1747" i="5"/>
  <c r="I1747" i="5"/>
  <c r="R1747" i="5" s="1"/>
  <c r="H1747" i="5"/>
  <c r="G1747" i="5"/>
  <c r="Q1747" i="5" s="1"/>
  <c r="F1747" i="5"/>
  <c r="E1747" i="5"/>
  <c r="P1747" i="5" s="1"/>
  <c r="D1747" i="5"/>
  <c r="U1746" i="5"/>
  <c r="T1746" i="5"/>
  <c r="S1746" i="5"/>
  <c r="I1746" i="5"/>
  <c r="R1746" i="5" s="1"/>
  <c r="H1746" i="5"/>
  <c r="G1746" i="5"/>
  <c r="Q1746" i="5" s="1"/>
  <c r="F1746" i="5"/>
  <c r="E1746" i="5"/>
  <c r="P1746" i="5" s="1"/>
  <c r="D1746" i="5"/>
  <c r="U1745" i="5"/>
  <c r="T1745" i="5"/>
  <c r="S1745" i="5"/>
  <c r="I1745" i="5"/>
  <c r="R1745" i="5" s="1"/>
  <c r="H1745" i="5"/>
  <c r="G1745" i="5"/>
  <c r="Q1745" i="5" s="1"/>
  <c r="F1745" i="5"/>
  <c r="E1745" i="5"/>
  <c r="P1745" i="5" s="1"/>
  <c r="D1745" i="5"/>
  <c r="U1744" i="5"/>
  <c r="T1744" i="5"/>
  <c r="S1744" i="5"/>
  <c r="I1744" i="5"/>
  <c r="R1744" i="5" s="1"/>
  <c r="H1744" i="5"/>
  <c r="G1744" i="5"/>
  <c r="Q1744" i="5" s="1"/>
  <c r="F1744" i="5"/>
  <c r="E1744" i="5"/>
  <c r="P1744" i="5" s="1"/>
  <c r="D1744" i="5"/>
  <c r="U1743" i="5"/>
  <c r="T1743" i="5"/>
  <c r="S1743" i="5"/>
  <c r="I1743" i="5"/>
  <c r="R1743" i="5" s="1"/>
  <c r="H1743" i="5"/>
  <c r="G1743" i="5"/>
  <c r="Q1743" i="5" s="1"/>
  <c r="F1743" i="5"/>
  <c r="E1743" i="5"/>
  <c r="P1743" i="5" s="1"/>
  <c r="D1743" i="5"/>
  <c r="U1742" i="5"/>
  <c r="T1742" i="5"/>
  <c r="S1742" i="5"/>
  <c r="I1742" i="5"/>
  <c r="R1742" i="5" s="1"/>
  <c r="H1742" i="5"/>
  <c r="G1742" i="5"/>
  <c r="Q1742" i="5" s="1"/>
  <c r="F1742" i="5"/>
  <c r="E1742" i="5"/>
  <c r="P1742" i="5" s="1"/>
  <c r="D1742" i="5"/>
  <c r="U291" i="5"/>
  <c r="S291" i="5"/>
  <c r="I291" i="5"/>
  <c r="R291" i="5" s="1"/>
  <c r="H291" i="5"/>
  <c r="G291" i="5"/>
  <c r="Q291" i="5" s="1"/>
  <c r="F291" i="5"/>
  <c r="E291" i="5"/>
  <c r="P291" i="5" s="1"/>
  <c r="D291" i="5"/>
  <c r="T1735" i="5"/>
  <c r="S1735" i="5"/>
  <c r="I1735" i="5"/>
  <c r="R1735" i="5" s="1"/>
  <c r="H1735" i="5"/>
  <c r="G1735" i="5"/>
  <c r="Q1735" i="5" s="1"/>
  <c r="F1735" i="5"/>
  <c r="E1735" i="5"/>
  <c r="P1735" i="5" s="1"/>
  <c r="D1735" i="5"/>
  <c r="U1735" i="5" s="1"/>
  <c r="U1734" i="5"/>
  <c r="T1734" i="5"/>
  <c r="S1734" i="5"/>
  <c r="O1734" i="5"/>
  <c r="N1734" i="5"/>
  <c r="I1734" i="5"/>
  <c r="R1734" i="5" s="1"/>
  <c r="H1734" i="5"/>
  <c r="G1734" i="5"/>
  <c r="Q1734" i="5" s="1"/>
  <c r="F1734" i="5"/>
  <c r="E1734" i="5"/>
  <c r="P1734" i="5" s="1"/>
  <c r="D1734" i="5"/>
  <c r="U1733" i="5"/>
  <c r="T1733" i="5"/>
  <c r="S1733" i="5"/>
  <c r="I1733" i="5"/>
  <c r="R1733" i="5" s="1"/>
  <c r="H1733" i="5"/>
  <c r="G1733" i="5"/>
  <c r="Q1733" i="5" s="1"/>
  <c r="F1733" i="5"/>
  <c r="E1733" i="5"/>
  <c r="P1733" i="5" s="1"/>
  <c r="D1733" i="5"/>
  <c r="U1732" i="5"/>
  <c r="T1732" i="5"/>
  <c r="S1732" i="5"/>
  <c r="I1732" i="5"/>
  <c r="R1732" i="5" s="1"/>
  <c r="H1732" i="5"/>
  <c r="G1732" i="5"/>
  <c r="Q1732" i="5" s="1"/>
  <c r="F1732" i="5"/>
  <c r="E1732" i="5"/>
  <c r="P1732" i="5" s="1"/>
  <c r="D1732" i="5"/>
  <c r="U1731" i="5"/>
  <c r="T1731" i="5"/>
  <c r="S1731" i="5"/>
  <c r="I1731" i="5"/>
  <c r="R1731" i="5" s="1"/>
  <c r="H1731" i="5"/>
  <c r="G1731" i="5"/>
  <c r="Q1731" i="5" s="1"/>
  <c r="F1731" i="5"/>
  <c r="E1731" i="5"/>
  <c r="P1731" i="5" s="1"/>
  <c r="D1731" i="5"/>
  <c r="U1730" i="5"/>
  <c r="T1730" i="5"/>
  <c r="S1730" i="5"/>
  <c r="I1730" i="5"/>
  <c r="R1730" i="5" s="1"/>
  <c r="H1730" i="5"/>
  <c r="G1730" i="5"/>
  <c r="Q1730" i="5" s="1"/>
  <c r="F1730" i="5"/>
  <c r="E1730" i="5"/>
  <c r="P1730" i="5" s="1"/>
  <c r="D1730" i="5"/>
  <c r="T1729" i="5"/>
  <c r="S1729" i="5"/>
  <c r="I1729" i="5"/>
  <c r="R1729" i="5" s="1"/>
  <c r="H1729" i="5"/>
  <c r="G1729" i="5"/>
  <c r="Q1729" i="5" s="1"/>
  <c r="F1729" i="5"/>
  <c r="E1729" i="5"/>
  <c r="P1729" i="5" s="1"/>
  <c r="D1729" i="5"/>
  <c r="U1729" i="5" s="1"/>
  <c r="U1728" i="5"/>
  <c r="T1728" i="5"/>
  <c r="S1728" i="5"/>
  <c r="I1728" i="5"/>
  <c r="R1728" i="5" s="1"/>
  <c r="H1728" i="5"/>
  <c r="G1728" i="5"/>
  <c r="Q1728" i="5" s="1"/>
  <c r="F1728" i="5"/>
  <c r="E1728" i="5"/>
  <c r="P1728" i="5" s="1"/>
  <c r="D1728" i="5"/>
  <c r="U1727" i="5"/>
  <c r="T1727" i="5"/>
  <c r="S1727" i="5"/>
  <c r="I1727" i="5"/>
  <c r="R1727" i="5" s="1"/>
  <c r="H1727" i="5"/>
  <c r="G1727" i="5"/>
  <c r="Q1727" i="5" s="1"/>
  <c r="F1727" i="5"/>
  <c r="E1727" i="5"/>
  <c r="P1727" i="5" s="1"/>
  <c r="D1727" i="5"/>
  <c r="U1726" i="5"/>
  <c r="T1726" i="5"/>
  <c r="S1726" i="5"/>
  <c r="O1726" i="5"/>
  <c r="N1726" i="5"/>
  <c r="I1726" i="5"/>
  <c r="R1726" i="5" s="1"/>
  <c r="H1726" i="5"/>
  <c r="G1726" i="5"/>
  <c r="Q1726" i="5" s="1"/>
  <c r="F1726" i="5"/>
  <c r="E1726" i="5"/>
  <c r="P1726" i="5" s="1"/>
  <c r="D1726" i="5"/>
  <c r="U1725" i="5"/>
  <c r="T1725" i="5"/>
  <c r="S1725" i="5"/>
  <c r="I1725" i="5"/>
  <c r="R1725" i="5" s="1"/>
  <c r="H1725" i="5"/>
  <c r="G1725" i="5"/>
  <c r="Q1725" i="5" s="1"/>
  <c r="F1725" i="5"/>
  <c r="E1725" i="5"/>
  <c r="P1725" i="5" s="1"/>
  <c r="D1725" i="5"/>
  <c r="U1724" i="5"/>
  <c r="T1724" i="5"/>
  <c r="S1724" i="5"/>
  <c r="I1724" i="5"/>
  <c r="R1724" i="5" s="1"/>
  <c r="H1724" i="5"/>
  <c r="G1724" i="5"/>
  <c r="Q1724" i="5" s="1"/>
  <c r="F1724" i="5"/>
  <c r="E1724" i="5"/>
  <c r="P1724" i="5" s="1"/>
  <c r="D1724" i="5"/>
  <c r="U1723" i="5"/>
  <c r="T1723" i="5"/>
  <c r="S1723" i="5"/>
  <c r="O1723" i="5"/>
  <c r="N1723" i="5"/>
  <c r="I1723" i="5"/>
  <c r="R1723" i="5" s="1"/>
  <c r="H1723" i="5"/>
  <c r="G1723" i="5"/>
  <c r="Q1723" i="5" s="1"/>
  <c r="F1723" i="5"/>
  <c r="E1723" i="5"/>
  <c r="P1723" i="5" s="1"/>
  <c r="D1723" i="5"/>
  <c r="U1722" i="5"/>
  <c r="T1722" i="5"/>
  <c r="S1722" i="5"/>
  <c r="O1722" i="5"/>
  <c r="N1722" i="5"/>
  <c r="I1722" i="5"/>
  <c r="R1722" i="5" s="1"/>
  <c r="H1722" i="5"/>
  <c r="G1722" i="5"/>
  <c r="Q1722" i="5" s="1"/>
  <c r="F1722" i="5"/>
  <c r="E1722" i="5"/>
  <c r="P1722" i="5" s="1"/>
  <c r="D1722" i="5"/>
  <c r="U1721" i="5"/>
  <c r="T1721" i="5"/>
  <c r="S1721" i="5"/>
  <c r="O1721" i="5"/>
  <c r="N1721" i="5"/>
  <c r="I1721" i="5"/>
  <c r="R1721" i="5" s="1"/>
  <c r="H1721" i="5"/>
  <c r="G1721" i="5"/>
  <c r="Q1721" i="5" s="1"/>
  <c r="F1721" i="5"/>
  <c r="E1721" i="5"/>
  <c r="P1721" i="5" s="1"/>
  <c r="D1721" i="5"/>
  <c r="U281" i="5"/>
  <c r="S281" i="5"/>
  <c r="I281" i="5"/>
  <c r="R281" i="5" s="1"/>
  <c r="H281" i="5"/>
  <c r="G281" i="5"/>
  <c r="Q281" i="5" s="1"/>
  <c r="F281" i="5"/>
  <c r="E281" i="5"/>
  <c r="P281" i="5" s="1"/>
  <c r="D281" i="5"/>
  <c r="T1720" i="5"/>
  <c r="S1720" i="5"/>
  <c r="I1720" i="5"/>
  <c r="R1720" i="5" s="1"/>
  <c r="H1720" i="5"/>
  <c r="G1720" i="5"/>
  <c r="Q1720" i="5" s="1"/>
  <c r="F1720" i="5"/>
  <c r="E1720" i="5"/>
  <c r="P1720" i="5" s="1"/>
  <c r="D1720" i="5"/>
  <c r="U1720" i="5" s="1"/>
  <c r="U1719" i="5"/>
  <c r="T1719" i="5"/>
  <c r="S1719" i="5"/>
  <c r="I1719" i="5"/>
  <c r="R1719" i="5" s="1"/>
  <c r="H1719" i="5"/>
  <c r="G1719" i="5"/>
  <c r="Q1719" i="5" s="1"/>
  <c r="F1719" i="5"/>
  <c r="E1719" i="5"/>
  <c r="P1719" i="5" s="1"/>
  <c r="D1719" i="5"/>
  <c r="U1718" i="5"/>
  <c r="T1718" i="5"/>
  <c r="S1718" i="5"/>
  <c r="I1718" i="5"/>
  <c r="R1718" i="5" s="1"/>
  <c r="H1718" i="5"/>
  <c r="G1718" i="5"/>
  <c r="Q1718" i="5" s="1"/>
  <c r="F1718" i="5"/>
  <c r="E1718" i="5"/>
  <c r="P1718" i="5" s="1"/>
  <c r="D1718" i="5"/>
  <c r="U1717" i="5"/>
  <c r="T1717" i="5"/>
  <c r="S1717" i="5"/>
  <c r="I1717" i="5"/>
  <c r="R1717" i="5" s="1"/>
  <c r="H1717" i="5"/>
  <c r="G1717" i="5"/>
  <c r="Q1717" i="5" s="1"/>
  <c r="F1717" i="5"/>
  <c r="E1717" i="5"/>
  <c r="P1717" i="5" s="1"/>
  <c r="D1717" i="5"/>
  <c r="U1716" i="5"/>
  <c r="T1716" i="5"/>
  <c r="S1716" i="5"/>
  <c r="I1716" i="5"/>
  <c r="R1716" i="5" s="1"/>
  <c r="H1716" i="5"/>
  <c r="G1716" i="5"/>
  <c r="Q1716" i="5" s="1"/>
  <c r="F1716" i="5"/>
  <c r="E1716" i="5"/>
  <c r="P1716" i="5" s="1"/>
  <c r="D1716" i="5"/>
  <c r="U1715" i="5"/>
  <c r="T1715" i="5"/>
  <c r="S1715" i="5"/>
  <c r="I1715" i="5"/>
  <c r="R1715" i="5" s="1"/>
  <c r="H1715" i="5"/>
  <c r="G1715" i="5"/>
  <c r="Q1715" i="5" s="1"/>
  <c r="F1715" i="5"/>
  <c r="E1715" i="5"/>
  <c r="P1715" i="5" s="1"/>
  <c r="D1715" i="5"/>
  <c r="T1714" i="5"/>
  <c r="S1714" i="5"/>
  <c r="I1714" i="5"/>
  <c r="R1714" i="5" s="1"/>
  <c r="H1714" i="5"/>
  <c r="G1714" i="5"/>
  <c r="Q1714" i="5" s="1"/>
  <c r="F1714" i="5"/>
  <c r="E1714" i="5"/>
  <c r="P1714" i="5" s="1"/>
  <c r="D1714" i="5"/>
  <c r="U1714" i="5" s="1"/>
  <c r="U1713" i="5"/>
  <c r="T1713" i="5"/>
  <c r="S1713" i="5"/>
  <c r="I1713" i="5"/>
  <c r="R1713" i="5" s="1"/>
  <c r="H1713" i="5"/>
  <c r="G1713" i="5"/>
  <c r="Q1713" i="5" s="1"/>
  <c r="F1713" i="5"/>
  <c r="E1713" i="5"/>
  <c r="P1713" i="5" s="1"/>
  <c r="D1713" i="5"/>
  <c r="U1712" i="5"/>
  <c r="T1712" i="5"/>
  <c r="S1712" i="5"/>
  <c r="I1712" i="5"/>
  <c r="R1712" i="5" s="1"/>
  <c r="H1712" i="5"/>
  <c r="G1712" i="5"/>
  <c r="Q1712" i="5" s="1"/>
  <c r="F1712" i="5"/>
  <c r="E1712" i="5"/>
  <c r="P1712" i="5" s="1"/>
  <c r="D1712" i="5"/>
  <c r="U1711" i="5"/>
  <c r="T1711" i="5"/>
  <c r="S1711" i="5"/>
  <c r="I1711" i="5"/>
  <c r="R1711" i="5" s="1"/>
  <c r="H1711" i="5"/>
  <c r="G1711" i="5"/>
  <c r="Q1711" i="5" s="1"/>
  <c r="F1711" i="5"/>
  <c r="E1711" i="5"/>
  <c r="P1711" i="5" s="1"/>
  <c r="D1711" i="5"/>
  <c r="U1710" i="5"/>
  <c r="T1710" i="5"/>
  <c r="S1710" i="5"/>
  <c r="I1710" i="5"/>
  <c r="R1710" i="5" s="1"/>
  <c r="H1710" i="5"/>
  <c r="G1710" i="5"/>
  <c r="Q1710" i="5" s="1"/>
  <c r="F1710" i="5"/>
  <c r="E1710" i="5"/>
  <c r="P1710" i="5" s="1"/>
  <c r="D1710" i="5"/>
  <c r="U1709" i="5"/>
  <c r="T1709" i="5"/>
  <c r="S1709" i="5"/>
  <c r="I1709" i="5"/>
  <c r="R1709" i="5" s="1"/>
  <c r="H1709" i="5"/>
  <c r="G1709" i="5"/>
  <c r="Q1709" i="5" s="1"/>
  <c r="F1709" i="5"/>
  <c r="E1709" i="5"/>
  <c r="P1709" i="5" s="1"/>
  <c r="D1709" i="5"/>
  <c r="U1708" i="5"/>
  <c r="T1708" i="5"/>
  <c r="S1708" i="5"/>
  <c r="I1708" i="5"/>
  <c r="R1708" i="5" s="1"/>
  <c r="H1708" i="5"/>
  <c r="G1708" i="5"/>
  <c r="Q1708" i="5" s="1"/>
  <c r="F1708" i="5"/>
  <c r="E1708" i="5"/>
  <c r="P1708" i="5" s="1"/>
  <c r="D1708" i="5"/>
  <c r="U1707" i="5"/>
  <c r="T1707" i="5"/>
  <c r="S1707" i="5"/>
  <c r="I1707" i="5"/>
  <c r="R1707" i="5" s="1"/>
  <c r="H1707" i="5"/>
  <c r="G1707" i="5"/>
  <c r="Q1707" i="5" s="1"/>
  <c r="F1707" i="5"/>
  <c r="E1707" i="5"/>
  <c r="P1707" i="5" s="1"/>
  <c r="D1707" i="5"/>
  <c r="U1706" i="5"/>
  <c r="T1706" i="5"/>
  <c r="S1706" i="5"/>
  <c r="I1706" i="5"/>
  <c r="R1706" i="5" s="1"/>
  <c r="H1706" i="5"/>
  <c r="G1706" i="5"/>
  <c r="Q1706" i="5" s="1"/>
  <c r="F1706" i="5"/>
  <c r="E1706" i="5"/>
  <c r="P1706" i="5" s="1"/>
  <c r="D1706" i="5"/>
  <c r="U264" i="5"/>
  <c r="S264" i="5"/>
  <c r="I264" i="5"/>
  <c r="R264" i="5" s="1"/>
  <c r="H264" i="5"/>
  <c r="G264" i="5"/>
  <c r="Q264" i="5" s="1"/>
  <c r="F264" i="5"/>
  <c r="E264" i="5"/>
  <c r="P264" i="5" s="1"/>
  <c r="D264" i="5"/>
  <c r="T1705" i="5"/>
  <c r="S1705" i="5"/>
  <c r="I1705" i="5"/>
  <c r="R1705" i="5" s="1"/>
  <c r="H1705" i="5"/>
  <c r="G1705" i="5"/>
  <c r="Q1705" i="5" s="1"/>
  <c r="F1705" i="5"/>
  <c r="E1705" i="5"/>
  <c r="P1705" i="5" s="1"/>
  <c r="D1705" i="5"/>
  <c r="U1705" i="5" s="1"/>
  <c r="U1704" i="5"/>
  <c r="T1704" i="5"/>
  <c r="S1704" i="5"/>
  <c r="I1704" i="5"/>
  <c r="R1704" i="5" s="1"/>
  <c r="H1704" i="5"/>
  <c r="G1704" i="5"/>
  <c r="Q1704" i="5" s="1"/>
  <c r="F1704" i="5"/>
  <c r="E1704" i="5"/>
  <c r="P1704" i="5" s="1"/>
  <c r="D1704" i="5"/>
  <c r="U1703" i="5"/>
  <c r="T1703" i="5"/>
  <c r="S1703" i="5"/>
  <c r="I1703" i="5"/>
  <c r="R1703" i="5" s="1"/>
  <c r="H1703" i="5"/>
  <c r="G1703" i="5"/>
  <c r="Q1703" i="5" s="1"/>
  <c r="F1703" i="5"/>
  <c r="E1703" i="5"/>
  <c r="P1703" i="5" s="1"/>
  <c r="D1703" i="5"/>
  <c r="U1702" i="5"/>
  <c r="T1702" i="5"/>
  <c r="S1702" i="5"/>
  <c r="I1702" i="5"/>
  <c r="R1702" i="5" s="1"/>
  <c r="H1702" i="5"/>
  <c r="G1702" i="5"/>
  <c r="Q1702" i="5" s="1"/>
  <c r="F1702" i="5"/>
  <c r="E1702" i="5"/>
  <c r="P1702" i="5" s="1"/>
  <c r="D1702" i="5"/>
  <c r="U1701" i="5"/>
  <c r="T1701" i="5"/>
  <c r="S1701" i="5"/>
  <c r="I1701" i="5"/>
  <c r="R1701" i="5" s="1"/>
  <c r="H1701" i="5"/>
  <c r="G1701" i="5"/>
  <c r="Q1701" i="5" s="1"/>
  <c r="F1701" i="5"/>
  <c r="E1701" i="5"/>
  <c r="P1701" i="5" s="1"/>
  <c r="D1701" i="5"/>
  <c r="U1700" i="5"/>
  <c r="T1700" i="5"/>
  <c r="S1700" i="5"/>
  <c r="I1700" i="5"/>
  <c r="R1700" i="5" s="1"/>
  <c r="H1700" i="5"/>
  <c r="G1700" i="5"/>
  <c r="Q1700" i="5" s="1"/>
  <c r="F1700" i="5"/>
  <c r="E1700" i="5"/>
  <c r="P1700" i="5" s="1"/>
  <c r="D1700" i="5"/>
  <c r="T1699" i="5"/>
  <c r="S1699" i="5"/>
  <c r="I1699" i="5"/>
  <c r="R1699" i="5" s="1"/>
  <c r="H1699" i="5"/>
  <c r="G1699" i="5"/>
  <c r="Q1699" i="5" s="1"/>
  <c r="F1699" i="5"/>
  <c r="E1699" i="5"/>
  <c r="P1699" i="5" s="1"/>
  <c r="D1699" i="5"/>
  <c r="U1699" i="5" s="1"/>
  <c r="U1698" i="5"/>
  <c r="T1698" i="5"/>
  <c r="S1698" i="5"/>
  <c r="I1698" i="5"/>
  <c r="R1698" i="5" s="1"/>
  <c r="H1698" i="5"/>
  <c r="G1698" i="5"/>
  <c r="Q1698" i="5" s="1"/>
  <c r="F1698" i="5"/>
  <c r="E1698" i="5"/>
  <c r="P1698" i="5" s="1"/>
  <c r="D1698" i="5"/>
  <c r="U1697" i="5"/>
  <c r="T1697" i="5"/>
  <c r="S1697" i="5"/>
  <c r="I1697" i="5"/>
  <c r="R1697" i="5" s="1"/>
  <c r="H1697" i="5"/>
  <c r="G1697" i="5"/>
  <c r="Q1697" i="5" s="1"/>
  <c r="F1697" i="5"/>
  <c r="E1697" i="5"/>
  <c r="P1697" i="5" s="1"/>
  <c r="D1697" i="5"/>
  <c r="U1696" i="5"/>
  <c r="T1696" i="5"/>
  <c r="S1696" i="5"/>
  <c r="I1696" i="5"/>
  <c r="R1696" i="5" s="1"/>
  <c r="H1696" i="5"/>
  <c r="G1696" i="5"/>
  <c r="Q1696" i="5" s="1"/>
  <c r="F1696" i="5"/>
  <c r="E1696" i="5"/>
  <c r="P1696" i="5" s="1"/>
  <c r="D1696" i="5"/>
  <c r="U1695" i="5"/>
  <c r="T1695" i="5"/>
  <c r="S1695" i="5"/>
  <c r="I1695" i="5"/>
  <c r="R1695" i="5" s="1"/>
  <c r="H1695" i="5"/>
  <c r="G1695" i="5"/>
  <c r="Q1695" i="5" s="1"/>
  <c r="F1695" i="5"/>
  <c r="E1695" i="5"/>
  <c r="P1695" i="5" s="1"/>
  <c r="D1695" i="5"/>
  <c r="U1694" i="5"/>
  <c r="T1694" i="5"/>
  <c r="S1694" i="5"/>
  <c r="I1694" i="5"/>
  <c r="R1694" i="5" s="1"/>
  <c r="H1694" i="5"/>
  <c r="G1694" i="5"/>
  <c r="Q1694" i="5" s="1"/>
  <c r="F1694" i="5"/>
  <c r="E1694" i="5"/>
  <c r="P1694" i="5" s="1"/>
  <c r="D1694" i="5"/>
  <c r="U1693" i="5"/>
  <c r="T1693" i="5"/>
  <c r="S1693" i="5"/>
  <c r="I1693" i="5"/>
  <c r="R1693" i="5" s="1"/>
  <c r="H1693" i="5"/>
  <c r="G1693" i="5"/>
  <c r="Q1693" i="5" s="1"/>
  <c r="F1693" i="5"/>
  <c r="E1693" i="5"/>
  <c r="P1693" i="5" s="1"/>
  <c r="D1693" i="5"/>
  <c r="U1692" i="5"/>
  <c r="T1692" i="5"/>
  <c r="S1692" i="5"/>
  <c r="I1692" i="5"/>
  <c r="R1692" i="5" s="1"/>
  <c r="H1692" i="5"/>
  <c r="G1692" i="5"/>
  <c r="Q1692" i="5" s="1"/>
  <c r="F1692" i="5"/>
  <c r="E1692" i="5"/>
  <c r="P1692" i="5" s="1"/>
  <c r="D1692" i="5"/>
  <c r="U1691" i="5"/>
  <c r="T1691" i="5"/>
  <c r="S1691" i="5"/>
  <c r="I1691" i="5"/>
  <c r="R1691" i="5" s="1"/>
  <c r="H1691" i="5"/>
  <c r="G1691" i="5"/>
  <c r="Q1691" i="5" s="1"/>
  <c r="F1691" i="5"/>
  <c r="E1691" i="5"/>
  <c r="P1691" i="5" s="1"/>
  <c r="D1691" i="5"/>
  <c r="U247" i="5"/>
  <c r="S247" i="5"/>
  <c r="I247" i="5"/>
  <c r="R247" i="5" s="1"/>
  <c r="H247" i="5"/>
  <c r="G247" i="5"/>
  <c r="Q247" i="5" s="1"/>
  <c r="F247" i="5"/>
  <c r="E247" i="5"/>
  <c r="P247" i="5" s="1"/>
  <c r="D247" i="5"/>
  <c r="T1690" i="5"/>
  <c r="S1690" i="5"/>
  <c r="I1690" i="5"/>
  <c r="R1690" i="5" s="1"/>
  <c r="H1690" i="5"/>
  <c r="G1690" i="5"/>
  <c r="Q1690" i="5" s="1"/>
  <c r="F1690" i="5"/>
  <c r="E1690" i="5"/>
  <c r="P1690" i="5" s="1"/>
  <c r="D1690" i="5"/>
  <c r="U1690" i="5" s="1"/>
  <c r="U1689" i="5"/>
  <c r="T1689" i="5"/>
  <c r="S1689" i="5"/>
  <c r="I1689" i="5"/>
  <c r="R1689" i="5" s="1"/>
  <c r="H1689" i="5"/>
  <c r="G1689" i="5"/>
  <c r="Q1689" i="5" s="1"/>
  <c r="F1689" i="5"/>
  <c r="E1689" i="5"/>
  <c r="P1689" i="5" s="1"/>
  <c r="D1689" i="5"/>
  <c r="U1688" i="5"/>
  <c r="T1688" i="5"/>
  <c r="S1688" i="5"/>
  <c r="I1688" i="5"/>
  <c r="R1688" i="5" s="1"/>
  <c r="H1688" i="5"/>
  <c r="G1688" i="5"/>
  <c r="Q1688" i="5" s="1"/>
  <c r="F1688" i="5"/>
  <c r="E1688" i="5"/>
  <c r="P1688" i="5" s="1"/>
  <c r="D1688" i="5"/>
  <c r="U1687" i="5"/>
  <c r="T1687" i="5"/>
  <c r="S1687" i="5"/>
  <c r="I1687" i="5"/>
  <c r="R1687" i="5" s="1"/>
  <c r="H1687" i="5"/>
  <c r="G1687" i="5"/>
  <c r="Q1687" i="5" s="1"/>
  <c r="F1687" i="5"/>
  <c r="E1687" i="5"/>
  <c r="P1687" i="5" s="1"/>
  <c r="D1687" i="5"/>
  <c r="U1686" i="5"/>
  <c r="T1686" i="5"/>
  <c r="S1686" i="5"/>
  <c r="I1686" i="5"/>
  <c r="R1686" i="5" s="1"/>
  <c r="H1686" i="5"/>
  <c r="G1686" i="5"/>
  <c r="Q1686" i="5" s="1"/>
  <c r="F1686" i="5"/>
  <c r="E1686" i="5"/>
  <c r="P1686" i="5" s="1"/>
  <c r="D1686" i="5"/>
  <c r="U1685" i="5"/>
  <c r="T1685" i="5"/>
  <c r="S1685" i="5"/>
  <c r="I1685" i="5"/>
  <c r="R1685" i="5" s="1"/>
  <c r="H1685" i="5"/>
  <c r="G1685" i="5"/>
  <c r="Q1685" i="5" s="1"/>
  <c r="F1685" i="5"/>
  <c r="E1685" i="5"/>
  <c r="P1685" i="5" s="1"/>
  <c r="D1685" i="5"/>
  <c r="T1684" i="5"/>
  <c r="S1684" i="5"/>
  <c r="I1684" i="5"/>
  <c r="R1684" i="5" s="1"/>
  <c r="H1684" i="5"/>
  <c r="G1684" i="5"/>
  <c r="Q1684" i="5" s="1"/>
  <c r="F1684" i="5"/>
  <c r="E1684" i="5"/>
  <c r="P1684" i="5" s="1"/>
  <c r="D1684" i="5"/>
  <c r="U1684" i="5" s="1"/>
  <c r="U1683" i="5"/>
  <c r="T1683" i="5"/>
  <c r="S1683" i="5"/>
  <c r="I1683" i="5"/>
  <c r="R1683" i="5" s="1"/>
  <c r="H1683" i="5"/>
  <c r="G1683" i="5"/>
  <c r="Q1683" i="5" s="1"/>
  <c r="F1683" i="5"/>
  <c r="E1683" i="5"/>
  <c r="P1683" i="5" s="1"/>
  <c r="D1683" i="5"/>
  <c r="U1682" i="5"/>
  <c r="T1682" i="5"/>
  <c r="S1682" i="5"/>
  <c r="I1682" i="5"/>
  <c r="R1682" i="5" s="1"/>
  <c r="H1682" i="5"/>
  <c r="G1682" i="5"/>
  <c r="Q1682" i="5" s="1"/>
  <c r="F1682" i="5"/>
  <c r="E1682" i="5"/>
  <c r="P1682" i="5" s="1"/>
  <c r="D1682" i="5"/>
  <c r="U1681" i="5"/>
  <c r="T1681" i="5"/>
  <c r="S1681" i="5"/>
  <c r="I1681" i="5"/>
  <c r="R1681" i="5" s="1"/>
  <c r="H1681" i="5"/>
  <c r="G1681" i="5"/>
  <c r="Q1681" i="5" s="1"/>
  <c r="F1681" i="5"/>
  <c r="E1681" i="5"/>
  <c r="P1681" i="5" s="1"/>
  <c r="D1681" i="5"/>
  <c r="U1680" i="5"/>
  <c r="T1680" i="5"/>
  <c r="S1680" i="5"/>
  <c r="I1680" i="5"/>
  <c r="R1680" i="5" s="1"/>
  <c r="H1680" i="5"/>
  <c r="G1680" i="5"/>
  <c r="Q1680" i="5" s="1"/>
  <c r="F1680" i="5"/>
  <c r="E1680" i="5"/>
  <c r="P1680" i="5" s="1"/>
  <c r="D1680" i="5"/>
  <c r="U1679" i="5"/>
  <c r="T1679" i="5"/>
  <c r="S1679" i="5"/>
  <c r="I1679" i="5"/>
  <c r="R1679" i="5" s="1"/>
  <c r="H1679" i="5"/>
  <c r="G1679" i="5"/>
  <c r="Q1679" i="5" s="1"/>
  <c r="F1679" i="5"/>
  <c r="E1679" i="5"/>
  <c r="P1679" i="5" s="1"/>
  <c r="D1679" i="5"/>
  <c r="U1678" i="5"/>
  <c r="T1678" i="5"/>
  <c r="S1678" i="5"/>
  <c r="I1678" i="5"/>
  <c r="R1678" i="5" s="1"/>
  <c r="H1678" i="5"/>
  <c r="G1678" i="5"/>
  <c r="Q1678" i="5" s="1"/>
  <c r="F1678" i="5"/>
  <c r="E1678" i="5"/>
  <c r="P1678" i="5" s="1"/>
  <c r="D1678" i="5"/>
  <c r="U1677" i="5"/>
  <c r="T1677" i="5"/>
  <c r="S1677" i="5"/>
  <c r="I1677" i="5"/>
  <c r="R1677" i="5" s="1"/>
  <c r="H1677" i="5"/>
  <c r="G1677" i="5"/>
  <c r="Q1677" i="5" s="1"/>
  <c r="F1677" i="5"/>
  <c r="E1677" i="5"/>
  <c r="P1677" i="5" s="1"/>
  <c r="D1677" i="5"/>
  <c r="U1676" i="5"/>
  <c r="T1676" i="5"/>
  <c r="S1676" i="5"/>
  <c r="I1676" i="5"/>
  <c r="R1676" i="5" s="1"/>
  <c r="H1676" i="5"/>
  <c r="G1676" i="5"/>
  <c r="Q1676" i="5" s="1"/>
  <c r="F1676" i="5"/>
  <c r="E1676" i="5"/>
  <c r="P1676" i="5" s="1"/>
  <c r="D1676" i="5"/>
  <c r="U230" i="5"/>
  <c r="S230" i="5"/>
  <c r="I230" i="5"/>
  <c r="R230" i="5" s="1"/>
  <c r="H230" i="5"/>
  <c r="G230" i="5"/>
  <c r="Q230" i="5" s="1"/>
  <c r="F230" i="5"/>
  <c r="E230" i="5"/>
  <c r="P230" i="5" s="1"/>
  <c r="D230" i="5"/>
  <c r="T1669" i="5"/>
  <c r="S1669" i="5"/>
  <c r="I1669" i="5"/>
  <c r="R1669" i="5" s="1"/>
  <c r="H1669" i="5"/>
  <c r="G1669" i="5"/>
  <c r="Q1669" i="5" s="1"/>
  <c r="F1669" i="5"/>
  <c r="E1669" i="5"/>
  <c r="P1669" i="5" s="1"/>
  <c r="D1669" i="5"/>
  <c r="U1669" i="5" s="1"/>
  <c r="U1668" i="5"/>
  <c r="T1668" i="5"/>
  <c r="S1668" i="5"/>
  <c r="O1668" i="5"/>
  <c r="N1668" i="5"/>
  <c r="I1668" i="5"/>
  <c r="R1668" i="5" s="1"/>
  <c r="H1668" i="5"/>
  <c r="G1668" i="5"/>
  <c r="Q1668" i="5" s="1"/>
  <c r="F1668" i="5"/>
  <c r="E1668" i="5"/>
  <c r="P1668" i="5" s="1"/>
  <c r="D1668" i="5"/>
  <c r="U1667" i="5"/>
  <c r="T1667" i="5"/>
  <c r="S1667" i="5"/>
  <c r="I1667" i="5"/>
  <c r="R1667" i="5" s="1"/>
  <c r="H1667" i="5"/>
  <c r="G1667" i="5"/>
  <c r="Q1667" i="5" s="1"/>
  <c r="F1667" i="5"/>
  <c r="E1667" i="5"/>
  <c r="P1667" i="5" s="1"/>
  <c r="D1667" i="5"/>
  <c r="U1666" i="5"/>
  <c r="T1666" i="5"/>
  <c r="S1666" i="5"/>
  <c r="I1666" i="5"/>
  <c r="R1666" i="5" s="1"/>
  <c r="H1666" i="5"/>
  <c r="G1666" i="5"/>
  <c r="Q1666" i="5" s="1"/>
  <c r="F1666" i="5"/>
  <c r="E1666" i="5"/>
  <c r="P1666" i="5" s="1"/>
  <c r="D1666" i="5"/>
  <c r="U1665" i="5"/>
  <c r="T1665" i="5"/>
  <c r="S1665" i="5"/>
  <c r="I1665" i="5"/>
  <c r="R1665" i="5" s="1"/>
  <c r="H1665" i="5"/>
  <c r="G1665" i="5"/>
  <c r="Q1665" i="5" s="1"/>
  <c r="F1665" i="5"/>
  <c r="E1665" i="5"/>
  <c r="P1665" i="5" s="1"/>
  <c r="D1665" i="5"/>
  <c r="U1664" i="5"/>
  <c r="T1664" i="5"/>
  <c r="S1664" i="5"/>
  <c r="I1664" i="5"/>
  <c r="R1664" i="5" s="1"/>
  <c r="H1664" i="5"/>
  <c r="G1664" i="5"/>
  <c r="Q1664" i="5" s="1"/>
  <c r="F1664" i="5"/>
  <c r="E1664" i="5"/>
  <c r="P1664" i="5" s="1"/>
  <c r="D1664" i="5"/>
  <c r="T1663" i="5"/>
  <c r="S1663" i="5"/>
  <c r="I1663" i="5"/>
  <c r="R1663" i="5" s="1"/>
  <c r="H1663" i="5"/>
  <c r="G1663" i="5"/>
  <c r="Q1663" i="5" s="1"/>
  <c r="F1663" i="5"/>
  <c r="E1663" i="5"/>
  <c r="P1663" i="5" s="1"/>
  <c r="D1663" i="5"/>
  <c r="U1663" i="5" s="1"/>
  <c r="U1662" i="5"/>
  <c r="T1662" i="5"/>
  <c r="S1662" i="5"/>
  <c r="I1662" i="5"/>
  <c r="R1662" i="5" s="1"/>
  <c r="H1662" i="5"/>
  <c r="G1662" i="5"/>
  <c r="Q1662" i="5" s="1"/>
  <c r="F1662" i="5"/>
  <c r="E1662" i="5"/>
  <c r="P1662" i="5" s="1"/>
  <c r="D1662" i="5"/>
  <c r="U1661" i="5"/>
  <c r="T1661" i="5"/>
  <c r="S1661" i="5"/>
  <c r="I1661" i="5"/>
  <c r="R1661" i="5" s="1"/>
  <c r="H1661" i="5"/>
  <c r="G1661" i="5"/>
  <c r="Q1661" i="5" s="1"/>
  <c r="F1661" i="5"/>
  <c r="E1661" i="5"/>
  <c r="P1661" i="5" s="1"/>
  <c r="D1661" i="5"/>
  <c r="U1660" i="5"/>
  <c r="T1660" i="5"/>
  <c r="S1660" i="5"/>
  <c r="O1660" i="5"/>
  <c r="N1660" i="5"/>
  <c r="I1660" i="5"/>
  <c r="R1660" i="5" s="1"/>
  <c r="H1660" i="5"/>
  <c r="G1660" i="5"/>
  <c r="Q1660" i="5" s="1"/>
  <c r="F1660" i="5"/>
  <c r="E1660" i="5"/>
  <c r="P1660" i="5" s="1"/>
  <c r="D1660" i="5"/>
  <c r="U1659" i="5"/>
  <c r="T1659" i="5"/>
  <c r="S1659" i="5"/>
  <c r="I1659" i="5"/>
  <c r="R1659" i="5" s="1"/>
  <c r="H1659" i="5"/>
  <c r="G1659" i="5"/>
  <c r="Q1659" i="5" s="1"/>
  <c r="F1659" i="5"/>
  <c r="E1659" i="5"/>
  <c r="P1659" i="5" s="1"/>
  <c r="D1659" i="5"/>
  <c r="U1658" i="5"/>
  <c r="T1658" i="5"/>
  <c r="S1658" i="5"/>
  <c r="I1658" i="5"/>
  <c r="R1658" i="5" s="1"/>
  <c r="H1658" i="5"/>
  <c r="G1658" i="5"/>
  <c r="Q1658" i="5" s="1"/>
  <c r="F1658" i="5"/>
  <c r="E1658" i="5"/>
  <c r="P1658" i="5" s="1"/>
  <c r="D1658" i="5"/>
  <c r="U1657" i="5"/>
  <c r="T1657" i="5"/>
  <c r="S1657" i="5"/>
  <c r="O1657" i="5"/>
  <c r="N1657" i="5"/>
  <c r="I1657" i="5"/>
  <c r="R1657" i="5" s="1"/>
  <c r="H1657" i="5"/>
  <c r="G1657" i="5"/>
  <c r="Q1657" i="5" s="1"/>
  <c r="F1657" i="5"/>
  <c r="E1657" i="5"/>
  <c r="P1657" i="5" s="1"/>
  <c r="D1657" i="5"/>
  <c r="U1656" i="5"/>
  <c r="T1656" i="5"/>
  <c r="S1656" i="5"/>
  <c r="O1656" i="5"/>
  <c r="N1656" i="5"/>
  <c r="I1656" i="5"/>
  <c r="R1656" i="5" s="1"/>
  <c r="H1656" i="5"/>
  <c r="G1656" i="5"/>
  <c r="Q1656" i="5" s="1"/>
  <c r="F1656" i="5"/>
  <c r="E1656" i="5"/>
  <c r="P1656" i="5" s="1"/>
  <c r="D1656" i="5"/>
  <c r="U1655" i="5"/>
  <c r="T1655" i="5"/>
  <c r="S1655" i="5"/>
  <c r="O1655" i="5"/>
  <c r="N1655" i="5"/>
  <c r="I1655" i="5"/>
  <c r="R1655" i="5" s="1"/>
  <c r="H1655" i="5"/>
  <c r="G1655" i="5"/>
  <c r="Q1655" i="5" s="1"/>
  <c r="F1655" i="5"/>
  <c r="E1655" i="5"/>
  <c r="P1655" i="5" s="1"/>
  <c r="D1655" i="5"/>
  <c r="U213" i="5"/>
  <c r="S213" i="5"/>
  <c r="I213" i="5"/>
  <c r="R213" i="5" s="1"/>
  <c r="H213" i="5"/>
  <c r="G213" i="5"/>
  <c r="Q213" i="5" s="1"/>
  <c r="F213" i="5"/>
  <c r="E213" i="5"/>
  <c r="P213" i="5" s="1"/>
  <c r="D213" i="5"/>
  <c r="T1654" i="5"/>
  <c r="S1654" i="5"/>
  <c r="I1654" i="5"/>
  <c r="R1654" i="5" s="1"/>
  <c r="H1654" i="5"/>
  <c r="G1654" i="5"/>
  <c r="Q1654" i="5" s="1"/>
  <c r="F1654" i="5"/>
  <c r="E1654" i="5"/>
  <c r="P1654" i="5" s="1"/>
  <c r="D1654" i="5"/>
  <c r="U1654" i="5" s="1"/>
  <c r="U1653" i="5"/>
  <c r="T1653" i="5"/>
  <c r="S1653" i="5"/>
  <c r="I1653" i="5"/>
  <c r="R1653" i="5" s="1"/>
  <c r="H1653" i="5"/>
  <c r="G1653" i="5"/>
  <c r="Q1653" i="5" s="1"/>
  <c r="F1653" i="5"/>
  <c r="E1653" i="5"/>
  <c r="P1653" i="5" s="1"/>
  <c r="D1653" i="5"/>
  <c r="U1652" i="5"/>
  <c r="T1652" i="5"/>
  <c r="S1652" i="5"/>
  <c r="I1652" i="5"/>
  <c r="R1652" i="5" s="1"/>
  <c r="H1652" i="5"/>
  <c r="G1652" i="5"/>
  <c r="Q1652" i="5" s="1"/>
  <c r="F1652" i="5"/>
  <c r="E1652" i="5"/>
  <c r="P1652" i="5" s="1"/>
  <c r="D1652" i="5"/>
  <c r="U1651" i="5"/>
  <c r="T1651" i="5"/>
  <c r="S1651" i="5"/>
  <c r="I1651" i="5"/>
  <c r="R1651" i="5" s="1"/>
  <c r="H1651" i="5"/>
  <c r="G1651" i="5"/>
  <c r="Q1651" i="5" s="1"/>
  <c r="F1651" i="5"/>
  <c r="E1651" i="5"/>
  <c r="P1651" i="5" s="1"/>
  <c r="D1651" i="5"/>
  <c r="U1650" i="5"/>
  <c r="T1650" i="5"/>
  <c r="S1650" i="5"/>
  <c r="I1650" i="5"/>
  <c r="R1650" i="5" s="1"/>
  <c r="H1650" i="5"/>
  <c r="G1650" i="5"/>
  <c r="Q1650" i="5" s="1"/>
  <c r="F1650" i="5"/>
  <c r="E1650" i="5"/>
  <c r="P1650" i="5" s="1"/>
  <c r="D1650" i="5"/>
  <c r="U1649" i="5"/>
  <c r="T1649" i="5"/>
  <c r="S1649" i="5"/>
  <c r="I1649" i="5"/>
  <c r="R1649" i="5" s="1"/>
  <c r="H1649" i="5"/>
  <c r="G1649" i="5"/>
  <c r="Q1649" i="5" s="1"/>
  <c r="F1649" i="5"/>
  <c r="E1649" i="5"/>
  <c r="P1649" i="5" s="1"/>
  <c r="D1649" i="5"/>
  <c r="T1648" i="5"/>
  <c r="S1648" i="5"/>
  <c r="I1648" i="5"/>
  <c r="R1648" i="5" s="1"/>
  <c r="H1648" i="5"/>
  <c r="G1648" i="5"/>
  <c r="Q1648" i="5" s="1"/>
  <c r="F1648" i="5"/>
  <c r="E1648" i="5"/>
  <c r="P1648" i="5" s="1"/>
  <c r="D1648" i="5"/>
  <c r="U1648" i="5" s="1"/>
  <c r="U1647" i="5"/>
  <c r="T1647" i="5"/>
  <c r="S1647" i="5"/>
  <c r="I1647" i="5"/>
  <c r="R1647" i="5" s="1"/>
  <c r="H1647" i="5"/>
  <c r="G1647" i="5"/>
  <c r="Q1647" i="5" s="1"/>
  <c r="F1647" i="5"/>
  <c r="E1647" i="5"/>
  <c r="P1647" i="5" s="1"/>
  <c r="D1647" i="5"/>
  <c r="U1646" i="5"/>
  <c r="T1646" i="5"/>
  <c r="S1646" i="5"/>
  <c r="I1646" i="5"/>
  <c r="R1646" i="5" s="1"/>
  <c r="H1646" i="5"/>
  <c r="G1646" i="5"/>
  <c r="Q1646" i="5" s="1"/>
  <c r="F1646" i="5"/>
  <c r="E1646" i="5"/>
  <c r="P1646" i="5" s="1"/>
  <c r="D1646" i="5"/>
  <c r="U1645" i="5"/>
  <c r="T1645" i="5"/>
  <c r="S1645" i="5"/>
  <c r="I1645" i="5"/>
  <c r="R1645" i="5" s="1"/>
  <c r="H1645" i="5"/>
  <c r="G1645" i="5"/>
  <c r="Q1645" i="5" s="1"/>
  <c r="F1645" i="5"/>
  <c r="E1645" i="5"/>
  <c r="P1645" i="5" s="1"/>
  <c r="D1645" i="5"/>
  <c r="U1644" i="5"/>
  <c r="T1644" i="5"/>
  <c r="S1644" i="5"/>
  <c r="I1644" i="5"/>
  <c r="R1644" i="5" s="1"/>
  <c r="H1644" i="5"/>
  <c r="G1644" i="5"/>
  <c r="Q1644" i="5" s="1"/>
  <c r="F1644" i="5"/>
  <c r="E1644" i="5"/>
  <c r="P1644" i="5" s="1"/>
  <c r="D1644" i="5"/>
  <c r="U1643" i="5"/>
  <c r="T1643" i="5"/>
  <c r="S1643" i="5"/>
  <c r="I1643" i="5"/>
  <c r="R1643" i="5" s="1"/>
  <c r="H1643" i="5"/>
  <c r="G1643" i="5"/>
  <c r="Q1643" i="5" s="1"/>
  <c r="F1643" i="5"/>
  <c r="E1643" i="5"/>
  <c r="P1643" i="5" s="1"/>
  <c r="D1643" i="5"/>
  <c r="U1642" i="5"/>
  <c r="T1642" i="5"/>
  <c r="S1642" i="5"/>
  <c r="I1642" i="5"/>
  <c r="R1642" i="5" s="1"/>
  <c r="H1642" i="5"/>
  <c r="G1642" i="5"/>
  <c r="Q1642" i="5" s="1"/>
  <c r="F1642" i="5"/>
  <c r="E1642" i="5"/>
  <c r="P1642" i="5" s="1"/>
  <c r="D1642" i="5"/>
  <c r="U1641" i="5"/>
  <c r="T1641" i="5"/>
  <c r="S1641" i="5"/>
  <c r="I1641" i="5"/>
  <c r="R1641" i="5" s="1"/>
  <c r="H1641" i="5"/>
  <c r="G1641" i="5"/>
  <c r="Q1641" i="5" s="1"/>
  <c r="F1641" i="5"/>
  <c r="E1641" i="5"/>
  <c r="P1641" i="5" s="1"/>
  <c r="D1641" i="5"/>
  <c r="U1640" i="5"/>
  <c r="T1640" i="5"/>
  <c r="S1640" i="5"/>
  <c r="I1640" i="5"/>
  <c r="R1640" i="5" s="1"/>
  <c r="H1640" i="5"/>
  <c r="G1640" i="5"/>
  <c r="Q1640" i="5" s="1"/>
  <c r="F1640" i="5"/>
  <c r="E1640" i="5"/>
  <c r="P1640" i="5" s="1"/>
  <c r="D1640" i="5"/>
  <c r="U196" i="5"/>
  <c r="S196" i="5"/>
  <c r="I196" i="5"/>
  <c r="R196" i="5" s="1"/>
  <c r="H196" i="5"/>
  <c r="G196" i="5"/>
  <c r="Q196" i="5" s="1"/>
  <c r="F196" i="5"/>
  <c r="E196" i="5"/>
  <c r="P196" i="5" s="1"/>
  <c r="D196" i="5"/>
  <c r="T1639" i="5"/>
  <c r="S1639" i="5"/>
  <c r="I1639" i="5"/>
  <c r="R1639" i="5" s="1"/>
  <c r="H1639" i="5"/>
  <c r="G1639" i="5"/>
  <c r="Q1639" i="5" s="1"/>
  <c r="F1639" i="5"/>
  <c r="E1639" i="5"/>
  <c r="P1639" i="5" s="1"/>
  <c r="D1639" i="5"/>
  <c r="U1639" i="5" s="1"/>
  <c r="U1638" i="5"/>
  <c r="T1638" i="5"/>
  <c r="S1638" i="5"/>
  <c r="I1638" i="5"/>
  <c r="R1638" i="5" s="1"/>
  <c r="H1638" i="5"/>
  <c r="G1638" i="5"/>
  <c r="Q1638" i="5" s="1"/>
  <c r="F1638" i="5"/>
  <c r="E1638" i="5"/>
  <c r="P1638" i="5" s="1"/>
  <c r="D1638" i="5"/>
  <c r="U1637" i="5"/>
  <c r="T1637" i="5"/>
  <c r="S1637" i="5"/>
  <c r="I1637" i="5"/>
  <c r="R1637" i="5" s="1"/>
  <c r="H1637" i="5"/>
  <c r="G1637" i="5"/>
  <c r="Q1637" i="5" s="1"/>
  <c r="F1637" i="5"/>
  <c r="E1637" i="5"/>
  <c r="P1637" i="5" s="1"/>
  <c r="D1637" i="5"/>
  <c r="U1636" i="5"/>
  <c r="T1636" i="5"/>
  <c r="S1636" i="5"/>
  <c r="I1636" i="5"/>
  <c r="R1636" i="5" s="1"/>
  <c r="H1636" i="5"/>
  <c r="G1636" i="5"/>
  <c r="Q1636" i="5" s="1"/>
  <c r="F1636" i="5"/>
  <c r="E1636" i="5"/>
  <c r="P1636" i="5" s="1"/>
  <c r="D1636" i="5"/>
  <c r="U1635" i="5"/>
  <c r="T1635" i="5"/>
  <c r="S1635" i="5"/>
  <c r="I1635" i="5"/>
  <c r="R1635" i="5" s="1"/>
  <c r="H1635" i="5"/>
  <c r="G1635" i="5"/>
  <c r="Q1635" i="5" s="1"/>
  <c r="F1635" i="5"/>
  <c r="E1635" i="5"/>
  <c r="P1635" i="5" s="1"/>
  <c r="D1635" i="5"/>
  <c r="U1634" i="5"/>
  <c r="T1634" i="5"/>
  <c r="S1634" i="5"/>
  <c r="I1634" i="5"/>
  <c r="R1634" i="5" s="1"/>
  <c r="H1634" i="5"/>
  <c r="G1634" i="5"/>
  <c r="Q1634" i="5" s="1"/>
  <c r="F1634" i="5"/>
  <c r="E1634" i="5"/>
  <c r="P1634" i="5" s="1"/>
  <c r="D1634" i="5"/>
  <c r="T1633" i="5"/>
  <c r="S1633" i="5"/>
  <c r="I1633" i="5"/>
  <c r="R1633" i="5" s="1"/>
  <c r="H1633" i="5"/>
  <c r="G1633" i="5"/>
  <c r="Q1633" i="5" s="1"/>
  <c r="F1633" i="5"/>
  <c r="E1633" i="5"/>
  <c r="P1633" i="5" s="1"/>
  <c r="D1633" i="5"/>
  <c r="U1633" i="5" s="1"/>
  <c r="U1632" i="5"/>
  <c r="T1632" i="5"/>
  <c r="S1632" i="5"/>
  <c r="I1632" i="5"/>
  <c r="R1632" i="5" s="1"/>
  <c r="H1632" i="5"/>
  <c r="G1632" i="5"/>
  <c r="Q1632" i="5" s="1"/>
  <c r="F1632" i="5"/>
  <c r="E1632" i="5"/>
  <c r="P1632" i="5" s="1"/>
  <c r="D1632" i="5"/>
  <c r="U1631" i="5"/>
  <c r="T1631" i="5"/>
  <c r="S1631" i="5"/>
  <c r="I1631" i="5"/>
  <c r="R1631" i="5" s="1"/>
  <c r="H1631" i="5"/>
  <c r="G1631" i="5"/>
  <c r="Q1631" i="5" s="1"/>
  <c r="F1631" i="5"/>
  <c r="E1631" i="5"/>
  <c r="P1631" i="5" s="1"/>
  <c r="D1631" i="5"/>
  <c r="U1630" i="5"/>
  <c r="T1630" i="5"/>
  <c r="S1630" i="5"/>
  <c r="I1630" i="5"/>
  <c r="R1630" i="5" s="1"/>
  <c r="H1630" i="5"/>
  <c r="G1630" i="5"/>
  <c r="Q1630" i="5" s="1"/>
  <c r="F1630" i="5"/>
  <c r="E1630" i="5"/>
  <c r="P1630" i="5" s="1"/>
  <c r="D1630" i="5"/>
  <c r="U1629" i="5"/>
  <c r="T1629" i="5"/>
  <c r="S1629" i="5"/>
  <c r="I1629" i="5"/>
  <c r="R1629" i="5" s="1"/>
  <c r="H1629" i="5"/>
  <c r="G1629" i="5"/>
  <c r="Q1629" i="5" s="1"/>
  <c r="F1629" i="5"/>
  <c r="E1629" i="5"/>
  <c r="P1629" i="5" s="1"/>
  <c r="D1629" i="5"/>
  <c r="U1628" i="5"/>
  <c r="T1628" i="5"/>
  <c r="S1628" i="5"/>
  <c r="I1628" i="5"/>
  <c r="R1628" i="5" s="1"/>
  <c r="H1628" i="5"/>
  <c r="G1628" i="5"/>
  <c r="Q1628" i="5" s="1"/>
  <c r="F1628" i="5"/>
  <c r="E1628" i="5"/>
  <c r="P1628" i="5" s="1"/>
  <c r="D1628" i="5"/>
  <c r="U1627" i="5"/>
  <c r="T1627" i="5"/>
  <c r="S1627" i="5"/>
  <c r="I1627" i="5"/>
  <c r="R1627" i="5" s="1"/>
  <c r="H1627" i="5"/>
  <c r="G1627" i="5"/>
  <c r="Q1627" i="5" s="1"/>
  <c r="F1627" i="5"/>
  <c r="E1627" i="5"/>
  <c r="P1627" i="5" s="1"/>
  <c r="D1627" i="5"/>
  <c r="U1626" i="5"/>
  <c r="T1626" i="5"/>
  <c r="S1626" i="5"/>
  <c r="I1626" i="5"/>
  <c r="R1626" i="5" s="1"/>
  <c r="H1626" i="5"/>
  <c r="G1626" i="5"/>
  <c r="Q1626" i="5" s="1"/>
  <c r="F1626" i="5"/>
  <c r="E1626" i="5"/>
  <c r="P1626" i="5" s="1"/>
  <c r="D1626" i="5"/>
  <c r="U1625" i="5"/>
  <c r="T1625" i="5"/>
  <c r="S1625" i="5"/>
  <c r="I1625" i="5"/>
  <c r="R1625" i="5" s="1"/>
  <c r="H1625" i="5"/>
  <c r="G1625" i="5"/>
  <c r="Q1625" i="5" s="1"/>
  <c r="F1625" i="5"/>
  <c r="E1625" i="5"/>
  <c r="P1625" i="5" s="1"/>
  <c r="D1625" i="5"/>
  <c r="U186" i="5"/>
  <c r="S186" i="5"/>
  <c r="I186" i="5"/>
  <c r="R186" i="5" s="1"/>
  <c r="H186" i="5"/>
  <c r="G186" i="5"/>
  <c r="Q186" i="5" s="1"/>
  <c r="F186" i="5"/>
  <c r="E186" i="5"/>
  <c r="P186" i="5" s="1"/>
  <c r="D186" i="5"/>
  <c r="T1624" i="5"/>
  <c r="S1624" i="5"/>
  <c r="I1624" i="5"/>
  <c r="R1624" i="5" s="1"/>
  <c r="H1624" i="5"/>
  <c r="G1624" i="5"/>
  <c r="Q1624" i="5" s="1"/>
  <c r="F1624" i="5"/>
  <c r="E1624" i="5"/>
  <c r="P1624" i="5" s="1"/>
  <c r="D1624" i="5"/>
  <c r="U1624" i="5" s="1"/>
  <c r="U1623" i="5"/>
  <c r="T1623" i="5"/>
  <c r="S1623" i="5"/>
  <c r="I1623" i="5"/>
  <c r="R1623" i="5" s="1"/>
  <c r="H1623" i="5"/>
  <c r="G1623" i="5"/>
  <c r="Q1623" i="5" s="1"/>
  <c r="F1623" i="5"/>
  <c r="E1623" i="5"/>
  <c r="P1623" i="5" s="1"/>
  <c r="D1623" i="5"/>
  <c r="U1622" i="5"/>
  <c r="T1622" i="5"/>
  <c r="S1622" i="5"/>
  <c r="I1622" i="5"/>
  <c r="R1622" i="5" s="1"/>
  <c r="H1622" i="5"/>
  <c r="G1622" i="5"/>
  <c r="Q1622" i="5" s="1"/>
  <c r="F1622" i="5"/>
  <c r="E1622" i="5"/>
  <c r="P1622" i="5" s="1"/>
  <c r="D1622" i="5"/>
  <c r="U1621" i="5"/>
  <c r="T1621" i="5"/>
  <c r="S1621" i="5"/>
  <c r="I1621" i="5"/>
  <c r="R1621" i="5" s="1"/>
  <c r="H1621" i="5"/>
  <c r="G1621" i="5"/>
  <c r="Q1621" i="5" s="1"/>
  <c r="F1621" i="5"/>
  <c r="E1621" i="5"/>
  <c r="P1621" i="5" s="1"/>
  <c r="D1621" i="5"/>
  <c r="U1620" i="5"/>
  <c r="T1620" i="5"/>
  <c r="S1620" i="5"/>
  <c r="I1620" i="5"/>
  <c r="R1620" i="5" s="1"/>
  <c r="H1620" i="5"/>
  <c r="G1620" i="5"/>
  <c r="Q1620" i="5" s="1"/>
  <c r="F1620" i="5"/>
  <c r="E1620" i="5"/>
  <c r="P1620" i="5" s="1"/>
  <c r="D1620" i="5"/>
  <c r="U1619" i="5"/>
  <c r="T1619" i="5"/>
  <c r="S1619" i="5"/>
  <c r="I1619" i="5"/>
  <c r="R1619" i="5" s="1"/>
  <c r="H1619" i="5"/>
  <c r="G1619" i="5"/>
  <c r="Q1619" i="5" s="1"/>
  <c r="F1619" i="5"/>
  <c r="E1619" i="5"/>
  <c r="P1619" i="5" s="1"/>
  <c r="D1619" i="5"/>
  <c r="T1618" i="5"/>
  <c r="S1618" i="5"/>
  <c r="I1618" i="5"/>
  <c r="R1618" i="5" s="1"/>
  <c r="H1618" i="5"/>
  <c r="G1618" i="5"/>
  <c r="Q1618" i="5" s="1"/>
  <c r="F1618" i="5"/>
  <c r="E1618" i="5"/>
  <c r="P1618" i="5" s="1"/>
  <c r="D1618" i="5"/>
  <c r="U1618" i="5" s="1"/>
  <c r="U1617" i="5"/>
  <c r="T1617" i="5"/>
  <c r="S1617" i="5"/>
  <c r="I1617" i="5"/>
  <c r="R1617" i="5" s="1"/>
  <c r="H1617" i="5"/>
  <c r="G1617" i="5"/>
  <c r="Q1617" i="5" s="1"/>
  <c r="F1617" i="5"/>
  <c r="E1617" i="5"/>
  <c r="P1617" i="5" s="1"/>
  <c r="D1617" i="5"/>
  <c r="U1616" i="5"/>
  <c r="T1616" i="5"/>
  <c r="S1616" i="5"/>
  <c r="I1616" i="5"/>
  <c r="R1616" i="5" s="1"/>
  <c r="H1616" i="5"/>
  <c r="G1616" i="5"/>
  <c r="Q1616" i="5" s="1"/>
  <c r="F1616" i="5"/>
  <c r="E1616" i="5"/>
  <c r="P1616" i="5" s="1"/>
  <c r="D1616" i="5"/>
  <c r="U1615" i="5"/>
  <c r="T1615" i="5"/>
  <c r="S1615" i="5"/>
  <c r="I1615" i="5"/>
  <c r="R1615" i="5" s="1"/>
  <c r="H1615" i="5"/>
  <c r="G1615" i="5"/>
  <c r="Q1615" i="5" s="1"/>
  <c r="F1615" i="5"/>
  <c r="E1615" i="5"/>
  <c r="P1615" i="5" s="1"/>
  <c r="D1615" i="5"/>
  <c r="U1614" i="5"/>
  <c r="T1614" i="5"/>
  <c r="S1614" i="5"/>
  <c r="I1614" i="5"/>
  <c r="R1614" i="5" s="1"/>
  <c r="H1614" i="5"/>
  <c r="G1614" i="5"/>
  <c r="Q1614" i="5" s="1"/>
  <c r="F1614" i="5"/>
  <c r="E1614" i="5"/>
  <c r="P1614" i="5" s="1"/>
  <c r="D1614" i="5"/>
  <c r="U1613" i="5"/>
  <c r="T1613" i="5"/>
  <c r="S1613" i="5"/>
  <c r="I1613" i="5"/>
  <c r="R1613" i="5" s="1"/>
  <c r="H1613" i="5"/>
  <c r="G1613" i="5"/>
  <c r="Q1613" i="5" s="1"/>
  <c r="F1613" i="5"/>
  <c r="E1613" i="5"/>
  <c r="P1613" i="5" s="1"/>
  <c r="D1613" i="5"/>
  <c r="U1612" i="5"/>
  <c r="T1612" i="5"/>
  <c r="S1612" i="5"/>
  <c r="I1612" i="5"/>
  <c r="R1612" i="5" s="1"/>
  <c r="H1612" i="5"/>
  <c r="G1612" i="5"/>
  <c r="Q1612" i="5" s="1"/>
  <c r="F1612" i="5"/>
  <c r="E1612" i="5"/>
  <c r="P1612" i="5" s="1"/>
  <c r="D1612" i="5"/>
  <c r="U1611" i="5"/>
  <c r="T1611" i="5"/>
  <c r="S1611" i="5"/>
  <c r="I1611" i="5"/>
  <c r="R1611" i="5" s="1"/>
  <c r="H1611" i="5"/>
  <c r="G1611" i="5"/>
  <c r="Q1611" i="5" s="1"/>
  <c r="F1611" i="5"/>
  <c r="E1611" i="5"/>
  <c r="P1611" i="5" s="1"/>
  <c r="D1611" i="5"/>
  <c r="U1610" i="5"/>
  <c r="T1610" i="5"/>
  <c r="S1610" i="5"/>
  <c r="I1610" i="5"/>
  <c r="R1610" i="5" s="1"/>
  <c r="H1610" i="5"/>
  <c r="G1610" i="5"/>
  <c r="Q1610" i="5" s="1"/>
  <c r="F1610" i="5"/>
  <c r="E1610" i="5"/>
  <c r="P1610" i="5" s="1"/>
  <c r="D1610" i="5"/>
  <c r="U176" i="5"/>
  <c r="S176" i="5"/>
  <c r="I176" i="5"/>
  <c r="R176" i="5" s="1"/>
  <c r="H176" i="5"/>
  <c r="G176" i="5"/>
  <c r="Q176" i="5" s="1"/>
  <c r="F176" i="5"/>
  <c r="E176" i="5"/>
  <c r="P176" i="5" s="1"/>
  <c r="D176" i="5"/>
  <c r="T1603" i="5"/>
  <c r="S1603" i="5"/>
  <c r="I1603" i="5"/>
  <c r="R1603" i="5" s="1"/>
  <c r="H1603" i="5"/>
  <c r="G1603" i="5"/>
  <c r="Q1603" i="5" s="1"/>
  <c r="F1603" i="5"/>
  <c r="E1603" i="5"/>
  <c r="P1603" i="5" s="1"/>
  <c r="D1603" i="5"/>
  <c r="U1603" i="5" s="1"/>
  <c r="U1602" i="5"/>
  <c r="T1602" i="5"/>
  <c r="S1602" i="5"/>
  <c r="O1602" i="5"/>
  <c r="N1602" i="5"/>
  <c r="I1602" i="5"/>
  <c r="R1602" i="5" s="1"/>
  <c r="H1602" i="5"/>
  <c r="G1602" i="5"/>
  <c r="Q1602" i="5" s="1"/>
  <c r="F1602" i="5"/>
  <c r="E1602" i="5"/>
  <c r="P1602" i="5" s="1"/>
  <c r="D1602" i="5"/>
  <c r="U1601" i="5"/>
  <c r="T1601" i="5"/>
  <c r="S1601" i="5"/>
  <c r="I1601" i="5"/>
  <c r="R1601" i="5" s="1"/>
  <c r="H1601" i="5"/>
  <c r="G1601" i="5"/>
  <c r="Q1601" i="5" s="1"/>
  <c r="F1601" i="5"/>
  <c r="E1601" i="5"/>
  <c r="P1601" i="5" s="1"/>
  <c r="D1601" i="5"/>
  <c r="U1600" i="5"/>
  <c r="T1600" i="5"/>
  <c r="S1600" i="5"/>
  <c r="I1600" i="5"/>
  <c r="R1600" i="5" s="1"/>
  <c r="H1600" i="5"/>
  <c r="G1600" i="5"/>
  <c r="Q1600" i="5" s="1"/>
  <c r="F1600" i="5"/>
  <c r="E1600" i="5"/>
  <c r="P1600" i="5" s="1"/>
  <c r="D1600" i="5"/>
  <c r="U1599" i="5"/>
  <c r="T1599" i="5"/>
  <c r="S1599" i="5"/>
  <c r="I1599" i="5"/>
  <c r="R1599" i="5" s="1"/>
  <c r="H1599" i="5"/>
  <c r="G1599" i="5"/>
  <c r="Q1599" i="5" s="1"/>
  <c r="F1599" i="5"/>
  <c r="E1599" i="5"/>
  <c r="P1599" i="5" s="1"/>
  <c r="D1599" i="5"/>
  <c r="U1598" i="5"/>
  <c r="T1598" i="5"/>
  <c r="S1598" i="5"/>
  <c r="I1598" i="5"/>
  <c r="R1598" i="5" s="1"/>
  <c r="H1598" i="5"/>
  <c r="G1598" i="5"/>
  <c r="Q1598" i="5" s="1"/>
  <c r="F1598" i="5"/>
  <c r="E1598" i="5"/>
  <c r="P1598" i="5" s="1"/>
  <c r="D1598" i="5"/>
  <c r="T1597" i="5"/>
  <c r="S1597" i="5"/>
  <c r="I1597" i="5"/>
  <c r="R1597" i="5" s="1"/>
  <c r="H1597" i="5"/>
  <c r="G1597" i="5"/>
  <c r="Q1597" i="5" s="1"/>
  <c r="F1597" i="5"/>
  <c r="E1597" i="5"/>
  <c r="P1597" i="5" s="1"/>
  <c r="D1597" i="5"/>
  <c r="U1597" i="5" s="1"/>
  <c r="U1596" i="5"/>
  <c r="T1596" i="5"/>
  <c r="S1596" i="5"/>
  <c r="I1596" i="5"/>
  <c r="R1596" i="5" s="1"/>
  <c r="H1596" i="5"/>
  <c r="G1596" i="5"/>
  <c r="Q1596" i="5" s="1"/>
  <c r="F1596" i="5"/>
  <c r="E1596" i="5"/>
  <c r="P1596" i="5" s="1"/>
  <c r="D1596" i="5"/>
  <c r="U1595" i="5"/>
  <c r="T1595" i="5"/>
  <c r="S1595" i="5"/>
  <c r="I1595" i="5"/>
  <c r="R1595" i="5" s="1"/>
  <c r="H1595" i="5"/>
  <c r="G1595" i="5"/>
  <c r="Q1595" i="5" s="1"/>
  <c r="F1595" i="5"/>
  <c r="E1595" i="5"/>
  <c r="P1595" i="5" s="1"/>
  <c r="D1595" i="5"/>
  <c r="U1594" i="5"/>
  <c r="T1594" i="5"/>
  <c r="S1594" i="5"/>
  <c r="O1594" i="5"/>
  <c r="N1594" i="5"/>
  <c r="I1594" i="5"/>
  <c r="R1594" i="5" s="1"/>
  <c r="H1594" i="5"/>
  <c r="G1594" i="5"/>
  <c r="Q1594" i="5" s="1"/>
  <c r="F1594" i="5"/>
  <c r="E1594" i="5"/>
  <c r="P1594" i="5" s="1"/>
  <c r="D1594" i="5"/>
  <c r="U1593" i="5"/>
  <c r="T1593" i="5"/>
  <c r="S1593" i="5"/>
  <c r="I1593" i="5"/>
  <c r="R1593" i="5" s="1"/>
  <c r="H1593" i="5"/>
  <c r="G1593" i="5"/>
  <c r="Q1593" i="5" s="1"/>
  <c r="F1593" i="5"/>
  <c r="E1593" i="5"/>
  <c r="P1593" i="5" s="1"/>
  <c r="D1593" i="5"/>
  <c r="U1592" i="5"/>
  <c r="T1592" i="5"/>
  <c r="S1592" i="5"/>
  <c r="I1592" i="5"/>
  <c r="R1592" i="5" s="1"/>
  <c r="H1592" i="5"/>
  <c r="G1592" i="5"/>
  <c r="Q1592" i="5" s="1"/>
  <c r="F1592" i="5"/>
  <c r="E1592" i="5"/>
  <c r="P1592" i="5" s="1"/>
  <c r="D1592" i="5"/>
  <c r="U1591" i="5"/>
  <c r="T1591" i="5"/>
  <c r="S1591" i="5"/>
  <c r="O1591" i="5"/>
  <c r="N1591" i="5"/>
  <c r="I1591" i="5"/>
  <c r="R1591" i="5" s="1"/>
  <c r="H1591" i="5"/>
  <c r="G1591" i="5"/>
  <c r="Q1591" i="5" s="1"/>
  <c r="F1591" i="5"/>
  <c r="E1591" i="5"/>
  <c r="P1591" i="5" s="1"/>
  <c r="D1591" i="5"/>
  <c r="U1590" i="5"/>
  <c r="T1590" i="5"/>
  <c r="S1590" i="5"/>
  <c r="O1590" i="5"/>
  <c r="N1590" i="5"/>
  <c r="I1590" i="5"/>
  <c r="R1590" i="5" s="1"/>
  <c r="H1590" i="5"/>
  <c r="G1590" i="5"/>
  <c r="Q1590" i="5" s="1"/>
  <c r="F1590" i="5"/>
  <c r="E1590" i="5"/>
  <c r="P1590" i="5" s="1"/>
  <c r="D1590" i="5"/>
  <c r="U1589" i="5"/>
  <c r="T1589" i="5"/>
  <c r="S1589" i="5"/>
  <c r="O1589" i="5"/>
  <c r="N1589" i="5"/>
  <c r="I1589" i="5"/>
  <c r="R1589" i="5" s="1"/>
  <c r="H1589" i="5"/>
  <c r="G1589" i="5"/>
  <c r="Q1589" i="5" s="1"/>
  <c r="F1589" i="5"/>
  <c r="E1589" i="5"/>
  <c r="P1589" i="5" s="1"/>
  <c r="D1589" i="5"/>
  <c r="U166" i="5"/>
  <c r="S166" i="5"/>
  <c r="I166" i="5"/>
  <c r="R166" i="5" s="1"/>
  <c r="H166" i="5"/>
  <c r="G166" i="5"/>
  <c r="Q166" i="5" s="1"/>
  <c r="F166" i="5"/>
  <c r="E166" i="5"/>
  <c r="P166" i="5" s="1"/>
  <c r="D166" i="5"/>
  <c r="T1588" i="5"/>
  <c r="S1588" i="5"/>
  <c r="I1588" i="5"/>
  <c r="R1588" i="5" s="1"/>
  <c r="H1588" i="5"/>
  <c r="G1588" i="5"/>
  <c r="Q1588" i="5" s="1"/>
  <c r="F1588" i="5"/>
  <c r="E1588" i="5"/>
  <c r="P1588" i="5" s="1"/>
  <c r="D1588" i="5"/>
  <c r="U1588" i="5" s="1"/>
  <c r="U1587" i="5"/>
  <c r="T1587" i="5"/>
  <c r="S1587" i="5"/>
  <c r="I1587" i="5"/>
  <c r="R1587" i="5" s="1"/>
  <c r="H1587" i="5"/>
  <c r="G1587" i="5"/>
  <c r="Q1587" i="5" s="1"/>
  <c r="F1587" i="5"/>
  <c r="E1587" i="5"/>
  <c r="P1587" i="5" s="1"/>
  <c r="D1587" i="5"/>
  <c r="U1586" i="5"/>
  <c r="T1586" i="5"/>
  <c r="S1586" i="5"/>
  <c r="I1586" i="5"/>
  <c r="R1586" i="5" s="1"/>
  <c r="H1586" i="5"/>
  <c r="G1586" i="5"/>
  <c r="Q1586" i="5" s="1"/>
  <c r="F1586" i="5"/>
  <c r="E1586" i="5"/>
  <c r="P1586" i="5" s="1"/>
  <c r="D1586" i="5"/>
  <c r="U1585" i="5"/>
  <c r="T1585" i="5"/>
  <c r="S1585" i="5"/>
  <c r="I1585" i="5"/>
  <c r="R1585" i="5" s="1"/>
  <c r="H1585" i="5"/>
  <c r="G1585" i="5"/>
  <c r="Q1585" i="5" s="1"/>
  <c r="F1585" i="5"/>
  <c r="E1585" i="5"/>
  <c r="P1585" i="5" s="1"/>
  <c r="D1585" i="5"/>
  <c r="U1584" i="5"/>
  <c r="T1584" i="5"/>
  <c r="S1584" i="5"/>
  <c r="I1584" i="5"/>
  <c r="R1584" i="5" s="1"/>
  <c r="H1584" i="5"/>
  <c r="G1584" i="5"/>
  <c r="Q1584" i="5" s="1"/>
  <c r="F1584" i="5"/>
  <c r="E1584" i="5"/>
  <c r="P1584" i="5" s="1"/>
  <c r="D1584" i="5"/>
  <c r="U1583" i="5"/>
  <c r="T1583" i="5"/>
  <c r="S1583" i="5"/>
  <c r="I1583" i="5"/>
  <c r="R1583" i="5" s="1"/>
  <c r="H1583" i="5"/>
  <c r="G1583" i="5"/>
  <c r="Q1583" i="5" s="1"/>
  <c r="F1583" i="5"/>
  <c r="E1583" i="5"/>
  <c r="P1583" i="5" s="1"/>
  <c r="D1583" i="5"/>
  <c r="T1582" i="5"/>
  <c r="S1582" i="5"/>
  <c r="I1582" i="5"/>
  <c r="R1582" i="5" s="1"/>
  <c r="H1582" i="5"/>
  <c r="G1582" i="5"/>
  <c r="Q1582" i="5" s="1"/>
  <c r="F1582" i="5"/>
  <c r="E1582" i="5"/>
  <c r="P1582" i="5" s="1"/>
  <c r="D1582" i="5"/>
  <c r="U1582" i="5" s="1"/>
  <c r="U1581" i="5"/>
  <c r="T1581" i="5"/>
  <c r="S1581" i="5"/>
  <c r="I1581" i="5"/>
  <c r="R1581" i="5" s="1"/>
  <c r="H1581" i="5"/>
  <c r="G1581" i="5"/>
  <c r="Q1581" i="5" s="1"/>
  <c r="F1581" i="5"/>
  <c r="E1581" i="5"/>
  <c r="P1581" i="5" s="1"/>
  <c r="D1581" i="5"/>
  <c r="U1580" i="5"/>
  <c r="T1580" i="5"/>
  <c r="S1580" i="5"/>
  <c r="I1580" i="5"/>
  <c r="R1580" i="5" s="1"/>
  <c r="H1580" i="5"/>
  <c r="G1580" i="5"/>
  <c r="Q1580" i="5" s="1"/>
  <c r="F1580" i="5"/>
  <c r="E1580" i="5"/>
  <c r="P1580" i="5" s="1"/>
  <c r="D1580" i="5"/>
  <c r="U1579" i="5"/>
  <c r="T1579" i="5"/>
  <c r="S1579" i="5"/>
  <c r="I1579" i="5"/>
  <c r="R1579" i="5" s="1"/>
  <c r="H1579" i="5"/>
  <c r="G1579" i="5"/>
  <c r="Q1579" i="5" s="1"/>
  <c r="F1579" i="5"/>
  <c r="E1579" i="5"/>
  <c r="P1579" i="5" s="1"/>
  <c r="D1579" i="5"/>
  <c r="U1578" i="5"/>
  <c r="T1578" i="5"/>
  <c r="S1578" i="5"/>
  <c r="I1578" i="5"/>
  <c r="R1578" i="5" s="1"/>
  <c r="H1578" i="5"/>
  <c r="G1578" i="5"/>
  <c r="Q1578" i="5" s="1"/>
  <c r="F1578" i="5"/>
  <c r="E1578" i="5"/>
  <c r="P1578" i="5" s="1"/>
  <c r="D1578" i="5"/>
  <c r="U1577" i="5"/>
  <c r="T1577" i="5"/>
  <c r="S1577" i="5"/>
  <c r="I1577" i="5"/>
  <c r="R1577" i="5" s="1"/>
  <c r="H1577" i="5"/>
  <c r="G1577" i="5"/>
  <c r="Q1577" i="5" s="1"/>
  <c r="F1577" i="5"/>
  <c r="E1577" i="5"/>
  <c r="P1577" i="5" s="1"/>
  <c r="D1577" i="5"/>
  <c r="U1576" i="5"/>
  <c r="T1576" i="5"/>
  <c r="S1576" i="5"/>
  <c r="I1576" i="5"/>
  <c r="R1576" i="5" s="1"/>
  <c r="H1576" i="5"/>
  <c r="G1576" i="5"/>
  <c r="Q1576" i="5" s="1"/>
  <c r="F1576" i="5"/>
  <c r="E1576" i="5"/>
  <c r="P1576" i="5" s="1"/>
  <c r="D1576" i="5"/>
  <c r="U1575" i="5"/>
  <c r="T1575" i="5"/>
  <c r="S1575" i="5"/>
  <c r="I1575" i="5"/>
  <c r="R1575" i="5" s="1"/>
  <c r="H1575" i="5"/>
  <c r="G1575" i="5"/>
  <c r="Q1575" i="5" s="1"/>
  <c r="F1575" i="5"/>
  <c r="E1575" i="5"/>
  <c r="P1575" i="5" s="1"/>
  <c r="D1575" i="5"/>
  <c r="U1574" i="5"/>
  <c r="T1574" i="5"/>
  <c r="S1574" i="5"/>
  <c r="I1574" i="5"/>
  <c r="R1574" i="5" s="1"/>
  <c r="H1574" i="5"/>
  <c r="G1574" i="5"/>
  <c r="Q1574" i="5" s="1"/>
  <c r="F1574" i="5"/>
  <c r="E1574" i="5"/>
  <c r="P1574" i="5" s="1"/>
  <c r="D1574" i="5"/>
  <c r="U149" i="5"/>
  <c r="S149" i="5"/>
  <c r="I149" i="5"/>
  <c r="R149" i="5" s="1"/>
  <c r="H149" i="5"/>
  <c r="G149" i="5"/>
  <c r="Q149" i="5" s="1"/>
  <c r="F149" i="5"/>
  <c r="E149" i="5"/>
  <c r="P149" i="5" s="1"/>
  <c r="D149" i="5"/>
  <c r="T1573" i="5"/>
  <c r="S1573" i="5"/>
  <c r="I1573" i="5"/>
  <c r="R1573" i="5" s="1"/>
  <c r="H1573" i="5"/>
  <c r="G1573" i="5"/>
  <c r="Q1573" i="5" s="1"/>
  <c r="F1573" i="5"/>
  <c r="E1573" i="5"/>
  <c r="P1573" i="5" s="1"/>
  <c r="D1573" i="5"/>
  <c r="U1573" i="5" s="1"/>
  <c r="U1572" i="5"/>
  <c r="T1572" i="5"/>
  <c r="S1572" i="5"/>
  <c r="I1572" i="5"/>
  <c r="R1572" i="5" s="1"/>
  <c r="H1572" i="5"/>
  <c r="G1572" i="5"/>
  <c r="Q1572" i="5" s="1"/>
  <c r="F1572" i="5"/>
  <c r="E1572" i="5"/>
  <c r="P1572" i="5" s="1"/>
  <c r="D1572" i="5"/>
  <c r="U1571" i="5"/>
  <c r="T1571" i="5"/>
  <c r="S1571" i="5"/>
  <c r="I1571" i="5"/>
  <c r="R1571" i="5" s="1"/>
  <c r="H1571" i="5"/>
  <c r="G1571" i="5"/>
  <c r="Q1571" i="5" s="1"/>
  <c r="F1571" i="5"/>
  <c r="E1571" i="5"/>
  <c r="P1571" i="5" s="1"/>
  <c r="D1571" i="5"/>
  <c r="U1570" i="5"/>
  <c r="T1570" i="5"/>
  <c r="S1570" i="5"/>
  <c r="I1570" i="5"/>
  <c r="R1570" i="5" s="1"/>
  <c r="H1570" i="5"/>
  <c r="G1570" i="5"/>
  <c r="Q1570" i="5" s="1"/>
  <c r="F1570" i="5"/>
  <c r="E1570" i="5"/>
  <c r="P1570" i="5" s="1"/>
  <c r="D1570" i="5"/>
  <c r="U1569" i="5"/>
  <c r="T1569" i="5"/>
  <c r="S1569" i="5"/>
  <c r="I1569" i="5"/>
  <c r="R1569" i="5" s="1"/>
  <c r="H1569" i="5"/>
  <c r="G1569" i="5"/>
  <c r="Q1569" i="5" s="1"/>
  <c r="F1569" i="5"/>
  <c r="E1569" i="5"/>
  <c r="P1569" i="5" s="1"/>
  <c r="D1569" i="5"/>
  <c r="U1568" i="5"/>
  <c r="T1568" i="5"/>
  <c r="S1568" i="5"/>
  <c r="I1568" i="5"/>
  <c r="R1568" i="5" s="1"/>
  <c r="H1568" i="5"/>
  <c r="G1568" i="5"/>
  <c r="Q1568" i="5" s="1"/>
  <c r="F1568" i="5"/>
  <c r="E1568" i="5"/>
  <c r="P1568" i="5" s="1"/>
  <c r="D1568" i="5"/>
  <c r="T1567" i="5"/>
  <c r="S1567" i="5"/>
  <c r="I1567" i="5"/>
  <c r="R1567" i="5" s="1"/>
  <c r="H1567" i="5"/>
  <c r="G1567" i="5"/>
  <c r="Q1567" i="5" s="1"/>
  <c r="F1567" i="5"/>
  <c r="E1567" i="5"/>
  <c r="P1567" i="5" s="1"/>
  <c r="D1567" i="5"/>
  <c r="U1567" i="5" s="1"/>
  <c r="U1566" i="5"/>
  <c r="T1566" i="5"/>
  <c r="S1566" i="5"/>
  <c r="I1566" i="5"/>
  <c r="R1566" i="5" s="1"/>
  <c r="H1566" i="5"/>
  <c r="G1566" i="5"/>
  <c r="Q1566" i="5" s="1"/>
  <c r="F1566" i="5"/>
  <c r="E1566" i="5"/>
  <c r="P1566" i="5" s="1"/>
  <c r="D1566" i="5"/>
  <c r="U1565" i="5"/>
  <c r="T1565" i="5"/>
  <c r="S1565" i="5"/>
  <c r="I1565" i="5"/>
  <c r="R1565" i="5" s="1"/>
  <c r="H1565" i="5"/>
  <c r="G1565" i="5"/>
  <c r="Q1565" i="5" s="1"/>
  <c r="F1565" i="5"/>
  <c r="E1565" i="5"/>
  <c r="P1565" i="5" s="1"/>
  <c r="D1565" i="5"/>
  <c r="U1564" i="5"/>
  <c r="T1564" i="5"/>
  <c r="S1564" i="5"/>
  <c r="I1564" i="5"/>
  <c r="R1564" i="5" s="1"/>
  <c r="H1564" i="5"/>
  <c r="G1564" i="5"/>
  <c r="Q1564" i="5" s="1"/>
  <c r="F1564" i="5"/>
  <c r="E1564" i="5"/>
  <c r="P1564" i="5" s="1"/>
  <c r="D1564" i="5"/>
  <c r="U1563" i="5"/>
  <c r="T1563" i="5"/>
  <c r="S1563" i="5"/>
  <c r="I1563" i="5"/>
  <c r="R1563" i="5" s="1"/>
  <c r="H1563" i="5"/>
  <c r="G1563" i="5"/>
  <c r="Q1563" i="5" s="1"/>
  <c r="F1563" i="5"/>
  <c r="E1563" i="5"/>
  <c r="P1563" i="5" s="1"/>
  <c r="D1563" i="5"/>
  <c r="U1562" i="5"/>
  <c r="T1562" i="5"/>
  <c r="S1562" i="5"/>
  <c r="I1562" i="5"/>
  <c r="R1562" i="5" s="1"/>
  <c r="H1562" i="5"/>
  <c r="G1562" i="5"/>
  <c r="Q1562" i="5" s="1"/>
  <c r="F1562" i="5"/>
  <c r="E1562" i="5"/>
  <c r="P1562" i="5" s="1"/>
  <c r="D1562" i="5"/>
  <c r="U1561" i="5"/>
  <c r="T1561" i="5"/>
  <c r="S1561" i="5"/>
  <c r="I1561" i="5"/>
  <c r="R1561" i="5" s="1"/>
  <c r="H1561" i="5"/>
  <c r="G1561" i="5"/>
  <c r="Q1561" i="5" s="1"/>
  <c r="F1561" i="5"/>
  <c r="E1561" i="5"/>
  <c r="P1561" i="5" s="1"/>
  <c r="D1561" i="5"/>
  <c r="U1560" i="5"/>
  <c r="T1560" i="5"/>
  <c r="S1560" i="5"/>
  <c r="I1560" i="5"/>
  <c r="R1560" i="5" s="1"/>
  <c r="H1560" i="5"/>
  <c r="G1560" i="5"/>
  <c r="Q1560" i="5" s="1"/>
  <c r="F1560" i="5"/>
  <c r="E1560" i="5"/>
  <c r="P1560" i="5" s="1"/>
  <c r="D1560" i="5"/>
  <c r="U1559" i="5"/>
  <c r="T1559" i="5"/>
  <c r="S1559" i="5"/>
  <c r="I1559" i="5"/>
  <c r="R1559" i="5" s="1"/>
  <c r="H1559" i="5"/>
  <c r="G1559" i="5"/>
  <c r="Q1559" i="5" s="1"/>
  <c r="F1559" i="5"/>
  <c r="E1559" i="5"/>
  <c r="P1559" i="5" s="1"/>
  <c r="D1559" i="5"/>
  <c r="U117" i="5"/>
  <c r="S117" i="5"/>
  <c r="I117" i="5"/>
  <c r="R117" i="5" s="1"/>
  <c r="H117" i="5"/>
  <c r="G117" i="5"/>
  <c r="Q117" i="5" s="1"/>
  <c r="F117" i="5"/>
  <c r="E117" i="5"/>
  <c r="P117" i="5" s="1"/>
  <c r="D117" i="5"/>
  <c r="T1558" i="5"/>
  <c r="S1558" i="5"/>
  <c r="I1558" i="5"/>
  <c r="R1558" i="5" s="1"/>
  <c r="H1558" i="5"/>
  <c r="G1558" i="5"/>
  <c r="Q1558" i="5" s="1"/>
  <c r="F1558" i="5"/>
  <c r="E1558" i="5"/>
  <c r="P1558" i="5" s="1"/>
  <c r="D1558" i="5"/>
  <c r="U1558" i="5" s="1"/>
  <c r="U1557" i="5"/>
  <c r="T1557" i="5"/>
  <c r="S1557" i="5"/>
  <c r="I1557" i="5"/>
  <c r="R1557" i="5" s="1"/>
  <c r="H1557" i="5"/>
  <c r="G1557" i="5"/>
  <c r="Q1557" i="5" s="1"/>
  <c r="F1557" i="5"/>
  <c r="E1557" i="5"/>
  <c r="P1557" i="5" s="1"/>
  <c r="D1557" i="5"/>
  <c r="U1556" i="5"/>
  <c r="T1556" i="5"/>
  <c r="S1556" i="5"/>
  <c r="I1556" i="5"/>
  <c r="R1556" i="5" s="1"/>
  <c r="H1556" i="5"/>
  <c r="G1556" i="5"/>
  <c r="Q1556" i="5" s="1"/>
  <c r="F1556" i="5"/>
  <c r="E1556" i="5"/>
  <c r="P1556" i="5" s="1"/>
  <c r="D1556" i="5"/>
  <c r="U1555" i="5"/>
  <c r="T1555" i="5"/>
  <c r="S1555" i="5"/>
  <c r="I1555" i="5"/>
  <c r="R1555" i="5" s="1"/>
  <c r="H1555" i="5"/>
  <c r="G1555" i="5"/>
  <c r="Q1555" i="5" s="1"/>
  <c r="F1555" i="5"/>
  <c r="E1555" i="5"/>
  <c r="P1555" i="5" s="1"/>
  <c r="D1555" i="5"/>
  <c r="U1554" i="5"/>
  <c r="T1554" i="5"/>
  <c r="S1554" i="5"/>
  <c r="I1554" i="5"/>
  <c r="R1554" i="5" s="1"/>
  <c r="H1554" i="5"/>
  <c r="G1554" i="5"/>
  <c r="Q1554" i="5" s="1"/>
  <c r="F1554" i="5"/>
  <c r="E1554" i="5"/>
  <c r="P1554" i="5" s="1"/>
  <c r="D1554" i="5"/>
  <c r="U1553" i="5"/>
  <c r="T1553" i="5"/>
  <c r="S1553" i="5"/>
  <c r="I1553" i="5"/>
  <c r="R1553" i="5" s="1"/>
  <c r="H1553" i="5"/>
  <c r="G1553" i="5"/>
  <c r="Q1553" i="5" s="1"/>
  <c r="F1553" i="5"/>
  <c r="E1553" i="5"/>
  <c r="P1553" i="5" s="1"/>
  <c r="D1553" i="5"/>
  <c r="T1552" i="5"/>
  <c r="S1552" i="5"/>
  <c r="I1552" i="5"/>
  <c r="R1552" i="5" s="1"/>
  <c r="H1552" i="5"/>
  <c r="G1552" i="5"/>
  <c r="Q1552" i="5" s="1"/>
  <c r="F1552" i="5"/>
  <c r="E1552" i="5"/>
  <c r="P1552" i="5" s="1"/>
  <c r="D1552" i="5"/>
  <c r="U1552" i="5" s="1"/>
  <c r="U1551" i="5"/>
  <c r="T1551" i="5"/>
  <c r="S1551" i="5"/>
  <c r="I1551" i="5"/>
  <c r="R1551" i="5" s="1"/>
  <c r="H1551" i="5"/>
  <c r="G1551" i="5"/>
  <c r="Q1551" i="5" s="1"/>
  <c r="F1551" i="5"/>
  <c r="E1551" i="5"/>
  <c r="P1551" i="5" s="1"/>
  <c r="D1551" i="5"/>
  <c r="U1550" i="5"/>
  <c r="T1550" i="5"/>
  <c r="S1550" i="5"/>
  <c r="I1550" i="5"/>
  <c r="R1550" i="5" s="1"/>
  <c r="H1550" i="5"/>
  <c r="G1550" i="5"/>
  <c r="Q1550" i="5" s="1"/>
  <c r="F1550" i="5"/>
  <c r="E1550" i="5"/>
  <c r="P1550" i="5" s="1"/>
  <c r="D1550" i="5"/>
  <c r="U1549" i="5"/>
  <c r="T1549" i="5"/>
  <c r="S1549" i="5"/>
  <c r="I1549" i="5"/>
  <c r="R1549" i="5" s="1"/>
  <c r="H1549" i="5"/>
  <c r="G1549" i="5"/>
  <c r="Q1549" i="5" s="1"/>
  <c r="F1549" i="5"/>
  <c r="E1549" i="5"/>
  <c r="P1549" i="5" s="1"/>
  <c r="D1549" i="5"/>
  <c r="U1548" i="5"/>
  <c r="T1548" i="5"/>
  <c r="S1548" i="5"/>
  <c r="I1548" i="5"/>
  <c r="R1548" i="5" s="1"/>
  <c r="H1548" i="5"/>
  <c r="G1548" i="5"/>
  <c r="Q1548" i="5" s="1"/>
  <c r="F1548" i="5"/>
  <c r="E1548" i="5"/>
  <c r="P1548" i="5" s="1"/>
  <c r="D1548" i="5"/>
  <c r="U1547" i="5"/>
  <c r="T1547" i="5"/>
  <c r="S1547" i="5"/>
  <c r="I1547" i="5"/>
  <c r="R1547" i="5" s="1"/>
  <c r="H1547" i="5"/>
  <c r="G1547" i="5"/>
  <c r="Q1547" i="5" s="1"/>
  <c r="F1547" i="5"/>
  <c r="E1547" i="5"/>
  <c r="P1547" i="5" s="1"/>
  <c r="D1547" i="5"/>
  <c r="U1546" i="5"/>
  <c r="T1546" i="5"/>
  <c r="S1546" i="5"/>
  <c r="I1546" i="5"/>
  <c r="R1546" i="5" s="1"/>
  <c r="H1546" i="5"/>
  <c r="G1546" i="5"/>
  <c r="Q1546" i="5" s="1"/>
  <c r="F1546" i="5"/>
  <c r="E1546" i="5"/>
  <c r="P1546" i="5" s="1"/>
  <c r="D1546" i="5"/>
  <c r="U1545" i="5"/>
  <c r="T1545" i="5"/>
  <c r="S1545" i="5"/>
  <c r="I1545" i="5"/>
  <c r="R1545" i="5" s="1"/>
  <c r="H1545" i="5"/>
  <c r="G1545" i="5"/>
  <c r="Q1545" i="5" s="1"/>
  <c r="F1545" i="5"/>
  <c r="E1545" i="5"/>
  <c r="P1545" i="5" s="1"/>
  <c r="D1545" i="5"/>
  <c r="U1544" i="5"/>
  <c r="T1544" i="5"/>
  <c r="S1544" i="5"/>
  <c r="I1544" i="5"/>
  <c r="R1544" i="5" s="1"/>
  <c r="H1544" i="5"/>
  <c r="G1544" i="5"/>
  <c r="Q1544" i="5" s="1"/>
  <c r="F1544" i="5"/>
  <c r="E1544" i="5"/>
  <c r="P1544" i="5" s="1"/>
  <c r="D1544" i="5"/>
  <c r="U100" i="5"/>
  <c r="S100" i="5"/>
  <c r="I100" i="5"/>
  <c r="R100" i="5" s="1"/>
  <c r="H100" i="5"/>
  <c r="G100" i="5"/>
  <c r="Q100" i="5" s="1"/>
  <c r="F100" i="5"/>
  <c r="E100" i="5"/>
  <c r="P100" i="5" s="1"/>
  <c r="D100" i="5"/>
  <c r="T1537" i="5"/>
  <c r="S1537" i="5"/>
  <c r="I1537" i="5"/>
  <c r="R1537" i="5" s="1"/>
  <c r="H1537" i="5"/>
  <c r="G1537" i="5"/>
  <c r="Q1537" i="5" s="1"/>
  <c r="F1537" i="5"/>
  <c r="E1537" i="5"/>
  <c r="P1537" i="5" s="1"/>
  <c r="D1537" i="5"/>
  <c r="U1537" i="5" s="1"/>
  <c r="U1536" i="5"/>
  <c r="T1536" i="5"/>
  <c r="S1536" i="5"/>
  <c r="O1536" i="5"/>
  <c r="N1536" i="5"/>
  <c r="I1536" i="5"/>
  <c r="R1536" i="5" s="1"/>
  <c r="H1536" i="5"/>
  <c r="G1536" i="5"/>
  <c r="Q1536" i="5" s="1"/>
  <c r="F1536" i="5"/>
  <c r="E1536" i="5"/>
  <c r="P1536" i="5" s="1"/>
  <c r="D1536" i="5"/>
  <c r="U1535" i="5"/>
  <c r="T1535" i="5"/>
  <c r="S1535" i="5"/>
  <c r="I1535" i="5"/>
  <c r="R1535" i="5" s="1"/>
  <c r="H1535" i="5"/>
  <c r="G1535" i="5"/>
  <c r="Q1535" i="5" s="1"/>
  <c r="F1535" i="5"/>
  <c r="E1535" i="5"/>
  <c r="P1535" i="5" s="1"/>
  <c r="D1535" i="5"/>
  <c r="U1534" i="5"/>
  <c r="T1534" i="5"/>
  <c r="S1534" i="5"/>
  <c r="I1534" i="5"/>
  <c r="R1534" i="5" s="1"/>
  <c r="H1534" i="5"/>
  <c r="G1534" i="5"/>
  <c r="Q1534" i="5" s="1"/>
  <c r="F1534" i="5"/>
  <c r="E1534" i="5"/>
  <c r="P1534" i="5" s="1"/>
  <c r="D1534" i="5"/>
  <c r="U1533" i="5"/>
  <c r="T1533" i="5"/>
  <c r="S1533" i="5"/>
  <c r="I1533" i="5"/>
  <c r="R1533" i="5" s="1"/>
  <c r="H1533" i="5"/>
  <c r="G1533" i="5"/>
  <c r="Q1533" i="5" s="1"/>
  <c r="F1533" i="5"/>
  <c r="E1533" i="5"/>
  <c r="P1533" i="5" s="1"/>
  <c r="D1533" i="5"/>
  <c r="U1532" i="5"/>
  <c r="T1532" i="5"/>
  <c r="S1532" i="5"/>
  <c r="I1532" i="5"/>
  <c r="R1532" i="5" s="1"/>
  <c r="H1532" i="5"/>
  <c r="G1532" i="5"/>
  <c r="Q1532" i="5" s="1"/>
  <c r="F1532" i="5"/>
  <c r="E1532" i="5"/>
  <c r="P1532" i="5" s="1"/>
  <c r="D1532" i="5"/>
  <c r="T1531" i="5"/>
  <c r="S1531" i="5"/>
  <c r="I1531" i="5"/>
  <c r="R1531" i="5" s="1"/>
  <c r="H1531" i="5"/>
  <c r="G1531" i="5"/>
  <c r="Q1531" i="5" s="1"/>
  <c r="F1531" i="5"/>
  <c r="E1531" i="5"/>
  <c r="P1531" i="5" s="1"/>
  <c r="D1531" i="5"/>
  <c r="U1531" i="5" s="1"/>
  <c r="U1530" i="5"/>
  <c r="T1530" i="5"/>
  <c r="S1530" i="5"/>
  <c r="I1530" i="5"/>
  <c r="R1530" i="5" s="1"/>
  <c r="H1530" i="5"/>
  <c r="G1530" i="5"/>
  <c r="Q1530" i="5" s="1"/>
  <c r="F1530" i="5"/>
  <c r="E1530" i="5"/>
  <c r="P1530" i="5" s="1"/>
  <c r="D1530" i="5"/>
  <c r="U1529" i="5"/>
  <c r="T1529" i="5"/>
  <c r="S1529" i="5"/>
  <c r="I1529" i="5"/>
  <c r="R1529" i="5" s="1"/>
  <c r="H1529" i="5"/>
  <c r="G1529" i="5"/>
  <c r="Q1529" i="5" s="1"/>
  <c r="F1529" i="5"/>
  <c r="E1529" i="5"/>
  <c r="P1529" i="5" s="1"/>
  <c r="D1529" i="5"/>
  <c r="U1528" i="5"/>
  <c r="T1528" i="5"/>
  <c r="S1528" i="5"/>
  <c r="O1528" i="5"/>
  <c r="N1528" i="5"/>
  <c r="I1528" i="5"/>
  <c r="R1528" i="5" s="1"/>
  <c r="H1528" i="5"/>
  <c r="G1528" i="5"/>
  <c r="Q1528" i="5" s="1"/>
  <c r="F1528" i="5"/>
  <c r="E1528" i="5"/>
  <c r="P1528" i="5" s="1"/>
  <c r="D1528" i="5"/>
  <c r="U1527" i="5"/>
  <c r="T1527" i="5"/>
  <c r="S1527" i="5"/>
  <c r="I1527" i="5"/>
  <c r="R1527" i="5" s="1"/>
  <c r="H1527" i="5"/>
  <c r="G1527" i="5"/>
  <c r="Q1527" i="5" s="1"/>
  <c r="F1527" i="5"/>
  <c r="E1527" i="5"/>
  <c r="P1527" i="5" s="1"/>
  <c r="D1527" i="5"/>
  <c r="U1526" i="5"/>
  <c r="T1526" i="5"/>
  <c r="S1526" i="5"/>
  <c r="I1526" i="5"/>
  <c r="R1526" i="5" s="1"/>
  <c r="H1526" i="5"/>
  <c r="G1526" i="5"/>
  <c r="Q1526" i="5" s="1"/>
  <c r="F1526" i="5"/>
  <c r="E1526" i="5"/>
  <c r="P1526" i="5" s="1"/>
  <c r="D1526" i="5"/>
  <c r="U1525" i="5"/>
  <c r="T1525" i="5"/>
  <c r="S1525" i="5"/>
  <c r="O1525" i="5"/>
  <c r="N1525" i="5"/>
  <c r="I1525" i="5"/>
  <c r="R1525" i="5" s="1"/>
  <c r="H1525" i="5"/>
  <c r="G1525" i="5"/>
  <c r="Q1525" i="5" s="1"/>
  <c r="F1525" i="5"/>
  <c r="E1525" i="5"/>
  <c r="P1525" i="5" s="1"/>
  <c r="D1525" i="5"/>
  <c r="U1524" i="5"/>
  <c r="T1524" i="5"/>
  <c r="S1524" i="5"/>
  <c r="O1524" i="5"/>
  <c r="N1524" i="5"/>
  <c r="I1524" i="5"/>
  <c r="R1524" i="5" s="1"/>
  <c r="H1524" i="5"/>
  <c r="G1524" i="5"/>
  <c r="Q1524" i="5" s="1"/>
  <c r="F1524" i="5"/>
  <c r="E1524" i="5"/>
  <c r="P1524" i="5" s="1"/>
  <c r="D1524" i="5"/>
  <c r="U1523" i="5"/>
  <c r="T1523" i="5"/>
  <c r="S1523" i="5"/>
  <c r="O1523" i="5"/>
  <c r="N1523" i="5"/>
  <c r="I1523" i="5"/>
  <c r="R1523" i="5" s="1"/>
  <c r="H1523" i="5"/>
  <c r="G1523" i="5"/>
  <c r="Q1523" i="5" s="1"/>
  <c r="F1523" i="5"/>
  <c r="E1523" i="5"/>
  <c r="P1523" i="5" s="1"/>
  <c r="D1523" i="5"/>
  <c r="U83" i="5"/>
  <c r="S83" i="5"/>
  <c r="I83" i="5"/>
  <c r="R83" i="5" s="1"/>
  <c r="H83" i="5"/>
  <c r="G83" i="5"/>
  <c r="Q83" i="5" s="1"/>
  <c r="F83" i="5"/>
  <c r="E83" i="5"/>
  <c r="P83" i="5" s="1"/>
  <c r="D83" i="5"/>
  <c r="T1522" i="5"/>
  <c r="S1522" i="5"/>
  <c r="I1522" i="5"/>
  <c r="R1522" i="5" s="1"/>
  <c r="H1522" i="5"/>
  <c r="G1522" i="5"/>
  <c r="Q1522" i="5" s="1"/>
  <c r="F1522" i="5"/>
  <c r="E1522" i="5"/>
  <c r="P1522" i="5" s="1"/>
  <c r="D1522" i="5"/>
  <c r="U1522" i="5" s="1"/>
  <c r="U1521" i="5"/>
  <c r="T1521" i="5"/>
  <c r="S1521" i="5"/>
  <c r="I1521" i="5"/>
  <c r="R1521" i="5" s="1"/>
  <c r="H1521" i="5"/>
  <c r="G1521" i="5"/>
  <c r="Q1521" i="5" s="1"/>
  <c r="F1521" i="5"/>
  <c r="E1521" i="5"/>
  <c r="P1521" i="5" s="1"/>
  <c r="D1521" i="5"/>
  <c r="U1520" i="5"/>
  <c r="T1520" i="5"/>
  <c r="S1520" i="5"/>
  <c r="I1520" i="5"/>
  <c r="R1520" i="5" s="1"/>
  <c r="H1520" i="5"/>
  <c r="G1520" i="5"/>
  <c r="Q1520" i="5" s="1"/>
  <c r="F1520" i="5"/>
  <c r="E1520" i="5"/>
  <c r="P1520" i="5" s="1"/>
  <c r="D1520" i="5"/>
  <c r="U1519" i="5"/>
  <c r="T1519" i="5"/>
  <c r="S1519" i="5"/>
  <c r="I1519" i="5"/>
  <c r="R1519" i="5" s="1"/>
  <c r="H1519" i="5"/>
  <c r="G1519" i="5"/>
  <c r="Q1519" i="5" s="1"/>
  <c r="F1519" i="5"/>
  <c r="E1519" i="5"/>
  <c r="P1519" i="5" s="1"/>
  <c r="D1519" i="5"/>
  <c r="U1518" i="5"/>
  <c r="T1518" i="5"/>
  <c r="S1518" i="5"/>
  <c r="I1518" i="5"/>
  <c r="R1518" i="5" s="1"/>
  <c r="H1518" i="5"/>
  <c r="G1518" i="5"/>
  <c r="Q1518" i="5" s="1"/>
  <c r="F1518" i="5"/>
  <c r="E1518" i="5"/>
  <c r="P1518" i="5" s="1"/>
  <c r="D1518" i="5"/>
  <c r="U1517" i="5"/>
  <c r="T1517" i="5"/>
  <c r="S1517" i="5"/>
  <c r="I1517" i="5"/>
  <c r="R1517" i="5" s="1"/>
  <c r="H1517" i="5"/>
  <c r="G1517" i="5"/>
  <c r="Q1517" i="5" s="1"/>
  <c r="F1517" i="5"/>
  <c r="E1517" i="5"/>
  <c r="P1517" i="5" s="1"/>
  <c r="D1517" i="5"/>
  <c r="T1516" i="5"/>
  <c r="S1516" i="5"/>
  <c r="I1516" i="5"/>
  <c r="R1516" i="5" s="1"/>
  <c r="H1516" i="5"/>
  <c r="G1516" i="5"/>
  <c r="Q1516" i="5" s="1"/>
  <c r="F1516" i="5"/>
  <c r="E1516" i="5"/>
  <c r="P1516" i="5" s="1"/>
  <c r="D1516" i="5"/>
  <c r="U1516" i="5" s="1"/>
  <c r="U1515" i="5"/>
  <c r="T1515" i="5"/>
  <c r="S1515" i="5"/>
  <c r="I1515" i="5"/>
  <c r="R1515" i="5" s="1"/>
  <c r="H1515" i="5"/>
  <c r="G1515" i="5"/>
  <c r="Q1515" i="5" s="1"/>
  <c r="F1515" i="5"/>
  <c r="E1515" i="5"/>
  <c r="P1515" i="5" s="1"/>
  <c r="D1515" i="5"/>
  <c r="U1514" i="5"/>
  <c r="T1514" i="5"/>
  <c r="S1514" i="5"/>
  <c r="I1514" i="5"/>
  <c r="R1514" i="5" s="1"/>
  <c r="H1514" i="5"/>
  <c r="G1514" i="5"/>
  <c r="Q1514" i="5" s="1"/>
  <c r="F1514" i="5"/>
  <c r="E1514" i="5"/>
  <c r="P1514" i="5" s="1"/>
  <c r="D1514" i="5"/>
  <c r="U1513" i="5"/>
  <c r="T1513" i="5"/>
  <c r="S1513" i="5"/>
  <c r="I1513" i="5"/>
  <c r="R1513" i="5" s="1"/>
  <c r="H1513" i="5"/>
  <c r="G1513" i="5"/>
  <c r="Q1513" i="5" s="1"/>
  <c r="F1513" i="5"/>
  <c r="E1513" i="5"/>
  <c r="P1513" i="5" s="1"/>
  <c r="D1513" i="5"/>
  <c r="U1512" i="5"/>
  <c r="T1512" i="5"/>
  <c r="S1512" i="5"/>
  <c r="I1512" i="5"/>
  <c r="R1512" i="5" s="1"/>
  <c r="H1512" i="5"/>
  <c r="G1512" i="5"/>
  <c r="Q1512" i="5" s="1"/>
  <c r="F1512" i="5"/>
  <c r="E1512" i="5"/>
  <c r="P1512" i="5" s="1"/>
  <c r="D1512" i="5"/>
  <c r="U1511" i="5"/>
  <c r="T1511" i="5"/>
  <c r="S1511" i="5"/>
  <c r="I1511" i="5"/>
  <c r="R1511" i="5" s="1"/>
  <c r="H1511" i="5"/>
  <c r="G1511" i="5"/>
  <c r="Q1511" i="5" s="1"/>
  <c r="F1511" i="5"/>
  <c r="E1511" i="5"/>
  <c r="P1511" i="5" s="1"/>
  <c r="D1511" i="5"/>
  <c r="U1510" i="5"/>
  <c r="T1510" i="5"/>
  <c r="S1510" i="5"/>
  <c r="I1510" i="5"/>
  <c r="R1510" i="5" s="1"/>
  <c r="H1510" i="5"/>
  <c r="G1510" i="5"/>
  <c r="Q1510" i="5" s="1"/>
  <c r="F1510" i="5"/>
  <c r="E1510" i="5"/>
  <c r="P1510" i="5" s="1"/>
  <c r="D1510" i="5"/>
  <c r="U1509" i="5"/>
  <c r="T1509" i="5"/>
  <c r="S1509" i="5"/>
  <c r="I1509" i="5"/>
  <c r="R1509" i="5" s="1"/>
  <c r="H1509" i="5"/>
  <c r="G1509" i="5"/>
  <c r="Q1509" i="5" s="1"/>
  <c r="F1509" i="5"/>
  <c r="E1509" i="5"/>
  <c r="P1509" i="5" s="1"/>
  <c r="D1509" i="5"/>
  <c r="U1508" i="5"/>
  <c r="T1508" i="5"/>
  <c r="S1508" i="5"/>
  <c r="I1508" i="5"/>
  <c r="R1508" i="5" s="1"/>
  <c r="H1508" i="5"/>
  <c r="G1508" i="5"/>
  <c r="Q1508" i="5" s="1"/>
  <c r="F1508" i="5"/>
  <c r="E1508" i="5"/>
  <c r="P1508" i="5" s="1"/>
  <c r="D1508" i="5"/>
  <c r="U66" i="5"/>
  <c r="S66" i="5"/>
  <c r="I66" i="5"/>
  <c r="R66" i="5" s="1"/>
  <c r="H66" i="5"/>
  <c r="G66" i="5"/>
  <c r="Q66" i="5" s="1"/>
  <c r="F66" i="5"/>
  <c r="E66" i="5"/>
  <c r="P66" i="5" s="1"/>
  <c r="D66" i="5"/>
  <c r="T1507" i="5"/>
  <c r="S1507" i="5"/>
  <c r="I1507" i="5"/>
  <c r="R1507" i="5" s="1"/>
  <c r="H1507" i="5"/>
  <c r="G1507" i="5"/>
  <c r="Q1507" i="5" s="1"/>
  <c r="F1507" i="5"/>
  <c r="E1507" i="5"/>
  <c r="P1507" i="5" s="1"/>
  <c r="D1507" i="5"/>
  <c r="U1507" i="5" s="1"/>
  <c r="U1506" i="5"/>
  <c r="T1506" i="5"/>
  <c r="S1506" i="5"/>
  <c r="I1506" i="5"/>
  <c r="R1506" i="5" s="1"/>
  <c r="H1506" i="5"/>
  <c r="G1506" i="5"/>
  <c r="Q1506" i="5" s="1"/>
  <c r="F1506" i="5"/>
  <c r="E1506" i="5"/>
  <c r="P1506" i="5" s="1"/>
  <c r="D1506" i="5"/>
  <c r="U1505" i="5"/>
  <c r="T1505" i="5"/>
  <c r="S1505" i="5"/>
  <c r="I1505" i="5"/>
  <c r="R1505" i="5" s="1"/>
  <c r="H1505" i="5"/>
  <c r="G1505" i="5"/>
  <c r="Q1505" i="5" s="1"/>
  <c r="F1505" i="5"/>
  <c r="E1505" i="5"/>
  <c r="P1505" i="5" s="1"/>
  <c r="D1505" i="5"/>
  <c r="U1504" i="5"/>
  <c r="T1504" i="5"/>
  <c r="S1504" i="5"/>
  <c r="I1504" i="5"/>
  <c r="R1504" i="5" s="1"/>
  <c r="H1504" i="5"/>
  <c r="G1504" i="5"/>
  <c r="Q1504" i="5" s="1"/>
  <c r="F1504" i="5"/>
  <c r="E1504" i="5"/>
  <c r="P1504" i="5" s="1"/>
  <c r="D1504" i="5"/>
  <c r="U1503" i="5"/>
  <c r="T1503" i="5"/>
  <c r="S1503" i="5"/>
  <c r="I1503" i="5"/>
  <c r="R1503" i="5" s="1"/>
  <c r="H1503" i="5"/>
  <c r="G1503" i="5"/>
  <c r="Q1503" i="5" s="1"/>
  <c r="F1503" i="5"/>
  <c r="E1503" i="5"/>
  <c r="P1503" i="5" s="1"/>
  <c r="D1503" i="5"/>
  <c r="U1502" i="5"/>
  <c r="T1502" i="5"/>
  <c r="S1502" i="5"/>
  <c r="I1502" i="5"/>
  <c r="R1502" i="5" s="1"/>
  <c r="H1502" i="5"/>
  <c r="G1502" i="5"/>
  <c r="Q1502" i="5" s="1"/>
  <c r="F1502" i="5"/>
  <c r="E1502" i="5"/>
  <c r="P1502" i="5" s="1"/>
  <c r="D1502" i="5"/>
  <c r="T1501" i="5"/>
  <c r="S1501" i="5"/>
  <c r="I1501" i="5"/>
  <c r="R1501" i="5" s="1"/>
  <c r="H1501" i="5"/>
  <c r="G1501" i="5"/>
  <c r="Q1501" i="5" s="1"/>
  <c r="F1501" i="5"/>
  <c r="E1501" i="5"/>
  <c r="P1501" i="5" s="1"/>
  <c r="D1501" i="5"/>
  <c r="U1501" i="5" s="1"/>
  <c r="U1500" i="5"/>
  <c r="T1500" i="5"/>
  <c r="S1500" i="5"/>
  <c r="I1500" i="5"/>
  <c r="R1500" i="5" s="1"/>
  <c r="H1500" i="5"/>
  <c r="G1500" i="5"/>
  <c r="Q1500" i="5" s="1"/>
  <c r="F1500" i="5"/>
  <c r="E1500" i="5"/>
  <c r="P1500" i="5" s="1"/>
  <c r="D1500" i="5"/>
  <c r="U1499" i="5"/>
  <c r="T1499" i="5"/>
  <c r="S1499" i="5"/>
  <c r="I1499" i="5"/>
  <c r="R1499" i="5" s="1"/>
  <c r="H1499" i="5"/>
  <c r="G1499" i="5"/>
  <c r="Q1499" i="5" s="1"/>
  <c r="F1499" i="5"/>
  <c r="E1499" i="5"/>
  <c r="P1499" i="5" s="1"/>
  <c r="D1499" i="5"/>
  <c r="U1498" i="5"/>
  <c r="T1498" i="5"/>
  <c r="S1498" i="5"/>
  <c r="I1498" i="5"/>
  <c r="R1498" i="5" s="1"/>
  <c r="H1498" i="5"/>
  <c r="G1498" i="5"/>
  <c r="Q1498" i="5" s="1"/>
  <c r="F1498" i="5"/>
  <c r="E1498" i="5"/>
  <c r="P1498" i="5" s="1"/>
  <c r="D1498" i="5"/>
  <c r="U1497" i="5"/>
  <c r="T1497" i="5"/>
  <c r="S1497" i="5"/>
  <c r="I1497" i="5"/>
  <c r="R1497" i="5" s="1"/>
  <c r="H1497" i="5"/>
  <c r="G1497" i="5"/>
  <c r="Q1497" i="5" s="1"/>
  <c r="F1497" i="5"/>
  <c r="E1497" i="5"/>
  <c r="P1497" i="5" s="1"/>
  <c r="D1497" i="5"/>
  <c r="U1496" i="5"/>
  <c r="T1496" i="5"/>
  <c r="S1496" i="5"/>
  <c r="I1496" i="5"/>
  <c r="R1496" i="5" s="1"/>
  <c r="H1496" i="5"/>
  <c r="G1496" i="5"/>
  <c r="Q1496" i="5" s="1"/>
  <c r="F1496" i="5"/>
  <c r="E1496" i="5"/>
  <c r="P1496" i="5" s="1"/>
  <c r="D1496" i="5"/>
  <c r="U1495" i="5"/>
  <c r="T1495" i="5"/>
  <c r="S1495" i="5"/>
  <c r="I1495" i="5"/>
  <c r="R1495" i="5" s="1"/>
  <c r="H1495" i="5"/>
  <c r="G1495" i="5"/>
  <c r="Q1495" i="5" s="1"/>
  <c r="F1495" i="5"/>
  <c r="E1495" i="5"/>
  <c r="P1495" i="5" s="1"/>
  <c r="D1495" i="5"/>
  <c r="U1494" i="5"/>
  <c r="T1494" i="5"/>
  <c r="S1494" i="5"/>
  <c r="I1494" i="5"/>
  <c r="R1494" i="5" s="1"/>
  <c r="H1494" i="5"/>
  <c r="G1494" i="5"/>
  <c r="Q1494" i="5" s="1"/>
  <c r="F1494" i="5"/>
  <c r="E1494" i="5"/>
  <c r="P1494" i="5" s="1"/>
  <c r="D1494" i="5"/>
  <c r="U1493" i="5"/>
  <c r="T1493" i="5"/>
  <c r="S1493" i="5"/>
  <c r="I1493" i="5"/>
  <c r="R1493" i="5" s="1"/>
  <c r="H1493" i="5"/>
  <c r="G1493" i="5"/>
  <c r="Q1493" i="5" s="1"/>
  <c r="F1493" i="5"/>
  <c r="E1493" i="5"/>
  <c r="P1493" i="5" s="1"/>
  <c r="D1493" i="5"/>
  <c r="U49" i="5"/>
  <c r="S49" i="5"/>
  <c r="I49" i="5"/>
  <c r="R49" i="5" s="1"/>
  <c r="H49" i="5"/>
  <c r="G49" i="5"/>
  <c r="Q49" i="5" s="1"/>
  <c r="F49" i="5"/>
  <c r="E49" i="5"/>
  <c r="P49" i="5" s="1"/>
  <c r="D49" i="5"/>
  <c r="T1492" i="5"/>
  <c r="S1492" i="5"/>
  <c r="I1492" i="5"/>
  <c r="R1492" i="5" s="1"/>
  <c r="H1492" i="5"/>
  <c r="G1492" i="5"/>
  <c r="Q1492" i="5" s="1"/>
  <c r="F1492" i="5"/>
  <c r="E1492" i="5"/>
  <c r="P1492" i="5" s="1"/>
  <c r="D1492" i="5"/>
  <c r="U1492" i="5" s="1"/>
  <c r="U1491" i="5"/>
  <c r="T1491" i="5"/>
  <c r="S1491" i="5"/>
  <c r="I1491" i="5"/>
  <c r="R1491" i="5" s="1"/>
  <c r="H1491" i="5"/>
  <c r="G1491" i="5"/>
  <c r="Q1491" i="5" s="1"/>
  <c r="F1491" i="5"/>
  <c r="E1491" i="5"/>
  <c r="P1491" i="5" s="1"/>
  <c r="D1491" i="5"/>
  <c r="U1490" i="5"/>
  <c r="T1490" i="5"/>
  <c r="S1490" i="5"/>
  <c r="I1490" i="5"/>
  <c r="R1490" i="5" s="1"/>
  <c r="H1490" i="5"/>
  <c r="G1490" i="5"/>
  <c r="Q1490" i="5" s="1"/>
  <c r="F1490" i="5"/>
  <c r="E1490" i="5"/>
  <c r="P1490" i="5" s="1"/>
  <c r="D1490" i="5"/>
  <c r="U1489" i="5"/>
  <c r="T1489" i="5"/>
  <c r="S1489" i="5"/>
  <c r="I1489" i="5"/>
  <c r="R1489" i="5" s="1"/>
  <c r="H1489" i="5"/>
  <c r="G1489" i="5"/>
  <c r="Q1489" i="5" s="1"/>
  <c r="F1489" i="5"/>
  <c r="E1489" i="5"/>
  <c r="P1489" i="5" s="1"/>
  <c r="D1489" i="5"/>
  <c r="U1488" i="5"/>
  <c r="T1488" i="5"/>
  <c r="S1488" i="5"/>
  <c r="I1488" i="5"/>
  <c r="R1488" i="5" s="1"/>
  <c r="H1488" i="5"/>
  <c r="G1488" i="5"/>
  <c r="Q1488" i="5" s="1"/>
  <c r="F1488" i="5"/>
  <c r="E1488" i="5"/>
  <c r="P1488" i="5" s="1"/>
  <c r="D1488" i="5"/>
  <c r="U1487" i="5"/>
  <c r="T1487" i="5"/>
  <c r="S1487" i="5"/>
  <c r="I1487" i="5"/>
  <c r="R1487" i="5" s="1"/>
  <c r="H1487" i="5"/>
  <c r="G1487" i="5"/>
  <c r="Q1487" i="5" s="1"/>
  <c r="F1487" i="5"/>
  <c r="E1487" i="5"/>
  <c r="P1487" i="5" s="1"/>
  <c r="D1487" i="5"/>
  <c r="T1486" i="5"/>
  <c r="S1486" i="5"/>
  <c r="I1486" i="5"/>
  <c r="R1486" i="5" s="1"/>
  <c r="H1486" i="5"/>
  <c r="G1486" i="5"/>
  <c r="Q1486" i="5" s="1"/>
  <c r="F1486" i="5"/>
  <c r="E1486" i="5"/>
  <c r="P1486" i="5" s="1"/>
  <c r="D1486" i="5"/>
  <c r="U1486" i="5" s="1"/>
  <c r="U1485" i="5"/>
  <c r="T1485" i="5"/>
  <c r="S1485" i="5"/>
  <c r="I1485" i="5"/>
  <c r="R1485" i="5" s="1"/>
  <c r="H1485" i="5"/>
  <c r="G1485" i="5"/>
  <c r="Q1485" i="5" s="1"/>
  <c r="F1485" i="5"/>
  <c r="E1485" i="5"/>
  <c r="P1485" i="5" s="1"/>
  <c r="D1485" i="5"/>
  <c r="U1484" i="5"/>
  <c r="T1484" i="5"/>
  <c r="S1484" i="5"/>
  <c r="I1484" i="5"/>
  <c r="R1484" i="5" s="1"/>
  <c r="H1484" i="5"/>
  <c r="G1484" i="5"/>
  <c r="Q1484" i="5" s="1"/>
  <c r="F1484" i="5"/>
  <c r="E1484" i="5"/>
  <c r="P1484" i="5" s="1"/>
  <c r="D1484" i="5"/>
  <c r="U1483" i="5"/>
  <c r="T1483" i="5"/>
  <c r="S1483" i="5"/>
  <c r="I1483" i="5"/>
  <c r="R1483" i="5" s="1"/>
  <c r="H1483" i="5"/>
  <c r="G1483" i="5"/>
  <c r="Q1483" i="5" s="1"/>
  <c r="F1483" i="5"/>
  <c r="E1483" i="5"/>
  <c r="P1483" i="5" s="1"/>
  <c r="D1483" i="5"/>
  <c r="U1482" i="5"/>
  <c r="T1482" i="5"/>
  <c r="S1482" i="5"/>
  <c r="I1482" i="5"/>
  <c r="R1482" i="5" s="1"/>
  <c r="H1482" i="5"/>
  <c r="G1482" i="5"/>
  <c r="Q1482" i="5" s="1"/>
  <c r="F1482" i="5"/>
  <c r="E1482" i="5"/>
  <c r="P1482" i="5" s="1"/>
  <c r="D1482" i="5"/>
  <c r="U1481" i="5"/>
  <c r="T1481" i="5"/>
  <c r="S1481" i="5"/>
  <c r="I1481" i="5"/>
  <c r="R1481" i="5" s="1"/>
  <c r="H1481" i="5"/>
  <c r="G1481" i="5"/>
  <c r="Q1481" i="5" s="1"/>
  <c r="F1481" i="5"/>
  <c r="E1481" i="5"/>
  <c r="P1481" i="5" s="1"/>
  <c r="D1481" i="5"/>
  <c r="U1480" i="5"/>
  <c r="T1480" i="5"/>
  <c r="S1480" i="5"/>
  <c r="I1480" i="5"/>
  <c r="R1480" i="5" s="1"/>
  <c r="H1480" i="5"/>
  <c r="G1480" i="5"/>
  <c r="Q1480" i="5" s="1"/>
  <c r="F1480" i="5"/>
  <c r="E1480" i="5"/>
  <c r="P1480" i="5" s="1"/>
  <c r="D1480" i="5"/>
  <c r="U1479" i="5"/>
  <c r="T1479" i="5"/>
  <c r="S1479" i="5"/>
  <c r="I1479" i="5"/>
  <c r="R1479" i="5" s="1"/>
  <c r="H1479" i="5"/>
  <c r="G1479" i="5"/>
  <c r="Q1479" i="5" s="1"/>
  <c r="F1479" i="5"/>
  <c r="E1479" i="5"/>
  <c r="P1479" i="5" s="1"/>
  <c r="D1479" i="5"/>
  <c r="U1478" i="5"/>
  <c r="T1478" i="5"/>
  <c r="S1478" i="5"/>
  <c r="I1478" i="5"/>
  <c r="R1478" i="5" s="1"/>
  <c r="H1478" i="5"/>
  <c r="G1478" i="5"/>
  <c r="Q1478" i="5" s="1"/>
  <c r="F1478" i="5"/>
  <c r="E1478" i="5"/>
  <c r="P1478" i="5" s="1"/>
  <c r="D1478" i="5"/>
  <c r="U32" i="5"/>
  <c r="S32" i="5"/>
  <c r="I32" i="5"/>
  <c r="R32" i="5" s="1"/>
  <c r="H32" i="5"/>
  <c r="G32" i="5"/>
  <c r="Q32" i="5" s="1"/>
  <c r="F32" i="5"/>
  <c r="E32" i="5"/>
  <c r="P32" i="5" s="1"/>
  <c r="D32" i="5"/>
  <c r="T1471" i="5"/>
  <c r="S1471" i="5"/>
  <c r="I1471" i="5"/>
  <c r="R1471" i="5" s="1"/>
  <c r="H1471" i="5"/>
  <c r="G1471" i="5"/>
  <c r="Q1471" i="5" s="1"/>
  <c r="F1471" i="5"/>
  <c r="E1471" i="5"/>
  <c r="P1471" i="5" s="1"/>
  <c r="D1471" i="5"/>
  <c r="U1471" i="5" s="1"/>
  <c r="U1470" i="5"/>
  <c r="T1470" i="5"/>
  <c r="S1470" i="5"/>
  <c r="O1470" i="5"/>
  <c r="N1470" i="5"/>
  <c r="I1470" i="5"/>
  <c r="R1470" i="5" s="1"/>
  <c r="H1470" i="5"/>
  <c r="G1470" i="5"/>
  <c r="Q1470" i="5" s="1"/>
  <c r="F1470" i="5"/>
  <c r="E1470" i="5"/>
  <c r="P1470" i="5" s="1"/>
  <c r="D1470" i="5"/>
  <c r="U1469" i="5"/>
  <c r="T1469" i="5"/>
  <c r="S1469" i="5"/>
  <c r="I1469" i="5"/>
  <c r="R1469" i="5" s="1"/>
  <c r="H1469" i="5"/>
  <c r="G1469" i="5"/>
  <c r="Q1469" i="5" s="1"/>
  <c r="F1469" i="5"/>
  <c r="E1469" i="5"/>
  <c r="P1469" i="5" s="1"/>
  <c r="D1469" i="5"/>
  <c r="U1468" i="5"/>
  <c r="T1468" i="5"/>
  <c r="S1468" i="5"/>
  <c r="I1468" i="5"/>
  <c r="R1468" i="5" s="1"/>
  <c r="H1468" i="5"/>
  <c r="G1468" i="5"/>
  <c r="Q1468" i="5" s="1"/>
  <c r="F1468" i="5"/>
  <c r="E1468" i="5"/>
  <c r="P1468" i="5" s="1"/>
  <c r="D1468" i="5"/>
  <c r="U1467" i="5"/>
  <c r="T1467" i="5"/>
  <c r="S1467" i="5"/>
  <c r="I1467" i="5"/>
  <c r="R1467" i="5" s="1"/>
  <c r="H1467" i="5"/>
  <c r="G1467" i="5"/>
  <c r="Q1467" i="5" s="1"/>
  <c r="F1467" i="5"/>
  <c r="E1467" i="5"/>
  <c r="P1467" i="5" s="1"/>
  <c r="D1467" i="5"/>
  <c r="T1466" i="5"/>
  <c r="S1466" i="5"/>
  <c r="I1466" i="5"/>
  <c r="R1466" i="5" s="1"/>
  <c r="H1466" i="5"/>
  <c r="G1466" i="5"/>
  <c r="Q1466" i="5" s="1"/>
  <c r="F1466" i="5"/>
  <c r="E1466" i="5"/>
  <c r="P1466" i="5" s="1"/>
  <c r="D1466" i="5"/>
  <c r="U1466" i="5" s="1"/>
  <c r="U1465" i="5"/>
  <c r="T1465" i="5"/>
  <c r="S1465" i="5"/>
  <c r="I1465" i="5"/>
  <c r="R1465" i="5" s="1"/>
  <c r="H1465" i="5"/>
  <c r="G1465" i="5"/>
  <c r="Q1465" i="5" s="1"/>
  <c r="F1465" i="5"/>
  <c r="E1465" i="5"/>
  <c r="P1465" i="5" s="1"/>
  <c r="D1465" i="5"/>
  <c r="U1464" i="5"/>
  <c r="T1464" i="5"/>
  <c r="S1464" i="5"/>
  <c r="I1464" i="5"/>
  <c r="R1464" i="5" s="1"/>
  <c r="H1464" i="5"/>
  <c r="G1464" i="5"/>
  <c r="Q1464" i="5" s="1"/>
  <c r="F1464" i="5"/>
  <c r="E1464" i="5"/>
  <c r="P1464" i="5" s="1"/>
  <c r="D1464" i="5"/>
  <c r="U1463" i="5"/>
  <c r="T1463" i="5"/>
  <c r="S1463" i="5"/>
  <c r="O1463" i="5"/>
  <c r="N1463" i="5"/>
  <c r="I1463" i="5"/>
  <c r="R1463" i="5" s="1"/>
  <c r="H1463" i="5"/>
  <c r="G1463" i="5"/>
  <c r="Q1463" i="5" s="1"/>
  <c r="F1463" i="5"/>
  <c r="E1463" i="5"/>
  <c r="P1463" i="5" s="1"/>
  <c r="D1463" i="5"/>
  <c r="U1462" i="5"/>
  <c r="T1462" i="5"/>
  <c r="S1462" i="5"/>
  <c r="I1462" i="5"/>
  <c r="R1462" i="5" s="1"/>
  <c r="H1462" i="5"/>
  <c r="G1462" i="5"/>
  <c r="Q1462" i="5" s="1"/>
  <c r="F1462" i="5"/>
  <c r="E1462" i="5"/>
  <c r="P1462" i="5" s="1"/>
  <c r="D1462" i="5"/>
  <c r="U1461" i="5"/>
  <c r="T1461" i="5"/>
  <c r="S1461" i="5"/>
  <c r="I1461" i="5"/>
  <c r="R1461" i="5" s="1"/>
  <c r="H1461" i="5"/>
  <c r="G1461" i="5"/>
  <c r="Q1461" i="5" s="1"/>
  <c r="F1461" i="5"/>
  <c r="E1461" i="5"/>
  <c r="P1461" i="5" s="1"/>
  <c r="D1461" i="5"/>
  <c r="U1460" i="5"/>
  <c r="T1460" i="5"/>
  <c r="S1460" i="5"/>
  <c r="O1460" i="5"/>
  <c r="N1460" i="5"/>
  <c r="I1460" i="5"/>
  <c r="R1460" i="5" s="1"/>
  <c r="H1460" i="5"/>
  <c r="G1460" i="5"/>
  <c r="Q1460" i="5" s="1"/>
  <c r="F1460" i="5"/>
  <c r="E1460" i="5"/>
  <c r="P1460" i="5" s="1"/>
  <c r="D1460" i="5"/>
  <c r="U1459" i="5"/>
  <c r="T1459" i="5"/>
  <c r="S1459" i="5"/>
  <c r="O1459" i="5"/>
  <c r="N1459" i="5"/>
  <c r="I1459" i="5"/>
  <c r="R1459" i="5" s="1"/>
  <c r="H1459" i="5"/>
  <c r="G1459" i="5"/>
  <c r="Q1459" i="5" s="1"/>
  <c r="F1459" i="5"/>
  <c r="E1459" i="5"/>
  <c r="P1459" i="5" s="1"/>
  <c r="D1459" i="5"/>
  <c r="U1458" i="5"/>
  <c r="T1458" i="5"/>
  <c r="S1458" i="5"/>
  <c r="O1458" i="5"/>
  <c r="N1458" i="5"/>
  <c r="I1458" i="5"/>
  <c r="R1458" i="5" s="1"/>
  <c r="H1458" i="5"/>
  <c r="G1458" i="5"/>
  <c r="Q1458" i="5" s="1"/>
  <c r="F1458" i="5"/>
  <c r="E1458" i="5"/>
  <c r="P1458" i="5" s="1"/>
  <c r="D1458" i="5"/>
  <c r="U22" i="5"/>
  <c r="S22" i="5"/>
  <c r="I22" i="5"/>
  <c r="R22" i="5" s="1"/>
  <c r="H22" i="5"/>
  <c r="G22" i="5"/>
  <c r="Q22" i="5" s="1"/>
  <c r="F22" i="5"/>
  <c r="E22" i="5"/>
  <c r="P22" i="5" s="1"/>
  <c r="D22" i="5"/>
  <c r="T1457" i="5"/>
  <c r="S1457" i="5"/>
  <c r="I1457" i="5"/>
  <c r="R1457" i="5" s="1"/>
  <c r="H1457" i="5"/>
  <c r="G1457" i="5"/>
  <c r="Q1457" i="5" s="1"/>
  <c r="F1457" i="5"/>
  <c r="E1457" i="5"/>
  <c r="P1457" i="5" s="1"/>
  <c r="D1457" i="5"/>
  <c r="U1457" i="5" s="1"/>
  <c r="U1456" i="5"/>
  <c r="T1456" i="5"/>
  <c r="S1456" i="5"/>
  <c r="I1456" i="5"/>
  <c r="R1456" i="5" s="1"/>
  <c r="H1456" i="5"/>
  <c r="G1456" i="5"/>
  <c r="Q1456" i="5" s="1"/>
  <c r="F1456" i="5"/>
  <c r="E1456" i="5"/>
  <c r="P1456" i="5" s="1"/>
  <c r="D1456" i="5"/>
  <c r="U1455" i="5"/>
  <c r="T1455" i="5"/>
  <c r="S1455" i="5"/>
  <c r="I1455" i="5"/>
  <c r="R1455" i="5" s="1"/>
  <c r="H1455" i="5"/>
  <c r="G1455" i="5"/>
  <c r="Q1455" i="5" s="1"/>
  <c r="F1455" i="5"/>
  <c r="E1455" i="5"/>
  <c r="P1455" i="5" s="1"/>
  <c r="D1455" i="5"/>
  <c r="U1454" i="5"/>
  <c r="T1454" i="5"/>
  <c r="S1454" i="5"/>
  <c r="I1454" i="5"/>
  <c r="R1454" i="5" s="1"/>
  <c r="H1454" i="5"/>
  <c r="G1454" i="5"/>
  <c r="Q1454" i="5" s="1"/>
  <c r="F1454" i="5"/>
  <c r="E1454" i="5"/>
  <c r="P1454" i="5" s="1"/>
  <c r="D1454" i="5"/>
  <c r="U1453" i="5"/>
  <c r="T1453" i="5"/>
  <c r="S1453" i="5"/>
  <c r="I1453" i="5"/>
  <c r="R1453" i="5" s="1"/>
  <c r="H1453" i="5"/>
  <c r="G1453" i="5"/>
  <c r="Q1453" i="5" s="1"/>
  <c r="F1453" i="5"/>
  <c r="E1453" i="5"/>
  <c r="P1453" i="5" s="1"/>
  <c r="D1453" i="5"/>
  <c r="T1452" i="5"/>
  <c r="S1452" i="5"/>
  <c r="I1452" i="5"/>
  <c r="R1452" i="5" s="1"/>
  <c r="H1452" i="5"/>
  <c r="G1452" i="5"/>
  <c r="Q1452" i="5" s="1"/>
  <c r="F1452" i="5"/>
  <c r="E1452" i="5"/>
  <c r="P1452" i="5" s="1"/>
  <c r="D1452" i="5"/>
  <c r="U1452" i="5" s="1"/>
  <c r="U1451" i="5"/>
  <c r="T1451" i="5"/>
  <c r="S1451" i="5"/>
  <c r="I1451" i="5"/>
  <c r="R1451" i="5" s="1"/>
  <c r="H1451" i="5"/>
  <c r="G1451" i="5"/>
  <c r="Q1451" i="5" s="1"/>
  <c r="F1451" i="5"/>
  <c r="E1451" i="5"/>
  <c r="P1451" i="5" s="1"/>
  <c r="D1451" i="5"/>
  <c r="U1450" i="5"/>
  <c r="T1450" i="5"/>
  <c r="S1450" i="5"/>
  <c r="I1450" i="5"/>
  <c r="R1450" i="5" s="1"/>
  <c r="H1450" i="5"/>
  <c r="G1450" i="5"/>
  <c r="Q1450" i="5" s="1"/>
  <c r="F1450" i="5"/>
  <c r="E1450" i="5"/>
  <c r="P1450" i="5" s="1"/>
  <c r="D1450" i="5"/>
  <c r="U1449" i="5"/>
  <c r="T1449" i="5"/>
  <c r="S1449" i="5"/>
  <c r="I1449" i="5"/>
  <c r="R1449" i="5" s="1"/>
  <c r="H1449" i="5"/>
  <c r="G1449" i="5"/>
  <c r="Q1449" i="5" s="1"/>
  <c r="F1449" i="5"/>
  <c r="E1449" i="5"/>
  <c r="P1449" i="5" s="1"/>
  <c r="D1449" i="5"/>
  <c r="U1448" i="5"/>
  <c r="T1448" i="5"/>
  <c r="S1448" i="5"/>
  <c r="I1448" i="5"/>
  <c r="R1448" i="5" s="1"/>
  <c r="H1448" i="5"/>
  <c r="G1448" i="5"/>
  <c r="Q1448" i="5" s="1"/>
  <c r="F1448" i="5"/>
  <c r="E1448" i="5"/>
  <c r="P1448" i="5" s="1"/>
  <c r="D1448" i="5"/>
  <c r="U1447" i="5"/>
  <c r="T1447" i="5"/>
  <c r="S1447" i="5"/>
  <c r="I1447" i="5"/>
  <c r="R1447" i="5" s="1"/>
  <c r="H1447" i="5"/>
  <c r="G1447" i="5"/>
  <c r="Q1447" i="5" s="1"/>
  <c r="F1447" i="5"/>
  <c r="E1447" i="5"/>
  <c r="P1447" i="5" s="1"/>
  <c r="D1447" i="5"/>
  <c r="U1446" i="5"/>
  <c r="T1446" i="5"/>
  <c r="S1446" i="5"/>
  <c r="I1446" i="5"/>
  <c r="R1446" i="5" s="1"/>
  <c r="H1446" i="5"/>
  <c r="G1446" i="5"/>
  <c r="Q1446" i="5" s="1"/>
  <c r="F1446" i="5"/>
  <c r="E1446" i="5"/>
  <c r="P1446" i="5" s="1"/>
  <c r="D1446" i="5"/>
  <c r="U1445" i="5"/>
  <c r="T1445" i="5"/>
  <c r="S1445" i="5"/>
  <c r="I1445" i="5"/>
  <c r="R1445" i="5" s="1"/>
  <c r="H1445" i="5"/>
  <c r="G1445" i="5"/>
  <c r="Q1445" i="5" s="1"/>
  <c r="F1445" i="5"/>
  <c r="E1445" i="5"/>
  <c r="P1445" i="5" s="1"/>
  <c r="D1445" i="5"/>
  <c r="U1444" i="5"/>
  <c r="T1444" i="5"/>
  <c r="S1444" i="5"/>
  <c r="I1444" i="5"/>
  <c r="R1444" i="5" s="1"/>
  <c r="H1444" i="5"/>
  <c r="G1444" i="5"/>
  <c r="Q1444" i="5" s="1"/>
  <c r="F1444" i="5"/>
  <c r="E1444" i="5"/>
  <c r="P1444" i="5" s="1"/>
  <c r="D1444" i="5"/>
  <c r="U12" i="5"/>
  <c r="S12" i="5"/>
  <c r="I12" i="5"/>
  <c r="R12" i="5" s="1"/>
  <c r="H12" i="5"/>
  <c r="G12" i="5"/>
  <c r="Q12" i="5" s="1"/>
  <c r="F12" i="5"/>
  <c r="E12" i="5"/>
  <c r="P12" i="5" s="1"/>
  <c r="D12" i="5"/>
  <c r="T1443" i="5"/>
  <c r="S1443" i="5"/>
  <c r="I1443" i="5"/>
  <c r="R1443" i="5" s="1"/>
  <c r="H1443" i="5"/>
  <c r="G1443" i="5"/>
  <c r="Q1443" i="5" s="1"/>
  <c r="F1443" i="5"/>
  <c r="E1443" i="5"/>
  <c r="P1443" i="5" s="1"/>
  <c r="D1443" i="5"/>
  <c r="U1443" i="5" s="1"/>
  <c r="U1442" i="5"/>
  <c r="T1442" i="5"/>
  <c r="S1442" i="5"/>
  <c r="I1442" i="5"/>
  <c r="R1442" i="5" s="1"/>
  <c r="H1442" i="5"/>
  <c r="G1442" i="5"/>
  <c r="Q1442" i="5" s="1"/>
  <c r="F1442" i="5"/>
  <c r="E1442" i="5"/>
  <c r="P1442" i="5" s="1"/>
  <c r="D1442" i="5"/>
  <c r="U1441" i="5"/>
  <c r="T1441" i="5"/>
  <c r="S1441" i="5"/>
  <c r="I1441" i="5"/>
  <c r="R1441" i="5" s="1"/>
  <c r="H1441" i="5"/>
  <c r="G1441" i="5"/>
  <c r="Q1441" i="5" s="1"/>
  <c r="F1441" i="5"/>
  <c r="E1441" i="5"/>
  <c r="P1441" i="5" s="1"/>
  <c r="D1441" i="5"/>
  <c r="U1440" i="5"/>
  <c r="T1440" i="5"/>
  <c r="S1440" i="5"/>
  <c r="I1440" i="5"/>
  <c r="R1440" i="5" s="1"/>
  <c r="H1440" i="5"/>
  <c r="G1440" i="5"/>
  <c r="Q1440" i="5" s="1"/>
  <c r="F1440" i="5"/>
  <c r="E1440" i="5"/>
  <c r="P1440" i="5" s="1"/>
  <c r="D1440" i="5"/>
  <c r="U1439" i="5"/>
  <c r="T1439" i="5"/>
  <c r="S1439" i="5"/>
  <c r="I1439" i="5"/>
  <c r="R1439" i="5" s="1"/>
  <c r="H1439" i="5"/>
  <c r="G1439" i="5"/>
  <c r="Q1439" i="5" s="1"/>
  <c r="F1439" i="5"/>
  <c r="E1439" i="5"/>
  <c r="P1439" i="5" s="1"/>
  <c r="D1439" i="5"/>
  <c r="T1438" i="5"/>
  <c r="S1438" i="5"/>
  <c r="I1438" i="5"/>
  <c r="R1438" i="5" s="1"/>
  <c r="H1438" i="5"/>
  <c r="G1438" i="5"/>
  <c r="Q1438" i="5" s="1"/>
  <c r="F1438" i="5"/>
  <c r="E1438" i="5"/>
  <c r="P1438" i="5" s="1"/>
  <c r="D1438" i="5"/>
  <c r="U1438" i="5" s="1"/>
  <c r="U1437" i="5"/>
  <c r="T1437" i="5"/>
  <c r="S1437" i="5"/>
  <c r="I1437" i="5"/>
  <c r="R1437" i="5" s="1"/>
  <c r="H1437" i="5"/>
  <c r="G1437" i="5"/>
  <c r="Q1437" i="5" s="1"/>
  <c r="F1437" i="5"/>
  <c r="E1437" i="5"/>
  <c r="P1437" i="5" s="1"/>
  <c r="D1437" i="5"/>
  <c r="U1436" i="5"/>
  <c r="T1436" i="5"/>
  <c r="S1436" i="5"/>
  <c r="I1436" i="5"/>
  <c r="R1436" i="5" s="1"/>
  <c r="H1436" i="5"/>
  <c r="G1436" i="5"/>
  <c r="Q1436" i="5" s="1"/>
  <c r="F1436" i="5"/>
  <c r="E1436" i="5"/>
  <c r="P1436" i="5" s="1"/>
  <c r="D1436" i="5"/>
  <c r="U1435" i="5"/>
  <c r="T1435" i="5"/>
  <c r="S1435" i="5"/>
  <c r="I1435" i="5"/>
  <c r="R1435" i="5" s="1"/>
  <c r="H1435" i="5"/>
  <c r="G1435" i="5"/>
  <c r="Q1435" i="5" s="1"/>
  <c r="F1435" i="5"/>
  <c r="E1435" i="5"/>
  <c r="P1435" i="5" s="1"/>
  <c r="D1435" i="5"/>
  <c r="U1434" i="5"/>
  <c r="T1434" i="5"/>
  <c r="S1434" i="5"/>
  <c r="I1434" i="5"/>
  <c r="R1434" i="5" s="1"/>
  <c r="H1434" i="5"/>
  <c r="G1434" i="5"/>
  <c r="Q1434" i="5" s="1"/>
  <c r="F1434" i="5"/>
  <c r="E1434" i="5"/>
  <c r="P1434" i="5" s="1"/>
  <c r="D1434" i="5"/>
  <c r="U1433" i="5"/>
  <c r="T1433" i="5"/>
  <c r="S1433" i="5"/>
  <c r="I1433" i="5"/>
  <c r="R1433" i="5" s="1"/>
  <c r="H1433" i="5"/>
  <c r="G1433" i="5"/>
  <c r="Q1433" i="5" s="1"/>
  <c r="F1433" i="5"/>
  <c r="E1433" i="5"/>
  <c r="P1433" i="5" s="1"/>
  <c r="D1433" i="5"/>
  <c r="U1432" i="5"/>
  <c r="T1432" i="5"/>
  <c r="S1432" i="5"/>
  <c r="I1432" i="5"/>
  <c r="R1432" i="5" s="1"/>
  <c r="H1432" i="5"/>
  <c r="G1432" i="5"/>
  <c r="Q1432" i="5" s="1"/>
  <c r="F1432" i="5"/>
  <c r="E1432" i="5"/>
  <c r="P1432" i="5" s="1"/>
  <c r="D1432" i="5"/>
  <c r="U1431" i="5"/>
  <c r="T1431" i="5"/>
  <c r="S1431" i="5"/>
  <c r="I1431" i="5"/>
  <c r="R1431" i="5" s="1"/>
  <c r="H1431" i="5"/>
  <c r="G1431" i="5"/>
  <c r="Q1431" i="5" s="1"/>
  <c r="F1431" i="5"/>
  <c r="E1431" i="5"/>
  <c r="P1431" i="5" s="1"/>
  <c r="D1431" i="5"/>
  <c r="U1430" i="5"/>
  <c r="T1430" i="5"/>
  <c r="S1430" i="5"/>
  <c r="I1430" i="5"/>
  <c r="R1430" i="5" s="1"/>
  <c r="H1430" i="5"/>
  <c r="G1430" i="5"/>
  <c r="Q1430" i="5" s="1"/>
  <c r="F1430" i="5"/>
  <c r="E1430" i="5"/>
  <c r="P1430" i="5" s="1"/>
  <c r="D1430" i="5"/>
  <c r="U2" i="5"/>
  <c r="S2" i="5"/>
  <c r="I2" i="5"/>
  <c r="R2" i="5" s="1"/>
  <c r="H2" i="5"/>
  <c r="G2" i="5"/>
  <c r="Q2" i="5" s="1"/>
  <c r="F2" i="5"/>
  <c r="E2" i="5"/>
  <c r="P2" i="5" s="1"/>
  <c r="D2" i="5"/>
  <c r="T1429" i="5"/>
  <c r="S1429" i="5"/>
  <c r="I1429" i="5"/>
  <c r="R1429" i="5" s="1"/>
  <c r="H1429" i="5"/>
  <c r="G1429" i="5"/>
  <c r="Q1429" i="5" s="1"/>
  <c r="F1429" i="5"/>
  <c r="E1429" i="5"/>
  <c r="P1429" i="5" s="1"/>
  <c r="D1429" i="5"/>
  <c r="U1429" i="5" s="1"/>
  <c r="U1428" i="5"/>
  <c r="T1428" i="5"/>
  <c r="S1428" i="5"/>
  <c r="I1428" i="5"/>
  <c r="R1428" i="5" s="1"/>
  <c r="H1428" i="5"/>
  <c r="G1428" i="5"/>
  <c r="Q1428" i="5" s="1"/>
  <c r="F1428" i="5"/>
  <c r="E1428" i="5"/>
  <c r="P1428" i="5" s="1"/>
  <c r="D1428" i="5"/>
  <c r="U1427" i="5"/>
  <c r="T1427" i="5"/>
  <c r="S1427" i="5"/>
  <c r="I1427" i="5"/>
  <c r="R1427" i="5" s="1"/>
  <c r="H1427" i="5"/>
  <c r="G1427" i="5"/>
  <c r="Q1427" i="5" s="1"/>
  <c r="F1427" i="5"/>
  <c r="E1427" i="5"/>
  <c r="P1427" i="5" s="1"/>
  <c r="D1427" i="5"/>
  <c r="U1426" i="5"/>
  <c r="T1426" i="5"/>
  <c r="S1426" i="5"/>
  <c r="I1426" i="5"/>
  <c r="R1426" i="5" s="1"/>
  <c r="H1426" i="5"/>
  <c r="G1426" i="5"/>
  <c r="Q1426" i="5" s="1"/>
  <c r="F1426" i="5"/>
  <c r="E1426" i="5"/>
  <c r="P1426" i="5" s="1"/>
  <c r="D1426" i="5"/>
  <c r="U1425" i="5"/>
  <c r="T1425" i="5"/>
  <c r="S1425" i="5"/>
  <c r="I1425" i="5"/>
  <c r="R1425" i="5" s="1"/>
  <c r="H1425" i="5"/>
  <c r="G1425" i="5"/>
  <c r="Q1425" i="5" s="1"/>
  <c r="F1425" i="5"/>
  <c r="E1425" i="5"/>
  <c r="P1425" i="5" s="1"/>
  <c r="D1425" i="5"/>
  <c r="T1424" i="5"/>
  <c r="S1424" i="5"/>
  <c r="I1424" i="5"/>
  <c r="R1424" i="5" s="1"/>
  <c r="H1424" i="5"/>
  <c r="G1424" i="5"/>
  <c r="Q1424" i="5" s="1"/>
  <c r="F1424" i="5"/>
  <c r="E1424" i="5"/>
  <c r="P1424" i="5" s="1"/>
  <c r="D1424" i="5"/>
  <c r="U1424" i="5" s="1"/>
  <c r="U1423" i="5"/>
  <c r="T1423" i="5"/>
  <c r="S1423" i="5"/>
  <c r="I1423" i="5"/>
  <c r="R1423" i="5" s="1"/>
  <c r="H1423" i="5"/>
  <c r="G1423" i="5"/>
  <c r="Q1423" i="5" s="1"/>
  <c r="F1423" i="5"/>
  <c r="E1423" i="5"/>
  <c r="P1423" i="5" s="1"/>
  <c r="D1423" i="5"/>
  <c r="U1422" i="5"/>
  <c r="T1422" i="5"/>
  <c r="S1422" i="5"/>
  <c r="I1422" i="5"/>
  <c r="R1422" i="5" s="1"/>
  <c r="H1422" i="5"/>
  <c r="G1422" i="5"/>
  <c r="Q1422" i="5" s="1"/>
  <c r="F1422" i="5"/>
  <c r="E1422" i="5"/>
  <c r="P1422" i="5" s="1"/>
  <c r="D1422" i="5"/>
  <c r="U1421" i="5"/>
  <c r="T1421" i="5"/>
  <c r="S1421" i="5"/>
  <c r="I1421" i="5"/>
  <c r="R1421" i="5" s="1"/>
  <c r="H1421" i="5"/>
  <c r="G1421" i="5"/>
  <c r="Q1421" i="5" s="1"/>
  <c r="F1421" i="5"/>
  <c r="E1421" i="5"/>
  <c r="P1421" i="5" s="1"/>
  <c r="D1421" i="5"/>
  <c r="U1420" i="5"/>
  <c r="T1420" i="5"/>
  <c r="S1420" i="5"/>
  <c r="I1420" i="5"/>
  <c r="R1420" i="5" s="1"/>
  <c r="H1420" i="5"/>
  <c r="G1420" i="5"/>
  <c r="Q1420" i="5" s="1"/>
  <c r="F1420" i="5"/>
  <c r="E1420" i="5"/>
  <c r="P1420" i="5" s="1"/>
  <c r="D1420" i="5"/>
  <c r="U1419" i="5"/>
  <c r="T1419" i="5"/>
  <c r="S1419" i="5"/>
  <c r="I1419" i="5"/>
  <c r="R1419" i="5" s="1"/>
  <c r="H1419" i="5"/>
  <c r="G1419" i="5"/>
  <c r="Q1419" i="5" s="1"/>
  <c r="F1419" i="5"/>
  <c r="E1419" i="5"/>
  <c r="P1419" i="5" s="1"/>
  <c r="D1419" i="5"/>
  <c r="U1418" i="5"/>
  <c r="T1418" i="5"/>
  <c r="S1418" i="5"/>
  <c r="I1418" i="5"/>
  <c r="R1418" i="5" s="1"/>
  <c r="H1418" i="5"/>
  <c r="G1418" i="5"/>
  <c r="Q1418" i="5" s="1"/>
  <c r="F1418" i="5"/>
  <c r="E1418" i="5"/>
  <c r="P1418" i="5" s="1"/>
  <c r="D1418" i="5"/>
  <c r="U1417" i="5"/>
  <c r="T1417" i="5"/>
  <c r="S1417" i="5"/>
  <c r="I1417" i="5"/>
  <c r="R1417" i="5" s="1"/>
  <c r="H1417" i="5"/>
  <c r="G1417" i="5"/>
  <c r="Q1417" i="5" s="1"/>
  <c r="F1417" i="5"/>
  <c r="E1417" i="5"/>
  <c r="P1417" i="5" s="1"/>
  <c r="D1417" i="5"/>
  <c r="U1416" i="5"/>
  <c r="T1416" i="5"/>
  <c r="S1416" i="5"/>
  <c r="I1416" i="5"/>
  <c r="R1416" i="5" s="1"/>
  <c r="H1416" i="5"/>
  <c r="G1416" i="5"/>
  <c r="Q1416" i="5" s="1"/>
  <c r="F1416" i="5"/>
  <c r="E1416" i="5"/>
  <c r="P1416" i="5" s="1"/>
  <c r="D1416" i="5"/>
  <c r="G420" i="4"/>
  <c r="F420" i="4"/>
  <c r="H420" i="4" s="1"/>
  <c r="G419" i="4"/>
  <c r="I419" i="4" s="1"/>
  <c r="F419" i="4"/>
  <c r="H419" i="4" s="1"/>
  <c r="G418" i="4"/>
  <c r="I418" i="4" s="1"/>
  <c r="F418" i="4"/>
  <c r="H418" i="4" s="1"/>
  <c r="G417" i="4"/>
  <c r="I417" i="4" s="1"/>
  <c r="F417" i="4"/>
  <c r="H417" i="4" s="1"/>
  <c r="G416" i="4"/>
  <c r="I416" i="4" s="1"/>
  <c r="F416" i="4"/>
  <c r="H416" i="4" s="1"/>
  <c r="G415" i="4"/>
  <c r="I415" i="4" s="1"/>
  <c r="F415" i="4"/>
  <c r="H415" i="4" s="1"/>
  <c r="G414" i="4"/>
  <c r="I414" i="4" s="1"/>
  <c r="F414" i="4"/>
  <c r="H414" i="4" s="1"/>
  <c r="G413" i="4"/>
  <c r="I413" i="4" s="1"/>
  <c r="F413" i="4"/>
  <c r="H413" i="4" s="1"/>
  <c r="G412" i="4"/>
  <c r="I412" i="4" s="1"/>
  <c r="F412" i="4"/>
  <c r="H412" i="4" s="1"/>
  <c r="G411" i="4"/>
  <c r="I411" i="4" s="1"/>
  <c r="F411" i="4"/>
  <c r="H411" i="4" s="1"/>
  <c r="G410" i="4"/>
  <c r="I410" i="4" s="1"/>
  <c r="F410" i="4"/>
  <c r="H410" i="4" s="1"/>
  <c r="G409" i="4"/>
  <c r="I409" i="4" s="1"/>
  <c r="F409" i="4"/>
  <c r="H409" i="4" s="1"/>
  <c r="G408" i="4"/>
  <c r="I408" i="4" s="1"/>
  <c r="F408" i="4"/>
  <c r="H408" i="4" s="1"/>
  <c r="G407" i="4"/>
  <c r="I407" i="4" s="1"/>
  <c r="F407" i="4"/>
  <c r="H407" i="4" s="1"/>
  <c r="G406" i="4"/>
  <c r="I406" i="4" s="1"/>
  <c r="F406" i="4"/>
  <c r="H406" i="4" s="1"/>
  <c r="G405" i="4"/>
  <c r="I405" i="4" s="1"/>
  <c r="F405" i="4"/>
  <c r="H405" i="4" s="1"/>
  <c r="G404" i="4"/>
  <c r="I404" i="4" s="1"/>
  <c r="F404" i="4"/>
  <c r="H404" i="4" s="1"/>
  <c r="G403" i="4"/>
  <c r="I403" i="4" s="1"/>
  <c r="F403" i="4"/>
  <c r="H403" i="4" s="1"/>
  <c r="G402" i="4"/>
  <c r="I402" i="4" s="1"/>
  <c r="F402" i="4"/>
  <c r="H402" i="4" s="1"/>
  <c r="G401" i="4"/>
  <c r="I401" i="4" s="1"/>
  <c r="F401" i="4"/>
  <c r="H401" i="4" s="1"/>
  <c r="G400" i="4"/>
  <c r="I400" i="4" s="1"/>
  <c r="F400" i="4"/>
  <c r="H400" i="4" s="1"/>
  <c r="G399" i="4"/>
  <c r="I399" i="4" s="1"/>
  <c r="F399" i="4"/>
  <c r="H399" i="4" s="1"/>
  <c r="G398" i="4"/>
  <c r="I398" i="4" s="1"/>
  <c r="F398" i="4"/>
  <c r="H398" i="4" s="1"/>
  <c r="G397" i="4"/>
  <c r="I397" i="4" s="1"/>
  <c r="F397" i="4"/>
  <c r="H397" i="4" s="1"/>
  <c r="G396" i="4"/>
  <c r="I396" i="4" s="1"/>
  <c r="F396" i="4"/>
  <c r="H396" i="4" s="1"/>
  <c r="G395" i="4"/>
  <c r="I395" i="4" s="1"/>
  <c r="F395" i="4"/>
  <c r="H395" i="4" s="1"/>
  <c r="G394" i="4"/>
  <c r="I394" i="4" s="1"/>
  <c r="F394" i="4"/>
  <c r="H394" i="4" s="1"/>
  <c r="G393" i="4"/>
  <c r="I393" i="4" s="1"/>
  <c r="F393" i="4"/>
  <c r="H393" i="4" s="1"/>
  <c r="G392" i="4"/>
  <c r="I392" i="4" s="1"/>
  <c r="F392" i="4"/>
  <c r="H392" i="4" s="1"/>
  <c r="G391" i="4"/>
  <c r="I391" i="4" s="1"/>
  <c r="F391" i="4"/>
  <c r="H391" i="4" s="1"/>
  <c r="G390" i="4"/>
  <c r="I390" i="4" s="1"/>
  <c r="F390" i="4"/>
  <c r="H390" i="4" s="1"/>
  <c r="G389" i="4"/>
  <c r="I389" i="4" s="1"/>
  <c r="F389" i="4"/>
  <c r="H389" i="4" s="1"/>
  <c r="G388" i="4"/>
  <c r="I388" i="4" s="1"/>
  <c r="F388" i="4"/>
  <c r="H388" i="4" s="1"/>
  <c r="G387" i="4"/>
  <c r="I387" i="4" s="1"/>
  <c r="F387" i="4"/>
  <c r="H387" i="4" s="1"/>
  <c r="G386" i="4"/>
  <c r="I386" i="4" s="1"/>
  <c r="F386" i="4"/>
  <c r="H386" i="4" s="1"/>
  <c r="G385" i="4"/>
  <c r="I385" i="4" s="1"/>
  <c r="F385" i="4"/>
  <c r="H385" i="4" s="1"/>
  <c r="G384" i="4"/>
  <c r="I384" i="4" s="1"/>
  <c r="F384" i="4"/>
  <c r="H384" i="4" s="1"/>
  <c r="G383" i="4"/>
  <c r="I383" i="4" s="1"/>
  <c r="F383" i="4"/>
  <c r="H383" i="4" s="1"/>
  <c r="G382" i="4"/>
  <c r="I382" i="4" s="1"/>
  <c r="F382" i="4"/>
  <c r="H382" i="4" s="1"/>
  <c r="G381" i="4"/>
  <c r="I381" i="4" s="1"/>
  <c r="F381" i="4"/>
  <c r="H381" i="4" s="1"/>
  <c r="G380" i="4"/>
  <c r="I380" i="4" s="1"/>
  <c r="F380" i="4"/>
  <c r="H380" i="4" s="1"/>
  <c r="G379" i="4"/>
  <c r="I379" i="4" s="1"/>
  <c r="F379" i="4"/>
  <c r="H379" i="4" s="1"/>
  <c r="G378" i="4"/>
  <c r="I378" i="4" s="1"/>
  <c r="F378" i="4"/>
  <c r="H378" i="4" s="1"/>
  <c r="G377" i="4"/>
  <c r="I377" i="4" s="1"/>
  <c r="F377" i="4"/>
  <c r="H377" i="4" s="1"/>
  <c r="G376" i="4"/>
  <c r="I376" i="4" s="1"/>
  <c r="F376" i="4"/>
  <c r="H376" i="4" s="1"/>
  <c r="G375" i="4"/>
  <c r="I375" i="4" s="1"/>
  <c r="F375" i="4"/>
  <c r="H375" i="4" s="1"/>
  <c r="G374" i="4"/>
  <c r="I374" i="4" s="1"/>
  <c r="F374" i="4"/>
  <c r="H374" i="4" s="1"/>
  <c r="G373" i="4"/>
  <c r="I373" i="4" s="1"/>
  <c r="F373" i="4"/>
  <c r="H373" i="4" s="1"/>
  <c r="G372" i="4"/>
  <c r="I372" i="4" s="1"/>
  <c r="F372" i="4"/>
  <c r="H372" i="4" s="1"/>
  <c r="G371" i="4"/>
  <c r="I371" i="4" s="1"/>
  <c r="F371" i="4"/>
  <c r="H371" i="4" s="1"/>
  <c r="G370" i="4"/>
  <c r="I370" i="4" s="1"/>
  <c r="F370" i="4"/>
  <c r="H370" i="4" s="1"/>
  <c r="G369" i="4"/>
  <c r="I369" i="4" s="1"/>
  <c r="F369" i="4"/>
  <c r="H369" i="4" s="1"/>
  <c r="G368" i="4"/>
  <c r="I368" i="4" s="1"/>
  <c r="F368" i="4"/>
  <c r="H368" i="4" s="1"/>
  <c r="G367" i="4"/>
  <c r="I367" i="4" s="1"/>
  <c r="F367" i="4"/>
  <c r="H367" i="4" s="1"/>
  <c r="G366" i="4"/>
  <c r="I366" i="4" s="1"/>
  <c r="F366" i="4"/>
  <c r="H366" i="4" s="1"/>
  <c r="G365" i="4"/>
  <c r="I365" i="4" s="1"/>
  <c r="F365" i="4"/>
  <c r="H365" i="4" s="1"/>
  <c r="G364" i="4"/>
  <c r="I364" i="4" s="1"/>
  <c r="F364" i="4"/>
  <c r="H364" i="4" s="1"/>
  <c r="G363" i="4"/>
  <c r="I363" i="4" s="1"/>
  <c r="F363" i="4"/>
  <c r="H363" i="4" s="1"/>
  <c r="G362" i="4"/>
  <c r="I362" i="4" s="1"/>
  <c r="F362" i="4"/>
  <c r="H362" i="4" s="1"/>
  <c r="G361" i="4"/>
  <c r="I361" i="4" s="1"/>
  <c r="F361" i="4"/>
  <c r="H361" i="4" s="1"/>
  <c r="G360" i="4"/>
  <c r="I360" i="4" s="1"/>
  <c r="F360" i="4"/>
  <c r="H360" i="4" s="1"/>
  <c r="G359" i="4"/>
  <c r="I359" i="4" s="1"/>
  <c r="F359" i="4"/>
  <c r="H359" i="4" s="1"/>
  <c r="G358" i="4"/>
  <c r="I358" i="4" s="1"/>
  <c r="F358" i="4"/>
  <c r="H358" i="4" s="1"/>
  <c r="G357" i="4"/>
  <c r="I357" i="4" s="1"/>
  <c r="F357" i="4"/>
  <c r="H357" i="4" s="1"/>
  <c r="G356" i="4"/>
  <c r="I356" i="4" s="1"/>
  <c r="F356" i="4"/>
  <c r="H356" i="4" s="1"/>
  <c r="G355" i="4"/>
  <c r="I355" i="4" s="1"/>
  <c r="F355" i="4"/>
  <c r="H355" i="4" s="1"/>
  <c r="G354" i="4"/>
  <c r="I354" i="4" s="1"/>
  <c r="F354" i="4"/>
  <c r="H354" i="4" s="1"/>
  <c r="G353" i="4"/>
  <c r="I353" i="4" s="1"/>
  <c r="F353" i="4"/>
  <c r="H353" i="4" s="1"/>
  <c r="G352" i="4"/>
  <c r="I352" i="4" s="1"/>
  <c r="F352" i="4"/>
  <c r="H352" i="4" s="1"/>
  <c r="G351" i="4"/>
  <c r="I351" i="4" s="1"/>
  <c r="F351" i="4"/>
  <c r="H351" i="4" s="1"/>
  <c r="G350" i="4"/>
  <c r="I350" i="4" s="1"/>
  <c r="F350" i="4"/>
  <c r="H350" i="4" s="1"/>
  <c r="G349" i="4"/>
  <c r="F349" i="4"/>
  <c r="H349" i="4" s="1"/>
  <c r="G348" i="4"/>
  <c r="F348" i="4"/>
  <c r="H348" i="4" s="1"/>
  <c r="G347" i="4"/>
  <c r="F347" i="4"/>
  <c r="H347" i="4" s="1"/>
  <c r="G346" i="4"/>
  <c r="F346" i="4"/>
  <c r="H346" i="4" s="1"/>
  <c r="G345" i="4"/>
  <c r="F345" i="4"/>
  <c r="H345" i="4" s="1"/>
  <c r="G344" i="4"/>
  <c r="F344" i="4"/>
  <c r="H344" i="4" s="1"/>
  <c r="G343" i="4"/>
  <c r="F343" i="4"/>
  <c r="H343" i="4" s="1"/>
  <c r="G342" i="4"/>
  <c r="F342" i="4"/>
  <c r="H342" i="4" s="1"/>
  <c r="G341" i="4"/>
  <c r="F341" i="4"/>
  <c r="H341" i="4" s="1"/>
  <c r="G340" i="4"/>
  <c r="F340" i="4"/>
  <c r="H340" i="4" s="1"/>
  <c r="G339" i="4"/>
  <c r="F339" i="4"/>
  <c r="H339" i="4" s="1"/>
  <c r="G338" i="4"/>
  <c r="F338" i="4"/>
  <c r="H338" i="4" s="1"/>
  <c r="G337" i="4"/>
  <c r="F337" i="4"/>
  <c r="H337" i="4" s="1"/>
  <c r="G336" i="4"/>
  <c r="F336" i="4"/>
  <c r="H336" i="4" s="1"/>
  <c r="G335" i="4"/>
  <c r="F335" i="4"/>
  <c r="H335" i="4" s="1"/>
  <c r="G334" i="4"/>
  <c r="F334" i="4"/>
  <c r="H334" i="4" s="1"/>
  <c r="G333" i="4"/>
  <c r="F333" i="4"/>
  <c r="H333" i="4" s="1"/>
  <c r="G332" i="4"/>
  <c r="F332" i="4"/>
  <c r="H332" i="4" s="1"/>
  <c r="G331" i="4"/>
  <c r="F331" i="4"/>
  <c r="H331" i="4" s="1"/>
  <c r="G330" i="4"/>
  <c r="F330" i="4"/>
  <c r="H330" i="4" s="1"/>
  <c r="G329" i="4"/>
  <c r="F329" i="4"/>
  <c r="H329" i="4" s="1"/>
  <c r="G328" i="4"/>
  <c r="F328" i="4"/>
  <c r="H328" i="4" s="1"/>
  <c r="G327" i="4"/>
  <c r="F327" i="4"/>
  <c r="H327" i="4" s="1"/>
  <c r="G326" i="4"/>
  <c r="F326" i="4"/>
  <c r="H326" i="4" s="1"/>
  <c r="G325" i="4"/>
  <c r="F325" i="4"/>
  <c r="H325" i="4" s="1"/>
  <c r="G324" i="4"/>
  <c r="F324" i="4"/>
  <c r="H324" i="4" s="1"/>
  <c r="G323" i="4"/>
  <c r="F323" i="4"/>
  <c r="H323" i="4" s="1"/>
  <c r="G322" i="4"/>
  <c r="F322" i="4"/>
  <c r="H322" i="4" s="1"/>
  <c r="G321" i="4"/>
  <c r="F321" i="4"/>
  <c r="H321" i="4" s="1"/>
  <c r="G320" i="4"/>
  <c r="F320" i="4"/>
  <c r="H320" i="4" s="1"/>
  <c r="G319" i="4"/>
  <c r="F319" i="4"/>
  <c r="H319" i="4" s="1"/>
  <c r="G318" i="4"/>
  <c r="F318" i="4"/>
  <c r="H318" i="4" s="1"/>
  <c r="G317" i="4"/>
  <c r="F317" i="4"/>
  <c r="H317" i="4" s="1"/>
  <c r="G316" i="4"/>
  <c r="F316" i="4"/>
  <c r="H316" i="4" s="1"/>
  <c r="G315" i="4"/>
  <c r="F315" i="4"/>
  <c r="H315" i="4" s="1"/>
  <c r="G314" i="4"/>
  <c r="F314" i="4"/>
  <c r="H314" i="4" s="1"/>
  <c r="G313" i="4"/>
  <c r="F313" i="4"/>
  <c r="H313" i="4" s="1"/>
  <c r="G312" i="4"/>
  <c r="F312" i="4"/>
  <c r="H312" i="4" s="1"/>
  <c r="G311" i="4"/>
  <c r="F311" i="4"/>
  <c r="H311" i="4" s="1"/>
  <c r="G310" i="4"/>
  <c r="F310" i="4"/>
  <c r="H310" i="4" s="1"/>
  <c r="G309" i="4"/>
  <c r="F309" i="4"/>
  <c r="H309" i="4" s="1"/>
  <c r="G308" i="4"/>
  <c r="F308" i="4"/>
  <c r="H308" i="4" s="1"/>
  <c r="G307" i="4"/>
  <c r="F307" i="4"/>
  <c r="H307" i="4" s="1"/>
  <c r="G306" i="4"/>
  <c r="F306" i="4"/>
  <c r="H306" i="4" s="1"/>
  <c r="G305" i="4"/>
  <c r="F305" i="4"/>
  <c r="H305" i="4" s="1"/>
  <c r="G304" i="4"/>
  <c r="F304" i="4"/>
  <c r="H304" i="4" s="1"/>
  <c r="G303" i="4"/>
  <c r="F303" i="4"/>
  <c r="H303" i="4" s="1"/>
  <c r="G302" i="4"/>
  <c r="F302" i="4"/>
  <c r="H302" i="4" s="1"/>
  <c r="G301" i="4"/>
  <c r="F301" i="4"/>
  <c r="H301" i="4" s="1"/>
  <c r="G300" i="4"/>
  <c r="F300" i="4"/>
  <c r="H300" i="4" s="1"/>
  <c r="G299" i="4"/>
  <c r="F299" i="4"/>
  <c r="H299" i="4" s="1"/>
  <c r="G298" i="4"/>
  <c r="F298" i="4"/>
  <c r="H298" i="4" s="1"/>
  <c r="G297" i="4"/>
  <c r="F297" i="4"/>
  <c r="H297" i="4" s="1"/>
  <c r="G296" i="4"/>
  <c r="F296" i="4"/>
  <c r="H296" i="4" s="1"/>
  <c r="G295" i="4"/>
  <c r="F295" i="4"/>
  <c r="H295" i="4" s="1"/>
  <c r="G294" i="4"/>
  <c r="F294" i="4"/>
  <c r="H294" i="4" s="1"/>
  <c r="G293" i="4"/>
  <c r="F293" i="4"/>
  <c r="H293" i="4" s="1"/>
  <c r="G292" i="4"/>
  <c r="F292" i="4"/>
  <c r="H292" i="4" s="1"/>
  <c r="G291" i="4"/>
  <c r="F291" i="4"/>
  <c r="H291" i="4" s="1"/>
  <c r="G290" i="4"/>
  <c r="F290" i="4"/>
  <c r="H290" i="4" s="1"/>
  <c r="G289" i="4"/>
  <c r="F289" i="4"/>
  <c r="H289" i="4" s="1"/>
  <c r="G288" i="4"/>
  <c r="F288" i="4"/>
  <c r="H288" i="4" s="1"/>
  <c r="G287" i="4"/>
  <c r="F287" i="4"/>
  <c r="H287" i="4" s="1"/>
  <c r="G286" i="4"/>
  <c r="F286" i="4"/>
  <c r="H286" i="4" s="1"/>
  <c r="G285" i="4"/>
  <c r="F285" i="4"/>
  <c r="H285" i="4" s="1"/>
  <c r="G284" i="4"/>
  <c r="F284" i="4"/>
  <c r="H284" i="4" s="1"/>
  <c r="G283" i="4"/>
  <c r="F283" i="4"/>
  <c r="H283" i="4" s="1"/>
  <c r="G282" i="4"/>
  <c r="F282" i="4"/>
  <c r="H282" i="4" s="1"/>
  <c r="G281" i="4"/>
  <c r="F281" i="4"/>
  <c r="H281" i="4" s="1"/>
  <c r="G280" i="4"/>
  <c r="F280" i="4"/>
  <c r="H280" i="4" s="1"/>
  <c r="G279" i="4"/>
  <c r="G490" i="4" s="1"/>
  <c r="I490" i="4" s="1"/>
  <c r="I279" i="4" s="1"/>
  <c r="F279" i="4"/>
  <c r="H279" i="4" s="1"/>
  <c r="G278" i="4"/>
  <c r="G489" i="4" s="1"/>
  <c r="I489" i="4" s="1"/>
  <c r="I278" i="4" s="1"/>
  <c r="F278" i="4"/>
  <c r="H278" i="4" s="1"/>
  <c r="G277" i="4"/>
  <c r="G488" i="4" s="1"/>
  <c r="I488" i="4" s="1"/>
  <c r="I277" i="4" s="1"/>
  <c r="F277" i="4"/>
  <c r="H277" i="4" s="1"/>
  <c r="G276" i="4"/>
  <c r="G487" i="4" s="1"/>
  <c r="I487" i="4" s="1"/>
  <c r="I276" i="4" s="1"/>
  <c r="F276" i="4"/>
  <c r="H276" i="4" s="1"/>
  <c r="G275" i="4"/>
  <c r="G486" i="4" s="1"/>
  <c r="I486" i="4" s="1"/>
  <c r="I275" i="4" s="1"/>
  <c r="F275" i="4"/>
  <c r="H275" i="4" s="1"/>
  <c r="G274" i="4"/>
  <c r="G485" i="4" s="1"/>
  <c r="I485" i="4" s="1"/>
  <c r="I274" i="4" s="1"/>
  <c r="F274" i="4"/>
  <c r="H274" i="4" s="1"/>
  <c r="G273" i="4"/>
  <c r="G484" i="4" s="1"/>
  <c r="I484" i="4" s="1"/>
  <c r="I273" i="4" s="1"/>
  <c r="F273" i="4"/>
  <c r="H273" i="4" s="1"/>
  <c r="G272" i="4"/>
  <c r="G483" i="4" s="1"/>
  <c r="I483" i="4" s="1"/>
  <c r="I272" i="4" s="1"/>
  <c r="F272" i="4"/>
  <c r="H272" i="4" s="1"/>
  <c r="G271" i="4"/>
  <c r="G482" i="4" s="1"/>
  <c r="I482" i="4" s="1"/>
  <c r="I271" i="4" s="1"/>
  <c r="F271" i="4"/>
  <c r="H271" i="4" s="1"/>
  <c r="G270" i="4"/>
  <c r="G481" i="4" s="1"/>
  <c r="I481" i="4" s="1"/>
  <c r="I270" i="4" s="1"/>
  <c r="F270" i="4"/>
  <c r="H270" i="4" s="1"/>
  <c r="G269" i="4"/>
  <c r="G480" i="4" s="1"/>
  <c r="I480" i="4" s="1"/>
  <c r="I269" i="4" s="1"/>
  <c r="F269" i="4"/>
  <c r="H269" i="4" s="1"/>
  <c r="G268" i="4"/>
  <c r="G479" i="4" s="1"/>
  <c r="I479" i="4" s="1"/>
  <c r="I268" i="4" s="1"/>
  <c r="F268" i="4"/>
  <c r="H268" i="4" s="1"/>
  <c r="G267" i="4"/>
  <c r="G478" i="4" s="1"/>
  <c r="I478" i="4" s="1"/>
  <c r="I267" i="4" s="1"/>
  <c r="F267" i="4"/>
  <c r="H267" i="4" s="1"/>
  <c r="G266" i="4"/>
  <c r="G477" i="4" s="1"/>
  <c r="I477" i="4" s="1"/>
  <c r="I266" i="4" s="1"/>
  <c r="F266" i="4"/>
  <c r="H266" i="4" s="1"/>
  <c r="G265" i="4"/>
  <c r="G476" i="4" s="1"/>
  <c r="I476" i="4" s="1"/>
  <c r="I265" i="4" s="1"/>
  <c r="F265" i="4"/>
  <c r="H265" i="4" s="1"/>
  <c r="G264" i="4"/>
  <c r="G475" i="4" s="1"/>
  <c r="I475" i="4" s="1"/>
  <c r="I264" i="4" s="1"/>
  <c r="F264" i="4"/>
  <c r="H264" i="4" s="1"/>
  <c r="G263" i="4"/>
  <c r="G474" i="4" s="1"/>
  <c r="I474" i="4" s="1"/>
  <c r="I263" i="4" s="1"/>
  <c r="F263" i="4"/>
  <c r="H263" i="4" s="1"/>
  <c r="G262" i="4"/>
  <c r="G473" i="4" s="1"/>
  <c r="I473" i="4" s="1"/>
  <c r="I262" i="4" s="1"/>
  <c r="F262" i="4"/>
  <c r="H262" i="4" s="1"/>
  <c r="G261" i="4"/>
  <c r="G472" i="4" s="1"/>
  <c r="I472" i="4" s="1"/>
  <c r="I261" i="4" s="1"/>
  <c r="F261" i="4"/>
  <c r="H261" i="4" s="1"/>
  <c r="G260" i="4"/>
  <c r="G471" i="4" s="1"/>
  <c r="I471" i="4" s="1"/>
  <c r="I260" i="4" s="1"/>
  <c r="F260" i="4"/>
  <c r="H260" i="4" s="1"/>
  <c r="G259" i="4"/>
  <c r="G470" i="4" s="1"/>
  <c r="I470" i="4" s="1"/>
  <c r="I259" i="4" s="1"/>
  <c r="F259" i="4"/>
  <c r="H259" i="4" s="1"/>
  <c r="G258" i="4"/>
  <c r="G469" i="4" s="1"/>
  <c r="I469" i="4" s="1"/>
  <c r="I258" i="4" s="1"/>
  <c r="F258" i="4"/>
  <c r="H258" i="4" s="1"/>
  <c r="G257" i="4"/>
  <c r="G468" i="4" s="1"/>
  <c r="I468" i="4" s="1"/>
  <c r="I257" i="4" s="1"/>
  <c r="F257" i="4"/>
  <c r="H257" i="4" s="1"/>
  <c r="G256" i="4"/>
  <c r="G467" i="4" s="1"/>
  <c r="I467" i="4" s="1"/>
  <c r="I256" i="4" s="1"/>
  <c r="F256" i="4"/>
  <c r="H256" i="4" s="1"/>
  <c r="G255" i="4"/>
  <c r="G466" i="4" s="1"/>
  <c r="I466" i="4" s="1"/>
  <c r="I255" i="4" s="1"/>
  <c r="F255" i="4"/>
  <c r="H255" i="4" s="1"/>
  <c r="G254" i="4"/>
  <c r="G465" i="4" s="1"/>
  <c r="I465" i="4" s="1"/>
  <c r="I254" i="4" s="1"/>
  <c r="F254" i="4"/>
  <c r="H254" i="4" s="1"/>
  <c r="G253" i="4"/>
  <c r="G464" i="4" s="1"/>
  <c r="I464" i="4" s="1"/>
  <c r="I253" i="4" s="1"/>
  <c r="F253" i="4"/>
  <c r="H253" i="4" s="1"/>
  <c r="G252" i="4"/>
  <c r="G463" i="4" s="1"/>
  <c r="I463" i="4" s="1"/>
  <c r="I252" i="4" s="1"/>
  <c r="F252" i="4"/>
  <c r="H252" i="4" s="1"/>
  <c r="G251" i="4"/>
  <c r="G462" i="4" s="1"/>
  <c r="I462" i="4" s="1"/>
  <c r="I251" i="4" s="1"/>
  <c r="F251" i="4"/>
  <c r="H251" i="4" s="1"/>
  <c r="G250" i="4"/>
  <c r="G461" i="4" s="1"/>
  <c r="I461" i="4" s="1"/>
  <c r="I250" i="4" s="1"/>
  <c r="F250" i="4"/>
  <c r="H250" i="4" s="1"/>
  <c r="G249" i="4"/>
  <c r="G460" i="4" s="1"/>
  <c r="I460" i="4" s="1"/>
  <c r="I249" i="4" s="1"/>
  <c r="F249" i="4"/>
  <c r="H249" i="4" s="1"/>
  <c r="G248" i="4"/>
  <c r="G459" i="4" s="1"/>
  <c r="I459" i="4" s="1"/>
  <c r="I248" i="4" s="1"/>
  <c r="F248" i="4"/>
  <c r="H248" i="4" s="1"/>
  <c r="G247" i="4"/>
  <c r="G458" i="4" s="1"/>
  <c r="I458" i="4" s="1"/>
  <c r="I247" i="4" s="1"/>
  <c r="F247" i="4"/>
  <c r="H247" i="4" s="1"/>
  <c r="G246" i="4"/>
  <c r="G457" i="4" s="1"/>
  <c r="I457" i="4" s="1"/>
  <c r="I246" i="4" s="1"/>
  <c r="F246" i="4"/>
  <c r="H246" i="4" s="1"/>
  <c r="G245" i="4"/>
  <c r="G456" i="4" s="1"/>
  <c r="I456" i="4" s="1"/>
  <c r="I245" i="4" s="1"/>
  <c r="F245" i="4"/>
  <c r="H245" i="4" s="1"/>
  <c r="G244" i="4"/>
  <c r="G455" i="4" s="1"/>
  <c r="I455" i="4" s="1"/>
  <c r="I244" i="4" s="1"/>
  <c r="F244" i="4"/>
  <c r="H244" i="4" s="1"/>
  <c r="G243" i="4"/>
  <c r="G454" i="4" s="1"/>
  <c r="I454" i="4" s="1"/>
  <c r="I243" i="4" s="1"/>
  <c r="F243" i="4"/>
  <c r="H243" i="4" s="1"/>
  <c r="G242" i="4"/>
  <c r="G453" i="4" s="1"/>
  <c r="I453" i="4" s="1"/>
  <c r="I242" i="4" s="1"/>
  <c r="F242" i="4"/>
  <c r="H242" i="4" s="1"/>
  <c r="G241" i="4"/>
  <c r="G452" i="4" s="1"/>
  <c r="I452" i="4" s="1"/>
  <c r="I241" i="4" s="1"/>
  <c r="F241" i="4"/>
  <c r="H241" i="4" s="1"/>
  <c r="G240" i="4"/>
  <c r="G451" i="4" s="1"/>
  <c r="I451" i="4" s="1"/>
  <c r="I240" i="4" s="1"/>
  <c r="F240" i="4"/>
  <c r="H240" i="4" s="1"/>
  <c r="G239" i="4"/>
  <c r="G450" i="4" s="1"/>
  <c r="I450" i="4" s="1"/>
  <c r="I239" i="4" s="1"/>
  <c r="F239" i="4"/>
  <c r="H239" i="4" s="1"/>
  <c r="G238" i="4"/>
  <c r="G449" i="4" s="1"/>
  <c r="I449" i="4" s="1"/>
  <c r="I238" i="4" s="1"/>
  <c r="F238" i="4"/>
  <c r="H238" i="4" s="1"/>
  <c r="G237" i="4"/>
  <c r="G448" i="4" s="1"/>
  <c r="I448" i="4" s="1"/>
  <c r="I237" i="4" s="1"/>
  <c r="F237" i="4"/>
  <c r="H237" i="4" s="1"/>
  <c r="G236" i="4"/>
  <c r="G447" i="4" s="1"/>
  <c r="I447" i="4" s="1"/>
  <c r="I236" i="4" s="1"/>
  <c r="F236" i="4"/>
  <c r="H236" i="4" s="1"/>
  <c r="G235" i="4"/>
  <c r="G446" i="4" s="1"/>
  <c r="I446" i="4" s="1"/>
  <c r="I235" i="4" s="1"/>
  <c r="F235" i="4"/>
  <c r="H235" i="4" s="1"/>
  <c r="G234" i="4"/>
  <c r="G445" i="4" s="1"/>
  <c r="I445" i="4" s="1"/>
  <c r="I234" i="4" s="1"/>
  <c r="F234" i="4"/>
  <c r="H234" i="4" s="1"/>
  <c r="G233" i="4"/>
  <c r="G444" i="4" s="1"/>
  <c r="I444" i="4" s="1"/>
  <c r="I233" i="4" s="1"/>
  <c r="F233" i="4"/>
  <c r="H233" i="4" s="1"/>
  <c r="G232" i="4"/>
  <c r="G443" i="4" s="1"/>
  <c r="I443" i="4" s="1"/>
  <c r="I232" i="4" s="1"/>
  <c r="F232" i="4"/>
  <c r="H232" i="4" s="1"/>
  <c r="G231" i="4"/>
  <c r="G442" i="4" s="1"/>
  <c r="I442" i="4" s="1"/>
  <c r="I231" i="4" s="1"/>
  <c r="F231" i="4"/>
  <c r="H231" i="4" s="1"/>
  <c r="G230" i="4"/>
  <c r="G441" i="4" s="1"/>
  <c r="I441" i="4" s="1"/>
  <c r="I230" i="4" s="1"/>
  <c r="F230" i="4"/>
  <c r="H230" i="4" s="1"/>
  <c r="G229" i="4"/>
  <c r="G440" i="4" s="1"/>
  <c r="I440" i="4" s="1"/>
  <c r="I229" i="4" s="1"/>
  <c r="F229" i="4"/>
  <c r="H229" i="4" s="1"/>
  <c r="G228" i="4"/>
  <c r="G439" i="4" s="1"/>
  <c r="I439" i="4" s="1"/>
  <c r="I228" i="4" s="1"/>
  <c r="F228" i="4"/>
  <c r="H228" i="4" s="1"/>
  <c r="G227" i="4"/>
  <c r="G438" i="4" s="1"/>
  <c r="I438" i="4" s="1"/>
  <c r="I227" i="4" s="1"/>
  <c r="F227" i="4"/>
  <c r="H227" i="4" s="1"/>
  <c r="G226" i="4"/>
  <c r="G437" i="4" s="1"/>
  <c r="I437" i="4" s="1"/>
  <c r="I226" i="4" s="1"/>
  <c r="F226" i="4"/>
  <c r="H226" i="4" s="1"/>
  <c r="G225" i="4"/>
  <c r="G436" i="4" s="1"/>
  <c r="I436" i="4" s="1"/>
  <c r="I225" i="4" s="1"/>
  <c r="F225" i="4"/>
  <c r="H225" i="4" s="1"/>
  <c r="G224" i="4"/>
  <c r="G435" i="4" s="1"/>
  <c r="I435" i="4" s="1"/>
  <c r="I224" i="4" s="1"/>
  <c r="F224" i="4"/>
  <c r="H224" i="4" s="1"/>
  <c r="G223" i="4"/>
  <c r="G434" i="4" s="1"/>
  <c r="I434" i="4" s="1"/>
  <c r="I223" i="4" s="1"/>
  <c r="F223" i="4"/>
  <c r="H223" i="4" s="1"/>
  <c r="G222" i="4"/>
  <c r="G433" i="4" s="1"/>
  <c r="I433" i="4" s="1"/>
  <c r="I222" i="4" s="1"/>
  <c r="F222" i="4"/>
  <c r="H222" i="4" s="1"/>
  <c r="G221" i="4"/>
  <c r="G432" i="4" s="1"/>
  <c r="I432" i="4" s="1"/>
  <c r="I221" i="4" s="1"/>
  <c r="F221" i="4"/>
  <c r="H221" i="4" s="1"/>
  <c r="G220" i="4"/>
  <c r="G431" i="4" s="1"/>
  <c r="I431" i="4" s="1"/>
  <c r="I220" i="4" s="1"/>
  <c r="F220" i="4"/>
  <c r="H220" i="4" s="1"/>
  <c r="G219" i="4"/>
  <c r="G430" i="4" s="1"/>
  <c r="I430" i="4" s="1"/>
  <c r="I219" i="4" s="1"/>
  <c r="F219" i="4"/>
  <c r="H219" i="4" s="1"/>
  <c r="G218" i="4"/>
  <c r="G429" i="4" s="1"/>
  <c r="I429" i="4" s="1"/>
  <c r="I218" i="4" s="1"/>
  <c r="F218" i="4"/>
  <c r="H218" i="4" s="1"/>
  <c r="G217" i="4"/>
  <c r="G428" i="4" s="1"/>
  <c r="I428" i="4" s="1"/>
  <c r="I217" i="4" s="1"/>
  <c r="F217" i="4"/>
  <c r="H217" i="4" s="1"/>
  <c r="G216" i="4"/>
  <c r="G427" i="4" s="1"/>
  <c r="I427" i="4" s="1"/>
  <c r="I216" i="4" s="1"/>
  <c r="F216" i="4"/>
  <c r="H216" i="4" s="1"/>
  <c r="G215" i="4"/>
  <c r="G426" i="4" s="1"/>
  <c r="I426" i="4" s="1"/>
  <c r="I215" i="4" s="1"/>
  <c r="F215" i="4"/>
  <c r="H215" i="4" s="1"/>
  <c r="G214" i="4"/>
  <c r="G425" i="4" s="1"/>
  <c r="I425" i="4" s="1"/>
  <c r="I214" i="4" s="1"/>
  <c r="F214" i="4"/>
  <c r="H214" i="4" s="1"/>
  <c r="G213" i="4"/>
  <c r="G424" i="4" s="1"/>
  <c r="I424" i="4" s="1"/>
  <c r="I213" i="4" s="1"/>
  <c r="F213" i="4"/>
  <c r="H213" i="4" s="1"/>
  <c r="G212" i="4"/>
  <c r="G423" i="4" s="1"/>
  <c r="I423" i="4" s="1"/>
  <c r="I212" i="4" s="1"/>
  <c r="F212" i="4"/>
  <c r="H212" i="4" s="1"/>
  <c r="G211" i="4"/>
  <c r="G422" i="4" s="1"/>
  <c r="I422" i="4" s="1"/>
  <c r="I211" i="4" s="1"/>
  <c r="F211" i="4"/>
  <c r="H211" i="4" s="1"/>
  <c r="G210" i="4"/>
  <c r="G421" i="4" s="1"/>
  <c r="I421" i="4" s="1"/>
  <c r="I210" i="4" s="1"/>
  <c r="F210" i="4"/>
  <c r="H210" i="4" s="1"/>
  <c r="G209" i="4"/>
  <c r="I209" i="4" s="1"/>
  <c r="F209" i="4"/>
  <c r="H209" i="4" s="1"/>
  <c r="G208" i="4"/>
  <c r="I208" i="4" s="1"/>
  <c r="F208" i="4"/>
  <c r="H208" i="4" s="1"/>
  <c r="G207" i="4"/>
  <c r="I207" i="4" s="1"/>
  <c r="F207" i="4"/>
  <c r="H207" i="4" s="1"/>
  <c r="G206" i="4"/>
  <c r="I206" i="4" s="1"/>
  <c r="F206" i="4"/>
  <c r="H206" i="4" s="1"/>
  <c r="G205" i="4"/>
  <c r="I205" i="4" s="1"/>
  <c r="F205" i="4"/>
  <c r="H205" i="4" s="1"/>
  <c r="G204" i="4"/>
  <c r="I204" i="4" s="1"/>
  <c r="F204" i="4"/>
  <c r="H204" i="4" s="1"/>
  <c r="G203" i="4"/>
  <c r="I203" i="4" s="1"/>
  <c r="F203" i="4"/>
  <c r="H203" i="4" s="1"/>
  <c r="G202" i="4"/>
  <c r="I202" i="4" s="1"/>
  <c r="F202" i="4"/>
  <c r="H202" i="4" s="1"/>
  <c r="G201" i="4"/>
  <c r="I201" i="4" s="1"/>
  <c r="F201" i="4"/>
  <c r="H201" i="4" s="1"/>
  <c r="G200" i="4"/>
  <c r="I200" i="4" s="1"/>
  <c r="F200" i="4"/>
  <c r="H200" i="4" s="1"/>
  <c r="G199" i="4"/>
  <c r="I199" i="4" s="1"/>
  <c r="F199" i="4"/>
  <c r="H199" i="4" s="1"/>
  <c r="G198" i="4"/>
  <c r="I198" i="4" s="1"/>
  <c r="F198" i="4"/>
  <c r="H198" i="4" s="1"/>
  <c r="G197" i="4"/>
  <c r="I197" i="4" s="1"/>
  <c r="F197" i="4"/>
  <c r="H197" i="4" s="1"/>
  <c r="G196" i="4"/>
  <c r="I196" i="4" s="1"/>
  <c r="F196" i="4"/>
  <c r="H196" i="4" s="1"/>
  <c r="G195" i="4"/>
  <c r="I195" i="4" s="1"/>
  <c r="F195" i="4"/>
  <c r="H195" i="4" s="1"/>
  <c r="G194" i="4"/>
  <c r="I194" i="4" s="1"/>
  <c r="F194" i="4"/>
  <c r="H194" i="4" s="1"/>
  <c r="G193" i="4"/>
  <c r="I193" i="4" s="1"/>
  <c r="F193" i="4"/>
  <c r="H193" i="4" s="1"/>
  <c r="G192" i="4"/>
  <c r="I192" i="4" s="1"/>
  <c r="F192" i="4"/>
  <c r="H192" i="4" s="1"/>
  <c r="G191" i="4"/>
  <c r="I191" i="4" s="1"/>
  <c r="F191" i="4"/>
  <c r="H191" i="4" s="1"/>
  <c r="G190" i="4"/>
  <c r="I190" i="4" s="1"/>
  <c r="F190" i="4"/>
  <c r="H190" i="4" s="1"/>
  <c r="G189" i="4"/>
  <c r="I189" i="4" s="1"/>
  <c r="F189" i="4"/>
  <c r="H189" i="4" s="1"/>
  <c r="G188" i="4"/>
  <c r="I188" i="4" s="1"/>
  <c r="F188" i="4"/>
  <c r="H188" i="4" s="1"/>
  <c r="G187" i="4"/>
  <c r="I187" i="4" s="1"/>
  <c r="F187" i="4"/>
  <c r="H187" i="4" s="1"/>
  <c r="G186" i="4"/>
  <c r="I186" i="4" s="1"/>
  <c r="F186" i="4"/>
  <c r="H186" i="4" s="1"/>
  <c r="G185" i="4"/>
  <c r="I185" i="4" s="1"/>
  <c r="F185" i="4"/>
  <c r="H185" i="4" s="1"/>
  <c r="G184" i="4"/>
  <c r="I184" i="4" s="1"/>
  <c r="F184" i="4"/>
  <c r="H184" i="4" s="1"/>
  <c r="G183" i="4"/>
  <c r="I183" i="4" s="1"/>
  <c r="F183" i="4"/>
  <c r="H183" i="4" s="1"/>
  <c r="G182" i="4"/>
  <c r="I182" i="4" s="1"/>
  <c r="F182" i="4"/>
  <c r="H182" i="4" s="1"/>
  <c r="G181" i="4"/>
  <c r="I181" i="4" s="1"/>
  <c r="F181" i="4"/>
  <c r="H181" i="4" s="1"/>
  <c r="G180" i="4"/>
  <c r="I180" i="4" s="1"/>
  <c r="F180" i="4"/>
  <c r="H180" i="4" s="1"/>
  <c r="G179" i="4"/>
  <c r="I179" i="4" s="1"/>
  <c r="F179" i="4"/>
  <c r="H179" i="4" s="1"/>
  <c r="G178" i="4"/>
  <c r="I178" i="4" s="1"/>
  <c r="F178" i="4"/>
  <c r="H178" i="4" s="1"/>
  <c r="G177" i="4"/>
  <c r="I177" i="4" s="1"/>
  <c r="F177" i="4"/>
  <c r="H177" i="4" s="1"/>
  <c r="G176" i="4"/>
  <c r="I176" i="4" s="1"/>
  <c r="F176" i="4"/>
  <c r="H176" i="4" s="1"/>
  <c r="G175" i="4"/>
  <c r="I175" i="4" s="1"/>
  <c r="F175" i="4"/>
  <c r="H175" i="4" s="1"/>
  <c r="G174" i="4"/>
  <c r="I174" i="4" s="1"/>
  <c r="F174" i="4"/>
  <c r="H174" i="4" s="1"/>
  <c r="G173" i="4"/>
  <c r="I173" i="4" s="1"/>
  <c r="F173" i="4"/>
  <c r="H173" i="4" s="1"/>
  <c r="G172" i="4"/>
  <c r="I172" i="4" s="1"/>
  <c r="F172" i="4"/>
  <c r="H172" i="4" s="1"/>
  <c r="G171" i="4"/>
  <c r="I171" i="4" s="1"/>
  <c r="F171" i="4"/>
  <c r="H171" i="4" s="1"/>
  <c r="G170" i="4"/>
  <c r="I170" i="4" s="1"/>
  <c r="F170" i="4"/>
  <c r="H170" i="4" s="1"/>
  <c r="G169" i="4"/>
  <c r="I169" i="4" s="1"/>
  <c r="F169" i="4"/>
  <c r="H169" i="4" s="1"/>
  <c r="G168" i="4"/>
  <c r="I168" i="4" s="1"/>
  <c r="F168" i="4"/>
  <c r="H168" i="4" s="1"/>
  <c r="G167" i="4"/>
  <c r="I167" i="4" s="1"/>
  <c r="F167" i="4"/>
  <c r="H167" i="4" s="1"/>
  <c r="G166" i="4"/>
  <c r="I166" i="4" s="1"/>
  <c r="F166" i="4"/>
  <c r="H166" i="4" s="1"/>
  <c r="G165" i="4"/>
  <c r="I165" i="4" s="1"/>
  <c r="F165" i="4"/>
  <c r="H165" i="4" s="1"/>
  <c r="G164" i="4"/>
  <c r="I164" i="4" s="1"/>
  <c r="F164" i="4"/>
  <c r="H164" i="4" s="1"/>
  <c r="G163" i="4"/>
  <c r="I163" i="4" s="1"/>
  <c r="F163" i="4"/>
  <c r="H163" i="4" s="1"/>
  <c r="G162" i="4"/>
  <c r="I162" i="4" s="1"/>
  <c r="F162" i="4"/>
  <c r="H162" i="4" s="1"/>
  <c r="G161" i="4"/>
  <c r="I161" i="4" s="1"/>
  <c r="F161" i="4"/>
  <c r="H161" i="4" s="1"/>
  <c r="G160" i="4"/>
  <c r="I160" i="4" s="1"/>
  <c r="F160" i="4"/>
  <c r="H160" i="4" s="1"/>
  <c r="G159" i="4"/>
  <c r="I159" i="4" s="1"/>
  <c r="F159" i="4"/>
  <c r="H159" i="4" s="1"/>
  <c r="G158" i="4"/>
  <c r="I158" i="4" s="1"/>
  <c r="F158" i="4"/>
  <c r="H158" i="4" s="1"/>
  <c r="G157" i="4"/>
  <c r="I157" i="4" s="1"/>
  <c r="F157" i="4"/>
  <c r="H157" i="4" s="1"/>
  <c r="G156" i="4"/>
  <c r="I156" i="4" s="1"/>
  <c r="F156" i="4"/>
  <c r="H156" i="4" s="1"/>
  <c r="G155" i="4"/>
  <c r="I155" i="4" s="1"/>
  <c r="F155" i="4"/>
  <c r="H155" i="4" s="1"/>
  <c r="G154" i="4"/>
  <c r="I154" i="4" s="1"/>
  <c r="F154" i="4"/>
  <c r="H154" i="4" s="1"/>
  <c r="G153" i="4"/>
  <c r="I153" i="4" s="1"/>
  <c r="F153" i="4"/>
  <c r="H153" i="4" s="1"/>
  <c r="G152" i="4"/>
  <c r="I152" i="4" s="1"/>
  <c r="F152" i="4"/>
  <c r="H152" i="4" s="1"/>
  <c r="G151" i="4"/>
  <c r="I151" i="4" s="1"/>
  <c r="F151" i="4"/>
  <c r="H151" i="4" s="1"/>
  <c r="G150" i="4"/>
  <c r="I150" i="4" s="1"/>
  <c r="F150" i="4"/>
  <c r="H150" i="4" s="1"/>
  <c r="G149" i="4"/>
  <c r="I149" i="4" s="1"/>
  <c r="F149" i="4"/>
  <c r="H149" i="4" s="1"/>
  <c r="G148" i="4"/>
  <c r="I148" i="4" s="1"/>
  <c r="F148" i="4"/>
  <c r="H148" i="4" s="1"/>
  <c r="G147" i="4"/>
  <c r="I147" i="4" s="1"/>
  <c r="F147" i="4"/>
  <c r="H147" i="4" s="1"/>
  <c r="G146" i="4"/>
  <c r="I146" i="4" s="1"/>
  <c r="F146" i="4"/>
  <c r="H146" i="4" s="1"/>
  <c r="G145" i="4"/>
  <c r="I145" i="4" s="1"/>
  <c r="F145" i="4"/>
  <c r="H145" i="4" s="1"/>
  <c r="G144" i="4"/>
  <c r="I144" i="4" s="1"/>
  <c r="F144" i="4"/>
  <c r="H144" i="4" s="1"/>
  <c r="G143" i="4"/>
  <c r="I143" i="4" s="1"/>
  <c r="F143" i="4"/>
  <c r="H143" i="4" s="1"/>
  <c r="G142" i="4"/>
  <c r="I142" i="4" s="1"/>
  <c r="F142" i="4"/>
  <c r="H142" i="4" s="1"/>
  <c r="G141" i="4"/>
  <c r="I141" i="4" s="1"/>
  <c r="F141" i="4"/>
  <c r="H141" i="4" s="1"/>
  <c r="G140" i="4"/>
  <c r="I140" i="4" s="1"/>
  <c r="F140" i="4"/>
  <c r="H140" i="4" s="1"/>
  <c r="G139" i="4"/>
  <c r="F139" i="4"/>
  <c r="H139" i="4" s="1"/>
  <c r="G138" i="4"/>
  <c r="F138" i="4"/>
  <c r="H138" i="4" s="1"/>
  <c r="G137" i="4"/>
  <c r="F137" i="4"/>
  <c r="H137" i="4" s="1"/>
  <c r="G136" i="4"/>
  <c r="F136" i="4"/>
  <c r="H136" i="4" s="1"/>
  <c r="G135" i="4"/>
  <c r="F135" i="4"/>
  <c r="H135" i="4" s="1"/>
  <c r="G134" i="4"/>
  <c r="F134" i="4"/>
  <c r="H134" i="4" s="1"/>
  <c r="G133" i="4"/>
  <c r="F133" i="4"/>
  <c r="H133" i="4" s="1"/>
  <c r="G132" i="4"/>
  <c r="F132" i="4"/>
  <c r="H132" i="4" s="1"/>
  <c r="G131" i="4"/>
  <c r="F131" i="4"/>
  <c r="H131" i="4" s="1"/>
  <c r="G130" i="4"/>
  <c r="F130" i="4"/>
  <c r="H130" i="4" s="1"/>
  <c r="G129" i="4"/>
  <c r="F129" i="4"/>
  <c r="H129" i="4" s="1"/>
  <c r="G128" i="4"/>
  <c r="F128" i="4"/>
  <c r="H128" i="4" s="1"/>
  <c r="G127" i="4"/>
  <c r="F127" i="4"/>
  <c r="H127" i="4" s="1"/>
  <c r="G126" i="4"/>
  <c r="F126" i="4"/>
  <c r="H126" i="4" s="1"/>
  <c r="G125" i="4"/>
  <c r="F125" i="4"/>
  <c r="H125" i="4" s="1"/>
  <c r="G124" i="4"/>
  <c r="F124" i="4"/>
  <c r="H124" i="4" s="1"/>
  <c r="G123" i="4"/>
  <c r="F123" i="4"/>
  <c r="H123" i="4" s="1"/>
  <c r="G122" i="4"/>
  <c r="F122" i="4"/>
  <c r="H122" i="4" s="1"/>
  <c r="G121" i="4"/>
  <c r="F121" i="4"/>
  <c r="H121" i="4" s="1"/>
  <c r="G120" i="4"/>
  <c r="F120" i="4"/>
  <c r="H120" i="4" s="1"/>
  <c r="G119" i="4"/>
  <c r="F119" i="4"/>
  <c r="H119" i="4" s="1"/>
  <c r="G118" i="4"/>
  <c r="F118" i="4"/>
  <c r="H118" i="4" s="1"/>
  <c r="G117" i="4"/>
  <c r="F117" i="4"/>
  <c r="H117" i="4" s="1"/>
  <c r="G116" i="4"/>
  <c r="F116" i="4"/>
  <c r="H116" i="4" s="1"/>
  <c r="G115" i="4"/>
  <c r="F115" i="4"/>
  <c r="H115" i="4" s="1"/>
  <c r="G114" i="4"/>
  <c r="F114" i="4"/>
  <c r="H114" i="4" s="1"/>
  <c r="G113" i="4"/>
  <c r="F113" i="4"/>
  <c r="H113" i="4" s="1"/>
  <c r="G112" i="4"/>
  <c r="F112" i="4"/>
  <c r="H112" i="4" s="1"/>
  <c r="G111" i="4"/>
  <c r="F111" i="4"/>
  <c r="H111" i="4" s="1"/>
  <c r="G110" i="4"/>
  <c r="F110" i="4"/>
  <c r="H110" i="4" s="1"/>
  <c r="G109" i="4"/>
  <c r="F109" i="4"/>
  <c r="H109" i="4" s="1"/>
  <c r="G108" i="4"/>
  <c r="F108" i="4"/>
  <c r="H108" i="4" s="1"/>
  <c r="G107" i="4"/>
  <c r="F107" i="4"/>
  <c r="H107" i="4" s="1"/>
  <c r="G106" i="4"/>
  <c r="F106" i="4"/>
  <c r="H106" i="4" s="1"/>
  <c r="G105" i="4"/>
  <c r="F105" i="4"/>
  <c r="H105" i="4" s="1"/>
  <c r="G104" i="4"/>
  <c r="F104" i="4"/>
  <c r="H104" i="4" s="1"/>
  <c r="G103" i="4"/>
  <c r="F103" i="4"/>
  <c r="H103" i="4" s="1"/>
  <c r="G102" i="4"/>
  <c r="F102" i="4"/>
  <c r="H102" i="4" s="1"/>
  <c r="G101" i="4"/>
  <c r="F101" i="4"/>
  <c r="H101" i="4" s="1"/>
  <c r="G100" i="4"/>
  <c r="F100" i="4"/>
  <c r="H100" i="4" s="1"/>
  <c r="G99" i="4"/>
  <c r="F99" i="4"/>
  <c r="H99" i="4" s="1"/>
  <c r="G98" i="4"/>
  <c r="F98" i="4"/>
  <c r="H98" i="4" s="1"/>
  <c r="G97" i="4"/>
  <c r="F97" i="4"/>
  <c r="H97" i="4" s="1"/>
  <c r="G96" i="4"/>
  <c r="F96" i="4"/>
  <c r="H96" i="4" s="1"/>
  <c r="G95" i="4"/>
  <c r="F95" i="4"/>
  <c r="H95" i="4" s="1"/>
  <c r="G94" i="4"/>
  <c r="F94" i="4"/>
  <c r="H94" i="4" s="1"/>
  <c r="G93" i="4"/>
  <c r="F93" i="4"/>
  <c r="H93" i="4" s="1"/>
  <c r="G92" i="4"/>
  <c r="F92" i="4"/>
  <c r="H92" i="4" s="1"/>
  <c r="G91" i="4"/>
  <c r="F91" i="4"/>
  <c r="H91" i="4" s="1"/>
  <c r="G90" i="4"/>
  <c r="F90" i="4"/>
  <c r="H90" i="4" s="1"/>
  <c r="G89" i="4"/>
  <c r="F89" i="4"/>
  <c r="H89" i="4" s="1"/>
  <c r="G88" i="4"/>
  <c r="F88" i="4"/>
  <c r="H88" i="4" s="1"/>
  <c r="G87" i="4"/>
  <c r="F87" i="4"/>
  <c r="H87" i="4" s="1"/>
  <c r="G86" i="4"/>
  <c r="F86" i="4"/>
  <c r="H86" i="4" s="1"/>
  <c r="G85" i="4"/>
  <c r="F85" i="4"/>
  <c r="H85" i="4" s="1"/>
  <c r="G84" i="4"/>
  <c r="F84" i="4"/>
  <c r="H84" i="4" s="1"/>
  <c r="G83" i="4"/>
  <c r="F83" i="4"/>
  <c r="H83" i="4" s="1"/>
  <c r="G82" i="4"/>
  <c r="F82" i="4"/>
  <c r="H82" i="4" s="1"/>
  <c r="G81" i="4"/>
  <c r="F81" i="4"/>
  <c r="H81" i="4" s="1"/>
  <c r="G80" i="4"/>
  <c r="F80" i="4"/>
  <c r="H80" i="4" s="1"/>
  <c r="G79" i="4"/>
  <c r="F79" i="4"/>
  <c r="H79" i="4" s="1"/>
  <c r="G78" i="4"/>
  <c r="F78" i="4"/>
  <c r="H78" i="4" s="1"/>
  <c r="G77" i="4"/>
  <c r="F77" i="4"/>
  <c r="H77" i="4" s="1"/>
  <c r="G76" i="4"/>
  <c r="F76" i="4"/>
  <c r="H76" i="4" s="1"/>
  <c r="G75" i="4"/>
  <c r="F75" i="4"/>
  <c r="H75" i="4" s="1"/>
  <c r="G74" i="4"/>
  <c r="F74" i="4"/>
  <c r="H74" i="4" s="1"/>
  <c r="G73" i="4"/>
  <c r="F73" i="4"/>
  <c r="H73" i="4" s="1"/>
  <c r="G72" i="4"/>
  <c r="F72" i="4"/>
  <c r="H72" i="4" s="1"/>
  <c r="G71" i="4"/>
  <c r="F71" i="4"/>
  <c r="H71" i="4" s="1"/>
  <c r="G70" i="4"/>
  <c r="F70" i="4"/>
  <c r="H70" i="4" s="1"/>
  <c r="G69" i="4"/>
  <c r="F69" i="4"/>
  <c r="H69" i="4" s="1"/>
  <c r="G68" i="4"/>
  <c r="F68" i="4"/>
  <c r="H68" i="4" s="1"/>
  <c r="G67" i="4"/>
  <c r="F67" i="4"/>
  <c r="H67" i="4" s="1"/>
  <c r="G66" i="4"/>
  <c r="F66" i="4"/>
  <c r="H66" i="4" s="1"/>
  <c r="G65" i="4"/>
  <c r="F65" i="4"/>
  <c r="H65" i="4" s="1"/>
  <c r="G64" i="4"/>
  <c r="F64" i="4"/>
  <c r="H64" i="4" s="1"/>
  <c r="G63" i="4"/>
  <c r="F63" i="4"/>
  <c r="H63" i="4" s="1"/>
  <c r="G62" i="4"/>
  <c r="F62" i="4"/>
  <c r="H62" i="4" s="1"/>
  <c r="G61" i="4"/>
  <c r="F61" i="4"/>
  <c r="H61" i="4" s="1"/>
  <c r="G60" i="4"/>
  <c r="F60" i="4"/>
  <c r="H60" i="4" s="1"/>
  <c r="G59" i="4"/>
  <c r="F59" i="4"/>
  <c r="H59" i="4" s="1"/>
  <c r="G58" i="4"/>
  <c r="F58" i="4"/>
  <c r="H58" i="4" s="1"/>
  <c r="G57" i="4"/>
  <c r="F57" i="4"/>
  <c r="H57" i="4" s="1"/>
  <c r="G56" i="4"/>
  <c r="F56" i="4"/>
  <c r="H56" i="4" s="1"/>
  <c r="G55" i="4"/>
  <c r="F55" i="4"/>
  <c r="H55" i="4" s="1"/>
  <c r="G54" i="4"/>
  <c r="F54" i="4"/>
  <c r="H54" i="4" s="1"/>
  <c r="G53" i="4"/>
  <c r="F53" i="4"/>
  <c r="H53" i="4" s="1"/>
  <c r="G52" i="4"/>
  <c r="F52" i="4"/>
  <c r="H52" i="4" s="1"/>
  <c r="G51" i="4"/>
  <c r="F51" i="4"/>
  <c r="H51" i="4" s="1"/>
  <c r="G50" i="4"/>
  <c r="F50" i="4"/>
  <c r="H50" i="4" s="1"/>
  <c r="G49" i="4"/>
  <c r="F49" i="4"/>
  <c r="H49" i="4" s="1"/>
  <c r="G48" i="4"/>
  <c r="F48" i="4"/>
  <c r="H48" i="4" s="1"/>
  <c r="G47" i="4"/>
  <c r="F47" i="4"/>
  <c r="H47" i="4" s="1"/>
  <c r="G46" i="4"/>
  <c r="F46" i="4"/>
  <c r="H46" i="4" s="1"/>
  <c r="G45" i="4"/>
  <c r="F45" i="4"/>
  <c r="H45" i="4" s="1"/>
  <c r="G44" i="4"/>
  <c r="F44" i="4"/>
  <c r="H44" i="4" s="1"/>
  <c r="G43" i="4"/>
  <c r="F43" i="4"/>
  <c r="H43" i="4" s="1"/>
  <c r="G42" i="4"/>
  <c r="F42" i="4"/>
  <c r="H42" i="4" s="1"/>
  <c r="G41" i="4"/>
  <c r="F41" i="4"/>
  <c r="H41" i="4" s="1"/>
  <c r="G40" i="4"/>
  <c r="F40" i="4"/>
  <c r="H40" i="4" s="1"/>
  <c r="G39" i="4"/>
  <c r="F39" i="4"/>
  <c r="H39" i="4" s="1"/>
  <c r="G38" i="4"/>
  <c r="F38" i="4"/>
  <c r="H38" i="4" s="1"/>
  <c r="G37" i="4"/>
  <c r="F37" i="4"/>
  <c r="H37" i="4" s="1"/>
  <c r="G36" i="4"/>
  <c r="F36" i="4"/>
  <c r="H36" i="4" s="1"/>
  <c r="G35" i="4"/>
  <c r="F35" i="4"/>
  <c r="H35" i="4" s="1"/>
  <c r="G34" i="4"/>
  <c r="F34" i="4"/>
  <c r="H34" i="4" s="1"/>
  <c r="G33" i="4"/>
  <c r="F33" i="4"/>
  <c r="H33" i="4" s="1"/>
  <c r="G32" i="4"/>
  <c r="F32" i="4"/>
  <c r="H32" i="4" s="1"/>
  <c r="G31" i="4"/>
  <c r="F31" i="4"/>
  <c r="H31" i="4" s="1"/>
  <c r="G30" i="4"/>
  <c r="F30" i="4"/>
  <c r="H30" i="4" s="1"/>
  <c r="G29" i="4"/>
  <c r="F29" i="4"/>
  <c r="H29" i="4" s="1"/>
  <c r="G28" i="4"/>
  <c r="F28" i="4"/>
  <c r="H28" i="4" s="1"/>
  <c r="G27" i="4"/>
  <c r="F27" i="4"/>
  <c r="H27" i="4" s="1"/>
  <c r="G26" i="4"/>
  <c r="F26" i="4"/>
  <c r="H26" i="4" s="1"/>
  <c r="G25" i="4"/>
  <c r="F25" i="4"/>
  <c r="H25" i="4" s="1"/>
  <c r="G24" i="4"/>
  <c r="F24" i="4"/>
  <c r="H24" i="4" s="1"/>
  <c r="G23" i="4"/>
  <c r="F23" i="4"/>
  <c r="H23" i="4" s="1"/>
  <c r="G22" i="4"/>
  <c r="F22" i="4"/>
  <c r="H22" i="4" s="1"/>
  <c r="G21" i="4"/>
  <c r="F21" i="4"/>
  <c r="H21" i="4" s="1"/>
  <c r="G20" i="4"/>
  <c r="F20" i="4"/>
  <c r="H20" i="4" s="1"/>
  <c r="G19" i="4"/>
  <c r="F19" i="4"/>
  <c r="H19" i="4" s="1"/>
  <c r="G18" i="4"/>
  <c r="F18" i="4"/>
  <c r="H18" i="4" s="1"/>
  <c r="G17" i="4"/>
  <c r="F17" i="4"/>
  <c r="H17" i="4" s="1"/>
  <c r="G16" i="4"/>
  <c r="F16" i="4"/>
  <c r="H16" i="4" s="1"/>
  <c r="G15" i="4"/>
  <c r="F15" i="4"/>
  <c r="H15" i="4" s="1"/>
  <c r="G14" i="4"/>
  <c r="F14" i="4"/>
  <c r="H14" i="4" s="1"/>
  <c r="G13" i="4"/>
  <c r="F13" i="4"/>
  <c r="H13" i="4" s="1"/>
  <c r="G12" i="4"/>
  <c r="F12" i="4"/>
  <c r="H12" i="4" s="1"/>
  <c r="G11" i="4"/>
  <c r="F11" i="4"/>
  <c r="H11" i="4" s="1"/>
  <c r="G10" i="4"/>
  <c r="F10" i="4"/>
  <c r="H10" i="4" s="1"/>
  <c r="G9" i="4"/>
  <c r="F9" i="4"/>
  <c r="H9" i="4" s="1"/>
  <c r="G8" i="4"/>
  <c r="F8" i="4"/>
  <c r="H8" i="4" s="1"/>
  <c r="G7" i="4"/>
  <c r="F7" i="4"/>
  <c r="H7" i="4" s="1"/>
  <c r="G6" i="4"/>
  <c r="F6" i="4"/>
  <c r="H6" i="4" s="1"/>
  <c r="G5" i="4"/>
  <c r="F5" i="4"/>
  <c r="H5" i="4" s="1"/>
  <c r="G4" i="4"/>
  <c r="F4" i="4"/>
  <c r="H4" i="4" s="1"/>
  <c r="G3" i="4"/>
  <c r="F3" i="4"/>
  <c r="H3" i="4" s="1"/>
  <c r="G2" i="4"/>
  <c r="F2" i="4"/>
  <c r="H2" i="4" s="1"/>
  <c r="E3275" i="3"/>
  <c r="G3275" i="3" s="1"/>
  <c r="E3274" i="3"/>
  <c r="G3274" i="3" s="1"/>
  <c r="E3273" i="3"/>
  <c r="G3273" i="3" s="1"/>
  <c r="E3272" i="3"/>
  <c r="G3272" i="3" s="1"/>
  <c r="E3271" i="3"/>
  <c r="G3271" i="3" s="1"/>
  <c r="E3270" i="3"/>
  <c r="G3270" i="3" s="1"/>
  <c r="E3269" i="3"/>
  <c r="G3269" i="3" s="1"/>
  <c r="E3268" i="3"/>
  <c r="G3268" i="3" s="1"/>
  <c r="E3267" i="3"/>
  <c r="G3267" i="3" s="1"/>
  <c r="E3266" i="3"/>
  <c r="G3266" i="3" s="1"/>
  <c r="E3265" i="3"/>
  <c r="G3265" i="3" s="1"/>
  <c r="E3264" i="3"/>
  <c r="G3264" i="3" s="1"/>
  <c r="E3263" i="3"/>
  <c r="G3263" i="3" s="1"/>
  <c r="E3262" i="3"/>
  <c r="G3262" i="3" s="1"/>
  <c r="E3261" i="3"/>
  <c r="G3261" i="3" s="1"/>
  <c r="E3260" i="3"/>
  <c r="G3260" i="3" s="1"/>
  <c r="E3259" i="3"/>
  <c r="G3259" i="3" s="1"/>
  <c r="E3258" i="3"/>
  <c r="G3258" i="3" s="1"/>
  <c r="E3257" i="3"/>
  <c r="G3257" i="3" s="1"/>
  <c r="E3256" i="3"/>
  <c r="G3256" i="3" s="1"/>
  <c r="E3255" i="3"/>
  <c r="G3255" i="3" s="1"/>
  <c r="E3254" i="3"/>
  <c r="G3254" i="3" s="1"/>
  <c r="E3253" i="3"/>
  <c r="G3253" i="3" s="1"/>
  <c r="E3252" i="3"/>
  <c r="G3252" i="3" s="1"/>
  <c r="E3251" i="3"/>
  <c r="G3251" i="3" s="1"/>
  <c r="E3250" i="3"/>
  <c r="G3250" i="3" s="1"/>
  <c r="E3249" i="3"/>
  <c r="G3249" i="3" s="1"/>
  <c r="E3248" i="3"/>
  <c r="G3248" i="3" s="1"/>
  <c r="E3247" i="3"/>
  <c r="G3247" i="3" s="1"/>
  <c r="E3246" i="3"/>
  <c r="G3246" i="3" s="1"/>
  <c r="E3245" i="3"/>
  <c r="G3245" i="3" s="1"/>
  <c r="E3244" i="3"/>
  <c r="G3244" i="3" s="1"/>
  <c r="E3243" i="3"/>
  <c r="G3243" i="3" s="1"/>
  <c r="E3242" i="3"/>
  <c r="G3242" i="3" s="1"/>
  <c r="E3241" i="3"/>
  <c r="G3241" i="3" s="1"/>
  <c r="E3240" i="3"/>
  <c r="G3240" i="3" s="1"/>
  <c r="E3239" i="3"/>
  <c r="G3239" i="3" s="1"/>
  <c r="E3238" i="3"/>
  <c r="G3238" i="3" s="1"/>
  <c r="E3237" i="3"/>
  <c r="G3237" i="3" s="1"/>
  <c r="E3236" i="3"/>
  <c r="G3236" i="3" s="1"/>
  <c r="E3235" i="3"/>
  <c r="G3235" i="3" s="1"/>
  <c r="E3234" i="3"/>
  <c r="G3234" i="3" s="1"/>
  <c r="E3233" i="3"/>
  <c r="G3233" i="3" s="1"/>
  <c r="E3232" i="3"/>
  <c r="G3232" i="3" s="1"/>
  <c r="E3231" i="3"/>
  <c r="G3231" i="3" s="1"/>
  <c r="E3230" i="3"/>
  <c r="G3230" i="3" s="1"/>
  <c r="E3229" i="3"/>
  <c r="G3229" i="3" s="1"/>
  <c r="E3228" i="3"/>
  <c r="G3228" i="3" s="1"/>
  <c r="E3227" i="3"/>
  <c r="G3227" i="3" s="1"/>
  <c r="E3226" i="3"/>
  <c r="G3226" i="3" s="1"/>
  <c r="E3225" i="3"/>
  <c r="G3225" i="3" s="1"/>
  <c r="E3224" i="3"/>
  <c r="G3224" i="3" s="1"/>
  <c r="E3223" i="3"/>
  <c r="G3223" i="3" s="1"/>
  <c r="E3222" i="3"/>
  <c r="G3222" i="3" s="1"/>
  <c r="E3221" i="3"/>
  <c r="G3221" i="3" s="1"/>
  <c r="E3220" i="3"/>
  <c r="G3220" i="3" s="1"/>
  <c r="E3219" i="3"/>
  <c r="G3219" i="3" s="1"/>
  <c r="E3218" i="3"/>
  <c r="G3218" i="3" s="1"/>
  <c r="E3217" i="3"/>
  <c r="G3217" i="3" s="1"/>
  <c r="E3216" i="3"/>
  <c r="G3216" i="3" s="1"/>
  <c r="E3215" i="3"/>
  <c r="G3215" i="3" s="1"/>
  <c r="E3214" i="3"/>
  <c r="G3214" i="3" s="1"/>
  <c r="E3213" i="3"/>
  <c r="G3213" i="3" s="1"/>
  <c r="E3212" i="3"/>
  <c r="G3212" i="3" s="1"/>
  <c r="E3211" i="3"/>
  <c r="G3211" i="3" s="1"/>
  <c r="E3210" i="3"/>
  <c r="G3210" i="3" s="1"/>
  <c r="E3209" i="3"/>
  <c r="G3209" i="3" s="1"/>
  <c r="E3208" i="3"/>
  <c r="G3208" i="3" s="1"/>
  <c r="E3207" i="3"/>
  <c r="G3207" i="3" s="1"/>
  <c r="E3206" i="3"/>
  <c r="G3206" i="3" s="1"/>
  <c r="E3205" i="3"/>
  <c r="G3205" i="3" s="1"/>
  <c r="E3204" i="3"/>
  <c r="G3204" i="3" s="1"/>
  <c r="E3203" i="3"/>
  <c r="G3203" i="3" s="1"/>
  <c r="E3202" i="3"/>
  <c r="G3202" i="3" s="1"/>
  <c r="E3201" i="3"/>
  <c r="G3201" i="3" s="1"/>
  <c r="E3200" i="3"/>
  <c r="G3200" i="3" s="1"/>
  <c r="E3199" i="3"/>
  <c r="G3199" i="3" s="1"/>
  <c r="E3198" i="3"/>
  <c r="G3198" i="3" s="1"/>
  <c r="E3197" i="3"/>
  <c r="G3197" i="3" s="1"/>
  <c r="E3196" i="3"/>
  <c r="G3196" i="3" s="1"/>
  <c r="E3195" i="3"/>
  <c r="G3195" i="3" s="1"/>
  <c r="E3194" i="3"/>
  <c r="G3194" i="3" s="1"/>
  <c r="E3193" i="3"/>
  <c r="G3193" i="3" s="1"/>
  <c r="E3192" i="3"/>
  <c r="G3192" i="3" s="1"/>
  <c r="E3191" i="3"/>
  <c r="G3191" i="3" s="1"/>
  <c r="E3190" i="3"/>
  <c r="G3190" i="3" s="1"/>
  <c r="E3189" i="3"/>
  <c r="G3189" i="3" s="1"/>
  <c r="E3188" i="3"/>
  <c r="G3188" i="3" s="1"/>
  <c r="E3187" i="3"/>
  <c r="G3187" i="3" s="1"/>
  <c r="E3186" i="3"/>
  <c r="G3186" i="3" s="1"/>
  <c r="E3185" i="3"/>
  <c r="G3185" i="3" s="1"/>
  <c r="E3184" i="3"/>
  <c r="G3184" i="3" s="1"/>
  <c r="E3183" i="3"/>
  <c r="G3183" i="3" s="1"/>
  <c r="E3182" i="3"/>
  <c r="G3182" i="3" s="1"/>
  <c r="E3181" i="3"/>
  <c r="G3181" i="3" s="1"/>
  <c r="E3180" i="3"/>
  <c r="G3180" i="3" s="1"/>
  <c r="E3179" i="3"/>
  <c r="G3179" i="3" s="1"/>
  <c r="E3178" i="3"/>
  <c r="G3178" i="3" s="1"/>
  <c r="E3177" i="3"/>
  <c r="G3177" i="3" s="1"/>
  <c r="E3176" i="3"/>
  <c r="G3176" i="3" s="1"/>
  <c r="E3175" i="3"/>
  <c r="G3175" i="3" s="1"/>
  <c r="E3174" i="3"/>
  <c r="G3174" i="3" s="1"/>
  <c r="E3173" i="3"/>
  <c r="G3173" i="3" s="1"/>
  <c r="E3172" i="3"/>
  <c r="G3172" i="3" s="1"/>
  <c r="E3171" i="3"/>
  <c r="G3171" i="3" s="1"/>
  <c r="E3170" i="3"/>
  <c r="G3170" i="3" s="1"/>
  <c r="E3169" i="3"/>
  <c r="G3169" i="3" s="1"/>
  <c r="E3168" i="3"/>
  <c r="G3168" i="3" s="1"/>
  <c r="E3167" i="3"/>
  <c r="G3167" i="3" s="1"/>
  <c r="E3166" i="3"/>
  <c r="G3166" i="3" s="1"/>
  <c r="E3165" i="3"/>
  <c r="G3165" i="3" s="1"/>
  <c r="E3164" i="3"/>
  <c r="G3164" i="3" s="1"/>
  <c r="E3163" i="3"/>
  <c r="G3163" i="3" s="1"/>
  <c r="E3162" i="3"/>
  <c r="G3162" i="3" s="1"/>
  <c r="E3161" i="3"/>
  <c r="G3161" i="3" s="1"/>
  <c r="E3160" i="3"/>
  <c r="G3160" i="3" s="1"/>
  <c r="E3159" i="3"/>
  <c r="G3159" i="3" s="1"/>
  <c r="E3158" i="3"/>
  <c r="G3158" i="3" s="1"/>
  <c r="E3157" i="3"/>
  <c r="G3157" i="3" s="1"/>
  <c r="E3156" i="3"/>
  <c r="G3156" i="3" s="1"/>
  <c r="E3155" i="3"/>
  <c r="G3155" i="3" s="1"/>
  <c r="E3154" i="3"/>
  <c r="G3154" i="3" s="1"/>
  <c r="E3153" i="3"/>
  <c r="G3153" i="3" s="1"/>
  <c r="E3152" i="3"/>
  <c r="G3152" i="3" s="1"/>
  <c r="E3151" i="3"/>
  <c r="G3151" i="3" s="1"/>
  <c r="E3150" i="3"/>
  <c r="G3150" i="3" s="1"/>
  <c r="E3149" i="3"/>
  <c r="G3149" i="3" s="1"/>
  <c r="E3148" i="3"/>
  <c r="G3148" i="3" s="1"/>
  <c r="E3147" i="3"/>
  <c r="G3147" i="3" s="1"/>
  <c r="E3146" i="3"/>
  <c r="G3146" i="3" s="1"/>
  <c r="E3145" i="3"/>
  <c r="G3145" i="3" s="1"/>
  <c r="E3144" i="3"/>
  <c r="G3144" i="3" s="1"/>
  <c r="E3143" i="3"/>
  <c r="G3143" i="3" s="1"/>
  <c r="E3142" i="3"/>
  <c r="G3142" i="3" s="1"/>
  <c r="E3141" i="3"/>
  <c r="G3141" i="3" s="1"/>
  <c r="E3140" i="3"/>
  <c r="G3140" i="3" s="1"/>
  <c r="E3139" i="3"/>
  <c r="G3139" i="3" s="1"/>
  <c r="E3138" i="3"/>
  <c r="G3138" i="3" s="1"/>
  <c r="E3137" i="3"/>
  <c r="G3137" i="3" s="1"/>
  <c r="E3136" i="3"/>
  <c r="G3136" i="3" s="1"/>
  <c r="E3135" i="3"/>
  <c r="G3135" i="3" s="1"/>
  <c r="E3134" i="3"/>
  <c r="G3134" i="3" s="1"/>
  <c r="E3133" i="3"/>
  <c r="G3133" i="3" s="1"/>
  <c r="E3132" i="3"/>
  <c r="G3132" i="3" s="1"/>
  <c r="E3131" i="3"/>
  <c r="G3131" i="3" s="1"/>
  <c r="E3130" i="3"/>
  <c r="G3130" i="3" s="1"/>
  <c r="E3129" i="3"/>
  <c r="G3129" i="3" s="1"/>
  <c r="E3128" i="3"/>
  <c r="G3128" i="3" s="1"/>
  <c r="E3127" i="3"/>
  <c r="G3127" i="3" s="1"/>
  <c r="E3126" i="3"/>
  <c r="G3126" i="3" s="1"/>
  <c r="E3125" i="3"/>
  <c r="G3125" i="3" s="1"/>
  <c r="E3124" i="3"/>
  <c r="G3124" i="3" s="1"/>
  <c r="E3123" i="3"/>
  <c r="G3123" i="3" s="1"/>
  <c r="E3122" i="3"/>
  <c r="G3122" i="3" s="1"/>
  <c r="E3121" i="3"/>
  <c r="G3121" i="3" s="1"/>
  <c r="E3120" i="3"/>
  <c r="G3120" i="3" s="1"/>
  <c r="E3119" i="3"/>
  <c r="G3119" i="3" s="1"/>
  <c r="E3118" i="3"/>
  <c r="G3118" i="3" s="1"/>
  <c r="E3117" i="3"/>
  <c r="G3117" i="3" s="1"/>
  <c r="E3116" i="3"/>
  <c r="G3116" i="3" s="1"/>
  <c r="E3115" i="3"/>
  <c r="G3115" i="3" s="1"/>
  <c r="E3114" i="3"/>
  <c r="G3114" i="3" s="1"/>
  <c r="E3113" i="3"/>
  <c r="G3113" i="3" s="1"/>
  <c r="E3112" i="3"/>
  <c r="G3112" i="3" s="1"/>
  <c r="E3111" i="3"/>
  <c r="G3111" i="3" s="1"/>
  <c r="E3110" i="3"/>
  <c r="G3110" i="3" s="1"/>
  <c r="E3109" i="3"/>
  <c r="G3109" i="3" s="1"/>
  <c r="E3108" i="3"/>
  <c r="G3108" i="3" s="1"/>
  <c r="E3107" i="3"/>
  <c r="G3107" i="3" s="1"/>
  <c r="E3106" i="3"/>
  <c r="G3106" i="3" s="1"/>
  <c r="E3105" i="3"/>
  <c r="G3105" i="3" s="1"/>
  <c r="E3104" i="3"/>
  <c r="G3104" i="3" s="1"/>
  <c r="E3103" i="3"/>
  <c r="G3103" i="3" s="1"/>
  <c r="E3102" i="3"/>
  <c r="G3102" i="3" s="1"/>
  <c r="E3101" i="3"/>
  <c r="G3101" i="3" s="1"/>
  <c r="E3100" i="3"/>
  <c r="G3100" i="3" s="1"/>
  <c r="E3099" i="3"/>
  <c r="G3099" i="3" s="1"/>
  <c r="E3098" i="3"/>
  <c r="G3098" i="3" s="1"/>
  <c r="E3097" i="3"/>
  <c r="G3097" i="3" s="1"/>
  <c r="E3096" i="3"/>
  <c r="G3096" i="3" s="1"/>
  <c r="E3095" i="3"/>
  <c r="G3095" i="3" s="1"/>
  <c r="E3094" i="3"/>
  <c r="G3094" i="3" s="1"/>
  <c r="E3093" i="3"/>
  <c r="G3093" i="3" s="1"/>
  <c r="E3092" i="3"/>
  <c r="G3092" i="3" s="1"/>
  <c r="E3091" i="3"/>
  <c r="G3091" i="3" s="1"/>
  <c r="E3090" i="3"/>
  <c r="G3090" i="3" s="1"/>
  <c r="E3089" i="3"/>
  <c r="G3089" i="3" s="1"/>
  <c r="E3088" i="3"/>
  <c r="G3088" i="3" s="1"/>
  <c r="E3087" i="3"/>
  <c r="G3087" i="3" s="1"/>
  <c r="E3086" i="3"/>
  <c r="G3086" i="3" s="1"/>
  <c r="E3085" i="3"/>
  <c r="G3085" i="3" s="1"/>
  <c r="E3084" i="3"/>
  <c r="G3084" i="3" s="1"/>
  <c r="E3083" i="3"/>
  <c r="G3083" i="3" s="1"/>
  <c r="E3082" i="3"/>
  <c r="G3082" i="3" s="1"/>
  <c r="E3081" i="3"/>
  <c r="G3081" i="3" s="1"/>
  <c r="E3080" i="3"/>
  <c r="G3080" i="3" s="1"/>
  <c r="E3079" i="3"/>
  <c r="G3079" i="3" s="1"/>
  <c r="E3078" i="3"/>
  <c r="G3078" i="3" s="1"/>
  <c r="E3077" i="3"/>
  <c r="G3077" i="3" s="1"/>
  <c r="E3076" i="3"/>
  <c r="G3076" i="3" s="1"/>
  <c r="E3075" i="3"/>
  <c r="G3075" i="3" s="1"/>
  <c r="E3074" i="3"/>
  <c r="G3074" i="3" s="1"/>
  <c r="E3073" i="3"/>
  <c r="G3073" i="3" s="1"/>
  <c r="E3072" i="3"/>
  <c r="G3072" i="3" s="1"/>
  <c r="E3071" i="3"/>
  <c r="G3071" i="3" s="1"/>
  <c r="E3070" i="3"/>
  <c r="G3070" i="3" s="1"/>
  <c r="E3069" i="3"/>
  <c r="G3069" i="3" s="1"/>
  <c r="E3068" i="3"/>
  <c r="G3068" i="3" s="1"/>
  <c r="E3067" i="3"/>
  <c r="G3067" i="3" s="1"/>
  <c r="E3066" i="3"/>
  <c r="G3066" i="3" s="1"/>
  <c r="E3065" i="3"/>
  <c r="G3065" i="3" s="1"/>
  <c r="E3064" i="3"/>
  <c r="G3064" i="3" s="1"/>
  <c r="E3063" i="3"/>
  <c r="G3063" i="3" s="1"/>
  <c r="E3062" i="3"/>
  <c r="G3062" i="3" s="1"/>
  <c r="E3061" i="3"/>
  <c r="G3061" i="3" s="1"/>
  <c r="E3060" i="3"/>
  <c r="G3060" i="3" s="1"/>
  <c r="E3059" i="3"/>
  <c r="G3059" i="3" s="1"/>
  <c r="E3058" i="3"/>
  <c r="G3058" i="3" s="1"/>
  <c r="E3057" i="3"/>
  <c r="G3057" i="3" s="1"/>
  <c r="E3056" i="3"/>
  <c r="G3056" i="3" s="1"/>
  <c r="E3055" i="3"/>
  <c r="G3055" i="3" s="1"/>
  <c r="E3054" i="3"/>
  <c r="G3054" i="3" s="1"/>
  <c r="E3053" i="3"/>
  <c r="G3053" i="3" s="1"/>
  <c r="E3052" i="3"/>
  <c r="G3052" i="3" s="1"/>
  <c r="E3051" i="3"/>
  <c r="G3051" i="3" s="1"/>
  <c r="E3050" i="3"/>
  <c r="G3050" i="3" s="1"/>
  <c r="E3049" i="3"/>
  <c r="G3049" i="3" s="1"/>
  <c r="E3048" i="3"/>
  <c r="G3048" i="3" s="1"/>
  <c r="E3047" i="3"/>
  <c r="G3047" i="3" s="1"/>
  <c r="E3046" i="3"/>
  <c r="G3046" i="3" s="1"/>
  <c r="E3045" i="3"/>
  <c r="G3045" i="3" s="1"/>
  <c r="E3044" i="3"/>
  <c r="G3044" i="3" s="1"/>
  <c r="E3043" i="3"/>
  <c r="G3043" i="3" s="1"/>
  <c r="E3042" i="3"/>
  <c r="G3042" i="3" s="1"/>
  <c r="E3041" i="3"/>
  <c r="G3041" i="3" s="1"/>
  <c r="E3040" i="3"/>
  <c r="G3040" i="3" s="1"/>
  <c r="E3039" i="3"/>
  <c r="G3039" i="3" s="1"/>
  <c r="E3038" i="3"/>
  <c r="G3038" i="3" s="1"/>
  <c r="E3037" i="3"/>
  <c r="G3037" i="3" s="1"/>
  <c r="E3036" i="3"/>
  <c r="G3036" i="3" s="1"/>
  <c r="E3035" i="3"/>
  <c r="G3035" i="3" s="1"/>
  <c r="E3034" i="3"/>
  <c r="G3034" i="3" s="1"/>
  <c r="E3033" i="3"/>
  <c r="G3033" i="3" s="1"/>
  <c r="E3032" i="3"/>
  <c r="G3032" i="3" s="1"/>
  <c r="E3031" i="3"/>
  <c r="G3031" i="3" s="1"/>
  <c r="E3030" i="3"/>
  <c r="G3030" i="3" s="1"/>
  <c r="E3029" i="3"/>
  <c r="G3029" i="3" s="1"/>
  <c r="E3028" i="3"/>
  <c r="G3028" i="3" s="1"/>
  <c r="E3027" i="3"/>
  <c r="G3027" i="3" s="1"/>
  <c r="E3026" i="3"/>
  <c r="G3026" i="3" s="1"/>
  <c r="E3025" i="3"/>
  <c r="G3025" i="3" s="1"/>
  <c r="E3024" i="3"/>
  <c r="G3024" i="3" s="1"/>
  <c r="E3023" i="3"/>
  <c r="G3023" i="3" s="1"/>
  <c r="E3022" i="3"/>
  <c r="G3022" i="3" s="1"/>
  <c r="E3021" i="3"/>
  <c r="G3021" i="3" s="1"/>
  <c r="E3020" i="3"/>
  <c r="G3020" i="3" s="1"/>
  <c r="E3019" i="3"/>
  <c r="G3019" i="3" s="1"/>
  <c r="E3018" i="3"/>
  <c r="G3018" i="3" s="1"/>
  <c r="E3017" i="3"/>
  <c r="G3017" i="3" s="1"/>
  <c r="E3016" i="3"/>
  <c r="G3016" i="3" s="1"/>
  <c r="E3015" i="3"/>
  <c r="G3015" i="3" s="1"/>
  <c r="E3014" i="3"/>
  <c r="G3014" i="3" s="1"/>
  <c r="E3013" i="3"/>
  <c r="G3013" i="3" s="1"/>
  <c r="E3012" i="3"/>
  <c r="G3012" i="3" s="1"/>
  <c r="E3011" i="3"/>
  <c r="G3011" i="3" s="1"/>
  <c r="E3010" i="3"/>
  <c r="G3010" i="3" s="1"/>
  <c r="E3009" i="3"/>
  <c r="G3009" i="3" s="1"/>
  <c r="E3008" i="3"/>
  <c r="G3008" i="3" s="1"/>
  <c r="E3007" i="3"/>
  <c r="G3007" i="3" s="1"/>
  <c r="E3006" i="3"/>
  <c r="G3006" i="3" s="1"/>
  <c r="E3005" i="3"/>
  <c r="G3005" i="3" s="1"/>
  <c r="E3004" i="3"/>
  <c r="G3004" i="3" s="1"/>
  <c r="E3003" i="3"/>
  <c r="G3003" i="3" s="1"/>
  <c r="E3002" i="3"/>
  <c r="G3002" i="3" s="1"/>
  <c r="E3001" i="3"/>
  <c r="G3001" i="3" s="1"/>
  <c r="E3000" i="3"/>
  <c r="G3000" i="3" s="1"/>
  <c r="E2999" i="3"/>
  <c r="G2999" i="3" s="1"/>
  <c r="E2998" i="3"/>
  <c r="G2998" i="3" s="1"/>
  <c r="E2997" i="3"/>
  <c r="G2997" i="3" s="1"/>
  <c r="E2996" i="3"/>
  <c r="G2996" i="3" s="1"/>
  <c r="E2995" i="3"/>
  <c r="G2995" i="3" s="1"/>
  <c r="E2994" i="3"/>
  <c r="G2994" i="3" s="1"/>
  <c r="E2993" i="3"/>
  <c r="G2993" i="3" s="1"/>
  <c r="E2992" i="3"/>
  <c r="G2992" i="3" s="1"/>
  <c r="E2991" i="3"/>
  <c r="G2991" i="3" s="1"/>
  <c r="E2990" i="3"/>
  <c r="G2990" i="3" s="1"/>
  <c r="E2989" i="3"/>
  <c r="G2989" i="3" s="1"/>
  <c r="E2988" i="3"/>
  <c r="G2988" i="3" s="1"/>
  <c r="E2987" i="3"/>
  <c r="G2987" i="3" s="1"/>
  <c r="E2986" i="3"/>
  <c r="G2986" i="3" s="1"/>
  <c r="E2985" i="3"/>
  <c r="G2985" i="3" s="1"/>
  <c r="E2984" i="3"/>
  <c r="G2984" i="3" s="1"/>
  <c r="E2983" i="3"/>
  <c r="G2983" i="3" s="1"/>
  <c r="E2982" i="3"/>
  <c r="G2982" i="3" s="1"/>
  <c r="E2981" i="3"/>
  <c r="G2981" i="3" s="1"/>
  <c r="E2980" i="3"/>
  <c r="G2980" i="3" s="1"/>
  <c r="E2979" i="3"/>
  <c r="G2979" i="3" s="1"/>
  <c r="E2978" i="3"/>
  <c r="G2978" i="3" s="1"/>
  <c r="E2977" i="3"/>
  <c r="G2977" i="3" s="1"/>
  <c r="E2976" i="3"/>
  <c r="G2976" i="3" s="1"/>
  <c r="E2975" i="3"/>
  <c r="G2975" i="3" s="1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G2858" i="3" s="1"/>
  <c r="E2857" i="3"/>
  <c r="G2857" i="3" s="1"/>
  <c r="E2856" i="3"/>
  <c r="G2856" i="3" s="1"/>
  <c r="E2855" i="3"/>
  <c r="G2855" i="3" s="1"/>
  <c r="E2854" i="3"/>
  <c r="G2854" i="3" s="1"/>
  <c r="E2853" i="3"/>
  <c r="G2853" i="3" s="1"/>
  <c r="E2852" i="3"/>
  <c r="G2852" i="3" s="1"/>
  <c r="E2851" i="3"/>
  <c r="G2851" i="3" s="1"/>
  <c r="E2850" i="3"/>
  <c r="G2850" i="3" s="1"/>
  <c r="E2849" i="3"/>
  <c r="G2849" i="3" s="1"/>
  <c r="E2848" i="3"/>
  <c r="G2848" i="3" s="1"/>
  <c r="E2847" i="3"/>
  <c r="G2847" i="3" s="1"/>
  <c r="E2846" i="3"/>
  <c r="G2846" i="3" s="1"/>
  <c r="E2845" i="3"/>
  <c r="G2845" i="3" s="1"/>
  <c r="E2844" i="3"/>
  <c r="G2844" i="3" s="1"/>
  <c r="E2843" i="3"/>
  <c r="G2843" i="3" s="1"/>
  <c r="E2842" i="3"/>
  <c r="G2842" i="3" s="1"/>
  <c r="E2841" i="3"/>
  <c r="G2841" i="3" s="1"/>
  <c r="E2840" i="3"/>
  <c r="G2840" i="3" s="1"/>
  <c r="E2839" i="3"/>
  <c r="G2839" i="3" s="1"/>
  <c r="E2838" i="3"/>
  <c r="G2838" i="3" s="1"/>
  <c r="E2837" i="3"/>
  <c r="G2837" i="3" s="1"/>
  <c r="E2836" i="3"/>
  <c r="G2836" i="3" s="1"/>
  <c r="E2835" i="3"/>
  <c r="G2835" i="3" s="1"/>
  <c r="E2834" i="3"/>
  <c r="G2834" i="3" s="1"/>
  <c r="E2833" i="3"/>
  <c r="G2833" i="3" s="1"/>
  <c r="E2832" i="3"/>
  <c r="G2832" i="3" s="1"/>
  <c r="E2831" i="3"/>
  <c r="G2831" i="3" s="1"/>
  <c r="E2830" i="3"/>
  <c r="G2830" i="3" s="1"/>
  <c r="E2829" i="3"/>
  <c r="G2829" i="3" s="1"/>
  <c r="E2828" i="3"/>
  <c r="G2828" i="3" s="1"/>
  <c r="E2827" i="3"/>
  <c r="G2827" i="3" s="1"/>
  <c r="E2826" i="3"/>
  <c r="G2826" i="3" s="1"/>
  <c r="E2825" i="3"/>
  <c r="G2825" i="3" s="1"/>
  <c r="E2824" i="3"/>
  <c r="G2824" i="3" s="1"/>
  <c r="E2823" i="3"/>
  <c r="G2823" i="3" s="1"/>
  <c r="E2822" i="3"/>
  <c r="G2822" i="3" s="1"/>
  <c r="E2821" i="3"/>
  <c r="G2821" i="3" s="1"/>
  <c r="E2820" i="3"/>
  <c r="G2820" i="3" s="1"/>
  <c r="E2819" i="3"/>
  <c r="G2819" i="3" s="1"/>
  <c r="E2818" i="3"/>
  <c r="G2818" i="3" s="1"/>
  <c r="E2817" i="3"/>
  <c r="G2817" i="3" s="1"/>
  <c r="E2816" i="3"/>
  <c r="G2816" i="3" s="1"/>
  <c r="E2815" i="3"/>
  <c r="G2815" i="3" s="1"/>
  <c r="E2814" i="3"/>
  <c r="G2814" i="3" s="1"/>
  <c r="E2813" i="3"/>
  <c r="G2813" i="3" s="1"/>
  <c r="E2812" i="3"/>
  <c r="G2812" i="3" s="1"/>
  <c r="E2811" i="3"/>
  <c r="G2811" i="3" s="1"/>
  <c r="E2810" i="3"/>
  <c r="G2810" i="3" s="1"/>
  <c r="E2809" i="3"/>
  <c r="G2809" i="3" s="1"/>
  <c r="E2808" i="3"/>
  <c r="G2808" i="3" s="1"/>
  <c r="E2807" i="3"/>
  <c r="G2807" i="3" s="1"/>
  <c r="E2806" i="3"/>
  <c r="G2806" i="3" s="1"/>
  <c r="E2805" i="3"/>
  <c r="G2805" i="3" s="1"/>
  <c r="E2804" i="3"/>
  <c r="G2804" i="3" s="1"/>
  <c r="E2803" i="3"/>
  <c r="G2803" i="3" s="1"/>
  <c r="E2802" i="3"/>
  <c r="G2802" i="3" s="1"/>
  <c r="E2801" i="3"/>
  <c r="G2801" i="3" s="1"/>
  <c r="E2800" i="3"/>
  <c r="G2800" i="3" s="1"/>
  <c r="E2799" i="3"/>
  <c r="G2799" i="3" s="1"/>
  <c r="E2798" i="3"/>
  <c r="G2798" i="3" s="1"/>
  <c r="E2797" i="3"/>
  <c r="G2797" i="3" s="1"/>
  <c r="E2796" i="3"/>
  <c r="G2796" i="3" s="1"/>
  <c r="E2795" i="3"/>
  <c r="G2795" i="3" s="1"/>
  <c r="E2794" i="3"/>
  <c r="G2794" i="3" s="1"/>
  <c r="E2793" i="3"/>
  <c r="G2793" i="3" s="1"/>
  <c r="E2792" i="3"/>
  <c r="G2792" i="3" s="1"/>
  <c r="E2791" i="3"/>
  <c r="G2791" i="3" s="1"/>
  <c r="E2790" i="3"/>
  <c r="G2790" i="3" s="1"/>
  <c r="E2789" i="3"/>
  <c r="G2789" i="3" s="1"/>
  <c r="E2788" i="3"/>
  <c r="G2788" i="3" s="1"/>
  <c r="E2787" i="3"/>
  <c r="G2787" i="3" s="1"/>
  <c r="E2786" i="3"/>
  <c r="G2786" i="3" s="1"/>
  <c r="E2785" i="3"/>
  <c r="G2785" i="3" s="1"/>
  <c r="E2784" i="3"/>
  <c r="G2784" i="3" s="1"/>
  <c r="E2783" i="3"/>
  <c r="G2783" i="3" s="1"/>
  <c r="E2782" i="3"/>
  <c r="G2782" i="3" s="1"/>
  <c r="E2781" i="3"/>
  <c r="G2781" i="3" s="1"/>
  <c r="E2780" i="3"/>
  <c r="G2780" i="3" s="1"/>
  <c r="E2779" i="3"/>
  <c r="G2779" i="3" s="1"/>
  <c r="E2778" i="3"/>
  <c r="G2778" i="3" s="1"/>
  <c r="E2777" i="3"/>
  <c r="G2777" i="3" s="1"/>
  <c r="E2776" i="3"/>
  <c r="G2776" i="3" s="1"/>
  <c r="E2775" i="3"/>
  <c r="G2775" i="3" s="1"/>
  <c r="E2774" i="3"/>
  <c r="G2774" i="3" s="1"/>
  <c r="E2773" i="3"/>
  <c r="G2773" i="3" s="1"/>
  <c r="E2772" i="3"/>
  <c r="G2772" i="3" s="1"/>
  <c r="E2771" i="3"/>
  <c r="G2771" i="3" s="1"/>
  <c r="E2770" i="3"/>
  <c r="G2770" i="3" s="1"/>
  <c r="E2769" i="3"/>
  <c r="G2769" i="3" s="1"/>
  <c r="E2768" i="3"/>
  <c r="G2768" i="3" s="1"/>
  <c r="E2767" i="3"/>
  <c r="G2767" i="3" s="1"/>
  <c r="E2766" i="3"/>
  <c r="G2766" i="3" s="1"/>
  <c r="E2765" i="3"/>
  <c r="G2765" i="3" s="1"/>
  <c r="E2764" i="3"/>
  <c r="G2764" i="3" s="1"/>
  <c r="E2763" i="3"/>
  <c r="G2763" i="3" s="1"/>
  <c r="E2762" i="3"/>
  <c r="G2762" i="3" s="1"/>
  <c r="E2761" i="3"/>
  <c r="G2761" i="3" s="1"/>
  <c r="E2760" i="3"/>
  <c r="G2760" i="3" s="1"/>
  <c r="E2759" i="3"/>
  <c r="G2759" i="3" s="1"/>
  <c r="E2758" i="3"/>
  <c r="G2758" i="3" s="1"/>
  <c r="E2757" i="3"/>
  <c r="G2757" i="3" s="1"/>
  <c r="E2756" i="3"/>
  <c r="G2756" i="3" s="1"/>
  <c r="E2755" i="3"/>
  <c r="G2755" i="3" s="1"/>
  <c r="E2754" i="3"/>
  <c r="G2754" i="3" s="1"/>
  <c r="E2753" i="3"/>
  <c r="G2753" i="3" s="1"/>
  <c r="E2752" i="3"/>
  <c r="G2752" i="3" s="1"/>
  <c r="E2751" i="3"/>
  <c r="G2751" i="3" s="1"/>
  <c r="E2750" i="3"/>
  <c r="G2750" i="3" s="1"/>
  <c r="E2749" i="3"/>
  <c r="G2749" i="3" s="1"/>
  <c r="E2748" i="3"/>
  <c r="G2748" i="3" s="1"/>
  <c r="E2747" i="3"/>
  <c r="G2747" i="3" s="1"/>
  <c r="E2746" i="3"/>
  <c r="G2746" i="3" s="1"/>
  <c r="E2745" i="3"/>
  <c r="G2745" i="3" s="1"/>
  <c r="E2744" i="3"/>
  <c r="G2744" i="3" s="1"/>
  <c r="E2743" i="3"/>
  <c r="G2743" i="3" s="1"/>
  <c r="E2742" i="3"/>
  <c r="G2742" i="3" s="1"/>
  <c r="E2741" i="3"/>
  <c r="G2741" i="3" s="1"/>
  <c r="E2740" i="3"/>
  <c r="G2740" i="3" s="1"/>
  <c r="E2739" i="3"/>
  <c r="G2739" i="3" s="1"/>
  <c r="E2738" i="3"/>
  <c r="G2738" i="3" s="1"/>
  <c r="E2737" i="3"/>
  <c r="G2737" i="3" s="1"/>
  <c r="E2736" i="3"/>
  <c r="G2736" i="3" s="1"/>
  <c r="E2735" i="3"/>
  <c r="G2735" i="3" s="1"/>
  <c r="E2734" i="3"/>
  <c r="G2734" i="3" s="1"/>
  <c r="E2733" i="3"/>
  <c r="G2733" i="3" s="1"/>
  <c r="E2732" i="3"/>
  <c r="G2732" i="3" s="1"/>
  <c r="E2731" i="3"/>
  <c r="G2731" i="3" s="1"/>
  <c r="E2730" i="3"/>
  <c r="G2730" i="3" s="1"/>
  <c r="E2729" i="3"/>
  <c r="G2729" i="3" s="1"/>
  <c r="E2728" i="3"/>
  <c r="G2728" i="3" s="1"/>
  <c r="E2727" i="3"/>
  <c r="G2727" i="3" s="1"/>
  <c r="E2726" i="3"/>
  <c r="G2726" i="3" s="1"/>
  <c r="E2725" i="3"/>
  <c r="G2725" i="3" s="1"/>
  <c r="E2724" i="3"/>
  <c r="G2724" i="3" s="1"/>
  <c r="E2723" i="3"/>
  <c r="G2723" i="3" s="1"/>
  <c r="E2722" i="3"/>
  <c r="G2722" i="3" s="1"/>
  <c r="E2721" i="3"/>
  <c r="G2721" i="3" s="1"/>
  <c r="E2720" i="3"/>
  <c r="G2720" i="3" s="1"/>
  <c r="E2719" i="3"/>
  <c r="G2719" i="3" s="1"/>
  <c r="E2718" i="3"/>
  <c r="G2718" i="3" s="1"/>
  <c r="E2717" i="3"/>
  <c r="G2717" i="3" s="1"/>
  <c r="E2716" i="3"/>
  <c r="G2716" i="3" s="1"/>
  <c r="E2715" i="3"/>
  <c r="G2715" i="3" s="1"/>
  <c r="E2714" i="3"/>
  <c r="G2714" i="3" s="1"/>
  <c r="E2713" i="3"/>
  <c r="G2713" i="3" s="1"/>
  <c r="E2712" i="3"/>
  <c r="G2712" i="3" s="1"/>
  <c r="E2711" i="3"/>
  <c r="G2711" i="3" s="1"/>
  <c r="E2710" i="3"/>
  <c r="G2710" i="3" s="1"/>
  <c r="E2709" i="3"/>
  <c r="G2709" i="3" s="1"/>
  <c r="E2708" i="3"/>
  <c r="G2708" i="3" s="1"/>
  <c r="E2707" i="3"/>
  <c r="G2707" i="3" s="1"/>
  <c r="E2706" i="3"/>
  <c r="G2706" i="3" s="1"/>
  <c r="E2705" i="3"/>
  <c r="G2705" i="3" s="1"/>
  <c r="E2704" i="3"/>
  <c r="G2704" i="3" s="1"/>
  <c r="E2703" i="3"/>
  <c r="G2703" i="3" s="1"/>
  <c r="E2702" i="3"/>
  <c r="G2702" i="3" s="1"/>
  <c r="E2701" i="3"/>
  <c r="G2701" i="3" s="1"/>
  <c r="E2700" i="3"/>
  <c r="G2700" i="3" s="1"/>
  <c r="E2699" i="3"/>
  <c r="G2699" i="3" s="1"/>
  <c r="E2698" i="3"/>
  <c r="G2698" i="3" s="1"/>
  <c r="E2697" i="3"/>
  <c r="G2697" i="3" s="1"/>
  <c r="E2696" i="3"/>
  <c r="G2696" i="3" s="1"/>
  <c r="E2695" i="3"/>
  <c r="G2695" i="3" s="1"/>
  <c r="E2694" i="3"/>
  <c r="G2694" i="3" s="1"/>
  <c r="E2693" i="3"/>
  <c r="G2693" i="3" s="1"/>
  <c r="E2692" i="3"/>
  <c r="G2692" i="3" s="1"/>
  <c r="E2691" i="3"/>
  <c r="G2691" i="3" s="1"/>
  <c r="E2690" i="3"/>
  <c r="G2690" i="3" s="1"/>
  <c r="E2689" i="3"/>
  <c r="G2689" i="3" s="1"/>
  <c r="E2688" i="3"/>
  <c r="G2688" i="3" s="1"/>
  <c r="E2687" i="3"/>
  <c r="G2687" i="3" s="1"/>
  <c r="E2686" i="3"/>
  <c r="G2686" i="3" s="1"/>
  <c r="E2685" i="3"/>
  <c r="G2685" i="3" s="1"/>
  <c r="E2684" i="3"/>
  <c r="G2684" i="3" s="1"/>
  <c r="E2683" i="3"/>
  <c r="G2683" i="3" s="1"/>
  <c r="E2682" i="3"/>
  <c r="G2682" i="3" s="1"/>
  <c r="E2681" i="3"/>
  <c r="G2681" i="3" s="1"/>
  <c r="E2680" i="3"/>
  <c r="G2680" i="3" s="1"/>
  <c r="E2679" i="3"/>
  <c r="G2679" i="3" s="1"/>
  <c r="E2678" i="3"/>
  <c r="G2678" i="3" s="1"/>
  <c r="E2677" i="3"/>
  <c r="G2677" i="3" s="1"/>
  <c r="E2676" i="3"/>
  <c r="G2676" i="3" s="1"/>
  <c r="E2675" i="3"/>
  <c r="G2675" i="3" s="1"/>
  <c r="E2674" i="3"/>
  <c r="G2674" i="3" s="1"/>
  <c r="E2673" i="3"/>
  <c r="G2673" i="3" s="1"/>
  <c r="E2672" i="3"/>
  <c r="G2672" i="3" s="1"/>
  <c r="E2671" i="3"/>
  <c r="G2671" i="3" s="1"/>
  <c r="E2670" i="3"/>
  <c r="G2670" i="3" s="1"/>
  <c r="E2669" i="3"/>
  <c r="G2669" i="3" s="1"/>
  <c r="E2668" i="3"/>
  <c r="G2668" i="3" s="1"/>
  <c r="E2667" i="3"/>
  <c r="G2667" i="3" s="1"/>
  <c r="E2666" i="3"/>
  <c r="G2666" i="3" s="1"/>
  <c r="E2665" i="3"/>
  <c r="G2665" i="3" s="1"/>
  <c r="E2664" i="3"/>
  <c r="G2664" i="3" s="1"/>
  <c r="E2663" i="3"/>
  <c r="G2663" i="3" s="1"/>
  <c r="E2662" i="3"/>
  <c r="G2662" i="3" s="1"/>
  <c r="E2661" i="3"/>
  <c r="G2661" i="3" s="1"/>
  <c r="E2660" i="3"/>
  <c r="G2660" i="3" s="1"/>
  <c r="E2659" i="3"/>
  <c r="G2659" i="3" s="1"/>
  <c r="E2658" i="3"/>
  <c r="G2658" i="3" s="1"/>
  <c r="E2657" i="3"/>
  <c r="G2657" i="3" s="1"/>
  <c r="E2656" i="3"/>
  <c r="G2656" i="3" s="1"/>
  <c r="E2655" i="3"/>
  <c r="G2655" i="3" s="1"/>
  <c r="E2654" i="3"/>
  <c r="G2654" i="3" s="1"/>
  <c r="E2653" i="3"/>
  <c r="G2653" i="3" s="1"/>
  <c r="E2652" i="3"/>
  <c r="G2652" i="3" s="1"/>
  <c r="E2651" i="3"/>
  <c r="G2651" i="3" s="1"/>
  <c r="E2650" i="3"/>
  <c r="G2650" i="3" s="1"/>
  <c r="E2649" i="3"/>
  <c r="G2649" i="3" s="1"/>
  <c r="E2648" i="3"/>
  <c r="G2648" i="3" s="1"/>
  <c r="E2647" i="3"/>
  <c r="G2647" i="3" s="1"/>
  <c r="E2646" i="3"/>
  <c r="G2646" i="3" s="1"/>
  <c r="E2645" i="3"/>
  <c r="G2645" i="3" s="1"/>
  <c r="E2644" i="3"/>
  <c r="G2644" i="3" s="1"/>
  <c r="E2643" i="3"/>
  <c r="G2643" i="3" s="1"/>
  <c r="E2642" i="3"/>
  <c r="G2642" i="3" s="1"/>
  <c r="E2641" i="3"/>
  <c r="G2641" i="3" s="1"/>
  <c r="E2640" i="3"/>
  <c r="G2640" i="3" s="1"/>
  <c r="E2639" i="3"/>
  <c r="G2639" i="3" s="1"/>
  <c r="E2638" i="3"/>
  <c r="G2638" i="3" s="1"/>
  <c r="E2637" i="3"/>
  <c r="G2637" i="3" s="1"/>
  <c r="E2636" i="3"/>
  <c r="G2636" i="3" s="1"/>
  <c r="E2635" i="3"/>
  <c r="G2635" i="3" s="1"/>
  <c r="E2634" i="3"/>
  <c r="G2634" i="3" s="1"/>
  <c r="E2633" i="3"/>
  <c r="G2633" i="3" s="1"/>
  <c r="E2632" i="3"/>
  <c r="G2632" i="3" s="1"/>
  <c r="E2631" i="3"/>
  <c r="G2631" i="3" s="1"/>
  <c r="E2630" i="3"/>
  <c r="G2630" i="3" s="1"/>
  <c r="E2629" i="3"/>
  <c r="G2629" i="3" s="1"/>
  <c r="E2628" i="3"/>
  <c r="G2628" i="3" s="1"/>
  <c r="E2627" i="3"/>
  <c r="G2627" i="3" s="1"/>
  <c r="E2626" i="3"/>
  <c r="G2626" i="3" s="1"/>
  <c r="E2625" i="3"/>
  <c r="G2625" i="3" s="1"/>
  <c r="E2624" i="3"/>
  <c r="G2624" i="3" s="1"/>
  <c r="E2623" i="3"/>
  <c r="G2623" i="3" s="1"/>
  <c r="E2622" i="3"/>
  <c r="G2622" i="3" s="1"/>
  <c r="E2621" i="3"/>
  <c r="G2621" i="3" s="1"/>
  <c r="E2620" i="3"/>
  <c r="G2620" i="3" s="1"/>
  <c r="E2619" i="3"/>
  <c r="G2619" i="3" s="1"/>
  <c r="E2618" i="3"/>
  <c r="G2618" i="3" s="1"/>
  <c r="E2617" i="3"/>
  <c r="G2617" i="3" s="1"/>
  <c r="E2616" i="3"/>
  <c r="G2616" i="3" s="1"/>
  <c r="E2615" i="3"/>
  <c r="G2615" i="3" s="1"/>
  <c r="E2614" i="3"/>
  <c r="G2614" i="3" s="1"/>
  <c r="E2613" i="3"/>
  <c r="G2613" i="3" s="1"/>
  <c r="E2612" i="3"/>
  <c r="G2612" i="3" s="1"/>
  <c r="E2611" i="3"/>
  <c r="G2611" i="3" s="1"/>
  <c r="E2610" i="3"/>
  <c r="G2610" i="3" s="1"/>
  <c r="E2609" i="3"/>
  <c r="G2609" i="3" s="1"/>
  <c r="E2608" i="3"/>
  <c r="G2608" i="3" s="1"/>
  <c r="E2607" i="3"/>
  <c r="G2607" i="3" s="1"/>
  <c r="E2606" i="3"/>
  <c r="G2606" i="3" s="1"/>
  <c r="E2605" i="3"/>
  <c r="G2605" i="3" s="1"/>
  <c r="E2604" i="3"/>
  <c r="G2604" i="3" s="1"/>
  <c r="E2603" i="3"/>
  <c r="G2603" i="3" s="1"/>
  <c r="E2602" i="3"/>
  <c r="G2602" i="3" s="1"/>
  <c r="E2601" i="3"/>
  <c r="G2601" i="3" s="1"/>
  <c r="E2600" i="3"/>
  <c r="G2600" i="3" s="1"/>
  <c r="E2599" i="3"/>
  <c r="G2599" i="3" s="1"/>
  <c r="E2598" i="3"/>
  <c r="G2598" i="3" s="1"/>
  <c r="E2597" i="3"/>
  <c r="G2597" i="3" s="1"/>
  <c r="E2596" i="3"/>
  <c r="G2596" i="3" s="1"/>
  <c r="E2595" i="3"/>
  <c r="G2595" i="3" s="1"/>
  <c r="E2594" i="3"/>
  <c r="G2594" i="3" s="1"/>
  <c r="E2593" i="3"/>
  <c r="G2593" i="3" s="1"/>
  <c r="E2592" i="3"/>
  <c r="G2592" i="3" s="1"/>
  <c r="E2591" i="3"/>
  <c r="G2591" i="3" s="1"/>
  <c r="E2590" i="3"/>
  <c r="G2590" i="3" s="1"/>
  <c r="E2589" i="3"/>
  <c r="G2589" i="3" s="1"/>
  <c r="E2588" i="3"/>
  <c r="G2588" i="3" s="1"/>
  <c r="E2587" i="3"/>
  <c r="G2587" i="3" s="1"/>
  <c r="E2586" i="3"/>
  <c r="G2586" i="3" s="1"/>
  <c r="E2585" i="3"/>
  <c r="G2585" i="3" s="1"/>
  <c r="E2584" i="3"/>
  <c r="G2584" i="3" s="1"/>
  <c r="E2583" i="3"/>
  <c r="G2583" i="3" s="1"/>
  <c r="E2582" i="3"/>
  <c r="G2582" i="3" s="1"/>
  <c r="E2581" i="3"/>
  <c r="G2581" i="3" s="1"/>
  <c r="E2580" i="3"/>
  <c r="G2580" i="3" s="1"/>
  <c r="E2579" i="3"/>
  <c r="G2579" i="3" s="1"/>
  <c r="E2578" i="3"/>
  <c r="G2578" i="3" s="1"/>
  <c r="E2577" i="3"/>
  <c r="G2577" i="3" s="1"/>
  <c r="E2576" i="3"/>
  <c r="G2576" i="3" s="1"/>
  <c r="E2575" i="3"/>
  <c r="G2575" i="3" s="1"/>
  <c r="E2574" i="3"/>
  <c r="G2574" i="3" s="1"/>
  <c r="E2573" i="3"/>
  <c r="G2573" i="3" s="1"/>
  <c r="E2572" i="3"/>
  <c r="G2572" i="3" s="1"/>
  <c r="E2571" i="3"/>
  <c r="G2571" i="3" s="1"/>
  <c r="E2570" i="3"/>
  <c r="G2570" i="3" s="1"/>
  <c r="E2569" i="3"/>
  <c r="G2569" i="3" s="1"/>
  <c r="E2568" i="3"/>
  <c r="G2568" i="3" s="1"/>
  <c r="E2567" i="3"/>
  <c r="G2567" i="3" s="1"/>
  <c r="E2566" i="3"/>
  <c r="G2566" i="3" s="1"/>
  <c r="E2565" i="3"/>
  <c r="G2565" i="3" s="1"/>
  <c r="E2564" i="3"/>
  <c r="G2564" i="3" s="1"/>
  <c r="E2563" i="3"/>
  <c r="G2563" i="3" s="1"/>
  <c r="E2562" i="3"/>
  <c r="G2562" i="3" s="1"/>
  <c r="E2561" i="3"/>
  <c r="G2561" i="3" s="1"/>
  <c r="E2560" i="3"/>
  <c r="G2560" i="3" s="1"/>
  <c r="E2559" i="3"/>
  <c r="G2559" i="3" s="1"/>
  <c r="E2558" i="3"/>
  <c r="G2558" i="3" s="1"/>
  <c r="E2557" i="3"/>
  <c r="G2557" i="3" s="1"/>
  <c r="E2556" i="3"/>
  <c r="G2556" i="3" s="1"/>
  <c r="E2555" i="3"/>
  <c r="G2555" i="3" s="1"/>
  <c r="E2554" i="3"/>
  <c r="G2554" i="3" s="1"/>
  <c r="E2553" i="3"/>
  <c r="G2553" i="3" s="1"/>
  <c r="E2552" i="3"/>
  <c r="G2552" i="3" s="1"/>
  <c r="E2551" i="3"/>
  <c r="G2551" i="3" s="1"/>
  <c r="E2550" i="3"/>
  <c r="G2550" i="3" s="1"/>
  <c r="E2549" i="3"/>
  <c r="G2549" i="3" s="1"/>
  <c r="E2548" i="3"/>
  <c r="G2548" i="3" s="1"/>
  <c r="E2547" i="3"/>
  <c r="G2547" i="3" s="1"/>
  <c r="E2546" i="3"/>
  <c r="G2546" i="3" s="1"/>
  <c r="E2545" i="3"/>
  <c r="G2545" i="3" s="1"/>
  <c r="E2544" i="3"/>
  <c r="G2544" i="3" s="1"/>
  <c r="E2543" i="3"/>
  <c r="G2543" i="3" s="1"/>
  <c r="E2542" i="3"/>
  <c r="G2542" i="3" s="1"/>
  <c r="E2541" i="3"/>
  <c r="G2541" i="3" s="1"/>
  <c r="E2540" i="3"/>
  <c r="G2540" i="3" s="1"/>
  <c r="E2539" i="3"/>
  <c r="G2539" i="3" s="1"/>
  <c r="E2538" i="3"/>
  <c r="G2538" i="3" s="1"/>
  <c r="E2537" i="3"/>
  <c r="G2537" i="3" s="1"/>
  <c r="E2536" i="3"/>
  <c r="G2536" i="3" s="1"/>
  <c r="E2535" i="3"/>
  <c r="G2535" i="3" s="1"/>
  <c r="E2534" i="3"/>
  <c r="G2534" i="3" s="1"/>
  <c r="E2533" i="3"/>
  <c r="G2533" i="3" s="1"/>
  <c r="E2532" i="3"/>
  <c r="G2532" i="3" s="1"/>
  <c r="E2531" i="3"/>
  <c r="G2531" i="3" s="1"/>
  <c r="E2530" i="3"/>
  <c r="G2530" i="3" s="1"/>
  <c r="E2529" i="3"/>
  <c r="G2529" i="3" s="1"/>
  <c r="E2528" i="3"/>
  <c r="G2528" i="3" s="1"/>
  <c r="E2527" i="3"/>
  <c r="G2527" i="3" s="1"/>
  <c r="E2526" i="3"/>
  <c r="G2526" i="3" s="1"/>
  <c r="E2525" i="3"/>
  <c r="G2525" i="3" s="1"/>
  <c r="E2524" i="3"/>
  <c r="G2524" i="3" s="1"/>
  <c r="E2523" i="3"/>
  <c r="G2523" i="3" s="1"/>
  <c r="E2522" i="3"/>
  <c r="G2522" i="3" s="1"/>
  <c r="E2521" i="3"/>
  <c r="G2521" i="3" s="1"/>
  <c r="E2520" i="3"/>
  <c r="G2520" i="3" s="1"/>
  <c r="E2519" i="3"/>
  <c r="G2519" i="3" s="1"/>
  <c r="E2518" i="3"/>
  <c r="G2518" i="3" s="1"/>
  <c r="E2517" i="3"/>
  <c r="G2517" i="3" s="1"/>
  <c r="E2516" i="3"/>
  <c r="G2516" i="3" s="1"/>
  <c r="E2515" i="3"/>
  <c r="G2515" i="3" s="1"/>
  <c r="E2514" i="3"/>
  <c r="G2514" i="3" s="1"/>
  <c r="E2513" i="3"/>
  <c r="G2513" i="3" s="1"/>
  <c r="E2512" i="3"/>
  <c r="G2512" i="3" s="1"/>
  <c r="E2511" i="3"/>
  <c r="G2511" i="3" s="1"/>
  <c r="E2510" i="3"/>
  <c r="G2510" i="3" s="1"/>
  <c r="E2509" i="3"/>
  <c r="G2509" i="3" s="1"/>
  <c r="E2508" i="3"/>
  <c r="G2508" i="3" s="1"/>
  <c r="E2507" i="3"/>
  <c r="G2507" i="3" s="1"/>
  <c r="E2506" i="3"/>
  <c r="G2506" i="3" s="1"/>
  <c r="E2505" i="3"/>
  <c r="G2505" i="3" s="1"/>
  <c r="E2504" i="3"/>
  <c r="G2504" i="3" s="1"/>
  <c r="E2503" i="3"/>
  <c r="G2503" i="3" s="1"/>
  <c r="E2502" i="3"/>
  <c r="G2502" i="3" s="1"/>
  <c r="E2501" i="3"/>
  <c r="G2501" i="3" s="1"/>
  <c r="E2500" i="3"/>
  <c r="G2500" i="3" s="1"/>
  <c r="E2499" i="3"/>
  <c r="G2499" i="3" s="1"/>
  <c r="E2498" i="3"/>
  <c r="G2498" i="3" s="1"/>
  <c r="E2497" i="3"/>
  <c r="G2497" i="3" s="1"/>
  <c r="E2496" i="3"/>
  <c r="G2496" i="3" s="1"/>
  <c r="E2495" i="3"/>
  <c r="G2495" i="3" s="1"/>
  <c r="E2494" i="3"/>
  <c r="G2494" i="3" s="1"/>
  <c r="E2493" i="3"/>
  <c r="G2493" i="3" s="1"/>
  <c r="E2492" i="3"/>
  <c r="G2492" i="3" s="1"/>
  <c r="E2491" i="3"/>
  <c r="G2491" i="3" s="1"/>
  <c r="E2490" i="3"/>
  <c r="G2490" i="3" s="1"/>
  <c r="E2489" i="3"/>
  <c r="G2489" i="3" s="1"/>
  <c r="E2488" i="3"/>
  <c r="G2488" i="3" s="1"/>
  <c r="E2487" i="3"/>
  <c r="G2487" i="3" s="1"/>
  <c r="E2486" i="3"/>
  <c r="G2486" i="3" s="1"/>
  <c r="E2485" i="3"/>
  <c r="G2485" i="3" s="1"/>
  <c r="E2484" i="3"/>
  <c r="G2484" i="3" s="1"/>
  <c r="E2483" i="3"/>
  <c r="G2483" i="3" s="1"/>
  <c r="E2482" i="3"/>
  <c r="G2482" i="3" s="1"/>
  <c r="E2481" i="3"/>
  <c r="G2481" i="3" s="1"/>
  <c r="E2480" i="3"/>
  <c r="G2480" i="3" s="1"/>
  <c r="E2479" i="3"/>
  <c r="G2479" i="3" s="1"/>
  <c r="E2478" i="3"/>
  <c r="G2478" i="3" s="1"/>
  <c r="E2477" i="3"/>
  <c r="G2477" i="3" s="1"/>
  <c r="E2476" i="3"/>
  <c r="G2476" i="3" s="1"/>
  <c r="E2475" i="3"/>
  <c r="G2475" i="3" s="1"/>
  <c r="E2474" i="3"/>
  <c r="G2474" i="3" s="1"/>
  <c r="E2473" i="3"/>
  <c r="G2473" i="3" s="1"/>
  <c r="E2472" i="3"/>
  <c r="G2472" i="3" s="1"/>
  <c r="E2471" i="3"/>
  <c r="G2471" i="3" s="1"/>
  <c r="E2470" i="3"/>
  <c r="G2470" i="3" s="1"/>
  <c r="E2469" i="3"/>
  <c r="G2469" i="3" s="1"/>
  <c r="E2468" i="3"/>
  <c r="G2468" i="3" s="1"/>
  <c r="E2467" i="3"/>
  <c r="G2467" i="3" s="1"/>
  <c r="E2466" i="3"/>
  <c r="G2466" i="3" s="1"/>
  <c r="E2465" i="3"/>
  <c r="G2465" i="3" s="1"/>
  <c r="E2464" i="3"/>
  <c r="G2464" i="3" s="1"/>
  <c r="E2463" i="3"/>
  <c r="G2463" i="3" s="1"/>
  <c r="E2462" i="3"/>
  <c r="G2462" i="3" s="1"/>
  <c r="E2461" i="3"/>
  <c r="G2461" i="3" s="1"/>
  <c r="E2460" i="3"/>
  <c r="G2460" i="3" s="1"/>
  <c r="E2459" i="3"/>
  <c r="G2459" i="3" s="1"/>
  <c r="E2458" i="3"/>
  <c r="G2458" i="3" s="1"/>
  <c r="E2457" i="3"/>
  <c r="G2457" i="3" s="1"/>
  <c r="E2456" i="3"/>
  <c r="G2456" i="3" s="1"/>
  <c r="E2455" i="3"/>
  <c r="G2455" i="3" s="1"/>
  <c r="E2454" i="3"/>
  <c r="G2454" i="3" s="1"/>
  <c r="E2453" i="3"/>
  <c r="G2453" i="3" s="1"/>
  <c r="E2452" i="3"/>
  <c r="G2452" i="3" s="1"/>
  <c r="E2451" i="3"/>
  <c r="G2451" i="3" s="1"/>
  <c r="E2450" i="3"/>
  <c r="G2450" i="3" s="1"/>
  <c r="E2449" i="3"/>
  <c r="G2449" i="3" s="1"/>
  <c r="E2448" i="3"/>
  <c r="G2448" i="3" s="1"/>
  <c r="E2447" i="3"/>
  <c r="G2447" i="3" s="1"/>
  <c r="E2446" i="3"/>
  <c r="G2446" i="3" s="1"/>
  <c r="E2445" i="3"/>
  <c r="G2445" i="3" s="1"/>
  <c r="E2444" i="3"/>
  <c r="G2444" i="3" s="1"/>
  <c r="E2443" i="3"/>
  <c r="G2443" i="3" s="1"/>
  <c r="E2442" i="3"/>
  <c r="G2442" i="3" s="1"/>
  <c r="E2441" i="3"/>
  <c r="G2441" i="3" s="1"/>
  <c r="E2440" i="3"/>
  <c r="G2440" i="3" s="1"/>
  <c r="E2439" i="3"/>
  <c r="G2439" i="3" s="1"/>
  <c r="E2438" i="3"/>
  <c r="G2438" i="3" s="1"/>
  <c r="E2437" i="3"/>
  <c r="G2437" i="3" s="1"/>
  <c r="E2436" i="3"/>
  <c r="G2436" i="3" s="1"/>
  <c r="E2435" i="3"/>
  <c r="G2435" i="3" s="1"/>
  <c r="E2434" i="3"/>
  <c r="G2434" i="3" s="1"/>
  <c r="E2433" i="3"/>
  <c r="G2433" i="3" s="1"/>
  <c r="E2432" i="3"/>
  <c r="G2432" i="3" s="1"/>
  <c r="E2431" i="3"/>
  <c r="G2431" i="3" s="1"/>
  <c r="E2430" i="3"/>
  <c r="G2430" i="3" s="1"/>
  <c r="E2429" i="3"/>
  <c r="G2429" i="3" s="1"/>
  <c r="E2428" i="3"/>
  <c r="G2428" i="3" s="1"/>
  <c r="E2427" i="3"/>
  <c r="G2427" i="3" s="1"/>
  <c r="E2426" i="3"/>
  <c r="G2426" i="3" s="1"/>
  <c r="E2425" i="3"/>
  <c r="G2425" i="3" s="1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G2308" i="3" s="1"/>
  <c r="E2307" i="3"/>
  <c r="G2307" i="3" s="1"/>
  <c r="E2306" i="3"/>
  <c r="G2306" i="3" s="1"/>
  <c r="E2305" i="3"/>
  <c r="G2305" i="3" s="1"/>
  <c r="E2304" i="3"/>
  <c r="G2304" i="3" s="1"/>
  <c r="E2303" i="3"/>
  <c r="G2303" i="3" s="1"/>
  <c r="E2302" i="3"/>
  <c r="G2302" i="3" s="1"/>
  <c r="E2301" i="3"/>
  <c r="G2301" i="3" s="1"/>
  <c r="E2300" i="3"/>
  <c r="G2300" i="3" s="1"/>
  <c r="E2299" i="3"/>
  <c r="G2299" i="3" s="1"/>
  <c r="E2298" i="3"/>
  <c r="G2298" i="3" s="1"/>
  <c r="E2297" i="3"/>
  <c r="G2297" i="3" s="1"/>
  <c r="E2296" i="3"/>
  <c r="G2296" i="3" s="1"/>
  <c r="E2295" i="3"/>
  <c r="G2295" i="3" s="1"/>
  <c r="E2294" i="3"/>
  <c r="G2294" i="3" s="1"/>
  <c r="E2293" i="3"/>
  <c r="G2293" i="3" s="1"/>
  <c r="E2292" i="3"/>
  <c r="G2292" i="3" s="1"/>
  <c r="E2291" i="3"/>
  <c r="G2291" i="3" s="1"/>
  <c r="E2290" i="3"/>
  <c r="G2290" i="3" s="1"/>
  <c r="E2289" i="3"/>
  <c r="G2289" i="3" s="1"/>
  <c r="E2288" i="3"/>
  <c r="G2288" i="3" s="1"/>
  <c r="E2287" i="3"/>
  <c r="G2287" i="3" s="1"/>
  <c r="E2286" i="3"/>
  <c r="G2286" i="3" s="1"/>
  <c r="E2285" i="3"/>
  <c r="G2285" i="3" s="1"/>
  <c r="E2284" i="3"/>
  <c r="G2284" i="3" s="1"/>
  <c r="E2283" i="3"/>
  <c r="G2283" i="3" s="1"/>
  <c r="E2282" i="3"/>
  <c r="G2282" i="3" s="1"/>
  <c r="E2281" i="3"/>
  <c r="G2281" i="3" s="1"/>
  <c r="E2280" i="3"/>
  <c r="G2280" i="3" s="1"/>
  <c r="E2279" i="3"/>
  <c r="G2279" i="3" s="1"/>
  <c r="E2278" i="3"/>
  <c r="G2278" i="3" s="1"/>
  <c r="E2277" i="3"/>
  <c r="G2277" i="3" s="1"/>
  <c r="E2276" i="3"/>
  <c r="G2276" i="3" s="1"/>
  <c r="E2275" i="3"/>
  <c r="G2275" i="3" s="1"/>
  <c r="E2274" i="3"/>
  <c r="G2274" i="3" s="1"/>
  <c r="E2273" i="3"/>
  <c r="G2273" i="3" s="1"/>
  <c r="E2272" i="3"/>
  <c r="G2272" i="3" s="1"/>
  <c r="E2271" i="3"/>
  <c r="G2271" i="3" s="1"/>
  <c r="E2270" i="3"/>
  <c r="G2270" i="3" s="1"/>
  <c r="E2269" i="3"/>
  <c r="G2269" i="3" s="1"/>
  <c r="E2268" i="3"/>
  <c r="G2268" i="3" s="1"/>
  <c r="E2267" i="3"/>
  <c r="G2267" i="3" s="1"/>
  <c r="E2266" i="3"/>
  <c r="G2266" i="3" s="1"/>
  <c r="E2265" i="3"/>
  <c r="G2265" i="3" s="1"/>
  <c r="E2264" i="3"/>
  <c r="G2264" i="3" s="1"/>
  <c r="E2263" i="3"/>
  <c r="G2263" i="3" s="1"/>
  <c r="E2262" i="3"/>
  <c r="G2262" i="3" s="1"/>
  <c r="E2261" i="3"/>
  <c r="G2261" i="3" s="1"/>
  <c r="E2260" i="3"/>
  <c r="G2260" i="3" s="1"/>
  <c r="E2259" i="3"/>
  <c r="G2259" i="3" s="1"/>
  <c r="E2258" i="3"/>
  <c r="G2258" i="3" s="1"/>
  <c r="E2257" i="3"/>
  <c r="G2257" i="3" s="1"/>
  <c r="E2256" i="3"/>
  <c r="G2256" i="3" s="1"/>
  <c r="E2255" i="3"/>
  <c r="G2255" i="3" s="1"/>
  <c r="E2254" i="3"/>
  <c r="G2254" i="3" s="1"/>
  <c r="E2253" i="3"/>
  <c r="G2253" i="3" s="1"/>
  <c r="E2252" i="3"/>
  <c r="G2252" i="3" s="1"/>
  <c r="E2251" i="3"/>
  <c r="G2251" i="3" s="1"/>
  <c r="E2250" i="3"/>
  <c r="G2250" i="3" s="1"/>
  <c r="E2249" i="3"/>
  <c r="G2249" i="3" s="1"/>
  <c r="E2248" i="3"/>
  <c r="G2248" i="3" s="1"/>
  <c r="E2247" i="3"/>
  <c r="G2247" i="3" s="1"/>
  <c r="E2246" i="3"/>
  <c r="G2246" i="3" s="1"/>
  <c r="E2245" i="3"/>
  <c r="G2245" i="3" s="1"/>
  <c r="E2244" i="3"/>
  <c r="G2244" i="3" s="1"/>
  <c r="E2243" i="3"/>
  <c r="G2243" i="3" s="1"/>
  <c r="E2242" i="3"/>
  <c r="G2242" i="3" s="1"/>
  <c r="E2241" i="3"/>
  <c r="G2241" i="3" s="1"/>
  <c r="E2240" i="3"/>
  <c r="G2240" i="3" s="1"/>
  <c r="E2239" i="3"/>
  <c r="G2239" i="3" s="1"/>
  <c r="E2238" i="3"/>
  <c r="G2238" i="3" s="1"/>
  <c r="E2237" i="3"/>
  <c r="G2237" i="3" s="1"/>
  <c r="E2236" i="3"/>
  <c r="G2236" i="3" s="1"/>
  <c r="E2235" i="3"/>
  <c r="G2235" i="3" s="1"/>
  <c r="E2234" i="3"/>
  <c r="G2234" i="3" s="1"/>
  <c r="E2233" i="3"/>
  <c r="G2233" i="3" s="1"/>
  <c r="E2232" i="3"/>
  <c r="G2232" i="3" s="1"/>
  <c r="E2231" i="3"/>
  <c r="G2231" i="3" s="1"/>
  <c r="E2230" i="3"/>
  <c r="G2230" i="3" s="1"/>
  <c r="E2229" i="3"/>
  <c r="G2229" i="3" s="1"/>
  <c r="E2228" i="3"/>
  <c r="G2228" i="3" s="1"/>
  <c r="E2227" i="3"/>
  <c r="G2227" i="3" s="1"/>
  <c r="E2226" i="3"/>
  <c r="G2226" i="3" s="1"/>
  <c r="E2225" i="3"/>
  <c r="G2225" i="3" s="1"/>
  <c r="E2224" i="3"/>
  <c r="G2224" i="3" s="1"/>
  <c r="E2223" i="3"/>
  <c r="G2223" i="3" s="1"/>
  <c r="E2222" i="3"/>
  <c r="G2222" i="3" s="1"/>
  <c r="E2221" i="3"/>
  <c r="G2221" i="3" s="1"/>
  <c r="E2220" i="3"/>
  <c r="G2220" i="3" s="1"/>
  <c r="E2219" i="3"/>
  <c r="G2219" i="3" s="1"/>
  <c r="E2218" i="3"/>
  <c r="G2218" i="3" s="1"/>
  <c r="E2217" i="3"/>
  <c r="G2217" i="3" s="1"/>
  <c r="E2216" i="3"/>
  <c r="G2216" i="3" s="1"/>
  <c r="E2215" i="3"/>
  <c r="G2215" i="3" s="1"/>
  <c r="E2214" i="3"/>
  <c r="G2214" i="3" s="1"/>
  <c r="E2213" i="3"/>
  <c r="G2213" i="3" s="1"/>
  <c r="E2212" i="3"/>
  <c r="G2212" i="3" s="1"/>
  <c r="E2211" i="3"/>
  <c r="G2211" i="3" s="1"/>
  <c r="E2210" i="3"/>
  <c r="G2210" i="3" s="1"/>
  <c r="E2209" i="3"/>
  <c r="G2209" i="3" s="1"/>
  <c r="E2208" i="3"/>
  <c r="G2208" i="3" s="1"/>
  <c r="E2207" i="3"/>
  <c r="G2207" i="3" s="1"/>
  <c r="E2206" i="3"/>
  <c r="G2206" i="3" s="1"/>
  <c r="E2205" i="3"/>
  <c r="G2205" i="3" s="1"/>
  <c r="E2204" i="3"/>
  <c r="G2204" i="3" s="1"/>
  <c r="E2203" i="3"/>
  <c r="G2203" i="3" s="1"/>
  <c r="E2202" i="3"/>
  <c r="G2202" i="3" s="1"/>
  <c r="E2201" i="3"/>
  <c r="G2201" i="3" s="1"/>
  <c r="E2200" i="3"/>
  <c r="G2200" i="3" s="1"/>
  <c r="E2199" i="3"/>
  <c r="G2199" i="3" s="1"/>
  <c r="E2198" i="3"/>
  <c r="G2198" i="3" s="1"/>
  <c r="E2197" i="3"/>
  <c r="G2197" i="3" s="1"/>
  <c r="E2196" i="3"/>
  <c r="G2196" i="3" s="1"/>
  <c r="E2195" i="3"/>
  <c r="G2195" i="3" s="1"/>
  <c r="E2194" i="3"/>
  <c r="G2194" i="3" s="1"/>
  <c r="E2193" i="3"/>
  <c r="G2193" i="3" s="1"/>
  <c r="E2192" i="3"/>
  <c r="G2192" i="3" s="1"/>
  <c r="E2191" i="3"/>
  <c r="G2191" i="3" s="1"/>
  <c r="E2190" i="3"/>
  <c r="G2190" i="3" s="1"/>
  <c r="E2189" i="3"/>
  <c r="G2189" i="3" s="1"/>
  <c r="E2188" i="3"/>
  <c r="G2188" i="3" s="1"/>
  <c r="E2187" i="3"/>
  <c r="G2187" i="3" s="1"/>
  <c r="E2186" i="3"/>
  <c r="G2186" i="3" s="1"/>
  <c r="E2185" i="3"/>
  <c r="G2185" i="3" s="1"/>
  <c r="E2184" i="3"/>
  <c r="G2184" i="3" s="1"/>
  <c r="E2183" i="3"/>
  <c r="G2183" i="3" s="1"/>
  <c r="E2182" i="3"/>
  <c r="G2182" i="3" s="1"/>
  <c r="E2181" i="3"/>
  <c r="G2181" i="3" s="1"/>
  <c r="E2180" i="3"/>
  <c r="G2180" i="3" s="1"/>
  <c r="E2179" i="3"/>
  <c r="G2179" i="3" s="1"/>
  <c r="E2178" i="3"/>
  <c r="G2178" i="3" s="1"/>
  <c r="E2177" i="3"/>
  <c r="G2177" i="3" s="1"/>
  <c r="E2176" i="3"/>
  <c r="G2176" i="3" s="1"/>
  <c r="E2175" i="3"/>
  <c r="G2175" i="3" s="1"/>
  <c r="E2174" i="3"/>
  <c r="G2174" i="3" s="1"/>
  <c r="E2173" i="3"/>
  <c r="G2173" i="3" s="1"/>
  <c r="E2172" i="3"/>
  <c r="G2172" i="3" s="1"/>
  <c r="E2171" i="3"/>
  <c r="G2171" i="3" s="1"/>
  <c r="E2170" i="3"/>
  <c r="G2170" i="3" s="1"/>
  <c r="E2169" i="3"/>
  <c r="G2169" i="3" s="1"/>
  <c r="E2168" i="3"/>
  <c r="G2168" i="3" s="1"/>
  <c r="E2167" i="3"/>
  <c r="G2167" i="3" s="1"/>
  <c r="E2166" i="3"/>
  <c r="G2166" i="3" s="1"/>
  <c r="E2165" i="3"/>
  <c r="G2165" i="3" s="1"/>
  <c r="E2164" i="3"/>
  <c r="G2164" i="3" s="1"/>
  <c r="E2163" i="3"/>
  <c r="G2163" i="3" s="1"/>
  <c r="E2162" i="3"/>
  <c r="G2162" i="3" s="1"/>
  <c r="E2161" i="3"/>
  <c r="G2161" i="3" s="1"/>
  <c r="E2160" i="3"/>
  <c r="G2160" i="3" s="1"/>
  <c r="E2159" i="3"/>
  <c r="G2159" i="3" s="1"/>
  <c r="E2158" i="3"/>
  <c r="G2158" i="3" s="1"/>
  <c r="E2157" i="3"/>
  <c r="G2157" i="3" s="1"/>
  <c r="E2156" i="3"/>
  <c r="G2156" i="3" s="1"/>
  <c r="E2155" i="3"/>
  <c r="G2155" i="3" s="1"/>
  <c r="E2154" i="3"/>
  <c r="G2154" i="3" s="1"/>
  <c r="E2153" i="3"/>
  <c r="G2153" i="3" s="1"/>
  <c r="E2152" i="3"/>
  <c r="G2152" i="3" s="1"/>
  <c r="E2151" i="3"/>
  <c r="G2151" i="3" s="1"/>
  <c r="E2150" i="3"/>
  <c r="G2150" i="3" s="1"/>
  <c r="E2149" i="3"/>
  <c r="G2149" i="3" s="1"/>
  <c r="E2148" i="3"/>
  <c r="G2148" i="3" s="1"/>
  <c r="E2147" i="3"/>
  <c r="G2147" i="3" s="1"/>
  <c r="E2146" i="3"/>
  <c r="G2146" i="3" s="1"/>
  <c r="E2145" i="3"/>
  <c r="G2145" i="3" s="1"/>
  <c r="E2144" i="3"/>
  <c r="G2144" i="3" s="1"/>
  <c r="E2143" i="3"/>
  <c r="G2143" i="3" s="1"/>
  <c r="E2142" i="3"/>
  <c r="G2142" i="3" s="1"/>
  <c r="E2141" i="3"/>
  <c r="G2141" i="3" s="1"/>
  <c r="E2140" i="3"/>
  <c r="G2140" i="3" s="1"/>
  <c r="E2139" i="3"/>
  <c r="G2139" i="3" s="1"/>
  <c r="E2138" i="3"/>
  <c r="G2138" i="3" s="1"/>
  <c r="E2137" i="3"/>
  <c r="G2137" i="3" s="1"/>
  <c r="E2136" i="3"/>
  <c r="G2136" i="3" s="1"/>
  <c r="E2135" i="3"/>
  <c r="G2135" i="3" s="1"/>
  <c r="E2134" i="3"/>
  <c r="G2134" i="3" s="1"/>
  <c r="E2133" i="3"/>
  <c r="G2133" i="3" s="1"/>
  <c r="E2132" i="3"/>
  <c r="G2132" i="3" s="1"/>
  <c r="E2131" i="3"/>
  <c r="G2131" i="3" s="1"/>
  <c r="E2130" i="3"/>
  <c r="G2130" i="3" s="1"/>
  <c r="E2129" i="3"/>
  <c r="G2129" i="3" s="1"/>
  <c r="E2128" i="3"/>
  <c r="G2128" i="3" s="1"/>
  <c r="E2127" i="3"/>
  <c r="G2127" i="3" s="1"/>
  <c r="E2126" i="3"/>
  <c r="G2126" i="3" s="1"/>
  <c r="E2125" i="3"/>
  <c r="G2125" i="3" s="1"/>
  <c r="E2124" i="3"/>
  <c r="G2124" i="3" s="1"/>
  <c r="E2123" i="3"/>
  <c r="G2123" i="3" s="1"/>
  <c r="E2122" i="3"/>
  <c r="G2122" i="3" s="1"/>
  <c r="E2121" i="3"/>
  <c r="G2121" i="3" s="1"/>
  <c r="E2120" i="3"/>
  <c r="G2120" i="3" s="1"/>
  <c r="E2119" i="3"/>
  <c r="G2119" i="3" s="1"/>
  <c r="E2118" i="3"/>
  <c r="G2118" i="3" s="1"/>
  <c r="E2117" i="3"/>
  <c r="G2117" i="3" s="1"/>
  <c r="E2116" i="3"/>
  <c r="G2116" i="3" s="1"/>
  <c r="E2115" i="3"/>
  <c r="G2115" i="3" s="1"/>
  <c r="E2114" i="3"/>
  <c r="G2114" i="3" s="1"/>
  <c r="E2113" i="3"/>
  <c r="G2113" i="3" s="1"/>
  <c r="E2112" i="3"/>
  <c r="G2112" i="3" s="1"/>
  <c r="E2111" i="3"/>
  <c r="G2111" i="3" s="1"/>
  <c r="E2110" i="3"/>
  <c r="G2110" i="3" s="1"/>
  <c r="E2109" i="3"/>
  <c r="G2109" i="3" s="1"/>
  <c r="E2108" i="3"/>
  <c r="G2108" i="3" s="1"/>
  <c r="E2107" i="3"/>
  <c r="G2107" i="3" s="1"/>
  <c r="E2106" i="3"/>
  <c r="G2106" i="3" s="1"/>
  <c r="E2105" i="3"/>
  <c r="G2105" i="3" s="1"/>
  <c r="E2104" i="3"/>
  <c r="G2104" i="3" s="1"/>
  <c r="E2103" i="3"/>
  <c r="G2103" i="3" s="1"/>
  <c r="E2102" i="3"/>
  <c r="G2102" i="3" s="1"/>
  <c r="E2101" i="3"/>
  <c r="G2101" i="3" s="1"/>
  <c r="E2100" i="3"/>
  <c r="G2100" i="3" s="1"/>
  <c r="E2099" i="3"/>
  <c r="G2099" i="3" s="1"/>
  <c r="E2098" i="3"/>
  <c r="G2098" i="3" s="1"/>
  <c r="E2097" i="3"/>
  <c r="G2097" i="3" s="1"/>
  <c r="E2096" i="3"/>
  <c r="G2096" i="3" s="1"/>
  <c r="E2095" i="3"/>
  <c r="G2095" i="3" s="1"/>
  <c r="E2094" i="3"/>
  <c r="G2094" i="3" s="1"/>
  <c r="E2093" i="3"/>
  <c r="G2093" i="3" s="1"/>
  <c r="E2092" i="3"/>
  <c r="G2092" i="3" s="1"/>
  <c r="E2091" i="3"/>
  <c r="G2091" i="3" s="1"/>
  <c r="E2090" i="3"/>
  <c r="G2090" i="3" s="1"/>
  <c r="E2089" i="3"/>
  <c r="G2089" i="3" s="1"/>
  <c r="E2088" i="3"/>
  <c r="G2088" i="3" s="1"/>
  <c r="E2087" i="3"/>
  <c r="G2087" i="3" s="1"/>
  <c r="E2086" i="3"/>
  <c r="G2086" i="3" s="1"/>
  <c r="E2085" i="3"/>
  <c r="G2085" i="3" s="1"/>
  <c r="E2084" i="3"/>
  <c r="G2084" i="3" s="1"/>
  <c r="E2083" i="3"/>
  <c r="G2083" i="3" s="1"/>
  <c r="E2082" i="3"/>
  <c r="G2082" i="3" s="1"/>
  <c r="E2081" i="3"/>
  <c r="G2081" i="3" s="1"/>
  <c r="E2080" i="3"/>
  <c r="G2080" i="3" s="1"/>
  <c r="E2079" i="3"/>
  <c r="G2079" i="3" s="1"/>
  <c r="E2078" i="3"/>
  <c r="G2078" i="3" s="1"/>
  <c r="E2077" i="3"/>
  <c r="G2077" i="3" s="1"/>
  <c r="E2076" i="3"/>
  <c r="G2076" i="3" s="1"/>
  <c r="E2075" i="3"/>
  <c r="G2075" i="3" s="1"/>
  <c r="E2074" i="3"/>
  <c r="G2074" i="3" s="1"/>
  <c r="E2073" i="3"/>
  <c r="G2073" i="3" s="1"/>
  <c r="E2072" i="3"/>
  <c r="G2072" i="3" s="1"/>
  <c r="E2071" i="3"/>
  <c r="G2071" i="3" s="1"/>
  <c r="E2070" i="3"/>
  <c r="G2070" i="3" s="1"/>
  <c r="E2069" i="3"/>
  <c r="G2069" i="3" s="1"/>
  <c r="E2068" i="3"/>
  <c r="G2068" i="3" s="1"/>
  <c r="E2067" i="3"/>
  <c r="G2067" i="3" s="1"/>
  <c r="E2066" i="3"/>
  <c r="G2066" i="3" s="1"/>
  <c r="E2065" i="3"/>
  <c r="G2065" i="3" s="1"/>
  <c r="E2064" i="3"/>
  <c r="G2064" i="3" s="1"/>
  <c r="E2063" i="3"/>
  <c r="G2063" i="3" s="1"/>
  <c r="E2062" i="3"/>
  <c r="G2062" i="3" s="1"/>
  <c r="E2061" i="3"/>
  <c r="G2061" i="3" s="1"/>
  <c r="E2060" i="3"/>
  <c r="G2060" i="3" s="1"/>
  <c r="E2059" i="3"/>
  <c r="G2059" i="3" s="1"/>
  <c r="E2058" i="3"/>
  <c r="G2058" i="3" s="1"/>
  <c r="E2057" i="3"/>
  <c r="G2057" i="3" s="1"/>
  <c r="E2056" i="3"/>
  <c r="G2056" i="3" s="1"/>
  <c r="E2055" i="3"/>
  <c r="G2055" i="3" s="1"/>
  <c r="E2054" i="3"/>
  <c r="G2054" i="3" s="1"/>
  <c r="E2053" i="3"/>
  <c r="G2053" i="3" s="1"/>
  <c r="E2052" i="3"/>
  <c r="G2052" i="3" s="1"/>
  <c r="E2051" i="3"/>
  <c r="G2051" i="3" s="1"/>
  <c r="E2050" i="3"/>
  <c r="G2050" i="3" s="1"/>
  <c r="E2049" i="3"/>
  <c r="G2049" i="3" s="1"/>
  <c r="E2048" i="3"/>
  <c r="G2048" i="3" s="1"/>
  <c r="E2047" i="3"/>
  <c r="G2047" i="3" s="1"/>
  <c r="E2046" i="3"/>
  <c r="G2046" i="3" s="1"/>
  <c r="E2045" i="3"/>
  <c r="G2045" i="3" s="1"/>
  <c r="E2044" i="3"/>
  <c r="G2044" i="3" s="1"/>
  <c r="E2043" i="3"/>
  <c r="G2043" i="3" s="1"/>
  <c r="E2042" i="3"/>
  <c r="G2042" i="3" s="1"/>
  <c r="E2041" i="3"/>
  <c r="G2041" i="3" s="1"/>
  <c r="E2040" i="3"/>
  <c r="G2040" i="3" s="1"/>
  <c r="E2039" i="3"/>
  <c r="G2039" i="3" s="1"/>
  <c r="E2038" i="3"/>
  <c r="G2038" i="3" s="1"/>
  <c r="E2037" i="3"/>
  <c r="G2037" i="3" s="1"/>
  <c r="E2036" i="3"/>
  <c r="G2036" i="3" s="1"/>
  <c r="E2035" i="3"/>
  <c r="G2035" i="3" s="1"/>
  <c r="E2034" i="3"/>
  <c r="G2034" i="3" s="1"/>
  <c r="E2033" i="3"/>
  <c r="G2033" i="3" s="1"/>
  <c r="E2032" i="3"/>
  <c r="G2032" i="3" s="1"/>
  <c r="E2031" i="3"/>
  <c r="G2031" i="3" s="1"/>
  <c r="E2030" i="3"/>
  <c r="G2030" i="3" s="1"/>
  <c r="E2029" i="3"/>
  <c r="G2029" i="3" s="1"/>
  <c r="E2028" i="3"/>
  <c r="G2028" i="3" s="1"/>
  <c r="E2027" i="3"/>
  <c r="G2027" i="3" s="1"/>
  <c r="E2026" i="3"/>
  <c r="G2026" i="3" s="1"/>
  <c r="E2025" i="3"/>
  <c r="G2025" i="3" s="1"/>
  <c r="E2024" i="3"/>
  <c r="G2024" i="3" s="1"/>
  <c r="E2023" i="3"/>
  <c r="G2023" i="3" s="1"/>
  <c r="E2022" i="3"/>
  <c r="G2022" i="3" s="1"/>
  <c r="E2021" i="3"/>
  <c r="G2021" i="3" s="1"/>
  <c r="E2020" i="3"/>
  <c r="G2020" i="3" s="1"/>
  <c r="E2019" i="3"/>
  <c r="G2019" i="3" s="1"/>
  <c r="E2018" i="3"/>
  <c r="G2018" i="3" s="1"/>
  <c r="E2017" i="3"/>
  <c r="G2017" i="3" s="1"/>
  <c r="E2016" i="3"/>
  <c r="G2016" i="3" s="1"/>
  <c r="E2015" i="3"/>
  <c r="G2015" i="3" s="1"/>
  <c r="E2014" i="3"/>
  <c r="G2014" i="3" s="1"/>
  <c r="E2013" i="3"/>
  <c r="G2013" i="3" s="1"/>
  <c r="E2012" i="3"/>
  <c r="G2012" i="3" s="1"/>
  <c r="E2011" i="3"/>
  <c r="G2011" i="3" s="1"/>
  <c r="E2010" i="3"/>
  <c r="G2010" i="3" s="1"/>
  <c r="E2009" i="3"/>
  <c r="G2009" i="3" s="1"/>
  <c r="E2008" i="3"/>
  <c r="G2008" i="3" s="1"/>
  <c r="E2007" i="3"/>
  <c r="G2007" i="3" s="1"/>
  <c r="E2006" i="3"/>
  <c r="G2006" i="3" s="1"/>
  <c r="E2005" i="3"/>
  <c r="G2005" i="3" s="1"/>
  <c r="E2004" i="3"/>
  <c r="G2004" i="3" s="1"/>
  <c r="E2003" i="3"/>
  <c r="G2003" i="3" s="1"/>
  <c r="E2002" i="3"/>
  <c r="G2002" i="3" s="1"/>
  <c r="E2001" i="3"/>
  <c r="G2001" i="3" s="1"/>
  <c r="E2000" i="3"/>
  <c r="G2000" i="3" s="1"/>
  <c r="E1999" i="3"/>
  <c r="G1999" i="3" s="1"/>
  <c r="E1998" i="3"/>
  <c r="G1998" i="3" s="1"/>
  <c r="E1997" i="3"/>
  <c r="G1997" i="3" s="1"/>
  <c r="E1996" i="3"/>
  <c r="G1996" i="3" s="1"/>
  <c r="E1995" i="3"/>
  <c r="G1995" i="3" s="1"/>
  <c r="E1994" i="3"/>
  <c r="G1994" i="3" s="1"/>
  <c r="E1993" i="3"/>
  <c r="G1993" i="3" s="1"/>
  <c r="E1992" i="3"/>
  <c r="G1992" i="3" s="1"/>
  <c r="E1991" i="3"/>
  <c r="G1991" i="3" s="1"/>
  <c r="E1990" i="3"/>
  <c r="G1990" i="3" s="1"/>
  <c r="E1989" i="3"/>
  <c r="G1989" i="3" s="1"/>
  <c r="E1988" i="3"/>
  <c r="G1988" i="3" s="1"/>
  <c r="E1987" i="3"/>
  <c r="G1987" i="3" s="1"/>
  <c r="E1986" i="3"/>
  <c r="G1986" i="3" s="1"/>
  <c r="E1985" i="3"/>
  <c r="G1985" i="3" s="1"/>
  <c r="E1984" i="3"/>
  <c r="G1984" i="3" s="1"/>
  <c r="E1983" i="3"/>
  <c r="G1983" i="3" s="1"/>
  <c r="E1982" i="3"/>
  <c r="G1982" i="3" s="1"/>
  <c r="E1981" i="3"/>
  <c r="G1981" i="3" s="1"/>
  <c r="E1980" i="3"/>
  <c r="G1980" i="3" s="1"/>
  <c r="E1979" i="3"/>
  <c r="G1979" i="3" s="1"/>
  <c r="E1978" i="3"/>
  <c r="G1978" i="3" s="1"/>
  <c r="E1977" i="3"/>
  <c r="G1977" i="3" s="1"/>
  <c r="E1976" i="3"/>
  <c r="G1976" i="3" s="1"/>
  <c r="E1975" i="3"/>
  <c r="G1975" i="3" s="1"/>
  <c r="E1974" i="3"/>
  <c r="G1974" i="3" s="1"/>
  <c r="E1973" i="3"/>
  <c r="G1973" i="3" s="1"/>
  <c r="E1972" i="3"/>
  <c r="G1972" i="3" s="1"/>
  <c r="E1971" i="3"/>
  <c r="G1971" i="3" s="1"/>
  <c r="E1970" i="3"/>
  <c r="G1970" i="3" s="1"/>
  <c r="E1969" i="3"/>
  <c r="G1969" i="3" s="1"/>
  <c r="E1968" i="3"/>
  <c r="G1968" i="3" s="1"/>
  <c r="E1967" i="3"/>
  <c r="G1967" i="3" s="1"/>
  <c r="E1966" i="3"/>
  <c r="G1966" i="3" s="1"/>
  <c r="E1965" i="3"/>
  <c r="G1965" i="3" s="1"/>
  <c r="E1964" i="3"/>
  <c r="G1964" i="3" s="1"/>
  <c r="E1963" i="3"/>
  <c r="G1963" i="3" s="1"/>
  <c r="E1962" i="3"/>
  <c r="G1962" i="3" s="1"/>
  <c r="E1961" i="3"/>
  <c r="G1961" i="3" s="1"/>
  <c r="E1960" i="3"/>
  <c r="G1960" i="3" s="1"/>
  <c r="E1959" i="3"/>
  <c r="G1959" i="3" s="1"/>
  <c r="E1958" i="3"/>
  <c r="G1958" i="3" s="1"/>
  <c r="E1957" i="3"/>
  <c r="G1957" i="3" s="1"/>
  <c r="E1956" i="3"/>
  <c r="G1956" i="3" s="1"/>
  <c r="E1955" i="3"/>
  <c r="G1955" i="3" s="1"/>
  <c r="E1954" i="3"/>
  <c r="G1954" i="3" s="1"/>
  <c r="E1953" i="3"/>
  <c r="G1953" i="3" s="1"/>
  <c r="E1952" i="3"/>
  <c r="G1952" i="3" s="1"/>
  <c r="E1951" i="3"/>
  <c r="G1951" i="3" s="1"/>
  <c r="E1950" i="3"/>
  <c r="G1950" i="3" s="1"/>
  <c r="E1949" i="3"/>
  <c r="G1949" i="3" s="1"/>
  <c r="E1948" i="3"/>
  <c r="G1948" i="3" s="1"/>
  <c r="E1947" i="3"/>
  <c r="G1947" i="3" s="1"/>
  <c r="E1946" i="3"/>
  <c r="G1946" i="3" s="1"/>
  <c r="E1945" i="3"/>
  <c r="G1945" i="3" s="1"/>
  <c r="E1944" i="3"/>
  <c r="G1944" i="3" s="1"/>
  <c r="E1943" i="3"/>
  <c r="G1943" i="3" s="1"/>
  <c r="E1942" i="3"/>
  <c r="G1942" i="3" s="1"/>
  <c r="E1941" i="3"/>
  <c r="G1941" i="3" s="1"/>
  <c r="E1940" i="3"/>
  <c r="G1940" i="3" s="1"/>
  <c r="E1939" i="3"/>
  <c r="G1939" i="3" s="1"/>
  <c r="E1938" i="3"/>
  <c r="G1938" i="3" s="1"/>
  <c r="E1937" i="3"/>
  <c r="G1937" i="3" s="1"/>
  <c r="E1936" i="3"/>
  <c r="G1936" i="3" s="1"/>
  <c r="E1935" i="3"/>
  <c r="G1935" i="3" s="1"/>
  <c r="E1934" i="3"/>
  <c r="G1934" i="3" s="1"/>
  <c r="E1933" i="3"/>
  <c r="G1933" i="3" s="1"/>
  <c r="E1932" i="3"/>
  <c r="G1932" i="3" s="1"/>
  <c r="E1931" i="3"/>
  <c r="G1931" i="3" s="1"/>
  <c r="E1930" i="3"/>
  <c r="G1930" i="3" s="1"/>
  <c r="E1929" i="3"/>
  <c r="G1929" i="3" s="1"/>
  <c r="E1928" i="3"/>
  <c r="G1928" i="3" s="1"/>
  <c r="E1927" i="3"/>
  <c r="G1927" i="3" s="1"/>
  <c r="E1926" i="3"/>
  <c r="G1926" i="3" s="1"/>
  <c r="E1925" i="3"/>
  <c r="G1925" i="3" s="1"/>
  <c r="E1924" i="3"/>
  <c r="G1924" i="3" s="1"/>
  <c r="E1923" i="3"/>
  <c r="G1923" i="3" s="1"/>
  <c r="E1922" i="3"/>
  <c r="G1922" i="3" s="1"/>
  <c r="E1921" i="3"/>
  <c r="G1921" i="3" s="1"/>
  <c r="E1920" i="3"/>
  <c r="G1920" i="3" s="1"/>
  <c r="E1919" i="3"/>
  <c r="G1919" i="3" s="1"/>
  <c r="E1918" i="3"/>
  <c r="G1918" i="3" s="1"/>
  <c r="E1917" i="3"/>
  <c r="G1917" i="3" s="1"/>
  <c r="E1916" i="3"/>
  <c r="G1916" i="3" s="1"/>
  <c r="E1915" i="3"/>
  <c r="G1915" i="3" s="1"/>
  <c r="E1914" i="3"/>
  <c r="G1914" i="3" s="1"/>
  <c r="E1913" i="3"/>
  <c r="G1913" i="3" s="1"/>
  <c r="E1912" i="3"/>
  <c r="G1912" i="3" s="1"/>
  <c r="E1911" i="3"/>
  <c r="G1911" i="3" s="1"/>
  <c r="E1910" i="3"/>
  <c r="G1910" i="3" s="1"/>
  <c r="E1909" i="3"/>
  <c r="G1909" i="3" s="1"/>
  <c r="E1908" i="3"/>
  <c r="G1908" i="3" s="1"/>
  <c r="E1907" i="3"/>
  <c r="G1907" i="3" s="1"/>
  <c r="E1906" i="3"/>
  <c r="G1906" i="3" s="1"/>
  <c r="E1905" i="3"/>
  <c r="G1905" i="3" s="1"/>
  <c r="E1904" i="3"/>
  <c r="G1904" i="3" s="1"/>
  <c r="E1903" i="3"/>
  <c r="G1903" i="3" s="1"/>
  <c r="E1902" i="3"/>
  <c r="G1902" i="3" s="1"/>
  <c r="E1901" i="3"/>
  <c r="G1901" i="3" s="1"/>
  <c r="E1900" i="3"/>
  <c r="G1900" i="3" s="1"/>
  <c r="E1899" i="3"/>
  <c r="G1899" i="3" s="1"/>
  <c r="E1898" i="3"/>
  <c r="G1898" i="3" s="1"/>
  <c r="E1897" i="3"/>
  <c r="G1897" i="3" s="1"/>
  <c r="E1896" i="3"/>
  <c r="G1896" i="3" s="1"/>
  <c r="E1895" i="3"/>
  <c r="G1895" i="3" s="1"/>
  <c r="E1894" i="3"/>
  <c r="G1894" i="3" s="1"/>
  <c r="E1893" i="3"/>
  <c r="G1893" i="3" s="1"/>
  <c r="E1892" i="3"/>
  <c r="G1892" i="3" s="1"/>
  <c r="E1891" i="3"/>
  <c r="G1891" i="3" s="1"/>
  <c r="E1890" i="3"/>
  <c r="G1890" i="3" s="1"/>
  <c r="E1889" i="3"/>
  <c r="G1889" i="3" s="1"/>
  <c r="E1888" i="3"/>
  <c r="G1888" i="3" s="1"/>
  <c r="E1887" i="3"/>
  <c r="G1887" i="3" s="1"/>
  <c r="E1886" i="3"/>
  <c r="G1886" i="3" s="1"/>
  <c r="E1885" i="3"/>
  <c r="G1885" i="3" s="1"/>
  <c r="E1884" i="3"/>
  <c r="G1884" i="3" s="1"/>
  <c r="E1883" i="3"/>
  <c r="G1883" i="3" s="1"/>
  <c r="E1882" i="3"/>
  <c r="G1882" i="3" s="1"/>
  <c r="E1881" i="3"/>
  <c r="G1881" i="3" s="1"/>
  <c r="E1880" i="3"/>
  <c r="G1880" i="3" s="1"/>
  <c r="E1879" i="3"/>
  <c r="G1879" i="3" s="1"/>
  <c r="E1878" i="3"/>
  <c r="G1878" i="3" s="1"/>
  <c r="E1877" i="3"/>
  <c r="G1877" i="3" s="1"/>
  <c r="E1876" i="3"/>
  <c r="G1876" i="3" s="1"/>
  <c r="E1875" i="3"/>
  <c r="G1875" i="3" s="1"/>
  <c r="E1874" i="3"/>
  <c r="G1874" i="3" s="1"/>
  <c r="E1873" i="3"/>
  <c r="G1873" i="3" s="1"/>
  <c r="E1872" i="3"/>
  <c r="G1872" i="3" s="1"/>
  <c r="E1871" i="3"/>
  <c r="G1871" i="3" s="1"/>
  <c r="E1870" i="3"/>
  <c r="G1870" i="3" s="1"/>
  <c r="E1869" i="3"/>
  <c r="G1869" i="3" s="1"/>
  <c r="E1868" i="3"/>
  <c r="G1868" i="3" s="1"/>
  <c r="E1867" i="3"/>
  <c r="G1867" i="3" s="1"/>
  <c r="E1866" i="3"/>
  <c r="G1866" i="3" s="1"/>
  <c r="E1865" i="3"/>
  <c r="G1865" i="3" s="1"/>
  <c r="E1864" i="3"/>
  <c r="G1864" i="3" s="1"/>
  <c r="E1863" i="3"/>
  <c r="G1863" i="3" s="1"/>
  <c r="E1862" i="3"/>
  <c r="G1862" i="3" s="1"/>
  <c r="E1861" i="3"/>
  <c r="G1861" i="3" s="1"/>
  <c r="E1860" i="3"/>
  <c r="G1860" i="3" s="1"/>
  <c r="E1859" i="3"/>
  <c r="G1859" i="3" s="1"/>
  <c r="E1858" i="3"/>
  <c r="G1858" i="3" s="1"/>
  <c r="E1857" i="3"/>
  <c r="G1857" i="3" s="1"/>
  <c r="E1856" i="3"/>
  <c r="G1856" i="3" s="1"/>
  <c r="E1855" i="3"/>
  <c r="G1855" i="3" s="1"/>
  <c r="E1854" i="3"/>
  <c r="G1854" i="3" s="1"/>
  <c r="E1853" i="3"/>
  <c r="G1853" i="3" s="1"/>
  <c r="E1852" i="3"/>
  <c r="G1852" i="3" s="1"/>
  <c r="E1851" i="3"/>
  <c r="G1851" i="3" s="1"/>
  <c r="E1850" i="3"/>
  <c r="G1850" i="3" s="1"/>
  <c r="E1849" i="3"/>
  <c r="G1849" i="3" s="1"/>
  <c r="E1848" i="3"/>
  <c r="G1848" i="3" s="1"/>
  <c r="E1847" i="3"/>
  <c r="G1847" i="3" s="1"/>
  <c r="E1846" i="3"/>
  <c r="G1846" i="3" s="1"/>
  <c r="E1845" i="3"/>
  <c r="G1845" i="3" s="1"/>
  <c r="E1844" i="3"/>
  <c r="G1844" i="3" s="1"/>
  <c r="E1843" i="3"/>
  <c r="G1843" i="3" s="1"/>
  <c r="E1842" i="3"/>
  <c r="G1842" i="3" s="1"/>
  <c r="E1841" i="3"/>
  <c r="G1841" i="3" s="1"/>
  <c r="E1840" i="3"/>
  <c r="G1840" i="3" s="1"/>
  <c r="E1839" i="3"/>
  <c r="G1839" i="3" s="1"/>
  <c r="E1838" i="3"/>
  <c r="G1838" i="3" s="1"/>
  <c r="E1837" i="3"/>
  <c r="G1837" i="3" s="1"/>
  <c r="E1836" i="3"/>
  <c r="G1836" i="3" s="1"/>
  <c r="E1835" i="3"/>
  <c r="G1835" i="3" s="1"/>
  <c r="E1834" i="3"/>
  <c r="G1834" i="3" s="1"/>
  <c r="E1833" i="3"/>
  <c r="G1833" i="3" s="1"/>
  <c r="E1832" i="3"/>
  <c r="G1832" i="3" s="1"/>
  <c r="E1831" i="3"/>
  <c r="G1831" i="3" s="1"/>
  <c r="E1830" i="3"/>
  <c r="G1830" i="3" s="1"/>
  <c r="E1829" i="3"/>
  <c r="G1829" i="3" s="1"/>
  <c r="E1828" i="3"/>
  <c r="G1828" i="3" s="1"/>
  <c r="E1827" i="3"/>
  <c r="G1827" i="3" s="1"/>
  <c r="E1826" i="3"/>
  <c r="G1826" i="3" s="1"/>
  <c r="E1825" i="3"/>
  <c r="G1825" i="3" s="1"/>
  <c r="E1824" i="3"/>
  <c r="G1824" i="3" s="1"/>
  <c r="E1823" i="3"/>
  <c r="G1823" i="3" s="1"/>
  <c r="E1822" i="3"/>
  <c r="G1822" i="3" s="1"/>
  <c r="E1821" i="3"/>
  <c r="G1821" i="3" s="1"/>
  <c r="E1820" i="3"/>
  <c r="G1820" i="3" s="1"/>
  <c r="E1819" i="3"/>
  <c r="G1819" i="3" s="1"/>
  <c r="E1818" i="3"/>
  <c r="G1818" i="3" s="1"/>
  <c r="E1817" i="3"/>
  <c r="G1817" i="3" s="1"/>
  <c r="E1816" i="3"/>
  <c r="G1816" i="3" s="1"/>
  <c r="E1815" i="3"/>
  <c r="G1815" i="3" s="1"/>
  <c r="E1814" i="3"/>
  <c r="G1814" i="3" s="1"/>
  <c r="E1813" i="3"/>
  <c r="G1813" i="3" s="1"/>
  <c r="E1812" i="3"/>
  <c r="G1812" i="3" s="1"/>
  <c r="E1811" i="3"/>
  <c r="G1811" i="3" s="1"/>
  <c r="E1810" i="3"/>
  <c r="G1810" i="3" s="1"/>
  <c r="E1809" i="3"/>
  <c r="G1809" i="3" s="1"/>
  <c r="E1808" i="3"/>
  <c r="G1808" i="3" s="1"/>
  <c r="E1807" i="3"/>
  <c r="G1807" i="3" s="1"/>
  <c r="E1806" i="3"/>
  <c r="G1806" i="3" s="1"/>
  <c r="E1805" i="3"/>
  <c r="G1805" i="3" s="1"/>
  <c r="E1804" i="3"/>
  <c r="G1804" i="3" s="1"/>
  <c r="E1803" i="3"/>
  <c r="G1803" i="3" s="1"/>
  <c r="E1802" i="3"/>
  <c r="G1802" i="3" s="1"/>
  <c r="E1801" i="3"/>
  <c r="G1801" i="3" s="1"/>
  <c r="E1800" i="3"/>
  <c r="G1800" i="3" s="1"/>
  <c r="E1799" i="3"/>
  <c r="G1799" i="3" s="1"/>
  <c r="E1798" i="3"/>
  <c r="G1798" i="3" s="1"/>
  <c r="E1797" i="3"/>
  <c r="G1797" i="3" s="1"/>
  <c r="E1796" i="3"/>
  <c r="G1796" i="3" s="1"/>
  <c r="E1795" i="3"/>
  <c r="G1795" i="3" s="1"/>
  <c r="E1794" i="3"/>
  <c r="G1794" i="3" s="1"/>
  <c r="E1793" i="3"/>
  <c r="G1793" i="3" s="1"/>
  <c r="E1792" i="3"/>
  <c r="G1792" i="3" s="1"/>
  <c r="E1791" i="3"/>
  <c r="G1791" i="3" s="1"/>
  <c r="E1790" i="3"/>
  <c r="G1790" i="3" s="1"/>
  <c r="E1789" i="3"/>
  <c r="G1789" i="3" s="1"/>
  <c r="E1788" i="3"/>
  <c r="G1788" i="3" s="1"/>
  <c r="E1787" i="3"/>
  <c r="G1787" i="3" s="1"/>
  <c r="E1786" i="3"/>
  <c r="G1786" i="3" s="1"/>
  <c r="E1785" i="3"/>
  <c r="G1785" i="3" s="1"/>
  <c r="E1784" i="3"/>
  <c r="G1784" i="3" s="1"/>
  <c r="E1783" i="3"/>
  <c r="G1783" i="3" s="1"/>
  <c r="E1782" i="3"/>
  <c r="G1782" i="3" s="1"/>
  <c r="E1781" i="3"/>
  <c r="G1781" i="3" s="1"/>
  <c r="E1780" i="3"/>
  <c r="G1780" i="3" s="1"/>
  <c r="E1779" i="3"/>
  <c r="G1779" i="3" s="1"/>
  <c r="E1778" i="3"/>
  <c r="G1778" i="3" s="1"/>
  <c r="E1777" i="3"/>
  <c r="G1777" i="3" s="1"/>
  <c r="E1776" i="3"/>
  <c r="G1776" i="3" s="1"/>
  <c r="E1775" i="3"/>
  <c r="G1775" i="3" s="1"/>
  <c r="E1774" i="3"/>
  <c r="G1774" i="3" s="1"/>
  <c r="E1773" i="3"/>
  <c r="G1773" i="3" s="1"/>
  <c r="E1772" i="3"/>
  <c r="G1772" i="3" s="1"/>
  <c r="E1771" i="3"/>
  <c r="G1771" i="3" s="1"/>
  <c r="E1770" i="3"/>
  <c r="G1770" i="3" s="1"/>
  <c r="E1769" i="3"/>
  <c r="G1769" i="3" s="1"/>
  <c r="E1768" i="3"/>
  <c r="G1768" i="3" s="1"/>
  <c r="E1767" i="3"/>
  <c r="G1767" i="3" s="1"/>
  <c r="E1766" i="3"/>
  <c r="G1766" i="3" s="1"/>
  <c r="E1765" i="3"/>
  <c r="G1765" i="3" s="1"/>
  <c r="E1764" i="3"/>
  <c r="G1764" i="3" s="1"/>
  <c r="E1763" i="3"/>
  <c r="G1763" i="3" s="1"/>
  <c r="E1762" i="3"/>
  <c r="G1762" i="3" s="1"/>
  <c r="E1761" i="3"/>
  <c r="G1761" i="3" s="1"/>
  <c r="E1760" i="3"/>
  <c r="G1760" i="3" s="1"/>
  <c r="E1759" i="3"/>
  <c r="G1759" i="3" s="1"/>
  <c r="E1758" i="3"/>
  <c r="G1758" i="3" s="1"/>
  <c r="E1757" i="3"/>
  <c r="G1757" i="3" s="1"/>
  <c r="E1756" i="3"/>
  <c r="G1756" i="3" s="1"/>
  <c r="E1755" i="3"/>
  <c r="G1755" i="3" s="1"/>
  <c r="E1754" i="3"/>
  <c r="G1754" i="3" s="1"/>
  <c r="E1753" i="3"/>
  <c r="G1753" i="3" s="1"/>
  <c r="E1752" i="3"/>
  <c r="G1752" i="3" s="1"/>
  <c r="E1751" i="3"/>
  <c r="G1751" i="3" s="1"/>
  <c r="E1750" i="3"/>
  <c r="G1750" i="3" s="1"/>
  <c r="E1749" i="3"/>
  <c r="G1749" i="3" s="1"/>
  <c r="E1748" i="3"/>
  <c r="G1748" i="3" s="1"/>
  <c r="E1747" i="3"/>
  <c r="G1747" i="3" s="1"/>
  <c r="E1746" i="3"/>
  <c r="G1746" i="3" s="1"/>
  <c r="E1745" i="3"/>
  <c r="G1745" i="3" s="1"/>
  <c r="E1744" i="3"/>
  <c r="G1744" i="3" s="1"/>
  <c r="E1743" i="3"/>
  <c r="G1743" i="3" s="1"/>
  <c r="E1742" i="3"/>
  <c r="G1742" i="3" s="1"/>
  <c r="E1741" i="3"/>
  <c r="G1741" i="3" s="1"/>
  <c r="E1740" i="3"/>
  <c r="G1740" i="3" s="1"/>
  <c r="E1739" i="3"/>
  <c r="G1739" i="3" s="1"/>
  <c r="E1738" i="3"/>
  <c r="G1738" i="3" s="1"/>
  <c r="E1737" i="3"/>
  <c r="G1737" i="3" s="1"/>
  <c r="E1736" i="3"/>
  <c r="G1736" i="3" s="1"/>
  <c r="E1735" i="3"/>
  <c r="G1735" i="3" s="1"/>
  <c r="E1734" i="3"/>
  <c r="G1734" i="3" s="1"/>
  <c r="E1733" i="3"/>
  <c r="G1733" i="3" s="1"/>
  <c r="E1732" i="3"/>
  <c r="G1732" i="3" s="1"/>
  <c r="E1731" i="3"/>
  <c r="G1731" i="3" s="1"/>
  <c r="E1730" i="3"/>
  <c r="G1730" i="3" s="1"/>
  <c r="E1729" i="3"/>
  <c r="G1729" i="3" s="1"/>
  <c r="E1728" i="3"/>
  <c r="G1728" i="3" s="1"/>
  <c r="E1727" i="3"/>
  <c r="G1727" i="3" s="1"/>
  <c r="E1726" i="3"/>
  <c r="G1726" i="3" s="1"/>
  <c r="E1725" i="3"/>
  <c r="G1725" i="3" s="1"/>
  <c r="E1724" i="3"/>
  <c r="G1724" i="3" s="1"/>
  <c r="E1723" i="3"/>
  <c r="G1723" i="3" s="1"/>
  <c r="E1722" i="3"/>
  <c r="G1722" i="3" s="1"/>
  <c r="E1721" i="3"/>
  <c r="G1721" i="3" s="1"/>
  <c r="E1720" i="3"/>
  <c r="G1720" i="3" s="1"/>
  <c r="E1719" i="3"/>
  <c r="G1719" i="3" s="1"/>
  <c r="E1718" i="3"/>
  <c r="G1718" i="3" s="1"/>
  <c r="E1717" i="3"/>
  <c r="G1717" i="3" s="1"/>
  <c r="E1716" i="3"/>
  <c r="G1716" i="3" s="1"/>
  <c r="E1715" i="3"/>
  <c r="G1715" i="3" s="1"/>
  <c r="E1714" i="3"/>
  <c r="G1714" i="3" s="1"/>
  <c r="E1713" i="3"/>
  <c r="G1713" i="3" s="1"/>
  <c r="E1712" i="3"/>
  <c r="G1712" i="3" s="1"/>
  <c r="E1711" i="3"/>
  <c r="G1711" i="3" s="1"/>
  <c r="E1710" i="3"/>
  <c r="G1710" i="3" s="1"/>
  <c r="E1709" i="3"/>
  <c r="G1709" i="3" s="1"/>
  <c r="E1708" i="3"/>
  <c r="G1708" i="3" s="1"/>
  <c r="E1707" i="3"/>
  <c r="G1707" i="3" s="1"/>
  <c r="E1706" i="3"/>
  <c r="G1706" i="3" s="1"/>
  <c r="E1705" i="3"/>
  <c r="G1705" i="3" s="1"/>
  <c r="E1704" i="3"/>
  <c r="G1704" i="3" s="1"/>
  <c r="E1703" i="3"/>
  <c r="G1703" i="3" s="1"/>
  <c r="E1702" i="3"/>
  <c r="G1702" i="3" s="1"/>
  <c r="E1701" i="3"/>
  <c r="G1701" i="3" s="1"/>
  <c r="E1700" i="3"/>
  <c r="G1700" i="3" s="1"/>
  <c r="E1699" i="3"/>
  <c r="G1699" i="3" s="1"/>
  <c r="E1698" i="3"/>
  <c r="G1698" i="3" s="1"/>
  <c r="E1697" i="3"/>
  <c r="G1697" i="3" s="1"/>
  <c r="E1696" i="3"/>
  <c r="G1696" i="3" s="1"/>
  <c r="E1695" i="3"/>
  <c r="G1695" i="3" s="1"/>
  <c r="E1694" i="3"/>
  <c r="G1694" i="3" s="1"/>
  <c r="E1693" i="3"/>
  <c r="G1693" i="3" s="1"/>
  <c r="E1692" i="3"/>
  <c r="G1692" i="3" s="1"/>
  <c r="E1691" i="3"/>
  <c r="G1691" i="3" s="1"/>
  <c r="E1690" i="3"/>
  <c r="G1690" i="3" s="1"/>
  <c r="E1689" i="3"/>
  <c r="G1689" i="3" s="1"/>
  <c r="E1688" i="3"/>
  <c r="G1688" i="3" s="1"/>
  <c r="E1687" i="3"/>
  <c r="G1687" i="3" s="1"/>
  <c r="E1686" i="3"/>
  <c r="G1686" i="3" s="1"/>
  <c r="E1685" i="3"/>
  <c r="G1685" i="3" s="1"/>
  <c r="E1684" i="3"/>
  <c r="G1684" i="3" s="1"/>
  <c r="E1683" i="3"/>
  <c r="G1683" i="3" s="1"/>
  <c r="E1682" i="3"/>
  <c r="G1682" i="3" s="1"/>
  <c r="E1681" i="3"/>
  <c r="G1681" i="3" s="1"/>
  <c r="E1680" i="3"/>
  <c r="G1680" i="3" s="1"/>
  <c r="E1679" i="3"/>
  <c r="G1679" i="3" s="1"/>
  <c r="E1678" i="3"/>
  <c r="G1678" i="3" s="1"/>
  <c r="E1677" i="3"/>
  <c r="G1677" i="3" s="1"/>
  <c r="E1676" i="3"/>
  <c r="G1676" i="3" s="1"/>
  <c r="E1675" i="3"/>
  <c r="G1675" i="3" s="1"/>
  <c r="E1674" i="3"/>
  <c r="G1674" i="3" s="1"/>
  <c r="E1673" i="3"/>
  <c r="G1673" i="3" s="1"/>
  <c r="E1672" i="3"/>
  <c r="G1672" i="3" s="1"/>
  <c r="E1671" i="3"/>
  <c r="G1671" i="3" s="1"/>
  <c r="E1670" i="3"/>
  <c r="G1670" i="3" s="1"/>
  <c r="E1669" i="3"/>
  <c r="G1669" i="3" s="1"/>
  <c r="E1668" i="3"/>
  <c r="G1668" i="3" s="1"/>
  <c r="E1667" i="3"/>
  <c r="G1667" i="3" s="1"/>
  <c r="E1666" i="3"/>
  <c r="G1666" i="3" s="1"/>
  <c r="E1665" i="3"/>
  <c r="G1665" i="3" s="1"/>
  <c r="E1664" i="3"/>
  <c r="G1664" i="3" s="1"/>
  <c r="E1663" i="3"/>
  <c r="G1663" i="3" s="1"/>
  <c r="E1662" i="3"/>
  <c r="G1662" i="3" s="1"/>
  <c r="E1661" i="3"/>
  <c r="G1661" i="3" s="1"/>
  <c r="E1660" i="3"/>
  <c r="G1660" i="3" s="1"/>
  <c r="E1659" i="3"/>
  <c r="G1659" i="3" s="1"/>
  <c r="E1658" i="3"/>
  <c r="G1658" i="3" s="1"/>
  <c r="E1657" i="3"/>
  <c r="G1657" i="3" s="1"/>
  <c r="E1656" i="3"/>
  <c r="G1656" i="3" s="1"/>
  <c r="E1655" i="3"/>
  <c r="G1655" i="3" s="1"/>
  <c r="E1654" i="3"/>
  <c r="G1654" i="3" s="1"/>
  <c r="E1653" i="3"/>
  <c r="G1653" i="3" s="1"/>
  <c r="E1652" i="3"/>
  <c r="G1652" i="3" s="1"/>
  <c r="E1651" i="3"/>
  <c r="G1651" i="3" s="1"/>
  <c r="E1650" i="3"/>
  <c r="G1650" i="3" s="1"/>
  <c r="E1649" i="3"/>
  <c r="G1649" i="3" s="1"/>
  <c r="E1648" i="3"/>
  <c r="G1648" i="3" s="1"/>
  <c r="E1647" i="3"/>
  <c r="G1647" i="3" s="1"/>
  <c r="E1646" i="3"/>
  <c r="G1646" i="3" s="1"/>
  <c r="E1645" i="3"/>
  <c r="G1645" i="3" s="1"/>
  <c r="E1644" i="3"/>
  <c r="G1644" i="3" s="1"/>
  <c r="E1643" i="3"/>
  <c r="G1643" i="3" s="1"/>
  <c r="E1642" i="3"/>
  <c r="G1642" i="3" s="1"/>
  <c r="E1641" i="3"/>
  <c r="G1641" i="3" s="1"/>
  <c r="E1640" i="3"/>
  <c r="G1640" i="3" s="1"/>
  <c r="E1639" i="3"/>
  <c r="G1639" i="3" s="1"/>
  <c r="E1638" i="3"/>
  <c r="G1638" i="3" s="1"/>
  <c r="E1637" i="3"/>
  <c r="G1637" i="3" s="1"/>
  <c r="E1636" i="3"/>
  <c r="G1636" i="3" s="1"/>
  <c r="E1635" i="3"/>
  <c r="G1635" i="3" s="1"/>
  <c r="E1634" i="3"/>
  <c r="G1634" i="3" s="1"/>
  <c r="E1633" i="3"/>
  <c r="G1633" i="3" s="1"/>
  <c r="E1632" i="3"/>
  <c r="G1632" i="3" s="1"/>
  <c r="E1631" i="3"/>
  <c r="G1631" i="3" s="1"/>
  <c r="E1630" i="3"/>
  <c r="G1630" i="3" s="1"/>
  <c r="E1629" i="3"/>
  <c r="G1629" i="3" s="1"/>
  <c r="E1628" i="3"/>
  <c r="G1628" i="3" s="1"/>
  <c r="E1627" i="3"/>
  <c r="G1627" i="3" s="1"/>
  <c r="E1626" i="3"/>
  <c r="G1626" i="3" s="1"/>
  <c r="E1625" i="3"/>
  <c r="G1625" i="3" s="1"/>
  <c r="E1624" i="3"/>
  <c r="G1624" i="3" s="1"/>
  <c r="E1623" i="3"/>
  <c r="G1623" i="3" s="1"/>
  <c r="E1622" i="3"/>
  <c r="G1622" i="3" s="1"/>
  <c r="E1621" i="3"/>
  <c r="G1621" i="3" s="1"/>
  <c r="E1620" i="3"/>
  <c r="G1620" i="3" s="1"/>
  <c r="E1619" i="3"/>
  <c r="G1619" i="3" s="1"/>
  <c r="E1618" i="3"/>
  <c r="G1618" i="3" s="1"/>
  <c r="E1617" i="3"/>
  <c r="G1617" i="3" s="1"/>
  <c r="E1616" i="3"/>
  <c r="G1616" i="3" s="1"/>
  <c r="E1615" i="3"/>
  <c r="G1615" i="3" s="1"/>
  <c r="E1614" i="3"/>
  <c r="G1614" i="3" s="1"/>
  <c r="E1613" i="3"/>
  <c r="G1613" i="3" s="1"/>
  <c r="E1612" i="3"/>
  <c r="G1612" i="3" s="1"/>
  <c r="E1611" i="3"/>
  <c r="G1611" i="3" s="1"/>
  <c r="E1610" i="3"/>
  <c r="G1610" i="3" s="1"/>
  <c r="E1609" i="3"/>
  <c r="G1609" i="3" s="1"/>
  <c r="E1608" i="3"/>
  <c r="G1608" i="3" s="1"/>
  <c r="E1607" i="3"/>
  <c r="G1607" i="3" s="1"/>
  <c r="E1606" i="3"/>
  <c r="G1606" i="3" s="1"/>
  <c r="E1605" i="3"/>
  <c r="G1605" i="3" s="1"/>
  <c r="E1604" i="3"/>
  <c r="G1604" i="3" s="1"/>
  <c r="E1603" i="3"/>
  <c r="G1603" i="3" s="1"/>
  <c r="E1602" i="3"/>
  <c r="G1602" i="3" s="1"/>
  <c r="E1601" i="3"/>
  <c r="G1601" i="3" s="1"/>
  <c r="E1600" i="3"/>
  <c r="G1600" i="3" s="1"/>
  <c r="E1599" i="3"/>
  <c r="G1599" i="3" s="1"/>
  <c r="E1598" i="3"/>
  <c r="G1598" i="3" s="1"/>
  <c r="E1597" i="3"/>
  <c r="G1597" i="3" s="1"/>
  <c r="E1596" i="3"/>
  <c r="G1596" i="3" s="1"/>
  <c r="E1595" i="3"/>
  <c r="G1595" i="3" s="1"/>
  <c r="E1594" i="3"/>
  <c r="G1594" i="3" s="1"/>
  <c r="E1593" i="3"/>
  <c r="G1593" i="3" s="1"/>
  <c r="E1592" i="3"/>
  <c r="G1592" i="3" s="1"/>
  <c r="E1591" i="3"/>
  <c r="G1591" i="3" s="1"/>
  <c r="E1590" i="3"/>
  <c r="G1590" i="3" s="1"/>
  <c r="E1589" i="3"/>
  <c r="G1589" i="3" s="1"/>
  <c r="E1588" i="3"/>
  <c r="G1588" i="3" s="1"/>
  <c r="E1587" i="3"/>
  <c r="G1587" i="3" s="1"/>
  <c r="E1586" i="3"/>
  <c r="G1586" i="3" s="1"/>
  <c r="E1585" i="3"/>
  <c r="G1585" i="3" s="1"/>
  <c r="E1584" i="3"/>
  <c r="G1584" i="3" s="1"/>
  <c r="E1583" i="3"/>
  <c r="G1583" i="3" s="1"/>
  <c r="E1582" i="3"/>
  <c r="G1582" i="3" s="1"/>
  <c r="E1581" i="3"/>
  <c r="G1581" i="3" s="1"/>
  <c r="E1580" i="3"/>
  <c r="G1580" i="3" s="1"/>
  <c r="E1579" i="3"/>
  <c r="G1579" i="3" s="1"/>
  <c r="E1578" i="3"/>
  <c r="G1578" i="3" s="1"/>
  <c r="E1577" i="3"/>
  <c r="G1577" i="3" s="1"/>
  <c r="E1576" i="3"/>
  <c r="G1576" i="3" s="1"/>
  <c r="E1575" i="3"/>
  <c r="G1575" i="3" s="1"/>
  <c r="E1574" i="3"/>
  <c r="G1574" i="3" s="1"/>
  <c r="E1573" i="3"/>
  <c r="G1573" i="3" s="1"/>
  <c r="E1572" i="3"/>
  <c r="G1572" i="3" s="1"/>
  <c r="E1571" i="3"/>
  <c r="G1571" i="3" s="1"/>
  <c r="E1570" i="3"/>
  <c r="G1570" i="3" s="1"/>
  <c r="E1569" i="3"/>
  <c r="G1569" i="3" s="1"/>
  <c r="E1568" i="3"/>
  <c r="G1568" i="3" s="1"/>
  <c r="E1567" i="3"/>
  <c r="G1567" i="3" s="1"/>
  <c r="E1566" i="3"/>
  <c r="G1566" i="3" s="1"/>
  <c r="E1565" i="3"/>
  <c r="G1565" i="3" s="1"/>
  <c r="E1564" i="3"/>
  <c r="G1564" i="3" s="1"/>
  <c r="E1563" i="3"/>
  <c r="G1563" i="3" s="1"/>
  <c r="E1562" i="3"/>
  <c r="G1562" i="3" s="1"/>
  <c r="E1561" i="3"/>
  <c r="G1561" i="3" s="1"/>
  <c r="E1560" i="3"/>
  <c r="G1560" i="3" s="1"/>
  <c r="E1559" i="3"/>
  <c r="G1559" i="3" s="1"/>
  <c r="E1558" i="3"/>
  <c r="G1558" i="3" s="1"/>
  <c r="E1557" i="3"/>
  <c r="G1557" i="3" s="1"/>
  <c r="E1556" i="3"/>
  <c r="G1556" i="3" s="1"/>
  <c r="E1555" i="3"/>
  <c r="G1555" i="3" s="1"/>
  <c r="E1554" i="3"/>
  <c r="G1554" i="3" s="1"/>
  <c r="E1553" i="3"/>
  <c r="G1553" i="3" s="1"/>
  <c r="E1552" i="3"/>
  <c r="G1552" i="3" s="1"/>
  <c r="E1551" i="3"/>
  <c r="G1551" i="3" s="1"/>
  <c r="E1550" i="3"/>
  <c r="G1550" i="3" s="1"/>
  <c r="E1549" i="3"/>
  <c r="G1549" i="3" s="1"/>
  <c r="E1548" i="3"/>
  <c r="G1548" i="3" s="1"/>
  <c r="E1547" i="3"/>
  <c r="G1547" i="3" s="1"/>
  <c r="E1546" i="3"/>
  <c r="G1546" i="3" s="1"/>
  <c r="E1545" i="3"/>
  <c r="G1545" i="3" s="1"/>
  <c r="E1544" i="3"/>
  <c r="G1544" i="3" s="1"/>
  <c r="E1543" i="3"/>
  <c r="G1543" i="3" s="1"/>
  <c r="E1542" i="3"/>
  <c r="G1542" i="3" s="1"/>
  <c r="E1541" i="3"/>
  <c r="G1541" i="3" s="1"/>
  <c r="E1540" i="3"/>
  <c r="G1540" i="3" s="1"/>
  <c r="E1539" i="3"/>
  <c r="G1539" i="3" s="1"/>
  <c r="E1538" i="3"/>
  <c r="G1538" i="3" s="1"/>
  <c r="E1537" i="3"/>
  <c r="G1537" i="3" s="1"/>
  <c r="E1536" i="3"/>
  <c r="G1536" i="3" s="1"/>
  <c r="E1535" i="3"/>
  <c r="G1535" i="3" s="1"/>
  <c r="E1534" i="3"/>
  <c r="G1534" i="3" s="1"/>
  <c r="E1533" i="3"/>
  <c r="G1533" i="3" s="1"/>
  <c r="E1532" i="3"/>
  <c r="G1532" i="3" s="1"/>
  <c r="E1531" i="3"/>
  <c r="G1531" i="3" s="1"/>
  <c r="E1530" i="3"/>
  <c r="G1530" i="3" s="1"/>
  <c r="E1529" i="3"/>
  <c r="G1529" i="3" s="1"/>
  <c r="E1528" i="3"/>
  <c r="G1528" i="3" s="1"/>
  <c r="E1527" i="3"/>
  <c r="G1527" i="3" s="1"/>
  <c r="E1526" i="3"/>
  <c r="G1526" i="3" s="1"/>
  <c r="E1525" i="3"/>
  <c r="G1525" i="3" s="1"/>
  <c r="E1524" i="3"/>
  <c r="G1524" i="3" s="1"/>
  <c r="E1523" i="3"/>
  <c r="G1523" i="3" s="1"/>
  <c r="E1522" i="3"/>
  <c r="G1522" i="3" s="1"/>
  <c r="E1521" i="3"/>
  <c r="G1521" i="3" s="1"/>
  <c r="E1520" i="3"/>
  <c r="G1520" i="3" s="1"/>
  <c r="E1519" i="3"/>
  <c r="G1519" i="3" s="1"/>
  <c r="E1518" i="3"/>
  <c r="G1518" i="3" s="1"/>
  <c r="E1517" i="3"/>
  <c r="G1517" i="3" s="1"/>
  <c r="E1516" i="3"/>
  <c r="G1516" i="3" s="1"/>
  <c r="E1515" i="3"/>
  <c r="G1515" i="3" s="1"/>
  <c r="E1514" i="3"/>
  <c r="G1514" i="3" s="1"/>
  <c r="E1513" i="3"/>
  <c r="G1513" i="3" s="1"/>
  <c r="E1512" i="3"/>
  <c r="G1512" i="3" s="1"/>
  <c r="E1511" i="3"/>
  <c r="G1511" i="3" s="1"/>
  <c r="E1510" i="3"/>
  <c r="G1510" i="3" s="1"/>
  <c r="E1509" i="3"/>
  <c r="G1509" i="3" s="1"/>
  <c r="E1508" i="3"/>
  <c r="G1508" i="3" s="1"/>
  <c r="E1507" i="3"/>
  <c r="G1507" i="3" s="1"/>
  <c r="E1506" i="3"/>
  <c r="G1506" i="3" s="1"/>
  <c r="E1505" i="3"/>
  <c r="G1505" i="3" s="1"/>
  <c r="E1504" i="3"/>
  <c r="G1504" i="3" s="1"/>
  <c r="E1503" i="3"/>
  <c r="G1503" i="3" s="1"/>
  <c r="E1502" i="3"/>
  <c r="G1502" i="3" s="1"/>
  <c r="E1501" i="3"/>
  <c r="G1501" i="3" s="1"/>
  <c r="E1500" i="3"/>
  <c r="G1500" i="3" s="1"/>
  <c r="E1499" i="3"/>
  <c r="G1499" i="3" s="1"/>
  <c r="E1498" i="3"/>
  <c r="G1498" i="3" s="1"/>
  <c r="E1497" i="3"/>
  <c r="G1497" i="3" s="1"/>
  <c r="E1496" i="3"/>
  <c r="G1496" i="3" s="1"/>
  <c r="E1495" i="3"/>
  <c r="G1495" i="3" s="1"/>
  <c r="E1494" i="3"/>
  <c r="G1494" i="3" s="1"/>
  <c r="E1493" i="3"/>
  <c r="G1493" i="3" s="1"/>
  <c r="E1492" i="3"/>
  <c r="G1492" i="3" s="1"/>
  <c r="E1491" i="3"/>
  <c r="G1491" i="3" s="1"/>
  <c r="E1490" i="3"/>
  <c r="G1490" i="3" s="1"/>
  <c r="E1489" i="3"/>
  <c r="G1489" i="3" s="1"/>
  <c r="E1488" i="3"/>
  <c r="G1488" i="3" s="1"/>
  <c r="E1487" i="3"/>
  <c r="G1487" i="3" s="1"/>
  <c r="E1486" i="3"/>
  <c r="G1486" i="3" s="1"/>
  <c r="E1485" i="3"/>
  <c r="G1485" i="3" s="1"/>
  <c r="E1484" i="3"/>
  <c r="G1484" i="3" s="1"/>
  <c r="E1483" i="3"/>
  <c r="G1483" i="3" s="1"/>
  <c r="E1482" i="3"/>
  <c r="G1482" i="3" s="1"/>
  <c r="E1481" i="3"/>
  <c r="G1481" i="3" s="1"/>
  <c r="E1480" i="3"/>
  <c r="G1480" i="3" s="1"/>
  <c r="E1479" i="3"/>
  <c r="G1479" i="3" s="1"/>
  <c r="E1478" i="3"/>
  <c r="G1478" i="3" s="1"/>
  <c r="E1477" i="3"/>
  <c r="G1477" i="3" s="1"/>
  <c r="E1476" i="3"/>
  <c r="G1476" i="3" s="1"/>
  <c r="E1475" i="3"/>
  <c r="G1475" i="3" s="1"/>
  <c r="E1474" i="3"/>
  <c r="G1474" i="3" s="1"/>
  <c r="E1473" i="3"/>
  <c r="G1473" i="3" s="1"/>
  <c r="E1472" i="3"/>
  <c r="G1472" i="3" s="1"/>
  <c r="E1471" i="3"/>
  <c r="G1471" i="3" s="1"/>
  <c r="E1470" i="3"/>
  <c r="G1470" i="3" s="1"/>
  <c r="E1469" i="3"/>
  <c r="G1469" i="3" s="1"/>
  <c r="E1468" i="3"/>
  <c r="G1468" i="3" s="1"/>
  <c r="E1467" i="3"/>
  <c r="G1467" i="3" s="1"/>
  <c r="E1466" i="3"/>
  <c r="G1466" i="3" s="1"/>
  <c r="E1465" i="3"/>
  <c r="G1465" i="3" s="1"/>
  <c r="E1464" i="3"/>
  <c r="G1464" i="3" s="1"/>
  <c r="E1463" i="3"/>
  <c r="G1463" i="3" s="1"/>
  <c r="E1462" i="3"/>
  <c r="G1462" i="3" s="1"/>
  <c r="E1461" i="3"/>
  <c r="G1461" i="3" s="1"/>
  <c r="E1460" i="3"/>
  <c r="G1460" i="3" s="1"/>
  <c r="E1459" i="3"/>
  <c r="G1459" i="3" s="1"/>
  <c r="E1458" i="3"/>
  <c r="G1458" i="3" s="1"/>
  <c r="E1457" i="3"/>
  <c r="G1457" i="3" s="1"/>
  <c r="E1456" i="3"/>
  <c r="G1456" i="3" s="1"/>
  <c r="E1455" i="3"/>
  <c r="G1455" i="3" s="1"/>
  <c r="E1454" i="3"/>
  <c r="G1454" i="3" s="1"/>
  <c r="E1453" i="3"/>
  <c r="G1453" i="3" s="1"/>
  <c r="E1452" i="3"/>
  <c r="G1452" i="3" s="1"/>
  <c r="E1451" i="3"/>
  <c r="G1451" i="3" s="1"/>
  <c r="E1450" i="3"/>
  <c r="G1450" i="3" s="1"/>
  <c r="E1449" i="3"/>
  <c r="G1449" i="3" s="1"/>
  <c r="E1448" i="3"/>
  <c r="G1448" i="3" s="1"/>
  <c r="E1447" i="3"/>
  <c r="G1447" i="3" s="1"/>
  <c r="E1446" i="3"/>
  <c r="G1446" i="3" s="1"/>
  <c r="E1445" i="3"/>
  <c r="G1445" i="3" s="1"/>
  <c r="E1444" i="3"/>
  <c r="G1444" i="3" s="1"/>
  <c r="E1443" i="3"/>
  <c r="G1443" i="3" s="1"/>
  <c r="E1442" i="3"/>
  <c r="G1442" i="3" s="1"/>
  <c r="E1441" i="3"/>
  <c r="G1441" i="3" s="1"/>
  <c r="E1440" i="3"/>
  <c r="G1440" i="3" s="1"/>
  <c r="E1439" i="3"/>
  <c r="G1439" i="3" s="1"/>
  <c r="E1438" i="3"/>
  <c r="G1438" i="3" s="1"/>
  <c r="E1437" i="3"/>
  <c r="G1437" i="3" s="1"/>
  <c r="E1436" i="3"/>
  <c r="G1436" i="3" s="1"/>
  <c r="E1435" i="3"/>
  <c r="G1435" i="3" s="1"/>
  <c r="E1434" i="3"/>
  <c r="G1434" i="3" s="1"/>
  <c r="E1433" i="3"/>
  <c r="G1433" i="3" s="1"/>
  <c r="E1432" i="3"/>
  <c r="G1432" i="3" s="1"/>
  <c r="E1431" i="3"/>
  <c r="G1431" i="3" s="1"/>
  <c r="E1430" i="3"/>
  <c r="G1430" i="3" s="1"/>
  <c r="E1429" i="3"/>
  <c r="G1429" i="3" s="1"/>
  <c r="E1428" i="3"/>
  <c r="G1428" i="3" s="1"/>
  <c r="E1427" i="3"/>
  <c r="G1427" i="3" s="1"/>
  <c r="E1426" i="3"/>
  <c r="G1426" i="3" s="1"/>
  <c r="E1425" i="3"/>
  <c r="G1425" i="3" s="1"/>
  <c r="E1424" i="3"/>
  <c r="G1424" i="3" s="1"/>
  <c r="E1423" i="3"/>
  <c r="G1423" i="3" s="1"/>
  <c r="E1422" i="3"/>
  <c r="G1422" i="3" s="1"/>
  <c r="E1421" i="3"/>
  <c r="G1421" i="3" s="1"/>
  <c r="E1420" i="3"/>
  <c r="G1420" i="3" s="1"/>
  <c r="E1419" i="3"/>
  <c r="G1419" i="3" s="1"/>
  <c r="E1418" i="3"/>
  <c r="G1418" i="3" s="1"/>
  <c r="E1417" i="3"/>
  <c r="G1417" i="3" s="1"/>
  <c r="E1416" i="3"/>
  <c r="G1416" i="3" s="1"/>
  <c r="E1415" i="3"/>
  <c r="G1415" i="3" s="1"/>
  <c r="E1414" i="3"/>
  <c r="G1414" i="3" s="1"/>
  <c r="E1413" i="3"/>
  <c r="G1413" i="3" s="1"/>
  <c r="E1412" i="3"/>
  <c r="G1412" i="3" s="1"/>
  <c r="E1411" i="3"/>
  <c r="G1411" i="3" s="1"/>
  <c r="E1410" i="3"/>
  <c r="G1410" i="3" s="1"/>
  <c r="E1409" i="3"/>
  <c r="G1409" i="3" s="1"/>
  <c r="E1408" i="3"/>
  <c r="G1408" i="3" s="1"/>
  <c r="E1407" i="3"/>
  <c r="G1407" i="3" s="1"/>
  <c r="E1406" i="3"/>
  <c r="G1406" i="3" s="1"/>
  <c r="E1405" i="3"/>
  <c r="G1405" i="3" s="1"/>
  <c r="E1404" i="3"/>
  <c r="G1404" i="3" s="1"/>
  <c r="E1403" i="3"/>
  <c r="G1403" i="3" s="1"/>
  <c r="E1402" i="3"/>
  <c r="G1402" i="3" s="1"/>
  <c r="E1401" i="3"/>
  <c r="G1401" i="3" s="1"/>
  <c r="E1400" i="3"/>
  <c r="G1400" i="3" s="1"/>
  <c r="E1399" i="3"/>
  <c r="G1399" i="3" s="1"/>
  <c r="E1398" i="3"/>
  <c r="G1398" i="3" s="1"/>
  <c r="E1397" i="3"/>
  <c r="G1397" i="3" s="1"/>
  <c r="E1396" i="3"/>
  <c r="G1396" i="3" s="1"/>
  <c r="E1395" i="3"/>
  <c r="G1395" i="3" s="1"/>
  <c r="E1394" i="3"/>
  <c r="G1394" i="3" s="1"/>
  <c r="E1393" i="3"/>
  <c r="G1393" i="3" s="1"/>
  <c r="E1392" i="3"/>
  <c r="G1392" i="3" s="1"/>
  <c r="E1391" i="3"/>
  <c r="G1391" i="3" s="1"/>
  <c r="E1390" i="3"/>
  <c r="G1390" i="3" s="1"/>
  <c r="E1389" i="3"/>
  <c r="G1389" i="3" s="1"/>
  <c r="E1388" i="3"/>
  <c r="G1388" i="3" s="1"/>
  <c r="E1387" i="3"/>
  <c r="G1387" i="3" s="1"/>
  <c r="E1386" i="3"/>
  <c r="G1386" i="3" s="1"/>
  <c r="E1385" i="3"/>
  <c r="G1385" i="3" s="1"/>
  <c r="E1384" i="3"/>
  <c r="G1384" i="3" s="1"/>
  <c r="E1383" i="3"/>
  <c r="G1383" i="3" s="1"/>
  <c r="E1382" i="3"/>
  <c r="G1382" i="3" s="1"/>
  <c r="E1381" i="3"/>
  <c r="G1381" i="3" s="1"/>
  <c r="E1380" i="3"/>
  <c r="G1380" i="3" s="1"/>
  <c r="E1379" i="3"/>
  <c r="G1379" i="3" s="1"/>
  <c r="E1378" i="3"/>
  <c r="G1378" i="3" s="1"/>
  <c r="E1377" i="3"/>
  <c r="G1377" i="3" s="1"/>
  <c r="E1376" i="3"/>
  <c r="G1376" i="3" s="1"/>
  <c r="E1375" i="3"/>
  <c r="G1375" i="3" s="1"/>
  <c r="E1374" i="3"/>
  <c r="G1374" i="3" s="1"/>
  <c r="E1373" i="3"/>
  <c r="G1373" i="3" s="1"/>
  <c r="E1372" i="3"/>
  <c r="G1372" i="3" s="1"/>
  <c r="E1371" i="3"/>
  <c r="G1371" i="3" s="1"/>
  <c r="E1370" i="3"/>
  <c r="G1370" i="3" s="1"/>
  <c r="E1369" i="3"/>
  <c r="G1369" i="3" s="1"/>
  <c r="E1368" i="3"/>
  <c r="G1368" i="3" s="1"/>
  <c r="E1367" i="3"/>
  <c r="G1367" i="3" s="1"/>
  <c r="E1366" i="3"/>
  <c r="G1366" i="3" s="1"/>
  <c r="E1365" i="3"/>
  <c r="G1365" i="3" s="1"/>
  <c r="E1364" i="3"/>
  <c r="G1364" i="3" s="1"/>
  <c r="E1363" i="3"/>
  <c r="G1363" i="3" s="1"/>
  <c r="E1362" i="3"/>
  <c r="G1362" i="3" s="1"/>
  <c r="E1361" i="3"/>
  <c r="G1361" i="3" s="1"/>
  <c r="E1360" i="3"/>
  <c r="G1360" i="3" s="1"/>
  <c r="E1359" i="3"/>
  <c r="G1359" i="3" s="1"/>
  <c r="E1358" i="3"/>
  <c r="G1358" i="3" s="1"/>
  <c r="E1357" i="3"/>
  <c r="G1357" i="3" s="1"/>
  <c r="E1356" i="3"/>
  <c r="G1356" i="3" s="1"/>
  <c r="E1355" i="3"/>
  <c r="G1355" i="3" s="1"/>
  <c r="E1354" i="3"/>
  <c r="G1354" i="3" s="1"/>
  <c r="E1353" i="3"/>
  <c r="G1353" i="3" s="1"/>
  <c r="E1352" i="3"/>
  <c r="G1352" i="3" s="1"/>
  <c r="E1351" i="3"/>
  <c r="G1351" i="3" s="1"/>
  <c r="E1350" i="3"/>
  <c r="G1350" i="3" s="1"/>
  <c r="E1349" i="3"/>
  <c r="G1349" i="3" s="1"/>
  <c r="E1348" i="3"/>
  <c r="G1348" i="3" s="1"/>
  <c r="E1347" i="3"/>
  <c r="G1347" i="3" s="1"/>
  <c r="E1346" i="3"/>
  <c r="G1346" i="3" s="1"/>
  <c r="E1345" i="3"/>
  <c r="G1345" i="3" s="1"/>
  <c r="E1344" i="3"/>
  <c r="G1344" i="3" s="1"/>
  <c r="E1343" i="3"/>
  <c r="G1343" i="3" s="1"/>
  <c r="E1342" i="3"/>
  <c r="G1342" i="3" s="1"/>
  <c r="E1341" i="3"/>
  <c r="G1341" i="3" s="1"/>
  <c r="E1340" i="3"/>
  <c r="G1340" i="3" s="1"/>
  <c r="E1339" i="3"/>
  <c r="G1339" i="3" s="1"/>
  <c r="E1338" i="3"/>
  <c r="G1338" i="3" s="1"/>
  <c r="E1337" i="3"/>
  <c r="G1337" i="3" s="1"/>
  <c r="E1336" i="3"/>
  <c r="G1336" i="3" s="1"/>
  <c r="E1335" i="3"/>
  <c r="G1335" i="3" s="1"/>
  <c r="E1334" i="3"/>
  <c r="G1334" i="3" s="1"/>
  <c r="E1333" i="3"/>
  <c r="G1333" i="3" s="1"/>
  <c r="E1332" i="3"/>
  <c r="G1332" i="3" s="1"/>
  <c r="E1331" i="3"/>
  <c r="G1331" i="3" s="1"/>
  <c r="E1330" i="3"/>
  <c r="G1330" i="3" s="1"/>
  <c r="E1329" i="3"/>
  <c r="G1329" i="3" s="1"/>
  <c r="E1328" i="3"/>
  <c r="G1328" i="3" s="1"/>
  <c r="E1327" i="3"/>
  <c r="G1327" i="3" s="1"/>
  <c r="E1326" i="3"/>
  <c r="G1326" i="3" s="1"/>
  <c r="E1325" i="3"/>
  <c r="G1325" i="3" s="1"/>
  <c r="E1324" i="3"/>
  <c r="G1324" i="3" s="1"/>
  <c r="E1323" i="3"/>
  <c r="G1323" i="3" s="1"/>
  <c r="E1322" i="3"/>
  <c r="G1322" i="3" s="1"/>
  <c r="E1321" i="3"/>
  <c r="G1321" i="3" s="1"/>
  <c r="E1320" i="3"/>
  <c r="G1320" i="3" s="1"/>
  <c r="E1319" i="3"/>
  <c r="G1319" i="3" s="1"/>
  <c r="E1318" i="3"/>
  <c r="G1318" i="3" s="1"/>
  <c r="E1317" i="3"/>
  <c r="G1317" i="3" s="1"/>
  <c r="E1316" i="3"/>
  <c r="G1316" i="3" s="1"/>
  <c r="E1315" i="3"/>
  <c r="G1315" i="3" s="1"/>
  <c r="E1314" i="3"/>
  <c r="G1314" i="3" s="1"/>
  <c r="E1313" i="3"/>
  <c r="G1313" i="3" s="1"/>
  <c r="E1312" i="3"/>
  <c r="G1312" i="3" s="1"/>
  <c r="E1311" i="3"/>
  <c r="G1311" i="3" s="1"/>
  <c r="E1310" i="3"/>
  <c r="G1310" i="3" s="1"/>
  <c r="E1309" i="3"/>
  <c r="G1309" i="3" s="1"/>
  <c r="E1308" i="3"/>
  <c r="G1308" i="3" s="1"/>
  <c r="E1307" i="3"/>
  <c r="G1307" i="3" s="1"/>
  <c r="E1306" i="3"/>
  <c r="G1306" i="3" s="1"/>
  <c r="E1305" i="3"/>
  <c r="G1305" i="3" s="1"/>
  <c r="E1304" i="3"/>
  <c r="G1304" i="3" s="1"/>
  <c r="E1303" i="3"/>
  <c r="G1303" i="3" s="1"/>
  <c r="E1302" i="3"/>
  <c r="G1302" i="3" s="1"/>
  <c r="E1301" i="3"/>
  <c r="G1301" i="3" s="1"/>
  <c r="E1300" i="3"/>
  <c r="G1300" i="3" s="1"/>
  <c r="E1299" i="3"/>
  <c r="G1299" i="3" s="1"/>
  <c r="E1298" i="3"/>
  <c r="G1298" i="3" s="1"/>
  <c r="E1297" i="3"/>
  <c r="G1297" i="3" s="1"/>
  <c r="E1296" i="3"/>
  <c r="G1296" i="3" s="1"/>
  <c r="E1295" i="3"/>
  <c r="G1295" i="3" s="1"/>
  <c r="E1294" i="3"/>
  <c r="G1294" i="3" s="1"/>
  <c r="E1293" i="3"/>
  <c r="G1293" i="3" s="1"/>
  <c r="E1292" i="3"/>
  <c r="G1292" i="3" s="1"/>
  <c r="E1291" i="3"/>
  <c r="G1291" i="3" s="1"/>
  <c r="E1290" i="3"/>
  <c r="G1290" i="3" s="1"/>
  <c r="E1289" i="3"/>
  <c r="G1289" i="3" s="1"/>
  <c r="E1288" i="3"/>
  <c r="G1288" i="3" s="1"/>
  <c r="E1287" i="3"/>
  <c r="G1287" i="3" s="1"/>
  <c r="E1286" i="3"/>
  <c r="G1286" i="3" s="1"/>
  <c r="E1285" i="3"/>
  <c r="G1285" i="3" s="1"/>
  <c r="E1284" i="3"/>
  <c r="G1284" i="3" s="1"/>
  <c r="E1283" i="3"/>
  <c r="G1283" i="3" s="1"/>
  <c r="E1282" i="3"/>
  <c r="G1282" i="3" s="1"/>
  <c r="E1281" i="3"/>
  <c r="G1281" i="3" s="1"/>
  <c r="E1280" i="3"/>
  <c r="G1280" i="3" s="1"/>
  <c r="E1279" i="3"/>
  <c r="G1279" i="3" s="1"/>
  <c r="E1278" i="3"/>
  <c r="G1278" i="3" s="1"/>
  <c r="E1277" i="3"/>
  <c r="G1277" i="3" s="1"/>
  <c r="E1276" i="3"/>
  <c r="G1276" i="3" s="1"/>
  <c r="E1275" i="3"/>
  <c r="G1275" i="3" s="1"/>
  <c r="E1274" i="3"/>
  <c r="G1274" i="3" s="1"/>
  <c r="E1273" i="3"/>
  <c r="G1273" i="3" s="1"/>
  <c r="E1272" i="3"/>
  <c r="G1272" i="3" s="1"/>
  <c r="E1271" i="3"/>
  <c r="G1271" i="3" s="1"/>
  <c r="E1270" i="3"/>
  <c r="G1270" i="3" s="1"/>
  <c r="E1269" i="3"/>
  <c r="G1269" i="3" s="1"/>
  <c r="E1268" i="3"/>
  <c r="G1268" i="3" s="1"/>
  <c r="E1267" i="3"/>
  <c r="G1267" i="3" s="1"/>
  <c r="E1266" i="3"/>
  <c r="G1266" i="3" s="1"/>
  <c r="E1265" i="3"/>
  <c r="G1265" i="3" s="1"/>
  <c r="E1264" i="3"/>
  <c r="G1264" i="3" s="1"/>
  <c r="E1263" i="3"/>
  <c r="G1263" i="3" s="1"/>
  <c r="E1262" i="3"/>
  <c r="G1262" i="3" s="1"/>
  <c r="E1261" i="3"/>
  <c r="G1261" i="3" s="1"/>
  <c r="E1260" i="3"/>
  <c r="G1260" i="3" s="1"/>
  <c r="E1259" i="3"/>
  <c r="G1259" i="3" s="1"/>
  <c r="E1258" i="3"/>
  <c r="G1258" i="3" s="1"/>
  <c r="E1257" i="3"/>
  <c r="G1257" i="3" s="1"/>
  <c r="E1256" i="3"/>
  <c r="G1256" i="3" s="1"/>
  <c r="E1255" i="3"/>
  <c r="G1255" i="3" s="1"/>
  <c r="E1254" i="3"/>
  <c r="G1254" i="3" s="1"/>
  <c r="E1253" i="3"/>
  <c r="G1253" i="3" s="1"/>
  <c r="E1252" i="3"/>
  <c r="G1252" i="3" s="1"/>
  <c r="E1251" i="3"/>
  <c r="G1251" i="3" s="1"/>
  <c r="E1250" i="3"/>
  <c r="G1250" i="3" s="1"/>
  <c r="E1249" i="3"/>
  <c r="G1249" i="3" s="1"/>
  <c r="E1248" i="3"/>
  <c r="G1248" i="3" s="1"/>
  <c r="E1247" i="3"/>
  <c r="G1247" i="3" s="1"/>
  <c r="E1246" i="3"/>
  <c r="G1246" i="3" s="1"/>
  <c r="E1245" i="3"/>
  <c r="G1245" i="3" s="1"/>
  <c r="E1244" i="3"/>
  <c r="G1244" i="3" s="1"/>
  <c r="E1243" i="3"/>
  <c r="G1243" i="3" s="1"/>
  <c r="E1242" i="3"/>
  <c r="G1242" i="3" s="1"/>
  <c r="E1241" i="3"/>
  <c r="G1241" i="3" s="1"/>
  <c r="E1240" i="3"/>
  <c r="G1240" i="3" s="1"/>
  <c r="E1239" i="3"/>
  <c r="G1239" i="3" s="1"/>
  <c r="E1238" i="3"/>
  <c r="G1238" i="3" s="1"/>
  <c r="E1237" i="3"/>
  <c r="G1237" i="3" s="1"/>
  <c r="E1236" i="3"/>
  <c r="G1236" i="3" s="1"/>
  <c r="E1235" i="3"/>
  <c r="G1235" i="3" s="1"/>
  <c r="E1234" i="3"/>
  <c r="G1234" i="3" s="1"/>
  <c r="E1233" i="3"/>
  <c r="G1233" i="3" s="1"/>
  <c r="E1232" i="3"/>
  <c r="G1232" i="3" s="1"/>
  <c r="E1231" i="3"/>
  <c r="G1231" i="3" s="1"/>
  <c r="E1230" i="3"/>
  <c r="G1230" i="3" s="1"/>
  <c r="E1229" i="3"/>
  <c r="G1229" i="3" s="1"/>
  <c r="E1228" i="3"/>
  <c r="G1228" i="3" s="1"/>
  <c r="E1227" i="3"/>
  <c r="G1227" i="3" s="1"/>
  <c r="E1226" i="3"/>
  <c r="G1226" i="3" s="1"/>
  <c r="E1225" i="3"/>
  <c r="G1225" i="3" s="1"/>
  <c r="E1224" i="3"/>
  <c r="G1224" i="3" s="1"/>
  <c r="E1223" i="3"/>
  <c r="G1223" i="3" s="1"/>
  <c r="E1222" i="3"/>
  <c r="G1222" i="3" s="1"/>
  <c r="E1221" i="3"/>
  <c r="G1221" i="3" s="1"/>
  <c r="E1220" i="3"/>
  <c r="G1220" i="3" s="1"/>
  <c r="E1219" i="3"/>
  <c r="G1219" i="3" s="1"/>
  <c r="E1218" i="3"/>
  <c r="G1218" i="3" s="1"/>
  <c r="E1217" i="3"/>
  <c r="G1217" i="3" s="1"/>
  <c r="E1216" i="3"/>
  <c r="G1216" i="3" s="1"/>
  <c r="E1215" i="3"/>
  <c r="G1215" i="3" s="1"/>
  <c r="E1214" i="3"/>
  <c r="G1214" i="3" s="1"/>
  <c r="E1213" i="3"/>
  <c r="G1213" i="3" s="1"/>
  <c r="E1212" i="3"/>
  <c r="G1212" i="3" s="1"/>
  <c r="E1211" i="3"/>
  <c r="G1211" i="3" s="1"/>
  <c r="E1210" i="3"/>
  <c r="G1210" i="3" s="1"/>
  <c r="E1209" i="3"/>
  <c r="G1209" i="3" s="1"/>
  <c r="E1208" i="3"/>
  <c r="G1208" i="3" s="1"/>
  <c r="E1207" i="3"/>
  <c r="G1207" i="3" s="1"/>
  <c r="E1206" i="3"/>
  <c r="G1206" i="3" s="1"/>
  <c r="E1205" i="3"/>
  <c r="G1205" i="3" s="1"/>
  <c r="E1204" i="3"/>
  <c r="G1204" i="3" s="1"/>
  <c r="E1203" i="3"/>
  <c r="G1203" i="3" s="1"/>
  <c r="E1202" i="3"/>
  <c r="G1202" i="3" s="1"/>
  <c r="E1201" i="3"/>
  <c r="G1201" i="3" s="1"/>
  <c r="E1200" i="3"/>
  <c r="G1200" i="3" s="1"/>
  <c r="E1199" i="3"/>
  <c r="G1199" i="3" s="1"/>
  <c r="E1198" i="3"/>
  <c r="G1198" i="3" s="1"/>
  <c r="E1197" i="3"/>
  <c r="G1197" i="3" s="1"/>
  <c r="E1196" i="3"/>
  <c r="G1196" i="3" s="1"/>
  <c r="E1195" i="3"/>
  <c r="G1195" i="3" s="1"/>
  <c r="E1194" i="3"/>
  <c r="G1194" i="3" s="1"/>
  <c r="E1193" i="3"/>
  <c r="G1193" i="3" s="1"/>
  <c r="E1192" i="3"/>
  <c r="G1192" i="3" s="1"/>
  <c r="E1191" i="3"/>
  <c r="G1191" i="3" s="1"/>
  <c r="E1190" i="3"/>
  <c r="G1190" i="3" s="1"/>
  <c r="E1189" i="3"/>
  <c r="G1189" i="3" s="1"/>
  <c r="E1188" i="3"/>
  <c r="G1188" i="3" s="1"/>
  <c r="E1187" i="3"/>
  <c r="G1187" i="3" s="1"/>
  <c r="E1186" i="3"/>
  <c r="G1186" i="3" s="1"/>
  <c r="E1185" i="3"/>
  <c r="G1185" i="3" s="1"/>
  <c r="E1184" i="3"/>
  <c r="G1184" i="3" s="1"/>
  <c r="E1183" i="3"/>
  <c r="G1183" i="3" s="1"/>
  <c r="E1182" i="3"/>
  <c r="G1182" i="3" s="1"/>
  <c r="E1181" i="3"/>
  <c r="G1181" i="3" s="1"/>
  <c r="E1180" i="3"/>
  <c r="G1180" i="3" s="1"/>
  <c r="E1179" i="3"/>
  <c r="G1179" i="3" s="1"/>
  <c r="E1178" i="3"/>
  <c r="G1178" i="3" s="1"/>
  <c r="E1177" i="3"/>
  <c r="G1177" i="3" s="1"/>
  <c r="E1176" i="3"/>
  <c r="G1176" i="3" s="1"/>
  <c r="E1175" i="3"/>
  <c r="G1175" i="3" s="1"/>
  <c r="E1174" i="3"/>
  <c r="G1174" i="3" s="1"/>
  <c r="E1173" i="3"/>
  <c r="G1173" i="3" s="1"/>
  <c r="E1172" i="3"/>
  <c r="G1172" i="3" s="1"/>
  <c r="E1171" i="3"/>
  <c r="G1171" i="3" s="1"/>
  <c r="E1170" i="3"/>
  <c r="G1170" i="3" s="1"/>
  <c r="E1169" i="3"/>
  <c r="G1169" i="3" s="1"/>
  <c r="E1168" i="3"/>
  <c r="G1168" i="3" s="1"/>
  <c r="E1167" i="3"/>
  <c r="G1167" i="3" s="1"/>
  <c r="E1166" i="3"/>
  <c r="G1166" i="3" s="1"/>
  <c r="E1165" i="3"/>
  <c r="G1165" i="3" s="1"/>
  <c r="E1164" i="3"/>
  <c r="G1164" i="3" s="1"/>
  <c r="E1163" i="3"/>
  <c r="G1163" i="3" s="1"/>
  <c r="E1162" i="3"/>
  <c r="G1162" i="3" s="1"/>
  <c r="E1161" i="3"/>
  <c r="G1161" i="3" s="1"/>
  <c r="E1160" i="3"/>
  <c r="G1160" i="3" s="1"/>
  <c r="E1159" i="3"/>
  <c r="G1159" i="3" s="1"/>
  <c r="E1158" i="3"/>
  <c r="G1158" i="3" s="1"/>
  <c r="E1157" i="3"/>
  <c r="G1157" i="3" s="1"/>
  <c r="E1156" i="3"/>
  <c r="G1156" i="3" s="1"/>
  <c r="E1155" i="3"/>
  <c r="G1155" i="3" s="1"/>
  <c r="E1154" i="3"/>
  <c r="G1154" i="3" s="1"/>
  <c r="E1153" i="3"/>
  <c r="G1153" i="3" s="1"/>
  <c r="E1152" i="3"/>
  <c r="G1152" i="3" s="1"/>
  <c r="E1151" i="3"/>
  <c r="G1151" i="3" s="1"/>
  <c r="E1150" i="3"/>
  <c r="G1150" i="3" s="1"/>
  <c r="E1149" i="3"/>
  <c r="G1149" i="3" s="1"/>
  <c r="E1148" i="3"/>
  <c r="G1148" i="3" s="1"/>
  <c r="E1147" i="3"/>
  <c r="G1147" i="3" s="1"/>
  <c r="E1146" i="3"/>
  <c r="G1146" i="3" s="1"/>
  <c r="E1145" i="3"/>
  <c r="G1145" i="3" s="1"/>
  <c r="E1144" i="3"/>
  <c r="G1144" i="3" s="1"/>
  <c r="E1143" i="3"/>
  <c r="G1143" i="3" s="1"/>
  <c r="E1142" i="3"/>
  <c r="G1142" i="3" s="1"/>
  <c r="E1141" i="3"/>
  <c r="G1141" i="3" s="1"/>
  <c r="E1140" i="3"/>
  <c r="G1140" i="3" s="1"/>
  <c r="E1139" i="3"/>
  <c r="G1139" i="3" s="1"/>
  <c r="E1138" i="3"/>
  <c r="G1138" i="3" s="1"/>
  <c r="E1137" i="3"/>
  <c r="G1137" i="3" s="1"/>
  <c r="E1136" i="3"/>
  <c r="G1136" i="3" s="1"/>
  <c r="E1135" i="3"/>
  <c r="G1135" i="3" s="1"/>
  <c r="E1134" i="3"/>
  <c r="G1134" i="3" s="1"/>
  <c r="E1133" i="3"/>
  <c r="G1133" i="3" s="1"/>
  <c r="E1132" i="3"/>
  <c r="G1132" i="3" s="1"/>
  <c r="E1131" i="3"/>
  <c r="G1131" i="3" s="1"/>
  <c r="E1130" i="3"/>
  <c r="G1130" i="3" s="1"/>
  <c r="E1129" i="3"/>
  <c r="G1129" i="3" s="1"/>
  <c r="E1128" i="3"/>
  <c r="G1128" i="3" s="1"/>
  <c r="E1127" i="3"/>
  <c r="G1127" i="3" s="1"/>
  <c r="E1126" i="3"/>
  <c r="G1126" i="3" s="1"/>
  <c r="E1125" i="3"/>
  <c r="G1125" i="3" s="1"/>
  <c r="E1124" i="3"/>
  <c r="G1124" i="3" s="1"/>
  <c r="E1123" i="3"/>
  <c r="G1123" i="3" s="1"/>
  <c r="E1122" i="3"/>
  <c r="G1122" i="3" s="1"/>
  <c r="E1121" i="3"/>
  <c r="G1121" i="3" s="1"/>
  <c r="E1120" i="3"/>
  <c r="G1120" i="3" s="1"/>
  <c r="E1119" i="3"/>
  <c r="G1119" i="3" s="1"/>
  <c r="E1118" i="3"/>
  <c r="G1118" i="3" s="1"/>
  <c r="E1117" i="3"/>
  <c r="G1117" i="3" s="1"/>
  <c r="E1116" i="3"/>
  <c r="G1116" i="3" s="1"/>
  <c r="E1115" i="3"/>
  <c r="G1115" i="3" s="1"/>
  <c r="E1114" i="3"/>
  <c r="G1114" i="3" s="1"/>
  <c r="E1113" i="3"/>
  <c r="G1113" i="3" s="1"/>
  <c r="E1112" i="3"/>
  <c r="G1112" i="3" s="1"/>
  <c r="E1111" i="3"/>
  <c r="G1111" i="3" s="1"/>
  <c r="E1110" i="3"/>
  <c r="G1110" i="3" s="1"/>
  <c r="E1109" i="3"/>
  <c r="G1109" i="3" s="1"/>
  <c r="E1108" i="3"/>
  <c r="G1108" i="3" s="1"/>
  <c r="E1107" i="3"/>
  <c r="G1107" i="3" s="1"/>
  <c r="E1106" i="3"/>
  <c r="G1106" i="3" s="1"/>
  <c r="E1105" i="3"/>
  <c r="G1105" i="3" s="1"/>
  <c r="E1104" i="3"/>
  <c r="G1104" i="3" s="1"/>
  <c r="E1103" i="3"/>
  <c r="G1103" i="3" s="1"/>
  <c r="E1102" i="3"/>
  <c r="G1102" i="3" s="1"/>
  <c r="E1101" i="3"/>
  <c r="G1101" i="3" s="1"/>
  <c r="E1100" i="3"/>
  <c r="G1100" i="3" s="1"/>
  <c r="E1099" i="3"/>
  <c r="G1099" i="3" s="1"/>
  <c r="E1098" i="3"/>
  <c r="G1098" i="3" s="1"/>
  <c r="E1097" i="3"/>
  <c r="G1097" i="3" s="1"/>
  <c r="E1096" i="3"/>
  <c r="G1096" i="3" s="1"/>
  <c r="E1095" i="3"/>
  <c r="G1095" i="3" s="1"/>
  <c r="E1094" i="3"/>
  <c r="G1094" i="3" s="1"/>
  <c r="E1093" i="3"/>
  <c r="G1093" i="3" s="1"/>
  <c r="E1092" i="3"/>
  <c r="G1092" i="3" s="1"/>
  <c r="E1091" i="3"/>
  <c r="G1091" i="3" s="1"/>
  <c r="E1090" i="3"/>
  <c r="G1090" i="3" s="1"/>
  <c r="E1089" i="3"/>
  <c r="G1089" i="3" s="1"/>
  <c r="E1088" i="3"/>
  <c r="G1088" i="3" s="1"/>
  <c r="E1087" i="3"/>
  <c r="G1087" i="3" s="1"/>
  <c r="E1086" i="3"/>
  <c r="G1086" i="3" s="1"/>
  <c r="E1085" i="3"/>
  <c r="G1085" i="3" s="1"/>
  <c r="E1084" i="3"/>
  <c r="G1084" i="3" s="1"/>
  <c r="E1083" i="3"/>
  <c r="G1083" i="3" s="1"/>
  <c r="E1082" i="3"/>
  <c r="G1082" i="3" s="1"/>
  <c r="E1081" i="3"/>
  <c r="G1081" i="3" s="1"/>
  <c r="E1080" i="3"/>
  <c r="G1080" i="3" s="1"/>
  <c r="E1079" i="3"/>
  <c r="G1079" i="3" s="1"/>
  <c r="E1078" i="3"/>
  <c r="G1078" i="3" s="1"/>
  <c r="E1077" i="3"/>
  <c r="G1077" i="3" s="1"/>
  <c r="E1076" i="3"/>
  <c r="G1076" i="3" s="1"/>
  <c r="E1075" i="3"/>
  <c r="G1075" i="3" s="1"/>
  <c r="E1074" i="3"/>
  <c r="G1074" i="3" s="1"/>
  <c r="E1073" i="3"/>
  <c r="G1073" i="3" s="1"/>
  <c r="E1072" i="3"/>
  <c r="G1072" i="3" s="1"/>
  <c r="E1071" i="3"/>
  <c r="G1071" i="3" s="1"/>
  <c r="E1070" i="3"/>
  <c r="G1070" i="3" s="1"/>
  <c r="E1069" i="3"/>
  <c r="G1069" i="3" s="1"/>
  <c r="E1068" i="3"/>
  <c r="G1068" i="3" s="1"/>
  <c r="E1067" i="3"/>
  <c r="G1067" i="3" s="1"/>
  <c r="E1066" i="3"/>
  <c r="G1066" i="3" s="1"/>
  <c r="E1065" i="3"/>
  <c r="G1065" i="3" s="1"/>
  <c r="E1064" i="3"/>
  <c r="G1064" i="3" s="1"/>
  <c r="E1063" i="3"/>
  <c r="G1063" i="3" s="1"/>
  <c r="E1062" i="3"/>
  <c r="G1062" i="3" s="1"/>
  <c r="E1061" i="3"/>
  <c r="G1061" i="3" s="1"/>
  <c r="E1060" i="3"/>
  <c r="G1060" i="3" s="1"/>
  <c r="E1059" i="3"/>
  <c r="G1059" i="3" s="1"/>
  <c r="E1058" i="3"/>
  <c r="G1058" i="3" s="1"/>
  <c r="E1057" i="3"/>
  <c r="G1057" i="3" s="1"/>
  <c r="E1056" i="3"/>
  <c r="G1056" i="3" s="1"/>
  <c r="E1055" i="3"/>
  <c r="G1055" i="3" s="1"/>
  <c r="E1054" i="3"/>
  <c r="G1054" i="3" s="1"/>
  <c r="E1053" i="3"/>
  <c r="G1053" i="3" s="1"/>
  <c r="E1052" i="3"/>
  <c r="G1052" i="3" s="1"/>
  <c r="E1051" i="3"/>
  <c r="G1051" i="3" s="1"/>
  <c r="E1050" i="3"/>
  <c r="G1050" i="3" s="1"/>
  <c r="E1049" i="3"/>
  <c r="G1049" i="3" s="1"/>
  <c r="E1048" i="3"/>
  <c r="G1048" i="3" s="1"/>
  <c r="E1047" i="3"/>
  <c r="G1047" i="3" s="1"/>
  <c r="E1046" i="3"/>
  <c r="G1046" i="3" s="1"/>
  <c r="E1045" i="3"/>
  <c r="G1045" i="3" s="1"/>
  <c r="E1044" i="3"/>
  <c r="G1044" i="3" s="1"/>
  <c r="E1043" i="3"/>
  <c r="G1043" i="3" s="1"/>
  <c r="E1042" i="3"/>
  <c r="G1042" i="3" s="1"/>
  <c r="E1041" i="3"/>
  <c r="G1041" i="3" s="1"/>
  <c r="E1040" i="3"/>
  <c r="G1040" i="3" s="1"/>
  <c r="E1039" i="3"/>
  <c r="G1039" i="3" s="1"/>
  <c r="E1038" i="3"/>
  <c r="G1038" i="3" s="1"/>
  <c r="E1037" i="3"/>
  <c r="G1037" i="3" s="1"/>
  <c r="E1036" i="3"/>
  <c r="G1036" i="3" s="1"/>
  <c r="E1035" i="3"/>
  <c r="G1035" i="3" s="1"/>
  <c r="E1034" i="3"/>
  <c r="G1034" i="3" s="1"/>
  <c r="E1033" i="3"/>
  <c r="G1033" i="3" s="1"/>
  <c r="E1032" i="3"/>
  <c r="G1032" i="3" s="1"/>
  <c r="E1031" i="3"/>
  <c r="G1031" i="3" s="1"/>
  <c r="E1030" i="3"/>
  <c r="G1030" i="3" s="1"/>
  <c r="E1029" i="3"/>
  <c r="G1029" i="3" s="1"/>
  <c r="E1028" i="3"/>
  <c r="G1028" i="3" s="1"/>
  <c r="E1027" i="3"/>
  <c r="G1027" i="3" s="1"/>
  <c r="E1026" i="3"/>
  <c r="G1026" i="3" s="1"/>
  <c r="E1025" i="3"/>
  <c r="G1025" i="3" s="1"/>
  <c r="E1024" i="3"/>
  <c r="G1024" i="3" s="1"/>
  <c r="E1023" i="3"/>
  <c r="G1023" i="3" s="1"/>
  <c r="E1022" i="3"/>
  <c r="G1022" i="3" s="1"/>
  <c r="E1021" i="3"/>
  <c r="G1021" i="3" s="1"/>
  <c r="E1020" i="3"/>
  <c r="G1020" i="3" s="1"/>
  <c r="E1019" i="3"/>
  <c r="G1019" i="3" s="1"/>
  <c r="E1018" i="3"/>
  <c r="G1018" i="3" s="1"/>
  <c r="E1017" i="3"/>
  <c r="G1017" i="3" s="1"/>
  <c r="E1016" i="3"/>
  <c r="G1016" i="3" s="1"/>
  <c r="E1015" i="3"/>
  <c r="G1015" i="3" s="1"/>
  <c r="E1014" i="3"/>
  <c r="G1014" i="3" s="1"/>
  <c r="E1013" i="3"/>
  <c r="G1013" i="3" s="1"/>
  <c r="E1012" i="3"/>
  <c r="G1012" i="3" s="1"/>
  <c r="E1011" i="3"/>
  <c r="G1011" i="3" s="1"/>
  <c r="E1010" i="3"/>
  <c r="G1010" i="3" s="1"/>
  <c r="E1009" i="3"/>
  <c r="G1009" i="3" s="1"/>
  <c r="E1008" i="3"/>
  <c r="G1008" i="3" s="1"/>
  <c r="E1007" i="3"/>
  <c r="G1007" i="3" s="1"/>
  <c r="E1006" i="3"/>
  <c r="G1006" i="3" s="1"/>
  <c r="E1005" i="3"/>
  <c r="G1005" i="3" s="1"/>
  <c r="E1004" i="3"/>
  <c r="G1004" i="3" s="1"/>
  <c r="E1003" i="3"/>
  <c r="G1003" i="3" s="1"/>
  <c r="E1002" i="3"/>
  <c r="G1002" i="3" s="1"/>
  <c r="E1001" i="3"/>
  <c r="G1001" i="3" s="1"/>
  <c r="E1000" i="3"/>
  <c r="G1000" i="3" s="1"/>
  <c r="E999" i="3"/>
  <c r="G999" i="3" s="1"/>
  <c r="E998" i="3"/>
  <c r="G998" i="3" s="1"/>
  <c r="E997" i="3"/>
  <c r="G997" i="3" s="1"/>
  <c r="E996" i="3"/>
  <c r="G996" i="3" s="1"/>
  <c r="E995" i="3"/>
  <c r="G995" i="3" s="1"/>
  <c r="E994" i="3"/>
  <c r="G994" i="3" s="1"/>
  <c r="E993" i="3"/>
  <c r="G993" i="3" s="1"/>
  <c r="E992" i="3"/>
  <c r="G992" i="3" s="1"/>
  <c r="E991" i="3"/>
  <c r="G991" i="3" s="1"/>
  <c r="E990" i="3"/>
  <c r="G990" i="3" s="1"/>
  <c r="E989" i="3"/>
  <c r="G989" i="3" s="1"/>
  <c r="E988" i="3"/>
  <c r="G988" i="3" s="1"/>
  <c r="E987" i="3"/>
  <c r="G987" i="3" s="1"/>
  <c r="E986" i="3"/>
  <c r="G986" i="3" s="1"/>
  <c r="E985" i="3"/>
  <c r="G985" i="3" s="1"/>
  <c r="E984" i="3"/>
  <c r="G984" i="3" s="1"/>
  <c r="E983" i="3"/>
  <c r="G983" i="3" s="1"/>
  <c r="E982" i="3"/>
  <c r="G982" i="3" s="1"/>
  <c r="E981" i="3"/>
  <c r="G981" i="3" s="1"/>
  <c r="E980" i="3"/>
  <c r="G980" i="3" s="1"/>
  <c r="E979" i="3"/>
  <c r="G979" i="3" s="1"/>
  <c r="E978" i="3"/>
  <c r="G978" i="3" s="1"/>
  <c r="E977" i="3"/>
  <c r="G977" i="3" s="1"/>
  <c r="E976" i="3"/>
  <c r="G976" i="3" s="1"/>
  <c r="E975" i="3"/>
  <c r="G975" i="3" s="1"/>
  <c r="E974" i="3"/>
  <c r="G974" i="3" s="1"/>
  <c r="E973" i="3"/>
  <c r="G973" i="3" s="1"/>
  <c r="E972" i="3"/>
  <c r="G972" i="3" s="1"/>
  <c r="E971" i="3"/>
  <c r="G971" i="3" s="1"/>
  <c r="E970" i="3"/>
  <c r="G970" i="3" s="1"/>
  <c r="E969" i="3"/>
  <c r="G969" i="3" s="1"/>
  <c r="E968" i="3"/>
  <c r="G968" i="3" s="1"/>
  <c r="E967" i="3"/>
  <c r="G967" i="3" s="1"/>
  <c r="E966" i="3"/>
  <c r="G966" i="3" s="1"/>
  <c r="E965" i="3"/>
  <c r="G965" i="3" s="1"/>
  <c r="E964" i="3"/>
  <c r="G964" i="3" s="1"/>
  <c r="E963" i="3"/>
  <c r="G963" i="3" s="1"/>
  <c r="E962" i="3"/>
  <c r="G962" i="3" s="1"/>
  <c r="E961" i="3"/>
  <c r="G961" i="3" s="1"/>
  <c r="E960" i="3"/>
  <c r="G960" i="3" s="1"/>
  <c r="E959" i="3"/>
  <c r="G959" i="3" s="1"/>
  <c r="E958" i="3"/>
  <c r="G958" i="3" s="1"/>
  <c r="E957" i="3"/>
  <c r="G957" i="3" s="1"/>
  <c r="E956" i="3"/>
  <c r="G956" i="3" s="1"/>
  <c r="E955" i="3"/>
  <c r="G955" i="3" s="1"/>
  <c r="E954" i="3"/>
  <c r="G954" i="3" s="1"/>
  <c r="E953" i="3"/>
  <c r="G953" i="3" s="1"/>
  <c r="E952" i="3"/>
  <c r="G952" i="3" s="1"/>
  <c r="E951" i="3"/>
  <c r="G951" i="3" s="1"/>
  <c r="E950" i="3"/>
  <c r="G950" i="3" s="1"/>
  <c r="E949" i="3"/>
  <c r="G949" i="3" s="1"/>
  <c r="E948" i="3"/>
  <c r="G948" i="3" s="1"/>
  <c r="E947" i="3"/>
  <c r="G947" i="3" s="1"/>
  <c r="E946" i="3"/>
  <c r="G946" i="3" s="1"/>
  <c r="E945" i="3"/>
  <c r="G945" i="3" s="1"/>
  <c r="E944" i="3"/>
  <c r="G944" i="3" s="1"/>
  <c r="E943" i="3"/>
  <c r="G943" i="3" s="1"/>
  <c r="E942" i="3"/>
  <c r="G942" i="3" s="1"/>
  <c r="E941" i="3"/>
  <c r="G941" i="3" s="1"/>
  <c r="E940" i="3"/>
  <c r="G940" i="3" s="1"/>
  <c r="E939" i="3"/>
  <c r="G939" i="3" s="1"/>
  <c r="E938" i="3"/>
  <c r="G938" i="3" s="1"/>
  <c r="E937" i="3"/>
  <c r="G937" i="3" s="1"/>
  <c r="E936" i="3"/>
  <c r="G936" i="3" s="1"/>
  <c r="E935" i="3"/>
  <c r="G935" i="3" s="1"/>
  <c r="E934" i="3"/>
  <c r="G934" i="3" s="1"/>
  <c r="E933" i="3"/>
  <c r="G933" i="3" s="1"/>
  <c r="E932" i="3"/>
  <c r="G932" i="3" s="1"/>
  <c r="E931" i="3"/>
  <c r="G931" i="3" s="1"/>
  <c r="E930" i="3"/>
  <c r="G930" i="3" s="1"/>
  <c r="E929" i="3"/>
  <c r="G929" i="3" s="1"/>
  <c r="E928" i="3"/>
  <c r="G928" i="3" s="1"/>
  <c r="E927" i="3"/>
  <c r="G927" i="3" s="1"/>
  <c r="E926" i="3"/>
  <c r="G926" i="3" s="1"/>
  <c r="E925" i="3"/>
  <c r="G925" i="3" s="1"/>
  <c r="E924" i="3"/>
  <c r="G924" i="3" s="1"/>
  <c r="E923" i="3"/>
  <c r="G923" i="3" s="1"/>
  <c r="E922" i="3"/>
  <c r="G922" i="3" s="1"/>
  <c r="E921" i="3"/>
  <c r="G921" i="3" s="1"/>
  <c r="E920" i="3"/>
  <c r="G920" i="3" s="1"/>
  <c r="E919" i="3"/>
  <c r="G919" i="3" s="1"/>
  <c r="E918" i="3"/>
  <c r="G918" i="3" s="1"/>
  <c r="E917" i="3"/>
  <c r="G917" i="3" s="1"/>
  <c r="E916" i="3"/>
  <c r="G916" i="3" s="1"/>
  <c r="E915" i="3"/>
  <c r="G915" i="3" s="1"/>
  <c r="E914" i="3"/>
  <c r="G914" i="3" s="1"/>
  <c r="E913" i="3"/>
  <c r="G913" i="3" s="1"/>
  <c r="E912" i="3"/>
  <c r="G912" i="3" s="1"/>
  <c r="E911" i="3"/>
  <c r="G911" i="3" s="1"/>
  <c r="E910" i="3"/>
  <c r="G910" i="3" s="1"/>
  <c r="E909" i="3"/>
  <c r="G909" i="3" s="1"/>
  <c r="E908" i="3"/>
  <c r="G908" i="3" s="1"/>
  <c r="E907" i="3"/>
  <c r="G907" i="3" s="1"/>
  <c r="E906" i="3"/>
  <c r="G906" i="3" s="1"/>
  <c r="E905" i="3"/>
  <c r="G905" i="3" s="1"/>
  <c r="E904" i="3"/>
  <c r="G904" i="3" s="1"/>
  <c r="E903" i="3"/>
  <c r="G903" i="3" s="1"/>
  <c r="E902" i="3"/>
  <c r="G902" i="3" s="1"/>
  <c r="E901" i="3"/>
  <c r="G901" i="3" s="1"/>
  <c r="E900" i="3"/>
  <c r="G900" i="3" s="1"/>
  <c r="E899" i="3"/>
  <c r="G899" i="3" s="1"/>
  <c r="E898" i="3"/>
  <c r="G898" i="3" s="1"/>
  <c r="E897" i="3"/>
  <c r="G897" i="3" s="1"/>
  <c r="E896" i="3"/>
  <c r="G896" i="3" s="1"/>
  <c r="E895" i="3"/>
  <c r="G895" i="3" s="1"/>
  <c r="E894" i="3"/>
  <c r="G894" i="3" s="1"/>
  <c r="E893" i="3"/>
  <c r="G893" i="3" s="1"/>
  <c r="E892" i="3"/>
  <c r="G892" i="3" s="1"/>
  <c r="E891" i="3"/>
  <c r="G891" i="3" s="1"/>
  <c r="E890" i="3"/>
  <c r="G890" i="3" s="1"/>
  <c r="E889" i="3"/>
  <c r="G889" i="3" s="1"/>
  <c r="E888" i="3"/>
  <c r="G888" i="3" s="1"/>
  <c r="E887" i="3"/>
  <c r="G887" i="3" s="1"/>
  <c r="E886" i="3"/>
  <c r="G886" i="3" s="1"/>
  <c r="E885" i="3"/>
  <c r="G885" i="3" s="1"/>
  <c r="E884" i="3"/>
  <c r="G884" i="3" s="1"/>
  <c r="E883" i="3"/>
  <c r="G883" i="3" s="1"/>
  <c r="E882" i="3"/>
  <c r="G882" i="3" s="1"/>
  <c r="E881" i="3"/>
  <c r="G881" i="3" s="1"/>
  <c r="E880" i="3"/>
  <c r="G880" i="3" s="1"/>
  <c r="E879" i="3"/>
  <c r="G879" i="3" s="1"/>
  <c r="E878" i="3"/>
  <c r="G878" i="3" s="1"/>
  <c r="E877" i="3"/>
  <c r="G877" i="3" s="1"/>
  <c r="E876" i="3"/>
  <c r="G876" i="3" s="1"/>
  <c r="E875" i="3"/>
  <c r="G875" i="3" s="1"/>
  <c r="E874" i="3"/>
  <c r="G874" i="3" s="1"/>
  <c r="E873" i="3"/>
  <c r="G873" i="3" s="1"/>
  <c r="E872" i="3"/>
  <c r="G872" i="3" s="1"/>
  <c r="E871" i="3"/>
  <c r="G871" i="3" s="1"/>
  <c r="E870" i="3"/>
  <c r="G870" i="3" s="1"/>
  <c r="E869" i="3"/>
  <c r="G869" i="3" s="1"/>
  <c r="E868" i="3"/>
  <c r="G868" i="3" s="1"/>
  <c r="E867" i="3"/>
  <c r="G867" i="3" s="1"/>
  <c r="E866" i="3"/>
  <c r="G866" i="3" s="1"/>
  <c r="E865" i="3"/>
  <c r="G865" i="3" s="1"/>
  <c r="E864" i="3"/>
  <c r="G864" i="3" s="1"/>
  <c r="E863" i="3"/>
  <c r="G863" i="3" s="1"/>
  <c r="E862" i="3"/>
  <c r="G862" i="3" s="1"/>
  <c r="E861" i="3"/>
  <c r="G861" i="3" s="1"/>
  <c r="E860" i="3"/>
  <c r="G860" i="3" s="1"/>
  <c r="E859" i="3"/>
  <c r="G859" i="3" s="1"/>
  <c r="E858" i="3"/>
  <c r="G858" i="3" s="1"/>
  <c r="E857" i="3"/>
  <c r="G857" i="3" s="1"/>
  <c r="E856" i="3"/>
  <c r="G856" i="3" s="1"/>
  <c r="E855" i="3"/>
  <c r="G855" i="3" s="1"/>
  <c r="E854" i="3"/>
  <c r="G854" i="3" s="1"/>
  <c r="E853" i="3"/>
  <c r="G853" i="3" s="1"/>
  <c r="E852" i="3"/>
  <c r="G852" i="3" s="1"/>
  <c r="E851" i="3"/>
  <c r="G851" i="3" s="1"/>
  <c r="E850" i="3"/>
  <c r="G850" i="3" s="1"/>
  <c r="E849" i="3"/>
  <c r="G849" i="3" s="1"/>
  <c r="E848" i="3"/>
  <c r="G848" i="3" s="1"/>
  <c r="E847" i="3"/>
  <c r="G847" i="3" s="1"/>
  <c r="E846" i="3"/>
  <c r="G846" i="3" s="1"/>
  <c r="E845" i="3"/>
  <c r="G845" i="3" s="1"/>
  <c r="E844" i="3"/>
  <c r="G844" i="3" s="1"/>
  <c r="E843" i="3"/>
  <c r="G843" i="3" s="1"/>
  <c r="E842" i="3"/>
  <c r="G842" i="3" s="1"/>
  <c r="E841" i="3"/>
  <c r="G841" i="3" s="1"/>
  <c r="E840" i="3"/>
  <c r="G840" i="3" s="1"/>
  <c r="E839" i="3"/>
  <c r="G839" i="3" s="1"/>
  <c r="E838" i="3"/>
  <c r="G838" i="3" s="1"/>
  <c r="E837" i="3"/>
  <c r="G837" i="3" s="1"/>
  <c r="E836" i="3"/>
  <c r="G836" i="3" s="1"/>
  <c r="E835" i="3"/>
  <c r="G835" i="3" s="1"/>
  <c r="E834" i="3"/>
  <c r="G834" i="3" s="1"/>
  <c r="E833" i="3"/>
  <c r="G833" i="3" s="1"/>
  <c r="E832" i="3"/>
  <c r="G832" i="3" s="1"/>
  <c r="E831" i="3"/>
  <c r="G831" i="3" s="1"/>
  <c r="E830" i="3"/>
  <c r="G830" i="3" s="1"/>
  <c r="E829" i="3"/>
  <c r="G829" i="3" s="1"/>
  <c r="E828" i="3"/>
  <c r="G828" i="3" s="1"/>
  <c r="E827" i="3"/>
  <c r="G827" i="3" s="1"/>
  <c r="E826" i="3"/>
  <c r="G826" i="3" s="1"/>
  <c r="E825" i="3"/>
  <c r="G825" i="3" s="1"/>
  <c r="E824" i="3"/>
  <c r="G824" i="3" s="1"/>
  <c r="E823" i="3"/>
  <c r="G823" i="3" s="1"/>
  <c r="E822" i="3"/>
  <c r="G822" i="3" s="1"/>
  <c r="E821" i="3"/>
  <c r="G821" i="3" s="1"/>
  <c r="E820" i="3"/>
  <c r="G820" i="3" s="1"/>
  <c r="E819" i="3"/>
  <c r="G819" i="3" s="1"/>
  <c r="E818" i="3"/>
  <c r="G818" i="3" s="1"/>
  <c r="E817" i="3"/>
  <c r="G817" i="3" s="1"/>
  <c r="E816" i="3"/>
  <c r="G816" i="3" s="1"/>
  <c r="E815" i="3"/>
  <c r="G815" i="3" s="1"/>
  <c r="E814" i="3"/>
  <c r="G814" i="3" s="1"/>
  <c r="E813" i="3"/>
  <c r="G813" i="3" s="1"/>
  <c r="E812" i="3"/>
  <c r="G812" i="3" s="1"/>
  <c r="E811" i="3"/>
  <c r="G811" i="3" s="1"/>
  <c r="E810" i="3"/>
  <c r="G810" i="3" s="1"/>
  <c r="E809" i="3"/>
  <c r="G809" i="3" s="1"/>
  <c r="E808" i="3"/>
  <c r="G808" i="3" s="1"/>
  <c r="E807" i="3"/>
  <c r="G807" i="3" s="1"/>
  <c r="E806" i="3"/>
  <c r="G806" i="3" s="1"/>
  <c r="E805" i="3"/>
  <c r="G805" i="3" s="1"/>
  <c r="E804" i="3"/>
  <c r="G804" i="3" s="1"/>
  <c r="E803" i="3"/>
  <c r="G803" i="3" s="1"/>
  <c r="E802" i="3"/>
  <c r="G802" i="3" s="1"/>
  <c r="E801" i="3"/>
  <c r="G801" i="3" s="1"/>
  <c r="E800" i="3"/>
  <c r="G800" i="3" s="1"/>
  <c r="E799" i="3"/>
  <c r="G799" i="3" s="1"/>
  <c r="E798" i="3"/>
  <c r="G798" i="3" s="1"/>
  <c r="E797" i="3"/>
  <c r="G797" i="3" s="1"/>
  <c r="E796" i="3"/>
  <c r="G796" i="3" s="1"/>
  <c r="E795" i="3"/>
  <c r="G795" i="3" s="1"/>
  <c r="E794" i="3"/>
  <c r="G794" i="3" s="1"/>
  <c r="E793" i="3"/>
  <c r="G793" i="3" s="1"/>
  <c r="E792" i="3"/>
  <c r="G792" i="3" s="1"/>
  <c r="E791" i="3"/>
  <c r="G791" i="3" s="1"/>
  <c r="E790" i="3"/>
  <c r="G790" i="3" s="1"/>
  <c r="E789" i="3"/>
  <c r="G789" i="3" s="1"/>
  <c r="E788" i="3"/>
  <c r="G788" i="3" s="1"/>
  <c r="E787" i="3"/>
  <c r="G787" i="3" s="1"/>
  <c r="E786" i="3"/>
  <c r="G786" i="3" s="1"/>
  <c r="E785" i="3"/>
  <c r="G785" i="3" s="1"/>
  <c r="E784" i="3"/>
  <c r="G784" i="3" s="1"/>
  <c r="E783" i="3"/>
  <c r="G783" i="3" s="1"/>
  <c r="E782" i="3"/>
  <c r="G782" i="3" s="1"/>
  <c r="E781" i="3"/>
  <c r="G781" i="3" s="1"/>
  <c r="E780" i="3"/>
  <c r="G780" i="3" s="1"/>
  <c r="E779" i="3"/>
  <c r="G779" i="3" s="1"/>
  <c r="E778" i="3"/>
  <c r="G778" i="3" s="1"/>
  <c r="E777" i="3"/>
  <c r="G777" i="3" s="1"/>
  <c r="E776" i="3"/>
  <c r="G776" i="3" s="1"/>
  <c r="E775" i="3"/>
  <c r="G775" i="3" s="1"/>
  <c r="E774" i="3"/>
  <c r="G774" i="3" s="1"/>
  <c r="E773" i="3"/>
  <c r="G773" i="3" s="1"/>
  <c r="E772" i="3"/>
  <c r="G772" i="3" s="1"/>
  <c r="E771" i="3"/>
  <c r="G771" i="3" s="1"/>
  <c r="E770" i="3"/>
  <c r="G770" i="3" s="1"/>
  <c r="E769" i="3"/>
  <c r="G769" i="3" s="1"/>
  <c r="E768" i="3"/>
  <c r="G768" i="3" s="1"/>
  <c r="E767" i="3"/>
  <c r="G767" i="3" s="1"/>
  <c r="E766" i="3"/>
  <c r="G766" i="3" s="1"/>
  <c r="E765" i="3"/>
  <c r="G765" i="3" s="1"/>
  <c r="E764" i="3"/>
  <c r="G764" i="3" s="1"/>
  <c r="E763" i="3"/>
  <c r="G763" i="3" s="1"/>
  <c r="E762" i="3"/>
  <c r="G762" i="3" s="1"/>
  <c r="E761" i="3"/>
  <c r="G761" i="3" s="1"/>
  <c r="E760" i="3"/>
  <c r="G760" i="3" s="1"/>
  <c r="E759" i="3"/>
  <c r="G759" i="3" s="1"/>
  <c r="E758" i="3"/>
  <c r="G758" i="3" s="1"/>
  <c r="E757" i="3"/>
  <c r="G757" i="3" s="1"/>
  <c r="E756" i="3"/>
  <c r="G756" i="3" s="1"/>
  <c r="E755" i="3"/>
  <c r="G755" i="3" s="1"/>
  <c r="E754" i="3"/>
  <c r="G754" i="3" s="1"/>
  <c r="E753" i="3"/>
  <c r="G753" i="3" s="1"/>
  <c r="E752" i="3"/>
  <c r="G752" i="3" s="1"/>
  <c r="E751" i="3"/>
  <c r="G751" i="3" s="1"/>
  <c r="E750" i="3"/>
  <c r="G750" i="3" s="1"/>
  <c r="E749" i="3"/>
  <c r="G749" i="3" s="1"/>
  <c r="E748" i="3"/>
  <c r="G748" i="3" s="1"/>
  <c r="E747" i="3"/>
  <c r="G747" i="3" s="1"/>
  <c r="E746" i="3"/>
  <c r="G746" i="3" s="1"/>
  <c r="E745" i="3"/>
  <c r="G745" i="3" s="1"/>
  <c r="E744" i="3"/>
  <c r="G744" i="3" s="1"/>
  <c r="E743" i="3"/>
  <c r="G743" i="3" s="1"/>
  <c r="E742" i="3"/>
  <c r="G742" i="3" s="1"/>
  <c r="E741" i="3"/>
  <c r="G741" i="3" s="1"/>
  <c r="E740" i="3"/>
  <c r="G740" i="3" s="1"/>
  <c r="E739" i="3"/>
  <c r="G739" i="3" s="1"/>
  <c r="E738" i="3"/>
  <c r="G738" i="3" s="1"/>
  <c r="E737" i="3"/>
  <c r="G737" i="3" s="1"/>
  <c r="E736" i="3"/>
  <c r="G736" i="3" s="1"/>
  <c r="E735" i="3"/>
  <c r="G735" i="3" s="1"/>
  <c r="E734" i="3"/>
  <c r="G734" i="3" s="1"/>
  <c r="E733" i="3"/>
  <c r="G733" i="3" s="1"/>
  <c r="E732" i="3"/>
  <c r="G732" i="3" s="1"/>
  <c r="E731" i="3"/>
  <c r="G731" i="3" s="1"/>
  <c r="E730" i="3"/>
  <c r="G730" i="3" s="1"/>
  <c r="E729" i="3"/>
  <c r="G729" i="3" s="1"/>
  <c r="E728" i="3"/>
  <c r="G728" i="3" s="1"/>
  <c r="E727" i="3"/>
  <c r="G727" i="3" s="1"/>
  <c r="E726" i="3"/>
  <c r="G726" i="3" s="1"/>
  <c r="E725" i="3"/>
  <c r="G725" i="3" s="1"/>
  <c r="E724" i="3"/>
  <c r="G724" i="3" s="1"/>
  <c r="E723" i="3"/>
  <c r="G723" i="3" s="1"/>
  <c r="E722" i="3"/>
  <c r="G722" i="3" s="1"/>
  <c r="E721" i="3"/>
  <c r="G721" i="3" s="1"/>
  <c r="E720" i="3"/>
  <c r="G720" i="3" s="1"/>
  <c r="E719" i="3"/>
  <c r="G719" i="3" s="1"/>
  <c r="E718" i="3"/>
  <c r="G718" i="3" s="1"/>
  <c r="E717" i="3"/>
  <c r="G717" i="3" s="1"/>
  <c r="E716" i="3"/>
  <c r="G716" i="3" s="1"/>
  <c r="E715" i="3"/>
  <c r="G715" i="3" s="1"/>
  <c r="E714" i="3"/>
  <c r="G714" i="3" s="1"/>
  <c r="E713" i="3"/>
  <c r="G713" i="3" s="1"/>
  <c r="E712" i="3"/>
  <c r="G712" i="3" s="1"/>
  <c r="E711" i="3"/>
  <c r="G711" i="3" s="1"/>
  <c r="E710" i="3"/>
  <c r="G710" i="3" s="1"/>
  <c r="E709" i="3"/>
  <c r="G709" i="3" s="1"/>
  <c r="E708" i="3"/>
  <c r="G708" i="3" s="1"/>
  <c r="E707" i="3"/>
  <c r="G707" i="3" s="1"/>
  <c r="E706" i="3"/>
  <c r="G706" i="3" s="1"/>
  <c r="E705" i="3"/>
  <c r="G705" i="3" s="1"/>
  <c r="E704" i="3"/>
  <c r="G704" i="3" s="1"/>
  <c r="E703" i="3"/>
  <c r="G703" i="3" s="1"/>
  <c r="E702" i="3"/>
  <c r="G702" i="3" s="1"/>
  <c r="E701" i="3"/>
  <c r="G701" i="3" s="1"/>
  <c r="E700" i="3"/>
  <c r="G700" i="3" s="1"/>
  <c r="E699" i="3"/>
  <c r="G699" i="3" s="1"/>
  <c r="E698" i="3"/>
  <c r="G698" i="3" s="1"/>
  <c r="E697" i="3"/>
  <c r="G697" i="3" s="1"/>
  <c r="E696" i="3"/>
  <c r="G696" i="3" s="1"/>
  <c r="E695" i="3"/>
  <c r="G695" i="3" s="1"/>
  <c r="E694" i="3"/>
  <c r="G694" i="3" s="1"/>
  <c r="E693" i="3"/>
  <c r="G693" i="3" s="1"/>
  <c r="E692" i="3"/>
  <c r="G692" i="3" s="1"/>
  <c r="E691" i="3"/>
  <c r="G691" i="3" s="1"/>
  <c r="E690" i="3"/>
  <c r="G690" i="3" s="1"/>
  <c r="E689" i="3"/>
  <c r="G689" i="3" s="1"/>
  <c r="E688" i="3"/>
  <c r="G688" i="3" s="1"/>
  <c r="E687" i="3"/>
  <c r="G687" i="3" s="1"/>
  <c r="E686" i="3"/>
  <c r="G686" i="3" s="1"/>
  <c r="E685" i="3"/>
  <c r="G685" i="3" s="1"/>
  <c r="E684" i="3"/>
  <c r="G684" i="3" s="1"/>
  <c r="E683" i="3"/>
  <c r="G683" i="3" s="1"/>
  <c r="E682" i="3"/>
  <c r="G682" i="3" s="1"/>
  <c r="E681" i="3"/>
  <c r="G681" i="3" s="1"/>
  <c r="E680" i="3"/>
  <c r="G680" i="3" s="1"/>
  <c r="E679" i="3"/>
  <c r="G679" i="3" s="1"/>
  <c r="E678" i="3"/>
  <c r="G678" i="3" s="1"/>
  <c r="E677" i="3"/>
  <c r="G677" i="3" s="1"/>
  <c r="E676" i="3"/>
  <c r="G676" i="3" s="1"/>
  <c r="E675" i="3"/>
  <c r="G675" i="3" s="1"/>
  <c r="E674" i="3"/>
  <c r="G674" i="3" s="1"/>
  <c r="E673" i="3"/>
  <c r="G673" i="3" s="1"/>
  <c r="E672" i="3"/>
  <c r="G672" i="3" s="1"/>
  <c r="E671" i="3"/>
  <c r="G671" i="3" s="1"/>
  <c r="E670" i="3"/>
  <c r="G670" i="3" s="1"/>
  <c r="E669" i="3"/>
  <c r="G669" i="3" s="1"/>
  <c r="E668" i="3"/>
  <c r="G668" i="3" s="1"/>
  <c r="E667" i="3"/>
  <c r="G667" i="3" s="1"/>
  <c r="E666" i="3"/>
  <c r="G666" i="3" s="1"/>
  <c r="E665" i="3"/>
  <c r="G665" i="3" s="1"/>
  <c r="E664" i="3"/>
  <c r="G664" i="3" s="1"/>
  <c r="E663" i="3"/>
  <c r="G663" i="3" s="1"/>
  <c r="E662" i="3"/>
  <c r="G662" i="3" s="1"/>
  <c r="E661" i="3"/>
  <c r="G661" i="3" s="1"/>
  <c r="E660" i="3"/>
  <c r="G660" i="3" s="1"/>
  <c r="E659" i="3"/>
  <c r="G659" i="3" s="1"/>
  <c r="E658" i="3"/>
  <c r="G658" i="3" s="1"/>
  <c r="E657" i="3"/>
  <c r="G657" i="3" s="1"/>
  <c r="E656" i="3"/>
  <c r="G656" i="3" s="1"/>
  <c r="E655" i="3"/>
  <c r="G655" i="3" s="1"/>
  <c r="E654" i="3"/>
  <c r="G654" i="3" s="1"/>
  <c r="E653" i="3"/>
  <c r="G653" i="3" s="1"/>
  <c r="E652" i="3"/>
  <c r="G652" i="3" s="1"/>
  <c r="E651" i="3"/>
  <c r="G651" i="3" s="1"/>
  <c r="E650" i="3"/>
  <c r="G650" i="3" s="1"/>
  <c r="E649" i="3"/>
  <c r="G649" i="3" s="1"/>
  <c r="E648" i="3"/>
  <c r="G648" i="3" s="1"/>
  <c r="E647" i="3"/>
  <c r="G647" i="3" s="1"/>
  <c r="E646" i="3"/>
  <c r="G646" i="3" s="1"/>
  <c r="E645" i="3"/>
  <c r="G645" i="3" s="1"/>
  <c r="E644" i="3"/>
  <c r="G644" i="3" s="1"/>
  <c r="E643" i="3"/>
  <c r="G643" i="3" s="1"/>
  <c r="E642" i="3"/>
  <c r="G642" i="3" s="1"/>
  <c r="E641" i="3"/>
  <c r="G641" i="3" s="1"/>
  <c r="E640" i="3"/>
  <c r="G640" i="3" s="1"/>
  <c r="E639" i="3"/>
  <c r="G639" i="3" s="1"/>
  <c r="E638" i="3"/>
  <c r="G638" i="3" s="1"/>
  <c r="E637" i="3"/>
  <c r="G637" i="3" s="1"/>
  <c r="E636" i="3"/>
  <c r="G636" i="3" s="1"/>
  <c r="E635" i="3"/>
  <c r="G635" i="3" s="1"/>
  <c r="E634" i="3"/>
  <c r="G634" i="3" s="1"/>
  <c r="E633" i="3"/>
  <c r="G633" i="3" s="1"/>
  <c r="E632" i="3"/>
  <c r="G632" i="3" s="1"/>
  <c r="E631" i="3"/>
  <c r="G631" i="3" s="1"/>
  <c r="E630" i="3"/>
  <c r="G630" i="3" s="1"/>
  <c r="E629" i="3"/>
  <c r="G629" i="3" s="1"/>
  <c r="E628" i="3"/>
  <c r="G628" i="3" s="1"/>
  <c r="E627" i="3"/>
  <c r="G627" i="3" s="1"/>
  <c r="E626" i="3"/>
  <c r="G626" i="3" s="1"/>
  <c r="E625" i="3"/>
  <c r="G625" i="3" s="1"/>
  <c r="E624" i="3"/>
  <c r="G624" i="3" s="1"/>
  <c r="E623" i="3"/>
  <c r="G623" i="3" s="1"/>
  <c r="E622" i="3"/>
  <c r="G622" i="3" s="1"/>
  <c r="E621" i="3"/>
  <c r="G621" i="3" s="1"/>
  <c r="E620" i="3"/>
  <c r="G620" i="3" s="1"/>
  <c r="E619" i="3"/>
  <c r="G619" i="3" s="1"/>
  <c r="E618" i="3"/>
  <c r="G618" i="3" s="1"/>
  <c r="E617" i="3"/>
  <c r="G617" i="3" s="1"/>
  <c r="E616" i="3"/>
  <c r="G616" i="3" s="1"/>
  <c r="E615" i="3"/>
  <c r="G615" i="3" s="1"/>
  <c r="E614" i="3"/>
  <c r="G614" i="3" s="1"/>
  <c r="E613" i="3"/>
  <c r="G613" i="3" s="1"/>
  <c r="E612" i="3"/>
  <c r="G612" i="3" s="1"/>
  <c r="E611" i="3"/>
  <c r="G611" i="3" s="1"/>
  <c r="E610" i="3"/>
  <c r="G610" i="3" s="1"/>
  <c r="E609" i="3"/>
  <c r="G609" i="3" s="1"/>
  <c r="E608" i="3"/>
  <c r="G608" i="3" s="1"/>
  <c r="E607" i="3"/>
  <c r="G607" i="3" s="1"/>
  <c r="E606" i="3"/>
  <c r="G606" i="3" s="1"/>
  <c r="E605" i="3"/>
  <c r="G605" i="3" s="1"/>
  <c r="E604" i="3"/>
  <c r="G604" i="3" s="1"/>
  <c r="E603" i="3"/>
  <c r="G603" i="3" s="1"/>
  <c r="E602" i="3"/>
  <c r="G602" i="3" s="1"/>
  <c r="E601" i="3"/>
  <c r="G601" i="3" s="1"/>
  <c r="E600" i="3"/>
  <c r="G600" i="3" s="1"/>
  <c r="E599" i="3"/>
  <c r="G599" i="3" s="1"/>
  <c r="E598" i="3"/>
  <c r="G598" i="3" s="1"/>
  <c r="E597" i="3"/>
  <c r="G597" i="3" s="1"/>
  <c r="E596" i="3"/>
  <c r="G596" i="3" s="1"/>
  <c r="E595" i="3"/>
  <c r="G595" i="3" s="1"/>
  <c r="E594" i="3"/>
  <c r="G594" i="3" s="1"/>
  <c r="E593" i="3"/>
  <c r="G593" i="3" s="1"/>
  <c r="E592" i="3"/>
  <c r="G592" i="3" s="1"/>
  <c r="E591" i="3"/>
  <c r="G591" i="3" s="1"/>
  <c r="E590" i="3"/>
  <c r="G590" i="3" s="1"/>
  <c r="E589" i="3"/>
  <c r="G589" i="3" s="1"/>
  <c r="E588" i="3"/>
  <c r="G588" i="3" s="1"/>
  <c r="E587" i="3"/>
  <c r="G587" i="3" s="1"/>
  <c r="E586" i="3"/>
  <c r="G586" i="3" s="1"/>
  <c r="E585" i="3"/>
  <c r="G585" i="3" s="1"/>
  <c r="E584" i="3"/>
  <c r="G584" i="3" s="1"/>
  <c r="E583" i="3"/>
  <c r="G583" i="3" s="1"/>
  <c r="E582" i="3"/>
  <c r="G582" i="3" s="1"/>
  <c r="E581" i="3"/>
  <c r="G581" i="3" s="1"/>
  <c r="E580" i="3"/>
  <c r="G580" i="3" s="1"/>
  <c r="E579" i="3"/>
  <c r="G579" i="3" s="1"/>
  <c r="E578" i="3"/>
  <c r="G578" i="3" s="1"/>
  <c r="E577" i="3"/>
  <c r="G577" i="3" s="1"/>
  <c r="E576" i="3"/>
  <c r="G576" i="3" s="1"/>
  <c r="E575" i="3"/>
  <c r="G575" i="3" s="1"/>
  <c r="E574" i="3"/>
  <c r="G574" i="3" s="1"/>
  <c r="E573" i="3"/>
  <c r="G573" i="3" s="1"/>
  <c r="E572" i="3"/>
  <c r="G572" i="3" s="1"/>
  <c r="E571" i="3"/>
  <c r="G571" i="3" s="1"/>
  <c r="E570" i="3"/>
  <c r="G570" i="3" s="1"/>
  <c r="E569" i="3"/>
  <c r="G569" i="3" s="1"/>
  <c r="E568" i="3"/>
  <c r="G568" i="3" s="1"/>
  <c r="E567" i="3"/>
  <c r="G567" i="3" s="1"/>
  <c r="E566" i="3"/>
  <c r="G566" i="3" s="1"/>
  <c r="E565" i="3"/>
  <c r="G565" i="3" s="1"/>
  <c r="E564" i="3"/>
  <c r="G564" i="3" s="1"/>
  <c r="E563" i="3"/>
  <c r="G563" i="3" s="1"/>
  <c r="E562" i="3"/>
  <c r="G562" i="3" s="1"/>
  <c r="E561" i="3"/>
  <c r="G561" i="3" s="1"/>
  <c r="E560" i="3"/>
  <c r="G560" i="3" s="1"/>
  <c r="E559" i="3"/>
  <c r="G559" i="3" s="1"/>
  <c r="E558" i="3"/>
  <c r="G558" i="3" s="1"/>
  <c r="E557" i="3"/>
  <c r="G557" i="3" s="1"/>
  <c r="E556" i="3"/>
  <c r="G556" i="3" s="1"/>
  <c r="E555" i="3"/>
  <c r="G555" i="3" s="1"/>
  <c r="E554" i="3"/>
  <c r="G554" i="3" s="1"/>
  <c r="E553" i="3"/>
  <c r="G553" i="3" s="1"/>
  <c r="E552" i="3"/>
  <c r="G552" i="3" s="1"/>
  <c r="E551" i="3"/>
  <c r="G551" i="3" s="1"/>
  <c r="E550" i="3"/>
  <c r="G550" i="3" s="1"/>
  <c r="E549" i="3"/>
  <c r="G549" i="3" s="1"/>
  <c r="E548" i="3"/>
  <c r="G548" i="3" s="1"/>
  <c r="E547" i="3"/>
  <c r="G547" i="3" s="1"/>
  <c r="E546" i="3"/>
  <c r="G546" i="3" s="1"/>
  <c r="E545" i="3"/>
  <c r="G545" i="3" s="1"/>
  <c r="E544" i="3"/>
  <c r="G544" i="3" s="1"/>
  <c r="E543" i="3"/>
  <c r="G543" i="3" s="1"/>
  <c r="E542" i="3"/>
  <c r="G542" i="3" s="1"/>
  <c r="E541" i="3"/>
  <c r="G541" i="3" s="1"/>
  <c r="E540" i="3"/>
  <c r="G540" i="3" s="1"/>
  <c r="E539" i="3"/>
  <c r="G539" i="3" s="1"/>
  <c r="E538" i="3"/>
  <c r="G538" i="3" s="1"/>
  <c r="E537" i="3"/>
  <c r="G537" i="3" s="1"/>
  <c r="E536" i="3"/>
  <c r="G536" i="3" s="1"/>
  <c r="E535" i="3"/>
  <c r="G535" i="3" s="1"/>
  <c r="E534" i="3"/>
  <c r="G534" i="3" s="1"/>
  <c r="E533" i="3"/>
  <c r="G533" i="3" s="1"/>
  <c r="E532" i="3"/>
  <c r="G532" i="3" s="1"/>
  <c r="E531" i="3"/>
  <c r="G531" i="3" s="1"/>
  <c r="E530" i="3"/>
  <c r="G530" i="3" s="1"/>
  <c r="E529" i="3"/>
  <c r="G529" i="3" s="1"/>
  <c r="E528" i="3"/>
  <c r="G528" i="3" s="1"/>
  <c r="E527" i="3"/>
  <c r="G527" i="3" s="1"/>
  <c r="E526" i="3"/>
  <c r="G526" i="3" s="1"/>
  <c r="E525" i="3"/>
  <c r="G525" i="3" s="1"/>
  <c r="E524" i="3"/>
  <c r="G524" i="3" s="1"/>
  <c r="E523" i="3"/>
  <c r="G523" i="3" s="1"/>
  <c r="E522" i="3"/>
  <c r="G522" i="3" s="1"/>
  <c r="E521" i="3"/>
  <c r="G521" i="3" s="1"/>
  <c r="E520" i="3"/>
  <c r="G520" i="3" s="1"/>
  <c r="E519" i="3"/>
  <c r="G519" i="3" s="1"/>
  <c r="E518" i="3"/>
  <c r="G518" i="3" s="1"/>
  <c r="E517" i="3"/>
  <c r="G517" i="3" s="1"/>
  <c r="E516" i="3"/>
  <c r="G516" i="3" s="1"/>
  <c r="E515" i="3"/>
  <c r="G515" i="3" s="1"/>
  <c r="E514" i="3"/>
  <c r="G514" i="3" s="1"/>
  <c r="E513" i="3"/>
  <c r="G513" i="3" s="1"/>
  <c r="E512" i="3"/>
  <c r="G512" i="3" s="1"/>
  <c r="E511" i="3"/>
  <c r="G511" i="3" s="1"/>
  <c r="E510" i="3"/>
  <c r="G510" i="3" s="1"/>
  <c r="E509" i="3"/>
  <c r="G509" i="3" s="1"/>
  <c r="E508" i="3"/>
  <c r="G508" i="3" s="1"/>
  <c r="E507" i="3"/>
  <c r="G507" i="3" s="1"/>
  <c r="E506" i="3"/>
  <c r="G506" i="3" s="1"/>
  <c r="E505" i="3"/>
  <c r="G505" i="3" s="1"/>
  <c r="E504" i="3"/>
  <c r="G504" i="3" s="1"/>
  <c r="E503" i="3"/>
  <c r="G503" i="3" s="1"/>
  <c r="E502" i="3"/>
  <c r="G502" i="3" s="1"/>
  <c r="E501" i="3"/>
  <c r="G501" i="3" s="1"/>
  <c r="E500" i="3"/>
  <c r="G500" i="3" s="1"/>
  <c r="E499" i="3"/>
  <c r="G499" i="3" s="1"/>
  <c r="E498" i="3"/>
  <c r="G498" i="3" s="1"/>
  <c r="E497" i="3"/>
  <c r="G497" i="3" s="1"/>
  <c r="E496" i="3"/>
  <c r="G496" i="3" s="1"/>
  <c r="E495" i="3"/>
  <c r="G495" i="3" s="1"/>
  <c r="E494" i="3"/>
  <c r="G494" i="3" s="1"/>
  <c r="E493" i="3"/>
  <c r="G493" i="3" s="1"/>
  <c r="E492" i="3"/>
  <c r="G492" i="3" s="1"/>
  <c r="E491" i="3"/>
  <c r="G491" i="3" s="1"/>
  <c r="E490" i="3"/>
  <c r="G490" i="3" s="1"/>
  <c r="E489" i="3"/>
  <c r="G489" i="3" s="1"/>
  <c r="E488" i="3"/>
  <c r="G488" i="3" s="1"/>
  <c r="E487" i="3"/>
  <c r="G487" i="3" s="1"/>
  <c r="E486" i="3"/>
  <c r="G486" i="3" s="1"/>
  <c r="E485" i="3"/>
  <c r="G485" i="3" s="1"/>
  <c r="E484" i="3"/>
  <c r="G484" i="3" s="1"/>
  <c r="E483" i="3"/>
  <c r="G483" i="3" s="1"/>
  <c r="E482" i="3"/>
  <c r="G482" i="3" s="1"/>
  <c r="E481" i="3"/>
  <c r="G481" i="3" s="1"/>
  <c r="E480" i="3"/>
  <c r="G480" i="3" s="1"/>
  <c r="E479" i="3"/>
  <c r="G479" i="3" s="1"/>
  <c r="E478" i="3"/>
  <c r="G478" i="3" s="1"/>
  <c r="E477" i="3"/>
  <c r="G477" i="3" s="1"/>
  <c r="E476" i="3"/>
  <c r="G476" i="3" s="1"/>
  <c r="E475" i="3"/>
  <c r="G475" i="3" s="1"/>
  <c r="E474" i="3"/>
  <c r="G474" i="3" s="1"/>
  <c r="E473" i="3"/>
  <c r="G473" i="3" s="1"/>
  <c r="E472" i="3"/>
  <c r="G472" i="3" s="1"/>
  <c r="E471" i="3"/>
  <c r="G471" i="3" s="1"/>
  <c r="E470" i="3"/>
  <c r="G470" i="3" s="1"/>
  <c r="E469" i="3"/>
  <c r="G469" i="3" s="1"/>
  <c r="E468" i="3"/>
  <c r="G468" i="3" s="1"/>
  <c r="E467" i="3"/>
  <c r="G467" i="3" s="1"/>
  <c r="E466" i="3"/>
  <c r="G466" i="3" s="1"/>
  <c r="E465" i="3"/>
  <c r="G465" i="3" s="1"/>
  <c r="E464" i="3"/>
  <c r="G464" i="3" s="1"/>
  <c r="E463" i="3"/>
  <c r="G463" i="3" s="1"/>
  <c r="E462" i="3"/>
  <c r="G462" i="3" s="1"/>
  <c r="E461" i="3"/>
  <c r="G461" i="3" s="1"/>
  <c r="E460" i="3"/>
  <c r="G460" i="3" s="1"/>
  <c r="E459" i="3"/>
  <c r="G459" i="3" s="1"/>
  <c r="E458" i="3"/>
  <c r="G458" i="3" s="1"/>
  <c r="E457" i="3"/>
  <c r="G457" i="3" s="1"/>
  <c r="E456" i="3"/>
  <c r="G456" i="3" s="1"/>
  <c r="E455" i="3"/>
  <c r="G455" i="3" s="1"/>
  <c r="E454" i="3"/>
  <c r="G454" i="3" s="1"/>
  <c r="E453" i="3"/>
  <c r="G453" i="3" s="1"/>
  <c r="E452" i="3"/>
  <c r="G452" i="3" s="1"/>
  <c r="E451" i="3"/>
  <c r="G451" i="3" s="1"/>
  <c r="E450" i="3"/>
  <c r="G450" i="3" s="1"/>
  <c r="E449" i="3"/>
  <c r="G449" i="3" s="1"/>
  <c r="E448" i="3"/>
  <c r="G448" i="3" s="1"/>
  <c r="E447" i="3"/>
  <c r="G447" i="3" s="1"/>
  <c r="E446" i="3"/>
  <c r="G446" i="3" s="1"/>
  <c r="E445" i="3"/>
  <c r="G445" i="3" s="1"/>
  <c r="E444" i="3"/>
  <c r="G444" i="3" s="1"/>
  <c r="E443" i="3"/>
  <c r="G443" i="3" s="1"/>
  <c r="E442" i="3"/>
  <c r="G442" i="3" s="1"/>
  <c r="E441" i="3"/>
  <c r="G441" i="3" s="1"/>
  <c r="E440" i="3"/>
  <c r="G440" i="3" s="1"/>
  <c r="E439" i="3"/>
  <c r="G439" i="3" s="1"/>
  <c r="E438" i="3"/>
  <c r="G438" i="3" s="1"/>
  <c r="E437" i="3"/>
  <c r="G437" i="3" s="1"/>
  <c r="E436" i="3"/>
  <c r="G436" i="3" s="1"/>
  <c r="E435" i="3"/>
  <c r="G435" i="3" s="1"/>
  <c r="E434" i="3"/>
  <c r="G434" i="3" s="1"/>
  <c r="E433" i="3"/>
  <c r="G433" i="3" s="1"/>
  <c r="E432" i="3"/>
  <c r="G432" i="3" s="1"/>
  <c r="E431" i="3"/>
  <c r="G431" i="3" s="1"/>
  <c r="E430" i="3"/>
  <c r="G430" i="3" s="1"/>
  <c r="E429" i="3"/>
  <c r="G429" i="3" s="1"/>
  <c r="E428" i="3"/>
  <c r="G428" i="3" s="1"/>
  <c r="E427" i="3"/>
  <c r="G427" i="3" s="1"/>
  <c r="E426" i="3"/>
  <c r="G426" i="3" s="1"/>
  <c r="E425" i="3"/>
  <c r="G425" i="3" s="1"/>
  <c r="E424" i="3"/>
  <c r="G424" i="3" s="1"/>
  <c r="E423" i="3"/>
  <c r="G423" i="3" s="1"/>
  <c r="E422" i="3"/>
  <c r="G422" i="3" s="1"/>
  <c r="E421" i="3"/>
  <c r="G421" i="3" s="1"/>
  <c r="E420" i="3"/>
  <c r="G420" i="3" s="1"/>
  <c r="E419" i="3"/>
  <c r="G419" i="3" s="1"/>
  <c r="E418" i="3"/>
  <c r="G418" i="3" s="1"/>
  <c r="E417" i="3"/>
  <c r="G417" i="3" s="1"/>
  <c r="E416" i="3"/>
  <c r="G416" i="3" s="1"/>
  <c r="E415" i="3"/>
  <c r="G415" i="3" s="1"/>
  <c r="E414" i="3"/>
  <c r="G414" i="3" s="1"/>
  <c r="E413" i="3"/>
  <c r="G413" i="3" s="1"/>
  <c r="E412" i="3"/>
  <c r="G412" i="3" s="1"/>
  <c r="E411" i="3"/>
  <c r="G411" i="3" s="1"/>
  <c r="E410" i="3"/>
  <c r="G410" i="3" s="1"/>
  <c r="E409" i="3"/>
  <c r="G409" i="3" s="1"/>
  <c r="E408" i="3"/>
  <c r="G408" i="3" s="1"/>
  <c r="E407" i="3"/>
  <c r="G407" i="3" s="1"/>
  <c r="E406" i="3"/>
  <c r="G406" i="3" s="1"/>
  <c r="E405" i="3"/>
  <c r="G405" i="3" s="1"/>
  <c r="E404" i="3"/>
  <c r="G404" i="3" s="1"/>
  <c r="E403" i="3"/>
  <c r="G403" i="3" s="1"/>
  <c r="E402" i="3"/>
  <c r="G402" i="3" s="1"/>
  <c r="E401" i="3"/>
  <c r="G401" i="3" s="1"/>
  <c r="E400" i="3"/>
  <c r="G400" i="3" s="1"/>
  <c r="E399" i="3"/>
  <c r="G399" i="3" s="1"/>
  <c r="E398" i="3"/>
  <c r="G398" i="3" s="1"/>
  <c r="E397" i="3"/>
  <c r="G397" i="3" s="1"/>
  <c r="E396" i="3"/>
  <c r="G396" i="3" s="1"/>
  <c r="E395" i="3"/>
  <c r="G395" i="3" s="1"/>
  <c r="E394" i="3"/>
  <c r="G394" i="3" s="1"/>
  <c r="E393" i="3"/>
  <c r="G393" i="3" s="1"/>
  <c r="E392" i="3"/>
  <c r="G392" i="3" s="1"/>
  <c r="E391" i="3"/>
  <c r="G391" i="3" s="1"/>
  <c r="E390" i="3"/>
  <c r="G390" i="3" s="1"/>
  <c r="E389" i="3"/>
  <c r="G389" i="3" s="1"/>
  <c r="E388" i="3"/>
  <c r="G388" i="3" s="1"/>
  <c r="E387" i="3"/>
  <c r="G387" i="3" s="1"/>
  <c r="E386" i="3"/>
  <c r="G386" i="3" s="1"/>
  <c r="E385" i="3"/>
  <c r="G385" i="3" s="1"/>
  <c r="E384" i="3"/>
  <c r="G384" i="3" s="1"/>
  <c r="E383" i="3"/>
  <c r="G383" i="3" s="1"/>
  <c r="E382" i="3"/>
  <c r="G382" i="3" s="1"/>
  <c r="E381" i="3"/>
  <c r="G381" i="3" s="1"/>
  <c r="E380" i="3"/>
  <c r="G380" i="3" s="1"/>
  <c r="E379" i="3"/>
  <c r="G379" i="3" s="1"/>
  <c r="E378" i="3"/>
  <c r="G378" i="3" s="1"/>
  <c r="E377" i="3"/>
  <c r="G377" i="3" s="1"/>
  <c r="E376" i="3"/>
  <c r="G376" i="3" s="1"/>
  <c r="E375" i="3"/>
  <c r="G375" i="3" s="1"/>
  <c r="E374" i="3"/>
  <c r="G374" i="3" s="1"/>
  <c r="E373" i="3"/>
  <c r="G373" i="3" s="1"/>
  <c r="E372" i="3"/>
  <c r="G372" i="3" s="1"/>
  <c r="E371" i="3"/>
  <c r="G371" i="3" s="1"/>
  <c r="E370" i="3"/>
  <c r="G370" i="3" s="1"/>
  <c r="E369" i="3"/>
  <c r="G369" i="3" s="1"/>
  <c r="E368" i="3"/>
  <c r="G368" i="3" s="1"/>
  <c r="E367" i="3"/>
  <c r="G367" i="3" s="1"/>
  <c r="E366" i="3"/>
  <c r="G366" i="3" s="1"/>
  <c r="E365" i="3"/>
  <c r="G365" i="3" s="1"/>
  <c r="E364" i="3"/>
  <c r="G364" i="3" s="1"/>
  <c r="E363" i="3"/>
  <c r="G363" i="3" s="1"/>
  <c r="E362" i="3"/>
  <c r="G362" i="3" s="1"/>
  <c r="E361" i="3"/>
  <c r="G361" i="3" s="1"/>
  <c r="E360" i="3"/>
  <c r="G360" i="3" s="1"/>
  <c r="E359" i="3"/>
  <c r="G359" i="3" s="1"/>
  <c r="E358" i="3"/>
  <c r="G358" i="3" s="1"/>
  <c r="E357" i="3"/>
  <c r="G357" i="3" s="1"/>
  <c r="E356" i="3"/>
  <c r="G356" i="3" s="1"/>
  <c r="E355" i="3"/>
  <c r="G355" i="3" s="1"/>
  <c r="E354" i="3"/>
  <c r="G354" i="3" s="1"/>
  <c r="E353" i="3"/>
  <c r="G353" i="3" s="1"/>
  <c r="E352" i="3"/>
  <c r="G352" i="3" s="1"/>
  <c r="E351" i="3"/>
  <c r="G351" i="3" s="1"/>
  <c r="E350" i="3"/>
  <c r="G350" i="3" s="1"/>
  <c r="E349" i="3"/>
  <c r="G349" i="3" s="1"/>
  <c r="E348" i="3"/>
  <c r="G348" i="3" s="1"/>
  <c r="E347" i="3"/>
  <c r="G347" i="3" s="1"/>
  <c r="E346" i="3"/>
  <c r="G346" i="3" s="1"/>
  <c r="E345" i="3"/>
  <c r="G345" i="3" s="1"/>
  <c r="E344" i="3"/>
  <c r="G344" i="3" s="1"/>
  <c r="E343" i="3"/>
  <c r="G343" i="3" s="1"/>
  <c r="E342" i="3"/>
  <c r="G342" i="3" s="1"/>
  <c r="E341" i="3"/>
  <c r="G341" i="3" s="1"/>
  <c r="E340" i="3"/>
  <c r="G340" i="3" s="1"/>
  <c r="E339" i="3"/>
  <c r="G339" i="3" s="1"/>
  <c r="E338" i="3"/>
  <c r="G338" i="3" s="1"/>
  <c r="E337" i="3"/>
  <c r="G337" i="3" s="1"/>
  <c r="E336" i="3"/>
  <c r="G336" i="3" s="1"/>
  <c r="E335" i="3"/>
  <c r="G335" i="3" s="1"/>
  <c r="E334" i="3"/>
  <c r="G334" i="3" s="1"/>
  <c r="E333" i="3"/>
  <c r="G333" i="3" s="1"/>
  <c r="E332" i="3"/>
  <c r="G332" i="3" s="1"/>
  <c r="E331" i="3"/>
  <c r="G331" i="3" s="1"/>
  <c r="E330" i="3"/>
  <c r="G330" i="3" s="1"/>
  <c r="E329" i="3"/>
  <c r="G329" i="3" s="1"/>
  <c r="E328" i="3"/>
  <c r="G328" i="3" s="1"/>
  <c r="E327" i="3"/>
  <c r="G327" i="3" s="1"/>
  <c r="E326" i="3"/>
  <c r="G326" i="3" s="1"/>
  <c r="E325" i="3"/>
  <c r="G325" i="3" s="1"/>
  <c r="E324" i="3"/>
  <c r="G324" i="3" s="1"/>
  <c r="E323" i="3"/>
  <c r="G323" i="3" s="1"/>
  <c r="E322" i="3"/>
  <c r="G322" i="3" s="1"/>
  <c r="E321" i="3"/>
  <c r="G321" i="3" s="1"/>
  <c r="E320" i="3"/>
  <c r="G320" i="3" s="1"/>
  <c r="E319" i="3"/>
  <c r="G319" i="3" s="1"/>
  <c r="E318" i="3"/>
  <c r="G318" i="3" s="1"/>
  <c r="E317" i="3"/>
  <c r="G317" i="3" s="1"/>
  <c r="E316" i="3"/>
  <c r="G316" i="3" s="1"/>
  <c r="E315" i="3"/>
  <c r="G315" i="3" s="1"/>
  <c r="E314" i="3"/>
  <c r="G314" i="3" s="1"/>
  <c r="E313" i="3"/>
  <c r="G313" i="3" s="1"/>
  <c r="E312" i="3"/>
  <c r="G312" i="3" s="1"/>
  <c r="E311" i="3"/>
  <c r="G311" i="3" s="1"/>
  <c r="E310" i="3"/>
  <c r="G310" i="3" s="1"/>
  <c r="E309" i="3"/>
  <c r="G309" i="3" s="1"/>
  <c r="E308" i="3"/>
  <c r="G308" i="3" s="1"/>
  <c r="E307" i="3"/>
  <c r="G307" i="3" s="1"/>
  <c r="E306" i="3"/>
  <c r="G306" i="3" s="1"/>
  <c r="E305" i="3"/>
  <c r="G305" i="3" s="1"/>
  <c r="E304" i="3"/>
  <c r="G304" i="3" s="1"/>
  <c r="E303" i="3"/>
  <c r="G303" i="3" s="1"/>
  <c r="E302" i="3"/>
  <c r="G302" i="3" s="1"/>
  <c r="E301" i="3"/>
  <c r="G301" i="3" s="1"/>
  <c r="E300" i="3"/>
  <c r="G300" i="3" s="1"/>
  <c r="E299" i="3"/>
  <c r="G299" i="3" s="1"/>
  <c r="E298" i="3"/>
  <c r="G298" i="3" s="1"/>
  <c r="E297" i="3"/>
  <c r="G297" i="3" s="1"/>
  <c r="E296" i="3"/>
  <c r="G296" i="3" s="1"/>
  <c r="E295" i="3"/>
  <c r="G295" i="3" s="1"/>
  <c r="E294" i="3"/>
  <c r="G294" i="3" s="1"/>
  <c r="E293" i="3"/>
  <c r="G293" i="3" s="1"/>
  <c r="E292" i="3"/>
  <c r="G292" i="3" s="1"/>
  <c r="E291" i="3"/>
  <c r="G291" i="3" s="1"/>
  <c r="E290" i="3"/>
  <c r="G290" i="3" s="1"/>
  <c r="E289" i="3"/>
  <c r="G289" i="3" s="1"/>
  <c r="E288" i="3"/>
  <c r="G288" i="3" s="1"/>
  <c r="E287" i="3"/>
  <c r="G287" i="3" s="1"/>
  <c r="E286" i="3"/>
  <c r="G286" i="3" s="1"/>
  <c r="E285" i="3"/>
  <c r="G285" i="3" s="1"/>
  <c r="E284" i="3"/>
  <c r="G284" i="3" s="1"/>
  <c r="E283" i="3"/>
  <c r="G283" i="3" s="1"/>
  <c r="E282" i="3"/>
  <c r="G282" i="3" s="1"/>
  <c r="E281" i="3"/>
  <c r="G281" i="3" s="1"/>
  <c r="E280" i="3"/>
  <c r="G280" i="3" s="1"/>
  <c r="E279" i="3"/>
  <c r="G279" i="3" s="1"/>
  <c r="E278" i="3"/>
  <c r="G278" i="3" s="1"/>
  <c r="E277" i="3"/>
  <c r="G277" i="3" s="1"/>
  <c r="E276" i="3"/>
  <c r="G276" i="3" s="1"/>
  <c r="E275" i="3"/>
  <c r="G275" i="3" s="1"/>
  <c r="E274" i="3"/>
  <c r="G274" i="3" s="1"/>
  <c r="E273" i="3"/>
  <c r="G273" i="3" s="1"/>
  <c r="E272" i="3"/>
  <c r="G272" i="3" s="1"/>
  <c r="E271" i="3"/>
  <c r="G271" i="3" s="1"/>
  <c r="E270" i="3"/>
  <c r="G270" i="3" s="1"/>
  <c r="E269" i="3"/>
  <c r="G269" i="3" s="1"/>
  <c r="E268" i="3"/>
  <c r="G268" i="3" s="1"/>
  <c r="E267" i="3"/>
  <c r="G267" i="3" s="1"/>
  <c r="E266" i="3"/>
  <c r="G266" i="3" s="1"/>
  <c r="E265" i="3"/>
  <c r="G265" i="3" s="1"/>
  <c r="E264" i="3"/>
  <c r="G264" i="3" s="1"/>
  <c r="E263" i="3"/>
  <c r="G263" i="3" s="1"/>
  <c r="E262" i="3"/>
  <c r="G262" i="3" s="1"/>
  <c r="E261" i="3"/>
  <c r="G261" i="3" s="1"/>
  <c r="E260" i="3"/>
  <c r="G260" i="3" s="1"/>
  <c r="E259" i="3"/>
  <c r="G259" i="3" s="1"/>
  <c r="E258" i="3"/>
  <c r="G258" i="3" s="1"/>
  <c r="E257" i="3"/>
  <c r="G257" i="3" s="1"/>
  <c r="E256" i="3"/>
  <c r="G256" i="3" s="1"/>
  <c r="E255" i="3"/>
  <c r="G255" i="3" s="1"/>
  <c r="E254" i="3"/>
  <c r="G254" i="3" s="1"/>
  <c r="E253" i="3"/>
  <c r="G253" i="3" s="1"/>
  <c r="E252" i="3"/>
  <c r="G252" i="3" s="1"/>
  <c r="E251" i="3"/>
  <c r="G251" i="3" s="1"/>
  <c r="E250" i="3"/>
  <c r="G250" i="3" s="1"/>
  <c r="E249" i="3"/>
  <c r="G249" i="3" s="1"/>
  <c r="E248" i="3"/>
  <c r="G248" i="3" s="1"/>
  <c r="E247" i="3"/>
  <c r="G247" i="3" s="1"/>
  <c r="E246" i="3"/>
  <c r="G246" i="3" s="1"/>
  <c r="E245" i="3"/>
  <c r="G245" i="3" s="1"/>
  <c r="E244" i="3"/>
  <c r="G244" i="3" s="1"/>
  <c r="E243" i="3"/>
  <c r="G243" i="3" s="1"/>
  <c r="E242" i="3"/>
  <c r="G242" i="3" s="1"/>
  <c r="E241" i="3"/>
  <c r="G241" i="3" s="1"/>
  <c r="E240" i="3"/>
  <c r="G240" i="3" s="1"/>
  <c r="E239" i="3"/>
  <c r="G239" i="3" s="1"/>
  <c r="E238" i="3"/>
  <c r="G238" i="3" s="1"/>
  <c r="E237" i="3"/>
  <c r="G237" i="3" s="1"/>
  <c r="E236" i="3"/>
  <c r="G236" i="3" s="1"/>
  <c r="E235" i="3"/>
  <c r="G235" i="3" s="1"/>
  <c r="E234" i="3"/>
  <c r="G234" i="3" s="1"/>
  <c r="E233" i="3"/>
  <c r="G233" i="3" s="1"/>
  <c r="E232" i="3"/>
  <c r="G232" i="3" s="1"/>
  <c r="E231" i="3"/>
  <c r="G231" i="3" s="1"/>
  <c r="E230" i="3"/>
  <c r="G230" i="3" s="1"/>
  <c r="E229" i="3"/>
  <c r="G229" i="3" s="1"/>
  <c r="E228" i="3"/>
  <c r="G228" i="3" s="1"/>
  <c r="E227" i="3"/>
  <c r="G227" i="3" s="1"/>
  <c r="E226" i="3"/>
  <c r="G226" i="3" s="1"/>
  <c r="E225" i="3"/>
  <c r="G225" i="3" s="1"/>
  <c r="E224" i="3"/>
  <c r="G224" i="3" s="1"/>
  <c r="E223" i="3"/>
  <c r="G223" i="3" s="1"/>
  <c r="E222" i="3"/>
  <c r="G222" i="3" s="1"/>
  <c r="E221" i="3"/>
  <c r="G221" i="3" s="1"/>
  <c r="E220" i="3"/>
  <c r="G220" i="3" s="1"/>
  <c r="E219" i="3"/>
  <c r="G219" i="3" s="1"/>
  <c r="E218" i="3"/>
  <c r="G218" i="3" s="1"/>
  <c r="E217" i="3"/>
  <c r="G217" i="3" s="1"/>
  <c r="E216" i="3"/>
  <c r="G216" i="3" s="1"/>
  <c r="E215" i="3"/>
  <c r="G215" i="3" s="1"/>
  <c r="E214" i="3"/>
  <c r="G214" i="3" s="1"/>
  <c r="E213" i="3"/>
  <c r="G213" i="3" s="1"/>
  <c r="E212" i="3"/>
  <c r="G212" i="3" s="1"/>
  <c r="E211" i="3"/>
  <c r="G211" i="3" s="1"/>
  <c r="E210" i="3"/>
  <c r="G210" i="3" s="1"/>
  <c r="E209" i="3"/>
  <c r="G209" i="3" s="1"/>
  <c r="E208" i="3"/>
  <c r="G208" i="3" s="1"/>
  <c r="E207" i="3"/>
  <c r="G207" i="3" s="1"/>
  <c r="E206" i="3"/>
  <c r="G206" i="3" s="1"/>
  <c r="E205" i="3"/>
  <c r="G205" i="3" s="1"/>
  <c r="E204" i="3"/>
  <c r="G204" i="3" s="1"/>
  <c r="E203" i="3"/>
  <c r="G203" i="3" s="1"/>
  <c r="E202" i="3"/>
  <c r="G202" i="3" s="1"/>
  <c r="E201" i="3"/>
  <c r="G201" i="3" s="1"/>
  <c r="E200" i="3"/>
  <c r="G200" i="3" s="1"/>
  <c r="E199" i="3"/>
  <c r="G199" i="3" s="1"/>
  <c r="E198" i="3"/>
  <c r="G198" i="3" s="1"/>
  <c r="E197" i="3"/>
  <c r="G197" i="3" s="1"/>
  <c r="E196" i="3"/>
  <c r="G196" i="3" s="1"/>
  <c r="E195" i="3"/>
  <c r="G195" i="3" s="1"/>
  <c r="E194" i="3"/>
  <c r="G194" i="3" s="1"/>
  <c r="E193" i="3"/>
  <c r="G193" i="3" s="1"/>
  <c r="E192" i="3"/>
  <c r="G192" i="3" s="1"/>
  <c r="E191" i="3"/>
  <c r="G191" i="3" s="1"/>
  <c r="E190" i="3"/>
  <c r="G190" i="3" s="1"/>
  <c r="E189" i="3"/>
  <c r="G189" i="3" s="1"/>
  <c r="E188" i="3"/>
  <c r="G188" i="3" s="1"/>
  <c r="E187" i="3"/>
  <c r="G187" i="3" s="1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G70" i="3" s="1"/>
  <c r="E69" i="3"/>
  <c r="G69" i="3" s="1"/>
  <c r="E68" i="3"/>
  <c r="G68" i="3" s="1"/>
  <c r="E67" i="3"/>
  <c r="G67" i="3" s="1"/>
  <c r="E66" i="3"/>
  <c r="G66" i="3" s="1"/>
  <c r="E65" i="3"/>
  <c r="G65" i="3" s="1"/>
  <c r="E64" i="3"/>
  <c r="G64" i="3" s="1"/>
  <c r="E63" i="3"/>
  <c r="G63" i="3" s="1"/>
  <c r="E62" i="3"/>
  <c r="G62" i="3" s="1"/>
  <c r="E61" i="3"/>
  <c r="G61" i="3" s="1"/>
  <c r="E60" i="3"/>
  <c r="G60" i="3" s="1"/>
  <c r="E59" i="3"/>
  <c r="G59" i="3" s="1"/>
  <c r="E58" i="3"/>
  <c r="G58" i="3" s="1"/>
  <c r="E57" i="3"/>
  <c r="G57" i="3" s="1"/>
  <c r="E56" i="3"/>
  <c r="G56" i="3" s="1"/>
  <c r="E55" i="3"/>
  <c r="G55" i="3" s="1"/>
  <c r="E54" i="3"/>
  <c r="G54" i="3" s="1"/>
  <c r="E53" i="3"/>
  <c r="G53" i="3" s="1"/>
  <c r="E52" i="3"/>
  <c r="G52" i="3" s="1"/>
  <c r="E51" i="3"/>
  <c r="G51" i="3" s="1"/>
  <c r="E50" i="3"/>
  <c r="G50" i="3" s="1"/>
  <c r="E49" i="3"/>
  <c r="G49" i="3" s="1"/>
  <c r="E48" i="3"/>
  <c r="G48" i="3" s="1"/>
  <c r="E47" i="3"/>
  <c r="G47" i="3" s="1"/>
  <c r="E46" i="3"/>
  <c r="G46" i="3" s="1"/>
  <c r="E45" i="3"/>
  <c r="G45" i="3" s="1"/>
  <c r="E44" i="3"/>
  <c r="G44" i="3" s="1"/>
  <c r="E43" i="3"/>
  <c r="G43" i="3" s="1"/>
  <c r="E42" i="3"/>
  <c r="G42" i="3" s="1"/>
  <c r="E41" i="3"/>
  <c r="G41" i="3" s="1"/>
  <c r="E40" i="3"/>
  <c r="G40" i="3" s="1"/>
  <c r="E39" i="3"/>
  <c r="G39" i="3" s="1"/>
  <c r="E38" i="3"/>
  <c r="G38" i="3" s="1"/>
  <c r="E37" i="3"/>
  <c r="G37" i="3" s="1"/>
  <c r="E36" i="3"/>
  <c r="G36" i="3" s="1"/>
  <c r="E35" i="3"/>
  <c r="G35" i="3" s="1"/>
  <c r="E34" i="3"/>
  <c r="G34" i="3" s="1"/>
  <c r="E33" i="3"/>
  <c r="G33" i="3" s="1"/>
  <c r="E32" i="3"/>
  <c r="G32" i="3" s="1"/>
  <c r="E31" i="3"/>
  <c r="G31" i="3" s="1"/>
  <c r="E30" i="3"/>
  <c r="G30" i="3" s="1"/>
  <c r="E29" i="3"/>
  <c r="G29" i="3" s="1"/>
  <c r="E28" i="3"/>
  <c r="G28" i="3" s="1"/>
  <c r="E27" i="3"/>
  <c r="G27" i="3" s="1"/>
  <c r="E26" i="3"/>
  <c r="G26" i="3" s="1"/>
  <c r="E25" i="3"/>
  <c r="G25" i="3" s="1"/>
  <c r="E24" i="3"/>
  <c r="G24" i="3" s="1"/>
  <c r="E23" i="3"/>
  <c r="G23" i="3" s="1"/>
  <c r="E22" i="3"/>
  <c r="G22" i="3" s="1"/>
  <c r="E21" i="3"/>
  <c r="G21" i="3" s="1"/>
  <c r="E20" i="3"/>
  <c r="G20" i="3" s="1"/>
  <c r="E19" i="3"/>
  <c r="G19" i="3" s="1"/>
  <c r="E18" i="3"/>
  <c r="G18" i="3" s="1"/>
  <c r="E17" i="3"/>
  <c r="G17" i="3" s="1"/>
  <c r="E16" i="3"/>
  <c r="G16" i="3" s="1"/>
  <c r="E15" i="3"/>
  <c r="G15" i="3" s="1"/>
  <c r="E14" i="3"/>
  <c r="G14" i="3" s="1"/>
  <c r="E13" i="3"/>
  <c r="G13" i="3" s="1"/>
  <c r="E12" i="3"/>
  <c r="G12" i="3" s="1"/>
  <c r="E11" i="3"/>
  <c r="G11" i="3" s="1"/>
  <c r="E10" i="3"/>
  <c r="G10" i="3" s="1"/>
  <c r="E9" i="3"/>
  <c r="G9" i="3" s="1"/>
  <c r="E8" i="3"/>
  <c r="G8" i="3" s="1"/>
  <c r="E7" i="3"/>
  <c r="G7" i="3" s="1"/>
  <c r="E6" i="3"/>
  <c r="G6" i="3" s="1"/>
  <c r="E5" i="3"/>
  <c r="G5" i="3" s="1"/>
  <c r="E4" i="3"/>
  <c r="G4" i="3" s="1"/>
  <c r="E3" i="3"/>
  <c r="G3" i="3" s="1"/>
  <c r="E2" i="3"/>
  <c r="G2" i="3" s="1"/>
  <c r="O673" i="2"/>
  <c r="N673" i="2"/>
  <c r="M673" i="2"/>
  <c r="L673" i="2"/>
  <c r="K673" i="2"/>
  <c r="J673" i="2"/>
  <c r="O672" i="2"/>
  <c r="N672" i="2"/>
  <c r="M672" i="2"/>
  <c r="L672" i="2"/>
  <c r="K672" i="2"/>
  <c r="J672" i="2"/>
  <c r="M671" i="2"/>
  <c r="L671" i="2"/>
  <c r="K671" i="2"/>
  <c r="J671" i="2"/>
  <c r="I671" i="2"/>
  <c r="O671" i="2" s="1"/>
  <c r="H671" i="2"/>
  <c r="N671" i="2" s="1"/>
  <c r="M670" i="2"/>
  <c r="L670" i="2"/>
  <c r="K670" i="2"/>
  <c r="J670" i="2"/>
  <c r="I670" i="2"/>
  <c r="O670" i="2" s="1"/>
  <c r="H670" i="2"/>
  <c r="N670" i="2" s="1"/>
  <c r="O669" i="2"/>
  <c r="N669" i="2"/>
  <c r="M669" i="2"/>
  <c r="L669" i="2"/>
  <c r="K669" i="2"/>
  <c r="J669" i="2"/>
  <c r="O668" i="2"/>
  <c r="N668" i="2"/>
  <c r="M668" i="2"/>
  <c r="L668" i="2"/>
  <c r="K668" i="2"/>
  <c r="J668" i="2"/>
  <c r="M667" i="2"/>
  <c r="L667" i="2"/>
  <c r="K667" i="2"/>
  <c r="J667" i="2"/>
  <c r="I667" i="2"/>
  <c r="O667" i="2" s="1"/>
  <c r="H667" i="2"/>
  <c r="N667" i="2" s="1"/>
  <c r="M666" i="2"/>
  <c r="L666" i="2"/>
  <c r="K666" i="2"/>
  <c r="J666" i="2"/>
  <c r="I666" i="2"/>
  <c r="O666" i="2" s="1"/>
  <c r="H666" i="2"/>
  <c r="N666" i="2" s="1"/>
  <c r="O665" i="2"/>
  <c r="N665" i="2"/>
  <c r="M665" i="2"/>
  <c r="L665" i="2"/>
  <c r="K665" i="2"/>
  <c r="J665" i="2"/>
  <c r="O664" i="2"/>
  <c r="N664" i="2"/>
  <c r="M664" i="2"/>
  <c r="L664" i="2"/>
  <c r="K664" i="2"/>
  <c r="J664" i="2"/>
  <c r="M663" i="2"/>
  <c r="L663" i="2"/>
  <c r="K663" i="2"/>
  <c r="J663" i="2"/>
  <c r="I663" i="2"/>
  <c r="O663" i="2" s="1"/>
  <c r="H663" i="2"/>
  <c r="N663" i="2" s="1"/>
  <c r="M662" i="2"/>
  <c r="L662" i="2"/>
  <c r="K662" i="2"/>
  <c r="J662" i="2"/>
  <c r="I662" i="2"/>
  <c r="O662" i="2" s="1"/>
  <c r="H662" i="2"/>
  <c r="N662" i="2" s="1"/>
  <c r="O661" i="2"/>
  <c r="N661" i="2"/>
  <c r="M661" i="2"/>
  <c r="L661" i="2"/>
  <c r="K661" i="2"/>
  <c r="J661" i="2"/>
  <c r="O660" i="2"/>
  <c r="N660" i="2"/>
  <c r="M660" i="2"/>
  <c r="L660" i="2"/>
  <c r="K660" i="2"/>
  <c r="J660" i="2"/>
  <c r="M659" i="2"/>
  <c r="L659" i="2"/>
  <c r="K659" i="2"/>
  <c r="J659" i="2"/>
  <c r="I659" i="2"/>
  <c r="O659" i="2" s="1"/>
  <c r="H659" i="2"/>
  <c r="N659" i="2" s="1"/>
  <c r="M658" i="2"/>
  <c r="L658" i="2"/>
  <c r="K658" i="2"/>
  <c r="J658" i="2"/>
  <c r="I658" i="2"/>
  <c r="O658" i="2" s="1"/>
  <c r="H658" i="2"/>
  <c r="N658" i="2" s="1"/>
  <c r="O657" i="2"/>
  <c r="N657" i="2"/>
  <c r="M657" i="2"/>
  <c r="L657" i="2"/>
  <c r="K657" i="2"/>
  <c r="J657" i="2"/>
  <c r="O656" i="2"/>
  <c r="N656" i="2"/>
  <c r="M656" i="2"/>
  <c r="L656" i="2"/>
  <c r="K656" i="2"/>
  <c r="J656" i="2"/>
  <c r="M655" i="2"/>
  <c r="L655" i="2"/>
  <c r="K655" i="2"/>
  <c r="J655" i="2"/>
  <c r="I655" i="2"/>
  <c r="O655" i="2" s="1"/>
  <c r="H655" i="2"/>
  <c r="N655" i="2" s="1"/>
  <c r="M654" i="2"/>
  <c r="L654" i="2"/>
  <c r="K654" i="2"/>
  <c r="J654" i="2"/>
  <c r="I654" i="2"/>
  <c r="O654" i="2" s="1"/>
  <c r="H654" i="2"/>
  <c r="N654" i="2" s="1"/>
  <c r="O653" i="2"/>
  <c r="N653" i="2"/>
  <c r="M653" i="2"/>
  <c r="L653" i="2"/>
  <c r="K653" i="2"/>
  <c r="J653" i="2"/>
  <c r="O652" i="2"/>
  <c r="N652" i="2"/>
  <c r="M652" i="2"/>
  <c r="L652" i="2"/>
  <c r="K652" i="2"/>
  <c r="J652" i="2"/>
  <c r="O651" i="2"/>
  <c r="N651" i="2"/>
  <c r="M651" i="2"/>
  <c r="L651" i="2"/>
  <c r="K651" i="2"/>
  <c r="J651" i="2"/>
  <c r="O650" i="2"/>
  <c r="N650" i="2"/>
  <c r="M650" i="2"/>
  <c r="L650" i="2"/>
  <c r="K650" i="2"/>
  <c r="J650" i="2"/>
  <c r="O649" i="2"/>
  <c r="N649" i="2"/>
  <c r="M649" i="2"/>
  <c r="L649" i="2"/>
  <c r="K649" i="2"/>
  <c r="J649" i="2"/>
  <c r="O648" i="2"/>
  <c r="N648" i="2"/>
  <c r="M648" i="2"/>
  <c r="L648" i="2"/>
  <c r="K648" i="2"/>
  <c r="J648" i="2"/>
  <c r="O647" i="2"/>
  <c r="N647" i="2"/>
  <c r="M647" i="2"/>
  <c r="L647" i="2"/>
  <c r="K647" i="2"/>
  <c r="J647" i="2"/>
  <c r="O646" i="2"/>
  <c r="N646" i="2"/>
  <c r="M646" i="2"/>
  <c r="L646" i="2"/>
  <c r="K646" i="2"/>
  <c r="J646" i="2"/>
  <c r="O645" i="2"/>
  <c r="N645" i="2"/>
  <c r="M645" i="2"/>
  <c r="L645" i="2"/>
  <c r="K645" i="2"/>
  <c r="J645" i="2"/>
  <c r="O644" i="2"/>
  <c r="N644" i="2"/>
  <c r="M644" i="2"/>
  <c r="L644" i="2"/>
  <c r="K644" i="2"/>
  <c r="J644" i="2"/>
  <c r="O643" i="2"/>
  <c r="N643" i="2"/>
  <c r="M643" i="2"/>
  <c r="L643" i="2"/>
  <c r="K643" i="2"/>
  <c r="J643" i="2"/>
  <c r="O642" i="2"/>
  <c r="N642" i="2"/>
  <c r="M642" i="2"/>
  <c r="L642" i="2"/>
  <c r="K642" i="2"/>
  <c r="J642" i="2"/>
  <c r="O641" i="2"/>
  <c r="N641" i="2"/>
  <c r="M641" i="2"/>
  <c r="L641" i="2"/>
  <c r="K641" i="2"/>
  <c r="J641" i="2"/>
  <c r="O640" i="2"/>
  <c r="N640" i="2"/>
  <c r="M640" i="2"/>
  <c r="L640" i="2"/>
  <c r="K640" i="2"/>
  <c r="J640" i="2"/>
  <c r="O639" i="2"/>
  <c r="N639" i="2"/>
  <c r="M639" i="2"/>
  <c r="L639" i="2"/>
  <c r="K639" i="2"/>
  <c r="J639" i="2"/>
  <c r="O638" i="2"/>
  <c r="N638" i="2"/>
  <c r="M638" i="2"/>
  <c r="L638" i="2"/>
  <c r="K638" i="2"/>
  <c r="J638" i="2"/>
  <c r="O637" i="2"/>
  <c r="N637" i="2"/>
  <c r="M637" i="2"/>
  <c r="L637" i="2"/>
  <c r="K637" i="2"/>
  <c r="J637" i="2"/>
  <c r="O636" i="2"/>
  <c r="N636" i="2"/>
  <c r="M636" i="2"/>
  <c r="L636" i="2"/>
  <c r="K636" i="2"/>
  <c r="J636" i="2"/>
  <c r="O635" i="2"/>
  <c r="N635" i="2"/>
  <c r="M635" i="2"/>
  <c r="L635" i="2"/>
  <c r="K635" i="2"/>
  <c r="J635" i="2"/>
  <c r="O634" i="2"/>
  <c r="N634" i="2"/>
  <c r="M634" i="2"/>
  <c r="L634" i="2"/>
  <c r="K634" i="2"/>
  <c r="J634" i="2"/>
  <c r="O633" i="2"/>
  <c r="N633" i="2"/>
  <c r="M633" i="2"/>
  <c r="L633" i="2"/>
  <c r="K633" i="2"/>
  <c r="J633" i="2"/>
  <c r="O632" i="2"/>
  <c r="N632" i="2"/>
  <c r="M632" i="2"/>
  <c r="L632" i="2"/>
  <c r="K632" i="2"/>
  <c r="J632" i="2"/>
  <c r="O631" i="2"/>
  <c r="N631" i="2"/>
  <c r="M631" i="2"/>
  <c r="L631" i="2"/>
  <c r="K631" i="2"/>
  <c r="J631" i="2"/>
  <c r="O630" i="2"/>
  <c r="N630" i="2"/>
  <c r="M630" i="2"/>
  <c r="L630" i="2"/>
  <c r="K630" i="2"/>
  <c r="J630" i="2"/>
  <c r="O629" i="2"/>
  <c r="N629" i="2"/>
  <c r="M629" i="2"/>
  <c r="L629" i="2"/>
  <c r="K629" i="2"/>
  <c r="J629" i="2"/>
  <c r="O628" i="2"/>
  <c r="N628" i="2"/>
  <c r="M628" i="2"/>
  <c r="L628" i="2"/>
  <c r="K628" i="2"/>
  <c r="J628" i="2"/>
  <c r="O627" i="2"/>
  <c r="N627" i="2"/>
  <c r="M627" i="2"/>
  <c r="L627" i="2"/>
  <c r="K627" i="2"/>
  <c r="J627" i="2"/>
  <c r="O626" i="2"/>
  <c r="N626" i="2"/>
  <c r="M626" i="2"/>
  <c r="L626" i="2"/>
  <c r="K626" i="2"/>
  <c r="J626" i="2"/>
  <c r="O625" i="2"/>
  <c r="N625" i="2"/>
  <c r="M625" i="2"/>
  <c r="L625" i="2"/>
  <c r="K625" i="2"/>
  <c r="J625" i="2"/>
  <c r="O624" i="2"/>
  <c r="N624" i="2"/>
  <c r="M624" i="2"/>
  <c r="L624" i="2"/>
  <c r="K624" i="2"/>
  <c r="J624" i="2"/>
  <c r="O623" i="2"/>
  <c r="N623" i="2"/>
  <c r="M623" i="2"/>
  <c r="L623" i="2"/>
  <c r="K623" i="2"/>
  <c r="J623" i="2"/>
  <c r="O622" i="2"/>
  <c r="N622" i="2"/>
  <c r="M622" i="2"/>
  <c r="L622" i="2"/>
  <c r="K622" i="2"/>
  <c r="J622" i="2"/>
  <c r="O621" i="2"/>
  <c r="N621" i="2"/>
  <c r="M621" i="2"/>
  <c r="L621" i="2"/>
  <c r="K621" i="2"/>
  <c r="J621" i="2"/>
  <c r="O620" i="2"/>
  <c r="N620" i="2"/>
  <c r="M620" i="2"/>
  <c r="L620" i="2"/>
  <c r="K620" i="2"/>
  <c r="J620" i="2"/>
  <c r="O619" i="2"/>
  <c r="N619" i="2"/>
  <c r="M619" i="2"/>
  <c r="L619" i="2"/>
  <c r="K619" i="2"/>
  <c r="J619" i="2"/>
  <c r="O618" i="2"/>
  <c r="N618" i="2"/>
  <c r="M618" i="2"/>
  <c r="L618" i="2"/>
  <c r="K618" i="2"/>
  <c r="J618" i="2"/>
  <c r="O617" i="2"/>
  <c r="N617" i="2"/>
  <c r="M617" i="2"/>
  <c r="L617" i="2"/>
  <c r="K617" i="2"/>
  <c r="J617" i="2"/>
  <c r="O616" i="2"/>
  <c r="N616" i="2"/>
  <c r="M616" i="2"/>
  <c r="L616" i="2"/>
  <c r="K616" i="2"/>
  <c r="J616" i="2"/>
  <c r="M615" i="2"/>
  <c r="L615" i="2"/>
  <c r="K615" i="2"/>
  <c r="J615" i="2"/>
  <c r="I615" i="2"/>
  <c r="O615" i="2" s="1"/>
  <c r="H615" i="2"/>
  <c r="N615" i="2" s="1"/>
  <c r="O614" i="2"/>
  <c r="N614" i="2"/>
  <c r="M614" i="2"/>
  <c r="L614" i="2"/>
  <c r="K614" i="2"/>
  <c r="J614" i="2"/>
  <c r="O613" i="2"/>
  <c r="N613" i="2"/>
  <c r="M613" i="2"/>
  <c r="L613" i="2"/>
  <c r="K613" i="2"/>
  <c r="J613" i="2"/>
  <c r="O612" i="2"/>
  <c r="N612" i="2"/>
  <c r="M612" i="2"/>
  <c r="L612" i="2"/>
  <c r="K612" i="2"/>
  <c r="J612" i="2"/>
  <c r="O611" i="2"/>
  <c r="N611" i="2"/>
  <c r="M611" i="2"/>
  <c r="L611" i="2"/>
  <c r="K611" i="2"/>
  <c r="J611" i="2"/>
  <c r="O610" i="2"/>
  <c r="N610" i="2"/>
  <c r="M610" i="2"/>
  <c r="L610" i="2"/>
  <c r="K610" i="2"/>
  <c r="J610" i="2"/>
  <c r="O609" i="2"/>
  <c r="N609" i="2"/>
  <c r="M609" i="2"/>
  <c r="L609" i="2"/>
  <c r="K609" i="2"/>
  <c r="J609" i="2"/>
  <c r="M608" i="2"/>
  <c r="L608" i="2"/>
  <c r="K608" i="2"/>
  <c r="J608" i="2"/>
  <c r="I608" i="2"/>
  <c r="O608" i="2" s="1"/>
  <c r="H608" i="2"/>
  <c r="N608" i="2" s="1"/>
  <c r="O607" i="2"/>
  <c r="N607" i="2"/>
  <c r="M607" i="2"/>
  <c r="L607" i="2"/>
  <c r="K607" i="2"/>
  <c r="J607" i="2"/>
  <c r="O606" i="2"/>
  <c r="N606" i="2"/>
  <c r="M606" i="2"/>
  <c r="L606" i="2"/>
  <c r="K606" i="2"/>
  <c r="J606" i="2"/>
  <c r="M605" i="2"/>
  <c r="L605" i="2"/>
  <c r="K605" i="2"/>
  <c r="J605" i="2"/>
  <c r="I605" i="2"/>
  <c r="O605" i="2" s="1"/>
  <c r="H605" i="2"/>
  <c r="N605" i="2" s="1"/>
  <c r="M604" i="2"/>
  <c r="L604" i="2"/>
  <c r="K604" i="2"/>
  <c r="J604" i="2"/>
  <c r="I604" i="2"/>
  <c r="O604" i="2" s="1"/>
  <c r="H604" i="2"/>
  <c r="N604" i="2" s="1"/>
  <c r="M603" i="2"/>
  <c r="L603" i="2"/>
  <c r="K603" i="2"/>
  <c r="J603" i="2"/>
  <c r="I603" i="2"/>
  <c r="O603" i="2" s="1"/>
  <c r="H603" i="2"/>
  <c r="N603" i="2" s="1"/>
  <c r="O602" i="2"/>
  <c r="N602" i="2"/>
  <c r="M602" i="2"/>
  <c r="L602" i="2"/>
  <c r="K602" i="2"/>
  <c r="J602" i="2"/>
  <c r="O601" i="2"/>
  <c r="N601" i="2"/>
  <c r="M601" i="2"/>
  <c r="L601" i="2"/>
  <c r="K601" i="2"/>
  <c r="J601" i="2"/>
  <c r="O600" i="2"/>
  <c r="N600" i="2"/>
  <c r="M600" i="2"/>
  <c r="L600" i="2"/>
  <c r="K600" i="2"/>
  <c r="J600" i="2"/>
  <c r="O599" i="2"/>
  <c r="N599" i="2"/>
  <c r="M599" i="2"/>
  <c r="L599" i="2"/>
  <c r="K599" i="2"/>
  <c r="J599" i="2"/>
  <c r="O598" i="2"/>
  <c r="N598" i="2"/>
  <c r="M598" i="2"/>
  <c r="L598" i="2"/>
  <c r="K598" i="2"/>
  <c r="J598" i="2"/>
  <c r="O597" i="2"/>
  <c r="N597" i="2"/>
  <c r="M597" i="2"/>
  <c r="L597" i="2"/>
  <c r="K597" i="2"/>
  <c r="J597" i="2"/>
  <c r="O596" i="2"/>
  <c r="N596" i="2"/>
  <c r="M596" i="2"/>
  <c r="L596" i="2"/>
  <c r="K596" i="2"/>
  <c r="J596" i="2"/>
  <c r="O595" i="2"/>
  <c r="N595" i="2"/>
  <c r="M595" i="2"/>
  <c r="L595" i="2"/>
  <c r="K595" i="2"/>
  <c r="J595" i="2"/>
  <c r="O594" i="2"/>
  <c r="N594" i="2"/>
  <c r="M594" i="2"/>
  <c r="L594" i="2"/>
  <c r="K594" i="2"/>
  <c r="J594" i="2"/>
  <c r="O593" i="2"/>
  <c r="N593" i="2"/>
  <c r="M593" i="2"/>
  <c r="L593" i="2"/>
  <c r="K593" i="2"/>
  <c r="J593" i="2"/>
  <c r="O592" i="2"/>
  <c r="N592" i="2"/>
  <c r="M592" i="2"/>
  <c r="L592" i="2"/>
  <c r="K592" i="2"/>
  <c r="J592" i="2"/>
  <c r="O591" i="2"/>
  <c r="N591" i="2"/>
  <c r="M591" i="2"/>
  <c r="L591" i="2"/>
  <c r="K591" i="2"/>
  <c r="J591" i="2"/>
  <c r="O590" i="2"/>
  <c r="N590" i="2"/>
  <c r="M590" i="2"/>
  <c r="L590" i="2"/>
  <c r="K590" i="2"/>
  <c r="J590" i="2"/>
  <c r="O589" i="2"/>
  <c r="N589" i="2"/>
  <c r="M589" i="2"/>
  <c r="L589" i="2"/>
  <c r="K589" i="2"/>
  <c r="J589" i="2"/>
  <c r="O588" i="2"/>
  <c r="N588" i="2"/>
  <c r="M588" i="2"/>
  <c r="L588" i="2"/>
  <c r="K588" i="2"/>
  <c r="J588" i="2"/>
  <c r="O587" i="2"/>
  <c r="N587" i="2"/>
  <c r="M587" i="2"/>
  <c r="L587" i="2"/>
  <c r="K587" i="2"/>
  <c r="J587" i="2"/>
  <c r="O586" i="2"/>
  <c r="N586" i="2"/>
  <c r="M586" i="2"/>
  <c r="L586" i="2"/>
  <c r="K586" i="2"/>
  <c r="J586" i="2"/>
  <c r="O585" i="2"/>
  <c r="N585" i="2"/>
  <c r="M585" i="2"/>
  <c r="L585" i="2"/>
  <c r="K585" i="2"/>
  <c r="J585" i="2"/>
  <c r="O584" i="2"/>
  <c r="N584" i="2"/>
  <c r="M584" i="2"/>
  <c r="L584" i="2"/>
  <c r="K584" i="2"/>
  <c r="J584" i="2"/>
  <c r="O583" i="2"/>
  <c r="N583" i="2"/>
  <c r="M583" i="2"/>
  <c r="L583" i="2"/>
  <c r="K583" i="2"/>
  <c r="J583" i="2"/>
  <c r="O582" i="2"/>
  <c r="N582" i="2"/>
  <c r="M582" i="2"/>
  <c r="L582" i="2"/>
  <c r="K582" i="2"/>
  <c r="J582" i="2"/>
  <c r="O581" i="2"/>
  <c r="N581" i="2"/>
  <c r="M581" i="2"/>
  <c r="L581" i="2"/>
  <c r="K581" i="2"/>
  <c r="J581" i="2"/>
  <c r="O580" i="2"/>
  <c r="N580" i="2"/>
  <c r="M580" i="2"/>
  <c r="L580" i="2"/>
  <c r="K580" i="2"/>
  <c r="J580" i="2"/>
  <c r="O579" i="2"/>
  <c r="N579" i="2"/>
  <c r="M579" i="2"/>
  <c r="L579" i="2"/>
  <c r="K579" i="2"/>
  <c r="J579" i="2"/>
  <c r="O578" i="2"/>
  <c r="N578" i="2"/>
  <c r="M578" i="2"/>
  <c r="L578" i="2"/>
  <c r="K578" i="2"/>
  <c r="J578" i="2"/>
  <c r="O577" i="2"/>
  <c r="N577" i="2"/>
  <c r="M577" i="2"/>
  <c r="L577" i="2"/>
  <c r="K577" i="2"/>
  <c r="J577" i="2"/>
  <c r="O576" i="2"/>
  <c r="N576" i="2"/>
  <c r="M576" i="2"/>
  <c r="L576" i="2"/>
  <c r="K576" i="2"/>
  <c r="J576" i="2"/>
  <c r="O575" i="2"/>
  <c r="N575" i="2"/>
  <c r="M575" i="2"/>
  <c r="L575" i="2"/>
  <c r="K575" i="2"/>
  <c r="J575" i="2"/>
  <c r="O574" i="2"/>
  <c r="N574" i="2"/>
  <c r="M574" i="2"/>
  <c r="L574" i="2"/>
  <c r="K574" i="2"/>
  <c r="J574" i="2"/>
  <c r="O573" i="2"/>
  <c r="N573" i="2"/>
  <c r="M573" i="2"/>
  <c r="L573" i="2"/>
  <c r="K573" i="2"/>
  <c r="J573" i="2"/>
  <c r="O572" i="2"/>
  <c r="N572" i="2"/>
  <c r="M572" i="2"/>
  <c r="L572" i="2"/>
  <c r="K572" i="2"/>
  <c r="J572" i="2"/>
  <c r="O571" i="2"/>
  <c r="N571" i="2"/>
  <c r="M571" i="2"/>
  <c r="L571" i="2"/>
  <c r="K571" i="2"/>
  <c r="J571" i="2"/>
  <c r="O570" i="2"/>
  <c r="N570" i="2"/>
  <c r="M570" i="2"/>
  <c r="L570" i="2"/>
  <c r="K570" i="2"/>
  <c r="J570" i="2"/>
  <c r="O569" i="2"/>
  <c r="N569" i="2"/>
  <c r="M569" i="2"/>
  <c r="L569" i="2"/>
  <c r="K569" i="2"/>
  <c r="J569" i="2"/>
  <c r="O568" i="2"/>
  <c r="N568" i="2"/>
  <c r="M568" i="2"/>
  <c r="L568" i="2"/>
  <c r="K568" i="2"/>
  <c r="J568" i="2"/>
  <c r="O567" i="2"/>
  <c r="N567" i="2"/>
  <c r="M567" i="2"/>
  <c r="L567" i="2"/>
  <c r="K567" i="2"/>
  <c r="J567" i="2"/>
  <c r="O566" i="2"/>
  <c r="N566" i="2"/>
  <c r="M566" i="2"/>
  <c r="L566" i="2"/>
  <c r="K566" i="2"/>
  <c r="J566" i="2"/>
  <c r="O565" i="2"/>
  <c r="N565" i="2"/>
  <c r="M565" i="2"/>
  <c r="L565" i="2"/>
  <c r="K565" i="2"/>
  <c r="J565" i="2"/>
  <c r="O564" i="2"/>
  <c r="N564" i="2"/>
  <c r="M564" i="2"/>
  <c r="L564" i="2"/>
  <c r="K564" i="2"/>
  <c r="J564" i="2"/>
  <c r="O563" i="2"/>
  <c r="N563" i="2"/>
  <c r="M563" i="2"/>
  <c r="L563" i="2"/>
  <c r="K563" i="2"/>
  <c r="J563" i="2"/>
  <c r="O562" i="2"/>
  <c r="N562" i="2"/>
  <c r="M562" i="2"/>
  <c r="L562" i="2"/>
  <c r="K562" i="2"/>
  <c r="J562" i="2"/>
  <c r="O561" i="2"/>
  <c r="N561" i="2"/>
  <c r="M561" i="2"/>
  <c r="L561" i="2"/>
  <c r="K561" i="2"/>
  <c r="J561" i="2"/>
  <c r="O560" i="2"/>
  <c r="N560" i="2"/>
  <c r="M560" i="2"/>
  <c r="L560" i="2"/>
  <c r="K560" i="2"/>
  <c r="J560" i="2"/>
  <c r="O559" i="2"/>
  <c r="N559" i="2"/>
  <c r="M559" i="2"/>
  <c r="L559" i="2"/>
  <c r="K559" i="2"/>
  <c r="J559" i="2"/>
  <c r="O558" i="2"/>
  <c r="N558" i="2"/>
  <c r="M558" i="2"/>
  <c r="L558" i="2"/>
  <c r="K558" i="2"/>
  <c r="J558" i="2"/>
  <c r="O557" i="2"/>
  <c r="N557" i="2"/>
  <c r="M557" i="2"/>
  <c r="L557" i="2"/>
  <c r="K557" i="2"/>
  <c r="J557" i="2"/>
  <c r="O556" i="2"/>
  <c r="N556" i="2"/>
  <c r="M556" i="2"/>
  <c r="L556" i="2"/>
  <c r="K556" i="2"/>
  <c r="J556" i="2"/>
  <c r="O555" i="2"/>
  <c r="N555" i="2"/>
  <c r="M555" i="2"/>
  <c r="L555" i="2"/>
  <c r="K555" i="2"/>
  <c r="J555" i="2"/>
  <c r="O554" i="2"/>
  <c r="N554" i="2"/>
  <c r="M554" i="2"/>
  <c r="L554" i="2"/>
  <c r="K554" i="2"/>
  <c r="J554" i="2"/>
  <c r="O553" i="2"/>
  <c r="N553" i="2"/>
  <c r="M553" i="2"/>
  <c r="L553" i="2"/>
  <c r="K553" i="2"/>
  <c r="J553" i="2"/>
  <c r="M552" i="2"/>
  <c r="L552" i="2"/>
  <c r="K552" i="2"/>
  <c r="J552" i="2"/>
  <c r="I552" i="2"/>
  <c r="O552" i="2" s="1"/>
  <c r="H552" i="2"/>
  <c r="N552" i="2" s="1"/>
  <c r="O551" i="2"/>
  <c r="N551" i="2"/>
  <c r="M551" i="2"/>
  <c r="L551" i="2"/>
  <c r="K551" i="2"/>
  <c r="J551" i="2"/>
  <c r="O550" i="2"/>
  <c r="N550" i="2"/>
  <c r="M550" i="2"/>
  <c r="L550" i="2"/>
  <c r="K550" i="2"/>
  <c r="J550" i="2"/>
  <c r="O549" i="2"/>
  <c r="N549" i="2"/>
  <c r="M549" i="2"/>
  <c r="L549" i="2"/>
  <c r="K549" i="2"/>
  <c r="J549" i="2"/>
  <c r="O548" i="2"/>
  <c r="N548" i="2"/>
  <c r="M548" i="2"/>
  <c r="L548" i="2"/>
  <c r="K548" i="2"/>
  <c r="J548" i="2"/>
  <c r="M547" i="2"/>
  <c r="L547" i="2"/>
  <c r="K547" i="2"/>
  <c r="J547" i="2"/>
  <c r="I547" i="2"/>
  <c r="O547" i="2" s="1"/>
  <c r="H547" i="2"/>
  <c r="N547" i="2" s="1"/>
  <c r="O546" i="2"/>
  <c r="N546" i="2"/>
  <c r="M546" i="2"/>
  <c r="L546" i="2"/>
  <c r="K546" i="2"/>
  <c r="J546" i="2"/>
  <c r="O545" i="2"/>
  <c r="N545" i="2"/>
  <c r="M545" i="2"/>
  <c r="L545" i="2"/>
  <c r="K545" i="2"/>
  <c r="J545" i="2"/>
  <c r="M544" i="2"/>
  <c r="L544" i="2"/>
  <c r="K544" i="2"/>
  <c r="J544" i="2"/>
  <c r="I544" i="2"/>
  <c r="O544" i="2" s="1"/>
  <c r="H544" i="2"/>
  <c r="N544" i="2" s="1"/>
  <c r="M543" i="2"/>
  <c r="L543" i="2"/>
  <c r="K543" i="2"/>
  <c r="J543" i="2"/>
  <c r="I543" i="2"/>
  <c r="O543" i="2" s="1"/>
  <c r="H543" i="2"/>
  <c r="N543" i="2" s="1"/>
  <c r="M542" i="2"/>
  <c r="L542" i="2"/>
  <c r="K542" i="2"/>
  <c r="J542" i="2"/>
  <c r="I542" i="2"/>
  <c r="O542" i="2" s="1"/>
  <c r="H542" i="2"/>
  <c r="N542" i="2" s="1"/>
  <c r="O541" i="2"/>
  <c r="N541" i="2"/>
  <c r="M541" i="2"/>
  <c r="L541" i="2"/>
  <c r="K541" i="2"/>
  <c r="J541" i="2"/>
  <c r="O540" i="2"/>
  <c r="N540" i="2"/>
  <c r="M540" i="2"/>
  <c r="L540" i="2"/>
  <c r="K540" i="2"/>
  <c r="J540" i="2"/>
  <c r="O539" i="2"/>
  <c r="N539" i="2"/>
  <c r="M539" i="2"/>
  <c r="L539" i="2"/>
  <c r="K539" i="2"/>
  <c r="J539" i="2"/>
  <c r="O538" i="2"/>
  <c r="N538" i="2"/>
  <c r="M538" i="2"/>
  <c r="L538" i="2"/>
  <c r="K538" i="2"/>
  <c r="J538" i="2"/>
  <c r="O537" i="2"/>
  <c r="N537" i="2"/>
  <c r="M537" i="2"/>
  <c r="L537" i="2"/>
  <c r="K537" i="2"/>
  <c r="J537" i="2"/>
  <c r="O536" i="2"/>
  <c r="N536" i="2"/>
  <c r="M536" i="2"/>
  <c r="L536" i="2"/>
  <c r="K536" i="2"/>
  <c r="J536" i="2"/>
  <c r="O535" i="2"/>
  <c r="N535" i="2"/>
  <c r="M535" i="2"/>
  <c r="L535" i="2"/>
  <c r="K535" i="2"/>
  <c r="J535" i="2"/>
  <c r="O534" i="2"/>
  <c r="N534" i="2"/>
  <c r="M534" i="2"/>
  <c r="L534" i="2"/>
  <c r="K534" i="2"/>
  <c r="J534" i="2"/>
  <c r="O533" i="2"/>
  <c r="N533" i="2"/>
  <c r="M533" i="2"/>
  <c r="L533" i="2"/>
  <c r="K533" i="2"/>
  <c r="J533" i="2"/>
  <c r="O532" i="2"/>
  <c r="N532" i="2"/>
  <c r="M532" i="2"/>
  <c r="L532" i="2"/>
  <c r="K532" i="2"/>
  <c r="J532" i="2"/>
  <c r="O531" i="2"/>
  <c r="N531" i="2"/>
  <c r="M531" i="2"/>
  <c r="L531" i="2"/>
  <c r="K531" i="2"/>
  <c r="J531" i="2"/>
  <c r="O530" i="2"/>
  <c r="N530" i="2"/>
  <c r="M530" i="2"/>
  <c r="L530" i="2"/>
  <c r="K530" i="2"/>
  <c r="J530" i="2"/>
  <c r="O529" i="2"/>
  <c r="N529" i="2"/>
  <c r="M529" i="2"/>
  <c r="L529" i="2"/>
  <c r="K529" i="2"/>
  <c r="J529" i="2"/>
  <c r="O528" i="2"/>
  <c r="N528" i="2"/>
  <c r="M528" i="2"/>
  <c r="L528" i="2"/>
  <c r="K528" i="2"/>
  <c r="J528" i="2"/>
  <c r="O527" i="2"/>
  <c r="N527" i="2"/>
  <c r="M527" i="2"/>
  <c r="L527" i="2"/>
  <c r="K527" i="2"/>
  <c r="J527" i="2"/>
  <c r="O526" i="2"/>
  <c r="N526" i="2"/>
  <c r="M526" i="2"/>
  <c r="L526" i="2"/>
  <c r="K526" i="2"/>
  <c r="J526" i="2"/>
  <c r="O525" i="2"/>
  <c r="N525" i="2"/>
  <c r="M525" i="2"/>
  <c r="L525" i="2"/>
  <c r="K525" i="2"/>
  <c r="J525" i="2"/>
  <c r="O524" i="2"/>
  <c r="N524" i="2"/>
  <c r="M524" i="2"/>
  <c r="L524" i="2"/>
  <c r="K524" i="2"/>
  <c r="J524" i="2"/>
  <c r="O523" i="2"/>
  <c r="N523" i="2"/>
  <c r="M523" i="2"/>
  <c r="L523" i="2"/>
  <c r="K523" i="2"/>
  <c r="J523" i="2"/>
  <c r="O522" i="2"/>
  <c r="N522" i="2"/>
  <c r="M522" i="2"/>
  <c r="L522" i="2"/>
  <c r="K522" i="2"/>
  <c r="J522" i="2"/>
  <c r="O521" i="2"/>
  <c r="N521" i="2"/>
  <c r="M521" i="2"/>
  <c r="L521" i="2"/>
  <c r="K521" i="2"/>
  <c r="J521" i="2"/>
  <c r="O520" i="2"/>
  <c r="N520" i="2"/>
  <c r="M520" i="2"/>
  <c r="L520" i="2"/>
  <c r="K520" i="2"/>
  <c r="J520" i="2"/>
  <c r="O519" i="2"/>
  <c r="N519" i="2"/>
  <c r="M519" i="2"/>
  <c r="L519" i="2"/>
  <c r="K519" i="2"/>
  <c r="J519" i="2"/>
  <c r="O518" i="2"/>
  <c r="N518" i="2"/>
  <c r="M518" i="2"/>
  <c r="L518" i="2"/>
  <c r="K518" i="2"/>
  <c r="J518" i="2"/>
  <c r="O517" i="2"/>
  <c r="N517" i="2"/>
  <c r="M517" i="2"/>
  <c r="L517" i="2"/>
  <c r="K517" i="2"/>
  <c r="J517" i="2"/>
  <c r="O516" i="2"/>
  <c r="N516" i="2"/>
  <c r="M516" i="2"/>
  <c r="L516" i="2"/>
  <c r="K516" i="2"/>
  <c r="J516" i="2"/>
  <c r="O515" i="2"/>
  <c r="N515" i="2"/>
  <c r="M515" i="2"/>
  <c r="L515" i="2"/>
  <c r="K515" i="2"/>
  <c r="J515" i="2"/>
  <c r="O514" i="2"/>
  <c r="N514" i="2"/>
  <c r="M514" i="2"/>
  <c r="L514" i="2"/>
  <c r="K514" i="2"/>
  <c r="J514" i="2"/>
  <c r="O513" i="2"/>
  <c r="N513" i="2"/>
  <c r="M513" i="2"/>
  <c r="L513" i="2"/>
  <c r="K513" i="2"/>
  <c r="J513" i="2"/>
  <c r="O512" i="2"/>
  <c r="N512" i="2"/>
  <c r="M512" i="2"/>
  <c r="L512" i="2"/>
  <c r="K512" i="2"/>
  <c r="J512" i="2"/>
  <c r="O511" i="2"/>
  <c r="N511" i="2"/>
  <c r="M511" i="2"/>
  <c r="L511" i="2"/>
  <c r="K511" i="2"/>
  <c r="J511" i="2"/>
  <c r="O510" i="2"/>
  <c r="N510" i="2"/>
  <c r="M510" i="2"/>
  <c r="L510" i="2"/>
  <c r="K510" i="2"/>
  <c r="J510" i="2"/>
  <c r="O509" i="2"/>
  <c r="N509" i="2"/>
  <c r="M509" i="2"/>
  <c r="L509" i="2"/>
  <c r="K509" i="2"/>
  <c r="J509" i="2"/>
  <c r="O508" i="2"/>
  <c r="N508" i="2"/>
  <c r="M508" i="2"/>
  <c r="L508" i="2"/>
  <c r="K508" i="2"/>
  <c r="J508" i="2"/>
  <c r="O507" i="2"/>
  <c r="N507" i="2"/>
  <c r="M507" i="2"/>
  <c r="L507" i="2"/>
  <c r="K507" i="2"/>
  <c r="J507" i="2"/>
  <c r="O506" i="2"/>
  <c r="N506" i="2"/>
  <c r="M506" i="2"/>
  <c r="L506" i="2"/>
  <c r="K506" i="2"/>
  <c r="J506" i="2"/>
  <c r="O505" i="2"/>
  <c r="N505" i="2"/>
  <c r="M505" i="2"/>
  <c r="L505" i="2"/>
  <c r="K505" i="2"/>
  <c r="J505" i="2"/>
  <c r="O504" i="2"/>
  <c r="N504" i="2"/>
  <c r="M504" i="2"/>
  <c r="L504" i="2"/>
  <c r="K504" i="2"/>
  <c r="J504" i="2"/>
  <c r="O503" i="2"/>
  <c r="N503" i="2"/>
  <c r="M503" i="2"/>
  <c r="L503" i="2"/>
  <c r="K503" i="2"/>
  <c r="J503" i="2"/>
  <c r="O502" i="2"/>
  <c r="N502" i="2"/>
  <c r="M502" i="2"/>
  <c r="L502" i="2"/>
  <c r="K502" i="2"/>
  <c r="J502" i="2"/>
  <c r="O501" i="2"/>
  <c r="N501" i="2"/>
  <c r="M501" i="2"/>
  <c r="L501" i="2"/>
  <c r="K501" i="2"/>
  <c r="J501" i="2"/>
  <c r="O500" i="2"/>
  <c r="N500" i="2"/>
  <c r="M500" i="2"/>
  <c r="L500" i="2"/>
  <c r="K500" i="2"/>
  <c r="J500" i="2"/>
  <c r="O499" i="2"/>
  <c r="N499" i="2"/>
  <c r="M499" i="2"/>
  <c r="L499" i="2"/>
  <c r="K499" i="2"/>
  <c r="J499" i="2"/>
  <c r="O498" i="2"/>
  <c r="N498" i="2"/>
  <c r="M498" i="2"/>
  <c r="L498" i="2"/>
  <c r="K498" i="2"/>
  <c r="J498" i="2"/>
  <c r="O497" i="2"/>
  <c r="N497" i="2"/>
  <c r="M497" i="2"/>
  <c r="L497" i="2"/>
  <c r="K497" i="2"/>
  <c r="J497" i="2"/>
  <c r="O496" i="2"/>
  <c r="N496" i="2"/>
  <c r="M496" i="2"/>
  <c r="L496" i="2"/>
  <c r="K496" i="2"/>
  <c r="J496" i="2"/>
  <c r="O495" i="2"/>
  <c r="N495" i="2"/>
  <c r="M495" i="2"/>
  <c r="L495" i="2"/>
  <c r="K495" i="2"/>
  <c r="J495" i="2"/>
  <c r="O494" i="2"/>
  <c r="N494" i="2"/>
  <c r="M494" i="2"/>
  <c r="L494" i="2"/>
  <c r="K494" i="2"/>
  <c r="J494" i="2"/>
  <c r="O493" i="2"/>
  <c r="N493" i="2"/>
  <c r="M493" i="2"/>
  <c r="L493" i="2"/>
  <c r="K493" i="2"/>
  <c r="J493" i="2"/>
  <c r="O492" i="2"/>
  <c r="N492" i="2"/>
  <c r="M492" i="2"/>
  <c r="L492" i="2"/>
  <c r="K492" i="2"/>
  <c r="J492" i="2"/>
  <c r="O491" i="2"/>
  <c r="N491" i="2"/>
  <c r="M491" i="2"/>
  <c r="L491" i="2"/>
  <c r="K491" i="2"/>
  <c r="J491" i="2"/>
  <c r="O490" i="2"/>
  <c r="N490" i="2"/>
  <c r="M490" i="2"/>
  <c r="L490" i="2"/>
  <c r="K490" i="2"/>
  <c r="J490" i="2"/>
  <c r="O489" i="2"/>
  <c r="N489" i="2"/>
  <c r="M489" i="2"/>
  <c r="L489" i="2"/>
  <c r="K489" i="2"/>
  <c r="J489" i="2"/>
  <c r="O488" i="2"/>
  <c r="N488" i="2"/>
  <c r="M488" i="2"/>
  <c r="L488" i="2"/>
  <c r="K488" i="2"/>
  <c r="J488" i="2"/>
  <c r="O487" i="2"/>
  <c r="N487" i="2"/>
  <c r="M487" i="2"/>
  <c r="L487" i="2"/>
  <c r="K487" i="2"/>
  <c r="J487" i="2"/>
  <c r="O486" i="2"/>
  <c r="N486" i="2"/>
  <c r="M486" i="2"/>
  <c r="L486" i="2"/>
  <c r="K486" i="2"/>
  <c r="J486" i="2"/>
  <c r="O485" i="2"/>
  <c r="N485" i="2"/>
  <c r="M485" i="2"/>
  <c r="L485" i="2"/>
  <c r="K485" i="2"/>
  <c r="J485" i="2"/>
  <c r="O484" i="2"/>
  <c r="N484" i="2"/>
  <c r="M484" i="2"/>
  <c r="L484" i="2"/>
  <c r="K484" i="2"/>
  <c r="J484" i="2"/>
  <c r="O483" i="2"/>
  <c r="N483" i="2"/>
  <c r="M483" i="2"/>
  <c r="L483" i="2"/>
  <c r="K483" i="2"/>
  <c r="J483" i="2"/>
  <c r="O482" i="2"/>
  <c r="N482" i="2"/>
  <c r="M482" i="2"/>
  <c r="L482" i="2"/>
  <c r="K482" i="2"/>
  <c r="J482" i="2"/>
  <c r="O481" i="2"/>
  <c r="N481" i="2"/>
  <c r="M481" i="2"/>
  <c r="L481" i="2"/>
  <c r="K481" i="2"/>
  <c r="J481" i="2"/>
  <c r="O480" i="2"/>
  <c r="N480" i="2"/>
  <c r="M480" i="2"/>
  <c r="L480" i="2"/>
  <c r="K480" i="2"/>
  <c r="J480" i="2"/>
  <c r="O479" i="2"/>
  <c r="N479" i="2"/>
  <c r="M479" i="2"/>
  <c r="L479" i="2"/>
  <c r="K479" i="2"/>
  <c r="J479" i="2"/>
  <c r="O478" i="2"/>
  <c r="N478" i="2"/>
  <c r="M478" i="2"/>
  <c r="L478" i="2"/>
  <c r="K478" i="2"/>
  <c r="J478" i="2"/>
  <c r="O477" i="2"/>
  <c r="N477" i="2"/>
  <c r="M477" i="2"/>
  <c r="L477" i="2"/>
  <c r="K477" i="2"/>
  <c r="J477" i="2"/>
  <c r="O476" i="2"/>
  <c r="N476" i="2"/>
  <c r="M476" i="2"/>
  <c r="L476" i="2"/>
  <c r="K476" i="2"/>
  <c r="J476" i="2"/>
  <c r="O475" i="2"/>
  <c r="N475" i="2"/>
  <c r="M475" i="2"/>
  <c r="L475" i="2"/>
  <c r="K475" i="2"/>
  <c r="J475" i="2"/>
  <c r="O474" i="2"/>
  <c r="N474" i="2"/>
  <c r="M474" i="2"/>
  <c r="L474" i="2"/>
  <c r="K474" i="2"/>
  <c r="J474" i="2"/>
  <c r="O473" i="2"/>
  <c r="N473" i="2"/>
  <c r="M473" i="2"/>
  <c r="L473" i="2"/>
  <c r="K473" i="2"/>
  <c r="J473" i="2"/>
  <c r="O472" i="2"/>
  <c r="N472" i="2"/>
  <c r="M472" i="2"/>
  <c r="L472" i="2"/>
  <c r="K472" i="2"/>
  <c r="J472" i="2"/>
  <c r="O471" i="2"/>
  <c r="N471" i="2"/>
  <c r="M471" i="2"/>
  <c r="L471" i="2"/>
  <c r="K471" i="2"/>
  <c r="J471" i="2"/>
  <c r="O470" i="2"/>
  <c r="N470" i="2"/>
  <c r="M470" i="2"/>
  <c r="L470" i="2"/>
  <c r="K470" i="2"/>
  <c r="J470" i="2"/>
  <c r="O469" i="2"/>
  <c r="N469" i="2"/>
  <c r="M469" i="2"/>
  <c r="L469" i="2"/>
  <c r="K469" i="2"/>
  <c r="J469" i="2"/>
  <c r="O468" i="2"/>
  <c r="N468" i="2"/>
  <c r="M468" i="2"/>
  <c r="L468" i="2"/>
  <c r="K468" i="2"/>
  <c r="J468" i="2"/>
  <c r="O467" i="2"/>
  <c r="N467" i="2"/>
  <c r="M467" i="2"/>
  <c r="L467" i="2"/>
  <c r="K467" i="2"/>
  <c r="J467" i="2"/>
  <c r="O466" i="2"/>
  <c r="N466" i="2"/>
  <c r="M466" i="2"/>
  <c r="L466" i="2"/>
  <c r="K466" i="2"/>
  <c r="J466" i="2"/>
  <c r="O465" i="2"/>
  <c r="N465" i="2"/>
  <c r="M465" i="2"/>
  <c r="L465" i="2"/>
  <c r="K465" i="2"/>
  <c r="J465" i="2"/>
  <c r="O464" i="2"/>
  <c r="N464" i="2"/>
  <c r="M464" i="2"/>
  <c r="L464" i="2"/>
  <c r="K464" i="2"/>
  <c r="J464" i="2"/>
  <c r="O463" i="2"/>
  <c r="N463" i="2"/>
  <c r="M463" i="2"/>
  <c r="L463" i="2"/>
  <c r="K463" i="2"/>
  <c r="J463" i="2"/>
  <c r="O462" i="2"/>
  <c r="N462" i="2"/>
  <c r="M462" i="2"/>
  <c r="L462" i="2"/>
  <c r="K462" i="2"/>
  <c r="J462" i="2"/>
  <c r="O461" i="2"/>
  <c r="N461" i="2"/>
  <c r="M461" i="2"/>
  <c r="L461" i="2"/>
  <c r="K461" i="2"/>
  <c r="J461" i="2"/>
  <c r="O460" i="2"/>
  <c r="N460" i="2"/>
  <c r="M460" i="2"/>
  <c r="L460" i="2"/>
  <c r="K460" i="2"/>
  <c r="J460" i="2"/>
  <c r="O459" i="2"/>
  <c r="N459" i="2"/>
  <c r="M459" i="2"/>
  <c r="L459" i="2"/>
  <c r="K459" i="2"/>
  <c r="J459" i="2"/>
  <c r="O458" i="2"/>
  <c r="N458" i="2"/>
  <c r="M458" i="2"/>
  <c r="L458" i="2"/>
  <c r="K458" i="2"/>
  <c r="J458" i="2"/>
  <c r="O457" i="2"/>
  <c r="N457" i="2"/>
  <c r="M457" i="2"/>
  <c r="L457" i="2"/>
  <c r="K457" i="2"/>
  <c r="J457" i="2"/>
  <c r="O456" i="2"/>
  <c r="N456" i="2"/>
  <c r="M456" i="2"/>
  <c r="L456" i="2"/>
  <c r="K456" i="2"/>
  <c r="J456" i="2"/>
  <c r="O455" i="2"/>
  <c r="N455" i="2"/>
  <c r="M455" i="2"/>
  <c r="L455" i="2"/>
  <c r="K455" i="2"/>
  <c r="J455" i="2"/>
  <c r="O454" i="2"/>
  <c r="N454" i="2"/>
  <c r="M454" i="2"/>
  <c r="L454" i="2"/>
  <c r="K454" i="2"/>
  <c r="J454" i="2"/>
  <c r="O453" i="2"/>
  <c r="N453" i="2"/>
  <c r="M453" i="2"/>
  <c r="L453" i="2"/>
  <c r="K453" i="2"/>
  <c r="J453" i="2"/>
  <c r="O452" i="2"/>
  <c r="N452" i="2"/>
  <c r="M452" i="2"/>
  <c r="L452" i="2"/>
  <c r="K452" i="2"/>
  <c r="J452" i="2"/>
  <c r="O451" i="2"/>
  <c r="N451" i="2"/>
  <c r="M451" i="2"/>
  <c r="L451" i="2"/>
  <c r="K451" i="2"/>
  <c r="J451" i="2"/>
  <c r="O450" i="2"/>
  <c r="N450" i="2"/>
  <c r="M450" i="2"/>
  <c r="L450" i="2"/>
  <c r="K450" i="2"/>
  <c r="J450" i="2"/>
  <c r="O449" i="2"/>
  <c r="N449" i="2"/>
  <c r="M449" i="2"/>
  <c r="L449" i="2"/>
  <c r="K449" i="2"/>
  <c r="J449" i="2"/>
  <c r="O448" i="2"/>
  <c r="N448" i="2"/>
  <c r="M448" i="2"/>
  <c r="L448" i="2"/>
  <c r="K448" i="2"/>
  <c r="J448" i="2"/>
  <c r="O447" i="2"/>
  <c r="N447" i="2"/>
  <c r="M447" i="2"/>
  <c r="L447" i="2"/>
  <c r="K447" i="2"/>
  <c r="J447" i="2"/>
  <c r="O446" i="2"/>
  <c r="N446" i="2"/>
  <c r="M446" i="2"/>
  <c r="L446" i="2"/>
  <c r="K446" i="2"/>
  <c r="J446" i="2"/>
  <c r="O445" i="2"/>
  <c r="N445" i="2"/>
  <c r="M445" i="2"/>
  <c r="L445" i="2"/>
  <c r="K445" i="2"/>
  <c r="J445" i="2"/>
  <c r="O444" i="2"/>
  <c r="N444" i="2"/>
  <c r="M444" i="2"/>
  <c r="L444" i="2"/>
  <c r="K444" i="2"/>
  <c r="J444" i="2"/>
  <c r="O443" i="2"/>
  <c r="N443" i="2"/>
  <c r="M443" i="2"/>
  <c r="L443" i="2"/>
  <c r="K443" i="2"/>
  <c r="J443" i="2"/>
  <c r="O442" i="2"/>
  <c r="N442" i="2"/>
  <c r="M442" i="2"/>
  <c r="L442" i="2"/>
  <c r="K442" i="2"/>
  <c r="J442" i="2"/>
  <c r="O441" i="2"/>
  <c r="N441" i="2"/>
  <c r="M441" i="2"/>
  <c r="L441" i="2"/>
  <c r="K441" i="2"/>
  <c r="J441" i="2"/>
  <c r="O440" i="2"/>
  <c r="N440" i="2"/>
  <c r="M440" i="2"/>
  <c r="L440" i="2"/>
  <c r="K440" i="2"/>
  <c r="J440" i="2"/>
  <c r="O439" i="2"/>
  <c r="N439" i="2"/>
  <c r="M439" i="2"/>
  <c r="L439" i="2"/>
  <c r="K439" i="2"/>
  <c r="J439" i="2"/>
  <c r="O438" i="2"/>
  <c r="N438" i="2"/>
  <c r="M438" i="2"/>
  <c r="L438" i="2"/>
  <c r="K438" i="2"/>
  <c r="J438" i="2"/>
  <c r="O437" i="2"/>
  <c r="N437" i="2"/>
  <c r="M437" i="2"/>
  <c r="L437" i="2"/>
  <c r="K437" i="2"/>
  <c r="J437" i="2"/>
  <c r="O436" i="2"/>
  <c r="N436" i="2"/>
  <c r="M436" i="2"/>
  <c r="L436" i="2"/>
  <c r="K436" i="2"/>
  <c r="J436" i="2"/>
  <c r="O435" i="2"/>
  <c r="N435" i="2"/>
  <c r="M435" i="2"/>
  <c r="L435" i="2"/>
  <c r="K435" i="2"/>
  <c r="J435" i="2"/>
  <c r="O434" i="2"/>
  <c r="N434" i="2"/>
  <c r="M434" i="2"/>
  <c r="L434" i="2"/>
  <c r="K434" i="2"/>
  <c r="J434" i="2"/>
  <c r="O433" i="2"/>
  <c r="N433" i="2"/>
  <c r="M433" i="2"/>
  <c r="L433" i="2"/>
  <c r="K433" i="2"/>
  <c r="J433" i="2"/>
  <c r="O432" i="2"/>
  <c r="N432" i="2"/>
  <c r="M432" i="2"/>
  <c r="L432" i="2"/>
  <c r="K432" i="2"/>
  <c r="J432" i="2"/>
  <c r="O431" i="2"/>
  <c r="N431" i="2"/>
  <c r="M431" i="2"/>
  <c r="L431" i="2"/>
  <c r="K431" i="2"/>
  <c r="J431" i="2"/>
  <c r="O430" i="2"/>
  <c r="N430" i="2"/>
  <c r="M430" i="2"/>
  <c r="L430" i="2"/>
  <c r="K430" i="2"/>
  <c r="J430" i="2"/>
  <c r="O429" i="2"/>
  <c r="N429" i="2"/>
  <c r="M429" i="2"/>
  <c r="L429" i="2"/>
  <c r="K429" i="2"/>
  <c r="J429" i="2"/>
  <c r="O428" i="2"/>
  <c r="N428" i="2"/>
  <c r="M428" i="2"/>
  <c r="L428" i="2"/>
  <c r="K428" i="2"/>
  <c r="J428" i="2"/>
  <c r="O427" i="2"/>
  <c r="N427" i="2"/>
  <c r="M427" i="2"/>
  <c r="L427" i="2"/>
  <c r="K427" i="2"/>
  <c r="J427" i="2"/>
  <c r="O426" i="2"/>
  <c r="N426" i="2"/>
  <c r="M426" i="2"/>
  <c r="L426" i="2"/>
  <c r="K426" i="2"/>
  <c r="J426" i="2"/>
  <c r="O425" i="2"/>
  <c r="N425" i="2"/>
  <c r="M425" i="2"/>
  <c r="L425" i="2"/>
  <c r="K425" i="2"/>
  <c r="J425" i="2"/>
  <c r="O424" i="2"/>
  <c r="N424" i="2"/>
  <c r="M424" i="2"/>
  <c r="L424" i="2"/>
  <c r="K424" i="2"/>
  <c r="J424" i="2"/>
  <c r="O423" i="2"/>
  <c r="N423" i="2"/>
  <c r="M423" i="2"/>
  <c r="L423" i="2"/>
  <c r="K423" i="2"/>
  <c r="J423" i="2"/>
  <c r="O422" i="2"/>
  <c r="N422" i="2"/>
  <c r="M422" i="2"/>
  <c r="L422" i="2"/>
  <c r="K422" i="2"/>
  <c r="J422" i="2"/>
  <c r="O421" i="2"/>
  <c r="N421" i="2"/>
  <c r="M421" i="2"/>
  <c r="L421" i="2"/>
  <c r="K421" i="2"/>
  <c r="J421" i="2"/>
  <c r="O420" i="2"/>
  <c r="N420" i="2"/>
  <c r="M420" i="2"/>
  <c r="L420" i="2"/>
  <c r="K420" i="2"/>
  <c r="J420" i="2"/>
  <c r="O419" i="2"/>
  <c r="N419" i="2"/>
  <c r="M419" i="2"/>
  <c r="L419" i="2"/>
  <c r="K419" i="2"/>
  <c r="J419" i="2"/>
  <c r="O418" i="2"/>
  <c r="N418" i="2"/>
  <c r="M418" i="2"/>
  <c r="L418" i="2"/>
  <c r="K418" i="2"/>
  <c r="J418" i="2"/>
  <c r="O417" i="2"/>
  <c r="N417" i="2"/>
  <c r="M417" i="2"/>
  <c r="L417" i="2"/>
  <c r="K417" i="2"/>
  <c r="J417" i="2"/>
  <c r="O416" i="2"/>
  <c r="N416" i="2"/>
  <c r="M416" i="2"/>
  <c r="L416" i="2"/>
  <c r="K416" i="2"/>
  <c r="J416" i="2"/>
  <c r="O415" i="2"/>
  <c r="N415" i="2"/>
  <c r="M415" i="2"/>
  <c r="L415" i="2"/>
  <c r="K415" i="2"/>
  <c r="J415" i="2"/>
  <c r="O414" i="2"/>
  <c r="N414" i="2"/>
  <c r="M414" i="2"/>
  <c r="L414" i="2"/>
  <c r="K414" i="2"/>
  <c r="J414" i="2"/>
  <c r="O413" i="2"/>
  <c r="N413" i="2"/>
  <c r="M413" i="2"/>
  <c r="L413" i="2"/>
  <c r="K413" i="2"/>
  <c r="J413" i="2"/>
  <c r="O412" i="2"/>
  <c r="N412" i="2"/>
  <c r="M412" i="2"/>
  <c r="L412" i="2"/>
  <c r="K412" i="2"/>
  <c r="J412" i="2"/>
  <c r="O411" i="2"/>
  <c r="N411" i="2"/>
  <c r="M411" i="2"/>
  <c r="L411" i="2"/>
  <c r="K411" i="2"/>
  <c r="J411" i="2"/>
  <c r="O410" i="2"/>
  <c r="N410" i="2"/>
  <c r="M410" i="2"/>
  <c r="L410" i="2"/>
  <c r="K410" i="2"/>
  <c r="J410" i="2"/>
  <c r="O409" i="2"/>
  <c r="N409" i="2"/>
  <c r="M409" i="2"/>
  <c r="L409" i="2"/>
  <c r="K409" i="2"/>
  <c r="J409" i="2"/>
  <c r="O408" i="2"/>
  <c r="N408" i="2"/>
  <c r="M408" i="2"/>
  <c r="L408" i="2"/>
  <c r="K408" i="2"/>
  <c r="J408" i="2"/>
  <c r="O407" i="2"/>
  <c r="N407" i="2"/>
  <c r="M407" i="2"/>
  <c r="L407" i="2"/>
  <c r="K407" i="2"/>
  <c r="J407" i="2"/>
  <c r="O406" i="2"/>
  <c r="N406" i="2"/>
  <c r="M406" i="2"/>
  <c r="L406" i="2"/>
  <c r="K406" i="2"/>
  <c r="J406" i="2"/>
  <c r="O405" i="2"/>
  <c r="N405" i="2"/>
  <c r="M405" i="2"/>
  <c r="L405" i="2"/>
  <c r="K405" i="2"/>
  <c r="J405" i="2"/>
  <c r="O404" i="2"/>
  <c r="N404" i="2"/>
  <c r="M404" i="2"/>
  <c r="L404" i="2"/>
  <c r="K404" i="2"/>
  <c r="J404" i="2"/>
  <c r="O403" i="2"/>
  <c r="N403" i="2"/>
  <c r="M403" i="2"/>
  <c r="L403" i="2"/>
  <c r="K403" i="2"/>
  <c r="J403" i="2"/>
  <c r="O402" i="2"/>
  <c r="N402" i="2"/>
  <c r="M402" i="2"/>
  <c r="L402" i="2"/>
  <c r="K402" i="2"/>
  <c r="J402" i="2"/>
  <c r="O401" i="2"/>
  <c r="N401" i="2"/>
  <c r="M401" i="2"/>
  <c r="L401" i="2"/>
  <c r="K401" i="2"/>
  <c r="J401" i="2"/>
  <c r="O400" i="2"/>
  <c r="N400" i="2"/>
  <c r="M400" i="2"/>
  <c r="L400" i="2"/>
  <c r="K400" i="2"/>
  <c r="J400" i="2"/>
  <c r="O399" i="2"/>
  <c r="N399" i="2"/>
  <c r="M399" i="2"/>
  <c r="L399" i="2"/>
  <c r="K399" i="2"/>
  <c r="J399" i="2"/>
  <c r="O398" i="2"/>
  <c r="N398" i="2"/>
  <c r="M398" i="2"/>
  <c r="L398" i="2"/>
  <c r="K398" i="2"/>
  <c r="J398" i="2"/>
  <c r="O397" i="2"/>
  <c r="N397" i="2"/>
  <c r="M397" i="2"/>
  <c r="L397" i="2"/>
  <c r="K397" i="2"/>
  <c r="J397" i="2"/>
  <c r="O396" i="2"/>
  <c r="N396" i="2"/>
  <c r="M396" i="2"/>
  <c r="L396" i="2"/>
  <c r="K396" i="2"/>
  <c r="J396" i="2"/>
  <c r="O395" i="2"/>
  <c r="N395" i="2"/>
  <c r="M395" i="2"/>
  <c r="L395" i="2"/>
  <c r="K395" i="2"/>
  <c r="J395" i="2"/>
  <c r="O394" i="2"/>
  <c r="N394" i="2"/>
  <c r="M394" i="2"/>
  <c r="L394" i="2"/>
  <c r="K394" i="2"/>
  <c r="J394" i="2"/>
  <c r="O393" i="2"/>
  <c r="N393" i="2"/>
  <c r="M393" i="2"/>
  <c r="L393" i="2"/>
  <c r="K393" i="2"/>
  <c r="J393" i="2"/>
  <c r="O392" i="2"/>
  <c r="N392" i="2"/>
  <c r="M392" i="2"/>
  <c r="L392" i="2"/>
  <c r="K392" i="2"/>
  <c r="J392" i="2"/>
  <c r="O391" i="2"/>
  <c r="N391" i="2"/>
  <c r="M391" i="2"/>
  <c r="L391" i="2"/>
  <c r="K391" i="2"/>
  <c r="J391" i="2"/>
  <c r="O390" i="2"/>
  <c r="N390" i="2"/>
  <c r="M390" i="2"/>
  <c r="L390" i="2"/>
  <c r="K390" i="2"/>
  <c r="J390" i="2"/>
  <c r="O389" i="2"/>
  <c r="N389" i="2"/>
  <c r="M389" i="2"/>
  <c r="L389" i="2"/>
  <c r="K389" i="2"/>
  <c r="J389" i="2"/>
  <c r="O388" i="2"/>
  <c r="N388" i="2"/>
  <c r="M388" i="2"/>
  <c r="L388" i="2"/>
  <c r="K388" i="2"/>
  <c r="J388" i="2"/>
  <c r="O387" i="2"/>
  <c r="N387" i="2"/>
  <c r="M387" i="2"/>
  <c r="L387" i="2"/>
  <c r="K387" i="2"/>
  <c r="J387" i="2"/>
  <c r="O386" i="2"/>
  <c r="N386" i="2"/>
  <c r="M386" i="2"/>
  <c r="L386" i="2"/>
  <c r="K386" i="2"/>
  <c r="J386" i="2"/>
  <c r="O385" i="2"/>
  <c r="N385" i="2"/>
  <c r="M385" i="2"/>
  <c r="L385" i="2"/>
  <c r="K385" i="2"/>
  <c r="J385" i="2"/>
  <c r="O384" i="2"/>
  <c r="N384" i="2"/>
  <c r="M384" i="2"/>
  <c r="L384" i="2"/>
  <c r="K384" i="2"/>
  <c r="J384" i="2"/>
  <c r="O383" i="2"/>
  <c r="N383" i="2"/>
  <c r="M383" i="2"/>
  <c r="L383" i="2"/>
  <c r="K383" i="2"/>
  <c r="J383" i="2"/>
  <c r="O382" i="2"/>
  <c r="N382" i="2"/>
  <c r="M382" i="2"/>
  <c r="L382" i="2"/>
  <c r="K382" i="2"/>
  <c r="J382" i="2"/>
  <c r="O381" i="2"/>
  <c r="N381" i="2"/>
  <c r="M381" i="2"/>
  <c r="L381" i="2"/>
  <c r="K381" i="2"/>
  <c r="J381" i="2"/>
  <c r="O380" i="2"/>
  <c r="N380" i="2"/>
  <c r="M380" i="2"/>
  <c r="L380" i="2"/>
  <c r="K380" i="2"/>
  <c r="J380" i="2"/>
  <c r="O379" i="2"/>
  <c r="N379" i="2"/>
  <c r="M379" i="2"/>
  <c r="L379" i="2"/>
  <c r="K379" i="2"/>
  <c r="J379" i="2"/>
  <c r="O378" i="2"/>
  <c r="N378" i="2"/>
  <c r="M378" i="2"/>
  <c r="L378" i="2"/>
  <c r="K378" i="2"/>
  <c r="J378" i="2"/>
  <c r="O377" i="2"/>
  <c r="N377" i="2"/>
  <c r="M377" i="2"/>
  <c r="L377" i="2"/>
  <c r="K377" i="2"/>
  <c r="J377" i="2"/>
  <c r="O376" i="2"/>
  <c r="N376" i="2"/>
  <c r="M376" i="2"/>
  <c r="L376" i="2"/>
  <c r="K376" i="2"/>
  <c r="J376" i="2"/>
  <c r="O375" i="2"/>
  <c r="N375" i="2"/>
  <c r="M375" i="2"/>
  <c r="L375" i="2"/>
  <c r="K375" i="2"/>
  <c r="J375" i="2"/>
  <c r="O374" i="2"/>
  <c r="N374" i="2"/>
  <c r="M374" i="2"/>
  <c r="L374" i="2"/>
  <c r="K374" i="2"/>
  <c r="J374" i="2"/>
  <c r="O373" i="2"/>
  <c r="N373" i="2"/>
  <c r="M373" i="2"/>
  <c r="L373" i="2"/>
  <c r="K373" i="2"/>
  <c r="J373" i="2"/>
  <c r="O372" i="2"/>
  <c r="N372" i="2"/>
  <c r="M372" i="2"/>
  <c r="L372" i="2"/>
  <c r="K372" i="2"/>
  <c r="J372" i="2"/>
  <c r="O371" i="2"/>
  <c r="N371" i="2"/>
  <c r="M371" i="2"/>
  <c r="L371" i="2"/>
  <c r="K371" i="2"/>
  <c r="J371" i="2"/>
  <c r="O370" i="2"/>
  <c r="N370" i="2"/>
  <c r="M370" i="2"/>
  <c r="L370" i="2"/>
  <c r="K370" i="2"/>
  <c r="J370" i="2"/>
  <c r="O369" i="2"/>
  <c r="N369" i="2"/>
  <c r="M369" i="2"/>
  <c r="L369" i="2"/>
  <c r="K369" i="2"/>
  <c r="J369" i="2"/>
  <c r="O368" i="2"/>
  <c r="N368" i="2"/>
  <c r="M368" i="2"/>
  <c r="L368" i="2"/>
  <c r="K368" i="2"/>
  <c r="J368" i="2"/>
  <c r="O367" i="2"/>
  <c r="N367" i="2"/>
  <c r="M367" i="2"/>
  <c r="L367" i="2"/>
  <c r="K367" i="2"/>
  <c r="J367" i="2"/>
  <c r="O366" i="2"/>
  <c r="N366" i="2"/>
  <c r="M366" i="2"/>
  <c r="L366" i="2"/>
  <c r="K366" i="2"/>
  <c r="J366" i="2"/>
  <c r="O365" i="2"/>
  <c r="N365" i="2"/>
  <c r="M365" i="2"/>
  <c r="L365" i="2"/>
  <c r="K365" i="2"/>
  <c r="J365" i="2"/>
  <c r="O364" i="2"/>
  <c r="N364" i="2"/>
  <c r="M364" i="2"/>
  <c r="L364" i="2"/>
  <c r="K364" i="2"/>
  <c r="J364" i="2"/>
  <c r="O363" i="2"/>
  <c r="N363" i="2"/>
  <c r="M363" i="2"/>
  <c r="L363" i="2"/>
  <c r="K363" i="2"/>
  <c r="J363" i="2"/>
  <c r="O362" i="2"/>
  <c r="N362" i="2"/>
  <c r="M362" i="2"/>
  <c r="L362" i="2"/>
  <c r="K362" i="2"/>
  <c r="J362" i="2"/>
  <c r="O361" i="2"/>
  <c r="N361" i="2"/>
  <c r="M361" i="2"/>
  <c r="L361" i="2"/>
  <c r="K361" i="2"/>
  <c r="J361" i="2"/>
  <c r="O360" i="2"/>
  <c r="N360" i="2"/>
  <c r="M360" i="2"/>
  <c r="L360" i="2"/>
  <c r="K360" i="2"/>
  <c r="J360" i="2"/>
  <c r="O359" i="2"/>
  <c r="N359" i="2"/>
  <c r="M359" i="2"/>
  <c r="L359" i="2"/>
  <c r="K359" i="2"/>
  <c r="J359" i="2"/>
  <c r="O358" i="2"/>
  <c r="N358" i="2"/>
  <c r="M358" i="2"/>
  <c r="L358" i="2"/>
  <c r="K358" i="2"/>
  <c r="J358" i="2"/>
  <c r="O357" i="2"/>
  <c r="N357" i="2"/>
  <c r="M357" i="2"/>
  <c r="L357" i="2"/>
  <c r="K357" i="2"/>
  <c r="J357" i="2"/>
  <c r="O356" i="2"/>
  <c r="N356" i="2"/>
  <c r="M356" i="2"/>
  <c r="L356" i="2"/>
  <c r="K356" i="2"/>
  <c r="J356" i="2"/>
  <c r="O355" i="2"/>
  <c r="N355" i="2"/>
  <c r="M355" i="2"/>
  <c r="L355" i="2"/>
  <c r="K355" i="2"/>
  <c r="J355" i="2"/>
  <c r="O354" i="2"/>
  <c r="N354" i="2"/>
  <c r="M354" i="2"/>
  <c r="L354" i="2"/>
  <c r="K354" i="2"/>
  <c r="J354" i="2"/>
  <c r="O353" i="2"/>
  <c r="N353" i="2"/>
  <c r="M353" i="2"/>
  <c r="L353" i="2"/>
  <c r="K353" i="2"/>
  <c r="J353" i="2"/>
  <c r="O352" i="2"/>
  <c r="N352" i="2"/>
  <c r="M352" i="2"/>
  <c r="L352" i="2"/>
  <c r="K352" i="2"/>
  <c r="J352" i="2"/>
  <c r="O351" i="2"/>
  <c r="N351" i="2"/>
  <c r="M351" i="2"/>
  <c r="L351" i="2"/>
  <c r="K351" i="2"/>
  <c r="J351" i="2"/>
  <c r="O350" i="2"/>
  <c r="N350" i="2"/>
  <c r="M350" i="2"/>
  <c r="L350" i="2"/>
  <c r="K350" i="2"/>
  <c r="J350" i="2"/>
  <c r="O349" i="2"/>
  <c r="N349" i="2"/>
  <c r="M349" i="2"/>
  <c r="L349" i="2"/>
  <c r="K349" i="2"/>
  <c r="J349" i="2"/>
  <c r="O348" i="2"/>
  <c r="N348" i="2"/>
  <c r="M348" i="2"/>
  <c r="L348" i="2"/>
  <c r="K348" i="2"/>
  <c r="J348" i="2"/>
  <c r="O347" i="2"/>
  <c r="N347" i="2"/>
  <c r="M347" i="2"/>
  <c r="L347" i="2"/>
  <c r="K347" i="2"/>
  <c r="J347" i="2"/>
  <c r="O346" i="2"/>
  <c r="N346" i="2"/>
  <c r="M346" i="2"/>
  <c r="L346" i="2"/>
  <c r="K346" i="2"/>
  <c r="J346" i="2"/>
  <c r="O345" i="2"/>
  <c r="N345" i="2"/>
  <c r="M345" i="2"/>
  <c r="L345" i="2"/>
  <c r="K345" i="2"/>
  <c r="J345" i="2"/>
  <c r="O344" i="2"/>
  <c r="N344" i="2"/>
  <c r="M344" i="2"/>
  <c r="L344" i="2"/>
  <c r="K344" i="2"/>
  <c r="J344" i="2"/>
  <c r="O343" i="2"/>
  <c r="N343" i="2"/>
  <c r="M343" i="2"/>
  <c r="L343" i="2"/>
  <c r="K343" i="2"/>
  <c r="J343" i="2"/>
  <c r="O342" i="2"/>
  <c r="N342" i="2"/>
  <c r="M342" i="2"/>
  <c r="L342" i="2"/>
  <c r="K342" i="2"/>
  <c r="J342" i="2"/>
  <c r="O341" i="2"/>
  <c r="N341" i="2"/>
  <c r="M341" i="2"/>
  <c r="L341" i="2"/>
  <c r="K341" i="2"/>
  <c r="J341" i="2"/>
  <c r="O340" i="2"/>
  <c r="N340" i="2"/>
  <c r="M340" i="2"/>
  <c r="L340" i="2"/>
  <c r="K340" i="2"/>
  <c r="J340" i="2"/>
  <c r="O339" i="2"/>
  <c r="N339" i="2"/>
  <c r="M339" i="2"/>
  <c r="L339" i="2"/>
  <c r="K339" i="2"/>
  <c r="J339" i="2"/>
  <c r="O338" i="2"/>
  <c r="N338" i="2"/>
  <c r="M338" i="2"/>
  <c r="L338" i="2"/>
  <c r="K338" i="2"/>
  <c r="J338" i="2"/>
  <c r="O337" i="2"/>
  <c r="N337" i="2"/>
  <c r="M337" i="2"/>
  <c r="L337" i="2"/>
  <c r="K337" i="2"/>
  <c r="J337" i="2"/>
  <c r="O336" i="2"/>
  <c r="N336" i="2"/>
  <c r="M336" i="2"/>
  <c r="L336" i="2"/>
  <c r="K336" i="2"/>
  <c r="J336" i="2"/>
  <c r="O335" i="2"/>
  <c r="N335" i="2"/>
  <c r="M335" i="2"/>
  <c r="L335" i="2"/>
  <c r="K335" i="2"/>
  <c r="J335" i="2"/>
  <c r="O334" i="2"/>
  <c r="N334" i="2"/>
  <c r="M334" i="2"/>
  <c r="L334" i="2"/>
  <c r="K334" i="2"/>
  <c r="J334" i="2"/>
  <c r="O333" i="2"/>
  <c r="N333" i="2"/>
  <c r="M333" i="2"/>
  <c r="L333" i="2"/>
  <c r="K333" i="2"/>
  <c r="J333" i="2"/>
  <c r="O332" i="2"/>
  <c r="N332" i="2"/>
  <c r="M332" i="2"/>
  <c r="L332" i="2"/>
  <c r="K332" i="2"/>
  <c r="J332" i="2"/>
  <c r="O331" i="2"/>
  <c r="N331" i="2"/>
  <c r="M331" i="2"/>
  <c r="L331" i="2"/>
  <c r="K331" i="2"/>
  <c r="J331" i="2"/>
  <c r="O330" i="2"/>
  <c r="N330" i="2"/>
  <c r="M330" i="2"/>
  <c r="L330" i="2"/>
  <c r="K330" i="2"/>
  <c r="J330" i="2"/>
  <c r="O329" i="2"/>
  <c r="N329" i="2"/>
  <c r="M329" i="2"/>
  <c r="L329" i="2"/>
  <c r="K329" i="2"/>
  <c r="J329" i="2"/>
  <c r="O328" i="2"/>
  <c r="N328" i="2"/>
  <c r="M328" i="2"/>
  <c r="L328" i="2"/>
  <c r="K328" i="2"/>
  <c r="J328" i="2"/>
  <c r="O327" i="2"/>
  <c r="N327" i="2"/>
  <c r="M327" i="2"/>
  <c r="L327" i="2"/>
  <c r="K327" i="2"/>
  <c r="J327" i="2"/>
  <c r="O326" i="2"/>
  <c r="N326" i="2"/>
  <c r="M326" i="2"/>
  <c r="L326" i="2"/>
  <c r="K326" i="2"/>
  <c r="J326" i="2"/>
  <c r="O325" i="2"/>
  <c r="N325" i="2"/>
  <c r="M325" i="2"/>
  <c r="L325" i="2"/>
  <c r="K325" i="2"/>
  <c r="J325" i="2"/>
  <c r="O324" i="2"/>
  <c r="N324" i="2"/>
  <c r="M324" i="2"/>
  <c r="L324" i="2"/>
  <c r="K324" i="2"/>
  <c r="J324" i="2"/>
  <c r="O323" i="2"/>
  <c r="N323" i="2"/>
  <c r="M323" i="2"/>
  <c r="L323" i="2"/>
  <c r="K323" i="2"/>
  <c r="J323" i="2"/>
  <c r="O322" i="2"/>
  <c r="N322" i="2"/>
  <c r="M322" i="2"/>
  <c r="L322" i="2"/>
  <c r="K322" i="2"/>
  <c r="J322" i="2"/>
  <c r="O321" i="2"/>
  <c r="N321" i="2"/>
  <c r="M321" i="2"/>
  <c r="L321" i="2"/>
  <c r="K321" i="2"/>
  <c r="J321" i="2"/>
  <c r="O320" i="2"/>
  <c r="N320" i="2"/>
  <c r="M320" i="2"/>
  <c r="L320" i="2"/>
  <c r="K320" i="2"/>
  <c r="J320" i="2"/>
  <c r="O319" i="2"/>
  <c r="N319" i="2"/>
  <c r="M319" i="2"/>
  <c r="L319" i="2"/>
  <c r="K319" i="2"/>
  <c r="J319" i="2"/>
  <c r="O318" i="2"/>
  <c r="N318" i="2"/>
  <c r="M318" i="2"/>
  <c r="L318" i="2"/>
  <c r="K318" i="2"/>
  <c r="J318" i="2"/>
  <c r="O317" i="2"/>
  <c r="N317" i="2"/>
  <c r="M317" i="2"/>
  <c r="L317" i="2"/>
  <c r="K317" i="2"/>
  <c r="J317" i="2"/>
  <c r="O316" i="2"/>
  <c r="N316" i="2"/>
  <c r="M316" i="2"/>
  <c r="L316" i="2"/>
  <c r="K316" i="2"/>
  <c r="J316" i="2"/>
  <c r="O315" i="2"/>
  <c r="N315" i="2"/>
  <c r="M315" i="2"/>
  <c r="L315" i="2"/>
  <c r="K315" i="2"/>
  <c r="J315" i="2"/>
  <c r="O314" i="2"/>
  <c r="N314" i="2"/>
  <c r="M314" i="2"/>
  <c r="L314" i="2"/>
  <c r="K314" i="2"/>
  <c r="J314" i="2"/>
  <c r="O313" i="2"/>
  <c r="N313" i="2"/>
  <c r="M313" i="2"/>
  <c r="L313" i="2"/>
  <c r="K313" i="2"/>
  <c r="J313" i="2"/>
  <c r="O312" i="2"/>
  <c r="N312" i="2"/>
  <c r="M312" i="2"/>
  <c r="L312" i="2"/>
  <c r="K312" i="2"/>
  <c r="J312" i="2"/>
  <c r="O311" i="2"/>
  <c r="N311" i="2"/>
  <c r="M311" i="2"/>
  <c r="L311" i="2"/>
  <c r="K311" i="2"/>
  <c r="J311" i="2"/>
  <c r="O310" i="2"/>
  <c r="N310" i="2"/>
  <c r="M310" i="2"/>
  <c r="L310" i="2"/>
  <c r="K310" i="2"/>
  <c r="J310" i="2"/>
  <c r="O309" i="2"/>
  <c r="N309" i="2"/>
  <c r="M309" i="2"/>
  <c r="L309" i="2"/>
  <c r="K309" i="2"/>
  <c r="J309" i="2"/>
  <c r="O308" i="2"/>
  <c r="N308" i="2"/>
  <c r="M308" i="2"/>
  <c r="L308" i="2"/>
  <c r="K308" i="2"/>
  <c r="J308" i="2"/>
  <c r="O307" i="2"/>
  <c r="N307" i="2"/>
  <c r="M307" i="2"/>
  <c r="L307" i="2"/>
  <c r="K307" i="2"/>
  <c r="J307" i="2"/>
  <c r="O306" i="2"/>
  <c r="N306" i="2"/>
  <c r="M306" i="2"/>
  <c r="L306" i="2"/>
  <c r="K306" i="2"/>
  <c r="J306" i="2"/>
  <c r="O305" i="2"/>
  <c r="N305" i="2"/>
  <c r="M305" i="2"/>
  <c r="L305" i="2"/>
  <c r="K305" i="2"/>
  <c r="J305" i="2"/>
  <c r="O304" i="2"/>
  <c r="N304" i="2"/>
  <c r="M304" i="2"/>
  <c r="L304" i="2"/>
  <c r="K304" i="2"/>
  <c r="J304" i="2"/>
  <c r="O303" i="2"/>
  <c r="N303" i="2"/>
  <c r="M303" i="2"/>
  <c r="L303" i="2"/>
  <c r="K303" i="2"/>
  <c r="J303" i="2"/>
  <c r="O302" i="2"/>
  <c r="N302" i="2"/>
  <c r="M302" i="2"/>
  <c r="L302" i="2"/>
  <c r="K302" i="2"/>
  <c r="J302" i="2"/>
  <c r="O301" i="2"/>
  <c r="N301" i="2"/>
  <c r="M301" i="2"/>
  <c r="L301" i="2"/>
  <c r="K301" i="2"/>
  <c r="J301" i="2"/>
  <c r="O300" i="2"/>
  <c r="N300" i="2"/>
  <c r="M300" i="2"/>
  <c r="L300" i="2"/>
  <c r="K300" i="2"/>
  <c r="J300" i="2"/>
  <c r="O299" i="2"/>
  <c r="N299" i="2"/>
  <c r="M299" i="2"/>
  <c r="L299" i="2"/>
  <c r="K299" i="2"/>
  <c r="J299" i="2"/>
  <c r="O298" i="2"/>
  <c r="N298" i="2"/>
  <c r="M298" i="2"/>
  <c r="L298" i="2"/>
  <c r="K298" i="2"/>
  <c r="J298" i="2"/>
  <c r="O297" i="2"/>
  <c r="N297" i="2"/>
  <c r="M297" i="2"/>
  <c r="L297" i="2"/>
  <c r="K297" i="2"/>
  <c r="J297" i="2"/>
  <c r="O296" i="2"/>
  <c r="N296" i="2"/>
  <c r="M296" i="2"/>
  <c r="L296" i="2"/>
  <c r="K296" i="2"/>
  <c r="J296" i="2"/>
  <c r="O295" i="2"/>
  <c r="N295" i="2"/>
  <c r="M295" i="2"/>
  <c r="L295" i="2"/>
  <c r="K295" i="2"/>
  <c r="J295" i="2"/>
  <c r="O294" i="2"/>
  <c r="N294" i="2"/>
  <c r="M294" i="2"/>
  <c r="L294" i="2"/>
  <c r="K294" i="2"/>
  <c r="J294" i="2"/>
  <c r="O293" i="2"/>
  <c r="N293" i="2"/>
  <c r="M293" i="2"/>
  <c r="L293" i="2"/>
  <c r="K293" i="2"/>
  <c r="J293" i="2"/>
  <c r="O292" i="2"/>
  <c r="N292" i="2"/>
  <c r="M292" i="2"/>
  <c r="L292" i="2"/>
  <c r="K292" i="2"/>
  <c r="J292" i="2"/>
  <c r="O291" i="2"/>
  <c r="N291" i="2"/>
  <c r="M291" i="2"/>
  <c r="L291" i="2"/>
  <c r="K291" i="2"/>
  <c r="J291" i="2"/>
  <c r="O290" i="2"/>
  <c r="N290" i="2"/>
  <c r="M290" i="2"/>
  <c r="L290" i="2"/>
  <c r="K290" i="2"/>
  <c r="J290" i="2"/>
  <c r="O289" i="2"/>
  <c r="N289" i="2"/>
  <c r="M289" i="2"/>
  <c r="L289" i="2"/>
  <c r="K289" i="2"/>
  <c r="J289" i="2"/>
  <c r="O288" i="2"/>
  <c r="N288" i="2"/>
  <c r="M288" i="2"/>
  <c r="L288" i="2"/>
  <c r="K288" i="2"/>
  <c r="J288" i="2"/>
  <c r="O287" i="2"/>
  <c r="N287" i="2"/>
  <c r="M287" i="2"/>
  <c r="L287" i="2"/>
  <c r="K287" i="2"/>
  <c r="J287" i="2"/>
  <c r="O286" i="2"/>
  <c r="N286" i="2"/>
  <c r="M286" i="2"/>
  <c r="L286" i="2"/>
  <c r="K286" i="2"/>
  <c r="J286" i="2"/>
  <c r="O285" i="2"/>
  <c r="N285" i="2"/>
  <c r="M285" i="2"/>
  <c r="L285" i="2"/>
  <c r="K285" i="2"/>
  <c r="J285" i="2"/>
  <c r="O284" i="2"/>
  <c r="N284" i="2"/>
  <c r="M284" i="2"/>
  <c r="L284" i="2"/>
  <c r="K284" i="2"/>
  <c r="J284" i="2"/>
  <c r="O283" i="2"/>
  <c r="N283" i="2"/>
  <c r="M283" i="2"/>
  <c r="L283" i="2"/>
  <c r="K283" i="2"/>
  <c r="J283" i="2"/>
  <c r="O282" i="2"/>
  <c r="N282" i="2"/>
  <c r="M282" i="2"/>
  <c r="L282" i="2"/>
  <c r="K282" i="2"/>
  <c r="J282" i="2"/>
  <c r="O281" i="2"/>
  <c r="N281" i="2"/>
  <c r="M281" i="2"/>
  <c r="L281" i="2"/>
  <c r="K281" i="2"/>
  <c r="J281" i="2"/>
  <c r="O280" i="2"/>
  <c r="N280" i="2"/>
  <c r="M280" i="2"/>
  <c r="L280" i="2"/>
  <c r="K280" i="2"/>
  <c r="J280" i="2"/>
  <c r="O279" i="2"/>
  <c r="N279" i="2"/>
  <c r="M279" i="2"/>
  <c r="L279" i="2"/>
  <c r="K279" i="2"/>
  <c r="J279" i="2"/>
  <c r="O278" i="2"/>
  <c r="N278" i="2"/>
  <c r="M278" i="2"/>
  <c r="L278" i="2"/>
  <c r="K278" i="2"/>
  <c r="J278" i="2"/>
  <c r="O277" i="2"/>
  <c r="N277" i="2"/>
  <c r="M277" i="2"/>
  <c r="L277" i="2"/>
  <c r="K277" i="2"/>
  <c r="J277" i="2"/>
  <c r="O276" i="2"/>
  <c r="N276" i="2"/>
  <c r="M276" i="2"/>
  <c r="L276" i="2"/>
  <c r="K276" i="2"/>
  <c r="J276" i="2"/>
  <c r="O275" i="2"/>
  <c r="N275" i="2"/>
  <c r="M275" i="2"/>
  <c r="L275" i="2"/>
  <c r="K275" i="2"/>
  <c r="J275" i="2"/>
  <c r="O274" i="2"/>
  <c r="N274" i="2"/>
  <c r="M274" i="2"/>
  <c r="L274" i="2"/>
  <c r="K274" i="2"/>
  <c r="J274" i="2"/>
  <c r="O273" i="2"/>
  <c r="N273" i="2"/>
  <c r="M273" i="2"/>
  <c r="L273" i="2"/>
  <c r="K273" i="2"/>
  <c r="J273" i="2"/>
  <c r="O272" i="2"/>
  <c r="N272" i="2"/>
  <c r="M272" i="2"/>
  <c r="L272" i="2"/>
  <c r="K272" i="2"/>
  <c r="J272" i="2"/>
  <c r="O271" i="2"/>
  <c r="N271" i="2"/>
  <c r="M271" i="2"/>
  <c r="L271" i="2"/>
  <c r="K271" i="2"/>
  <c r="J271" i="2"/>
  <c r="O270" i="2"/>
  <c r="N270" i="2"/>
  <c r="M270" i="2"/>
  <c r="L270" i="2"/>
  <c r="K270" i="2"/>
  <c r="J270" i="2"/>
  <c r="O269" i="2"/>
  <c r="N269" i="2"/>
  <c r="M269" i="2"/>
  <c r="L269" i="2"/>
  <c r="K269" i="2"/>
  <c r="J269" i="2"/>
  <c r="O268" i="2"/>
  <c r="N268" i="2"/>
  <c r="M268" i="2"/>
  <c r="L268" i="2"/>
  <c r="K268" i="2"/>
  <c r="J268" i="2"/>
  <c r="O267" i="2"/>
  <c r="N267" i="2"/>
  <c r="M267" i="2"/>
  <c r="L267" i="2"/>
  <c r="K267" i="2"/>
  <c r="J267" i="2"/>
  <c r="O266" i="2"/>
  <c r="N266" i="2"/>
  <c r="M266" i="2"/>
  <c r="L266" i="2"/>
  <c r="K266" i="2"/>
  <c r="J266" i="2"/>
  <c r="O265" i="2"/>
  <c r="N265" i="2"/>
  <c r="M265" i="2"/>
  <c r="L265" i="2"/>
  <c r="K265" i="2"/>
  <c r="J265" i="2"/>
  <c r="O264" i="2"/>
  <c r="N264" i="2"/>
  <c r="M264" i="2"/>
  <c r="L264" i="2"/>
  <c r="K264" i="2"/>
  <c r="J264" i="2"/>
  <c r="O263" i="2"/>
  <c r="N263" i="2"/>
  <c r="M263" i="2"/>
  <c r="L263" i="2"/>
  <c r="K263" i="2"/>
  <c r="J263" i="2"/>
  <c r="O262" i="2"/>
  <c r="N262" i="2"/>
  <c r="M262" i="2"/>
  <c r="L262" i="2"/>
  <c r="K262" i="2"/>
  <c r="J262" i="2"/>
  <c r="O261" i="2"/>
  <c r="N261" i="2"/>
  <c r="M261" i="2"/>
  <c r="L261" i="2"/>
  <c r="K261" i="2"/>
  <c r="J261" i="2"/>
  <c r="O260" i="2"/>
  <c r="N260" i="2"/>
  <c r="M260" i="2"/>
  <c r="L260" i="2"/>
  <c r="K260" i="2"/>
  <c r="J260" i="2"/>
  <c r="O259" i="2"/>
  <c r="N259" i="2"/>
  <c r="M259" i="2"/>
  <c r="L259" i="2"/>
  <c r="K259" i="2"/>
  <c r="J259" i="2"/>
  <c r="O258" i="2"/>
  <c r="N258" i="2"/>
  <c r="M258" i="2"/>
  <c r="L258" i="2"/>
  <c r="K258" i="2"/>
  <c r="J258" i="2"/>
  <c r="O257" i="2"/>
  <c r="N257" i="2"/>
  <c r="M257" i="2"/>
  <c r="L257" i="2"/>
  <c r="K257" i="2"/>
  <c r="J257" i="2"/>
  <c r="O256" i="2"/>
  <c r="N256" i="2"/>
  <c r="M256" i="2"/>
  <c r="L256" i="2"/>
  <c r="K256" i="2"/>
  <c r="J256" i="2"/>
  <c r="O255" i="2"/>
  <c r="N255" i="2"/>
  <c r="M255" i="2"/>
  <c r="L255" i="2"/>
  <c r="K255" i="2"/>
  <c r="J255" i="2"/>
  <c r="O254" i="2"/>
  <c r="N254" i="2"/>
  <c r="M254" i="2"/>
  <c r="L254" i="2"/>
  <c r="K254" i="2"/>
  <c r="J254" i="2"/>
  <c r="O253" i="2"/>
  <c r="N253" i="2"/>
  <c r="M253" i="2"/>
  <c r="L253" i="2"/>
  <c r="K253" i="2"/>
  <c r="J253" i="2"/>
  <c r="O252" i="2"/>
  <c r="N252" i="2"/>
  <c r="M252" i="2"/>
  <c r="L252" i="2"/>
  <c r="K252" i="2"/>
  <c r="J252" i="2"/>
  <c r="O251" i="2"/>
  <c r="N251" i="2"/>
  <c r="M251" i="2"/>
  <c r="L251" i="2"/>
  <c r="K251" i="2"/>
  <c r="J251" i="2"/>
  <c r="O250" i="2"/>
  <c r="N250" i="2"/>
  <c r="M250" i="2"/>
  <c r="L250" i="2"/>
  <c r="K250" i="2"/>
  <c r="J250" i="2"/>
  <c r="O249" i="2"/>
  <c r="N249" i="2"/>
  <c r="M249" i="2"/>
  <c r="L249" i="2"/>
  <c r="K249" i="2"/>
  <c r="J249" i="2"/>
  <c r="O248" i="2"/>
  <c r="N248" i="2"/>
  <c r="M248" i="2"/>
  <c r="L248" i="2"/>
  <c r="K248" i="2"/>
  <c r="J248" i="2"/>
  <c r="O247" i="2"/>
  <c r="N247" i="2"/>
  <c r="M247" i="2"/>
  <c r="L247" i="2"/>
  <c r="K247" i="2"/>
  <c r="J247" i="2"/>
  <c r="O246" i="2"/>
  <c r="N246" i="2"/>
  <c r="M246" i="2"/>
  <c r="L246" i="2"/>
  <c r="K246" i="2"/>
  <c r="J246" i="2"/>
  <c r="O245" i="2"/>
  <c r="N245" i="2"/>
  <c r="M245" i="2"/>
  <c r="L245" i="2"/>
  <c r="K245" i="2"/>
  <c r="J245" i="2"/>
  <c r="O244" i="2"/>
  <c r="N244" i="2"/>
  <c r="M244" i="2"/>
  <c r="L244" i="2"/>
  <c r="K244" i="2"/>
  <c r="J244" i="2"/>
  <c r="O243" i="2"/>
  <c r="N243" i="2"/>
  <c r="M243" i="2"/>
  <c r="L243" i="2"/>
  <c r="K243" i="2"/>
  <c r="J243" i="2"/>
  <c r="O242" i="2"/>
  <c r="N242" i="2"/>
  <c r="M242" i="2"/>
  <c r="L242" i="2"/>
  <c r="K242" i="2"/>
  <c r="J242" i="2"/>
  <c r="O241" i="2"/>
  <c r="N241" i="2"/>
  <c r="M241" i="2"/>
  <c r="L241" i="2"/>
  <c r="K241" i="2"/>
  <c r="J241" i="2"/>
  <c r="O240" i="2"/>
  <c r="N240" i="2"/>
  <c r="M240" i="2"/>
  <c r="L240" i="2"/>
  <c r="K240" i="2"/>
  <c r="J240" i="2"/>
  <c r="O239" i="2"/>
  <c r="N239" i="2"/>
  <c r="M239" i="2"/>
  <c r="L239" i="2"/>
  <c r="K239" i="2"/>
  <c r="J239" i="2"/>
  <c r="O238" i="2"/>
  <c r="N238" i="2"/>
  <c r="M238" i="2"/>
  <c r="L238" i="2"/>
  <c r="K238" i="2"/>
  <c r="J238" i="2"/>
  <c r="O237" i="2"/>
  <c r="N237" i="2"/>
  <c r="M237" i="2"/>
  <c r="L237" i="2"/>
  <c r="K237" i="2"/>
  <c r="J237" i="2"/>
  <c r="O236" i="2"/>
  <c r="N236" i="2"/>
  <c r="M236" i="2"/>
  <c r="L236" i="2"/>
  <c r="K236" i="2"/>
  <c r="J236" i="2"/>
  <c r="O235" i="2"/>
  <c r="N235" i="2"/>
  <c r="M235" i="2"/>
  <c r="L235" i="2"/>
  <c r="K235" i="2"/>
  <c r="J235" i="2"/>
  <c r="O234" i="2"/>
  <c r="N234" i="2"/>
  <c r="M234" i="2"/>
  <c r="L234" i="2"/>
  <c r="K234" i="2"/>
  <c r="J234" i="2"/>
  <c r="O233" i="2"/>
  <c r="N233" i="2"/>
  <c r="M233" i="2"/>
  <c r="L233" i="2"/>
  <c r="K233" i="2"/>
  <c r="J233" i="2"/>
  <c r="O232" i="2"/>
  <c r="N232" i="2"/>
  <c r="M232" i="2"/>
  <c r="L232" i="2"/>
  <c r="K232" i="2"/>
  <c r="J232" i="2"/>
  <c r="O231" i="2"/>
  <c r="N231" i="2"/>
  <c r="M231" i="2"/>
  <c r="L231" i="2"/>
  <c r="K231" i="2"/>
  <c r="J231" i="2"/>
  <c r="O230" i="2"/>
  <c r="N230" i="2"/>
  <c r="M230" i="2"/>
  <c r="L230" i="2"/>
  <c r="K230" i="2"/>
  <c r="J230" i="2"/>
  <c r="O229" i="2"/>
  <c r="N229" i="2"/>
  <c r="M229" i="2"/>
  <c r="L229" i="2"/>
  <c r="K229" i="2"/>
  <c r="J229" i="2"/>
  <c r="O228" i="2"/>
  <c r="N228" i="2"/>
  <c r="M228" i="2"/>
  <c r="L228" i="2"/>
  <c r="K228" i="2"/>
  <c r="J228" i="2"/>
  <c r="O227" i="2"/>
  <c r="N227" i="2"/>
  <c r="M227" i="2"/>
  <c r="L227" i="2"/>
  <c r="K227" i="2"/>
  <c r="J227" i="2"/>
  <c r="O226" i="2"/>
  <c r="N226" i="2"/>
  <c r="M226" i="2"/>
  <c r="L226" i="2"/>
  <c r="K226" i="2"/>
  <c r="J226" i="2"/>
  <c r="O225" i="2"/>
  <c r="N225" i="2"/>
  <c r="M225" i="2"/>
  <c r="L225" i="2"/>
  <c r="K225" i="2"/>
  <c r="J225" i="2"/>
  <c r="O224" i="2"/>
  <c r="N224" i="2"/>
  <c r="M224" i="2"/>
  <c r="L224" i="2"/>
  <c r="K224" i="2"/>
  <c r="J224" i="2"/>
  <c r="O223" i="2"/>
  <c r="N223" i="2"/>
  <c r="M223" i="2"/>
  <c r="L223" i="2"/>
  <c r="K223" i="2"/>
  <c r="J223" i="2"/>
  <c r="O222" i="2"/>
  <c r="N222" i="2"/>
  <c r="M222" i="2"/>
  <c r="L222" i="2"/>
  <c r="K222" i="2"/>
  <c r="J222" i="2"/>
  <c r="O221" i="2"/>
  <c r="N221" i="2"/>
  <c r="M221" i="2"/>
  <c r="L221" i="2"/>
  <c r="K221" i="2"/>
  <c r="J221" i="2"/>
  <c r="O220" i="2"/>
  <c r="N220" i="2"/>
  <c r="M220" i="2"/>
  <c r="L220" i="2"/>
  <c r="K220" i="2"/>
  <c r="J220" i="2"/>
  <c r="O219" i="2"/>
  <c r="N219" i="2"/>
  <c r="M219" i="2"/>
  <c r="L219" i="2"/>
  <c r="K219" i="2"/>
  <c r="J219" i="2"/>
  <c r="O218" i="2"/>
  <c r="N218" i="2"/>
  <c r="M218" i="2"/>
  <c r="L218" i="2"/>
  <c r="K218" i="2"/>
  <c r="J218" i="2"/>
  <c r="O217" i="2"/>
  <c r="N217" i="2"/>
  <c r="M217" i="2"/>
  <c r="L217" i="2"/>
  <c r="K217" i="2"/>
  <c r="J217" i="2"/>
  <c r="O216" i="2"/>
  <c r="N216" i="2"/>
  <c r="M216" i="2"/>
  <c r="L216" i="2"/>
  <c r="K216" i="2"/>
  <c r="J216" i="2"/>
  <c r="O215" i="2"/>
  <c r="N215" i="2"/>
  <c r="M215" i="2"/>
  <c r="L215" i="2"/>
  <c r="K215" i="2"/>
  <c r="J215" i="2"/>
  <c r="O214" i="2"/>
  <c r="N214" i="2"/>
  <c r="M214" i="2"/>
  <c r="L214" i="2"/>
  <c r="K214" i="2"/>
  <c r="J214" i="2"/>
  <c r="O213" i="2"/>
  <c r="N213" i="2"/>
  <c r="M213" i="2"/>
  <c r="L213" i="2"/>
  <c r="K213" i="2"/>
  <c r="J213" i="2"/>
  <c r="O212" i="2"/>
  <c r="N212" i="2"/>
  <c r="M212" i="2"/>
  <c r="L212" i="2"/>
  <c r="K212" i="2"/>
  <c r="J212" i="2"/>
  <c r="O211" i="2"/>
  <c r="N211" i="2"/>
  <c r="M211" i="2"/>
  <c r="L211" i="2"/>
  <c r="E211" i="2"/>
  <c r="K211" i="2" s="1"/>
  <c r="D211" i="2"/>
  <c r="J211" i="2" s="1"/>
  <c r="O210" i="2"/>
  <c r="N210" i="2"/>
  <c r="M210" i="2"/>
  <c r="L210" i="2"/>
  <c r="K210" i="2"/>
  <c r="J210" i="2"/>
  <c r="O209" i="2"/>
  <c r="N209" i="2"/>
  <c r="M209" i="2"/>
  <c r="L209" i="2"/>
  <c r="K209" i="2"/>
  <c r="J209" i="2"/>
  <c r="O208" i="2"/>
  <c r="N208" i="2"/>
  <c r="M208" i="2"/>
  <c r="L208" i="2"/>
  <c r="K208" i="2"/>
  <c r="J208" i="2"/>
  <c r="O207" i="2"/>
  <c r="N207" i="2"/>
  <c r="M207" i="2"/>
  <c r="L207" i="2"/>
  <c r="K207" i="2"/>
  <c r="J207" i="2"/>
  <c r="O206" i="2"/>
  <c r="N206" i="2"/>
  <c r="M206" i="2"/>
  <c r="L206" i="2"/>
  <c r="K206" i="2"/>
  <c r="J206" i="2"/>
  <c r="O205" i="2"/>
  <c r="N205" i="2"/>
  <c r="M205" i="2"/>
  <c r="L205" i="2"/>
  <c r="K205" i="2"/>
  <c r="J205" i="2"/>
  <c r="O204" i="2"/>
  <c r="N204" i="2"/>
  <c r="M204" i="2"/>
  <c r="L204" i="2"/>
  <c r="K204" i="2"/>
  <c r="J204" i="2"/>
  <c r="O203" i="2"/>
  <c r="N203" i="2"/>
  <c r="M203" i="2"/>
  <c r="L203" i="2"/>
  <c r="K203" i="2"/>
  <c r="J203" i="2"/>
  <c r="O202" i="2"/>
  <c r="N202" i="2"/>
  <c r="M202" i="2"/>
  <c r="L202" i="2"/>
  <c r="K202" i="2"/>
  <c r="J202" i="2"/>
  <c r="O201" i="2"/>
  <c r="N201" i="2"/>
  <c r="M201" i="2"/>
  <c r="L201" i="2"/>
  <c r="K201" i="2"/>
  <c r="J201" i="2"/>
  <c r="O200" i="2"/>
  <c r="N200" i="2"/>
  <c r="M200" i="2"/>
  <c r="L200" i="2"/>
  <c r="K200" i="2"/>
  <c r="J200" i="2"/>
  <c r="O199" i="2"/>
  <c r="N199" i="2"/>
  <c r="M199" i="2"/>
  <c r="L199" i="2"/>
  <c r="K199" i="2"/>
  <c r="J199" i="2"/>
  <c r="O198" i="2"/>
  <c r="N198" i="2"/>
  <c r="M198" i="2"/>
  <c r="L198" i="2"/>
  <c r="K198" i="2"/>
  <c r="J198" i="2"/>
  <c r="O197" i="2"/>
  <c r="N197" i="2"/>
  <c r="M197" i="2"/>
  <c r="L197" i="2"/>
  <c r="K197" i="2"/>
  <c r="J197" i="2"/>
  <c r="O196" i="2"/>
  <c r="N196" i="2"/>
  <c r="M196" i="2"/>
  <c r="L196" i="2"/>
  <c r="K196" i="2"/>
  <c r="J196" i="2"/>
  <c r="O195" i="2"/>
  <c r="N195" i="2"/>
  <c r="M195" i="2"/>
  <c r="L195" i="2"/>
  <c r="K195" i="2"/>
  <c r="J195" i="2"/>
  <c r="O194" i="2"/>
  <c r="N194" i="2"/>
  <c r="M194" i="2"/>
  <c r="L194" i="2"/>
  <c r="K194" i="2"/>
  <c r="J194" i="2"/>
  <c r="O193" i="2"/>
  <c r="N193" i="2"/>
  <c r="M193" i="2"/>
  <c r="L193" i="2"/>
  <c r="K193" i="2"/>
  <c r="J193" i="2"/>
  <c r="O192" i="2"/>
  <c r="N192" i="2"/>
  <c r="M192" i="2"/>
  <c r="L192" i="2"/>
  <c r="K192" i="2"/>
  <c r="J192" i="2"/>
  <c r="O191" i="2"/>
  <c r="N191" i="2"/>
  <c r="M191" i="2"/>
  <c r="L191" i="2"/>
  <c r="K191" i="2"/>
  <c r="J191" i="2"/>
  <c r="O190" i="2"/>
  <c r="N190" i="2"/>
  <c r="M190" i="2"/>
  <c r="L190" i="2"/>
  <c r="K190" i="2"/>
  <c r="J190" i="2"/>
  <c r="O189" i="2"/>
  <c r="N189" i="2"/>
  <c r="M189" i="2"/>
  <c r="L189" i="2"/>
  <c r="K189" i="2"/>
  <c r="J189" i="2"/>
  <c r="O188" i="2"/>
  <c r="N188" i="2"/>
  <c r="M188" i="2"/>
  <c r="L188" i="2"/>
  <c r="K188" i="2"/>
  <c r="J188" i="2"/>
  <c r="O187" i="2"/>
  <c r="N187" i="2"/>
  <c r="M187" i="2"/>
  <c r="L187" i="2"/>
  <c r="K187" i="2"/>
  <c r="J187" i="2"/>
  <c r="O186" i="2"/>
  <c r="N186" i="2"/>
  <c r="M186" i="2"/>
  <c r="L186" i="2"/>
  <c r="K186" i="2"/>
  <c r="J186" i="2"/>
  <c r="O185" i="2"/>
  <c r="N185" i="2"/>
  <c r="M185" i="2"/>
  <c r="L185" i="2"/>
  <c r="K185" i="2"/>
  <c r="J185" i="2"/>
  <c r="O184" i="2"/>
  <c r="N184" i="2"/>
  <c r="M184" i="2"/>
  <c r="L184" i="2"/>
  <c r="K184" i="2"/>
  <c r="J184" i="2"/>
  <c r="O183" i="2"/>
  <c r="N183" i="2"/>
  <c r="M183" i="2"/>
  <c r="L183" i="2"/>
  <c r="K183" i="2"/>
  <c r="J183" i="2"/>
  <c r="O182" i="2"/>
  <c r="N182" i="2"/>
  <c r="M182" i="2"/>
  <c r="L182" i="2"/>
  <c r="K182" i="2"/>
  <c r="J182" i="2"/>
  <c r="O181" i="2"/>
  <c r="N181" i="2"/>
  <c r="M181" i="2"/>
  <c r="L181" i="2"/>
  <c r="K181" i="2"/>
  <c r="J181" i="2"/>
  <c r="O180" i="2"/>
  <c r="N180" i="2"/>
  <c r="M180" i="2"/>
  <c r="L180" i="2"/>
  <c r="K180" i="2"/>
  <c r="J180" i="2"/>
  <c r="O179" i="2"/>
  <c r="N179" i="2"/>
  <c r="M179" i="2"/>
  <c r="L179" i="2"/>
  <c r="K179" i="2"/>
  <c r="J179" i="2"/>
  <c r="O178" i="2"/>
  <c r="N178" i="2"/>
  <c r="M178" i="2"/>
  <c r="L178" i="2"/>
  <c r="K178" i="2"/>
  <c r="J178" i="2"/>
  <c r="O177" i="2"/>
  <c r="N177" i="2"/>
  <c r="M177" i="2"/>
  <c r="L177" i="2"/>
  <c r="K177" i="2"/>
  <c r="J177" i="2"/>
  <c r="O176" i="2"/>
  <c r="N176" i="2"/>
  <c r="M176" i="2"/>
  <c r="L176" i="2"/>
  <c r="K176" i="2"/>
  <c r="J176" i="2"/>
  <c r="O175" i="2"/>
  <c r="N175" i="2"/>
  <c r="M175" i="2"/>
  <c r="L175" i="2"/>
  <c r="K175" i="2"/>
  <c r="J175" i="2"/>
  <c r="O174" i="2"/>
  <c r="N174" i="2"/>
  <c r="M174" i="2"/>
  <c r="L174" i="2"/>
  <c r="K174" i="2"/>
  <c r="J174" i="2"/>
  <c r="O173" i="2"/>
  <c r="N173" i="2"/>
  <c r="M173" i="2"/>
  <c r="L173" i="2"/>
  <c r="K173" i="2"/>
  <c r="J173" i="2"/>
  <c r="O172" i="2"/>
  <c r="N172" i="2"/>
  <c r="M172" i="2"/>
  <c r="L172" i="2"/>
  <c r="K172" i="2"/>
  <c r="J172" i="2"/>
  <c r="O171" i="2"/>
  <c r="N171" i="2"/>
  <c r="M171" i="2"/>
  <c r="L171" i="2"/>
  <c r="K171" i="2"/>
  <c r="J171" i="2"/>
  <c r="O170" i="2"/>
  <c r="N170" i="2"/>
  <c r="M170" i="2"/>
  <c r="L170" i="2"/>
  <c r="K170" i="2"/>
  <c r="J170" i="2"/>
  <c r="O169" i="2"/>
  <c r="N169" i="2"/>
  <c r="M169" i="2"/>
  <c r="L169" i="2"/>
  <c r="K169" i="2"/>
  <c r="J169" i="2"/>
  <c r="O168" i="2"/>
  <c r="N168" i="2"/>
  <c r="M168" i="2"/>
  <c r="L168" i="2"/>
  <c r="K168" i="2"/>
  <c r="J168" i="2"/>
  <c r="O167" i="2"/>
  <c r="N167" i="2"/>
  <c r="M167" i="2"/>
  <c r="L167" i="2"/>
  <c r="K167" i="2"/>
  <c r="J167" i="2"/>
  <c r="O166" i="2"/>
  <c r="N166" i="2"/>
  <c r="M166" i="2"/>
  <c r="L166" i="2"/>
  <c r="K166" i="2"/>
  <c r="J166" i="2"/>
  <c r="O165" i="2"/>
  <c r="N165" i="2"/>
  <c r="M165" i="2"/>
  <c r="L165" i="2"/>
  <c r="K165" i="2"/>
  <c r="J165" i="2"/>
  <c r="O164" i="2"/>
  <c r="N164" i="2"/>
  <c r="M164" i="2"/>
  <c r="L164" i="2"/>
  <c r="K164" i="2"/>
  <c r="J164" i="2"/>
  <c r="O163" i="2"/>
  <c r="N163" i="2"/>
  <c r="M163" i="2"/>
  <c r="L163" i="2"/>
  <c r="K163" i="2"/>
  <c r="J163" i="2"/>
  <c r="O162" i="2"/>
  <c r="N162" i="2"/>
  <c r="M162" i="2"/>
  <c r="L162" i="2"/>
  <c r="K162" i="2"/>
  <c r="J162" i="2"/>
  <c r="O161" i="2"/>
  <c r="N161" i="2"/>
  <c r="M161" i="2"/>
  <c r="L161" i="2"/>
  <c r="K161" i="2"/>
  <c r="J161" i="2"/>
  <c r="O160" i="2"/>
  <c r="N160" i="2"/>
  <c r="M160" i="2"/>
  <c r="L160" i="2"/>
  <c r="K160" i="2"/>
  <c r="J160" i="2"/>
  <c r="O159" i="2"/>
  <c r="N159" i="2"/>
  <c r="M159" i="2"/>
  <c r="L159" i="2"/>
  <c r="K159" i="2"/>
  <c r="J159" i="2"/>
  <c r="O158" i="2"/>
  <c r="N158" i="2"/>
  <c r="M158" i="2"/>
  <c r="L158" i="2"/>
  <c r="K158" i="2"/>
  <c r="J158" i="2"/>
  <c r="O157" i="2"/>
  <c r="N157" i="2"/>
  <c r="M157" i="2"/>
  <c r="L157" i="2"/>
  <c r="K157" i="2"/>
  <c r="J157" i="2"/>
  <c r="O156" i="2"/>
  <c r="N156" i="2"/>
  <c r="M156" i="2"/>
  <c r="L156" i="2"/>
  <c r="K156" i="2"/>
  <c r="J156" i="2"/>
  <c r="O155" i="2"/>
  <c r="N155" i="2"/>
  <c r="M155" i="2"/>
  <c r="L155" i="2"/>
  <c r="K155" i="2"/>
  <c r="J155" i="2"/>
  <c r="O154" i="2"/>
  <c r="N154" i="2"/>
  <c r="M154" i="2"/>
  <c r="L154" i="2"/>
  <c r="K154" i="2"/>
  <c r="J154" i="2"/>
  <c r="O153" i="2"/>
  <c r="N153" i="2"/>
  <c r="M153" i="2"/>
  <c r="L153" i="2"/>
  <c r="K153" i="2"/>
  <c r="J153" i="2"/>
  <c r="O152" i="2"/>
  <c r="N152" i="2"/>
  <c r="M152" i="2"/>
  <c r="L152" i="2"/>
  <c r="K152" i="2"/>
  <c r="J152" i="2"/>
  <c r="O151" i="2"/>
  <c r="N151" i="2"/>
  <c r="M151" i="2"/>
  <c r="L151" i="2"/>
  <c r="K151" i="2"/>
  <c r="J151" i="2"/>
  <c r="O150" i="2"/>
  <c r="N150" i="2"/>
  <c r="M150" i="2"/>
  <c r="L150" i="2"/>
  <c r="K150" i="2"/>
  <c r="J150" i="2"/>
  <c r="O149" i="2"/>
  <c r="N149" i="2"/>
  <c r="M149" i="2"/>
  <c r="L149" i="2"/>
  <c r="K149" i="2"/>
  <c r="J149" i="2"/>
  <c r="O148" i="2"/>
  <c r="N148" i="2"/>
  <c r="M148" i="2"/>
  <c r="L148" i="2"/>
  <c r="K148" i="2"/>
  <c r="J148" i="2"/>
  <c r="O147" i="2"/>
  <c r="N147" i="2"/>
  <c r="M147" i="2"/>
  <c r="L147" i="2"/>
  <c r="K147" i="2"/>
  <c r="J147" i="2"/>
  <c r="O146" i="2"/>
  <c r="N146" i="2"/>
  <c r="M146" i="2"/>
  <c r="L146" i="2"/>
  <c r="K146" i="2"/>
  <c r="J146" i="2"/>
  <c r="O145" i="2"/>
  <c r="N145" i="2"/>
  <c r="M145" i="2"/>
  <c r="L145" i="2"/>
  <c r="K145" i="2"/>
  <c r="J145" i="2"/>
  <c r="O144" i="2"/>
  <c r="N144" i="2"/>
  <c r="M144" i="2"/>
  <c r="L144" i="2"/>
  <c r="K144" i="2"/>
  <c r="J144" i="2"/>
  <c r="O143" i="2"/>
  <c r="N143" i="2"/>
  <c r="M143" i="2"/>
  <c r="L143" i="2"/>
  <c r="K143" i="2"/>
  <c r="J143" i="2"/>
  <c r="O142" i="2"/>
  <c r="N142" i="2"/>
  <c r="M142" i="2"/>
  <c r="L142" i="2"/>
  <c r="K142" i="2"/>
  <c r="J142" i="2"/>
  <c r="O141" i="2"/>
  <c r="N141" i="2"/>
  <c r="M141" i="2"/>
  <c r="L141" i="2"/>
  <c r="K141" i="2"/>
  <c r="J141" i="2"/>
  <c r="O140" i="2"/>
  <c r="N140" i="2"/>
  <c r="M140" i="2"/>
  <c r="L140" i="2"/>
  <c r="K140" i="2"/>
  <c r="J140" i="2"/>
  <c r="O139" i="2"/>
  <c r="N139" i="2"/>
  <c r="M139" i="2"/>
  <c r="L139" i="2"/>
  <c r="K139" i="2"/>
  <c r="J139" i="2"/>
  <c r="O138" i="2"/>
  <c r="N138" i="2"/>
  <c r="M138" i="2"/>
  <c r="L138" i="2"/>
  <c r="K138" i="2"/>
  <c r="J138" i="2"/>
  <c r="O137" i="2"/>
  <c r="N137" i="2"/>
  <c r="M137" i="2"/>
  <c r="L137" i="2"/>
  <c r="K137" i="2"/>
  <c r="J137" i="2"/>
  <c r="O136" i="2"/>
  <c r="N136" i="2"/>
  <c r="M136" i="2"/>
  <c r="L136" i="2"/>
  <c r="K136" i="2"/>
  <c r="J136" i="2"/>
  <c r="O135" i="2"/>
  <c r="N135" i="2"/>
  <c r="M135" i="2"/>
  <c r="L135" i="2"/>
  <c r="K135" i="2"/>
  <c r="J135" i="2"/>
  <c r="O134" i="2"/>
  <c r="N134" i="2"/>
  <c r="M134" i="2"/>
  <c r="L134" i="2"/>
  <c r="K134" i="2"/>
  <c r="J134" i="2"/>
  <c r="O133" i="2"/>
  <c r="N133" i="2"/>
  <c r="M133" i="2"/>
  <c r="L133" i="2"/>
  <c r="K133" i="2"/>
  <c r="J133" i="2"/>
  <c r="O132" i="2"/>
  <c r="N132" i="2"/>
  <c r="M132" i="2"/>
  <c r="L132" i="2"/>
  <c r="K132" i="2"/>
  <c r="J132" i="2"/>
  <c r="O131" i="2"/>
  <c r="N131" i="2"/>
  <c r="M131" i="2"/>
  <c r="L131" i="2"/>
  <c r="K131" i="2"/>
  <c r="J131" i="2"/>
  <c r="O130" i="2"/>
  <c r="N130" i="2"/>
  <c r="M130" i="2"/>
  <c r="L130" i="2"/>
  <c r="K130" i="2"/>
  <c r="J130" i="2"/>
  <c r="O129" i="2"/>
  <c r="N129" i="2"/>
  <c r="M129" i="2"/>
  <c r="L129" i="2"/>
  <c r="K129" i="2"/>
  <c r="J129" i="2"/>
  <c r="O128" i="2"/>
  <c r="N128" i="2"/>
  <c r="M128" i="2"/>
  <c r="L128" i="2"/>
  <c r="K128" i="2"/>
  <c r="J128" i="2"/>
  <c r="O127" i="2"/>
  <c r="N127" i="2"/>
  <c r="M127" i="2"/>
  <c r="L127" i="2"/>
  <c r="K127" i="2"/>
  <c r="J127" i="2"/>
  <c r="O126" i="2"/>
  <c r="N126" i="2"/>
  <c r="M126" i="2"/>
  <c r="L126" i="2"/>
  <c r="K126" i="2"/>
  <c r="J126" i="2"/>
  <c r="O125" i="2"/>
  <c r="N125" i="2"/>
  <c r="M125" i="2"/>
  <c r="L125" i="2"/>
  <c r="K125" i="2"/>
  <c r="J125" i="2"/>
  <c r="O124" i="2"/>
  <c r="N124" i="2"/>
  <c r="M124" i="2"/>
  <c r="L124" i="2"/>
  <c r="K124" i="2"/>
  <c r="J124" i="2"/>
  <c r="O123" i="2"/>
  <c r="N123" i="2"/>
  <c r="M123" i="2"/>
  <c r="L123" i="2"/>
  <c r="K123" i="2"/>
  <c r="J123" i="2"/>
  <c r="O122" i="2"/>
  <c r="N122" i="2"/>
  <c r="M122" i="2"/>
  <c r="L122" i="2"/>
  <c r="K122" i="2"/>
  <c r="J122" i="2"/>
  <c r="O121" i="2"/>
  <c r="N121" i="2"/>
  <c r="M121" i="2"/>
  <c r="L121" i="2"/>
  <c r="K121" i="2"/>
  <c r="J121" i="2"/>
  <c r="O120" i="2"/>
  <c r="N120" i="2"/>
  <c r="M120" i="2"/>
  <c r="L120" i="2"/>
  <c r="K120" i="2"/>
  <c r="J120" i="2"/>
  <c r="O119" i="2"/>
  <c r="N119" i="2"/>
  <c r="M119" i="2"/>
  <c r="L119" i="2"/>
  <c r="K119" i="2"/>
  <c r="J119" i="2"/>
  <c r="O118" i="2"/>
  <c r="N118" i="2"/>
  <c r="M118" i="2"/>
  <c r="L118" i="2"/>
  <c r="K118" i="2"/>
  <c r="J118" i="2"/>
  <c r="O117" i="2"/>
  <c r="N117" i="2"/>
  <c r="M117" i="2"/>
  <c r="L117" i="2"/>
  <c r="K117" i="2"/>
  <c r="J117" i="2"/>
  <c r="O116" i="2"/>
  <c r="N116" i="2"/>
  <c r="M116" i="2"/>
  <c r="L116" i="2"/>
  <c r="K116" i="2"/>
  <c r="J116" i="2"/>
  <c r="O115" i="2"/>
  <c r="N115" i="2"/>
  <c r="M115" i="2"/>
  <c r="L115" i="2"/>
  <c r="K115" i="2"/>
  <c r="J115" i="2"/>
  <c r="O114" i="2"/>
  <c r="N114" i="2"/>
  <c r="M114" i="2"/>
  <c r="L114" i="2"/>
  <c r="K114" i="2"/>
  <c r="J114" i="2"/>
  <c r="O113" i="2"/>
  <c r="N113" i="2"/>
  <c r="M113" i="2"/>
  <c r="L113" i="2"/>
  <c r="K113" i="2"/>
  <c r="J113" i="2"/>
  <c r="O112" i="2"/>
  <c r="N112" i="2"/>
  <c r="M112" i="2"/>
  <c r="L112" i="2"/>
  <c r="K112" i="2"/>
  <c r="J112" i="2"/>
  <c r="O111" i="2"/>
  <c r="N111" i="2"/>
  <c r="M111" i="2"/>
  <c r="L111" i="2"/>
  <c r="K111" i="2"/>
  <c r="J111" i="2"/>
  <c r="O110" i="2"/>
  <c r="N110" i="2"/>
  <c r="M110" i="2"/>
  <c r="L110" i="2"/>
  <c r="K110" i="2"/>
  <c r="J110" i="2"/>
  <c r="O109" i="2"/>
  <c r="N109" i="2"/>
  <c r="M109" i="2"/>
  <c r="L109" i="2"/>
  <c r="K109" i="2"/>
  <c r="J109" i="2"/>
  <c r="O108" i="2"/>
  <c r="N108" i="2"/>
  <c r="M108" i="2"/>
  <c r="L108" i="2"/>
  <c r="K108" i="2"/>
  <c r="J108" i="2"/>
  <c r="O107" i="2"/>
  <c r="N107" i="2"/>
  <c r="M107" i="2"/>
  <c r="L107" i="2"/>
  <c r="K107" i="2"/>
  <c r="J107" i="2"/>
  <c r="O106" i="2"/>
  <c r="N106" i="2"/>
  <c r="M106" i="2"/>
  <c r="L106" i="2"/>
  <c r="K106" i="2"/>
  <c r="J106" i="2"/>
  <c r="O105" i="2"/>
  <c r="N105" i="2"/>
  <c r="M105" i="2"/>
  <c r="L105" i="2"/>
  <c r="K105" i="2"/>
  <c r="J105" i="2"/>
  <c r="M104" i="2"/>
  <c r="L104" i="2"/>
  <c r="I104" i="2"/>
  <c r="O104" i="2" s="1"/>
  <c r="H104" i="2"/>
  <c r="N104" i="2" s="1"/>
  <c r="E104" i="2"/>
  <c r="K104" i="2" s="1"/>
  <c r="D104" i="2"/>
  <c r="J104" i="2" s="1"/>
  <c r="O103" i="2"/>
  <c r="N103" i="2"/>
  <c r="M103" i="2"/>
  <c r="L103" i="2"/>
  <c r="K103" i="2"/>
  <c r="J103" i="2"/>
  <c r="O102" i="2"/>
  <c r="N102" i="2"/>
  <c r="M102" i="2"/>
  <c r="L102" i="2"/>
  <c r="K102" i="2"/>
  <c r="J102" i="2"/>
  <c r="O101" i="2"/>
  <c r="N101" i="2"/>
  <c r="M101" i="2"/>
  <c r="L101" i="2"/>
  <c r="K101" i="2"/>
  <c r="J101" i="2"/>
  <c r="M100" i="2"/>
  <c r="L100" i="2"/>
  <c r="K100" i="2"/>
  <c r="J100" i="2"/>
  <c r="I100" i="2"/>
  <c r="O100" i="2" s="1"/>
  <c r="H100" i="2"/>
  <c r="N100" i="2" s="1"/>
  <c r="O99" i="2"/>
  <c r="N99" i="2"/>
  <c r="M99" i="2"/>
  <c r="L99" i="2"/>
  <c r="K99" i="2"/>
  <c r="J99" i="2"/>
  <c r="O98" i="2"/>
  <c r="N98" i="2"/>
  <c r="M98" i="2"/>
  <c r="L98" i="2"/>
  <c r="K98" i="2"/>
  <c r="J98" i="2"/>
  <c r="M97" i="2"/>
  <c r="L97" i="2"/>
  <c r="K97" i="2"/>
  <c r="J97" i="2"/>
  <c r="I97" i="2"/>
  <c r="O97" i="2" s="1"/>
  <c r="H97" i="2"/>
  <c r="N97" i="2" s="1"/>
  <c r="M96" i="2"/>
  <c r="L96" i="2"/>
  <c r="K96" i="2"/>
  <c r="J96" i="2"/>
  <c r="I96" i="2"/>
  <c r="O96" i="2" s="1"/>
  <c r="H96" i="2"/>
  <c r="N96" i="2" s="1"/>
  <c r="M95" i="2"/>
  <c r="L95" i="2"/>
  <c r="K95" i="2"/>
  <c r="J95" i="2"/>
  <c r="I95" i="2"/>
  <c r="O95" i="2" s="1"/>
  <c r="H95" i="2"/>
  <c r="N95" i="2" s="1"/>
  <c r="O94" i="2"/>
  <c r="N94" i="2"/>
  <c r="M94" i="2"/>
  <c r="L94" i="2"/>
  <c r="K94" i="2"/>
  <c r="J94" i="2"/>
  <c r="O93" i="2"/>
  <c r="N93" i="2"/>
  <c r="M93" i="2"/>
  <c r="L93" i="2"/>
  <c r="K93" i="2"/>
  <c r="J93" i="2"/>
  <c r="O92" i="2"/>
  <c r="N92" i="2"/>
  <c r="M92" i="2"/>
  <c r="L92" i="2"/>
  <c r="J92" i="2"/>
  <c r="E92" i="2"/>
  <c r="K92" i="2" s="1"/>
  <c r="O91" i="2"/>
  <c r="N91" i="2"/>
  <c r="M91" i="2"/>
  <c r="L91" i="2"/>
  <c r="K91" i="2"/>
  <c r="J91" i="2"/>
  <c r="M90" i="2"/>
  <c r="L90" i="2"/>
  <c r="K90" i="2"/>
  <c r="J90" i="2"/>
  <c r="I90" i="2"/>
  <c r="O90" i="2" s="1"/>
  <c r="H90" i="2"/>
  <c r="N90" i="2" s="1"/>
  <c r="O89" i="2"/>
  <c r="N89" i="2"/>
  <c r="M89" i="2"/>
  <c r="L89" i="2"/>
  <c r="K89" i="2"/>
  <c r="J89" i="2"/>
  <c r="O88" i="2"/>
  <c r="N88" i="2"/>
  <c r="M88" i="2"/>
  <c r="L88" i="2"/>
  <c r="K88" i="2"/>
  <c r="J88" i="2"/>
  <c r="O87" i="2"/>
  <c r="N87" i="2"/>
  <c r="M87" i="2"/>
  <c r="L87" i="2"/>
  <c r="K87" i="2"/>
  <c r="J87" i="2"/>
  <c r="M86" i="2"/>
  <c r="L86" i="2"/>
  <c r="K86" i="2"/>
  <c r="J86" i="2"/>
  <c r="I86" i="2"/>
  <c r="O86" i="2" s="1"/>
  <c r="H86" i="2"/>
  <c r="N86" i="2" s="1"/>
  <c r="O85" i="2"/>
  <c r="N85" i="2"/>
  <c r="M85" i="2"/>
  <c r="L85" i="2"/>
  <c r="K85" i="2"/>
  <c r="J85" i="2"/>
  <c r="O84" i="2"/>
  <c r="N84" i="2"/>
  <c r="M84" i="2"/>
  <c r="L84" i="2"/>
  <c r="K84" i="2"/>
  <c r="J84" i="2"/>
  <c r="M83" i="2"/>
  <c r="L83" i="2"/>
  <c r="K83" i="2"/>
  <c r="J83" i="2"/>
  <c r="I83" i="2"/>
  <c r="O83" i="2" s="1"/>
  <c r="H83" i="2"/>
  <c r="N83" i="2" s="1"/>
  <c r="M82" i="2"/>
  <c r="L82" i="2"/>
  <c r="K82" i="2"/>
  <c r="J82" i="2"/>
  <c r="I82" i="2"/>
  <c r="O82" i="2" s="1"/>
  <c r="H82" i="2"/>
  <c r="N82" i="2" s="1"/>
  <c r="M81" i="2"/>
  <c r="L81" i="2"/>
  <c r="K81" i="2"/>
  <c r="J81" i="2"/>
  <c r="I81" i="2"/>
  <c r="O81" i="2" s="1"/>
  <c r="H81" i="2"/>
  <c r="N81" i="2" s="1"/>
  <c r="O80" i="2"/>
  <c r="N80" i="2"/>
  <c r="M80" i="2"/>
  <c r="L80" i="2"/>
  <c r="K80" i="2"/>
  <c r="J80" i="2"/>
  <c r="O79" i="2"/>
  <c r="N79" i="2"/>
  <c r="M79" i="2"/>
  <c r="L79" i="2"/>
  <c r="K79" i="2"/>
  <c r="J79" i="2"/>
  <c r="O78" i="2"/>
  <c r="N78" i="2"/>
  <c r="M78" i="2"/>
  <c r="L78" i="2"/>
  <c r="K78" i="2"/>
  <c r="J78" i="2"/>
  <c r="O77" i="2"/>
  <c r="N77" i="2"/>
  <c r="M77" i="2"/>
  <c r="L77" i="2"/>
  <c r="K77" i="2"/>
  <c r="J77" i="2"/>
  <c r="M76" i="2"/>
  <c r="L76" i="2"/>
  <c r="K76" i="2"/>
  <c r="J76" i="2"/>
  <c r="I76" i="2"/>
  <c r="O76" i="2" s="1"/>
  <c r="H76" i="2"/>
  <c r="N76" i="2" s="1"/>
  <c r="O75" i="2"/>
  <c r="N75" i="2"/>
  <c r="M75" i="2"/>
  <c r="L75" i="2"/>
  <c r="K75" i="2"/>
  <c r="J75" i="2"/>
  <c r="O74" i="2"/>
  <c r="N74" i="2"/>
  <c r="M74" i="2"/>
  <c r="L74" i="2"/>
  <c r="K74" i="2"/>
  <c r="J74" i="2"/>
  <c r="O73" i="2"/>
  <c r="N73" i="2"/>
  <c r="M73" i="2"/>
  <c r="L73" i="2"/>
  <c r="K73" i="2"/>
  <c r="J73" i="2"/>
  <c r="M72" i="2"/>
  <c r="L72" i="2"/>
  <c r="K72" i="2"/>
  <c r="J72" i="2"/>
  <c r="I72" i="2"/>
  <c r="O72" i="2" s="1"/>
  <c r="H72" i="2"/>
  <c r="N72" i="2" s="1"/>
  <c r="O71" i="2"/>
  <c r="N71" i="2"/>
  <c r="M71" i="2"/>
  <c r="L71" i="2"/>
  <c r="K71" i="2"/>
  <c r="J71" i="2"/>
  <c r="O70" i="2"/>
  <c r="N70" i="2"/>
  <c r="M70" i="2"/>
  <c r="L70" i="2"/>
  <c r="K70" i="2"/>
  <c r="J70" i="2"/>
  <c r="M69" i="2"/>
  <c r="L69" i="2"/>
  <c r="K69" i="2"/>
  <c r="J69" i="2"/>
  <c r="I69" i="2"/>
  <c r="O69" i="2" s="1"/>
  <c r="H69" i="2"/>
  <c r="N69" i="2" s="1"/>
  <c r="M68" i="2"/>
  <c r="L68" i="2"/>
  <c r="K68" i="2"/>
  <c r="J68" i="2"/>
  <c r="I68" i="2"/>
  <c r="O68" i="2" s="1"/>
  <c r="H68" i="2"/>
  <c r="N68" i="2" s="1"/>
  <c r="M67" i="2"/>
  <c r="L67" i="2"/>
  <c r="K67" i="2"/>
  <c r="J67" i="2"/>
  <c r="I67" i="2"/>
  <c r="O67" i="2" s="1"/>
  <c r="H67" i="2"/>
  <c r="N67" i="2" s="1"/>
  <c r="O66" i="2"/>
  <c r="N66" i="2"/>
  <c r="M66" i="2"/>
  <c r="L66" i="2"/>
  <c r="K66" i="2"/>
  <c r="J66" i="2"/>
  <c r="O65" i="2"/>
  <c r="N65" i="2"/>
  <c r="M65" i="2"/>
  <c r="L65" i="2"/>
  <c r="K65" i="2"/>
  <c r="J65" i="2"/>
  <c r="O64" i="2"/>
  <c r="N64" i="2"/>
  <c r="M64" i="2"/>
  <c r="L64" i="2"/>
  <c r="K64" i="2"/>
  <c r="J64" i="2"/>
  <c r="O63" i="2"/>
  <c r="N63" i="2"/>
  <c r="M63" i="2"/>
  <c r="L63" i="2"/>
  <c r="K63" i="2"/>
  <c r="J63" i="2"/>
  <c r="M62" i="2"/>
  <c r="L62" i="2"/>
  <c r="K62" i="2"/>
  <c r="J62" i="2"/>
  <c r="I62" i="2"/>
  <c r="O62" i="2" s="1"/>
  <c r="H62" i="2"/>
  <c r="N62" i="2" s="1"/>
  <c r="O61" i="2"/>
  <c r="N61" i="2"/>
  <c r="M61" i="2"/>
  <c r="L61" i="2"/>
  <c r="K61" i="2"/>
  <c r="J61" i="2"/>
  <c r="O60" i="2"/>
  <c r="N60" i="2"/>
  <c r="M60" i="2"/>
  <c r="L60" i="2"/>
  <c r="K60" i="2"/>
  <c r="J60" i="2"/>
  <c r="O59" i="2"/>
  <c r="N59" i="2"/>
  <c r="M59" i="2"/>
  <c r="L59" i="2"/>
  <c r="K59" i="2"/>
  <c r="J59" i="2"/>
  <c r="M58" i="2"/>
  <c r="L58" i="2"/>
  <c r="K58" i="2"/>
  <c r="J58" i="2"/>
  <c r="I58" i="2"/>
  <c r="O58" i="2" s="1"/>
  <c r="H58" i="2"/>
  <c r="N58" i="2" s="1"/>
  <c r="O57" i="2"/>
  <c r="N57" i="2"/>
  <c r="M57" i="2"/>
  <c r="L57" i="2"/>
  <c r="K57" i="2"/>
  <c r="J57" i="2"/>
  <c r="M56" i="2"/>
  <c r="L56" i="2"/>
  <c r="K56" i="2"/>
  <c r="J56" i="2"/>
  <c r="I56" i="2"/>
  <c r="O56" i="2" s="1"/>
  <c r="H56" i="2"/>
  <c r="N56" i="2" s="1"/>
  <c r="M55" i="2"/>
  <c r="L55" i="2"/>
  <c r="K55" i="2"/>
  <c r="J55" i="2"/>
  <c r="I55" i="2"/>
  <c r="O55" i="2" s="1"/>
  <c r="H55" i="2"/>
  <c r="N55" i="2" s="1"/>
  <c r="M54" i="2"/>
  <c r="L54" i="2"/>
  <c r="K54" i="2"/>
  <c r="J54" i="2"/>
  <c r="I54" i="2"/>
  <c r="O54" i="2" s="1"/>
  <c r="H54" i="2"/>
  <c r="N54" i="2" s="1"/>
  <c r="O53" i="2"/>
  <c r="N53" i="2"/>
  <c r="M53" i="2"/>
  <c r="L53" i="2"/>
  <c r="K53" i="2"/>
  <c r="J53" i="2"/>
  <c r="O52" i="2"/>
  <c r="N52" i="2"/>
  <c r="M52" i="2"/>
  <c r="L52" i="2"/>
  <c r="K52" i="2"/>
  <c r="J52" i="2"/>
  <c r="O51" i="2"/>
  <c r="N51" i="2"/>
  <c r="M51" i="2"/>
  <c r="L51" i="2"/>
  <c r="K51" i="2"/>
  <c r="J51" i="2"/>
  <c r="O50" i="2"/>
  <c r="N50" i="2"/>
  <c r="M50" i="2"/>
  <c r="L50" i="2"/>
  <c r="K50" i="2"/>
  <c r="J50" i="2"/>
  <c r="M49" i="2"/>
  <c r="L49" i="2"/>
  <c r="K49" i="2"/>
  <c r="J49" i="2"/>
  <c r="I49" i="2"/>
  <c r="O49" i="2" s="1"/>
  <c r="H49" i="2"/>
  <c r="N49" i="2" s="1"/>
  <c r="O48" i="2"/>
  <c r="N48" i="2"/>
  <c r="M48" i="2"/>
  <c r="L48" i="2"/>
  <c r="K48" i="2"/>
  <c r="J48" i="2"/>
  <c r="O47" i="2"/>
  <c r="N47" i="2"/>
  <c r="M47" i="2"/>
  <c r="L47" i="2"/>
  <c r="K47" i="2"/>
  <c r="J47" i="2"/>
  <c r="O46" i="2"/>
  <c r="N46" i="2"/>
  <c r="M46" i="2"/>
  <c r="L46" i="2"/>
  <c r="K46" i="2"/>
  <c r="J46" i="2"/>
  <c r="M45" i="2"/>
  <c r="L45" i="2"/>
  <c r="K45" i="2"/>
  <c r="J45" i="2"/>
  <c r="I45" i="2"/>
  <c r="O45" i="2" s="1"/>
  <c r="H45" i="2"/>
  <c r="N45" i="2" s="1"/>
  <c r="O44" i="2"/>
  <c r="N44" i="2"/>
  <c r="M44" i="2"/>
  <c r="L44" i="2"/>
  <c r="K44" i="2"/>
  <c r="J44" i="2"/>
  <c r="M43" i="2"/>
  <c r="L43" i="2"/>
  <c r="K43" i="2"/>
  <c r="J43" i="2"/>
  <c r="I43" i="2"/>
  <c r="O43" i="2" s="1"/>
  <c r="H43" i="2"/>
  <c r="N43" i="2" s="1"/>
  <c r="M42" i="2"/>
  <c r="L42" i="2"/>
  <c r="K42" i="2"/>
  <c r="J42" i="2"/>
  <c r="I42" i="2"/>
  <c r="O42" i="2" s="1"/>
  <c r="H42" i="2"/>
  <c r="N42" i="2" s="1"/>
  <c r="M41" i="2"/>
  <c r="L41" i="2"/>
  <c r="K41" i="2"/>
  <c r="J41" i="2"/>
  <c r="I41" i="2"/>
  <c r="O41" i="2" s="1"/>
  <c r="H41" i="2"/>
  <c r="N41" i="2" s="1"/>
  <c r="O40" i="2"/>
  <c r="N40" i="2"/>
  <c r="M40" i="2"/>
  <c r="L40" i="2"/>
  <c r="K40" i="2"/>
  <c r="J40" i="2"/>
  <c r="O39" i="2"/>
  <c r="N39" i="2"/>
  <c r="M39" i="2"/>
  <c r="L39" i="2"/>
  <c r="K39" i="2"/>
  <c r="J39" i="2"/>
  <c r="O38" i="2"/>
  <c r="N38" i="2"/>
  <c r="M38" i="2"/>
  <c r="L38" i="2"/>
  <c r="K38" i="2"/>
  <c r="J38" i="2"/>
  <c r="O37" i="2"/>
  <c r="N37" i="2"/>
  <c r="M37" i="2"/>
  <c r="L37" i="2"/>
  <c r="K37" i="2"/>
  <c r="J37" i="2"/>
  <c r="M36" i="2"/>
  <c r="L36" i="2"/>
  <c r="K36" i="2"/>
  <c r="J36" i="2"/>
  <c r="I36" i="2"/>
  <c r="O36" i="2" s="1"/>
  <c r="H36" i="2"/>
  <c r="N36" i="2" s="1"/>
  <c r="O35" i="2"/>
  <c r="N35" i="2"/>
  <c r="M35" i="2"/>
  <c r="L35" i="2"/>
  <c r="K35" i="2"/>
  <c r="J35" i="2"/>
  <c r="O34" i="2"/>
  <c r="N34" i="2"/>
  <c r="M34" i="2"/>
  <c r="L34" i="2"/>
  <c r="K34" i="2"/>
  <c r="J34" i="2"/>
  <c r="O33" i="2"/>
  <c r="N33" i="2"/>
  <c r="M33" i="2"/>
  <c r="L33" i="2"/>
  <c r="K33" i="2"/>
  <c r="J33" i="2"/>
  <c r="M32" i="2"/>
  <c r="L32" i="2"/>
  <c r="K32" i="2"/>
  <c r="J32" i="2"/>
  <c r="I32" i="2"/>
  <c r="O32" i="2" s="1"/>
  <c r="H32" i="2"/>
  <c r="N32" i="2" s="1"/>
  <c r="O31" i="2"/>
  <c r="N31" i="2"/>
  <c r="M31" i="2"/>
  <c r="L31" i="2"/>
  <c r="K31" i="2"/>
  <c r="J31" i="2"/>
  <c r="M30" i="2"/>
  <c r="L30" i="2"/>
  <c r="K30" i="2"/>
  <c r="J30" i="2"/>
  <c r="I30" i="2"/>
  <c r="O30" i="2" s="1"/>
  <c r="H30" i="2"/>
  <c r="N30" i="2" s="1"/>
  <c r="M29" i="2"/>
  <c r="L29" i="2"/>
  <c r="K29" i="2"/>
  <c r="J29" i="2"/>
  <c r="I29" i="2"/>
  <c r="O29" i="2" s="1"/>
  <c r="H29" i="2"/>
  <c r="N29" i="2" s="1"/>
  <c r="M28" i="2"/>
  <c r="L28" i="2"/>
  <c r="K28" i="2"/>
  <c r="J28" i="2"/>
  <c r="I28" i="2"/>
  <c r="O28" i="2" s="1"/>
  <c r="H28" i="2"/>
  <c r="N28" i="2" s="1"/>
  <c r="O27" i="2"/>
  <c r="N27" i="2"/>
  <c r="M27" i="2"/>
  <c r="L27" i="2"/>
  <c r="K27" i="2"/>
  <c r="J27" i="2"/>
  <c r="O26" i="2"/>
  <c r="N26" i="2"/>
  <c r="M26" i="2"/>
  <c r="L26" i="2"/>
  <c r="K26" i="2"/>
  <c r="J26" i="2"/>
  <c r="O25" i="2"/>
  <c r="N25" i="2"/>
  <c r="M25" i="2"/>
  <c r="L25" i="2"/>
  <c r="K25" i="2"/>
  <c r="J25" i="2"/>
  <c r="O24" i="2"/>
  <c r="N24" i="2"/>
  <c r="M24" i="2"/>
  <c r="L24" i="2"/>
  <c r="K24" i="2"/>
  <c r="J24" i="2"/>
  <c r="M23" i="2"/>
  <c r="L23" i="2"/>
  <c r="K23" i="2"/>
  <c r="J23" i="2"/>
  <c r="I23" i="2"/>
  <c r="O23" i="2" s="1"/>
  <c r="H23" i="2"/>
  <c r="N23" i="2" s="1"/>
  <c r="O22" i="2"/>
  <c r="N22" i="2"/>
  <c r="M22" i="2"/>
  <c r="L22" i="2"/>
  <c r="K22" i="2"/>
  <c r="J22" i="2"/>
  <c r="O21" i="2"/>
  <c r="N21" i="2"/>
  <c r="M21" i="2"/>
  <c r="L21" i="2"/>
  <c r="K21" i="2"/>
  <c r="J21" i="2"/>
  <c r="O20" i="2"/>
  <c r="N20" i="2"/>
  <c r="M20" i="2"/>
  <c r="L20" i="2"/>
  <c r="K20" i="2"/>
  <c r="J20" i="2"/>
  <c r="M19" i="2"/>
  <c r="L19" i="2"/>
  <c r="K19" i="2"/>
  <c r="J19" i="2"/>
  <c r="I19" i="2"/>
  <c r="O19" i="2" s="1"/>
  <c r="H19" i="2"/>
  <c r="N19" i="2" s="1"/>
  <c r="O18" i="2"/>
  <c r="N18" i="2"/>
  <c r="M18" i="2"/>
  <c r="L18" i="2"/>
  <c r="K18" i="2"/>
  <c r="J18" i="2"/>
  <c r="M17" i="2"/>
  <c r="L17" i="2"/>
  <c r="K17" i="2"/>
  <c r="J17" i="2"/>
  <c r="I17" i="2"/>
  <c r="O17" i="2" s="1"/>
  <c r="H17" i="2"/>
  <c r="N17" i="2" s="1"/>
  <c r="M16" i="2"/>
  <c r="L16" i="2"/>
  <c r="K16" i="2"/>
  <c r="J16" i="2"/>
  <c r="I16" i="2"/>
  <c r="O16" i="2" s="1"/>
  <c r="H16" i="2"/>
  <c r="N16" i="2" s="1"/>
  <c r="M15" i="2"/>
  <c r="L15" i="2"/>
  <c r="K15" i="2"/>
  <c r="J15" i="2"/>
  <c r="I15" i="2"/>
  <c r="O15" i="2" s="1"/>
  <c r="H15" i="2"/>
  <c r="N15" i="2" s="1"/>
  <c r="O14" i="2"/>
  <c r="N14" i="2"/>
  <c r="M14" i="2"/>
  <c r="L14" i="2"/>
  <c r="K14" i="2"/>
  <c r="J14" i="2"/>
  <c r="O13" i="2"/>
  <c r="N13" i="2"/>
  <c r="M13" i="2"/>
  <c r="L13" i="2"/>
  <c r="K13" i="2"/>
  <c r="J13" i="2"/>
  <c r="O12" i="2"/>
  <c r="N12" i="2"/>
  <c r="M12" i="2"/>
  <c r="L12" i="2"/>
  <c r="K12" i="2"/>
  <c r="J12" i="2"/>
  <c r="O11" i="2"/>
  <c r="N11" i="2"/>
  <c r="M11" i="2"/>
  <c r="L11" i="2"/>
  <c r="K11" i="2"/>
  <c r="J11" i="2"/>
  <c r="M10" i="2"/>
  <c r="L10" i="2"/>
  <c r="K10" i="2"/>
  <c r="J10" i="2"/>
  <c r="I10" i="2"/>
  <c r="O10" i="2" s="1"/>
  <c r="H10" i="2"/>
  <c r="N10" i="2" s="1"/>
  <c r="O9" i="2"/>
  <c r="N9" i="2"/>
  <c r="M9" i="2"/>
  <c r="L9" i="2"/>
  <c r="K9" i="2"/>
  <c r="J9" i="2"/>
  <c r="O8" i="2"/>
  <c r="N8" i="2"/>
  <c r="M8" i="2"/>
  <c r="L8" i="2"/>
  <c r="K8" i="2"/>
  <c r="J8" i="2"/>
  <c r="O7" i="2"/>
  <c r="N7" i="2"/>
  <c r="M7" i="2"/>
  <c r="L7" i="2"/>
  <c r="K7" i="2"/>
  <c r="J7" i="2"/>
  <c r="M6" i="2"/>
  <c r="L6" i="2"/>
  <c r="K6" i="2"/>
  <c r="J6" i="2"/>
  <c r="I6" i="2"/>
  <c r="O6" i="2" s="1"/>
  <c r="H6" i="2"/>
  <c r="N6" i="2" s="1"/>
  <c r="O5" i="2"/>
  <c r="N5" i="2"/>
  <c r="M5" i="2"/>
  <c r="L5" i="2"/>
  <c r="K5" i="2"/>
  <c r="J5" i="2"/>
  <c r="M4" i="2"/>
  <c r="L4" i="2"/>
  <c r="K4" i="2"/>
  <c r="J4" i="2"/>
  <c r="I4" i="2"/>
  <c r="O4" i="2" s="1"/>
  <c r="H4" i="2"/>
  <c r="N4" i="2" s="1"/>
  <c r="M3" i="2"/>
  <c r="L3" i="2"/>
  <c r="K3" i="2"/>
  <c r="J3" i="2"/>
  <c r="I3" i="2"/>
  <c r="O3" i="2" s="1"/>
  <c r="H3" i="2"/>
  <c r="N3" i="2" s="1"/>
  <c r="M2" i="2"/>
  <c r="L2" i="2"/>
  <c r="K2" i="2"/>
  <c r="J2" i="2"/>
  <c r="I2" i="2"/>
  <c r="O2" i="2" s="1"/>
  <c r="H2" i="2"/>
  <c r="N2" i="2" s="1"/>
  <c r="O740" i="1"/>
  <c r="N740" i="1"/>
  <c r="M740" i="1"/>
  <c r="L740" i="1"/>
  <c r="K740" i="1"/>
  <c r="J740" i="1"/>
  <c r="O739" i="1"/>
  <c r="N739" i="1"/>
  <c r="M739" i="1"/>
  <c r="L739" i="1"/>
  <c r="K739" i="1"/>
  <c r="J739" i="1"/>
  <c r="O738" i="1"/>
  <c r="N738" i="1"/>
  <c r="M738" i="1"/>
  <c r="L738" i="1"/>
  <c r="K738" i="1"/>
  <c r="J738" i="1"/>
  <c r="O737" i="1"/>
  <c r="N737" i="1"/>
  <c r="M737" i="1"/>
  <c r="L737" i="1"/>
  <c r="K737" i="1"/>
  <c r="J737" i="1"/>
  <c r="O736" i="1"/>
  <c r="N736" i="1"/>
  <c r="M736" i="1"/>
  <c r="L736" i="1"/>
  <c r="K736" i="1"/>
  <c r="J736" i="1"/>
  <c r="O735" i="1"/>
  <c r="N735" i="1"/>
  <c r="M735" i="1"/>
  <c r="L735" i="1"/>
  <c r="K735" i="1"/>
  <c r="J735" i="1"/>
  <c r="O734" i="1"/>
  <c r="N734" i="1"/>
  <c r="M734" i="1"/>
  <c r="L734" i="1"/>
  <c r="K734" i="1"/>
  <c r="J734" i="1"/>
  <c r="O733" i="1"/>
  <c r="N733" i="1"/>
  <c r="M733" i="1"/>
  <c r="L733" i="1"/>
  <c r="K733" i="1"/>
  <c r="J733" i="1"/>
  <c r="O732" i="1"/>
  <c r="N732" i="1"/>
  <c r="M732" i="1"/>
  <c r="L732" i="1"/>
  <c r="K732" i="1"/>
  <c r="J732" i="1"/>
  <c r="O731" i="1"/>
  <c r="N731" i="1"/>
  <c r="M731" i="1"/>
  <c r="L731" i="1"/>
  <c r="K731" i="1"/>
  <c r="J731" i="1"/>
  <c r="O730" i="1"/>
  <c r="N730" i="1"/>
  <c r="M730" i="1"/>
  <c r="L730" i="1"/>
  <c r="K730" i="1"/>
  <c r="J730" i="1"/>
  <c r="O729" i="1"/>
  <c r="N729" i="1"/>
  <c r="M729" i="1"/>
  <c r="L729" i="1"/>
  <c r="K729" i="1"/>
  <c r="J729" i="1"/>
  <c r="O728" i="1"/>
  <c r="N728" i="1"/>
  <c r="M728" i="1"/>
  <c r="L728" i="1"/>
  <c r="K728" i="1"/>
  <c r="J728" i="1"/>
  <c r="O727" i="1"/>
  <c r="N727" i="1"/>
  <c r="M727" i="1"/>
  <c r="L727" i="1"/>
  <c r="K727" i="1"/>
  <c r="J727" i="1"/>
  <c r="O726" i="1"/>
  <c r="N726" i="1"/>
  <c r="M726" i="1"/>
  <c r="L726" i="1"/>
  <c r="K726" i="1"/>
  <c r="J726" i="1"/>
  <c r="O725" i="1"/>
  <c r="N725" i="1"/>
  <c r="M725" i="1"/>
  <c r="L725" i="1"/>
  <c r="K725" i="1"/>
  <c r="J725" i="1"/>
  <c r="O724" i="1"/>
  <c r="N724" i="1"/>
  <c r="M724" i="1"/>
  <c r="L724" i="1"/>
  <c r="K724" i="1"/>
  <c r="J724" i="1"/>
  <c r="O723" i="1"/>
  <c r="N723" i="1"/>
  <c r="M723" i="1"/>
  <c r="L723" i="1"/>
  <c r="K723" i="1"/>
  <c r="J723" i="1"/>
  <c r="O722" i="1"/>
  <c r="N722" i="1"/>
  <c r="M722" i="1"/>
  <c r="L722" i="1"/>
  <c r="K722" i="1"/>
  <c r="J722" i="1"/>
  <c r="O721" i="1"/>
  <c r="N721" i="1"/>
  <c r="M721" i="1"/>
  <c r="L721" i="1"/>
  <c r="K721" i="1"/>
  <c r="J721" i="1"/>
  <c r="O720" i="1"/>
  <c r="N720" i="1"/>
  <c r="M720" i="1"/>
  <c r="L720" i="1"/>
  <c r="K720" i="1"/>
  <c r="J720" i="1"/>
  <c r="O719" i="1"/>
  <c r="N719" i="1"/>
  <c r="M719" i="1"/>
  <c r="L719" i="1"/>
  <c r="K719" i="1"/>
  <c r="J719" i="1"/>
  <c r="O718" i="1"/>
  <c r="N718" i="1"/>
  <c r="M718" i="1"/>
  <c r="L718" i="1"/>
  <c r="K718" i="1"/>
  <c r="J718" i="1"/>
  <c r="O717" i="1"/>
  <c r="N717" i="1"/>
  <c r="M717" i="1"/>
  <c r="L717" i="1"/>
  <c r="K717" i="1"/>
  <c r="J717" i="1"/>
  <c r="O716" i="1"/>
  <c r="N716" i="1"/>
  <c r="M716" i="1"/>
  <c r="L716" i="1"/>
  <c r="K716" i="1"/>
  <c r="J716" i="1"/>
  <c r="O715" i="1"/>
  <c r="N715" i="1"/>
  <c r="M715" i="1"/>
  <c r="L715" i="1"/>
  <c r="K715" i="1"/>
  <c r="J715" i="1"/>
  <c r="O714" i="1"/>
  <c r="N714" i="1"/>
  <c r="M714" i="1"/>
  <c r="L714" i="1"/>
  <c r="K714" i="1"/>
  <c r="J714" i="1"/>
  <c r="O713" i="1"/>
  <c r="N713" i="1"/>
  <c r="M713" i="1"/>
  <c r="L713" i="1"/>
  <c r="K713" i="1"/>
  <c r="J713" i="1"/>
  <c r="O712" i="1"/>
  <c r="N712" i="1"/>
  <c r="M712" i="1"/>
  <c r="L712" i="1"/>
  <c r="K712" i="1"/>
  <c r="J712" i="1"/>
  <c r="O711" i="1"/>
  <c r="N711" i="1"/>
  <c r="M711" i="1"/>
  <c r="L711" i="1"/>
  <c r="K711" i="1"/>
  <c r="J711" i="1"/>
  <c r="O710" i="1"/>
  <c r="N710" i="1"/>
  <c r="M710" i="1"/>
  <c r="L710" i="1"/>
  <c r="K710" i="1"/>
  <c r="J710" i="1"/>
  <c r="O709" i="1"/>
  <c r="N709" i="1"/>
  <c r="M709" i="1"/>
  <c r="L709" i="1"/>
  <c r="K709" i="1"/>
  <c r="J709" i="1"/>
  <c r="O708" i="1"/>
  <c r="N708" i="1"/>
  <c r="M708" i="1"/>
  <c r="L708" i="1"/>
  <c r="K708" i="1"/>
  <c r="J708" i="1"/>
  <c r="O707" i="1"/>
  <c r="N707" i="1"/>
  <c r="M707" i="1"/>
  <c r="L707" i="1"/>
  <c r="K707" i="1"/>
  <c r="J707" i="1"/>
  <c r="O706" i="1"/>
  <c r="N706" i="1"/>
  <c r="M706" i="1"/>
  <c r="L706" i="1"/>
  <c r="K706" i="1"/>
  <c r="J706" i="1"/>
  <c r="O705" i="1"/>
  <c r="N705" i="1"/>
  <c r="M705" i="1"/>
  <c r="L705" i="1"/>
  <c r="K705" i="1"/>
  <c r="J705" i="1"/>
  <c r="O704" i="1"/>
  <c r="N704" i="1"/>
  <c r="M704" i="1"/>
  <c r="L704" i="1"/>
  <c r="K704" i="1"/>
  <c r="J704" i="1"/>
  <c r="O703" i="1"/>
  <c r="N703" i="1"/>
  <c r="M703" i="1"/>
  <c r="L703" i="1"/>
  <c r="K703" i="1"/>
  <c r="J703" i="1"/>
  <c r="O702" i="1"/>
  <c r="N702" i="1"/>
  <c r="M702" i="1"/>
  <c r="L702" i="1"/>
  <c r="K702" i="1"/>
  <c r="J702" i="1"/>
  <c r="O701" i="1"/>
  <c r="N701" i="1"/>
  <c r="M701" i="1"/>
  <c r="L701" i="1"/>
  <c r="K701" i="1"/>
  <c r="J701" i="1"/>
  <c r="O700" i="1"/>
  <c r="N700" i="1"/>
  <c r="M700" i="1"/>
  <c r="L700" i="1"/>
  <c r="K700" i="1"/>
  <c r="J700" i="1"/>
  <c r="O699" i="1"/>
  <c r="N699" i="1"/>
  <c r="M699" i="1"/>
  <c r="L699" i="1"/>
  <c r="K699" i="1"/>
  <c r="J699" i="1"/>
  <c r="O698" i="1"/>
  <c r="N698" i="1"/>
  <c r="M698" i="1"/>
  <c r="L698" i="1"/>
  <c r="K698" i="1"/>
  <c r="J698" i="1"/>
  <c r="O697" i="1"/>
  <c r="N697" i="1"/>
  <c r="M697" i="1"/>
  <c r="L697" i="1"/>
  <c r="K697" i="1"/>
  <c r="J697" i="1"/>
  <c r="O696" i="1"/>
  <c r="N696" i="1"/>
  <c r="M696" i="1"/>
  <c r="L696" i="1"/>
  <c r="K696" i="1"/>
  <c r="J696" i="1"/>
  <c r="O695" i="1"/>
  <c r="N695" i="1"/>
  <c r="M695" i="1"/>
  <c r="L695" i="1"/>
  <c r="K695" i="1"/>
  <c r="J695" i="1"/>
  <c r="O694" i="1"/>
  <c r="N694" i="1"/>
  <c r="M694" i="1"/>
  <c r="L694" i="1"/>
  <c r="K694" i="1"/>
  <c r="J694" i="1"/>
  <c r="O693" i="1"/>
  <c r="N693" i="1"/>
  <c r="M693" i="1"/>
  <c r="L693" i="1"/>
  <c r="K693" i="1"/>
  <c r="J693" i="1"/>
  <c r="O692" i="1"/>
  <c r="N692" i="1"/>
  <c r="M692" i="1"/>
  <c r="L692" i="1"/>
  <c r="K692" i="1"/>
  <c r="J692" i="1"/>
  <c r="O691" i="1"/>
  <c r="N691" i="1"/>
  <c r="M691" i="1"/>
  <c r="L691" i="1"/>
  <c r="K691" i="1"/>
  <c r="J691" i="1"/>
  <c r="O690" i="1"/>
  <c r="N690" i="1"/>
  <c r="M690" i="1"/>
  <c r="L690" i="1"/>
  <c r="K690" i="1"/>
  <c r="J690" i="1"/>
  <c r="O689" i="1"/>
  <c r="N689" i="1"/>
  <c r="M689" i="1"/>
  <c r="L689" i="1"/>
  <c r="K689" i="1"/>
  <c r="J689" i="1"/>
  <c r="O688" i="1"/>
  <c r="N688" i="1"/>
  <c r="M688" i="1"/>
  <c r="L688" i="1"/>
  <c r="K688" i="1"/>
  <c r="J688" i="1"/>
  <c r="O687" i="1"/>
  <c r="N687" i="1"/>
  <c r="M687" i="1"/>
  <c r="L687" i="1"/>
  <c r="K687" i="1"/>
  <c r="J687" i="1"/>
  <c r="O686" i="1"/>
  <c r="N686" i="1"/>
  <c r="M686" i="1"/>
  <c r="L686" i="1"/>
  <c r="K686" i="1"/>
  <c r="J686" i="1"/>
  <c r="M685" i="1"/>
  <c r="L685" i="1"/>
  <c r="K685" i="1"/>
  <c r="J685" i="1"/>
  <c r="I685" i="1"/>
  <c r="O685" i="1" s="1"/>
  <c r="H685" i="1"/>
  <c r="N685" i="1" s="1"/>
  <c r="O684" i="1"/>
  <c r="N684" i="1"/>
  <c r="M684" i="1"/>
  <c r="L684" i="1"/>
  <c r="K684" i="1"/>
  <c r="J684" i="1"/>
  <c r="O683" i="1"/>
  <c r="N683" i="1"/>
  <c r="M683" i="1"/>
  <c r="L683" i="1"/>
  <c r="K683" i="1"/>
  <c r="J683" i="1"/>
  <c r="O682" i="1"/>
  <c r="N682" i="1"/>
  <c r="M682" i="1"/>
  <c r="L682" i="1"/>
  <c r="K682" i="1"/>
  <c r="J682" i="1"/>
  <c r="O681" i="1"/>
  <c r="N681" i="1"/>
  <c r="M681" i="1"/>
  <c r="L681" i="1"/>
  <c r="K681" i="1"/>
  <c r="J681" i="1"/>
  <c r="M680" i="1"/>
  <c r="L680" i="1"/>
  <c r="K680" i="1"/>
  <c r="J680" i="1"/>
  <c r="I680" i="1"/>
  <c r="O680" i="1" s="1"/>
  <c r="H680" i="1"/>
  <c r="N680" i="1" s="1"/>
  <c r="O679" i="1"/>
  <c r="N679" i="1"/>
  <c r="M679" i="1"/>
  <c r="L679" i="1"/>
  <c r="K679" i="1"/>
  <c r="J679" i="1"/>
  <c r="O678" i="1"/>
  <c r="N678" i="1"/>
  <c r="M678" i="1"/>
  <c r="L678" i="1"/>
  <c r="K678" i="1"/>
  <c r="J678" i="1"/>
  <c r="O677" i="1"/>
  <c r="N677" i="1"/>
  <c r="M677" i="1"/>
  <c r="L677" i="1"/>
  <c r="K677" i="1"/>
  <c r="J677" i="1"/>
  <c r="O676" i="1"/>
  <c r="N676" i="1"/>
  <c r="M676" i="1"/>
  <c r="L676" i="1"/>
  <c r="K676" i="1"/>
  <c r="J676" i="1"/>
  <c r="O675" i="1"/>
  <c r="N675" i="1"/>
  <c r="M675" i="1"/>
  <c r="L675" i="1"/>
  <c r="K675" i="1"/>
  <c r="J675" i="1"/>
  <c r="O674" i="1"/>
  <c r="N674" i="1"/>
  <c r="M674" i="1"/>
  <c r="L674" i="1"/>
  <c r="K674" i="1"/>
  <c r="J674" i="1"/>
  <c r="O673" i="1"/>
  <c r="N673" i="1"/>
  <c r="M673" i="1"/>
  <c r="L673" i="1"/>
  <c r="K673" i="1"/>
  <c r="J673" i="1"/>
  <c r="O672" i="1"/>
  <c r="N672" i="1"/>
  <c r="M672" i="1"/>
  <c r="L672" i="1"/>
  <c r="K672" i="1"/>
  <c r="J672" i="1"/>
  <c r="O671" i="1"/>
  <c r="N671" i="1"/>
  <c r="M671" i="1"/>
  <c r="L671" i="1"/>
  <c r="K671" i="1"/>
  <c r="J671" i="1"/>
  <c r="O670" i="1"/>
  <c r="N670" i="1"/>
  <c r="M670" i="1"/>
  <c r="L670" i="1"/>
  <c r="K670" i="1"/>
  <c r="J670" i="1"/>
  <c r="O669" i="1"/>
  <c r="N669" i="1"/>
  <c r="M669" i="1"/>
  <c r="L669" i="1"/>
  <c r="K669" i="1"/>
  <c r="J669" i="1"/>
  <c r="O668" i="1"/>
  <c r="N668" i="1"/>
  <c r="M668" i="1"/>
  <c r="L668" i="1"/>
  <c r="K668" i="1"/>
  <c r="J668" i="1"/>
  <c r="O667" i="1"/>
  <c r="N667" i="1"/>
  <c r="M667" i="1"/>
  <c r="L667" i="1"/>
  <c r="K667" i="1"/>
  <c r="J667" i="1"/>
  <c r="O666" i="1"/>
  <c r="N666" i="1"/>
  <c r="M666" i="1"/>
  <c r="L666" i="1"/>
  <c r="K666" i="1"/>
  <c r="J666" i="1"/>
  <c r="O665" i="1"/>
  <c r="N665" i="1"/>
  <c r="M665" i="1"/>
  <c r="L665" i="1"/>
  <c r="K665" i="1"/>
  <c r="J665" i="1"/>
  <c r="O664" i="1"/>
  <c r="N664" i="1"/>
  <c r="M664" i="1"/>
  <c r="L664" i="1"/>
  <c r="K664" i="1"/>
  <c r="J664" i="1"/>
  <c r="O663" i="1"/>
  <c r="N663" i="1"/>
  <c r="M663" i="1"/>
  <c r="L663" i="1"/>
  <c r="K663" i="1"/>
  <c r="J663" i="1"/>
  <c r="O662" i="1"/>
  <c r="N662" i="1"/>
  <c r="M662" i="1"/>
  <c r="L662" i="1"/>
  <c r="K662" i="1"/>
  <c r="J662" i="1"/>
  <c r="O661" i="1"/>
  <c r="N661" i="1"/>
  <c r="M661" i="1"/>
  <c r="L661" i="1"/>
  <c r="K661" i="1"/>
  <c r="J661" i="1"/>
  <c r="O660" i="1"/>
  <c r="N660" i="1"/>
  <c r="M660" i="1"/>
  <c r="L660" i="1"/>
  <c r="K660" i="1"/>
  <c r="J660" i="1"/>
  <c r="O659" i="1"/>
  <c r="N659" i="1"/>
  <c r="M659" i="1"/>
  <c r="L659" i="1"/>
  <c r="K659" i="1"/>
  <c r="J659" i="1"/>
  <c r="O658" i="1"/>
  <c r="N658" i="1"/>
  <c r="M658" i="1"/>
  <c r="L658" i="1"/>
  <c r="K658" i="1"/>
  <c r="J658" i="1"/>
  <c r="O657" i="1"/>
  <c r="N657" i="1"/>
  <c r="M657" i="1"/>
  <c r="L657" i="1"/>
  <c r="K657" i="1"/>
  <c r="J657" i="1"/>
  <c r="O656" i="1"/>
  <c r="N656" i="1"/>
  <c r="M656" i="1"/>
  <c r="L656" i="1"/>
  <c r="K656" i="1"/>
  <c r="J656" i="1"/>
  <c r="O655" i="1"/>
  <c r="N655" i="1"/>
  <c r="M655" i="1"/>
  <c r="L655" i="1"/>
  <c r="K655" i="1"/>
  <c r="J655" i="1"/>
  <c r="O654" i="1"/>
  <c r="N654" i="1"/>
  <c r="M654" i="1"/>
  <c r="L654" i="1"/>
  <c r="K654" i="1"/>
  <c r="J654" i="1"/>
  <c r="O653" i="1"/>
  <c r="N653" i="1"/>
  <c r="M653" i="1"/>
  <c r="L653" i="1"/>
  <c r="K653" i="1"/>
  <c r="J653" i="1"/>
  <c r="O652" i="1"/>
  <c r="N652" i="1"/>
  <c r="M652" i="1"/>
  <c r="L652" i="1"/>
  <c r="K652" i="1"/>
  <c r="J652" i="1"/>
  <c r="O651" i="1"/>
  <c r="N651" i="1"/>
  <c r="M651" i="1"/>
  <c r="L651" i="1"/>
  <c r="K651" i="1"/>
  <c r="J651" i="1"/>
  <c r="O650" i="1"/>
  <c r="N650" i="1"/>
  <c r="M650" i="1"/>
  <c r="L650" i="1"/>
  <c r="K650" i="1"/>
  <c r="J650" i="1"/>
  <c r="O649" i="1"/>
  <c r="N649" i="1"/>
  <c r="M649" i="1"/>
  <c r="L649" i="1"/>
  <c r="K649" i="1"/>
  <c r="J649" i="1"/>
  <c r="O648" i="1"/>
  <c r="N648" i="1"/>
  <c r="M648" i="1"/>
  <c r="L648" i="1"/>
  <c r="K648" i="1"/>
  <c r="J648" i="1"/>
  <c r="O647" i="1"/>
  <c r="N647" i="1"/>
  <c r="M647" i="1"/>
  <c r="L647" i="1"/>
  <c r="K647" i="1"/>
  <c r="J647" i="1"/>
  <c r="O646" i="1"/>
  <c r="N646" i="1"/>
  <c r="M646" i="1"/>
  <c r="L646" i="1"/>
  <c r="K646" i="1"/>
  <c r="J646" i="1"/>
  <c r="O645" i="1"/>
  <c r="N645" i="1"/>
  <c r="M645" i="1"/>
  <c r="L645" i="1"/>
  <c r="K645" i="1"/>
  <c r="J645" i="1"/>
  <c r="O644" i="1"/>
  <c r="N644" i="1"/>
  <c r="M644" i="1"/>
  <c r="L644" i="1"/>
  <c r="K644" i="1"/>
  <c r="J644" i="1"/>
  <c r="O643" i="1"/>
  <c r="N643" i="1"/>
  <c r="M643" i="1"/>
  <c r="L643" i="1"/>
  <c r="K643" i="1"/>
  <c r="J643" i="1"/>
  <c r="O642" i="1"/>
  <c r="N642" i="1"/>
  <c r="M642" i="1"/>
  <c r="L642" i="1"/>
  <c r="K642" i="1"/>
  <c r="J642" i="1"/>
  <c r="O641" i="1"/>
  <c r="N641" i="1"/>
  <c r="M641" i="1"/>
  <c r="L641" i="1"/>
  <c r="K641" i="1"/>
  <c r="J641" i="1"/>
  <c r="O640" i="1"/>
  <c r="N640" i="1"/>
  <c r="M640" i="1"/>
  <c r="L640" i="1"/>
  <c r="K640" i="1"/>
  <c r="J640" i="1"/>
  <c r="O639" i="1"/>
  <c r="N639" i="1"/>
  <c r="M639" i="1"/>
  <c r="L639" i="1"/>
  <c r="K639" i="1"/>
  <c r="J639" i="1"/>
  <c r="O638" i="1"/>
  <c r="N638" i="1"/>
  <c r="M638" i="1"/>
  <c r="L638" i="1"/>
  <c r="K638" i="1"/>
  <c r="J638" i="1"/>
  <c r="O637" i="1"/>
  <c r="N637" i="1"/>
  <c r="M637" i="1"/>
  <c r="L637" i="1"/>
  <c r="K637" i="1"/>
  <c r="J637" i="1"/>
  <c r="O636" i="1"/>
  <c r="N636" i="1"/>
  <c r="M636" i="1"/>
  <c r="L636" i="1"/>
  <c r="K636" i="1"/>
  <c r="J636" i="1"/>
  <c r="O635" i="1"/>
  <c r="N635" i="1"/>
  <c r="M635" i="1"/>
  <c r="L635" i="1"/>
  <c r="K635" i="1"/>
  <c r="J635" i="1"/>
  <c r="O634" i="1"/>
  <c r="N634" i="1"/>
  <c r="M634" i="1"/>
  <c r="L634" i="1"/>
  <c r="K634" i="1"/>
  <c r="J634" i="1"/>
  <c r="O633" i="1"/>
  <c r="N633" i="1"/>
  <c r="M633" i="1"/>
  <c r="L633" i="1"/>
  <c r="K633" i="1"/>
  <c r="J633" i="1"/>
  <c r="O632" i="1"/>
  <c r="N632" i="1"/>
  <c r="M632" i="1"/>
  <c r="L632" i="1"/>
  <c r="K632" i="1"/>
  <c r="J632" i="1"/>
  <c r="O631" i="1"/>
  <c r="N631" i="1"/>
  <c r="M631" i="1"/>
  <c r="L631" i="1"/>
  <c r="K631" i="1"/>
  <c r="J631" i="1"/>
  <c r="O630" i="1"/>
  <c r="N630" i="1"/>
  <c r="M630" i="1"/>
  <c r="L630" i="1"/>
  <c r="K630" i="1"/>
  <c r="J630" i="1"/>
  <c r="O629" i="1"/>
  <c r="N629" i="1"/>
  <c r="M629" i="1"/>
  <c r="L629" i="1"/>
  <c r="K629" i="1"/>
  <c r="J629" i="1"/>
  <c r="O628" i="1"/>
  <c r="N628" i="1"/>
  <c r="M628" i="1"/>
  <c r="L628" i="1"/>
  <c r="K628" i="1"/>
  <c r="J628" i="1"/>
  <c r="O627" i="1"/>
  <c r="N627" i="1"/>
  <c r="M627" i="1"/>
  <c r="L627" i="1"/>
  <c r="K627" i="1"/>
  <c r="J627" i="1"/>
  <c r="O626" i="1"/>
  <c r="N626" i="1"/>
  <c r="M626" i="1"/>
  <c r="L626" i="1"/>
  <c r="K626" i="1"/>
  <c r="J626" i="1"/>
  <c r="O625" i="1"/>
  <c r="N625" i="1"/>
  <c r="M625" i="1"/>
  <c r="L625" i="1"/>
  <c r="K625" i="1"/>
  <c r="J625" i="1"/>
  <c r="O624" i="1"/>
  <c r="N624" i="1"/>
  <c r="M624" i="1"/>
  <c r="L624" i="1"/>
  <c r="K624" i="1"/>
  <c r="J624" i="1"/>
  <c r="O623" i="1"/>
  <c r="N623" i="1"/>
  <c r="M623" i="1"/>
  <c r="L623" i="1"/>
  <c r="K623" i="1"/>
  <c r="J623" i="1"/>
  <c r="O622" i="1"/>
  <c r="N622" i="1"/>
  <c r="M622" i="1"/>
  <c r="L622" i="1"/>
  <c r="K622" i="1"/>
  <c r="J622" i="1"/>
  <c r="O621" i="1"/>
  <c r="N621" i="1"/>
  <c r="M621" i="1"/>
  <c r="L621" i="1"/>
  <c r="K621" i="1"/>
  <c r="J621" i="1"/>
  <c r="O620" i="1"/>
  <c r="N620" i="1"/>
  <c r="M620" i="1"/>
  <c r="L620" i="1"/>
  <c r="K620" i="1"/>
  <c r="J620" i="1"/>
  <c r="O619" i="1"/>
  <c r="N619" i="1"/>
  <c r="M619" i="1"/>
  <c r="L619" i="1"/>
  <c r="K619" i="1"/>
  <c r="J619" i="1"/>
  <c r="O618" i="1"/>
  <c r="N618" i="1"/>
  <c r="M618" i="1"/>
  <c r="L618" i="1"/>
  <c r="K618" i="1"/>
  <c r="J618" i="1"/>
  <c r="O617" i="1"/>
  <c r="N617" i="1"/>
  <c r="M617" i="1"/>
  <c r="L617" i="1"/>
  <c r="K617" i="1"/>
  <c r="J617" i="1"/>
  <c r="O616" i="1"/>
  <c r="N616" i="1"/>
  <c r="M616" i="1"/>
  <c r="L616" i="1"/>
  <c r="K616" i="1"/>
  <c r="J616" i="1"/>
  <c r="O615" i="1"/>
  <c r="N615" i="1"/>
  <c r="M615" i="1"/>
  <c r="L615" i="1"/>
  <c r="K615" i="1"/>
  <c r="J615" i="1"/>
  <c r="O614" i="1"/>
  <c r="N614" i="1"/>
  <c r="M614" i="1"/>
  <c r="L614" i="1"/>
  <c r="K614" i="1"/>
  <c r="J614" i="1"/>
  <c r="O613" i="1"/>
  <c r="N613" i="1"/>
  <c r="M613" i="1"/>
  <c r="L613" i="1"/>
  <c r="K613" i="1"/>
  <c r="J613" i="1"/>
  <c r="O612" i="1"/>
  <c r="N612" i="1"/>
  <c r="M612" i="1"/>
  <c r="L612" i="1"/>
  <c r="K612" i="1"/>
  <c r="J612" i="1"/>
  <c r="O611" i="1"/>
  <c r="N611" i="1"/>
  <c r="M611" i="1"/>
  <c r="L611" i="1"/>
  <c r="K611" i="1"/>
  <c r="J611" i="1"/>
  <c r="O610" i="1"/>
  <c r="N610" i="1"/>
  <c r="M610" i="1"/>
  <c r="L610" i="1"/>
  <c r="K610" i="1"/>
  <c r="J610" i="1"/>
  <c r="O609" i="1"/>
  <c r="N609" i="1"/>
  <c r="M609" i="1"/>
  <c r="L609" i="1"/>
  <c r="K609" i="1"/>
  <c r="J609" i="1"/>
  <c r="O608" i="1"/>
  <c r="N608" i="1"/>
  <c r="M608" i="1"/>
  <c r="L608" i="1"/>
  <c r="K608" i="1"/>
  <c r="J608" i="1"/>
  <c r="O607" i="1"/>
  <c r="N607" i="1"/>
  <c r="M607" i="1"/>
  <c r="L607" i="1"/>
  <c r="K607" i="1"/>
  <c r="J607" i="1"/>
  <c r="O606" i="1"/>
  <c r="N606" i="1"/>
  <c r="M606" i="1"/>
  <c r="L606" i="1"/>
  <c r="K606" i="1"/>
  <c r="J606" i="1"/>
  <c r="O605" i="1"/>
  <c r="N605" i="1"/>
  <c r="M605" i="1"/>
  <c r="L605" i="1"/>
  <c r="K605" i="1"/>
  <c r="J605" i="1"/>
  <c r="O604" i="1"/>
  <c r="N604" i="1"/>
  <c r="M604" i="1"/>
  <c r="L604" i="1"/>
  <c r="K604" i="1"/>
  <c r="J604" i="1"/>
  <c r="O603" i="1"/>
  <c r="N603" i="1"/>
  <c r="M603" i="1"/>
  <c r="L603" i="1"/>
  <c r="K603" i="1"/>
  <c r="J603" i="1"/>
  <c r="O602" i="1"/>
  <c r="N602" i="1"/>
  <c r="M602" i="1"/>
  <c r="L602" i="1"/>
  <c r="K602" i="1"/>
  <c r="J602" i="1"/>
  <c r="O601" i="1"/>
  <c r="N601" i="1"/>
  <c r="M601" i="1"/>
  <c r="L601" i="1"/>
  <c r="K601" i="1"/>
  <c r="J601" i="1"/>
  <c r="O600" i="1"/>
  <c r="N600" i="1"/>
  <c r="M600" i="1"/>
  <c r="L600" i="1"/>
  <c r="K600" i="1"/>
  <c r="J600" i="1"/>
  <c r="O599" i="1"/>
  <c r="N599" i="1"/>
  <c r="M599" i="1"/>
  <c r="L599" i="1"/>
  <c r="K599" i="1"/>
  <c r="J599" i="1"/>
  <c r="O598" i="1"/>
  <c r="N598" i="1"/>
  <c r="M598" i="1"/>
  <c r="L598" i="1"/>
  <c r="K598" i="1"/>
  <c r="J598" i="1"/>
  <c r="O597" i="1"/>
  <c r="N597" i="1"/>
  <c r="M597" i="1"/>
  <c r="L597" i="1"/>
  <c r="K597" i="1"/>
  <c r="J597" i="1"/>
  <c r="O596" i="1"/>
  <c r="N596" i="1"/>
  <c r="M596" i="1"/>
  <c r="L596" i="1"/>
  <c r="K596" i="1"/>
  <c r="J596" i="1"/>
  <c r="O595" i="1"/>
  <c r="N595" i="1"/>
  <c r="M595" i="1"/>
  <c r="L595" i="1"/>
  <c r="K595" i="1"/>
  <c r="J595" i="1"/>
  <c r="O594" i="1"/>
  <c r="N594" i="1"/>
  <c r="M594" i="1"/>
  <c r="L594" i="1"/>
  <c r="K594" i="1"/>
  <c r="J594" i="1"/>
  <c r="O593" i="1"/>
  <c r="N593" i="1"/>
  <c r="M593" i="1"/>
  <c r="L593" i="1"/>
  <c r="K593" i="1"/>
  <c r="J593" i="1"/>
  <c r="O592" i="1"/>
  <c r="N592" i="1"/>
  <c r="M592" i="1"/>
  <c r="L592" i="1"/>
  <c r="K592" i="1"/>
  <c r="J592" i="1"/>
  <c r="O591" i="1"/>
  <c r="N591" i="1"/>
  <c r="M591" i="1"/>
  <c r="L591" i="1"/>
  <c r="K591" i="1"/>
  <c r="J591" i="1"/>
  <c r="O590" i="1"/>
  <c r="N590" i="1"/>
  <c r="M590" i="1"/>
  <c r="L590" i="1"/>
  <c r="K590" i="1"/>
  <c r="J590" i="1"/>
  <c r="O589" i="1"/>
  <c r="N589" i="1"/>
  <c r="M589" i="1"/>
  <c r="L589" i="1"/>
  <c r="K589" i="1"/>
  <c r="J589" i="1"/>
  <c r="O588" i="1"/>
  <c r="N588" i="1"/>
  <c r="M588" i="1"/>
  <c r="L588" i="1"/>
  <c r="K588" i="1"/>
  <c r="J588" i="1"/>
  <c r="O587" i="1"/>
  <c r="N587" i="1"/>
  <c r="M587" i="1"/>
  <c r="L587" i="1"/>
  <c r="K587" i="1"/>
  <c r="J587" i="1"/>
  <c r="O586" i="1"/>
  <c r="N586" i="1"/>
  <c r="M586" i="1"/>
  <c r="L586" i="1"/>
  <c r="K586" i="1"/>
  <c r="J586" i="1"/>
  <c r="O585" i="1"/>
  <c r="N585" i="1"/>
  <c r="M585" i="1"/>
  <c r="L585" i="1"/>
  <c r="K585" i="1"/>
  <c r="J585" i="1"/>
  <c r="O584" i="1"/>
  <c r="N584" i="1"/>
  <c r="M584" i="1"/>
  <c r="L584" i="1"/>
  <c r="K584" i="1"/>
  <c r="J584" i="1"/>
  <c r="O583" i="1"/>
  <c r="N583" i="1"/>
  <c r="M583" i="1"/>
  <c r="L583" i="1"/>
  <c r="K583" i="1"/>
  <c r="J583" i="1"/>
  <c r="O582" i="1"/>
  <c r="N582" i="1"/>
  <c r="M582" i="1"/>
  <c r="L582" i="1"/>
  <c r="K582" i="1"/>
  <c r="J582" i="1"/>
  <c r="O581" i="1"/>
  <c r="N581" i="1"/>
  <c r="M581" i="1"/>
  <c r="L581" i="1"/>
  <c r="K581" i="1"/>
  <c r="J581" i="1"/>
  <c r="O580" i="1"/>
  <c r="N580" i="1"/>
  <c r="M580" i="1"/>
  <c r="L580" i="1"/>
  <c r="K580" i="1"/>
  <c r="J580" i="1"/>
  <c r="O579" i="1"/>
  <c r="N579" i="1"/>
  <c r="M579" i="1"/>
  <c r="L579" i="1"/>
  <c r="K579" i="1"/>
  <c r="J579" i="1"/>
  <c r="O578" i="1"/>
  <c r="N578" i="1"/>
  <c r="M578" i="1"/>
  <c r="L578" i="1"/>
  <c r="K578" i="1"/>
  <c r="J578" i="1"/>
  <c r="O577" i="1"/>
  <c r="N577" i="1"/>
  <c r="M577" i="1"/>
  <c r="L577" i="1"/>
  <c r="K577" i="1"/>
  <c r="J577" i="1"/>
  <c r="O576" i="1"/>
  <c r="N576" i="1"/>
  <c r="M576" i="1"/>
  <c r="L576" i="1"/>
  <c r="K576" i="1"/>
  <c r="J576" i="1"/>
  <c r="O575" i="1"/>
  <c r="N575" i="1"/>
  <c r="M575" i="1"/>
  <c r="L575" i="1"/>
  <c r="K575" i="1"/>
  <c r="J575" i="1"/>
  <c r="O574" i="1"/>
  <c r="N574" i="1"/>
  <c r="M574" i="1"/>
  <c r="L574" i="1"/>
  <c r="K574" i="1"/>
  <c r="J574" i="1"/>
  <c r="O573" i="1"/>
  <c r="N573" i="1"/>
  <c r="M573" i="1"/>
  <c r="L573" i="1"/>
  <c r="K573" i="1"/>
  <c r="J573" i="1"/>
  <c r="O572" i="1"/>
  <c r="N572" i="1"/>
  <c r="M572" i="1"/>
  <c r="L572" i="1"/>
  <c r="K572" i="1"/>
  <c r="J572" i="1"/>
  <c r="O571" i="1"/>
  <c r="N571" i="1"/>
  <c r="M571" i="1"/>
  <c r="L571" i="1"/>
  <c r="K571" i="1"/>
  <c r="J571" i="1"/>
  <c r="O570" i="1"/>
  <c r="N570" i="1"/>
  <c r="M570" i="1"/>
  <c r="L570" i="1"/>
  <c r="K570" i="1"/>
  <c r="J570" i="1"/>
  <c r="O569" i="1"/>
  <c r="N569" i="1"/>
  <c r="M569" i="1"/>
  <c r="L569" i="1"/>
  <c r="K569" i="1"/>
  <c r="J569" i="1"/>
  <c r="O568" i="1"/>
  <c r="N568" i="1"/>
  <c r="M568" i="1"/>
  <c r="L568" i="1"/>
  <c r="K568" i="1"/>
  <c r="J568" i="1"/>
  <c r="O567" i="1"/>
  <c r="N567" i="1"/>
  <c r="M567" i="1"/>
  <c r="L567" i="1"/>
  <c r="K567" i="1"/>
  <c r="J567" i="1"/>
  <c r="O566" i="1"/>
  <c r="N566" i="1"/>
  <c r="M566" i="1"/>
  <c r="L566" i="1"/>
  <c r="K566" i="1"/>
  <c r="J566" i="1"/>
  <c r="O565" i="1"/>
  <c r="N565" i="1"/>
  <c r="M565" i="1"/>
  <c r="L565" i="1"/>
  <c r="K565" i="1"/>
  <c r="J565" i="1"/>
  <c r="O564" i="1"/>
  <c r="N564" i="1"/>
  <c r="M564" i="1"/>
  <c r="L564" i="1"/>
  <c r="K564" i="1"/>
  <c r="J564" i="1"/>
  <c r="O563" i="1"/>
  <c r="N563" i="1"/>
  <c r="M563" i="1"/>
  <c r="L563" i="1"/>
  <c r="K563" i="1"/>
  <c r="J563" i="1"/>
  <c r="O562" i="1"/>
  <c r="N562" i="1"/>
  <c r="M562" i="1"/>
  <c r="L562" i="1"/>
  <c r="K562" i="1"/>
  <c r="J562" i="1"/>
  <c r="O561" i="1"/>
  <c r="N561" i="1"/>
  <c r="M561" i="1"/>
  <c r="L561" i="1"/>
  <c r="K561" i="1"/>
  <c r="J561" i="1"/>
  <c r="O560" i="1"/>
  <c r="N560" i="1"/>
  <c r="M560" i="1"/>
  <c r="L560" i="1"/>
  <c r="K560" i="1"/>
  <c r="J560" i="1"/>
  <c r="O559" i="1"/>
  <c r="N559" i="1"/>
  <c r="M559" i="1"/>
  <c r="L559" i="1"/>
  <c r="K559" i="1"/>
  <c r="J559" i="1"/>
  <c r="O558" i="1"/>
  <c r="N558" i="1"/>
  <c r="M558" i="1"/>
  <c r="L558" i="1"/>
  <c r="K558" i="1"/>
  <c r="J558" i="1"/>
  <c r="O557" i="1"/>
  <c r="N557" i="1"/>
  <c r="M557" i="1"/>
  <c r="L557" i="1"/>
  <c r="K557" i="1"/>
  <c r="J557" i="1"/>
  <c r="O556" i="1"/>
  <c r="N556" i="1"/>
  <c r="M556" i="1"/>
  <c r="L556" i="1"/>
  <c r="K556" i="1"/>
  <c r="J556" i="1"/>
  <c r="O555" i="1"/>
  <c r="N555" i="1"/>
  <c r="M555" i="1"/>
  <c r="L555" i="1"/>
  <c r="K555" i="1"/>
  <c r="J555" i="1"/>
  <c r="O554" i="1"/>
  <c r="N554" i="1"/>
  <c r="M554" i="1"/>
  <c r="L554" i="1"/>
  <c r="K554" i="1"/>
  <c r="J554" i="1"/>
  <c r="O553" i="1"/>
  <c r="N553" i="1"/>
  <c r="M553" i="1"/>
  <c r="L553" i="1"/>
  <c r="K553" i="1"/>
  <c r="J553" i="1"/>
  <c r="O552" i="1"/>
  <c r="N552" i="1"/>
  <c r="M552" i="1"/>
  <c r="L552" i="1"/>
  <c r="K552" i="1"/>
  <c r="J552" i="1"/>
  <c r="O551" i="1"/>
  <c r="N551" i="1"/>
  <c r="M551" i="1"/>
  <c r="L551" i="1"/>
  <c r="K551" i="1"/>
  <c r="J551" i="1"/>
  <c r="O550" i="1"/>
  <c r="N550" i="1"/>
  <c r="M550" i="1"/>
  <c r="L550" i="1"/>
  <c r="K550" i="1"/>
  <c r="J550" i="1"/>
  <c r="O549" i="1"/>
  <c r="N549" i="1"/>
  <c r="M549" i="1"/>
  <c r="L549" i="1"/>
  <c r="K549" i="1"/>
  <c r="J549" i="1"/>
  <c r="O548" i="1"/>
  <c r="N548" i="1"/>
  <c r="M548" i="1"/>
  <c r="L548" i="1"/>
  <c r="K548" i="1"/>
  <c r="J548" i="1"/>
  <c r="O547" i="1"/>
  <c r="N547" i="1"/>
  <c r="M547" i="1"/>
  <c r="L547" i="1"/>
  <c r="K547" i="1"/>
  <c r="J547" i="1"/>
  <c r="O546" i="1"/>
  <c r="N546" i="1"/>
  <c r="M546" i="1"/>
  <c r="L546" i="1"/>
  <c r="K546" i="1"/>
  <c r="J546" i="1"/>
  <c r="O545" i="1"/>
  <c r="N545" i="1"/>
  <c r="M545" i="1"/>
  <c r="L545" i="1"/>
  <c r="K545" i="1"/>
  <c r="D545" i="1"/>
  <c r="J545" i="1" s="1"/>
  <c r="O544" i="1"/>
  <c r="N544" i="1"/>
  <c r="M544" i="1"/>
  <c r="L544" i="1"/>
  <c r="K544" i="1"/>
  <c r="D544" i="1"/>
  <c r="J544" i="1" s="1"/>
  <c r="O543" i="1"/>
  <c r="N543" i="1"/>
  <c r="M543" i="1"/>
  <c r="L543" i="1"/>
  <c r="K543" i="1"/>
  <c r="D543" i="1"/>
  <c r="J543" i="1" s="1"/>
  <c r="O542" i="1"/>
  <c r="N542" i="1"/>
  <c r="M542" i="1"/>
  <c r="L542" i="1"/>
  <c r="K542" i="1"/>
  <c r="D542" i="1"/>
  <c r="J542" i="1" s="1"/>
  <c r="O541" i="1"/>
  <c r="N541" i="1"/>
  <c r="M541" i="1"/>
  <c r="L541" i="1"/>
  <c r="K541" i="1"/>
  <c r="D541" i="1"/>
  <c r="J541" i="1" s="1"/>
  <c r="O540" i="1"/>
  <c r="N540" i="1"/>
  <c r="M540" i="1"/>
  <c r="L540" i="1"/>
  <c r="K540" i="1"/>
  <c r="J540" i="1"/>
  <c r="O539" i="1"/>
  <c r="N539" i="1"/>
  <c r="M539" i="1"/>
  <c r="L539" i="1"/>
  <c r="K539" i="1"/>
  <c r="J539" i="1"/>
  <c r="O538" i="1"/>
  <c r="N538" i="1"/>
  <c r="M538" i="1"/>
  <c r="L538" i="1"/>
  <c r="K538" i="1"/>
  <c r="J538" i="1"/>
  <c r="O537" i="1"/>
  <c r="N537" i="1"/>
  <c r="M537" i="1"/>
  <c r="L537" i="1"/>
  <c r="K537" i="1"/>
  <c r="J537" i="1"/>
  <c r="O536" i="1"/>
  <c r="N536" i="1"/>
  <c r="M536" i="1"/>
  <c r="L536" i="1"/>
  <c r="K536" i="1"/>
  <c r="J536" i="1"/>
  <c r="O535" i="1"/>
  <c r="N535" i="1"/>
  <c r="M535" i="1"/>
  <c r="L535" i="1"/>
  <c r="K535" i="1"/>
  <c r="J535" i="1"/>
  <c r="O534" i="1"/>
  <c r="N534" i="1"/>
  <c r="M534" i="1"/>
  <c r="L534" i="1"/>
  <c r="K534" i="1"/>
  <c r="J534" i="1"/>
  <c r="O533" i="1"/>
  <c r="N533" i="1"/>
  <c r="M533" i="1"/>
  <c r="L533" i="1"/>
  <c r="K533" i="1"/>
  <c r="J533" i="1"/>
  <c r="O532" i="1"/>
  <c r="N532" i="1"/>
  <c r="M532" i="1"/>
  <c r="L532" i="1"/>
  <c r="K532" i="1"/>
  <c r="J532" i="1"/>
  <c r="O531" i="1"/>
  <c r="N531" i="1"/>
  <c r="M531" i="1"/>
  <c r="L531" i="1"/>
  <c r="K531" i="1"/>
  <c r="J531" i="1"/>
  <c r="O530" i="1"/>
  <c r="N530" i="1"/>
  <c r="M530" i="1"/>
  <c r="L530" i="1"/>
  <c r="K530" i="1"/>
  <c r="J530" i="1"/>
  <c r="O529" i="1"/>
  <c r="N529" i="1"/>
  <c r="M529" i="1"/>
  <c r="L529" i="1"/>
  <c r="K529" i="1"/>
  <c r="J529" i="1"/>
  <c r="O528" i="1"/>
  <c r="N528" i="1"/>
  <c r="M528" i="1"/>
  <c r="L528" i="1"/>
  <c r="K528" i="1"/>
  <c r="J528" i="1"/>
  <c r="O527" i="1"/>
  <c r="N527" i="1"/>
  <c r="M527" i="1"/>
  <c r="L527" i="1"/>
  <c r="K527" i="1"/>
  <c r="J527" i="1"/>
  <c r="O526" i="1"/>
  <c r="N526" i="1"/>
  <c r="M526" i="1"/>
  <c r="L526" i="1"/>
  <c r="K526" i="1"/>
  <c r="J526" i="1"/>
  <c r="O525" i="1"/>
  <c r="N525" i="1"/>
  <c r="M525" i="1"/>
  <c r="L525" i="1"/>
  <c r="K525" i="1"/>
  <c r="J525" i="1"/>
  <c r="O524" i="1"/>
  <c r="N524" i="1"/>
  <c r="M524" i="1"/>
  <c r="L524" i="1"/>
  <c r="K524" i="1"/>
  <c r="J524" i="1"/>
  <c r="O523" i="1"/>
  <c r="N523" i="1"/>
  <c r="M523" i="1"/>
  <c r="L523" i="1"/>
  <c r="K523" i="1"/>
  <c r="J523" i="1"/>
  <c r="O522" i="1"/>
  <c r="N522" i="1"/>
  <c r="M522" i="1"/>
  <c r="L522" i="1"/>
  <c r="K522" i="1"/>
  <c r="J522" i="1"/>
  <c r="O521" i="1"/>
  <c r="N521" i="1"/>
  <c r="M521" i="1"/>
  <c r="L521" i="1"/>
  <c r="K521" i="1"/>
  <c r="J521" i="1"/>
  <c r="O520" i="1"/>
  <c r="N520" i="1"/>
  <c r="M520" i="1"/>
  <c r="L520" i="1"/>
  <c r="K520" i="1"/>
  <c r="J520" i="1"/>
  <c r="O519" i="1"/>
  <c r="N519" i="1"/>
  <c r="M519" i="1"/>
  <c r="L519" i="1"/>
  <c r="K519" i="1"/>
  <c r="J519" i="1"/>
  <c r="O518" i="1"/>
  <c r="N518" i="1"/>
  <c r="M518" i="1"/>
  <c r="L518" i="1"/>
  <c r="K518" i="1"/>
  <c r="J518" i="1"/>
  <c r="O517" i="1"/>
  <c r="N517" i="1"/>
  <c r="M517" i="1"/>
  <c r="L517" i="1"/>
  <c r="K517" i="1"/>
  <c r="J517" i="1"/>
  <c r="O516" i="1"/>
  <c r="N516" i="1"/>
  <c r="M516" i="1"/>
  <c r="L516" i="1"/>
  <c r="K516" i="1"/>
  <c r="J516" i="1"/>
  <c r="O515" i="1"/>
  <c r="N515" i="1"/>
  <c r="M515" i="1"/>
  <c r="L515" i="1"/>
  <c r="K515" i="1"/>
  <c r="J515" i="1"/>
  <c r="O514" i="1"/>
  <c r="N514" i="1"/>
  <c r="M514" i="1"/>
  <c r="L514" i="1"/>
  <c r="K514" i="1"/>
  <c r="J514" i="1"/>
  <c r="O513" i="1"/>
  <c r="N513" i="1"/>
  <c r="M513" i="1"/>
  <c r="L513" i="1"/>
  <c r="K513" i="1"/>
  <c r="J513" i="1"/>
  <c r="O512" i="1"/>
  <c r="N512" i="1"/>
  <c r="M512" i="1"/>
  <c r="L512" i="1"/>
  <c r="K512" i="1"/>
  <c r="J512" i="1"/>
  <c r="O511" i="1"/>
  <c r="N511" i="1"/>
  <c r="K511" i="1"/>
  <c r="J511" i="1"/>
  <c r="G511" i="1"/>
  <c r="M511" i="1" s="1"/>
  <c r="F511" i="1"/>
  <c r="L511" i="1" s="1"/>
  <c r="O510" i="1"/>
  <c r="N510" i="1"/>
  <c r="M510" i="1"/>
  <c r="L510" i="1"/>
  <c r="K510" i="1"/>
  <c r="J510" i="1"/>
  <c r="O509" i="1"/>
  <c r="N509" i="1"/>
  <c r="M509" i="1"/>
  <c r="L509" i="1"/>
  <c r="K509" i="1"/>
  <c r="J509" i="1"/>
  <c r="O508" i="1"/>
  <c r="N508" i="1"/>
  <c r="M508" i="1"/>
  <c r="L508" i="1"/>
  <c r="K508" i="1"/>
  <c r="J508" i="1"/>
  <c r="O507" i="1"/>
  <c r="N507" i="1"/>
  <c r="M507" i="1"/>
  <c r="L507" i="1"/>
  <c r="K507" i="1"/>
  <c r="J507" i="1"/>
  <c r="K506" i="1"/>
  <c r="J506" i="1"/>
  <c r="I506" i="1"/>
  <c r="O506" i="1" s="1"/>
  <c r="H506" i="1"/>
  <c r="N506" i="1" s="1"/>
  <c r="G506" i="1"/>
  <c r="M506" i="1" s="1"/>
  <c r="F506" i="1"/>
  <c r="L506" i="1" s="1"/>
  <c r="O505" i="1"/>
  <c r="N505" i="1"/>
  <c r="M505" i="1"/>
  <c r="L505" i="1"/>
  <c r="K505" i="1"/>
  <c r="J505" i="1"/>
  <c r="O504" i="1"/>
  <c r="N504" i="1"/>
  <c r="M504" i="1"/>
  <c r="L504" i="1"/>
  <c r="K504" i="1"/>
  <c r="J504" i="1"/>
  <c r="O503" i="1"/>
  <c r="N503" i="1"/>
  <c r="M503" i="1"/>
  <c r="L503" i="1"/>
  <c r="K503" i="1"/>
  <c r="J503" i="1"/>
  <c r="O502" i="1"/>
  <c r="N502" i="1"/>
  <c r="M502" i="1"/>
  <c r="L502" i="1"/>
  <c r="K502" i="1"/>
  <c r="J502" i="1"/>
  <c r="O501" i="1"/>
  <c r="N501" i="1"/>
  <c r="K501" i="1"/>
  <c r="J501" i="1"/>
  <c r="G501" i="1"/>
  <c r="M501" i="1" s="1"/>
  <c r="F501" i="1"/>
  <c r="L501" i="1" s="1"/>
  <c r="O500" i="1"/>
  <c r="N500" i="1"/>
  <c r="K500" i="1"/>
  <c r="J500" i="1"/>
  <c r="G500" i="1"/>
  <c r="M500" i="1" s="1"/>
  <c r="F500" i="1"/>
  <c r="L500" i="1" s="1"/>
  <c r="O499" i="1"/>
  <c r="N499" i="1"/>
  <c r="K499" i="1"/>
  <c r="J499" i="1"/>
  <c r="G499" i="1"/>
  <c r="M499" i="1" s="1"/>
  <c r="F499" i="1"/>
  <c r="L499" i="1" s="1"/>
  <c r="O498" i="1"/>
  <c r="N498" i="1"/>
  <c r="K498" i="1"/>
  <c r="J498" i="1"/>
  <c r="G498" i="1"/>
  <c r="M498" i="1" s="1"/>
  <c r="F498" i="1"/>
  <c r="L498" i="1" s="1"/>
  <c r="O497" i="1"/>
  <c r="N497" i="1"/>
  <c r="K497" i="1"/>
  <c r="J497" i="1"/>
  <c r="G497" i="1"/>
  <c r="M497" i="1" s="1"/>
  <c r="F497" i="1"/>
  <c r="L497" i="1" s="1"/>
  <c r="O496" i="1"/>
  <c r="N496" i="1"/>
  <c r="K496" i="1"/>
  <c r="J496" i="1"/>
  <c r="G496" i="1"/>
  <c r="M496" i="1" s="1"/>
  <c r="F496" i="1"/>
  <c r="L496" i="1" s="1"/>
  <c r="O495" i="1"/>
  <c r="N495" i="1"/>
  <c r="K495" i="1"/>
  <c r="J495" i="1"/>
  <c r="G495" i="1"/>
  <c r="M495" i="1" s="1"/>
  <c r="F495" i="1"/>
  <c r="L495" i="1" s="1"/>
  <c r="O494" i="1"/>
  <c r="N494" i="1"/>
  <c r="M494" i="1"/>
  <c r="L494" i="1"/>
  <c r="K494" i="1"/>
  <c r="J494" i="1"/>
  <c r="O493" i="1"/>
  <c r="N493" i="1"/>
  <c r="M493" i="1"/>
  <c r="L493" i="1"/>
  <c r="K493" i="1"/>
  <c r="J493" i="1"/>
  <c r="O492" i="1"/>
  <c r="N492" i="1"/>
  <c r="M492" i="1"/>
  <c r="L492" i="1"/>
  <c r="K492" i="1"/>
  <c r="J492" i="1"/>
  <c r="O491" i="1"/>
  <c r="N491" i="1"/>
  <c r="K491" i="1"/>
  <c r="J491" i="1"/>
  <c r="G491" i="1"/>
  <c r="M491" i="1" s="1"/>
  <c r="F491" i="1"/>
  <c r="L491" i="1" s="1"/>
  <c r="O490" i="1"/>
  <c r="N490" i="1"/>
  <c r="M490" i="1"/>
  <c r="L490" i="1"/>
  <c r="K490" i="1"/>
  <c r="J490" i="1"/>
  <c r="O489" i="1"/>
  <c r="N489" i="1"/>
  <c r="M489" i="1"/>
  <c r="L489" i="1"/>
  <c r="K489" i="1"/>
  <c r="J489" i="1"/>
  <c r="O488" i="1"/>
  <c r="N488" i="1"/>
  <c r="M488" i="1"/>
  <c r="L488" i="1"/>
  <c r="K488" i="1"/>
  <c r="J488" i="1"/>
  <c r="O487" i="1"/>
  <c r="N487" i="1"/>
  <c r="M487" i="1"/>
  <c r="L487" i="1"/>
  <c r="K487" i="1"/>
  <c r="J487" i="1"/>
  <c r="O486" i="1"/>
  <c r="N486" i="1"/>
  <c r="M486" i="1"/>
  <c r="L486" i="1"/>
  <c r="K486" i="1"/>
  <c r="J486" i="1"/>
  <c r="O485" i="1"/>
  <c r="N485" i="1"/>
  <c r="M485" i="1"/>
  <c r="L485" i="1"/>
  <c r="K485" i="1"/>
  <c r="J485" i="1"/>
  <c r="O484" i="1"/>
  <c r="N484" i="1"/>
  <c r="M484" i="1"/>
  <c r="L484" i="1"/>
  <c r="K484" i="1"/>
  <c r="J484" i="1"/>
  <c r="O483" i="1"/>
  <c r="N483" i="1"/>
  <c r="M483" i="1"/>
  <c r="L483" i="1"/>
  <c r="K483" i="1"/>
  <c r="J483" i="1"/>
  <c r="O482" i="1"/>
  <c r="N482" i="1"/>
  <c r="M482" i="1"/>
  <c r="L482" i="1"/>
  <c r="K482" i="1"/>
  <c r="J482" i="1"/>
  <c r="O481" i="1"/>
  <c r="N481" i="1"/>
  <c r="M481" i="1"/>
  <c r="L481" i="1"/>
  <c r="K481" i="1"/>
  <c r="J481" i="1"/>
  <c r="O480" i="1"/>
  <c r="N480" i="1"/>
  <c r="M480" i="1"/>
  <c r="L480" i="1"/>
  <c r="K480" i="1"/>
  <c r="J480" i="1"/>
  <c r="O479" i="1"/>
  <c r="N479" i="1"/>
  <c r="M479" i="1"/>
  <c r="L479" i="1"/>
  <c r="K479" i="1"/>
  <c r="J479" i="1"/>
  <c r="O478" i="1"/>
  <c r="N478" i="1"/>
  <c r="M478" i="1"/>
  <c r="L478" i="1"/>
  <c r="K478" i="1"/>
  <c r="J478" i="1"/>
  <c r="O477" i="1"/>
  <c r="N477" i="1"/>
  <c r="M477" i="1"/>
  <c r="L477" i="1"/>
  <c r="K477" i="1"/>
  <c r="J477" i="1"/>
  <c r="M476" i="1"/>
  <c r="L476" i="1"/>
  <c r="K476" i="1"/>
  <c r="J476" i="1"/>
  <c r="I476" i="1"/>
  <c r="O476" i="1" s="1"/>
  <c r="H476" i="1"/>
  <c r="N476" i="1" s="1"/>
  <c r="O475" i="1"/>
  <c r="N475" i="1"/>
  <c r="M475" i="1"/>
  <c r="L475" i="1"/>
  <c r="K475" i="1"/>
  <c r="J475" i="1"/>
  <c r="O474" i="1"/>
  <c r="N474" i="1"/>
  <c r="M474" i="1"/>
  <c r="L474" i="1"/>
  <c r="K474" i="1"/>
  <c r="J474" i="1"/>
  <c r="O473" i="1"/>
  <c r="N473" i="1"/>
  <c r="M473" i="1"/>
  <c r="L473" i="1"/>
  <c r="K473" i="1"/>
  <c r="J473" i="1"/>
  <c r="O472" i="1"/>
  <c r="N472" i="1"/>
  <c r="M472" i="1"/>
  <c r="L472" i="1"/>
  <c r="K472" i="1"/>
  <c r="J472" i="1"/>
  <c r="M471" i="1"/>
  <c r="L471" i="1"/>
  <c r="K471" i="1"/>
  <c r="J471" i="1"/>
  <c r="I471" i="1"/>
  <c r="O471" i="1" s="1"/>
  <c r="H471" i="1"/>
  <c r="N471" i="1" s="1"/>
  <c r="O470" i="1"/>
  <c r="N470" i="1"/>
  <c r="M470" i="1"/>
  <c r="L470" i="1"/>
  <c r="K470" i="1"/>
  <c r="J470" i="1"/>
  <c r="O469" i="1"/>
  <c r="N469" i="1"/>
  <c r="M469" i="1"/>
  <c r="L469" i="1"/>
  <c r="K469" i="1"/>
  <c r="J469" i="1"/>
  <c r="O468" i="1"/>
  <c r="N468" i="1"/>
  <c r="M468" i="1"/>
  <c r="L468" i="1"/>
  <c r="K468" i="1"/>
  <c r="J468" i="1"/>
  <c r="O467" i="1"/>
  <c r="N467" i="1"/>
  <c r="M467" i="1"/>
  <c r="L467" i="1"/>
  <c r="K467" i="1"/>
  <c r="J467" i="1"/>
  <c r="M466" i="1"/>
  <c r="L466" i="1"/>
  <c r="K466" i="1"/>
  <c r="J466" i="1"/>
  <c r="I466" i="1"/>
  <c r="O466" i="1" s="1"/>
  <c r="H466" i="1"/>
  <c r="N466" i="1" s="1"/>
  <c r="O465" i="1"/>
  <c r="N465" i="1"/>
  <c r="M465" i="1"/>
  <c r="L465" i="1"/>
  <c r="K465" i="1"/>
  <c r="J465" i="1"/>
  <c r="O464" i="1"/>
  <c r="N464" i="1"/>
  <c r="M464" i="1"/>
  <c r="L464" i="1"/>
  <c r="K464" i="1"/>
  <c r="J464" i="1"/>
  <c r="O463" i="1"/>
  <c r="N463" i="1"/>
  <c r="M463" i="1"/>
  <c r="L463" i="1"/>
  <c r="K463" i="1"/>
  <c r="J463" i="1"/>
  <c r="M462" i="1"/>
  <c r="L462" i="1"/>
  <c r="K462" i="1"/>
  <c r="J462" i="1"/>
  <c r="I462" i="1"/>
  <c r="O462" i="1" s="1"/>
  <c r="H462" i="1"/>
  <c r="N462" i="1" s="1"/>
  <c r="O461" i="1"/>
  <c r="N461" i="1"/>
  <c r="M461" i="1"/>
  <c r="L461" i="1"/>
  <c r="K461" i="1"/>
  <c r="J461" i="1"/>
  <c r="M460" i="1"/>
  <c r="L460" i="1"/>
  <c r="K460" i="1"/>
  <c r="J460" i="1"/>
  <c r="I460" i="1"/>
  <c r="O460" i="1" s="1"/>
  <c r="H460" i="1"/>
  <c r="N460" i="1" s="1"/>
  <c r="O459" i="1"/>
  <c r="N459" i="1"/>
  <c r="M459" i="1"/>
  <c r="L459" i="1"/>
  <c r="K459" i="1"/>
  <c r="J459" i="1"/>
  <c r="M458" i="1"/>
  <c r="L458" i="1"/>
  <c r="K458" i="1"/>
  <c r="J458" i="1"/>
  <c r="I458" i="1"/>
  <c r="O458" i="1" s="1"/>
  <c r="H458" i="1"/>
  <c r="N458" i="1" s="1"/>
  <c r="O457" i="1"/>
  <c r="N457" i="1"/>
  <c r="M457" i="1"/>
  <c r="L457" i="1"/>
  <c r="K457" i="1"/>
  <c r="J457" i="1"/>
  <c r="M456" i="1"/>
  <c r="L456" i="1"/>
  <c r="K456" i="1"/>
  <c r="J456" i="1"/>
  <c r="I456" i="1"/>
  <c r="O456" i="1" s="1"/>
  <c r="H456" i="1"/>
  <c r="N456" i="1" s="1"/>
  <c r="O455" i="1"/>
  <c r="N455" i="1"/>
  <c r="M455" i="1"/>
  <c r="L455" i="1"/>
  <c r="K455" i="1"/>
  <c r="J455" i="1"/>
  <c r="O454" i="1"/>
  <c r="N454" i="1"/>
  <c r="M454" i="1"/>
  <c r="L454" i="1"/>
  <c r="K454" i="1"/>
  <c r="J454" i="1"/>
  <c r="O453" i="1"/>
  <c r="N453" i="1"/>
  <c r="M453" i="1"/>
  <c r="L453" i="1"/>
  <c r="K453" i="1"/>
  <c r="J453" i="1"/>
  <c r="O452" i="1"/>
  <c r="N452" i="1"/>
  <c r="M452" i="1"/>
  <c r="L452" i="1"/>
  <c r="K452" i="1"/>
  <c r="J452" i="1"/>
  <c r="K451" i="1"/>
  <c r="J451" i="1"/>
  <c r="I451" i="1"/>
  <c r="O451" i="1" s="1"/>
  <c r="H451" i="1"/>
  <c r="N451" i="1" s="1"/>
  <c r="G451" i="1"/>
  <c r="M451" i="1" s="1"/>
  <c r="F451" i="1"/>
  <c r="L451" i="1" s="1"/>
  <c r="O450" i="1"/>
  <c r="N450" i="1"/>
  <c r="M450" i="1"/>
  <c r="L450" i="1"/>
  <c r="K450" i="1"/>
  <c r="J450" i="1"/>
  <c r="O449" i="1"/>
  <c r="N449" i="1"/>
  <c r="M449" i="1"/>
  <c r="L449" i="1"/>
  <c r="K449" i="1"/>
  <c r="J449" i="1"/>
  <c r="O448" i="1"/>
  <c r="N448" i="1"/>
  <c r="M448" i="1"/>
  <c r="L448" i="1"/>
  <c r="K448" i="1"/>
  <c r="J448" i="1"/>
  <c r="O447" i="1"/>
  <c r="N447" i="1"/>
  <c r="M447" i="1"/>
  <c r="L447" i="1"/>
  <c r="K447" i="1"/>
  <c r="J447" i="1"/>
  <c r="K446" i="1"/>
  <c r="J446" i="1"/>
  <c r="I446" i="1"/>
  <c r="O446" i="1" s="1"/>
  <c r="H446" i="1"/>
  <c r="N446" i="1" s="1"/>
  <c r="G446" i="1"/>
  <c r="M446" i="1" s="1"/>
  <c r="F446" i="1"/>
  <c r="L446" i="1" s="1"/>
  <c r="O445" i="1"/>
  <c r="N445" i="1"/>
  <c r="M445" i="1"/>
  <c r="L445" i="1"/>
  <c r="K445" i="1"/>
  <c r="J445" i="1"/>
  <c r="O444" i="1"/>
  <c r="N444" i="1"/>
  <c r="M444" i="1"/>
  <c r="L444" i="1"/>
  <c r="K444" i="1"/>
  <c r="J444" i="1"/>
  <c r="O443" i="1"/>
  <c r="N443" i="1"/>
  <c r="M443" i="1"/>
  <c r="L443" i="1"/>
  <c r="K443" i="1"/>
  <c r="J443" i="1"/>
  <c r="O442" i="1"/>
  <c r="N442" i="1"/>
  <c r="M442" i="1"/>
  <c r="L442" i="1"/>
  <c r="K442" i="1"/>
  <c r="J442" i="1"/>
  <c r="K441" i="1"/>
  <c r="J441" i="1"/>
  <c r="I441" i="1"/>
  <c r="O441" i="1" s="1"/>
  <c r="H441" i="1"/>
  <c r="N441" i="1" s="1"/>
  <c r="G441" i="1"/>
  <c r="M441" i="1" s="1"/>
  <c r="F441" i="1"/>
  <c r="L441" i="1" s="1"/>
  <c r="O440" i="1"/>
  <c r="N440" i="1"/>
  <c r="M440" i="1"/>
  <c r="L440" i="1"/>
  <c r="K440" i="1"/>
  <c r="J440" i="1"/>
  <c r="O439" i="1"/>
  <c r="N439" i="1"/>
  <c r="M439" i="1"/>
  <c r="L439" i="1"/>
  <c r="K439" i="1"/>
  <c r="J439" i="1"/>
  <c r="O438" i="1"/>
  <c r="N438" i="1"/>
  <c r="M438" i="1"/>
  <c r="L438" i="1"/>
  <c r="K438" i="1"/>
  <c r="J438" i="1"/>
  <c r="O437" i="1"/>
  <c r="N437" i="1"/>
  <c r="M437" i="1"/>
  <c r="L437" i="1"/>
  <c r="K437" i="1"/>
  <c r="J437" i="1"/>
  <c r="O436" i="1"/>
  <c r="N436" i="1"/>
  <c r="K436" i="1"/>
  <c r="J436" i="1"/>
  <c r="G436" i="1"/>
  <c r="M436" i="1" s="1"/>
  <c r="F436" i="1"/>
  <c r="L436" i="1" s="1"/>
  <c r="O435" i="1"/>
  <c r="N435" i="1"/>
  <c r="K435" i="1"/>
  <c r="J435" i="1"/>
  <c r="G435" i="1"/>
  <c r="M435" i="1" s="1"/>
  <c r="F435" i="1"/>
  <c r="L435" i="1" s="1"/>
  <c r="O434" i="1"/>
  <c r="N434" i="1"/>
  <c r="K434" i="1"/>
  <c r="J434" i="1"/>
  <c r="G434" i="1"/>
  <c r="M434" i="1" s="1"/>
  <c r="F434" i="1"/>
  <c r="L434" i="1" s="1"/>
  <c r="O433" i="1"/>
  <c r="N433" i="1"/>
  <c r="K433" i="1"/>
  <c r="J433" i="1"/>
  <c r="G433" i="1"/>
  <c r="M433" i="1" s="1"/>
  <c r="F433" i="1"/>
  <c r="L433" i="1" s="1"/>
  <c r="O432" i="1"/>
  <c r="N432" i="1"/>
  <c r="K432" i="1"/>
  <c r="J432" i="1"/>
  <c r="G432" i="1"/>
  <c r="M432" i="1" s="1"/>
  <c r="F432" i="1"/>
  <c r="L432" i="1" s="1"/>
  <c r="O431" i="1"/>
  <c r="N431" i="1"/>
  <c r="K431" i="1"/>
  <c r="J431" i="1"/>
  <c r="G431" i="1"/>
  <c r="M431" i="1" s="1"/>
  <c r="F431" i="1"/>
  <c r="L431" i="1" s="1"/>
  <c r="O430" i="1"/>
  <c r="N430" i="1"/>
  <c r="K430" i="1"/>
  <c r="J430" i="1"/>
  <c r="G430" i="1"/>
  <c r="M430" i="1" s="1"/>
  <c r="F430" i="1"/>
  <c r="L430" i="1" s="1"/>
  <c r="O429" i="1"/>
  <c r="N429" i="1"/>
  <c r="M429" i="1"/>
  <c r="L429" i="1"/>
  <c r="K429" i="1"/>
  <c r="J429" i="1"/>
  <c r="O428" i="1"/>
  <c r="N428" i="1"/>
  <c r="M428" i="1"/>
  <c r="L428" i="1"/>
  <c r="K428" i="1"/>
  <c r="J428" i="1"/>
  <c r="O427" i="1"/>
  <c r="N427" i="1"/>
  <c r="M427" i="1"/>
  <c r="L427" i="1"/>
  <c r="K427" i="1"/>
  <c r="J427" i="1"/>
  <c r="O426" i="1"/>
  <c r="N426" i="1"/>
  <c r="K426" i="1"/>
  <c r="J426" i="1"/>
  <c r="G426" i="1"/>
  <c r="M426" i="1" s="1"/>
  <c r="F426" i="1"/>
  <c r="L426" i="1" s="1"/>
  <c r="O425" i="1"/>
  <c r="N425" i="1"/>
  <c r="M425" i="1"/>
  <c r="L425" i="1"/>
  <c r="K425" i="1"/>
  <c r="J425" i="1"/>
  <c r="O424" i="1"/>
  <c r="N424" i="1"/>
  <c r="M424" i="1"/>
  <c r="L424" i="1"/>
  <c r="K424" i="1"/>
  <c r="J424" i="1"/>
  <c r="O423" i="1"/>
  <c r="N423" i="1"/>
  <c r="M423" i="1"/>
  <c r="L423" i="1"/>
  <c r="K423" i="1"/>
  <c r="J423" i="1"/>
  <c r="O422" i="1"/>
  <c r="N422" i="1"/>
  <c r="M422" i="1"/>
  <c r="L422" i="1"/>
  <c r="K422" i="1"/>
  <c r="J422" i="1"/>
  <c r="O421" i="1"/>
  <c r="N421" i="1"/>
  <c r="K421" i="1"/>
  <c r="J421" i="1"/>
  <c r="G421" i="1"/>
  <c r="M421" i="1" s="1"/>
  <c r="F421" i="1"/>
  <c r="L421" i="1" s="1"/>
  <c r="O420" i="1"/>
  <c r="N420" i="1"/>
  <c r="M420" i="1"/>
  <c r="L420" i="1"/>
  <c r="K420" i="1"/>
  <c r="J420" i="1"/>
  <c r="O419" i="1"/>
  <c r="N419" i="1"/>
  <c r="M419" i="1"/>
  <c r="L419" i="1"/>
  <c r="K419" i="1"/>
  <c r="J419" i="1"/>
  <c r="O418" i="1"/>
  <c r="N418" i="1"/>
  <c r="M418" i="1"/>
  <c r="L418" i="1"/>
  <c r="K418" i="1"/>
  <c r="J418" i="1"/>
  <c r="O417" i="1"/>
  <c r="N417" i="1"/>
  <c r="M417" i="1"/>
  <c r="L417" i="1"/>
  <c r="K417" i="1"/>
  <c r="J417" i="1"/>
  <c r="O416" i="1"/>
  <c r="N416" i="1"/>
  <c r="M416" i="1"/>
  <c r="L416" i="1"/>
  <c r="K416" i="1"/>
  <c r="J416" i="1"/>
  <c r="O415" i="1"/>
  <c r="N415" i="1"/>
  <c r="M415" i="1"/>
  <c r="L415" i="1"/>
  <c r="K415" i="1"/>
  <c r="J415" i="1"/>
  <c r="O414" i="1"/>
  <c r="N414" i="1"/>
  <c r="M414" i="1"/>
  <c r="L414" i="1"/>
  <c r="K414" i="1"/>
  <c r="J414" i="1"/>
  <c r="O413" i="1"/>
  <c r="N413" i="1"/>
  <c r="M413" i="1"/>
  <c r="L413" i="1"/>
  <c r="K413" i="1"/>
  <c r="J413" i="1"/>
  <c r="O412" i="1"/>
  <c r="N412" i="1"/>
  <c r="M412" i="1"/>
  <c r="L412" i="1"/>
  <c r="K412" i="1"/>
  <c r="J412" i="1"/>
  <c r="K411" i="1"/>
  <c r="J411" i="1"/>
  <c r="I411" i="1"/>
  <c r="O411" i="1" s="1"/>
  <c r="H411" i="1"/>
  <c r="N411" i="1" s="1"/>
  <c r="G411" i="1"/>
  <c r="M411" i="1" s="1"/>
  <c r="F411" i="1"/>
  <c r="L411" i="1" s="1"/>
  <c r="O410" i="1"/>
  <c r="N410" i="1"/>
  <c r="M410" i="1"/>
  <c r="L410" i="1"/>
  <c r="K410" i="1"/>
  <c r="J410" i="1"/>
  <c r="O409" i="1"/>
  <c r="N409" i="1"/>
  <c r="M409" i="1"/>
  <c r="L409" i="1"/>
  <c r="K409" i="1"/>
  <c r="J409" i="1"/>
  <c r="O408" i="1"/>
  <c r="N408" i="1"/>
  <c r="M408" i="1"/>
  <c r="L408" i="1"/>
  <c r="K408" i="1"/>
  <c r="J408" i="1"/>
  <c r="O407" i="1"/>
  <c r="N407" i="1"/>
  <c r="M407" i="1"/>
  <c r="L407" i="1"/>
  <c r="K407" i="1"/>
  <c r="J407" i="1"/>
  <c r="K406" i="1"/>
  <c r="J406" i="1"/>
  <c r="I406" i="1"/>
  <c r="O406" i="1" s="1"/>
  <c r="H406" i="1"/>
  <c r="N406" i="1" s="1"/>
  <c r="G406" i="1"/>
  <c r="M406" i="1" s="1"/>
  <c r="F406" i="1"/>
  <c r="L406" i="1" s="1"/>
  <c r="O405" i="1"/>
  <c r="N405" i="1"/>
  <c r="M405" i="1"/>
  <c r="L405" i="1"/>
  <c r="K405" i="1"/>
  <c r="J405" i="1"/>
  <c r="O404" i="1"/>
  <c r="N404" i="1"/>
  <c r="M404" i="1"/>
  <c r="L404" i="1"/>
  <c r="K404" i="1"/>
  <c r="J404" i="1"/>
  <c r="O403" i="1"/>
  <c r="N403" i="1"/>
  <c r="M403" i="1"/>
  <c r="L403" i="1"/>
  <c r="K403" i="1"/>
  <c r="J403" i="1"/>
  <c r="O402" i="1"/>
  <c r="N402" i="1"/>
  <c r="M402" i="1"/>
  <c r="L402" i="1"/>
  <c r="K402" i="1"/>
  <c r="J402" i="1"/>
  <c r="M401" i="1"/>
  <c r="L401" i="1"/>
  <c r="K401" i="1"/>
  <c r="J401" i="1"/>
  <c r="I401" i="1"/>
  <c r="O401" i="1" s="1"/>
  <c r="H401" i="1"/>
  <c r="N401" i="1" s="1"/>
  <c r="O400" i="1"/>
  <c r="N400" i="1"/>
  <c r="M400" i="1"/>
  <c r="L400" i="1"/>
  <c r="K400" i="1"/>
  <c r="J400" i="1"/>
  <c r="O399" i="1"/>
  <c r="N399" i="1"/>
  <c r="M399" i="1"/>
  <c r="L399" i="1"/>
  <c r="K399" i="1"/>
  <c r="J399" i="1"/>
  <c r="O398" i="1"/>
  <c r="N398" i="1"/>
  <c r="M398" i="1"/>
  <c r="L398" i="1"/>
  <c r="K398" i="1"/>
  <c r="J398" i="1"/>
  <c r="M397" i="1"/>
  <c r="L397" i="1"/>
  <c r="K397" i="1"/>
  <c r="J397" i="1"/>
  <c r="I397" i="1"/>
  <c r="O397" i="1" s="1"/>
  <c r="H397" i="1"/>
  <c r="N397" i="1" s="1"/>
  <c r="O396" i="1"/>
  <c r="N396" i="1"/>
  <c r="M396" i="1"/>
  <c r="L396" i="1"/>
  <c r="K396" i="1"/>
  <c r="J396" i="1"/>
  <c r="M395" i="1"/>
  <c r="L395" i="1"/>
  <c r="K395" i="1"/>
  <c r="J395" i="1"/>
  <c r="I395" i="1"/>
  <c r="O395" i="1" s="1"/>
  <c r="H395" i="1"/>
  <c r="N395" i="1" s="1"/>
  <c r="O394" i="1"/>
  <c r="N394" i="1"/>
  <c r="M394" i="1"/>
  <c r="L394" i="1"/>
  <c r="K394" i="1"/>
  <c r="J394" i="1"/>
  <c r="M393" i="1"/>
  <c r="L393" i="1"/>
  <c r="K393" i="1"/>
  <c r="J393" i="1"/>
  <c r="I393" i="1"/>
  <c r="O393" i="1" s="1"/>
  <c r="H393" i="1"/>
  <c r="N393" i="1" s="1"/>
  <c r="O392" i="1"/>
  <c r="N392" i="1"/>
  <c r="M392" i="1"/>
  <c r="L392" i="1"/>
  <c r="K392" i="1"/>
  <c r="J392" i="1"/>
  <c r="M391" i="1"/>
  <c r="L391" i="1"/>
  <c r="K391" i="1"/>
  <c r="J391" i="1"/>
  <c r="I391" i="1"/>
  <c r="O391" i="1" s="1"/>
  <c r="H391" i="1"/>
  <c r="N391" i="1" s="1"/>
  <c r="M390" i="1"/>
  <c r="L390" i="1"/>
  <c r="K390" i="1"/>
  <c r="J390" i="1"/>
  <c r="I390" i="1"/>
  <c r="O390" i="1" s="1"/>
  <c r="H390" i="1"/>
  <c r="N390" i="1" s="1"/>
  <c r="O389" i="1"/>
  <c r="N389" i="1"/>
  <c r="M389" i="1"/>
  <c r="L389" i="1"/>
  <c r="K389" i="1"/>
  <c r="J389" i="1"/>
  <c r="O388" i="1"/>
  <c r="N388" i="1"/>
  <c r="M388" i="1"/>
  <c r="L388" i="1"/>
  <c r="K388" i="1"/>
  <c r="J388" i="1"/>
  <c r="O387" i="1"/>
  <c r="N387" i="1"/>
  <c r="M387" i="1"/>
  <c r="L387" i="1"/>
  <c r="K387" i="1"/>
  <c r="J387" i="1"/>
  <c r="K386" i="1"/>
  <c r="J386" i="1"/>
  <c r="I386" i="1"/>
  <c r="O386" i="1" s="1"/>
  <c r="H386" i="1"/>
  <c r="N386" i="1" s="1"/>
  <c r="G386" i="1"/>
  <c r="M386" i="1" s="1"/>
  <c r="F386" i="1"/>
  <c r="L386" i="1" s="1"/>
  <c r="O385" i="1"/>
  <c r="N385" i="1"/>
  <c r="M385" i="1"/>
  <c r="L385" i="1"/>
  <c r="K385" i="1"/>
  <c r="J385" i="1"/>
  <c r="O384" i="1"/>
  <c r="N384" i="1"/>
  <c r="M384" i="1"/>
  <c r="L384" i="1"/>
  <c r="K384" i="1"/>
  <c r="J384" i="1"/>
  <c r="O383" i="1"/>
  <c r="N383" i="1"/>
  <c r="M383" i="1"/>
  <c r="L383" i="1"/>
  <c r="K383" i="1"/>
  <c r="J383" i="1"/>
  <c r="O382" i="1"/>
  <c r="N382" i="1"/>
  <c r="M382" i="1"/>
  <c r="L382" i="1"/>
  <c r="K382" i="1"/>
  <c r="J382" i="1"/>
  <c r="K381" i="1"/>
  <c r="J381" i="1"/>
  <c r="I381" i="1"/>
  <c r="O381" i="1" s="1"/>
  <c r="H381" i="1"/>
  <c r="N381" i="1" s="1"/>
  <c r="G381" i="1"/>
  <c r="M381" i="1" s="1"/>
  <c r="F381" i="1"/>
  <c r="L381" i="1" s="1"/>
  <c r="O380" i="1"/>
  <c r="N380" i="1"/>
  <c r="M380" i="1"/>
  <c r="L380" i="1"/>
  <c r="K380" i="1"/>
  <c r="J380" i="1"/>
  <c r="O379" i="1"/>
  <c r="N379" i="1"/>
  <c r="M379" i="1"/>
  <c r="L379" i="1"/>
  <c r="K379" i="1"/>
  <c r="J379" i="1"/>
  <c r="O378" i="1"/>
  <c r="N378" i="1"/>
  <c r="M378" i="1"/>
  <c r="L378" i="1"/>
  <c r="K378" i="1"/>
  <c r="J378" i="1"/>
  <c r="O377" i="1"/>
  <c r="N377" i="1"/>
  <c r="M377" i="1"/>
  <c r="L377" i="1"/>
  <c r="K377" i="1"/>
  <c r="J377" i="1"/>
  <c r="K376" i="1"/>
  <c r="J376" i="1"/>
  <c r="I376" i="1"/>
  <c r="O376" i="1" s="1"/>
  <c r="H376" i="1"/>
  <c r="N376" i="1" s="1"/>
  <c r="G376" i="1"/>
  <c r="M376" i="1" s="1"/>
  <c r="F376" i="1"/>
  <c r="L376" i="1" s="1"/>
  <c r="O375" i="1"/>
  <c r="N375" i="1"/>
  <c r="M375" i="1"/>
  <c r="L375" i="1"/>
  <c r="K375" i="1"/>
  <c r="J375" i="1"/>
  <c r="O374" i="1"/>
  <c r="N374" i="1"/>
  <c r="M374" i="1"/>
  <c r="L374" i="1"/>
  <c r="K374" i="1"/>
  <c r="J374" i="1"/>
  <c r="O373" i="1"/>
  <c r="N373" i="1"/>
  <c r="M373" i="1"/>
  <c r="L373" i="1"/>
  <c r="K373" i="1"/>
  <c r="J373" i="1"/>
  <c r="O372" i="1"/>
  <c r="N372" i="1"/>
  <c r="M372" i="1"/>
  <c r="L372" i="1"/>
  <c r="K372" i="1"/>
  <c r="J372" i="1"/>
  <c r="M371" i="1"/>
  <c r="L371" i="1"/>
  <c r="K371" i="1"/>
  <c r="J371" i="1"/>
  <c r="I371" i="1"/>
  <c r="O371" i="1" s="1"/>
  <c r="H371" i="1"/>
  <c r="N371" i="1" s="1"/>
  <c r="M370" i="1"/>
  <c r="L370" i="1"/>
  <c r="K370" i="1"/>
  <c r="J370" i="1"/>
  <c r="I370" i="1"/>
  <c r="O370" i="1" s="1"/>
  <c r="H370" i="1"/>
  <c r="N370" i="1" s="1"/>
  <c r="M369" i="1"/>
  <c r="L369" i="1"/>
  <c r="K369" i="1"/>
  <c r="J369" i="1"/>
  <c r="I369" i="1"/>
  <c r="O369" i="1" s="1"/>
  <c r="H369" i="1"/>
  <c r="N369" i="1" s="1"/>
  <c r="M368" i="1"/>
  <c r="L368" i="1"/>
  <c r="K368" i="1"/>
  <c r="J368" i="1"/>
  <c r="I368" i="1"/>
  <c r="O368" i="1" s="1"/>
  <c r="H368" i="1"/>
  <c r="N368" i="1" s="1"/>
  <c r="M367" i="1"/>
  <c r="L367" i="1"/>
  <c r="K367" i="1"/>
  <c r="J367" i="1"/>
  <c r="I367" i="1"/>
  <c r="O367" i="1" s="1"/>
  <c r="H367" i="1"/>
  <c r="N367" i="1" s="1"/>
  <c r="M366" i="1"/>
  <c r="L366" i="1"/>
  <c r="K366" i="1"/>
  <c r="J366" i="1"/>
  <c r="I366" i="1"/>
  <c r="O366" i="1" s="1"/>
  <c r="H366" i="1"/>
  <c r="N366" i="1" s="1"/>
  <c r="M365" i="1"/>
  <c r="L365" i="1"/>
  <c r="K365" i="1"/>
  <c r="J365" i="1"/>
  <c r="I365" i="1"/>
  <c r="O365" i="1" s="1"/>
  <c r="H365" i="1"/>
  <c r="N365" i="1" s="1"/>
  <c r="O364" i="1"/>
  <c r="N364" i="1"/>
  <c r="M364" i="1"/>
  <c r="L364" i="1"/>
  <c r="K364" i="1"/>
  <c r="J364" i="1"/>
  <c r="O363" i="1"/>
  <c r="N363" i="1"/>
  <c r="M363" i="1"/>
  <c r="L363" i="1"/>
  <c r="K363" i="1"/>
  <c r="J363" i="1"/>
  <c r="O362" i="1"/>
  <c r="N362" i="1"/>
  <c r="M362" i="1"/>
  <c r="L362" i="1"/>
  <c r="K362" i="1"/>
  <c r="J362" i="1"/>
  <c r="M361" i="1"/>
  <c r="L361" i="1"/>
  <c r="K361" i="1"/>
  <c r="J361" i="1"/>
  <c r="I361" i="1"/>
  <c r="O361" i="1" s="1"/>
  <c r="H361" i="1"/>
  <c r="N361" i="1" s="1"/>
  <c r="O360" i="1"/>
  <c r="N360" i="1"/>
  <c r="M360" i="1"/>
  <c r="L360" i="1"/>
  <c r="K360" i="1"/>
  <c r="J360" i="1"/>
  <c r="O359" i="1"/>
  <c r="N359" i="1"/>
  <c r="M359" i="1"/>
  <c r="L359" i="1"/>
  <c r="K359" i="1"/>
  <c r="J359" i="1"/>
  <c r="O358" i="1"/>
  <c r="N358" i="1"/>
  <c r="M358" i="1"/>
  <c r="L358" i="1"/>
  <c r="K358" i="1"/>
  <c r="J358" i="1"/>
  <c r="O357" i="1"/>
  <c r="N357" i="1"/>
  <c r="M357" i="1"/>
  <c r="L357" i="1"/>
  <c r="K357" i="1"/>
  <c r="J357" i="1"/>
  <c r="M356" i="1"/>
  <c r="L356" i="1"/>
  <c r="K356" i="1"/>
  <c r="J356" i="1"/>
  <c r="I356" i="1"/>
  <c r="O356" i="1" s="1"/>
  <c r="H356" i="1"/>
  <c r="N356" i="1" s="1"/>
  <c r="O355" i="1"/>
  <c r="N355" i="1"/>
  <c r="M355" i="1"/>
  <c r="L355" i="1"/>
  <c r="K355" i="1"/>
  <c r="J355" i="1"/>
  <c r="O354" i="1"/>
  <c r="N354" i="1"/>
  <c r="M354" i="1"/>
  <c r="L354" i="1"/>
  <c r="K354" i="1"/>
  <c r="J354" i="1"/>
  <c r="O353" i="1"/>
  <c r="N353" i="1"/>
  <c r="M353" i="1"/>
  <c r="L353" i="1"/>
  <c r="K353" i="1"/>
  <c r="J353" i="1"/>
  <c r="O352" i="1"/>
  <c r="N352" i="1"/>
  <c r="M352" i="1"/>
  <c r="L352" i="1"/>
  <c r="K352" i="1"/>
  <c r="J352" i="1"/>
  <c r="O351" i="1"/>
  <c r="N351" i="1"/>
  <c r="M351" i="1"/>
  <c r="L351" i="1"/>
  <c r="K351" i="1"/>
  <c r="J351" i="1"/>
  <c r="O350" i="1"/>
  <c r="N350" i="1"/>
  <c r="M350" i="1"/>
  <c r="L350" i="1"/>
  <c r="K350" i="1"/>
  <c r="J350" i="1"/>
  <c r="O349" i="1"/>
  <c r="N349" i="1"/>
  <c r="M349" i="1"/>
  <c r="L349" i="1"/>
  <c r="K349" i="1"/>
  <c r="J349" i="1"/>
  <c r="O348" i="1"/>
  <c r="N348" i="1"/>
  <c r="M348" i="1"/>
  <c r="L348" i="1"/>
  <c r="K348" i="1"/>
  <c r="J348" i="1"/>
  <c r="O347" i="1"/>
  <c r="N347" i="1"/>
  <c r="M347" i="1"/>
  <c r="L347" i="1"/>
  <c r="K347" i="1"/>
  <c r="J347" i="1"/>
  <c r="K346" i="1"/>
  <c r="J346" i="1"/>
  <c r="I346" i="1"/>
  <c r="O346" i="1" s="1"/>
  <c r="H346" i="1"/>
  <c r="N346" i="1" s="1"/>
  <c r="G346" i="1"/>
  <c r="M346" i="1" s="1"/>
  <c r="F346" i="1"/>
  <c r="L346" i="1" s="1"/>
  <c r="O345" i="1"/>
  <c r="N345" i="1"/>
  <c r="M345" i="1"/>
  <c r="L345" i="1"/>
  <c r="K345" i="1"/>
  <c r="J345" i="1"/>
  <c r="O344" i="1"/>
  <c r="N344" i="1"/>
  <c r="M344" i="1"/>
  <c r="L344" i="1"/>
  <c r="K344" i="1"/>
  <c r="J344" i="1"/>
  <c r="O343" i="1"/>
  <c r="N343" i="1"/>
  <c r="M343" i="1"/>
  <c r="L343" i="1"/>
  <c r="K343" i="1"/>
  <c r="J343" i="1"/>
  <c r="O342" i="1"/>
  <c r="N342" i="1"/>
  <c r="M342" i="1"/>
  <c r="L342" i="1"/>
  <c r="K342" i="1"/>
  <c r="J342" i="1"/>
  <c r="K341" i="1"/>
  <c r="J341" i="1"/>
  <c r="I341" i="1"/>
  <c r="O341" i="1" s="1"/>
  <c r="H341" i="1"/>
  <c r="N341" i="1" s="1"/>
  <c r="G341" i="1"/>
  <c r="M341" i="1" s="1"/>
  <c r="F341" i="1"/>
  <c r="L341" i="1" s="1"/>
  <c r="O340" i="1"/>
  <c r="N340" i="1"/>
  <c r="M340" i="1"/>
  <c r="L340" i="1"/>
  <c r="K340" i="1"/>
  <c r="J340" i="1"/>
  <c r="O339" i="1"/>
  <c r="N339" i="1"/>
  <c r="M339" i="1"/>
  <c r="L339" i="1"/>
  <c r="K339" i="1"/>
  <c r="J339" i="1"/>
  <c r="O338" i="1"/>
  <c r="N338" i="1"/>
  <c r="M338" i="1"/>
  <c r="L338" i="1"/>
  <c r="K338" i="1"/>
  <c r="J338" i="1"/>
  <c r="O337" i="1"/>
  <c r="N337" i="1"/>
  <c r="M337" i="1"/>
  <c r="L337" i="1"/>
  <c r="K337" i="1"/>
  <c r="J337" i="1"/>
  <c r="K336" i="1"/>
  <c r="J336" i="1"/>
  <c r="I336" i="1"/>
  <c r="O336" i="1" s="1"/>
  <c r="H336" i="1"/>
  <c r="N336" i="1" s="1"/>
  <c r="G336" i="1"/>
  <c r="M336" i="1" s="1"/>
  <c r="F336" i="1"/>
  <c r="L336" i="1" s="1"/>
  <c r="O335" i="1"/>
  <c r="N335" i="1"/>
  <c r="M335" i="1"/>
  <c r="L335" i="1"/>
  <c r="K335" i="1"/>
  <c r="J335" i="1"/>
  <c r="O334" i="1"/>
  <c r="N334" i="1"/>
  <c r="M334" i="1"/>
  <c r="L334" i="1"/>
  <c r="K334" i="1"/>
  <c r="J334" i="1"/>
  <c r="O333" i="1"/>
  <c r="N333" i="1"/>
  <c r="M333" i="1"/>
  <c r="L333" i="1"/>
  <c r="K333" i="1"/>
  <c r="J333" i="1"/>
  <c r="K332" i="1"/>
  <c r="J332" i="1"/>
  <c r="I332" i="1"/>
  <c r="O332" i="1" s="1"/>
  <c r="H332" i="1"/>
  <c r="N332" i="1" s="1"/>
  <c r="G332" i="1"/>
  <c r="M332" i="1" s="1"/>
  <c r="F332" i="1"/>
  <c r="L332" i="1" s="1"/>
  <c r="O331" i="1"/>
  <c r="N331" i="1"/>
  <c r="M331" i="1"/>
  <c r="L331" i="1"/>
  <c r="K331" i="1"/>
  <c r="J331" i="1"/>
  <c r="K330" i="1"/>
  <c r="J330" i="1"/>
  <c r="I330" i="1"/>
  <c r="O330" i="1" s="1"/>
  <c r="H330" i="1"/>
  <c r="N330" i="1" s="1"/>
  <c r="G330" i="1"/>
  <c r="M330" i="1" s="1"/>
  <c r="F330" i="1"/>
  <c r="L330" i="1" s="1"/>
  <c r="O329" i="1"/>
  <c r="N329" i="1"/>
  <c r="M329" i="1"/>
  <c r="L329" i="1"/>
  <c r="K329" i="1"/>
  <c r="J329" i="1"/>
  <c r="K328" i="1"/>
  <c r="J328" i="1"/>
  <c r="I328" i="1"/>
  <c r="O328" i="1" s="1"/>
  <c r="H328" i="1"/>
  <c r="N328" i="1" s="1"/>
  <c r="G328" i="1"/>
  <c r="M328" i="1" s="1"/>
  <c r="F328" i="1"/>
  <c r="L328" i="1" s="1"/>
  <c r="O327" i="1"/>
  <c r="N327" i="1"/>
  <c r="M327" i="1"/>
  <c r="L327" i="1"/>
  <c r="K327" i="1"/>
  <c r="J327" i="1"/>
  <c r="K326" i="1"/>
  <c r="J326" i="1"/>
  <c r="I326" i="1"/>
  <c r="O326" i="1" s="1"/>
  <c r="H326" i="1"/>
  <c r="N326" i="1" s="1"/>
  <c r="G326" i="1"/>
  <c r="M326" i="1" s="1"/>
  <c r="F326" i="1"/>
  <c r="L326" i="1" s="1"/>
  <c r="O325" i="1"/>
  <c r="N325" i="1"/>
  <c r="M325" i="1"/>
  <c r="L325" i="1"/>
  <c r="K325" i="1"/>
  <c r="J325" i="1"/>
  <c r="O324" i="1"/>
  <c r="N324" i="1"/>
  <c r="M324" i="1"/>
  <c r="L324" i="1"/>
  <c r="K324" i="1"/>
  <c r="J324" i="1"/>
  <c r="O323" i="1"/>
  <c r="N323" i="1"/>
  <c r="M323" i="1"/>
  <c r="L323" i="1"/>
  <c r="K323" i="1"/>
  <c r="J323" i="1"/>
  <c r="O322" i="1"/>
  <c r="N322" i="1"/>
  <c r="M322" i="1"/>
  <c r="L322" i="1"/>
  <c r="K322" i="1"/>
  <c r="J322" i="1"/>
  <c r="K321" i="1"/>
  <c r="J321" i="1"/>
  <c r="I321" i="1"/>
  <c r="O321" i="1" s="1"/>
  <c r="H321" i="1"/>
  <c r="N321" i="1" s="1"/>
  <c r="G321" i="1"/>
  <c r="M321" i="1" s="1"/>
  <c r="F321" i="1"/>
  <c r="L321" i="1" s="1"/>
  <c r="O320" i="1"/>
  <c r="N320" i="1"/>
  <c r="M320" i="1"/>
  <c r="L320" i="1"/>
  <c r="K320" i="1"/>
  <c r="J320" i="1"/>
  <c r="O319" i="1"/>
  <c r="N319" i="1"/>
  <c r="M319" i="1"/>
  <c r="L319" i="1"/>
  <c r="K319" i="1"/>
  <c r="J319" i="1"/>
  <c r="O318" i="1"/>
  <c r="N318" i="1"/>
  <c r="M318" i="1"/>
  <c r="L318" i="1"/>
  <c r="K318" i="1"/>
  <c r="J318" i="1"/>
  <c r="O317" i="1"/>
  <c r="N317" i="1"/>
  <c r="M317" i="1"/>
  <c r="L317" i="1"/>
  <c r="K317" i="1"/>
  <c r="J317" i="1"/>
  <c r="K316" i="1"/>
  <c r="J316" i="1"/>
  <c r="I316" i="1"/>
  <c r="O316" i="1" s="1"/>
  <c r="H316" i="1"/>
  <c r="N316" i="1" s="1"/>
  <c r="G316" i="1"/>
  <c r="M316" i="1" s="1"/>
  <c r="F316" i="1"/>
  <c r="L316" i="1" s="1"/>
  <c r="O315" i="1"/>
  <c r="N315" i="1"/>
  <c r="M315" i="1"/>
  <c r="L315" i="1"/>
  <c r="K315" i="1"/>
  <c r="J315" i="1"/>
  <c r="O314" i="1"/>
  <c r="N314" i="1"/>
  <c r="M314" i="1"/>
  <c r="L314" i="1"/>
  <c r="K314" i="1"/>
  <c r="J314" i="1"/>
  <c r="O313" i="1"/>
  <c r="N313" i="1"/>
  <c r="M313" i="1"/>
  <c r="L313" i="1"/>
  <c r="K313" i="1"/>
  <c r="J313" i="1"/>
  <c r="O312" i="1"/>
  <c r="N312" i="1"/>
  <c r="M312" i="1"/>
  <c r="L312" i="1"/>
  <c r="K312" i="1"/>
  <c r="J312" i="1"/>
  <c r="K311" i="1"/>
  <c r="J311" i="1"/>
  <c r="I311" i="1"/>
  <c r="O311" i="1" s="1"/>
  <c r="H311" i="1"/>
  <c r="N311" i="1" s="1"/>
  <c r="G311" i="1"/>
  <c r="M311" i="1" s="1"/>
  <c r="F311" i="1"/>
  <c r="L311" i="1" s="1"/>
  <c r="O310" i="1"/>
  <c r="N310" i="1"/>
  <c r="M310" i="1"/>
  <c r="L310" i="1"/>
  <c r="K310" i="1"/>
  <c r="J310" i="1"/>
  <c r="O309" i="1"/>
  <c r="N309" i="1"/>
  <c r="M309" i="1"/>
  <c r="L309" i="1"/>
  <c r="K309" i="1"/>
  <c r="J309" i="1"/>
  <c r="O308" i="1"/>
  <c r="N308" i="1"/>
  <c r="M308" i="1"/>
  <c r="L308" i="1"/>
  <c r="K308" i="1"/>
  <c r="J308" i="1"/>
  <c r="O307" i="1"/>
  <c r="N307" i="1"/>
  <c r="M307" i="1"/>
  <c r="L307" i="1"/>
  <c r="K307" i="1"/>
  <c r="J307" i="1"/>
  <c r="O306" i="1"/>
  <c r="K306" i="1"/>
  <c r="J306" i="1"/>
  <c r="H306" i="1"/>
  <c r="N306" i="1" s="1"/>
  <c r="G306" i="1"/>
  <c r="M306" i="1" s="1"/>
  <c r="F306" i="1"/>
  <c r="L306" i="1" s="1"/>
  <c r="O305" i="1"/>
  <c r="N305" i="1"/>
  <c r="K305" i="1"/>
  <c r="J305" i="1"/>
  <c r="G305" i="1"/>
  <c r="M305" i="1" s="1"/>
  <c r="F305" i="1"/>
  <c r="L305" i="1" s="1"/>
  <c r="O304" i="1"/>
  <c r="N304" i="1"/>
  <c r="K304" i="1"/>
  <c r="J304" i="1"/>
  <c r="G304" i="1"/>
  <c r="M304" i="1" s="1"/>
  <c r="F304" i="1"/>
  <c r="L304" i="1" s="1"/>
  <c r="O303" i="1"/>
  <c r="N303" i="1"/>
  <c r="K303" i="1"/>
  <c r="J303" i="1"/>
  <c r="G303" i="1"/>
  <c r="M303" i="1" s="1"/>
  <c r="F303" i="1"/>
  <c r="L303" i="1" s="1"/>
  <c r="O302" i="1"/>
  <c r="N302" i="1"/>
  <c r="K302" i="1"/>
  <c r="J302" i="1"/>
  <c r="G302" i="1"/>
  <c r="M302" i="1" s="1"/>
  <c r="F302" i="1"/>
  <c r="L302" i="1" s="1"/>
  <c r="O301" i="1"/>
  <c r="N301" i="1"/>
  <c r="K301" i="1"/>
  <c r="J301" i="1"/>
  <c r="G301" i="1"/>
  <c r="M301" i="1" s="1"/>
  <c r="F301" i="1"/>
  <c r="L301" i="1" s="1"/>
  <c r="O300" i="1"/>
  <c r="N300" i="1"/>
  <c r="K300" i="1"/>
  <c r="J300" i="1"/>
  <c r="G300" i="1"/>
  <c r="M300" i="1" s="1"/>
  <c r="F300" i="1"/>
  <c r="L300" i="1" s="1"/>
  <c r="O299" i="1"/>
  <c r="N299" i="1"/>
  <c r="M299" i="1"/>
  <c r="L299" i="1"/>
  <c r="K299" i="1"/>
  <c r="J299" i="1"/>
  <c r="O298" i="1"/>
  <c r="N298" i="1"/>
  <c r="M298" i="1"/>
  <c r="L298" i="1"/>
  <c r="K298" i="1"/>
  <c r="J298" i="1"/>
  <c r="O297" i="1"/>
  <c r="N297" i="1"/>
  <c r="M297" i="1"/>
  <c r="L297" i="1"/>
  <c r="K297" i="1"/>
  <c r="J297" i="1"/>
  <c r="K296" i="1"/>
  <c r="J296" i="1"/>
  <c r="I296" i="1"/>
  <c r="O296" i="1" s="1"/>
  <c r="H296" i="1"/>
  <c r="N296" i="1" s="1"/>
  <c r="G296" i="1"/>
  <c r="M296" i="1" s="1"/>
  <c r="F296" i="1"/>
  <c r="L296" i="1" s="1"/>
  <c r="O295" i="1"/>
  <c r="N295" i="1"/>
  <c r="M295" i="1"/>
  <c r="L295" i="1"/>
  <c r="K295" i="1"/>
  <c r="J295" i="1"/>
  <c r="O294" i="1"/>
  <c r="N294" i="1"/>
  <c r="M294" i="1"/>
  <c r="L294" i="1"/>
  <c r="K294" i="1"/>
  <c r="J294" i="1"/>
  <c r="O293" i="1"/>
  <c r="N293" i="1"/>
  <c r="M293" i="1"/>
  <c r="L293" i="1"/>
  <c r="K293" i="1"/>
  <c r="J293" i="1"/>
  <c r="O292" i="1"/>
  <c r="N292" i="1"/>
  <c r="M292" i="1"/>
  <c r="L292" i="1"/>
  <c r="K292" i="1"/>
  <c r="J292" i="1"/>
  <c r="O291" i="1"/>
  <c r="N291" i="1"/>
  <c r="M291" i="1"/>
  <c r="L291" i="1"/>
  <c r="K291" i="1"/>
  <c r="J291" i="1"/>
  <c r="O290" i="1"/>
  <c r="N290" i="1"/>
  <c r="M290" i="1"/>
  <c r="L290" i="1"/>
  <c r="K290" i="1"/>
  <c r="J290" i="1"/>
  <c r="O289" i="1"/>
  <c r="N289" i="1"/>
  <c r="M289" i="1"/>
  <c r="L289" i="1"/>
  <c r="K289" i="1"/>
  <c r="J289" i="1"/>
  <c r="O288" i="1"/>
  <c r="N288" i="1"/>
  <c r="M288" i="1"/>
  <c r="L288" i="1"/>
  <c r="K288" i="1"/>
  <c r="J288" i="1"/>
  <c r="O287" i="1"/>
  <c r="N287" i="1"/>
  <c r="M287" i="1"/>
  <c r="L287" i="1"/>
  <c r="K287" i="1"/>
  <c r="J287" i="1"/>
  <c r="O286" i="1"/>
  <c r="N286" i="1"/>
  <c r="M286" i="1"/>
  <c r="L286" i="1"/>
  <c r="K286" i="1"/>
  <c r="J286" i="1"/>
  <c r="O285" i="1"/>
  <c r="N285" i="1"/>
  <c r="M285" i="1"/>
  <c r="L285" i="1"/>
  <c r="K285" i="1"/>
  <c r="J285" i="1"/>
  <c r="O284" i="1"/>
  <c r="N284" i="1"/>
  <c r="M284" i="1"/>
  <c r="L284" i="1"/>
  <c r="K284" i="1"/>
  <c r="J284" i="1"/>
  <c r="O283" i="1"/>
  <c r="N283" i="1"/>
  <c r="M283" i="1"/>
  <c r="L283" i="1"/>
  <c r="K283" i="1"/>
  <c r="J283" i="1"/>
  <c r="O282" i="1"/>
  <c r="N282" i="1"/>
  <c r="M282" i="1"/>
  <c r="L282" i="1"/>
  <c r="K282" i="1"/>
  <c r="J282" i="1"/>
  <c r="M281" i="1"/>
  <c r="L281" i="1"/>
  <c r="K281" i="1"/>
  <c r="J281" i="1"/>
  <c r="I281" i="1"/>
  <c r="O281" i="1" s="1"/>
  <c r="H281" i="1"/>
  <c r="N281" i="1" s="1"/>
  <c r="O280" i="1"/>
  <c r="N280" i="1"/>
  <c r="M280" i="1"/>
  <c r="L280" i="1"/>
  <c r="K280" i="1"/>
  <c r="J280" i="1"/>
  <c r="O279" i="1"/>
  <c r="N279" i="1"/>
  <c r="M279" i="1"/>
  <c r="L279" i="1"/>
  <c r="K279" i="1"/>
  <c r="J279" i="1"/>
  <c r="O278" i="1"/>
  <c r="N278" i="1"/>
  <c r="M278" i="1"/>
  <c r="L278" i="1"/>
  <c r="K278" i="1"/>
  <c r="J278" i="1"/>
  <c r="O277" i="1"/>
  <c r="N277" i="1"/>
  <c r="M277" i="1"/>
  <c r="L277" i="1"/>
  <c r="K277" i="1"/>
  <c r="J277" i="1"/>
  <c r="M276" i="1"/>
  <c r="L276" i="1"/>
  <c r="K276" i="1"/>
  <c r="J276" i="1"/>
  <c r="I276" i="1"/>
  <c r="O276" i="1" s="1"/>
  <c r="H276" i="1"/>
  <c r="N276" i="1" s="1"/>
  <c r="O275" i="1"/>
  <c r="N275" i="1"/>
  <c r="M275" i="1"/>
  <c r="L275" i="1"/>
  <c r="K275" i="1"/>
  <c r="J275" i="1"/>
  <c r="O274" i="1"/>
  <c r="N274" i="1"/>
  <c r="M274" i="1"/>
  <c r="L274" i="1"/>
  <c r="K274" i="1"/>
  <c r="J274" i="1"/>
  <c r="O273" i="1"/>
  <c r="N273" i="1"/>
  <c r="M273" i="1"/>
  <c r="L273" i="1"/>
  <c r="K273" i="1"/>
  <c r="J273" i="1"/>
  <c r="O272" i="1"/>
  <c r="N272" i="1"/>
  <c r="M272" i="1"/>
  <c r="L272" i="1"/>
  <c r="K272" i="1"/>
  <c r="J272" i="1"/>
  <c r="O271" i="1"/>
  <c r="N271" i="1"/>
  <c r="M271" i="1"/>
  <c r="L271" i="1"/>
  <c r="K271" i="1"/>
  <c r="J271" i="1"/>
  <c r="O270" i="1"/>
  <c r="N270" i="1"/>
  <c r="M270" i="1"/>
  <c r="L270" i="1"/>
  <c r="K270" i="1"/>
  <c r="J270" i="1"/>
  <c r="O269" i="1"/>
  <c r="N269" i="1"/>
  <c r="M269" i="1"/>
  <c r="L269" i="1"/>
  <c r="K269" i="1"/>
  <c r="J269" i="1"/>
  <c r="O268" i="1"/>
  <c r="N268" i="1"/>
  <c r="M268" i="1"/>
  <c r="L268" i="1"/>
  <c r="K268" i="1"/>
  <c r="J268" i="1"/>
  <c r="O267" i="1"/>
  <c r="N267" i="1"/>
  <c r="K267" i="1"/>
  <c r="J267" i="1"/>
  <c r="G267" i="1"/>
  <c r="M267" i="1" s="1"/>
  <c r="F267" i="1"/>
  <c r="L267" i="1" s="1"/>
  <c r="O266" i="1"/>
  <c r="N266" i="1"/>
  <c r="M266" i="1"/>
  <c r="L266" i="1"/>
  <c r="K266" i="1"/>
  <c r="J266" i="1"/>
  <c r="O265" i="1"/>
  <c r="M265" i="1"/>
  <c r="L265" i="1"/>
  <c r="K265" i="1"/>
  <c r="J265" i="1"/>
  <c r="H265" i="1"/>
  <c r="N265" i="1" s="1"/>
  <c r="O264" i="1"/>
  <c r="N264" i="1"/>
  <c r="M264" i="1"/>
  <c r="L264" i="1"/>
  <c r="K264" i="1"/>
  <c r="J264" i="1"/>
  <c r="O263" i="1"/>
  <c r="N263" i="1"/>
  <c r="K263" i="1"/>
  <c r="J263" i="1"/>
  <c r="G263" i="1"/>
  <c r="M263" i="1" s="1"/>
  <c r="F263" i="1"/>
  <c r="L263" i="1" s="1"/>
  <c r="O262" i="1"/>
  <c r="N262" i="1"/>
  <c r="M262" i="1"/>
  <c r="L262" i="1"/>
  <c r="K262" i="1"/>
  <c r="J262" i="1"/>
  <c r="O261" i="1"/>
  <c r="N261" i="1"/>
  <c r="K261" i="1"/>
  <c r="J261" i="1"/>
  <c r="G261" i="1"/>
  <c r="M261" i="1" s="1"/>
  <c r="F261" i="1"/>
  <c r="L261" i="1" s="1"/>
  <c r="O260" i="1"/>
  <c r="N260" i="1"/>
  <c r="M260" i="1"/>
  <c r="L260" i="1"/>
  <c r="K260" i="1"/>
  <c r="J260" i="1"/>
  <c r="O259" i="1"/>
  <c r="N259" i="1"/>
  <c r="M259" i="1"/>
  <c r="L259" i="1"/>
  <c r="K259" i="1"/>
  <c r="J259" i="1"/>
  <c r="O258" i="1"/>
  <c r="N258" i="1"/>
  <c r="M258" i="1"/>
  <c r="L258" i="1"/>
  <c r="K258" i="1"/>
  <c r="J258" i="1"/>
  <c r="O257" i="1"/>
  <c r="N257" i="1"/>
  <c r="M257" i="1"/>
  <c r="L257" i="1"/>
  <c r="K257" i="1"/>
  <c r="J257" i="1"/>
  <c r="O256" i="1"/>
  <c r="N256" i="1"/>
  <c r="K256" i="1"/>
  <c r="J256" i="1"/>
  <c r="G256" i="1"/>
  <c r="M256" i="1" s="1"/>
  <c r="F256" i="1"/>
  <c r="L256" i="1" s="1"/>
  <c r="O255" i="1"/>
  <c r="N255" i="1"/>
  <c r="M255" i="1"/>
  <c r="L255" i="1"/>
  <c r="K255" i="1"/>
  <c r="J255" i="1"/>
  <c r="O254" i="1"/>
  <c r="N254" i="1"/>
  <c r="M254" i="1"/>
  <c r="L254" i="1"/>
  <c r="K254" i="1"/>
  <c r="J254" i="1"/>
  <c r="O253" i="1"/>
  <c r="N253" i="1"/>
  <c r="M253" i="1"/>
  <c r="L253" i="1"/>
  <c r="K253" i="1"/>
  <c r="J253" i="1"/>
  <c r="O252" i="1"/>
  <c r="N252" i="1"/>
  <c r="M252" i="1"/>
  <c r="L252" i="1"/>
  <c r="K252" i="1"/>
  <c r="J252" i="1"/>
  <c r="K251" i="1"/>
  <c r="J251" i="1"/>
  <c r="I251" i="1"/>
  <c r="O251" i="1" s="1"/>
  <c r="H251" i="1"/>
  <c r="N251" i="1" s="1"/>
  <c r="G251" i="1"/>
  <c r="M251" i="1" s="1"/>
  <c r="F251" i="1"/>
  <c r="L251" i="1" s="1"/>
  <c r="O250" i="1"/>
  <c r="N250" i="1"/>
  <c r="M250" i="1"/>
  <c r="L250" i="1"/>
  <c r="K250" i="1"/>
  <c r="J250" i="1"/>
  <c r="O249" i="1"/>
  <c r="N249" i="1"/>
  <c r="M249" i="1"/>
  <c r="L249" i="1"/>
  <c r="K249" i="1"/>
  <c r="J249" i="1"/>
  <c r="O248" i="1"/>
  <c r="N248" i="1"/>
  <c r="M248" i="1"/>
  <c r="L248" i="1"/>
  <c r="K248" i="1"/>
  <c r="J248" i="1"/>
  <c r="O247" i="1"/>
  <c r="N247" i="1"/>
  <c r="M247" i="1"/>
  <c r="L247" i="1"/>
  <c r="K247" i="1"/>
  <c r="J247" i="1"/>
  <c r="K246" i="1"/>
  <c r="J246" i="1"/>
  <c r="I246" i="1"/>
  <c r="O246" i="1" s="1"/>
  <c r="H246" i="1"/>
  <c r="N246" i="1" s="1"/>
  <c r="G246" i="1"/>
  <c r="M246" i="1" s="1"/>
  <c r="F246" i="1"/>
  <c r="L246" i="1" s="1"/>
  <c r="O245" i="1"/>
  <c r="N245" i="1"/>
  <c r="M245" i="1"/>
  <c r="L245" i="1"/>
  <c r="K245" i="1"/>
  <c r="J245" i="1"/>
  <c r="O244" i="1"/>
  <c r="N244" i="1"/>
  <c r="M244" i="1"/>
  <c r="L244" i="1"/>
  <c r="K244" i="1"/>
  <c r="J244" i="1"/>
  <c r="O243" i="1"/>
  <c r="N243" i="1"/>
  <c r="M243" i="1"/>
  <c r="L243" i="1"/>
  <c r="K243" i="1"/>
  <c r="J243" i="1"/>
  <c r="O242" i="1"/>
  <c r="N242" i="1"/>
  <c r="M242" i="1"/>
  <c r="L242" i="1"/>
  <c r="K242" i="1"/>
  <c r="J242" i="1"/>
  <c r="O241" i="1"/>
  <c r="N241" i="1"/>
  <c r="K241" i="1"/>
  <c r="J241" i="1"/>
  <c r="G241" i="1"/>
  <c r="M241" i="1" s="1"/>
  <c r="F241" i="1"/>
  <c r="L241" i="1" s="1"/>
  <c r="O240" i="1"/>
  <c r="N240" i="1"/>
  <c r="K240" i="1"/>
  <c r="J240" i="1"/>
  <c r="G240" i="1"/>
  <c r="M240" i="1" s="1"/>
  <c r="F240" i="1"/>
  <c r="L240" i="1" s="1"/>
  <c r="O239" i="1"/>
  <c r="N239" i="1"/>
  <c r="K239" i="1"/>
  <c r="J239" i="1"/>
  <c r="G239" i="1"/>
  <c r="M239" i="1" s="1"/>
  <c r="F239" i="1"/>
  <c r="L239" i="1" s="1"/>
  <c r="O238" i="1"/>
  <c r="N238" i="1"/>
  <c r="K238" i="1"/>
  <c r="J238" i="1"/>
  <c r="G238" i="1"/>
  <c r="M238" i="1" s="1"/>
  <c r="F238" i="1"/>
  <c r="L238" i="1" s="1"/>
  <c r="O237" i="1"/>
  <c r="N237" i="1"/>
  <c r="K237" i="1"/>
  <c r="J237" i="1"/>
  <c r="G237" i="1"/>
  <c r="M237" i="1" s="1"/>
  <c r="F237" i="1"/>
  <c r="L237" i="1" s="1"/>
  <c r="O236" i="1"/>
  <c r="N236" i="1"/>
  <c r="K236" i="1"/>
  <c r="J236" i="1"/>
  <c r="G236" i="1"/>
  <c r="M236" i="1" s="1"/>
  <c r="F236" i="1"/>
  <c r="L236" i="1" s="1"/>
  <c r="O235" i="1"/>
  <c r="N235" i="1"/>
  <c r="K235" i="1"/>
  <c r="J235" i="1"/>
  <c r="G235" i="1"/>
  <c r="M235" i="1" s="1"/>
  <c r="F235" i="1"/>
  <c r="L235" i="1" s="1"/>
  <c r="O234" i="1"/>
  <c r="N234" i="1"/>
  <c r="M234" i="1"/>
  <c r="L234" i="1"/>
  <c r="K234" i="1"/>
  <c r="J234" i="1"/>
  <c r="O233" i="1"/>
  <c r="N233" i="1"/>
  <c r="M233" i="1"/>
  <c r="L233" i="1"/>
  <c r="K233" i="1"/>
  <c r="J233" i="1"/>
  <c r="O232" i="1"/>
  <c r="N232" i="1"/>
  <c r="M232" i="1"/>
  <c r="L232" i="1"/>
  <c r="K232" i="1"/>
  <c r="J232" i="1"/>
  <c r="O231" i="1"/>
  <c r="N231" i="1"/>
  <c r="K231" i="1"/>
  <c r="J231" i="1"/>
  <c r="G231" i="1"/>
  <c r="M231" i="1" s="1"/>
  <c r="F231" i="1"/>
  <c r="L231" i="1" s="1"/>
  <c r="O230" i="1"/>
  <c r="N230" i="1"/>
  <c r="M230" i="1"/>
  <c r="L230" i="1"/>
  <c r="K230" i="1"/>
  <c r="J230" i="1"/>
  <c r="O229" i="1"/>
  <c r="N229" i="1"/>
  <c r="M229" i="1"/>
  <c r="L229" i="1"/>
  <c r="K229" i="1"/>
  <c r="J229" i="1"/>
  <c r="O228" i="1"/>
  <c r="N228" i="1"/>
  <c r="M228" i="1"/>
  <c r="L228" i="1"/>
  <c r="K228" i="1"/>
  <c r="J228" i="1"/>
  <c r="O227" i="1"/>
  <c r="N227" i="1"/>
  <c r="M227" i="1"/>
  <c r="L227" i="1"/>
  <c r="K227" i="1"/>
  <c r="J227" i="1"/>
  <c r="O226" i="1"/>
  <c r="N226" i="1"/>
  <c r="M226" i="1"/>
  <c r="L226" i="1"/>
  <c r="K226" i="1"/>
  <c r="J226" i="1"/>
  <c r="O225" i="1"/>
  <c r="N225" i="1"/>
  <c r="M225" i="1"/>
  <c r="L225" i="1"/>
  <c r="K225" i="1"/>
  <c r="J225" i="1"/>
  <c r="O224" i="1"/>
  <c r="N224" i="1"/>
  <c r="M224" i="1"/>
  <c r="L224" i="1"/>
  <c r="K224" i="1"/>
  <c r="J224" i="1"/>
  <c r="O223" i="1"/>
  <c r="N223" i="1"/>
  <c r="M223" i="1"/>
  <c r="L223" i="1"/>
  <c r="K223" i="1"/>
  <c r="J223" i="1"/>
  <c r="O222" i="1"/>
  <c r="N222" i="1"/>
  <c r="M222" i="1"/>
  <c r="L222" i="1"/>
  <c r="K222" i="1"/>
  <c r="J222" i="1"/>
  <c r="O221" i="1"/>
  <c r="N221" i="1"/>
  <c r="M221" i="1"/>
  <c r="L221" i="1"/>
  <c r="K221" i="1"/>
  <c r="J221" i="1"/>
  <c r="O220" i="1"/>
  <c r="N220" i="1"/>
  <c r="M220" i="1"/>
  <c r="L220" i="1"/>
  <c r="K220" i="1"/>
  <c r="J220" i="1"/>
  <c r="O219" i="1"/>
  <c r="N219" i="1"/>
  <c r="M219" i="1"/>
  <c r="L219" i="1"/>
  <c r="K219" i="1"/>
  <c r="J219" i="1"/>
  <c r="O218" i="1"/>
  <c r="N218" i="1"/>
  <c r="M218" i="1"/>
  <c r="L218" i="1"/>
  <c r="K218" i="1"/>
  <c r="J218" i="1"/>
  <c r="K217" i="1"/>
  <c r="J217" i="1"/>
  <c r="I217" i="1"/>
  <c r="O217" i="1" s="1"/>
  <c r="H217" i="1"/>
  <c r="N217" i="1" s="1"/>
  <c r="G217" i="1"/>
  <c r="M217" i="1" s="1"/>
  <c r="F217" i="1"/>
  <c r="L217" i="1" s="1"/>
  <c r="O216" i="1"/>
  <c r="N216" i="1"/>
  <c r="M216" i="1"/>
  <c r="L216" i="1"/>
  <c r="K216" i="1"/>
  <c r="J216" i="1"/>
  <c r="O215" i="1"/>
  <c r="N215" i="1"/>
  <c r="M215" i="1"/>
  <c r="L215" i="1"/>
  <c r="K215" i="1"/>
  <c r="J215" i="1"/>
  <c r="O214" i="1"/>
  <c r="N214" i="1"/>
  <c r="M214" i="1"/>
  <c r="L214" i="1"/>
  <c r="K214" i="1"/>
  <c r="J214" i="1"/>
  <c r="O213" i="1"/>
  <c r="N213" i="1"/>
  <c r="M213" i="1"/>
  <c r="L213" i="1"/>
  <c r="K213" i="1"/>
  <c r="J213" i="1"/>
  <c r="M212" i="1"/>
  <c r="L212" i="1"/>
  <c r="K212" i="1"/>
  <c r="J212" i="1"/>
  <c r="I212" i="1"/>
  <c r="O212" i="1" s="1"/>
  <c r="H212" i="1"/>
  <c r="N212" i="1" s="1"/>
  <c r="O211" i="1"/>
  <c r="N211" i="1"/>
  <c r="M211" i="1"/>
  <c r="L211" i="1"/>
  <c r="K211" i="1"/>
  <c r="J211" i="1"/>
  <c r="O210" i="1"/>
  <c r="N210" i="1"/>
  <c r="M210" i="1"/>
  <c r="L210" i="1"/>
  <c r="K210" i="1"/>
  <c r="J210" i="1"/>
  <c r="O209" i="1"/>
  <c r="N209" i="1"/>
  <c r="M209" i="1"/>
  <c r="L209" i="1"/>
  <c r="K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H207" i="1"/>
  <c r="N207" i="1" s="1"/>
  <c r="O206" i="1"/>
  <c r="N206" i="1"/>
  <c r="M206" i="1"/>
  <c r="L206" i="1"/>
  <c r="K206" i="1"/>
  <c r="J206" i="1"/>
  <c r="O205" i="1"/>
  <c r="N205" i="1"/>
  <c r="M205" i="1"/>
  <c r="L205" i="1"/>
  <c r="K205" i="1"/>
  <c r="J205" i="1"/>
  <c r="O204" i="1"/>
  <c r="N204" i="1"/>
  <c r="M204" i="1"/>
  <c r="L204" i="1"/>
  <c r="K204" i="1"/>
  <c r="J204" i="1"/>
  <c r="K203" i="1"/>
  <c r="J203" i="1"/>
  <c r="I203" i="1"/>
  <c r="O203" i="1" s="1"/>
  <c r="H203" i="1"/>
  <c r="N203" i="1" s="1"/>
  <c r="G203" i="1"/>
  <c r="M203" i="1" s="1"/>
  <c r="F203" i="1"/>
  <c r="L203" i="1" s="1"/>
  <c r="O202" i="1"/>
  <c r="N202" i="1"/>
  <c r="M202" i="1"/>
  <c r="L202" i="1"/>
  <c r="K202" i="1"/>
  <c r="J202" i="1"/>
  <c r="M201" i="1"/>
  <c r="L201" i="1"/>
  <c r="K201" i="1"/>
  <c r="J201" i="1"/>
  <c r="I201" i="1"/>
  <c r="O201" i="1" s="1"/>
  <c r="H201" i="1"/>
  <c r="N201" i="1" s="1"/>
  <c r="O200" i="1"/>
  <c r="N200" i="1"/>
  <c r="M200" i="1"/>
  <c r="L200" i="1"/>
  <c r="K200" i="1"/>
  <c r="J200" i="1"/>
  <c r="K199" i="1"/>
  <c r="J199" i="1"/>
  <c r="I199" i="1"/>
  <c r="O199" i="1" s="1"/>
  <c r="H199" i="1"/>
  <c r="N199" i="1" s="1"/>
  <c r="G199" i="1"/>
  <c r="M199" i="1" s="1"/>
  <c r="F199" i="1"/>
  <c r="L199" i="1" s="1"/>
  <c r="O198" i="1"/>
  <c r="N198" i="1"/>
  <c r="M198" i="1"/>
  <c r="L198" i="1"/>
  <c r="K198" i="1"/>
  <c r="J198" i="1"/>
  <c r="K197" i="1"/>
  <c r="J197" i="1"/>
  <c r="I197" i="1"/>
  <c r="O197" i="1" s="1"/>
  <c r="H197" i="1"/>
  <c r="N197" i="1" s="1"/>
  <c r="G197" i="1"/>
  <c r="M197" i="1" s="1"/>
  <c r="F197" i="1"/>
  <c r="L197" i="1" s="1"/>
  <c r="O196" i="1"/>
  <c r="N196" i="1"/>
  <c r="M196" i="1"/>
  <c r="L196" i="1"/>
  <c r="K196" i="1"/>
  <c r="J196" i="1"/>
  <c r="O195" i="1"/>
  <c r="N195" i="1"/>
  <c r="M195" i="1"/>
  <c r="L195" i="1"/>
  <c r="K195" i="1"/>
  <c r="J195" i="1"/>
  <c r="O194" i="1"/>
  <c r="N194" i="1"/>
  <c r="M194" i="1"/>
  <c r="L194" i="1"/>
  <c r="K194" i="1"/>
  <c r="J194" i="1"/>
  <c r="O193" i="1"/>
  <c r="N193" i="1"/>
  <c r="M193" i="1"/>
  <c r="L193" i="1"/>
  <c r="K193" i="1"/>
  <c r="J193" i="1"/>
  <c r="K192" i="1"/>
  <c r="J192" i="1"/>
  <c r="I192" i="1"/>
  <c r="O192" i="1" s="1"/>
  <c r="H192" i="1"/>
  <c r="N192" i="1" s="1"/>
  <c r="G192" i="1"/>
  <c r="M192" i="1" s="1"/>
  <c r="F192" i="1"/>
  <c r="L192" i="1" s="1"/>
  <c r="O191" i="1"/>
  <c r="N191" i="1"/>
  <c r="M191" i="1"/>
  <c r="L191" i="1"/>
  <c r="K191" i="1"/>
  <c r="J191" i="1"/>
  <c r="O190" i="1"/>
  <c r="N190" i="1"/>
  <c r="M190" i="1"/>
  <c r="L190" i="1"/>
  <c r="K190" i="1"/>
  <c r="J190" i="1"/>
  <c r="O189" i="1"/>
  <c r="N189" i="1"/>
  <c r="M189" i="1"/>
  <c r="L189" i="1"/>
  <c r="K189" i="1"/>
  <c r="J189" i="1"/>
  <c r="O188" i="1"/>
  <c r="N188" i="1"/>
  <c r="M188" i="1"/>
  <c r="L188" i="1"/>
  <c r="K188" i="1"/>
  <c r="J188" i="1"/>
  <c r="K187" i="1"/>
  <c r="J187" i="1"/>
  <c r="I187" i="1"/>
  <c r="O187" i="1" s="1"/>
  <c r="H187" i="1"/>
  <c r="N187" i="1" s="1"/>
  <c r="G187" i="1"/>
  <c r="M187" i="1" s="1"/>
  <c r="F187" i="1"/>
  <c r="L187" i="1" s="1"/>
  <c r="O186" i="1"/>
  <c r="N186" i="1"/>
  <c r="M186" i="1"/>
  <c r="L186" i="1"/>
  <c r="K186" i="1"/>
  <c r="J186" i="1"/>
  <c r="O185" i="1"/>
  <c r="N185" i="1"/>
  <c r="M185" i="1"/>
  <c r="L185" i="1"/>
  <c r="K185" i="1"/>
  <c r="J185" i="1"/>
  <c r="O184" i="1"/>
  <c r="N184" i="1"/>
  <c r="M184" i="1"/>
  <c r="L184" i="1"/>
  <c r="K184" i="1"/>
  <c r="J184" i="1"/>
  <c r="O183" i="1"/>
  <c r="N183" i="1"/>
  <c r="M183" i="1"/>
  <c r="L183" i="1"/>
  <c r="K183" i="1"/>
  <c r="J183" i="1"/>
  <c r="K182" i="1"/>
  <c r="J182" i="1"/>
  <c r="I182" i="1"/>
  <c r="O182" i="1" s="1"/>
  <c r="H182" i="1"/>
  <c r="N182" i="1" s="1"/>
  <c r="G182" i="1"/>
  <c r="M182" i="1" s="1"/>
  <c r="F182" i="1"/>
  <c r="L182" i="1" s="1"/>
  <c r="O181" i="1"/>
  <c r="N181" i="1"/>
  <c r="M181" i="1"/>
  <c r="L181" i="1"/>
  <c r="K181" i="1"/>
  <c r="J181" i="1"/>
  <c r="O180" i="1"/>
  <c r="N180" i="1"/>
  <c r="M180" i="1"/>
  <c r="L180" i="1"/>
  <c r="K180" i="1"/>
  <c r="J180" i="1"/>
  <c r="O179" i="1"/>
  <c r="N179" i="1"/>
  <c r="M179" i="1"/>
  <c r="L179" i="1"/>
  <c r="K179" i="1"/>
  <c r="J179" i="1"/>
  <c r="O178" i="1"/>
  <c r="N178" i="1"/>
  <c r="M178" i="1"/>
  <c r="L178" i="1"/>
  <c r="K178" i="1"/>
  <c r="J178" i="1"/>
  <c r="O177" i="1"/>
  <c r="N177" i="1"/>
  <c r="K177" i="1"/>
  <c r="J177" i="1"/>
  <c r="G177" i="1"/>
  <c r="M177" i="1" s="1"/>
  <c r="F177" i="1"/>
  <c r="L177" i="1" s="1"/>
  <c r="O176" i="1"/>
  <c r="N176" i="1"/>
  <c r="K176" i="1"/>
  <c r="J176" i="1"/>
  <c r="G176" i="1"/>
  <c r="M176" i="1" s="1"/>
  <c r="F176" i="1"/>
  <c r="L176" i="1" s="1"/>
  <c r="O175" i="1"/>
  <c r="N175" i="1"/>
  <c r="K175" i="1"/>
  <c r="J175" i="1"/>
  <c r="G175" i="1"/>
  <c r="M175" i="1" s="1"/>
  <c r="F175" i="1"/>
  <c r="L175" i="1" s="1"/>
  <c r="O174" i="1"/>
  <c r="N174" i="1"/>
  <c r="K174" i="1"/>
  <c r="J174" i="1"/>
  <c r="G174" i="1"/>
  <c r="M174" i="1" s="1"/>
  <c r="F174" i="1"/>
  <c r="L174" i="1" s="1"/>
  <c r="O173" i="1"/>
  <c r="N173" i="1"/>
  <c r="K173" i="1"/>
  <c r="J173" i="1"/>
  <c r="G173" i="1"/>
  <c r="M173" i="1" s="1"/>
  <c r="F173" i="1"/>
  <c r="L173" i="1" s="1"/>
  <c r="O172" i="1"/>
  <c r="N172" i="1"/>
  <c r="K172" i="1"/>
  <c r="J172" i="1"/>
  <c r="G172" i="1"/>
  <c r="M172" i="1" s="1"/>
  <c r="F172" i="1"/>
  <c r="L172" i="1" s="1"/>
  <c r="O171" i="1"/>
  <c r="N171" i="1"/>
  <c r="K171" i="1"/>
  <c r="J171" i="1"/>
  <c r="G171" i="1"/>
  <c r="M171" i="1" s="1"/>
  <c r="F171" i="1"/>
  <c r="L171" i="1" s="1"/>
  <c r="O170" i="1"/>
  <c r="N170" i="1"/>
  <c r="M170" i="1"/>
  <c r="L170" i="1"/>
  <c r="K170" i="1"/>
  <c r="J170" i="1"/>
  <c r="O169" i="1"/>
  <c r="N169" i="1"/>
  <c r="M169" i="1"/>
  <c r="L169" i="1"/>
  <c r="K169" i="1"/>
  <c r="J169" i="1"/>
  <c r="O168" i="1"/>
  <c r="N168" i="1"/>
  <c r="M168" i="1"/>
  <c r="L168" i="1"/>
  <c r="K168" i="1"/>
  <c r="J168" i="1"/>
  <c r="O167" i="1"/>
  <c r="N167" i="1"/>
  <c r="K167" i="1"/>
  <c r="J167" i="1"/>
  <c r="G167" i="1"/>
  <c r="M167" i="1" s="1"/>
  <c r="F167" i="1"/>
  <c r="L167" i="1" s="1"/>
  <c r="O166" i="1"/>
  <c r="N166" i="1"/>
  <c r="M166" i="1"/>
  <c r="L166" i="1"/>
  <c r="K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O163" i="1"/>
  <c r="N163" i="1"/>
  <c r="M163" i="1"/>
  <c r="L163" i="1"/>
  <c r="K163" i="1"/>
  <c r="J163" i="1"/>
  <c r="O162" i="1"/>
  <c r="N162" i="1"/>
  <c r="M162" i="1"/>
  <c r="L162" i="1"/>
  <c r="K162" i="1"/>
  <c r="J162" i="1"/>
  <c r="O161" i="1"/>
  <c r="N161" i="1"/>
  <c r="M161" i="1"/>
  <c r="L161" i="1"/>
  <c r="K161" i="1"/>
  <c r="J161" i="1"/>
  <c r="O160" i="1"/>
  <c r="N160" i="1"/>
  <c r="M160" i="1"/>
  <c r="L160" i="1"/>
  <c r="K160" i="1"/>
  <c r="J160" i="1"/>
  <c r="O159" i="1"/>
  <c r="N159" i="1"/>
  <c r="M159" i="1"/>
  <c r="L159" i="1"/>
  <c r="K159" i="1"/>
  <c r="J159" i="1"/>
  <c r="O158" i="1"/>
  <c r="N158" i="1"/>
  <c r="M158" i="1"/>
  <c r="L158" i="1"/>
  <c r="K158" i="1"/>
  <c r="J158" i="1"/>
  <c r="O157" i="1"/>
  <c r="N157" i="1"/>
  <c r="M157" i="1"/>
  <c r="L157" i="1"/>
  <c r="K157" i="1"/>
  <c r="J157" i="1"/>
  <c r="O156" i="1"/>
  <c r="N156" i="1"/>
  <c r="M156" i="1"/>
  <c r="L156" i="1"/>
  <c r="K156" i="1"/>
  <c r="J156" i="1"/>
  <c r="O155" i="1"/>
  <c r="N155" i="1"/>
  <c r="M155" i="1"/>
  <c r="L155" i="1"/>
  <c r="K155" i="1"/>
  <c r="J155" i="1"/>
  <c r="O154" i="1"/>
  <c r="N154" i="1"/>
  <c r="M154" i="1"/>
  <c r="L154" i="1"/>
  <c r="K154" i="1"/>
  <c r="J154" i="1"/>
  <c r="O153" i="1"/>
  <c r="N153" i="1"/>
  <c r="M153" i="1"/>
  <c r="L153" i="1"/>
  <c r="K153" i="1"/>
  <c r="J153" i="1"/>
  <c r="O152" i="1"/>
  <c r="N152" i="1"/>
  <c r="M152" i="1"/>
  <c r="L152" i="1"/>
  <c r="K152" i="1"/>
  <c r="J152" i="1"/>
  <c r="O151" i="1"/>
  <c r="N151" i="1"/>
  <c r="M151" i="1"/>
  <c r="L151" i="1"/>
  <c r="K151" i="1"/>
  <c r="J151" i="1"/>
  <c r="O150" i="1"/>
  <c r="N150" i="1"/>
  <c r="M150" i="1"/>
  <c r="L150" i="1"/>
  <c r="K150" i="1"/>
  <c r="J150" i="1"/>
  <c r="O149" i="1"/>
  <c r="N149" i="1"/>
  <c r="M149" i="1"/>
  <c r="L149" i="1"/>
  <c r="K149" i="1"/>
  <c r="J149" i="1"/>
  <c r="O148" i="1"/>
  <c r="N148" i="1"/>
  <c r="M148" i="1"/>
  <c r="L148" i="1"/>
  <c r="E148" i="1"/>
  <c r="K148" i="1" s="1"/>
  <c r="D148" i="1"/>
  <c r="J148" i="1" s="1"/>
  <c r="O147" i="1"/>
  <c r="N147" i="1"/>
  <c r="M147" i="1"/>
  <c r="L147" i="1"/>
  <c r="E147" i="1"/>
  <c r="K147" i="1" s="1"/>
  <c r="D147" i="1"/>
  <c r="J147" i="1" s="1"/>
  <c r="O146" i="1"/>
  <c r="N146" i="1"/>
  <c r="M146" i="1"/>
  <c r="L146" i="1"/>
  <c r="K146" i="1"/>
  <c r="J146" i="1"/>
  <c r="O145" i="1"/>
  <c r="N145" i="1"/>
  <c r="M145" i="1"/>
  <c r="L145" i="1"/>
  <c r="K145" i="1"/>
  <c r="J145" i="1"/>
  <c r="O144" i="1"/>
  <c r="N144" i="1"/>
  <c r="M144" i="1"/>
  <c r="L144" i="1"/>
  <c r="K144" i="1"/>
  <c r="J144" i="1"/>
  <c r="O143" i="1"/>
  <c r="N143" i="1"/>
  <c r="M143" i="1"/>
  <c r="L143" i="1"/>
  <c r="K143" i="1"/>
  <c r="J143" i="1"/>
  <c r="O142" i="1"/>
  <c r="N142" i="1"/>
  <c r="M142" i="1"/>
  <c r="L142" i="1"/>
  <c r="K142" i="1"/>
  <c r="J142" i="1"/>
  <c r="O141" i="1"/>
  <c r="N141" i="1"/>
  <c r="M141" i="1"/>
  <c r="L141" i="1"/>
  <c r="K141" i="1"/>
  <c r="J141" i="1"/>
  <c r="O140" i="1"/>
  <c r="N140" i="1"/>
  <c r="M140" i="1"/>
  <c r="L140" i="1"/>
  <c r="K140" i="1"/>
  <c r="J140" i="1"/>
  <c r="O139" i="1"/>
  <c r="N139" i="1"/>
  <c r="M139" i="1"/>
  <c r="L139" i="1"/>
  <c r="K139" i="1"/>
  <c r="J139" i="1"/>
  <c r="O138" i="1"/>
  <c r="N138" i="1"/>
  <c r="M138" i="1"/>
  <c r="L138" i="1"/>
  <c r="K138" i="1"/>
  <c r="J138" i="1"/>
  <c r="O137" i="1"/>
  <c r="N137" i="1"/>
  <c r="M137" i="1"/>
  <c r="L137" i="1"/>
  <c r="K137" i="1"/>
  <c r="J137" i="1"/>
  <c r="O136" i="1"/>
  <c r="N136" i="1"/>
  <c r="M136" i="1"/>
  <c r="L136" i="1"/>
  <c r="K136" i="1"/>
  <c r="J136" i="1"/>
  <c r="O135" i="1"/>
  <c r="N135" i="1"/>
  <c r="M135" i="1"/>
  <c r="L135" i="1"/>
  <c r="K135" i="1"/>
  <c r="J135" i="1"/>
  <c r="O134" i="1"/>
  <c r="N134" i="1"/>
  <c r="M134" i="1"/>
  <c r="L134" i="1"/>
  <c r="K134" i="1"/>
  <c r="J134" i="1"/>
  <c r="O133" i="1"/>
  <c r="N133" i="1"/>
  <c r="M133" i="1"/>
  <c r="L133" i="1"/>
  <c r="K133" i="1"/>
  <c r="J133" i="1"/>
  <c r="O132" i="1"/>
  <c r="N132" i="1"/>
  <c r="M132" i="1"/>
  <c r="L132" i="1"/>
  <c r="K132" i="1"/>
  <c r="J132" i="1"/>
  <c r="O131" i="1"/>
  <c r="N131" i="1"/>
  <c r="M131" i="1"/>
  <c r="L131" i="1"/>
  <c r="K131" i="1"/>
  <c r="D131" i="1"/>
  <c r="J131" i="1" s="1"/>
  <c r="O130" i="1"/>
  <c r="N130" i="1"/>
  <c r="M130" i="1"/>
  <c r="L130" i="1"/>
  <c r="K130" i="1"/>
  <c r="J130" i="1"/>
  <c r="O129" i="1"/>
  <c r="N129" i="1"/>
  <c r="M129" i="1"/>
  <c r="L129" i="1"/>
  <c r="K129" i="1"/>
  <c r="J129" i="1"/>
  <c r="O128" i="1"/>
  <c r="N128" i="1"/>
  <c r="M128" i="1"/>
  <c r="L128" i="1"/>
  <c r="K128" i="1"/>
  <c r="J128" i="1"/>
  <c r="O127" i="1"/>
  <c r="N127" i="1"/>
  <c r="M127" i="1"/>
  <c r="L127" i="1"/>
  <c r="K127" i="1"/>
  <c r="J127" i="1"/>
  <c r="O126" i="1"/>
  <c r="N126" i="1"/>
  <c r="M126" i="1"/>
  <c r="L126" i="1"/>
  <c r="K126" i="1"/>
  <c r="J126" i="1"/>
  <c r="O125" i="1"/>
  <c r="N125" i="1"/>
  <c r="M125" i="1"/>
  <c r="L125" i="1"/>
  <c r="K125" i="1"/>
  <c r="J125" i="1"/>
  <c r="O124" i="1"/>
  <c r="N124" i="1"/>
  <c r="M124" i="1"/>
  <c r="L124" i="1"/>
  <c r="K124" i="1"/>
  <c r="J124" i="1"/>
  <c r="O123" i="1"/>
  <c r="N123" i="1"/>
  <c r="M123" i="1"/>
  <c r="L123" i="1"/>
  <c r="K123" i="1"/>
  <c r="J123" i="1"/>
  <c r="O122" i="1"/>
  <c r="N122" i="1"/>
  <c r="M122" i="1"/>
  <c r="L122" i="1"/>
  <c r="E122" i="1"/>
  <c r="K122" i="1" s="1"/>
  <c r="D122" i="1"/>
  <c r="J122" i="1" s="1"/>
  <c r="O121" i="1"/>
  <c r="N121" i="1"/>
  <c r="M121" i="1"/>
  <c r="L121" i="1"/>
  <c r="E121" i="1"/>
  <c r="K121" i="1" s="1"/>
  <c r="D121" i="1"/>
  <c r="J121" i="1" s="1"/>
  <c r="O120" i="1"/>
  <c r="N120" i="1"/>
  <c r="M120" i="1"/>
  <c r="L120" i="1"/>
  <c r="K120" i="1"/>
  <c r="J120" i="1"/>
  <c r="O119" i="1"/>
  <c r="N119" i="1"/>
  <c r="M119" i="1"/>
  <c r="L119" i="1"/>
  <c r="K119" i="1"/>
  <c r="J119" i="1"/>
  <c r="O118" i="1"/>
  <c r="N118" i="1"/>
  <c r="M118" i="1"/>
  <c r="L118" i="1"/>
  <c r="K118" i="1"/>
  <c r="J118" i="1"/>
  <c r="O117" i="1"/>
  <c r="N117" i="1"/>
  <c r="M117" i="1"/>
  <c r="L117" i="1"/>
  <c r="K117" i="1"/>
  <c r="J117" i="1"/>
  <c r="O116" i="1"/>
  <c r="N116" i="1"/>
  <c r="M116" i="1"/>
  <c r="L116" i="1"/>
  <c r="K116" i="1"/>
  <c r="J116" i="1"/>
  <c r="O115" i="1"/>
  <c r="N115" i="1"/>
  <c r="M115" i="1"/>
  <c r="L115" i="1"/>
  <c r="K115" i="1"/>
  <c r="J115" i="1"/>
  <c r="O114" i="1"/>
  <c r="N114" i="1"/>
  <c r="M114" i="1"/>
  <c r="L114" i="1"/>
  <c r="K114" i="1"/>
  <c r="J114" i="1"/>
  <c r="O113" i="1"/>
  <c r="N113" i="1"/>
  <c r="M113" i="1"/>
  <c r="L113" i="1"/>
  <c r="K113" i="1"/>
  <c r="J113" i="1"/>
  <c r="O112" i="1"/>
  <c r="N112" i="1"/>
  <c r="M112" i="1"/>
  <c r="L112" i="1"/>
  <c r="K112" i="1"/>
  <c r="J112" i="1"/>
  <c r="O111" i="1"/>
  <c r="N111" i="1"/>
  <c r="M111" i="1"/>
  <c r="L111" i="1"/>
  <c r="K111" i="1"/>
  <c r="J111" i="1"/>
  <c r="O110" i="1"/>
  <c r="N110" i="1"/>
  <c r="M110" i="1"/>
  <c r="L110" i="1"/>
  <c r="K110" i="1"/>
  <c r="J110" i="1"/>
  <c r="O109" i="1"/>
  <c r="N109" i="1"/>
  <c r="M109" i="1"/>
  <c r="L109" i="1"/>
  <c r="E109" i="1"/>
  <c r="K109" i="1" s="1"/>
  <c r="D109" i="1"/>
  <c r="J109" i="1" s="1"/>
  <c r="O108" i="1"/>
  <c r="N108" i="1"/>
  <c r="M108" i="1"/>
  <c r="L108" i="1"/>
  <c r="E108" i="1"/>
  <c r="K108" i="1" s="1"/>
  <c r="D108" i="1"/>
  <c r="J108" i="1" s="1"/>
  <c r="O107" i="1"/>
  <c r="N107" i="1"/>
  <c r="M107" i="1"/>
  <c r="L107" i="1"/>
  <c r="K107" i="1"/>
  <c r="J107" i="1"/>
  <c r="O106" i="1"/>
  <c r="N106" i="1"/>
  <c r="M106" i="1"/>
  <c r="L106" i="1"/>
  <c r="K106" i="1"/>
  <c r="J106" i="1"/>
  <c r="O105" i="1"/>
  <c r="N105" i="1"/>
  <c r="M105" i="1"/>
  <c r="L105" i="1"/>
  <c r="K105" i="1"/>
  <c r="J105" i="1"/>
  <c r="O104" i="1"/>
  <c r="N104" i="1"/>
  <c r="M104" i="1"/>
  <c r="L104" i="1"/>
  <c r="K104" i="1"/>
  <c r="J104" i="1"/>
  <c r="O103" i="1"/>
  <c r="N103" i="1"/>
  <c r="M103" i="1"/>
  <c r="L103" i="1"/>
  <c r="K103" i="1"/>
  <c r="J103" i="1"/>
  <c r="O102" i="1"/>
  <c r="N102" i="1"/>
  <c r="M102" i="1"/>
  <c r="L102" i="1"/>
  <c r="K102" i="1"/>
  <c r="J102" i="1"/>
  <c r="O101" i="1"/>
  <c r="N101" i="1"/>
  <c r="M101" i="1"/>
  <c r="L101" i="1"/>
  <c r="K101" i="1"/>
  <c r="J101" i="1"/>
  <c r="O100" i="1"/>
  <c r="N100" i="1"/>
  <c r="M100" i="1"/>
  <c r="L100" i="1"/>
  <c r="K100" i="1"/>
  <c r="J100" i="1"/>
  <c r="O99" i="1"/>
  <c r="N99" i="1"/>
  <c r="M99" i="1"/>
  <c r="L99" i="1"/>
  <c r="K99" i="1"/>
  <c r="J99" i="1"/>
  <c r="O98" i="1"/>
  <c r="N98" i="1"/>
  <c r="M98" i="1"/>
  <c r="L98" i="1"/>
  <c r="K98" i="1"/>
  <c r="J98" i="1"/>
  <c r="O97" i="1"/>
  <c r="N97" i="1"/>
  <c r="M97" i="1"/>
  <c r="L97" i="1"/>
  <c r="K97" i="1"/>
  <c r="J97" i="1"/>
  <c r="O96" i="1"/>
  <c r="N96" i="1"/>
  <c r="M96" i="1"/>
  <c r="L96" i="1"/>
  <c r="K96" i="1"/>
  <c r="J96" i="1"/>
  <c r="O95" i="1"/>
  <c r="N95" i="1"/>
  <c r="M95" i="1"/>
  <c r="L95" i="1"/>
  <c r="K95" i="1"/>
  <c r="J95" i="1"/>
  <c r="O94" i="1"/>
  <c r="N94" i="1"/>
  <c r="M94" i="1"/>
  <c r="L94" i="1"/>
  <c r="K94" i="1"/>
  <c r="J94" i="1"/>
  <c r="O93" i="1"/>
  <c r="N93" i="1"/>
  <c r="M93" i="1"/>
  <c r="L93" i="1"/>
  <c r="K93" i="1"/>
  <c r="J93" i="1"/>
  <c r="O92" i="1"/>
  <c r="N92" i="1"/>
  <c r="M92" i="1"/>
  <c r="L92" i="1"/>
  <c r="K92" i="1"/>
  <c r="J92" i="1"/>
  <c r="O91" i="1"/>
  <c r="N91" i="1"/>
  <c r="M91" i="1"/>
  <c r="L91" i="1"/>
  <c r="K91" i="1"/>
  <c r="J91" i="1"/>
  <c r="O90" i="1"/>
  <c r="N90" i="1"/>
  <c r="M90" i="1"/>
  <c r="L90" i="1"/>
  <c r="K90" i="1"/>
  <c r="J90" i="1"/>
  <c r="O89" i="1"/>
  <c r="N89" i="1"/>
  <c r="M89" i="1"/>
  <c r="L89" i="1"/>
  <c r="K89" i="1"/>
  <c r="J89" i="1"/>
  <c r="O88" i="1"/>
  <c r="N88" i="1"/>
  <c r="M88" i="1"/>
  <c r="L88" i="1"/>
  <c r="K88" i="1"/>
  <c r="J88" i="1"/>
  <c r="O87" i="1"/>
  <c r="N87" i="1"/>
  <c r="M87" i="1"/>
  <c r="L87" i="1"/>
  <c r="K87" i="1"/>
  <c r="J87" i="1"/>
  <c r="O86" i="1"/>
  <c r="N86" i="1"/>
  <c r="M86" i="1"/>
  <c r="L86" i="1"/>
  <c r="K86" i="1"/>
  <c r="J86" i="1"/>
  <c r="O85" i="1"/>
  <c r="N85" i="1"/>
  <c r="M85" i="1"/>
  <c r="L85" i="1"/>
  <c r="K85" i="1"/>
  <c r="J85" i="1"/>
  <c r="O84" i="1"/>
  <c r="N84" i="1"/>
  <c r="M84" i="1"/>
  <c r="L84" i="1"/>
  <c r="K84" i="1"/>
  <c r="J84" i="1"/>
  <c r="O83" i="1"/>
  <c r="N83" i="1"/>
  <c r="M83" i="1"/>
  <c r="L83" i="1"/>
  <c r="K83" i="1"/>
  <c r="J83" i="1"/>
  <c r="O82" i="1"/>
  <c r="N82" i="1"/>
  <c r="M82" i="1"/>
  <c r="L82" i="1"/>
  <c r="K82" i="1"/>
  <c r="J82" i="1"/>
  <c r="O81" i="1"/>
  <c r="N81" i="1"/>
  <c r="M81" i="1"/>
  <c r="L81" i="1"/>
  <c r="K81" i="1"/>
  <c r="J81" i="1"/>
  <c r="O80" i="1"/>
  <c r="N80" i="1"/>
  <c r="M80" i="1"/>
  <c r="L80" i="1"/>
  <c r="K80" i="1"/>
  <c r="J80" i="1"/>
  <c r="O79" i="1"/>
  <c r="N79" i="1"/>
  <c r="M79" i="1"/>
  <c r="L79" i="1"/>
  <c r="K79" i="1"/>
  <c r="J79" i="1"/>
  <c r="O78" i="1"/>
  <c r="N78" i="1"/>
  <c r="M78" i="1"/>
  <c r="L78" i="1"/>
  <c r="K78" i="1"/>
  <c r="J78" i="1"/>
  <c r="O77" i="1"/>
  <c r="N77" i="1"/>
  <c r="M77" i="1"/>
  <c r="L77" i="1"/>
  <c r="K77" i="1"/>
  <c r="J77" i="1"/>
  <c r="O76" i="1"/>
  <c r="N76" i="1"/>
  <c r="M76" i="1"/>
  <c r="L76" i="1"/>
  <c r="K76" i="1"/>
  <c r="J76" i="1"/>
  <c r="O75" i="1"/>
  <c r="N75" i="1"/>
  <c r="M75" i="1"/>
  <c r="L75" i="1"/>
  <c r="K75" i="1"/>
  <c r="J75" i="1"/>
  <c r="O74" i="1"/>
  <c r="N74" i="1"/>
  <c r="M74" i="1"/>
  <c r="L74" i="1"/>
  <c r="K74" i="1"/>
  <c r="J74" i="1"/>
  <c r="O73" i="1"/>
  <c r="N73" i="1"/>
  <c r="M73" i="1"/>
  <c r="L73" i="1"/>
  <c r="K73" i="1"/>
  <c r="J73" i="1"/>
  <c r="O72" i="1"/>
  <c r="N72" i="1"/>
  <c r="M72" i="1"/>
  <c r="L72" i="1"/>
  <c r="K72" i="1"/>
  <c r="J72" i="1"/>
  <c r="O71" i="1"/>
  <c r="N71" i="1"/>
  <c r="M71" i="1"/>
  <c r="L71" i="1"/>
  <c r="K71" i="1"/>
  <c r="J71" i="1"/>
  <c r="O70" i="1"/>
  <c r="N70" i="1"/>
  <c r="M70" i="1"/>
  <c r="L70" i="1"/>
  <c r="K70" i="1"/>
  <c r="J70" i="1"/>
  <c r="O69" i="1"/>
  <c r="N69" i="1"/>
  <c r="M69" i="1"/>
  <c r="L69" i="1"/>
  <c r="K69" i="1"/>
  <c r="J69" i="1"/>
  <c r="O68" i="1"/>
  <c r="N68" i="1"/>
  <c r="M68" i="1"/>
  <c r="L68" i="1"/>
  <c r="K68" i="1"/>
  <c r="J68" i="1"/>
  <c r="O67" i="1"/>
  <c r="N67" i="1"/>
  <c r="M67" i="1"/>
  <c r="L67" i="1"/>
  <c r="K67" i="1"/>
  <c r="J67" i="1"/>
  <c r="O66" i="1"/>
  <c r="N66" i="1"/>
  <c r="M66" i="1"/>
  <c r="L66" i="1"/>
  <c r="K66" i="1"/>
  <c r="J66" i="1"/>
  <c r="O65" i="1"/>
  <c r="N65" i="1"/>
  <c r="M65" i="1"/>
  <c r="L65" i="1"/>
  <c r="K65" i="1"/>
  <c r="J65" i="1"/>
  <c r="O64" i="1"/>
  <c r="N64" i="1"/>
  <c r="M64" i="1"/>
  <c r="L64" i="1"/>
  <c r="K64" i="1"/>
  <c r="J64" i="1"/>
  <c r="O63" i="1"/>
  <c r="N63" i="1"/>
  <c r="M63" i="1"/>
  <c r="L63" i="1"/>
  <c r="K63" i="1"/>
  <c r="J63" i="1"/>
  <c r="O62" i="1"/>
  <c r="N62" i="1"/>
  <c r="M62" i="1"/>
  <c r="L62" i="1"/>
  <c r="K62" i="1"/>
  <c r="J62" i="1"/>
  <c r="O61" i="1"/>
  <c r="N61" i="1"/>
  <c r="M61" i="1"/>
  <c r="L61" i="1"/>
  <c r="K61" i="1"/>
  <c r="J61" i="1"/>
  <c r="O60" i="1"/>
  <c r="N60" i="1"/>
  <c r="M60" i="1"/>
  <c r="L60" i="1"/>
  <c r="K60" i="1"/>
  <c r="J60" i="1"/>
  <c r="O59" i="1"/>
  <c r="N59" i="1"/>
  <c r="M59" i="1"/>
  <c r="L59" i="1"/>
  <c r="K59" i="1"/>
  <c r="J59" i="1"/>
  <c r="O58" i="1"/>
  <c r="N58" i="1"/>
  <c r="M58" i="1"/>
  <c r="L58" i="1"/>
  <c r="K58" i="1"/>
  <c r="J58" i="1"/>
  <c r="O57" i="1"/>
  <c r="N57" i="1"/>
  <c r="M57" i="1"/>
  <c r="L57" i="1"/>
  <c r="K57" i="1"/>
  <c r="J57" i="1"/>
  <c r="O56" i="1"/>
  <c r="N56" i="1"/>
  <c r="M56" i="1"/>
  <c r="L56" i="1"/>
  <c r="K56" i="1"/>
  <c r="J56" i="1"/>
  <c r="O55" i="1"/>
  <c r="N55" i="1"/>
  <c r="M55" i="1"/>
  <c r="L55" i="1"/>
  <c r="K55" i="1"/>
  <c r="J55" i="1"/>
  <c r="O54" i="1"/>
  <c r="N54" i="1"/>
  <c r="M54" i="1"/>
  <c r="L54" i="1"/>
  <c r="K54" i="1"/>
  <c r="J54" i="1"/>
  <c r="O53" i="1"/>
  <c r="N53" i="1"/>
  <c r="M53" i="1"/>
  <c r="L53" i="1"/>
  <c r="K53" i="1"/>
  <c r="J53" i="1"/>
  <c r="O52" i="1"/>
  <c r="N52" i="1"/>
  <c r="M52" i="1"/>
  <c r="L52" i="1"/>
  <c r="K52" i="1"/>
  <c r="J52" i="1"/>
  <c r="O51" i="1"/>
  <c r="N51" i="1"/>
  <c r="M51" i="1"/>
  <c r="L51" i="1"/>
  <c r="K51" i="1"/>
  <c r="J51" i="1"/>
  <c r="O50" i="1"/>
  <c r="N50" i="1"/>
  <c r="M50" i="1"/>
  <c r="L50" i="1"/>
  <c r="K50" i="1"/>
  <c r="J50" i="1"/>
  <c r="O49" i="1"/>
  <c r="N49" i="1"/>
  <c r="M49" i="1"/>
  <c r="L49" i="1"/>
  <c r="K49" i="1"/>
  <c r="J49" i="1"/>
  <c r="O48" i="1"/>
  <c r="N48" i="1"/>
  <c r="M48" i="1"/>
  <c r="L48" i="1"/>
  <c r="K48" i="1"/>
  <c r="J48" i="1"/>
  <c r="O47" i="1"/>
  <c r="N47" i="1"/>
  <c r="M47" i="1"/>
  <c r="L47" i="1"/>
  <c r="K47" i="1"/>
  <c r="J47" i="1"/>
  <c r="O46" i="1"/>
  <c r="N46" i="1"/>
  <c r="M46" i="1"/>
  <c r="L46" i="1"/>
  <c r="K46" i="1"/>
  <c r="J46" i="1"/>
  <c r="O45" i="1"/>
  <c r="N45" i="1"/>
  <c r="M45" i="1"/>
  <c r="L45" i="1"/>
  <c r="K45" i="1"/>
  <c r="J45" i="1"/>
  <c r="O44" i="1"/>
  <c r="N44" i="1"/>
  <c r="M44" i="1"/>
  <c r="L44" i="1"/>
  <c r="K44" i="1"/>
  <c r="J44" i="1"/>
  <c r="O43" i="1"/>
  <c r="N43" i="1"/>
  <c r="M43" i="1"/>
  <c r="L43" i="1"/>
  <c r="K43" i="1"/>
  <c r="J43" i="1"/>
  <c r="O42" i="1"/>
  <c r="N42" i="1"/>
  <c r="M42" i="1"/>
  <c r="L42" i="1"/>
  <c r="K42" i="1"/>
  <c r="J42" i="1"/>
  <c r="O41" i="1"/>
  <c r="N41" i="1"/>
  <c r="M41" i="1"/>
  <c r="L41" i="1"/>
  <c r="K41" i="1"/>
  <c r="J41" i="1"/>
  <c r="O40" i="1"/>
  <c r="N40" i="1"/>
  <c r="M40" i="1"/>
  <c r="L40" i="1"/>
  <c r="K40" i="1"/>
  <c r="J40" i="1"/>
  <c r="O39" i="1"/>
  <c r="N39" i="1"/>
  <c r="M39" i="1"/>
  <c r="L39" i="1"/>
  <c r="K39" i="1"/>
  <c r="J39" i="1"/>
  <c r="O38" i="1"/>
  <c r="N38" i="1"/>
  <c r="M38" i="1"/>
  <c r="L38" i="1"/>
  <c r="K38" i="1"/>
  <c r="J38" i="1"/>
  <c r="O37" i="1"/>
  <c r="N37" i="1"/>
  <c r="M37" i="1"/>
  <c r="L37" i="1"/>
  <c r="K37" i="1"/>
  <c r="J37" i="1"/>
  <c r="O36" i="1"/>
  <c r="N36" i="1"/>
  <c r="M36" i="1"/>
  <c r="L36" i="1"/>
  <c r="K36" i="1"/>
  <c r="J36" i="1"/>
  <c r="O35" i="1"/>
  <c r="N35" i="1"/>
  <c r="M35" i="1"/>
  <c r="L35" i="1"/>
  <c r="K35" i="1"/>
  <c r="J35" i="1"/>
  <c r="O34" i="1"/>
  <c r="N34" i="1"/>
  <c r="M34" i="1"/>
  <c r="L34" i="1"/>
  <c r="K34" i="1"/>
  <c r="J34" i="1"/>
  <c r="O33" i="1"/>
  <c r="N33" i="1"/>
  <c r="M33" i="1"/>
  <c r="L33" i="1"/>
  <c r="K33" i="1"/>
  <c r="J33" i="1"/>
  <c r="O32" i="1"/>
  <c r="N32" i="1"/>
  <c r="M32" i="1"/>
  <c r="L32" i="1"/>
  <c r="K32" i="1"/>
  <c r="J32" i="1"/>
  <c r="O31" i="1"/>
  <c r="N31" i="1"/>
  <c r="M31" i="1"/>
  <c r="L31" i="1"/>
  <c r="K31" i="1"/>
  <c r="J31" i="1"/>
  <c r="O30" i="1"/>
  <c r="N30" i="1"/>
  <c r="M30" i="1"/>
  <c r="L30" i="1"/>
  <c r="K30" i="1"/>
  <c r="J30" i="1"/>
  <c r="O29" i="1"/>
  <c r="N29" i="1"/>
  <c r="M29" i="1"/>
  <c r="L29" i="1"/>
  <c r="K29" i="1"/>
  <c r="J29" i="1"/>
  <c r="O28" i="1"/>
  <c r="N28" i="1"/>
  <c r="M28" i="1"/>
  <c r="L28" i="1"/>
  <c r="K28" i="1"/>
  <c r="J28" i="1"/>
  <c r="O27" i="1"/>
  <c r="N27" i="1"/>
  <c r="M27" i="1"/>
  <c r="L27" i="1"/>
  <c r="K27" i="1"/>
  <c r="J27" i="1"/>
  <c r="O26" i="1"/>
  <c r="N26" i="1"/>
  <c r="M26" i="1"/>
  <c r="L26" i="1"/>
  <c r="K26" i="1"/>
  <c r="J26" i="1"/>
  <c r="O25" i="1"/>
  <c r="N25" i="1"/>
  <c r="M25" i="1"/>
  <c r="L25" i="1"/>
  <c r="K25" i="1"/>
  <c r="J25" i="1"/>
  <c r="O24" i="1"/>
  <c r="N24" i="1"/>
  <c r="M24" i="1"/>
  <c r="L24" i="1"/>
  <c r="K24" i="1"/>
  <c r="J24" i="1"/>
  <c r="O23" i="1"/>
  <c r="N23" i="1"/>
  <c r="M23" i="1"/>
  <c r="L23" i="1"/>
  <c r="K23" i="1"/>
  <c r="J23" i="1"/>
  <c r="O22" i="1"/>
  <c r="N22" i="1"/>
  <c r="M22" i="1"/>
  <c r="L22" i="1"/>
  <c r="K22" i="1"/>
  <c r="J22" i="1"/>
  <c r="O21" i="1"/>
  <c r="N21" i="1"/>
  <c r="M21" i="1"/>
  <c r="L21" i="1"/>
  <c r="K21" i="1"/>
  <c r="J21" i="1"/>
  <c r="O20" i="1"/>
  <c r="N20" i="1"/>
  <c r="M20" i="1"/>
  <c r="L20" i="1"/>
  <c r="K20" i="1"/>
  <c r="J20" i="1"/>
  <c r="O19" i="1"/>
  <c r="N19" i="1"/>
  <c r="M19" i="1"/>
  <c r="L19" i="1"/>
  <c r="K19" i="1"/>
  <c r="J19" i="1"/>
  <c r="O18" i="1"/>
  <c r="N18" i="1"/>
  <c r="M18" i="1"/>
  <c r="L18" i="1"/>
  <c r="K18" i="1"/>
  <c r="J18" i="1"/>
  <c r="O17" i="1"/>
  <c r="N17" i="1"/>
  <c r="M17" i="1"/>
  <c r="L17" i="1"/>
  <c r="K17" i="1"/>
  <c r="J17" i="1"/>
  <c r="O16" i="1"/>
  <c r="N16" i="1"/>
  <c r="M16" i="1"/>
  <c r="L16" i="1"/>
  <c r="K16" i="1"/>
  <c r="J16" i="1"/>
  <c r="O15" i="1"/>
  <c r="N15" i="1"/>
  <c r="M15" i="1"/>
  <c r="L15" i="1"/>
  <c r="K15" i="1"/>
  <c r="J15" i="1"/>
  <c r="O14" i="1"/>
  <c r="N14" i="1"/>
  <c r="M14" i="1"/>
  <c r="L14" i="1"/>
  <c r="K14" i="1"/>
  <c r="J14" i="1"/>
  <c r="O13" i="1"/>
  <c r="N13" i="1"/>
  <c r="M13" i="1"/>
  <c r="L13" i="1"/>
  <c r="K13" i="1"/>
  <c r="J13" i="1"/>
  <c r="O12" i="1"/>
  <c r="N12" i="1"/>
  <c r="M12" i="1"/>
  <c r="L12" i="1"/>
  <c r="K12" i="1"/>
  <c r="J12" i="1"/>
  <c r="M11" i="1"/>
  <c r="L11" i="1"/>
  <c r="K11" i="1"/>
  <c r="J11" i="1"/>
  <c r="I11" i="1"/>
  <c r="O11" i="1" s="1"/>
  <c r="H11" i="1"/>
  <c r="N11" i="1" s="1"/>
  <c r="O10" i="1"/>
  <c r="N10" i="1"/>
  <c r="M10" i="1"/>
  <c r="L10" i="1"/>
  <c r="K10" i="1"/>
  <c r="J10" i="1"/>
  <c r="O9" i="1"/>
  <c r="N9" i="1"/>
  <c r="M9" i="1"/>
  <c r="L9" i="1"/>
  <c r="K9" i="1"/>
  <c r="J9" i="1"/>
  <c r="O8" i="1"/>
  <c r="N8" i="1"/>
  <c r="M8" i="1"/>
  <c r="L8" i="1"/>
  <c r="K8" i="1"/>
  <c r="J8" i="1"/>
  <c r="O7" i="1"/>
  <c r="N7" i="1"/>
  <c r="M7" i="1"/>
  <c r="L7" i="1"/>
  <c r="K7" i="1"/>
  <c r="J7" i="1"/>
  <c r="O6" i="1"/>
  <c r="N6" i="1"/>
  <c r="M6" i="1"/>
  <c r="L6" i="1"/>
  <c r="K6" i="1"/>
  <c r="J6" i="1"/>
  <c r="O5" i="1"/>
  <c r="N5" i="1"/>
  <c r="M5" i="1"/>
  <c r="L5" i="1"/>
  <c r="K5" i="1"/>
  <c r="J5" i="1"/>
  <c r="O4" i="1"/>
  <c r="N4" i="1"/>
  <c r="M4" i="1"/>
  <c r="L4" i="1"/>
  <c r="K4" i="1"/>
  <c r="J4" i="1"/>
  <c r="O3" i="1"/>
  <c r="N3" i="1"/>
  <c r="M3" i="1"/>
  <c r="L3" i="1"/>
  <c r="K3" i="1"/>
  <c r="J3" i="1"/>
  <c r="O2" i="1"/>
  <c r="N2" i="1"/>
  <c r="M2" i="1"/>
  <c r="L2" i="1"/>
  <c r="K2" i="1"/>
  <c r="J2" i="1"/>
  <c r="S381" i="7" l="1"/>
  <c r="D3018" i="5"/>
  <c r="P1814" i="5"/>
  <c r="E2806" i="5"/>
  <c r="U1815" i="5"/>
  <c r="D2807" i="5"/>
  <c r="P1815" i="5"/>
  <c r="E2807" i="5"/>
  <c r="D2696" i="5"/>
  <c r="P1944" i="5"/>
  <c r="E2696" i="5"/>
  <c r="U1945" i="5"/>
  <c r="D2697" i="5"/>
  <c r="P1945" i="5"/>
  <c r="E2697" i="5"/>
  <c r="D2698" i="5"/>
  <c r="D4316" i="5" s="1"/>
  <c r="U4316" i="5" s="1"/>
  <c r="P1946" i="5"/>
  <c r="E2698" i="5"/>
  <c r="D2699" i="5"/>
  <c r="P1947" i="5"/>
  <c r="E2699" i="5"/>
  <c r="P2699" i="5" s="1"/>
  <c r="D2700" i="5"/>
  <c r="D2716" i="5" s="1"/>
  <c r="U2716" i="5" s="1"/>
  <c r="P1948" i="5"/>
  <c r="E2700" i="5"/>
  <c r="D2701" i="5"/>
  <c r="P1949" i="5"/>
  <c r="E2701" i="5"/>
  <c r="P2701" i="5" s="1"/>
  <c r="D2702" i="5"/>
  <c r="P1950" i="5"/>
  <c r="E2702" i="5"/>
  <c r="P2702" i="5" s="1"/>
  <c r="D2703" i="5"/>
  <c r="D3087" i="5" s="1"/>
  <c r="P1951" i="5"/>
  <c r="E2703" i="5"/>
  <c r="D2704" i="5"/>
  <c r="P1952" i="5"/>
  <c r="E2704" i="5"/>
  <c r="P2704" i="5" s="1"/>
  <c r="U1953" i="5"/>
  <c r="D2705" i="5"/>
  <c r="P1953" i="5"/>
  <c r="E2705" i="5"/>
  <c r="P2705" i="5" s="1"/>
  <c r="D2706" i="5"/>
  <c r="P1954" i="5"/>
  <c r="E2706" i="5"/>
  <c r="P2706" i="5" s="1"/>
  <c r="D2707" i="5"/>
  <c r="P1955" i="5"/>
  <c r="E2707" i="5"/>
  <c r="P2707" i="5" s="1"/>
  <c r="D2708" i="5"/>
  <c r="D2920" i="5" s="1"/>
  <c r="P1956" i="5"/>
  <c r="E2708" i="5"/>
  <c r="D2709" i="5"/>
  <c r="U2709" i="5" s="1"/>
  <c r="P1957" i="5"/>
  <c r="E2709" i="5"/>
  <c r="P2709" i="5" s="1"/>
  <c r="D3004" i="5"/>
  <c r="U3004" i="5" s="1"/>
  <c r="D3986" i="5"/>
  <c r="U3986" i="5" s="1"/>
  <c r="P2002" i="5"/>
  <c r="E2994" i="5"/>
  <c r="E3986" i="5" s="1"/>
  <c r="P3986" i="5" s="1"/>
  <c r="P2003" i="5"/>
  <c r="E2995" i="5"/>
  <c r="P2004" i="5"/>
  <c r="E2996" i="5"/>
  <c r="P2996" i="5" s="1"/>
  <c r="P2042" i="5"/>
  <c r="E2794" i="5"/>
  <c r="U2043" i="5"/>
  <c r="D2795" i="5"/>
  <c r="D3787" i="5" s="1"/>
  <c r="P2043" i="5"/>
  <c r="E2795" i="5"/>
  <c r="P2044" i="5"/>
  <c r="E2796" i="5"/>
  <c r="P2045" i="5"/>
  <c r="E2797" i="5"/>
  <c r="P2797" i="5" s="1"/>
  <c r="U2814" i="5"/>
  <c r="P2046" i="5"/>
  <c r="E2798" i="5"/>
  <c r="P2047" i="5"/>
  <c r="E2799" i="5"/>
  <c r="D2800" i="5"/>
  <c r="P2048" i="5"/>
  <c r="E2800" i="5"/>
  <c r="U2049" i="5"/>
  <c r="D2801" i="5"/>
  <c r="P2049" i="5"/>
  <c r="E2801" i="5"/>
  <c r="U2140" i="5"/>
  <c r="D2892" i="5"/>
  <c r="D3884" i="5" s="1"/>
  <c r="P2140" i="5"/>
  <c r="E2892" i="5"/>
  <c r="D2893" i="5"/>
  <c r="D3885" i="5" s="1"/>
  <c r="P2141" i="5"/>
  <c r="E2893" i="5"/>
  <c r="D2894" i="5"/>
  <c r="D3886" i="5" s="1"/>
  <c r="P2142" i="5"/>
  <c r="E2894" i="5"/>
  <c r="D2895" i="5"/>
  <c r="D3887" i="5" s="1"/>
  <c r="U3887" i="5" s="1"/>
  <c r="P2143" i="5"/>
  <c r="E2895" i="5"/>
  <c r="D2896" i="5"/>
  <c r="P2144" i="5"/>
  <c r="E2896" i="5"/>
  <c r="D2897" i="5"/>
  <c r="D3499" i="5" s="1"/>
  <c r="P2145" i="5"/>
  <c r="E2897" i="5"/>
  <c r="U2146" i="5"/>
  <c r="D2898" i="5"/>
  <c r="D4426" i="5" s="1"/>
  <c r="P2146" i="5"/>
  <c r="E2898" i="5"/>
  <c r="D2899" i="5"/>
  <c r="P2147" i="5"/>
  <c r="E2899" i="5"/>
  <c r="D2900" i="5"/>
  <c r="D4428" i="5" s="1"/>
  <c r="P2148" i="5"/>
  <c r="E2900" i="5"/>
  <c r="D2901" i="5"/>
  <c r="P2149" i="5"/>
  <c r="E2901" i="5"/>
  <c r="D2902" i="5"/>
  <c r="P2150" i="5"/>
  <c r="E2902" i="5"/>
  <c r="P2902" i="5" s="1"/>
  <c r="D2903" i="5"/>
  <c r="D4431" i="5" s="1"/>
  <c r="P2151" i="5"/>
  <c r="E2903" i="5"/>
  <c r="D2904" i="5"/>
  <c r="P2152" i="5"/>
  <c r="E2904" i="5"/>
  <c r="D2905" i="5"/>
  <c r="P2153" i="5"/>
  <c r="E2905" i="5"/>
  <c r="D2911" i="5"/>
  <c r="P2159" i="5"/>
  <c r="E2911" i="5"/>
  <c r="P2911" i="5" s="1"/>
  <c r="P2194" i="5"/>
  <c r="E3186" i="5"/>
  <c r="U2195" i="5"/>
  <c r="D3187" i="5"/>
  <c r="D4179" i="5" s="1"/>
  <c r="D4445" i="5" s="1"/>
  <c r="P2195" i="5"/>
  <c r="E3187" i="5"/>
  <c r="P2196" i="5"/>
  <c r="E3188" i="5"/>
  <c r="P2197" i="5"/>
  <c r="E3189" i="5"/>
  <c r="D3200" i="5"/>
  <c r="U3200" i="5" s="1"/>
  <c r="D4182" i="5"/>
  <c r="P2198" i="5"/>
  <c r="E3190" i="5"/>
  <c r="E4182" i="5" s="1"/>
  <c r="P4182" i="5" s="1"/>
  <c r="P2199" i="5"/>
  <c r="E3191" i="5"/>
  <c r="P2200" i="5"/>
  <c r="E3192" i="5"/>
  <c r="P2201" i="5"/>
  <c r="E3193" i="5"/>
  <c r="P2202" i="5"/>
  <c r="E3194" i="5"/>
  <c r="P3194" i="5" s="1"/>
  <c r="U2203" i="5"/>
  <c r="D3195" i="5"/>
  <c r="D4562" i="5" s="1"/>
  <c r="P2203" i="5"/>
  <c r="E3195" i="5"/>
  <c r="P2204" i="5"/>
  <c r="E3196" i="5"/>
  <c r="P3196" i="5" s="1"/>
  <c r="P2205" i="5"/>
  <c r="E3197" i="5"/>
  <c r="P3197" i="5" s="1"/>
  <c r="P2206" i="5"/>
  <c r="E3198" i="5"/>
  <c r="P2207" i="5"/>
  <c r="E3199" i="5"/>
  <c r="P3199" i="5" s="1"/>
  <c r="P2213" i="5"/>
  <c r="E3205" i="5"/>
  <c r="P3205" i="5" s="1"/>
  <c r="P2226" i="5"/>
  <c r="E2466" i="5"/>
  <c r="P2466" i="5" s="1"/>
  <c r="P2227" i="5"/>
  <c r="E2467" i="5"/>
  <c r="P2467" i="5" s="1"/>
  <c r="P2228" i="5"/>
  <c r="E2468" i="5"/>
  <c r="P2468" i="5" s="1"/>
  <c r="P2229" i="5"/>
  <c r="E2469" i="5"/>
  <c r="P2469" i="5" s="1"/>
  <c r="D2997" i="5"/>
  <c r="D3381" i="5" s="1"/>
  <c r="U3381" i="5" s="1"/>
  <c r="P2245" i="5"/>
  <c r="E2997" i="5"/>
  <c r="D2998" i="5"/>
  <c r="P2246" i="5"/>
  <c r="E2998" i="5"/>
  <c r="P2998" i="5" s="1"/>
  <c r="D2999" i="5"/>
  <c r="P2247" i="5"/>
  <c r="E2999" i="5"/>
  <c r="P2999" i="5" s="1"/>
  <c r="D3000" i="5"/>
  <c r="P2248" i="5"/>
  <c r="E3000" i="5"/>
  <c r="P3000" i="5" s="1"/>
  <c r="D3001" i="5"/>
  <c r="P2249" i="5"/>
  <c r="E3001" i="5"/>
  <c r="P3001" i="5" s="1"/>
  <c r="D3002" i="5"/>
  <c r="D3214" i="5" s="1"/>
  <c r="U3214" i="5" s="1"/>
  <c r="P2250" i="5"/>
  <c r="E3002" i="5"/>
  <c r="D3003" i="5"/>
  <c r="U3003" i="5" s="1"/>
  <c r="P2251" i="5"/>
  <c r="E3003" i="5"/>
  <c r="P3003" i="5" s="1"/>
  <c r="D3009" i="5"/>
  <c r="D4537" i="5" s="1"/>
  <c r="P2257" i="5"/>
  <c r="E3009" i="5"/>
  <c r="P2292" i="5"/>
  <c r="E3284" i="5"/>
  <c r="P3284" i="5" s="1"/>
  <c r="P2293" i="5"/>
  <c r="E3285" i="5"/>
  <c r="P3285" i="5" s="1"/>
  <c r="U2294" i="5"/>
  <c r="D2534" i="5"/>
  <c r="P2294" i="5"/>
  <c r="E2534" i="5"/>
  <c r="U2535" i="5"/>
  <c r="D3287" i="5"/>
  <c r="P2295" i="5"/>
  <c r="E2535" i="5"/>
  <c r="U2536" i="5"/>
  <c r="D3288" i="5"/>
  <c r="D3298" i="5" s="1"/>
  <c r="U3298" i="5" s="1"/>
  <c r="P2296" i="5"/>
  <c r="E2536" i="5"/>
  <c r="U2537" i="5"/>
  <c r="D3289" i="5"/>
  <c r="P2297" i="5"/>
  <c r="E2537" i="5"/>
  <c r="P2298" i="5"/>
  <c r="E3290" i="5"/>
  <c r="P3290" i="5" s="1"/>
  <c r="P2299" i="5"/>
  <c r="E3291" i="5"/>
  <c r="U2300" i="5"/>
  <c r="D3292" i="5"/>
  <c r="P2300" i="5"/>
  <c r="E3292" i="5"/>
  <c r="P3292" i="5" s="1"/>
  <c r="D3303" i="5"/>
  <c r="D2695" i="5"/>
  <c r="P2311" i="5"/>
  <c r="E3303" i="5"/>
  <c r="P3303" i="5" s="1"/>
  <c r="E2695" i="5"/>
  <c r="D3088" i="5"/>
  <c r="D4080" i="5" s="1"/>
  <c r="P2336" i="5"/>
  <c r="E3088" i="5"/>
  <c r="D3089" i="5"/>
  <c r="D4081" i="5" s="1"/>
  <c r="P2337" i="5"/>
  <c r="E3089" i="5"/>
  <c r="D3090" i="5"/>
  <c r="D4082" i="5" s="1"/>
  <c r="P2338" i="5"/>
  <c r="E3090" i="5"/>
  <c r="D3091" i="5"/>
  <c r="D4083" i="5" s="1"/>
  <c r="P2339" i="5"/>
  <c r="E3091" i="5"/>
  <c r="D3092" i="5"/>
  <c r="P2340" i="5"/>
  <c r="E3092" i="5"/>
  <c r="E4084" i="5" s="1"/>
  <c r="P4084" i="5" s="1"/>
  <c r="D3093" i="5"/>
  <c r="D4085" i="5" s="1"/>
  <c r="U4085" i="5" s="1"/>
  <c r="P2341" i="5"/>
  <c r="E3093" i="5"/>
  <c r="D3094" i="5"/>
  <c r="P2342" i="5"/>
  <c r="E3094" i="5"/>
  <c r="P3094" i="5" s="1"/>
  <c r="U2343" i="5"/>
  <c r="D3095" i="5"/>
  <c r="D3479" i="5" s="1"/>
  <c r="U3479" i="5" s="1"/>
  <c r="P2343" i="5"/>
  <c r="E3095" i="5"/>
  <c r="D3096" i="5"/>
  <c r="P2344" i="5"/>
  <c r="E3096" i="5"/>
  <c r="P3096" i="5" s="1"/>
  <c r="D3097" i="5"/>
  <c r="P2345" i="5"/>
  <c r="E3097" i="5"/>
  <c r="P3097" i="5" s="1"/>
  <c r="D3098" i="5"/>
  <c r="P2346" i="5"/>
  <c r="E3098" i="5"/>
  <c r="P3098" i="5" s="1"/>
  <c r="D3099" i="5"/>
  <c r="P2347" i="5"/>
  <c r="E3099" i="5"/>
  <c r="P3099" i="5" s="1"/>
  <c r="D3100" i="5"/>
  <c r="D3312" i="5" s="1"/>
  <c r="U3312" i="5" s="1"/>
  <c r="P2348" i="5"/>
  <c r="E3100" i="5"/>
  <c r="U2349" i="5"/>
  <c r="D3101" i="5"/>
  <c r="U3101" i="5" s="1"/>
  <c r="P2349" i="5"/>
  <c r="E3101" i="5"/>
  <c r="P3101" i="5" s="1"/>
  <c r="P2355" i="5"/>
  <c r="E3107" i="5"/>
  <c r="P3107" i="5" s="1"/>
  <c r="P2362" i="5"/>
  <c r="E2602" i="5"/>
  <c r="P2602" i="5" s="1"/>
  <c r="U2363" i="5"/>
  <c r="D2603" i="5"/>
  <c r="U2603" i="5" s="1"/>
  <c r="P2363" i="5"/>
  <c r="E2603" i="5"/>
  <c r="P2603" i="5" s="1"/>
  <c r="P2390" i="5"/>
  <c r="E3382" i="5"/>
  <c r="P3382" i="5" s="1"/>
  <c r="P2391" i="5"/>
  <c r="E3383" i="5"/>
  <c r="P3383" i="5" s="1"/>
  <c r="U2392" i="5"/>
  <c r="D3384" i="5"/>
  <c r="D4767" i="5" s="1"/>
  <c r="U4767" i="5" s="1"/>
  <c r="P2392" i="5"/>
  <c r="E3384" i="5"/>
  <c r="P2393" i="5"/>
  <c r="E3385" i="5"/>
  <c r="P3385" i="5" s="1"/>
  <c r="P2394" i="5"/>
  <c r="E3386" i="5"/>
  <c r="P2395" i="5"/>
  <c r="E3387" i="5"/>
  <c r="P3387" i="5" s="1"/>
  <c r="P2396" i="5"/>
  <c r="E3388" i="5"/>
  <c r="P3388" i="5" s="1"/>
  <c r="P2397" i="5"/>
  <c r="E3389" i="5"/>
  <c r="P3389" i="5" s="1"/>
  <c r="U2398" i="5"/>
  <c r="D3390" i="5"/>
  <c r="D3774" i="5" s="1"/>
  <c r="U3774" i="5" s="1"/>
  <c r="P2398" i="5"/>
  <c r="E3390" i="5"/>
  <c r="P2399" i="5"/>
  <c r="E3391" i="5"/>
  <c r="P3391" i="5" s="1"/>
  <c r="P2400" i="5"/>
  <c r="E3392" i="5"/>
  <c r="P3392" i="5" s="1"/>
  <c r="P2401" i="5"/>
  <c r="E3393" i="5"/>
  <c r="P3393" i="5" s="1"/>
  <c r="P2402" i="5"/>
  <c r="E3394" i="5"/>
  <c r="P2403" i="5"/>
  <c r="E3395" i="5"/>
  <c r="P3395" i="5" s="1"/>
  <c r="D2793" i="5"/>
  <c r="P2409" i="5"/>
  <c r="E2793" i="5"/>
  <c r="D2802" i="5"/>
  <c r="D4420" i="5" s="1"/>
  <c r="P2050" i="5"/>
  <c r="E2802" i="5"/>
  <c r="D2803" i="5"/>
  <c r="D4421" i="5" s="1"/>
  <c r="P2051" i="5"/>
  <c r="E2803" i="5"/>
  <c r="D2804" i="5"/>
  <c r="D4422" i="5" s="1"/>
  <c r="E2804" i="5"/>
  <c r="E4422" i="5" s="1"/>
  <c r="P4422" i="5" s="1"/>
  <c r="D2805" i="5"/>
  <c r="D4423" i="5" s="1"/>
  <c r="P2053" i="5"/>
  <c r="E2805" i="5"/>
  <c r="D2990" i="5"/>
  <c r="P2238" i="5"/>
  <c r="E2990" i="5"/>
  <c r="E3982" i="5" s="1"/>
  <c r="P3982" i="5" s="1"/>
  <c r="D2991" i="5"/>
  <c r="D3983" i="5" s="1"/>
  <c r="D4195" i="5" s="1"/>
  <c r="U4195" i="5" s="1"/>
  <c r="P2239" i="5"/>
  <c r="E2991" i="5"/>
  <c r="D2992" i="5"/>
  <c r="D3984" i="5" s="1"/>
  <c r="P2240" i="5"/>
  <c r="E2992" i="5"/>
  <c r="D2993" i="5"/>
  <c r="D3985" i="5" s="1"/>
  <c r="P2241" i="5"/>
  <c r="E2993" i="5"/>
  <c r="P2301" i="5"/>
  <c r="E3293" i="5"/>
  <c r="P3293" i="5" s="1"/>
  <c r="P2302" i="5"/>
  <c r="E3294" i="5"/>
  <c r="P3294" i="5" s="1"/>
  <c r="P2303" i="5"/>
  <c r="E3295" i="5"/>
  <c r="P3295" i="5" s="1"/>
  <c r="P2304" i="5"/>
  <c r="E3296" i="5"/>
  <c r="P2364" i="5"/>
  <c r="E2604" i="5"/>
  <c r="P2604" i="5" s="1"/>
  <c r="U2605" i="5"/>
  <c r="D2989" i="5"/>
  <c r="P2365" i="5"/>
  <c r="E2605" i="5"/>
  <c r="U2694" i="5"/>
  <c r="D4312" i="5"/>
  <c r="D3686" i="5"/>
  <c r="P2694" i="5"/>
  <c r="E4312" i="5"/>
  <c r="P4312" i="5" s="1"/>
  <c r="E3686" i="5"/>
  <c r="P3686" i="5" s="1"/>
  <c r="U2792" i="5"/>
  <c r="D3784" i="5"/>
  <c r="P2792" i="5"/>
  <c r="E3784" i="5"/>
  <c r="U3086" i="5"/>
  <c r="D4078" i="5"/>
  <c r="P3086" i="5"/>
  <c r="E4078" i="5"/>
  <c r="P4078" i="5" s="1"/>
  <c r="U3184" i="5"/>
  <c r="D4176" i="5"/>
  <c r="P3184" i="5"/>
  <c r="E4176" i="5"/>
  <c r="P4176" i="5" s="1"/>
  <c r="U3478" i="5"/>
  <c r="D4766" i="5"/>
  <c r="U4766" i="5" s="1"/>
  <c r="P3478" i="5"/>
  <c r="E4766" i="5"/>
  <c r="P4766" i="5" s="1"/>
  <c r="U2891" i="5"/>
  <c r="D3883" i="5"/>
  <c r="P2891" i="5"/>
  <c r="E3883" i="5"/>
  <c r="P3883" i="5" s="1"/>
  <c r="U3690" i="5"/>
  <c r="D3902" i="5"/>
  <c r="U3902" i="5" s="1"/>
  <c r="U3789" i="5"/>
  <c r="D4001" i="5"/>
  <c r="U4001" i="5" s="1"/>
  <c r="U3888" i="5"/>
  <c r="D4100" i="5"/>
  <c r="U4100" i="5" s="1"/>
  <c r="D4328" i="5"/>
  <c r="P3492" i="5"/>
  <c r="E3704" i="5"/>
  <c r="P3704" i="5" s="1"/>
  <c r="U3591" i="5"/>
  <c r="D3803" i="5"/>
  <c r="U3803" i="5" s="1"/>
  <c r="P3591" i="5"/>
  <c r="E3803" i="5"/>
  <c r="P3803" i="5" s="1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H2309" i="3"/>
  <c r="G2309" i="3"/>
  <c r="H2310" i="3"/>
  <c r="G2310" i="3"/>
  <c r="H2311" i="3"/>
  <c r="G2311" i="3"/>
  <c r="H2312" i="3"/>
  <c r="G2312" i="3"/>
  <c r="H2313" i="3"/>
  <c r="G2313" i="3"/>
  <c r="H2314" i="3"/>
  <c r="G2314" i="3"/>
  <c r="H2315" i="3"/>
  <c r="G2315" i="3"/>
  <c r="H2316" i="3"/>
  <c r="G2316" i="3"/>
  <c r="H2317" i="3"/>
  <c r="G2317" i="3"/>
  <c r="H2318" i="3"/>
  <c r="G2318" i="3"/>
  <c r="H2319" i="3"/>
  <c r="G2319" i="3"/>
  <c r="H2320" i="3"/>
  <c r="G2320" i="3"/>
  <c r="H2321" i="3"/>
  <c r="G2321" i="3"/>
  <c r="H2322" i="3"/>
  <c r="G2322" i="3"/>
  <c r="H2323" i="3"/>
  <c r="G2323" i="3"/>
  <c r="H2324" i="3"/>
  <c r="G2324" i="3"/>
  <c r="H2325" i="3"/>
  <c r="G2325" i="3"/>
  <c r="H2326" i="3"/>
  <c r="G2326" i="3"/>
  <c r="H2327" i="3"/>
  <c r="G2327" i="3"/>
  <c r="H2328" i="3"/>
  <c r="G2328" i="3"/>
  <c r="H2329" i="3"/>
  <c r="G2329" i="3"/>
  <c r="H2330" i="3"/>
  <c r="G2330" i="3"/>
  <c r="H2331" i="3"/>
  <c r="G2331" i="3"/>
  <c r="H2332" i="3"/>
  <c r="G2332" i="3"/>
  <c r="H2333" i="3"/>
  <c r="G2333" i="3"/>
  <c r="H2334" i="3"/>
  <c r="G2334" i="3"/>
  <c r="H2335" i="3"/>
  <c r="G2335" i="3"/>
  <c r="H2336" i="3"/>
  <c r="G2336" i="3"/>
  <c r="H2337" i="3"/>
  <c r="G2337" i="3"/>
  <c r="H2338" i="3"/>
  <c r="G2338" i="3"/>
  <c r="H2339" i="3"/>
  <c r="G2339" i="3"/>
  <c r="H2340" i="3"/>
  <c r="G2340" i="3"/>
  <c r="H2341" i="3"/>
  <c r="G2341" i="3"/>
  <c r="H2342" i="3"/>
  <c r="G2342" i="3"/>
  <c r="H2343" i="3"/>
  <c r="G2343" i="3"/>
  <c r="H2344" i="3"/>
  <c r="G2344" i="3"/>
  <c r="H2345" i="3"/>
  <c r="G2345" i="3"/>
  <c r="H2346" i="3"/>
  <c r="G2346" i="3"/>
  <c r="H2347" i="3"/>
  <c r="G2347" i="3"/>
  <c r="H2348" i="3"/>
  <c r="G2348" i="3"/>
  <c r="H2349" i="3"/>
  <c r="G2349" i="3"/>
  <c r="H2350" i="3"/>
  <c r="G2350" i="3"/>
  <c r="H2351" i="3"/>
  <c r="G2351" i="3"/>
  <c r="H2352" i="3"/>
  <c r="G2352" i="3"/>
  <c r="H2353" i="3"/>
  <c r="G2353" i="3"/>
  <c r="H2354" i="3"/>
  <c r="G2354" i="3"/>
  <c r="H2355" i="3"/>
  <c r="G2355" i="3"/>
  <c r="H2356" i="3"/>
  <c r="G2356" i="3"/>
  <c r="H2357" i="3"/>
  <c r="G2357" i="3"/>
  <c r="H2358" i="3"/>
  <c r="G2358" i="3"/>
  <c r="H2359" i="3"/>
  <c r="G2359" i="3"/>
  <c r="H2360" i="3"/>
  <c r="G2360" i="3"/>
  <c r="H2361" i="3"/>
  <c r="G2361" i="3"/>
  <c r="H2362" i="3"/>
  <c r="G2362" i="3"/>
  <c r="H2363" i="3"/>
  <c r="G2363" i="3"/>
  <c r="H2364" i="3"/>
  <c r="G2364" i="3"/>
  <c r="H2365" i="3"/>
  <c r="G2365" i="3"/>
  <c r="H2366" i="3"/>
  <c r="G2366" i="3"/>
  <c r="H2367" i="3"/>
  <c r="G2367" i="3"/>
  <c r="H2368" i="3"/>
  <c r="G2368" i="3"/>
  <c r="H2369" i="3"/>
  <c r="G2369" i="3"/>
  <c r="H2370" i="3"/>
  <c r="G2370" i="3"/>
  <c r="H2371" i="3"/>
  <c r="G2371" i="3"/>
  <c r="H2372" i="3"/>
  <c r="G2372" i="3"/>
  <c r="H2373" i="3"/>
  <c r="G2373" i="3"/>
  <c r="H2374" i="3"/>
  <c r="G2374" i="3"/>
  <c r="H2375" i="3"/>
  <c r="G2375" i="3"/>
  <c r="H2376" i="3"/>
  <c r="G2376" i="3"/>
  <c r="H2377" i="3"/>
  <c r="G2377" i="3"/>
  <c r="H2378" i="3"/>
  <c r="G2378" i="3"/>
  <c r="H2379" i="3"/>
  <c r="G2379" i="3"/>
  <c r="H2380" i="3"/>
  <c r="G2380" i="3"/>
  <c r="H2381" i="3"/>
  <c r="G2381" i="3"/>
  <c r="H2382" i="3"/>
  <c r="G2382" i="3"/>
  <c r="H2383" i="3"/>
  <c r="G2383" i="3"/>
  <c r="H2384" i="3"/>
  <c r="G2384" i="3"/>
  <c r="H2385" i="3"/>
  <c r="G2385" i="3"/>
  <c r="H2386" i="3"/>
  <c r="G2386" i="3"/>
  <c r="H2387" i="3"/>
  <c r="G2387" i="3"/>
  <c r="H2388" i="3"/>
  <c r="G2388" i="3"/>
  <c r="H2389" i="3"/>
  <c r="G2389" i="3"/>
  <c r="H2390" i="3"/>
  <c r="G2390" i="3"/>
  <c r="H2391" i="3"/>
  <c r="G2391" i="3"/>
  <c r="H2392" i="3"/>
  <c r="G2392" i="3"/>
  <c r="H2393" i="3"/>
  <c r="G2393" i="3"/>
  <c r="H2394" i="3"/>
  <c r="G2394" i="3"/>
  <c r="H2395" i="3"/>
  <c r="G2395" i="3"/>
  <c r="H2396" i="3"/>
  <c r="G2396" i="3"/>
  <c r="H2397" i="3"/>
  <c r="G2397" i="3"/>
  <c r="H2398" i="3"/>
  <c r="G2398" i="3"/>
  <c r="H2399" i="3"/>
  <c r="G2399" i="3"/>
  <c r="H2400" i="3"/>
  <c r="G2400" i="3"/>
  <c r="H2401" i="3"/>
  <c r="G2401" i="3"/>
  <c r="H2402" i="3"/>
  <c r="G2402" i="3"/>
  <c r="H2403" i="3"/>
  <c r="G2403" i="3"/>
  <c r="H2404" i="3"/>
  <c r="G2404" i="3"/>
  <c r="H2405" i="3"/>
  <c r="G2405" i="3"/>
  <c r="H2406" i="3"/>
  <c r="G2406" i="3"/>
  <c r="H2407" i="3"/>
  <c r="G2407" i="3"/>
  <c r="H2408" i="3"/>
  <c r="G2408" i="3"/>
  <c r="H2409" i="3"/>
  <c r="G2409" i="3"/>
  <c r="H2410" i="3"/>
  <c r="G2410" i="3"/>
  <c r="H2411" i="3"/>
  <c r="G2411" i="3"/>
  <c r="H2412" i="3"/>
  <c r="G2412" i="3"/>
  <c r="H2413" i="3"/>
  <c r="G2413" i="3"/>
  <c r="H2414" i="3"/>
  <c r="G2414" i="3"/>
  <c r="H2415" i="3"/>
  <c r="G2415" i="3"/>
  <c r="H2416" i="3"/>
  <c r="G2416" i="3"/>
  <c r="H2417" i="3"/>
  <c r="G2417" i="3"/>
  <c r="H2418" i="3"/>
  <c r="G2418" i="3"/>
  <c r="H2419" i="3"/>
  <c r="G2419" i="3"/>
  <c r="H2420" i="3"/>
  <c r="G2420" i="3"/>
  <c r="H2421" i="3"/>
  <c r="G2421" i="3"/>
  <c r="H2422" i="3"/>
  <c r="G2422" i="3"/>
  <c r="H2423" i="3"/>
  <c r="G2423" i="3"/>
  <c r="H2424" i="3"/>
  <c r="G2424" i="3"/>
  <c r="E3276" i="3"/>
  <c r="G2859" i="3"/>
  <c r="E3277" i="3"/>
  <c r="H3277" i="3" s="1"/>
  <c r="I3277" i="3" s="1"/>
  <c r="G2860" i="3"/>
  <c r="E3278" i="3"/>
  <c r="H3278" i="3" s="1"/>
  <c r="I3278" i="3" s="1"/>
  <c r="G2861" i="3"/>
  <c r="E3279" i="3"/>
  <c r="H3279" i="3" s="1"/>
  <c r="I3279" i="3" s="1"/>
  <c r="G2862" i="3"/>
  <c r="E3280" i="3"/>
  <c r="H3280" i="3" s="1"/>
  <c r="I3280" i="3" s="1"/>
  <c r="G2863" i="3"/>
  <c r="E3281" i="3"/>
  <c r="H3281" i="3" s="1"/>
  <c r="I3281" i="3" s="1"/>
  <c r="G2864" i="3"/>
  <c r="E3282" i="3"/>
  <c r="H3282" i="3" s="1"/>
  <c r="I3282" i="3" s="1"/>
  <c r="G2865" i="3"/>
  <c r="E3283" i="3"/>
  <c r="H3283" i="3" s="1"/>
  <c r="I3283" i="3" s="1"/>
  <c r="G2866" i="3"/>
  <c r="E3284" i="3"/>
  <c r="H3284" i="3" s="1"/>
  <c r="I3284" i="3" s="1"/>
  <c r="G2867" i="3"/>
  <c r="E3285" i="3"/>
  <c r="H3285" i="3" s="1"/>
  <c r="I3285" i="3" s="1"/>
  <c r="G2868" i="3"/>
  <c r="E3286" i="3"/>
  <c r="H3286" i="3" s="1"/>
  <c r="I3286" i="3" s="1"/>
  <c r="G2869" i="3"/>
  <c r="E3287" i="3"/>
  <c r="H3287" i="3" s="1"/>
  <c r="I3287" i="3" s="1"/>
  <c r="G2870" i="3"/>
  <c r="E3288" i="3"/>
  <c r="H3288" i="3" s="1"/>
  <c r="I3288" i="3" s="1"/>
  <c r="G2871" i="3"/>
  <c r="E3289" i="3"/>
  <c r="H3289" i="3" s="1"/>
  <c r="I3289" i="3" s="1"/>
  <c r="G2872" i="3"/>
  <c r="E3290" i="3"/>
  <c r="H3290" i="3" s="1"/>
  <c r="I3290" i="3" s="1"/>
  <c r="G2873" i="3"/>
  <c r="E3291" i="3"/>
  <c r="H3291" i="3" s="1"/>
  <c r="I3291" i="3" s="1"/>
  <c r="G2874" i="3"/>
  <c r="E3292" i="3"/>
  <c r="H3292" i="3" s="1"/>
  <c r="I3292" i="3" s="1"/>
  <c r="G2875" i="3"/>
  <c r="E3293" i="3"/>
  <c r="H3293" i="3" s="1"/>
  <c r="I3293" i="3" s="1"/>
  <c r="G2876" i="3"/>
  <c r="E3294" i="3"/>
  <c r="H3294" i="3" s="1"/>
  <c r="I3294" i="3" s="1"/>
  <c r="G2877" i="3"/>
  <c r="E3295" i="3"/>
  <c r="H3295" i="3" s="1"/>
  <c r="I3295" i="3" s="1"/>
  <c r="G2878" i="3"/>
  <c r="E3296" i="3"/>
  <c r="H3296" i="3" s="1"/>
  <c r="I3296" i="3" s="1"/>
  <c r="G2879" i="3"/>
  <c r="E3297" i="3"/>
  <c r="H3297" i="3" s="1"/>
  <c r="I3297" i="3" s="1"/>
  <c r="G2880" i="3"/>
  <c r="E3298" i="3"/>
  <c r="H3298" i="3" s="1"/>
  <c r="I3298" i="3" s="1"/>
  <c r="G2881" i="3"/>
  <c r="E3299" i="3"/>
  <c r="H3299" i="3" s="1"/>
  <c r="I3299" i="3" s="1"/>
  <c r="G2882" i="3"/>
  <c r="E3300" i="3"/>
  <c r="H3300" i="3" s="1"/>
  <c r="I3300" i="3" s="1"/>
  <c r="G2883" i="3"/>
  <c r="E3301" i="3"/>
  <c r="H3301" i="3" s="1"/>
  <c r="I3301" i="3" s="1"/>
  <c r="G2884" i="3"/>
  <c r="E3302" i="3"/>
  <c r="H3302" i="3" s="1"/>
  <c r="I3302" i="3" s="1"/>
  <c r="G2885" i="3"/>
  <c r="E3303" i="3"/>
  <c r="H3303" i="3" s="1"/>
  <c r="I3303" i="3" s="1"/>
  <c r="G2886" i="3"/>
  <c r="E3304" i="3"/>
  <c r="H3304" i="3" s="1"/>
  <c r="I3304" i="3" s="1"/>
  <c r="G2887" i="3"/>
  <c r="E3305" i="3"/>
  <c r="H3305" i="3" s="1"/>
  <c r="I3305" i="3" s="1"/>
  <c r="G2888" i="3"/>
  <c r="E3306" i="3"/>
  <c r="H3306" i="3" s="1"/>
  <c r="I3306" i="3" s="1"/>
  <c r="G2889" i="3"/>
  <c r="E3307" i="3"/>
  <c r="H3307" i="3" s="1"/>
  <c r="I3307" i="3" s="1"/>
  <c r="G2890" i="3"/>
  <c r="E3308" i="3"/>
  <c r="H3308" i="3" s="1"/>
  <c r="I3308" i="3" s="1"/>
  <c r="G2891" i="3"/>
  <c r="E3309" i="3"/>
  <c r="H3309" i="3" s="1"/>
  <c r="I3309" i="3" s="1"/>
  <c r="G2892" i="3"/>
  <c r="E3310" i="3"/>
  <c r="H3310" i="3" s="1"/>
  <c r="I3310" i="3" s="1"/>
  <c r="G2893" i="3"/>
  <c r="E3311" i="3"/>
  <c r="H3311" i="3" s="1"/>
  <c r="I3311" i="3" s="1"/>
  <c r="G2894" i="3"/>
  <c r="E3312" i="3"/>
  <c r="H3312" i="3" s="1"/>
  <c r="I3312" i="3" s="1"/>
  <c r="G2895" i="3"/>
  <c r="E3313" i="3"/>
  <c r="H3313" i="3" s="1"/>
  <c r="I3313" i="3" s="1"/>
  <c r="G2896" i="3"/>
  <c r="E3314" i="3"/>
  <c r="H3314" i="3" s="1"/>
  <c r="I3314" i="3" s="1"/>
  <c r="G2897" i="3"/>
  <c r="E3315" i="3"/>
  <c r="H3315" i="3" s="1"/>
  <c r="I3315" i="3" s="1"/>
  <c r="G2898" i="3"/>
  <c r="E3316" i="3"/>
  <c r="H3316" i="3" s="1"/>
  <c r="I3316" i="3" s="1"/>
  <c r="G2899" i="3"/>
  <c r="E3317" i="3"/>
  <c r="H3317" i="3" s="1"/>
  <c r="I3317" i="3" s="1"/>
  <c r="G2900" i="3"/>
  <c r="E3318" i="3"/>
  <c r="H3318" i="3" s="1"/>
  <c r="I3318" i="3" s="1"/>
  <c r="G2901" i="3"/>
  <c r="E3319" i="3"/>
  <c r="H3319" i="3" s="1"/>
  <c r="I3319" i="3" s="1"/>
  <c r="G2902" i="3"/>
  <c r="E3320" i="3"/>
  <c r="H3320" i="3" s="1"/>
  <c r="I3320" i="3" s="1"/>
  <c r="G2903" i="3"/>
  <c r="E3321" i="3"/>
  <c r="H3321" i="3" s="1"/>
  <c r="I3321" i="3" s="1"/>
  <c r="G2904" i="3"/>
  <c r="E3322" i="3"/>
  <c r="H3322" i="3" s="1"/>
  <c r="I3322" i="3" s="1"/>
  <c r="G2905" i="3"/>
  <c r="E3323" i="3"/>
  <c r="H3323" i="3" s="1"/>
  <c r="I3323" i="3" s="1"/>
  <c r="G2906" i="3"/>
  <c r="E3324" i="3"/>
  <c r="H3324" i="3" s="1"/>
  <c r="I3324" i="3" s="1"/>
  <c r="G2907" i="3"/>
  <c r="E3325" i="3"/>
  <c r="H3325" i="3" s="1"/>
  <c r="I3325" i="3" s="1"/>
  <c r="G2908" i="3"/>
  <c r="E3326" i="3"/>
  <c r="H3326" i="3" s="1"/>
  <c r="I3326" i="3" s="1"/>
  <c r="G2909" i="3"/>
  <c r="E3327" i="3"/>
  <c r="H3327" i="3" s="1"/>
  <c r="I3327" i="3" s="1"/>
  <c r="G2910" i="3"/>
  <c r="E3328" i="3"/>
  <c r="H3328" i="3" s="1"/>
  <c r="I3328" i="3" s="1"/>
  <c r="G2911" i="3"/>
  <c r="E3329" i="3"/>
  <c r="H3329" i="3" s="1"/>
  <c r="I3329" i="3" s="1"/>
  <c r="G2912" i="3"/>
  <c r="E3330" i="3"/>
  <c r="H3330" i="3" s="1"/>
  <c r="I3330" i="3" s="1"/>
  <c r="G2913" i="3"/>
  <c r="E3331" i="3"/>
  <c r="H3331" i="3" s="1"/>
  <c r="I3331" i="3" s="1"/>
  <c r="G2914" i="3"/>
  <c r="E3332" i="3"/>
  <c r="H3332" i="3" s="1"/>
  <c r="I3332" i="3" s="1"/>
  <c r="G2915" i="3"/>
  <c r="E3333" i="3"/>
  <c r="H3333" i="3" s="1"/>
  <c r="I3333" i="3" s="1"/>
  <c r="G2916" i="3"/>
  <c r="E3334" i="3"/>
  <c r="H3334" i="3" s="1"/>
  <c r="I3334" i="3" s="1"/>
  <c r="G2917" i="3"/>
  <c r="E3335" i="3"/>
  <c r="H3335" i="3" s="1"/>
  <c r="I3335" i="3" s="1"/>
  <c r="G2918" i="3"/>
  <c r="E3336" i="3"/>
  <c r="H3336" i="3" s="1"/>
  <c r="I3336" i="3" s="1"/>
  <c r="G2919" i="3"/>
  <c r="E3337" i="3"/>
  <c r="H3337" i="3" s="1"/>
  <c r="I3337" i="3" s="1"/>
  <c r="G2920" i="3"/>
  <c r="E3338" i="3"/>
  <c r="H3338" i="3" s="1"/>
  <c r="I3338" i="3" s="1"/>
  <c r="G2921" i="3"/>
  <c r="E3339" i="3"/>
  <c r="H3339" i="3" s="1"/>
  <c r="I3339" i="3" s="1"/>
  <c r="G2922" i="3"/>
  <c r="E3340" i="3"/>
  <c r="H3340" i="3" s="1"/>
  <c r="I3340" i="3" s="1"/>
  <c r="G2923" i="3"/>
  <c r="E3341" i="3"/>
  <c r="H3341" i="3" s="1"/>
  <c r="I3341" i="3" s="1"/>
  <c r="G2924" i="3"/>
  <c r="E3342" i="3"/>
  <c r="H3342" i="3" s="1"/>
  <c r="I3342" i="3" s="1"/>
  <c r="G2925" i="3"/>
  <c r="E3343" i="3"/>
  <c r="H3343" i="3" s="1"/>
  <c r="I3343" i="3" s="1"/>
  <c r="G2926" i="3"/>
  <c r="E3344" i="3"/>
  <c r="H3344" i="3" s="1"/>
  <c r="I3344" i="3" s="1"/>
  <c r="G2927" i="3"/>
  <c r="E3345" i="3"/>
  <c r="H3345" i="3" s="1"/>
  <c r="I3345" i="3" s="1"/>
  <c r="G2928" i="3"/>
  <c r="E3346" i="3"/>
  <c r="H3346" i="3" s="1"/>
  <c r="I3346" i="3" s="1"/>
  <c r="G2929" i="3"/>
  <c r="E3347" i="3"/>
  <c r="H3347" i="3" s="1"/>
  <c r="I3347" i="3" s="1"/>
  <c r="G2930" i="3"/>
  <c r="E3348" i="3"/>
  <c r="H3348" i="3" s="1"/>
  <c r="I3348" i="3" s="1"/>
  <c r="G2931" i="3"/>
  <c r="E3349" i="3"/>
  <c r="H3349" i="3" s="1"/>
  <c r="I3349" i="3" s="1"/>
  <c r="G2932" i="3"/>
  <c r="E3350" i="3"/>
  <c r="H3350" i="3" s="1"/>
  <c r="I3350" i="3" s="1"/>
  <c r="G2933" i="3"/>
  <c r="E3351" i="3"/>
  <c r="H3351" i="3" s="1"/>
  <c r="I3351" i="3" s="1"/>
  <c r="G2934" i="3"/>
  <c r="E3352" i="3"/>
  <c r="H3352" i="3" s="1"/>
  <c r="I3352" i="3" s="1"/>
  <c r="G2935" i="3"/>
  <c r="E3353" i="3"/>
  <c r="H3353" i="3" s="1"/>
  <c r="I3353" i="3" s="1"/>
  <c r="G2936" i="3"/>
  <c r="E3354" i="3"/>
  <c r="H3354" i="3" s="1"/>
  <c r="I3354" i="3" s="1"/>
  <c r="G2937" i="3"/>
  <c r="E3355" i="3"/>
  <c r="H3355" i="3" s="1"/>
  <c r="I3355" i="3" s="1"/>
  <c r="G2938" i="3"/>
  <c r="E3356" i="3"/>
  <c r="H3356" i="3" s="1"/>
  <c r="I3356" i="3" s="1"/>
  <c r="G2939" i="3"/>
  <c r="E3357" i="3"/>
  <c r="H3357" i="3" s="1"/>
  <c r="I3357" i="3" s="1"/>
  <c r="G2940" i="3"/>
  <c r="E3358" i="3"/>
  <c r="H3358" i="3" s="1"/>
  <c r="I3358" i="3" s="1"/>
  <c r="G2941" i="3"/>
  <c r="E3359" i="3"/>
  <c r="H3359" i="3" s="1"/>
  <c r="I3359" i="3" s="1"/>
  <c r="G2942" i="3"/>
  <c r="E3360" i="3"/>
  <c r="H3360" i="3" s="1"/>
  <c r="I3360" i="3" s="1"/>
  <c r="G2943" i="3"/>
  <c r="E3361" i="3"/>
  <c r="H3361" i="3" s="1"/>
  <c r="I3361" i="3" s="1"/>
  <c r="G2944" i="3"/>
  <c r="E3362" i="3"/>
  <c r="H3362" i="3" s="1"/>
  <c r="I3362" i="3" s="1"/>
  <c r="G2945" i="3"/>
  <c r="E3363" i="3"/>
  <c r="H3363" i="3" s="1"/>
  <c r="I3363" i="3" s="1"/>
  <c r="G2946" i="3"/>
  <c r="E3364" i="3"/>
  <c r="H3364" i="3" s="1"/>
  <c r="I3364" i="3" s="1"/>
  <c r="G2947" i="3"/>
  <c r="E3365" i="3"/>
  <c r="H3365" i="3" s="1"/>
  <c r="I3365" i="3" s="1"/>
  <c r="G2948" i="3"/>
  <c r="E3366" i="3"/>
  <c r="H3366" i="3" s="1"/>
  <c r="I3366" i="3" s="1"/>
  <c r="G2949" i="3"/>
  <c r="E3367" i="3"/>
  <c r="H3367" i="3" s="1"/>
  <c r="I3367" i="3" s="1"/>
  <c r="G2950" i="3"/>
  <c r="E3368" i="3"/>
  <c r="H3368" i="3" s="1"/>
  <c r="I3368" i="3" s="1"/>
  <c r="G2951" i="3"/>
  <c r="E3369" i="3"/>
  <c r="H3369" i="3" s="1"/>
  <c r="I3369" i="3" s="1"/>
  <c r="G2952" i="3"/>
  <c r="E3370" i="3"/>
  <c r="H3370" i="3" s="1"/>
  <c r="I3370" i="3" s="1"/>
  <c r="G2953" i="3"/>
  <c r="E3371" i="3"/>
  <c r="H3371" i="3" s="1"/>
  <c r="I3371" i="3" s="1"/>
  <c r="G2954" i="3"/>
  <c r="E3372" i="3"/>
  <c r="H3372" i="3" s="1"/>
  <c r="I3372" i="3" s="1"/>
  <c r="G2955" i="3"/>
  <c r="E3373" i="3"/>
  <c r="H3373" i="3" s="1"/>
  <c r="I3373" i="3" s="1"/>
  <c r="G2956" i="3"/>
  <c r="E3374" i="3"/>
  <c r="H3374" i="3" s="1"/>
  <c r="I3374" i="3" s="1"/>
  <c r="G2957" i="3"/>
  <c r="E3375" i="3"/>
  <c r="H3375" i="3" s="1"/>
  <c r="I3375" i="3" s="1"/>
  <c r="G2958" i="3"/>
  <c r="E3376" i="3"/>
  <c r="H3376" i="3" s="1"/>
  <c r="I3376" i="3" s="1"/>
  <c r="G2959" i="3"/>
  <c r="E3377" i="3"/>
  <c r="H3377" i="3" s="1"/>
  <c r="I3377" i="3" s="1"/>
  <c r="G2960" i="3"/>
  <c r="E3378" i="3"/>
  <c r="H3378" i="3" s="1"/>
  <c r="I3378" i="3" s="1"/>
  <c r="G2961" i="3"/>
  <c r="E3379" i="3"/>
  <c r="H3379" i="3" s="1"/>
  <c r="I3379" i="3" s="1"/>
  <c r="G2962" i="3"/>
  <c r="E3380" i="3"/>
  <c r="H3380" i="3" s="1"/>
  <c r="I3380" i="3" s="1"/>
  <c r="G2963" i="3"/>
  <c r="E3381" i="3"/>
  <c r="H3381" i="3" s="1"/>
  <c r="I3381" i="3" s="1"/>
  <c r="G2964" i="3"/>
  <c r="E3382" i="3"/>
  <c r="H3382" i="3" s="1"/>
  <c r="I3382" i="3" s="1"/>
  <c r="G2965" i="3"/>
  <c r="E3383" i="3"/>
  <c r="H3383" i="3" s="1"/>
  <c r="I3383" i="3" s="1"/>
  <c r="G2966" i="3"/>
  <c r="E3384" i="3"/>
  <c r="H3384" i="3" s="1"/>
  <c r="I3384" i="3" s="1"/>
  <c r="G2967" i="3"/>
  <c r="E3385" i="3"/>
  <c r="H3385" i="3" s="1"/>
  <c r="I3385" i="3" s="1"/>
  <c r="G2968" i="3"/>
  <c r="E3386" i="3"/>
  <c r="H3386" i="3" s="1"/>
  <c r="I3386" i="3" s="1"/>
  <c r="G2969" i="3"/>
  <c r="E3387" i="3"/>
  <c r="H3387" i="3" s="1"/>
  <c r="I3387" i="3" s="1"/>
  <c r="G2970" i="3"/>
  <c r="E3388" i="3"/>
  <c r="H3388" i="3" s="1"/>
  <c r="I3388" i="3" s="1"/>
  <c r="G2971" i="3"/>
  <c r="E3389" i="3"/>
  <c r="H3389" i="3" s="1"/>
  <c r="I3389" i="3" s="1"/>
  <c r="G2972" i="3"/>
  <c r="E3390" i="3"/>
  <c r="H3390" i="3" s="1"/>
  <c r="I3390" i="3" s="1"/>
  <c r="G2973" i="3"/>
  <c r="E3391" i="3"/>
  <c r="H3391" i="3" s="1"/>
  <c r="I3391" i="3" s="1"/>
  <c r="G2974" i="3"/>
  <c r="D2714" i="5"/>
  <c r="D2890" i="5" s="1"/>
  <c r="E2714" i="5"/>
  <c r="P1988" i="5"/>
  <c r="D2812" i="5"/>
  <c r="E2812" i="5"/>
  <c r="P2052" i="5"/>
  <c r="D3597" i="5"/>
  <c r="D3773" i="5" s="1"/>
  <c r="U3773" i="5" s="1"/>
  <c r="E3597" i="5"/>
  <c r="E3401" i="5"/>
  <c r="P3401" i="5" s="1"/>
  <c r="P2990" i="5"/>
  <c r="E2716" i="5"/>
  <c r="P2716" i="5" s="1"/>
  <c r="P2700" i="5"/>
  <c r="E2814" i="5"/>
  <c r="P2798" i="5"/>
  <c r="E2908" i="5"/>
  <c r="P2908" i="5" s="1"/>
  <c r="P2896" i="5"/>
  <c r="E3004" i="5"/>
  <c r="P3004" i="5" s="1"/>
  <c r="P2994" i="5"/>
  <c r="E3102" i="5"/>
  <c r="P3102" i="5" s="1"/>
  <c r="P3092" i="5"/>
  <c r="E3200" i="5"/>
  <c r="P3200" i="5" s="1"/>
  <c r="P3190" i="5"/>
  <c r="E3298" i="5"/>
  <c r="P3298" i="5" s="1"/>
  <c r="E3396" i="5"/>
  <c r="P3396" i="5" s="1"/>
  <c r="P3386" i="5"/>
  <c r="E3494" i="5"/>
  <c r="P3494" i="5" s="1"/>
  <c r="P3484" i="5"/>
  <c r="E3592" i="5"/>
  <c r="P3592" i="5" s="1"/>
  <c r="P3582" i="5"/>
  <c r="E3690" i="5"/>
  <c r="P3680" i="5"/>
  <c r="E3789" i="5"/>
  <c r="P3779" i="5"/>
  <c r="E3888" i="5"/>
  <c r="P3878" i="5"/>
  <c r="E3987" i="5"/>
  <c r="P3987" i="5" s="1"/>
  <c r="P3977" i="5"/>
  <c r="E4086" i="5"/>
  <c r="P4086" i="5" s="1"/>
  <c r="P4076" i="5"/>
  <c r="E4185" i="5"/>
  <c r="P4185" i="5" s="1"/>
  <c r="P4175" i="5"/>
  <c r="E3499" i="5"/>
  <c r="P3499" i="5" s="1"/>
  <c r="P2897" i="5"/>
  <c r="E4328" i="5"/>
  <c r="P4328" i="5" s="1"/>
  <c r="P3586" i="5"/>
  <c r="E4445" i="5"/>
  <c r="P4445" i="5" s="1"/>
  <c r="E4562" i="5"/>
  <c r="P4562" i="5" s="1"/>
  <c r="P3195" i="5"/>
  <c r="D4679" i="5"/>
  <c r="E4679" i="5"/>
  <c r="P4679" i="5" s="1"/>
  <c r="P3784" i="5"/>
  <c r="D4796" i="5"/>
  <c r="D4811" i="5" s="1"/>
  <c r="U4811" i="5" s="1"/>
  <c r="E4796" i="5"/>
  <c r="P2804" i="5"/>
  <c r="E4317" i="5"/>
  <c r="P4317" i="5" s="1"/>
  <c r="P4307" i="5"/>
  <c r="E4434" i="5"/>
  <c r="P4434" i="5" s="1"/>
  <c r="E4551" i="5"/>
  <c r="P4551" i="5" s="1"/>
  <c r="P4541" i="5"/>
  <c r="E4668" i="5"/>
  <c r="P4668" i="5" s="1"/>
  <c r="P4658" i="5"/>
  <c r="E4785" i="5"/>
  <c r="P4785" i="5" s="1"/>
  <c r="P4775" i="5"/>
  <c r="D4884" i="5"/>
  <c r="U4884" i="5" s="1"/>
  <c r="E4884" i="5"/>
  <c r="P4884" i="5" s="1"/>
  <c r="P4882" i="5"/>
  <c r="D4984" i="5"/>
  <c r="U4984" i="5" s="1"/>
  <c r="E4984" i="5"/>
  <c r="P4984" i="5" s="1"/>
  <c r="P4982" i="5"/>
  <c r="D5084" i="5"/>
  <c r="U5084" i="5" s="1"/>
  <c r="E5084" i="5"/>
  <c r="P5084" i="5" s="1"/>
  <c r="P5082" i="5"/>
  <c r="D5184" i="5"/>
  <c r="U5184" i="5" s="1"/>
  <c r="E5184" i="5"/>
  <c r="P5184" i="5" s="1"/>
  <c r="P5182" i="5"/>
  <c r="D5284" i="5"/>
  <c r="U5284" i="5" s="1"/>
  <c r="E5284" i="5"/>
  <c r="P5284" i="5" s="1"/>
  <c r="P5282" i="5"/>
  <c r="D3702" i="5"/>
  <c r="E3702" i="5"/>
  <c r="P3702" i="5" s="1"/>
  <c r="P1020" i="5"/>
  <c r="D3801" i="5"/>
  <c r="E3801" i="5"/>
  <c r="P3801" i="5" s="1"/>
  <c r="P1079" i="5"/>
  <c r="E3900" i="5"/>
  <c r="P3900" i="5" s="1"/>
  <c r="P1085" i="5"/>
  <c r="D3999" i="5"/>
  <c r="U1090" i="5"/>
  <c r="E3999" i="5"/>
  <c r="P3999" i="5" s="1"/>
  <c r="P1090" i="5"/>
  <c r="D4098" i="5"/>
  <c r="E4098" i="5"/>
  <c r="P4098" i="5" s="1"/>
  <c r="P1153" i="5"/>
  <c r="D4210" i="5"/>
  <c r="E4210" i="5"/>
  <c r="P4210" i="5" s="1"/>
  <c r="P1338" i="5"/>
  <c r="O5" i="8"/>
  <c r="P4796" i="5" l="1"/>
  <c r="E4811" i="5"/>
  <c r="P4811" i="5" s="1"/>
  <c r="P3888" i="5"/>
  <c r="E4100" i="5"/>
  <c r="P4100" i="5" s="1"/>
  <c r="P3789" i="5"/>
  <c r="E4001" i="5"/>
  <c r="P4001" i="5" s="1"/>
  <c r="P3690" i="5"/>
  <c r="E3902" i="5"/>
  <c r="P3902" i="5" s="1"/>
  <c r="P2814" i="5"/>
  <c r="E4432" i="5"/>
  <c r="P4432" i="5" s="1"/>
  <c r="P3597" i="5"/>
  <c r="E3773" i="5"/>
  <c r="P3773" i="5" s="1"/>
  <c r="P2812" i="5"/>
  <c r="E4430" i="5"/>
  <c r="P4430" i="5" s="1"/>
  <c r="E2988" i="5"/>
  <c r="D4430" i="5"/>
  <c r="D2988" i="5"/>
  <c r="P2714" i="5"/>
  <c r="E2890" i="5"/>
  <c r="U2890" i="5"/>
  <c r="D3882" i="5"/>
  <c r="P2605" i="5"/>
  <c r="E2989" i="5"/>
  <c r="U2989" i="5"/>
  <c r="D3981" i="5"/>
  <c r="P3296" i="5"/>
  <c r="E3508" i="5"/>
  <c r="P3508" i="5" s="1"/>
  <c r="P2993" i="5"/>
  <c r="E3985" i="5"/>
  <c r="P3985" i="5" s="1"/>
  <c r="P2992" i="5"/>
  <c r="E3984" i="5"/>
  <c r="P3984" i="5" s="1"/>
  <c r="P2991" i="5"/>
  <c r="E3983" i="5"/>
  <c r="D3401" i="5"/>
  <c r="D3982" i="5"/>
  <c r="P2805" i="5"/>
  <c r="E4423" i="5"/>
  <c r="P4423" i="5" s="1"/>
  <c r="P2803" i="5"/>
  <c r="E4421" i="5"/>
  <c r="P4421" i="5" s="1"/>
  <c r="P2802" i="5"/>
  <c r="E4420" i="5"/>
  <c r="P4420" i="5" s="1"/>
  <c r="P2793" i="5"/>
  <c r="E3785" i="5"/>
  <c r="P3785" i="5" s="1"/>
  <c r="U2793" i="5"/>
  <c r="D3785" i="5"/>
  <c r="P3394" i="5"/>
  <c r="E3606" i="5"/>
  <c r="P3606" i="5" s="1"/>
  <c r="P3390" i="5"/>
  <c r="E3774" i="5"/>
  <c r="P3774" i="5" s="1"/>
  <c r="P3384" i="5"/>
  <c r="E4767" i="5"/>
  <c r="P4767" i="5" s="1"/>
  <c r="P3100" i="5"/>
  <c r="E3312" i="5"/>
  <c r="P3312" i="5" s="1"/>
  <c r="P3095" i="5"/>
  <c r="E3479" i="5"/>
  <c r="P3479" i="5" s="1"/>
  <c r="P3093" i="5"/>
  <c r="E4085" i="5"/>
  <c r="P4085" i="5" s="1"/>
  <c r="D3102" i="5"/>
  <c r="U3102" i="5" s="1"/>
  <c r="D4084" i="5"/>
  <c r="P3091" i="5"/>
  <c r="E4083" i="5"/>
  <c r="P4083" i="5" s="1"/>
  <c r="P3090" i="5"/>
  <c r="E4082" i="5"/>
  <c r="P4082" i="5" s="1"/>
  <c r="P3089" i="5"/>
  <c r="E4081" i="5"/>
  <c r="P4081" i="5" s="1"/>
  <c r="P3088" i="5"/>
  <c r="E4080" i="5"/>
  <c r="P4080" i="5" s="1"/>
  <c r="P2695" i="5"/>
  <c r="E4313" i="5"/>
  <c r="P4313" i="5" s="1"/>
  <c r="E3687" i="5"/>
  <c r="U2695" i="5"/>
  <c r="D4313" i="5"/>
  <c r="D3687" i="5"/>
  <c r="D4071" i="5" s="1"/>
  <c r="U4071" i="5" s="1"/>
  <c r="P3291" i="5"/>
  <c r="E3675" i="5"/>
  <c r="P3675" i="5" s="1"/>
  <c r="P2537" i="5"/>
  <c r="E3289" i="5"/>
  <c r="P3289" i="5" s="1"/>
  <c r="P2536" i="5"/>
  <c r="E3288" i="5"/>
  <c r="P3288" i="5" s="1"/>
  <c r="P2535" i="5"/>
  <c r="E3287" i="5"/>
  <c r="P3287" i="5" s="1"/>
  <c r="P2534" i="5"/>
  <c r="E3286" i="5"/>
  <c r="P3286" i="5" s="1"/>
  <c r="U2534" i="5"/>
  <c r="D3286" i="5"/>
  <c r="P3009" i="5"/>
  <c r="E4537" i="5"/>
  <c r="P4537" i="5" s="1"/>
  <c r="P3002" i="5"/>
  <c r="E3214" i="5"/>
  <c r="P3214" i="5" s="1"/>
  <c r="P2997" i="5"/>
  <c r="E3381" i="5"/>
  <c r="P3381" i="5" s="1"/>
  <c r="P3198" i="5"/>
  <c r="E3410" i="5"/>
  <c r="P3410" i="5" s="1"/>
  <c r="P3193" i="5"/>
  <c r="E3577" i="5"/>
  <c r="P3577" i="5" s="1"/>
  <c r="P3192" i="5"/>
  <c r="E4184" i="5"/>
  <c r="P4184" i="5" s="1"/>
  <c r="P3191" i="5"/>
  <c r="E4183" i="5"/>
  <c r="P4183" i="5" s="1"/>
  <c r="P3189" i="5"/>
  <c r="E4181" i="5"/>
  <c r="P4181" i="5" s="1"/>
  <c r="P3188" i="5"/>
  <c r="E4180" i="5"/>
  <c r="P4180" i="5" s="1"/>
  <c r="P3187" i="5"/>
  <c r="E4179" i="5"/>
  <c r="P4179" i="5" s="1"/>
  <c r="P3186" i="5"/>
  <c r="E4178" i="5"/>
  <c r="P4178" i="5" s="1"/>
  <c r="P2905" i="5"/>
  <c r="E4433" i="5"/>
  <c r="P4433" i="5" s="1"/>
  <c r="U2905" i="5"/>
  <c r="D4433" i="5"/>
  <c r="U4433" i="5" s="1"/>
  <c r="P2904" i="5"/>
  <c r="E3116" i="5"/>
  <c r="P3116" i="5" s="1"/>
  <c r="D3116" i="5"/>
  <c r="U3116" i="5" s="1"/>
  <c r="D4432" i="5"/>
  <c r="P2903" i="5"/>
  <c r="E4431" i="5"/>
  <c r="P4431" i="5" s="1"/>
  <c r="P2901" i="5"/>
  <c r="E4429" i="5"/>
  <c r="P4429" i="5" s="1"/>
  <c r="E4299" i="5"/>
  <c r="P4299" i="5" s="1"/>
  <c r="D4429" i="5"/>
  <c r="D4299" i="5"/>
  <c r="U4299" i="5" s="1"/>
  <c r="P2900" i="5"/>
  <c r="E4428" i="5"/>
  <c r="P4428" i="5" s="1"/>
  <c r="P2899" i="5"/>
  <c r="E4427" i="5"/>
  <c r="P4427" i="5" s="1"/>
  <c r="E3283" i="5"/>
  <c r="P3283" i="5" s="1"/>
  <c r="D4427" i="5"/>
  <c r="D3283" i="5"/>
  <c r="U3283" i="5" s="1"/>
  <c r="P2898" i="5"/>
  <c r="E4426" i="5"/>
  <c r="P4426" i="5" s="1"/>
  <c r="D2908" i="5"/>
  <c r="D4424" i="5"/>
  <c r="D4434" i="5" s="1"/>
  <c r="U4434" i="5" s="1"/>
  <c r="P2895" i="5"/>
  <c r="E3887" i="5"/>
  <c r="P3887" i="5" s="1"/>
  <c r="P2894" i="5"/>
  <c r="E3886" i="5"/>
  <c r="P3886" i="5" s="1"/>
  <c r="P2893" i="5"/>
  <c r="E3885" i="5"/>
  <c r="P3885" i="5" s="1"/>
  <c r="P2892" i="5"/>
  <c r="E3884" i="5"/>
  <c r="P3884" i="5" s="1"/>
  <c r="P2801" i="5"/>
  <c r="E4419" i="5"/>
  <c r="P4419" i="5" s="1"/>
  <c r="E3185" i="5"/>
  <c r="D4419" i="5"/>
  <c r="D3185" i="5"/>
  <c r="P2800" i="5"/>
  <c r="E4418" i="5"/>
  <c r="P4418" i="5" s="1"/>
  <c r="D4418" i="5"/>
  <c r="P2799" i="5"/>
  <c r="E4417" i="5"/>
  <c r="P4417" i="5" s="1"/>
  <c r="P2796" i="5"/>
  <c r="E3788" i="5"/>
  <c r="P3788" i="5" s="1"/>
  <c r="P2795" i="5"/>
  <c r="E3787" i="5"/>
  <c r="P3787" i="5" s="1"/>
  <c r="P2794" i="5"/>
  <c r="E3786" i="5"/>
  <c r="P2995" i="5"/>
  <c r="E4298" i="5"/>
  <c r="P4298" i="5" s="1"/>
  <c r="P2708" i="5"/>
  <c r="E2920" i="5"/>
  <c r="U2920" i="5"/>
  <c r="D4538" i="5"/>
  <c r="P2703" i="5"/>
  <c r="E3087" i="5"/>
  <c r="U3087" i="5"/>
  <c r="D4079" i="5"/>
  <c r="P2698" i="5"/>
  <c r="E4316" i="5"/>
  <c r="P4316" i="5" s="1"/>
  <c r="P2697" i="5"/>
  <c r="E4315" i="5"/>
  <c r="P4315" i="5" s="1"/>
  <c r="E3689" i="5"/>
  <c r="P3689" i="5" s="1"/>
  <c r="D4315" i="5"/>
  <c r="D3689" i="5"/>
  <c r="U3689" i="5" s="1"/>
  <c r="P2696" i="5"/>
  <c r="E4314" i="5"/>
  <c r="P4314" i="5" s="1"/>
  <c r="E3688" i="5"/>
  <c r="P3688" i="5" s="1"/>
  <c r="D4314" i="5"/>
  <c r="D3688" i="5"/>
  <c r="P2807" i="5"/>
  <c r="E4425" i="5"/>
  <c r="P4425" i="5" s="1"/>
  <c r="U2807" i="5"/>
  <c r="D4425" i="5"/>
  <c r="P2806" i="5"/>
  <c r="E3018" i="5"/>
  <c r="E4424" i="5"/>
  <c r="P4424" i="5" s="1"/>
  <c r="U3018" i="5"/>
  <c r="D4546" i="5"/>
  <c r="D4416" i="5"/>
  <c r="U4416" i="5" s="1"/>
  <c r="H3276" i="3"/>
  <c r="I3276" i="3" s="1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H2974" i="3"/>
  <c r="I2424" i="3"/>
  <c r="I2974" i="3" s="1"/>
  <c r="H2973" i="3"/>
  <c r="I2423" i="3"/>
  <c r="I2973" i="3" s="1"/>
  <c r="H2972" i="3"/>
  <c r="I2422" i="3"/>
  <c r="I2972" i="3" s="1"/>
  <c r="H2971" i="3"/>
  <c r="I2421" i="3"/>
  <c r="I2971" i="3" s="1"/>
  <c r="H2970" i="3"/>
  <c r="I2420" i="3"/>
  <c r="I2970" i="3" s="1"/>
  <c r="H2969" i="3"/>
  <c r="I2419" i="3"/>
  <c r="I2969" i="3" s="1"/>
  <c r="H2968" i="3"/>
  <c r="I2418" i="3"/>
  <c r="I2968" i="3" s="1"/>
  <c r="H2967" i="3"/>
  <c r="I2417" i="3"/>
  <c r="I2967" i="3" s="1"/>
  <c r="H2966" i="3"/>
  <c r="I2416" i="3"/>
  <c r="I2966" i="3" s="1"/>
  <c r="H2965" i="3"/>
  <c r="I2415" i="3"/>
  <c r="I2965" i="3" s="1"/>
  <c r="H2964" i="3"/>
  <c r="I2414" i="3"/>
  <c r="I2964" i="3" s="1"/>
  <c r="H2963" i="3"/>
  <c r="I2413" i="3"/>
  <c r="I2963" i="3" s="1"/>
  <c r="H2962" i="3"/>
  <c r="I2412" i="3"/>
  <c r="I2962" i="3" s="1"/>
  <c r="H2961" i="3"/>
  <c r="I2411" i="3"/>
  <c r="I2961" i="3" s="1"/>
  <c r="H2960" i="3"/>
  <c r="I2410" i="3"/>
  <c r="I2960" i="3" s="1"/>
  <c r="H2959" i="3"/>
  <c r="I2409" i="3"/>
  <c r="I2959" i="3" s="1"/>
  <c r="H2958" i="3"/>
  <c r="I2408" i="3"/>
  <c r="I2958" i="3" s="1"/>
  <c r="H2957" i="3"/>
  <c r="I2407" i="3"/>
  <c r="I2957" i="3" s="1"/>
  <c r="H2956" i="3"/>
  <c r="I2406" i="3"/>
  <c r="I2956" i="3" s="1"/>
  <c r="H2955" i="3"/>
  <c r="I2405" i="3"/>
  <c r="I2955" i="3" s="1"/>
  <c r="H2954" i="3"/>
  <c r="I2404" i="3"/>
  <c r="I2954" i="3" s="1"/>
  <c r="H2953" i="3"/>
  <c r="I2403" i="3"/>
  <c r="I2953" i="3" s="1"/>
  <c r="H2952" i="3"/>
  <c r="I2402" i="3"/>
  <c r="I2952" i="3" s="1"/>
  <c r="H2951" i="3"/>
  <c r="I2401" i="3"/>
  <c r="I2951" i="3" s="1"/>
  <c r="H2950" i="3"/>
  <c r="I2400" i="3"/>
  <c r="I2950" i="3" s="1"/>
  <c r="H2949" i="3"/>
  <c r="I2399" i="3"/>
  <c r="I2949" i="3" s="1"/>
  <c r="H2948" i="3"/>
  <c r="I2398" i="3"/>
  <c r="I2948" i="3" s="1"/>
  <c r="H2947" i="3"/>
  <c r="I2397" i="3"/>
  <c r="I2947" i="3" s="1"/>
  <c r="H2946" i="3"/>
  <c r="I2396" i="3"/>
  <c r="I2946" i="3" s="1"/>
  <c r="H2945" i="3"/>
  <c r="I2395" i="3"/>
  <c r="I2945" i="3" s="1"/>
  <c r="H2944" i="3"/>
  <c r="I2394" i="3"/>
  <c r="I2944" i="3" s="1"/>
  <c r="H2943" i="3"/>
  <c r="I2393" i="3"/>
  <c r="I2943" i="3" s="1"/>
  <c r="H2942" i="3"/>
  <c r="I2392" i="3"/>
  <c r="I2942" i="3" s="1"/>
  <c r="H2941" i="3"/>
  <c r="I2391" i="3"/>
  <c r="I2941" i="3" s="1"/>
  <c r="H2940" i="3"/>
  <c r="I2390" i="3"/>
  <c r="I2940" i="3" s="1"/>
  <c r="H2939" i="3"/>
  <c r="I2389" i="3"/>
  <c r="I2939" i="3" s="1"/>
  <c r="H2938" i="3"/>
  <c r="I2388" i="3"/>
  <c r="I2938" i="3" s="1"/>
  <c r="H2937" i="3"/>
  <c r="I2387" i="3"/>
  <c r="I2937" i="3" s="1"/>
  <c r="H2936" i="3"/>
  <c r="I2386" i="3"/>
  <c r="I2936" i="3" s="1"/>
  <c r="H2935" i="3"/>
  <c r="I2385" i="3"/>
  <c r="I2935" i="3" s="1"/>
  <c r="H2934" i="3"/>
  <c r="I2384" i="3"/>
  <c r="I2934" i="3" s="1"/>
  <c r="H2933" i="3"/>
  <c r="I2383" i="3"/>
  <c r="I2933" i="3" s="1"/>
  <c r="H2932" i="3"/>
  <c r="I2382" i="3"/>
  <c r="I2932" i="3" s="1"/>
  <c r="H2931" i="3"/>
  <c r="I2381" i="3"/>
  <c r="I2931" i="3" s="1"/>
  <c r="H2930" i="3"/>
  <c r="I2380" i="3"/>
  <c r="I2930" i="3" s="1"/>
  <c r="H2929" i="3"/>
  <c r="I2379" i="3"/>
  <c r="I2929" i="3" s="1"/>
  <c r="H2928" i="3"/>
  <c r="I2378" i="3"/>
  <c r="I2928" i="3" s="1"/>
  <c r="H2927" i="3"/>
  <c r="I2377" i="3"/>
  <c r="I2927" i="3" s="1"/>
  <c r="H2926" i="3"/>
  <c r="I2376" i="3"/>
  <c r="I2926" i="3" s="1"/>
  <c r="H2925" i="3"/>
  <c r="I2375" i="3"/>
  <c r="I2925" i="3" s="1"/>
  <c r="H2924" i="3"/>
  <c r="I2374" i="3"/>
  <c r="I2924" i="3" s="1"/>
  <c r="H2923" i="3"/>
  <c r="I2373" i="3"/>
  <c r="I2923" i="3" s="1"/>
  <c r="H2922" i="3"/>
  <c r="I2372" i="3"/>
  <c r="I2922" i="3" s="1"/>
  <c r="H2921" i="3"/>
  <c r="I2371" i="3"/>
  <c r="I2921" i="3" s="1"/>
  <c r="H2920" i="3"/>
  <c r="I2370" i="3"/>
  <c r="I2920" i="3" s="1"/>
  <c r="H2919" i="3"/>
  <c r="I2369" i="3"/>
  <c r="I2919" i="3" s="1"/>
  <c r="H2918" i="3"/>
  <c r="I2368" i="3"/>
  <c r="I2918" i="3" s="1"/>
  <c r="H2917" i="3"/>
  <c r="I2367" i="3"/>
  <c r="I2917" i="3" s="1"/>
  <c r="H2916" i="3"/>
  <c r="I2366" i="3"/>
  <c r="I2916" i="3" s="1"/>
  <c r="H2915" i="3"/>
  <c r="I2365" i="3"/>
  <c r="I2915" i="3" s="1"/>
  <c r="H2914" i="3"/>
  <c r="I2364" i="3"/>
  <c r="I2914" i="3" s="1"/>
  <c r="H2913" i="3"/>
  <c r="I2363" i="3"/>
  <c r="I2913" i="3" s="1"/>
  <c r="H2912" i="3"/>
  <c r="I2362" i="3"/>
  <c r="I2912" i="3" s="1"/>
  <c r="H2911" i="3"/>
  <c r="I2361" i="3"/>
  <c r="I2911" i="3" s="1"/>
  <c r="H2910" i="3"/>
  <c r="I2360" i="3"/>
  <c r="I2910" i="3" s="1"/>
  <c r="H2909" i="3"/>
  <c r="I2359" i="3"/>
  <c r="I2909" i="3" s="1"/>
  <c r="H2908" i="3"/>
  <c r="I2358" i="3"/>
  <c r="I2908" i="3" s="1"/>
  <c r="H2907" i="3"/>
  <c r="I2357" i="3"/>
  <c r="I2907" i="3" s="1"/>
  <c r="H2906" i="3"/>
  <c r="I2356" i="3"/>
  <c r="I2906" i="3" s="1"/>
  <c r="H2905" i="3"/>
  <c r="I2355" i="3"/>
  <c r="I2905" i="3" s="1"/>
  <c r="H2904" i="3"/>
  <c r="I2354" i="3"/>
  <c r="I2904" i="3" s="1"/>
  <c r="H2903" i="3"/>
  <c r="I2353" i="3"/>
  <c r="I2903" i="3" s="1"/>
  <c r="H2902" i="3"/>
  <c r="I2352" i="3"/>
  <c r="I2902" i="3" s="1"/>
  <c r="H2901" i="3"/>
  <c r="I2351" i="3"/>
  <c r="I2901" i="3" s="1"/>
  <c r="H2900" i="3"/>
  <c r="I2350" i="3"/>
  <c r="I2900" i="3" s="1"/>
  <c r="H2899" i="3"/>
  <c r="I2349" i="3"/>
  <c r="I2899" i="3" s="1"/>
  <c r="H2898" i="3"/>
  <c r="I2348" i="3"/>
  <c r="I2898" i="3" s="1"/>
  <c r="H2897" i="3"/>
  <c r="I2347" i="3"/>
  <c r="I2897" i="3" s="1"/>
  <c r="H2896" i="3"/>
  <c r="I2346" i="3"/>
  <c r="I2896" i="3" s="1"/>
  <c r="H2895" i="3"/>
  <c r="I2345" i="3"/>
  <c r="I2895" i="3" s="1"/>
  <c r="H2894" i="3"/>
  <c r="I2344" i="3"/>
  <c r="I2894" i="3" s="1"/>
  <c r="H2893" i="3"/>
  <c r="I2343" i="3"/>
  <c r="I2893" i="3" s="1"/>
  <c r="H2892" i="3"/>
  <c r="I2342" i="3"/>
  <c r="I2892" i="3" s="1"/>
  <c r="H2891" i="3"/>
  <c r="I2341" i="3"/>
  <c r="I2891" i="3" s="1"/>
  <c r="H2890" i="3"/>
  <c r="I2340" i="3"/>
  <c r="I2890" i="3" s="1"/>
  <c r="H2889" i="3"/>
  <c r="I2339" i="3"/>
  <c r="I2889" i="3" s="1"/>
  <c r="H2888" i="3"/>
  <c r="I2338" i="3"/>
  <c r="I2888" i="3" s="1"/>
  <c r="H2887" i="3"/>
  <c r="I2337" i="3"/>
  <c r="I2887" i="3" s="1"/>
  <c r="H2886" i="3"/>
  <c r="I2336" i="3"/>
  <c r="I2886" i="3" s="1"/>
  <c r="H2885" i="3"/>
  <c r="I2335" i="3"/>
  <c r="I2885" i="3" s="1"/>
  <c r="H2884" i="3"/>
  <c r="I2334" i="3"/>
  <c r="I2884" i="3" s="1"/>
  <c r="H2883" i="3"/>
  <c r="I2333" i="3"/>
  <c r="I2883" i="3" s="1"/>
  <c r="H2882" i="3"/>
  <c r="I2332" i="3"/>
  <c r="I2882" i="3" s="1"/>
  <c r="H2881" i="3"/>
  <c r="I2331" i="3"/>
  <c r="I2881" i="3" s="1"/>
  <c r="H2880" i="3"/>
  <c r="I2330" i="3"/>
  <c r="I2880" i="3" s="1"/>
  <c r="H2879" i="3"/>
  <c r="I2329" i="3"/>
  <c r="I2879" i="3" s="1"/>
  <c r="H2878" i="3"/>
  <c r="I2328" i="3"/>
  <c r="I2878" i="3" s="1"/>
  <c r="H2877" i="3"/>
  <c r="I2327" i="3"/>
  <c r="I2877" i="3" s="1"/>
  <c r="H2876" i="3"/>
  <c r="I2326" i="3"/>
  <c r="I2876" i="3" s="1"/>
  <c r="H2875" i="3"/>
  <c r="I2325" i="3"/>
  <c r="I2875" i="3" s="1"/>
  <c r="H2874" i="3"/>
  <c r="I2324" i="3"/>
  <c r="I2874" i="3" s="1"/>
  <c r="H2873" i="3"/>
  <c r="I2323" i="3"/>
  <c r="I2873" i="3" s="1"/>
  <c r="H2872" i="3"/>
  <c r="I2322" i="3"/>
  <c r="I2872" i="3" s="1"/>
  <c r="H2871" i="3"/>
  <c r="I2321" i="3"/>
  <c r="I2871" i="3" s="1"/>
  <c r="H2870" i="3"/>
  <c r="I2320" i="3"/>
  <c r="I2870" i="3" s="1"/>
  <c r="H2869" i="3"/>
  <c r="I2319" i="3"/>
  <c r="I2869" i="3" s="1"/>
  <c r="H2868" i="3"/>
  <c r="I2318" i="3"/>
  <c r="I2868" i="3" s="1"/>
  <c r="H2867" i="3"/>
  <c r="I2317" i="3"/>
  <c r="I2867" i="3" s="1"/>
  <c r="H2866" i="3"/>
  <c r="I2316" i="3"/>
  <c r="I2866" i="3" s="1"/>
  <c r="H2865" i="3"/>
  <c r="I2315" i="3"/>
  <c r="I2865" i="3" s="1"/>
  <c r="H2864" i="3"/>
  <c r="I2314" i="3"/>
  <c r="I2864" i="3" s="1"/>
  <c r="H2863" i="3"/>
  <c r="I2313" i="3"/>
  <c r="I2863" i="3" s="1"/>
  <c r="H2862" i="3"/>
  <c r="I2312" i="3"/>
  <c r="I2862" i="3" s="1"/>
  <c r="H2861" i="3"/>
  <c r="I2311" i="3"/>
  <c r="I2861" i="3" s="1"/>
  <c r="H2860" i="3"/>
  <c r="I2310" i="3"/>
  <c r="I2860" i="3" s="1"/>
  <c r="H2859" i="3"/>
  <c r="I2309" i="3"/>
  <c r="I2859" i="3" s="1"/>
  <c r="P3018" i="5" l="1"/>
  <c r="E4546" i="5"/>
  <c r="P4546" i="5" s="1"/>
  <c r="E4416" i="5"/>
  <c r="P4416" i="5" s="1"/>
  <c r="P3087" i="5"/>
  <c r="E4079" i="5"/>
  <c r="P4079" i="5" s="1"/>
  <c r="P2920" i="5"/>
  <c r="E4538" i="5"/>
  <c r="P4538" i="5" s="1"/>
  <c r="P3786" i="5"/>
  <c r="E4170" i="5"/>
  <c r="P4170" i="5" s="1"/>
  <c r="U3185" i="5"/>
  <c r="D4177" i="5"/>
  <c r="P3185" i="5"/>
  <c r="E4177" i="5"/>
  <c r="P4177" i="5" s="1"/>
  <c r="U2908" i="5"/>
  <c r="D3900" i="5"/>
  <c r="P3687" i="5"/>
  <c r="E4071" i="5"/>
  <c r="P4071" i="5" s="1"/>
  <c r="P3983" i="5"/>
  <c r="E4195" i="5"/>
  <c r="P4195" i="5" s="1"/>
  <c r="P2989" i="5"/>
  <c r="E3981" i="5"/>
  <c r="P3981" i="5" s="1"/>
  <c r="P2890" i="5"/>
  <c r="E3882" i="5"/>
  <c r="P3882" i="5" s="1"/>
  <c r="U2988" i="5"/>
  <c r="D3980" i="5"/>
  <c r="P2988" i="5"/>
  <c r="E3980" i="5"/>
  <c r="P3980" i="5" s="1"/>
  <c r="H70" i="8"/>
  <c r="G70" i="8"/>
  <c r="D70" i="8" s="1"/>
  <c r="T611" i="5" s="1"/>
  <c r="H71" i="8"/>
  <c r="G71" i="8"/>
  <c r="D71" i="8" s="1"/>
  <c r="T601" i="5" s="1"/>
  <c r="H72" i="8"/>
  <c r="G72" i="8"/>
  <c r="D72" i="8" s="1"/>
  <c r="T591" i="5" s="1"/>
  <c r="H73" i="8"/>
  <c r="G73" i="8"/>
  <c r="D73" i="8" s="1"/>
  <c r="T581" i="5" s="1"/>
  <c r="H74" i="8"/>
  <c r="G74" i="8"/>
  <c r="D74" i="8" s="1"/>
  <c r="T571" i="5" s="1"/>
  <c r="H75" i="8"/>
  <c r="G75" i="8"/>
  <c r="D75" i="8" s="1"/>
  <c r="T561" i="5" s="1"/>
  <c r="H76" i="8"/>
  <c r="G76" i="8"/>
  <c r="D76" i="8" s="1"/>
  <c r="T551" i="5" s="1"/>
  <c r="H77" i="8"/>
  <c r="G77" i="8"/>
  <c r="D77" i="8" s="1"/>
  <c r="T541" i="5" s="1"/>
  <c r="H78" i="8"/>
  <c r="G78" i="8"/>
  <c r="D78" i="8" s="1"/>
  <c r="T531" i="5" s="1"/>
  <c r="H79" i="8"/>
  <c r="G79" i="8"/>
  <c r="D79" i="8" s="1"/>
  <c r="T521" i="5" s="1"/>
  <c r="H80" i="8"/>
  <c r="G80" i="8"/>
  <c r="D80" i="8" s="1"/>
  <c r="T511" i="5" s="1"/>
  <c r="H81" i="8"/>
  <c r="G81" i="8"/>
  <c r="D81" i="8" s="1"/>
  <c r="T501" i="5" s="1"/>
  <c r="H82" i="8"/>
  <c r="G82" i="8"/>
  <c r="D82" i="8" s="1"/>
  <c r="T491" i="5" s="1"/>
  <c r="H83" i="8"/>
  <c r="G83" i="8"/>
  <c r="D83" i="8" s="1"/>
  <c r="T481" i="5" s="1"/>
  <c r="H84" i="8"/>
  <c r="G84" i="8"/>
  <c r="D84" i="8" s="1"/>
  <c r="T471" i="5" s="1"/>
  <c r="H85" i="8"/>
  <c r="G85" i="8"/>
  <c r="D85" i="8" s="1"/>
  <c r="T461" i="5" s="1"/>
  <c r="H86" i="8"/>
  <c r="G86" i="8"/>
  <c r="D86" i="8" s="1"/>
  <c r="T451" i="5" s="1"/>
  <c r="H87" i="8"/>
  <c r="G87" i="8"/>
  <c r="D87" i="8" s="1"/>
  <c r="T441" i="5" s="1"/>
  <c r="H88" i="8"/>
  <c r="G88" i="8"/>
  <c r="D88" i="8" s="1"/>
  <c r="T431" i="5" s="1"/>
  <c r="H89" i="8"/>
  <c r="G89" i="8"/>
  <c r="D89" i="8" s="1"/>
  <c r="T421" i="5" s="1"/>
  <c r="H90" i="8"/>
  <c r="G90" i="8"/>
  <c r="D90" i="8" s="1"/>
  <c r="T411" i="5" s="1"/>
  <c r="H91" i="8"/>
  <c r="G91" i="8"/>
  <c r="D91" i="8" s="1"/>
  <c r="T401" i="5" s="1"/>
  <c r="H92" i="8"/>
  <c r="G92" i="8"/>
  <c r="D92" i="8" s="1"/>
  <c r="T391" i="5" s="1"/>
  <c r="H93" i="8"/>
  <c r="G93" i="8"/>
  <c r="D93" i="8" s="1"/>
  <c r="T381" i="5" s="1"/>
  <c r="H94" i="8"/>
  <c r="G94" i="8"/>
  <c r="D94" i="8" s="1"/>
  <c r="T371" i="5" s="1"/>
  <c r="H95" i="8"/>
  <c r="G95" i="8"/>
  <c r="D95" i="8" s="1"/>
  <c r="T361" i="5" s="1"/>
  <c r="H96" i="8"/>
  <c r="G96" i="8"/>
  <c r="D96" i="8" s="1"/>
  <c r="T351" i="5" s="1"/>
  <c r="H97" i="8"/>
  <c r="G97" i="8"/>
  <c r="D97" i="8" s="1"/>
  <c r="T341" i="5" s="1"/>
  <c r="H98" i="8"/>
  <c r="G98" i="8"/>
  <c r="D98" i="8" s="1"/>
  <c r="T331" i="5" s="1"/>
  <c r="H99" i="8"/>
  <c r="G99" i="8"/>
  <c r="D99" i="8" s="1"/>
  <c r="T321" i="5" s="1"/>
  <c r="H100" i="8"/>
  <c r="G100" i="8"/>
  <c r="D100" i="8" s="1"/>
  <c r="T311" i="5" s="1"/>
  <c r="H101" i="8"/>
  <c r="G101" i="8"/>
  <c r="D101" i="8" s="1"/>
  <c r="T301" i="5" s="1"/>
  <c r="H102" i="8"/>
  <c r="G102" i="8"/>
  <c r="D102" i="8" s="1"/>
  <c r="T291" i="5" s="1"/>
  <c r="H103" i="8"/>
  <c r="G103" i="8"/>
  <c r="D103" i="8" s="1"/>
  <c r="T281" i="5" s="1"/>
  <c r="H104" i="8"/>
  <c r="G104" i="8"/>
  <c r="D104" i="8" s="1"/>
  <c r="T264" i="5" s="1"/>
  <c r="H105" i="8"/>
  <c r="G105" i="8"/>
  <c r="D105" i="8" s="1"/>
  <c r="T247" i="5" s="1"/>
  <c r="H106" i="8"/>
  <c r="G106" i="8"/>
  <c r="D106" i="8" s="1"/>
  <c r="T230" i="5" s="1"/>
  <c r="H107" i="8"/>
  <c r="G107" i="8"/>
  <c r="D107" i="8" s="1"/>
  <c r="T213" i="5" s="1"/>
  <c r="H108" i="8"/>
  <c r="G108" i="8"/>
  <c r="D108" i="8" s="1"/>
  <c r="T196" i="5" s="1"/>
  <c r="H109" i="8"/>
  <c r="G109" i="8"/>
  <c r="D109" i="8" s="1"/>
  <c r="T186" i="5" s="1"/>
  <c r="H110" i="8"/>
  <c r="G110" i="8"/>
  <c r="D110" i="8" s="1"/>
  <c r="T176" i="5" s="1"/>
  <c r="H111" i="8"/>
  <c r="G111" i="8"/>
  <c r="D111" i="8" s="1"/>
  <c r="T166" i="5" s="1"/>
  <c r="H112" i="8"/>
  <c r="G112" i="8"/>
  <c r="D112" i="8" s="1"/>
  <c r="T149" i="5" s="1"/>
  <c r="H113" i="8"/>
  <c r="G113" i="8"/>
  <c r="D113" i="8" s="1"/>
  <c r="H114" i="8"/>
  <c r="G114" i="8"/>
  <c r="D114" i="8" s="1"/>
  <c r="T117" i="5" s="1"/>
  <c r="H115" i="8"/>
  <c r="G115" i="8"/>
  <c r="D115" i="8" s="1"/>
  <c r="T100" i="5" s="1"/>
  <c r="H116" i="8"/>
  <c r="G116" i="8"/>
  <c r="D116" i="8" s="1"/>
  <c r="T83" i="5" s="1"/>
  <c r="H117" i="8"/>
  <c r="G117" i="8"/>
  <c r="D117" i="8" s="1"/>
  <c r="T66" i="5" s="1"/>
  <c r="H118" i="8"/>
  <c r="G118" i="8"/>
  <c r="D118" i="8" s="1"/>
  <c r="T49" i="5" s="1"/>
  <c r="H119" i="8"/>
  <c r="G119" i="8"/>
  <c r="D119" i="8" s="1"/>
  <c r="T32" i="5" s="1"/>
  <c r="H120" i="8"/>
  <c r="G120" i="8"/>
  <c r="D120" i="8" s="1"/>
  <c r="T22" i="5" s="1"/>
  <c r="H121" i="8"/>
  <c r="G121" i="8"/>
  <c r="D121" i="8" s="1"/>
  <c r="T12" i="5" s="1"/>
  <c r="H122" i="8"/>
  <c r="G122" i="8"/>
  <c r="D122" i="8" s="1"/>
  <c r="T2" i="5" s="1"/>
</calcChain>
</file>

<file path=xl/sharedStrings.xml><?xml version="1.0" encoding="utf-8"?>
<sst xmlns="http://schemas.openxmlformats.org/spreadsheetml/2006/main" count="32691" uniqueCount="389">
  <si>
    <t>Country</t>
  </si>
  <si>
    <t>Year</t>
  </si>
  <si>
    <t>Species</t>
  </si>
  <si>
    <t>Total domestic landings (cwt)</t>
  </si>
  <si>
    <t>Value of domestic landings (£)</t>
  </si>
  <si>
    <t>Exports (cwt)</t>
  </si>
  <si>
    <t>Value of exports (£)</t>
  </si>
  <si>
    <t>Imports (cwt)</t>
  </si>
  <si>
    <t>Value of imports (£)</t>
  </si>
  <si>
    <t>Total domestic landings (tonnes)</t>
  </si>
  <si>
    <t>Value of domestic landings (£ '000)</t>
  </si>
  <si>
    <t>Exports (tonnes)</t>
  </si>
  <si>
    <t>Value of exports (£ '000)</t>
  </si>
  <si>
    <t>Imports (tonnes)</t>
  </si>
  <si>
    <t>Value of imports (£ '000)</t>
  </si>
  <si>
    <t>UK</t>
  </si>
  <si>
    <t>Total</t>
  </si>
  <si>
    <t>NA</t>
  </si>
  <si>
    <t>E&amp;W</t>
  </si>
  <si>
    <t>Herring</t>
  </si>
  <si>
    <t>Mackerel</t>
  </si>
  <si>
    <t>Sprats</t>
  </si>
  <si>
    <t>Cod</t>
  </si>
  <si>
    <t>Haddock</t>
  </si>
  <si>
    <t>Whiting</t>
  </si>
  <si>
    <t>Plaice</t>
  </si>
  <si>
    <t>NA (1540875 barrels)</t>
  </si>
  <si>
    <t>NA (2644188 barrels)</t>
  </si>
  <si>
    <t>Shellfish</t>
  </si>
  <si>
    <t>Salmon</t>
  </si>
  <si>
    <t>Shrimps/Prawns</t>
  </si>
  <si>
    <t>Total domestic landings (000 cwt)</t>
  </si>
  <si>
    <t>Exports (000 cwt)</t>
  </si>
  <si>
    <t>Imports (000 cwt)</t>
  </si>
  <si>
    <t>Lobsters</t>
  </si>
  <si>
    <t>Nephrops</t>
  </si>
  <si>
    <t>Crabs</t>
  </si>
  <si>
    <t>Wet fish</t>
  </si>
  <si>
    <t>Saithe</t>
  </si>
  <si>
    <t>Scotland</t>
  </si>
  <si>
    <t>NI</t>
  </si>
  <si>
    <t>Demersal</t>
  </si>
  <si>
    <t>Pelagic</t>
  </si>
  <si>
    <t>Tuna</t>
  </si>
  <si>
    <t>Total UK landings TLW ('000 tonnes)</t>
  </si>
  <si>
    <t>Aquaculture TLW ('000 tonnes)</t>
  </si>
  <si>
    <t>Total landings and aquaculture ('000 tonnes)</t>
  </si>
  <si>
    <t>Quantity of UK landings in the UK and abroad ('000 tonnes)</t>
  </si>
  <si>
    <t>Processed UK landings in the UK and abroad ('000 tonnes)</t>
  </si>
  <si>
    <t>Value of UK landings abroad (£ million)</t>
  </si>
  <si>
    <t>Blue whiting</t>
  </si>
  <si>
    <t>Dab</t>
  </si>
  <si>
    <t>Escallops</t>
  </si>
  <si>
    <t>Hake</t>
  </si>
  <si>
    <t>Halibut</t>
  </si>
  <si>
    <t>Lemon sole</t>
  </si>
  <si>
    <t>Ling</t>
  </si>
  <si>
    <t>Megrim</t>
  </si>
  <si>
    <t>Monks/Anglers</t>
  </si>
  <si>
    <t>Pilchard</t>
  </si>
  <si>
    <t>Pollack</t>
  </si>
  <si>
    <t>Prawns</t>
  </si>
  <si>
    <t>Shrimps</t>
  </si>
  <si>
    <t>Sole</t>
  </si>
  <si>
    <t>Turbot</t>
  </si>
  <si>
    <t>Wetfish</t>
  </si>
  <si>
    <t>Value of aquaculture ('000 £)</t>
  </si>
  <si>
    <t>Value of aquaculture raw (£ million)</t>
  </si>
  <si>
    <t>Quantity of aquaculture TLW ('000 tonnes)</t>
  </si>
  <si>
    <t>Value of aquaculture (£ million)</t>
  </si>
  <si>
    <t>Quantity of aquaculture landed weight ('000 tonnes)</t>
  </si>
  <si>
    <t>Comments</t>
  </si>
  <si>
    <t>Revised 05/10/2021</t>
  </si>
  <si>
    <t>Accessed 05/10/2021</t>
  </si>
  <si>
    <t>Changed 04/10/2021</t>
  </si>
  <si>
    <t>Accessed 04/10/2021</t>
  </si>
  <si>
    <t>Rainbow trout</t>
  </si>
  <si>
    <t>Changed 05/10/2021</t>
  </si>
  <si>
    <t>Total domestic landings ('000 tonnes)</t>
  </si>
  <si>
    <t>Value of domestic landings raw (£ million)</t>
  </si>
  <si>
    <t>Exports ('000 tonnes)</t>
  </si>
  <si>
    <t>Value of exports raw (£ million)</t>
  </si>
  <si>
    <t>Imports ('000 tonnes)</t>
  </si>
  <si>
    <t>Value of imports raw (£ million)</t>
  </si>
  <si>
    <t>Value of domestic landings (£ million)</t>
  </si>
  <si>
    <t>Value of exports (£ million)</t>
  </si>
  <si>
    <t>Value of imports (£ million)</t>
  </si>
  <si>
    <t>Period</t>
  </si>
  <si>
    <t>Recommended fish intake ('000 tonnes) (Total only)</t>
  </si>
  <si>
    <t>Processed landings ('000 tonnes) (Wet fish and Shellfish only)</t>
  </si>
  <si>
    <t>England</t>
  </si>
  <si>
    <t>Wales</t>
  </si>
  <si>
    <t>-</t>
  </si>
  <si>
    <t>Sardines</t>
  </si>
  <si>
    <t>Total domestic landings ('000 tonnes landed weight)</t>
  </si>
  <si>
    <t>Processed landings abroad ('000 tonnes)</t>
  </si>
  <si>
    <t>Quantity of aquaculture ('000 tonnes)</t>
  </si>
  <si>
    <t>Value of landings abroad (£ million)</t>
  </si>
  <si>
    <t>Processed aquaculture ('000 tonnes)</t>
  </si>
  <si>
    <t>Open access</t>
  </si>
  <si>
    <t>WW</t>
  </si>
  <si>
    <t>EEZ</t>
  </si>
  <si>
    <t>Landings abroad ('000 tonnes) TLW</t>
  </si>
  <si>
    <t>Landings abroad ('000 tonnes) landed weight</t>
  </si>
  <si>
    <t>Total domestic landings ('000 tonnes TLW)</t>
  </si>
  <si>
    <t>Total domestic landings ('000 tonnes landed weight + NI proportion between 1922-1955)</t>
  </si>
  <si>
    <t>Value of UK-based aquaculture (£ million)</t>
  </si>
  <si>
    <t>Mean</t>
  </si>
  <si>
    <t>Recommended fish intake per person per week (g)</t>
  </si>
  <si>
    <t>Recommended fish intake per person per year ('000 tonnes)</t>
  </si>
  <si>
    <t>Recommended fish intake for UK population per year ('000 tonnes)</t>
  </si>
  <si>
    <t>UK population</t>
  </si>
  <si>
    <t>UK population under 15</t>
  </si>
  <si>
    <t>UK population over 15</t>
  </si>
  <si>
    <t>Percentage children</t>
  </si>
  <si>
    <t>GB</t>
  </si>
  <si>
    <t>Scot</t>
  </si>
  <si>
    <t>UK &amp; Ireland</t>
  </si>
  <si>
    <t>Ireland</t>
  </si>
  <si>
    <t>Percentage of children from 1953 - 2019</t>
  </si>
  <si>
    <t>Years adjusted to include Ireland</t>
  </si>
  <si>
    <t>Unknown</t>
  </si>
  <si>
    <t>Value of 1 pound compared to the year 2000 (Based on RPI)</t>
  </si>
  <si>
    <t>Gutted to TLW</t>
  </si>
  <si>
    <t>TLW to gutted</t>
  </si>
  <si>
    <t>Anglerfish</t>
  </si>
  <si>
    <t>Bass</t>
  </si>
  <si>
    <t>Brill</t>
  </si>
  <si>
    <t>Conger eel</t>
  </si>
  <si>
    <t>Common dab</t>
  </si>
  <si>
    <t>Common sole</t>
  </si>
  <si>
    <t>Flounder</t>
  </si>
  <si>
    <t>Greenland halibut</t>
  </si>
  <si>
    <t>Horse mackerel</t>
  </si>
  <si>
    <t>Mullet</t>
  </si>
  <si>
    <t>Redfish</t>
  </si>
  <si>
    <t>Red mullet</t>
  </si>
  <si>
    <t>Skates and rays (7)</t>
  </si>
  <si>
    <t>Spurdog</t>
  </si>
  <si>
    <t>Tope</t>
  </si>
  <si>
    <t>Tusk</t>
  </si>
  <si>
    <t>Witch</t>
  </si>
  <si>
    <t>Black scabbardfish</t>
  </si>
  <si>
    <t>Blue ling</t>
  </si>
  <si>
    <t>Greater forkbeard</t>
  </si>
  <si>
    <t>Roundnose grenadier</t>
  </si>
  <si>
    <t>Red seabream</t>
  </si>
  <si>
    <t>UK sea fisheries annual statistical tables digitised</t>
  </si>
  <si>
    <t>Data</t>
  </si>
  <si>
    <t>Year(s) covered</t>
  </si>
  <si>
    <t>Notes for sea fisheries statistics tables (Raw_data_1900-2020)</t>
  </si>
  <si>
    <t>UK sea fisheries annual statistics</t>
  </si>
  <si>
    <t>2015-2019</t>
  </si>
  <si>
    <t>1965-1990 - Exports data lacks detail to the species level</t>
  </si>
  <si>
    <t>2010-2014</t>
  </si>
  <si>
    <t>1900-1961 - Quantity does not include shellfish</t>
  </si>
  <si>
    <t>Trade 2005-2009; Landings 1994-2009</t>
  </si>
  <si>
    <t>1909 - No imports data, so year excluded</t>
  </si>
  <si>
    <t>Trade 2003-2004</t>
  </si>
  <si>
    <t>1922-1955 - Total landings data for GB only</t>
  </si>
  <si>
    <t>Trade 2001-2002</t>
  </si>
  <si>
    <t>1900-2019 - Landings by UK vessels in the UK only (domestic landings)</t>
  </si>
  <si>
    <t>1999/2000</t>
  </si>
  <si>
    <t>Trade 1999-2000</t>
  </si>
  <si>
    <t>1900-1950 - Oysters for breeding not included in shellfish imports</t>
  </si>
  <si>
    <t>Trade 1997-1998</t>
  </si>
  <si>
    <t>1900-1964 - Migratory trout included in salmon imports</t>
  </si>
  <si>
    <t>Trade 1995-1996</t>
  </si>
  <si>
    <t>1956-1964 - Mackerel landings for GB only</t>
  </si>
  <si>
    <t>Trade 1993-1994; Landings 1991-1994</t>
  </si>
  <si>
    <t>1900-1990 - Reported in landed weight</t>
  </si>
  <si>
    <t>1991/1992</t>
  </si>
  <si>
    <t>Trade 1991-1992</t>
  </si>
  <si>
    <t>1991-2019 - Reported in TLW (1988-2019 in TLW for landings abroad)</t>
  </si>
  <si>
    <t>Notes for ICES data (ICES_data_1903-2018)</t>
  </si>
  <si>
    <t>1903-1930 - Data includes landings by Ireland</t>
  </si>
  <si>
    <t>1903-2018 - Landings by UK vessels in the UK and abroad</t>
  </si>
  <si>
    <t>1903-2018 - Reported in TLW</t>
  </si>
  <si>
    <t>Notes for aquaculture data (Aquaculture_data_1950-2018)</t>
  </si>
  <si>
    <t>1950-2018 - UK-based aquaculture</t>
  </si>
  <si>
    <t>1950-2018 - Reported in TLW</t>
  </si>
  <si>
    <t>1950-2018 - UK-based aquaculture of finfish in TLW converted to landed weight</t>
  </si>
  <si>
    <t>Notes for Calculations/Clean_data_1900_2020</t>
  </si>
  <si>
    <t>1900-1961 - ICES shellfish landings included in total domestic landings</t>
  </si>
  <si>
    <t>1922-1955 - Proportion of total landings landed by NI between 1930-1955 added to all landings except total shellfish (mean = 0.78 % +/- 0.11 %)</t>
  </si>
  <si>
    <t>1991-2019 - Domestic landings of finfish in TLW converted to landed weight</t>
  </si>
  <si>
    <t>1950-2018 - UK-based aquaculture of finfish in landed weight</t>
  </si>
  <si>
    <t>1956-1964 - Proportion of total landings landed by NI between 1956-1964 added to mackerel (mean = 0.93 % +/- 0.07 %)</t>
  </si>
  <si>
    <t>Updates on 05/10/2021</t>
  </si>
  <si>
    <t>Aquaculture - Revised 2018 figures and 2019 figures added throughout</t>
  </si>
  <si>
    <t>Value of total imports updated for 2019 and value of total exports updated for 2018 and 2019 in "Raw data" and "Calculations"</t>
  </si>
  <si>
    <t>Quantity of total imports and total exports updated for 2019 in "Raw data" and "Calculations"</t>
  </si>
  <si>
    <t>Quantity of species imports and exports updated for 2019 in "Calculations"</t>
  </si>
  <si>
    <t>Quantity of species landings abroad for 2020 added to "Calculations"</t>
  </si>
  <si>
    <t>Quantity of species imports and exports for 2020 added to "Calculations"</t>
  </si>
  <si>
    <t>Landings 1961-1964</t>
  </si>
  <si>
    <t>Quantity and value data for landings, imports and exports for total and species in 2020 digitised into "Raw data"</t>
  </si>
  <si>
    <t>E&amp;W sea fisheries annual statistics</t>
  </si>
  <si>
    <t>Landings 1956-1960</t>
  </si>
  <si>
    <t>Landings 1946-1955</t>
  </si>
  <si>
    <t>Landings 1937-1945</t>
  </si>
  <si>
    <t>Landings 1928-1936</t>
  </si>
  <si>
    <t>Years</t>
  </si>
  <si>
    <t>Consideration</t>
  </si>
  <si>
    <t>Manipulation (if applicable)</t>
  </si>
  <si>
    <t>Landings 1922-1927</t>
  </si>
  <si>
    <t>Domestic landings, imports, and exports quantity</t>
  </si>
  <si>
    <t>1900-1974</t>
  </si>
  <si>
    <t>Fish weight presented in hundredweights (cwt)</t>
  </si>
  <si>
    <t>Converted to metric tonnes using the standard conversion factor (0.0508023)</t>
  </si>
  <si>
    <t>Total landings 1919-1921</t>
  </si>
  <si>
    <t>Domestic landings quantity</t>
  </si>
  <si>
    <t>1900-1961</t>
  </si>
  <si>
    <t>Shellfish landings not available in weight</t>
  </si>
  <si>
    <t>ICES landings data used as shellfish landings abroad account for &lt; 1% of total shellfish landings between 1962-2018 (0.97 % ± SE 0.46 %, n = 57)</t>
  </si>
  <si>
    <t>Total landings 1911-1918</t>
  </si>
  <si>
    <t>1922-1955</t>
  </si>
  <si>
    <t>Landings data only available for Great Britain</t>
  </si>
  <si>
    <t>Mean proportion of total landings landed by Northern Ireland between 1930-1955 added to all landings except total shellfish (mean = 0.78 % ± SE 0.11 %, n = 26)</t>
  </si>
  <si>
    <t>Total landings 1900-1910</t>
  </si>
  <si>
    <t>1956-1964</t>
  </si>
  <si>
    <t>Mackerel landings data only available for Great Britain</t>
  </si>
  <si>
    <t>Mean proportion of total landings landed by Northern Ireland between 1956-1964 added to mackerel landings (mean = 0.93 % ± SE 0.07 %, n = 9)</t>
  </si>
  <si>
    <t>Species landings 1911-1913; 1919-1921</t>
  </si>
  <si>
    <t>1991-2019</t>
  </si>
  <si>
    <t>Reported in Tonnes Live Weight rather than landed weight</t>
  </si>
  <si>
    <t>Converted to landed weight using mean conversion factors for all finfish species except herring which are usually landed whole (MMO, 2018; mean = 0.89 ± SE 0.01, n = 37)</t>
  </si>
  <si>
    <t>Species landings 1902</t>
  </si>
  <si>
    <t>Domestic landings value</t>
  </si>
  <si>
    <t>Landings value only available for Great Britain</t>
  </si>
  <si>
    <t>No action taken</t>
  </si>
  <si>
    <t>Species landings 1901</t>
  </si>
  <si>
    <t>Imports quantity</t>
  </si>
  <si>
    <t>1900-1964</t>
  </si>
  <si>
    <t>Migratory trout included in salmon imports</t>
  </si>
  <si>
    <t>Species landings 1900</t>
  </si>
  <si>
    <t>Imports data not available</t>
  </si>
  <si>
    <t>Year excluded from analysis</t>
  </si>
  <si>
    <t>Total trade 1955-1964</t>
  </si>
  <si>
    <t>Imports value</t>
  </si>
  <si>
    <t>1900-1950</t>
  </si>
  <si>
    <t>Oysters for breeding excluded from total shellfish imports as these are not consumed</t>
  </si>
  <si>
    <t>Total trade 1939-1954</t>
  </si>
  <si>
    <t>Exports quantity</t>
  </si>
  <si>
    <t>1965-1990</t>
  </si>
  <si>
    <t>Exports data lacks detail to the species level</t>
  </si>
  <si>
    <t>Total trade 1937-1939</t>
  </si>
  <si>
    <t>Landings in the UK and abroad</t>
  </si>
  <si>
    <t>1922-1930</t>
  </si>
  <si>
    <t>Landings by Ireland included despite the partition of Ireland</t>
  </si>
  <si>
    <t>Total trade 1927-1936</t>
  </si>
  <si>
    <t>UK-based aquaculture</t>
  </si>
  <si>
    <t>1950-2018</t>
  </si>
  <si>
    <t>Converted to landed weight using mean conversion factors for all finfish species except herring which are usually landed whole (mean = 0.89 ± SE 0.01, n = 37)</t>
  </si>
  <si>
    <t>Total trade 1919-1926</t>
  </si>
  <si>
    <t>1900-1953</t>
  </si>
  <si>
    <t>Population data by age was not available</t>
  </si>
  <si>
    <t>Number of children aged under 15 years old was estimated using the mean proportion between 1953-2019 (20.55 % ± SE 0.29 %, n = 66)</t>
  </si>
  <si>
    <t>Total trade 1911-1918</t>
  </si>
  <si>
    <t>1912-1921</t>
  </si>
  <si>
    <t>Population data for Ireland was not available</t>
  </si>
  <si>
    <t>Figures were obtained from the Central Statistics Office of Ireland (CEIC, 2020)</t>
  </si>
  <si>
    <t>1919-1920</t>
  </si>
  <si>
    <t>Exports 1910</t>
  </si>
  <si>
    <t>Imports 1910</t>
  </si>
  <si>
    <t>Total trade 1906-1908</t>
  </si>
  <si>
    <t>Total trade 1904-1905</t>
  </si>
  <si>
    <t>Total trade 1902-1903</t>
  </si>
  <si>
    <t>Total trade 1900-1901</t>
  </si>
  <si>
    <t>Species trade 1960</t>
  </si>
  <si>
    <t>Species trade 1955</t>
  </si>
  <si>
    <t>Species trade 1950</t>
  </si>
  <si>
    <t>Species trade 1946</t>
  </si>
  <si>
    <t>1939-44</t>
  </si>
  <si>
    <t>Species trade 1944, 1942, 1940</t>
  </si>
  <si>
    <t>Species trade 1935</t>
  </si>
  <si>
    <t>Species trade 1930</t>
  </si>
  <si>
    <t>Species trade 1925</t>
  </si>
  <si>
    <t>Species trade 1920</t>
  </si>
  <si>
    <t>Species trade 1919</t>
  </si>
  <si>
    <t>Species trade 1918</t>
  </si>
  <si>
    <t>1915-18</t>
  </si>
  <si>
    <t>Species trade 1917, 1916, 1915, 1914</t>
  </si>
  <si>
    <t>Species trade 1916</t>
  </si>
  <si>
    <t>Species trade 1910</t>
  </si>
  <si>
    <t>Species trade 1905</t>
  </si>
  <si>
    <t>Species trade 1900</t>
  </si>
  <si>
    <t>Value of landings in the UK and abroad 2011-2019</t>
  </si>
  <si>
    <t>Value of landings in the UK and abroad 2008-2010</t>
  </si>
  <si>
    <t>Value of landings in the UK and abroad 1994-2007</t>
  </si>
  <si>
    <t>Value of landings in the UK and abroad 1990-1993</t>
  </si>
  <si>
    <t>Value of landings in the UK and abroad 1988-1989</t>
  </si>
  <si>
    <t>Quantity of landings abroad 2015-2019</t>
  </si>
  <si>
    <t>2011-2019 for species</t>
  </si>
  <si>
    <t>Quantity of landings abroad 2012-2014</t>
  </si>
  <si>
    <t>Not included for species</t>
  </si>
  <si>
    <t>Quantity of landings abroad 2008-2011</t>
  </si>
  <si>
    <t>2008-2010 for species</t>
  </si>
  <si>
    <t>Quantity of landings abroad 1994-2007</t>
  </si>
  <si>
    <t>Quantity of landings abroad 1990-1993</t>
  </si>
  <si>
    <t>Quantity of landings abroad 1988-1989</t>
  </si>
  <si>
    <t>Country/Area</t>
  </si>
  <si>
    <t>Year(s)</t>
  </si>
  <si>
    <t>Source</t>
  </si>
  <si>
    <t>URL/Email address/DOI</t>
  </si>
  <si>
    <t>UK landings and trade</t>
  </si>
  <si>
    <t>Marine Management Organisation (MMO)</t>
  </si>
  <si>
    <t>https://www.gov.uk/government/collections/uk-sea-fisheries-annual-statistics</t>
  </si>
  <si>
    <t>2009-2011</t>
  </si>
  <si>
    <t>https://webarchive.nationalarchives.gov.uk/20140508034354/http://www.marinemanagement.org.uk/fisheries/statistics/annual_archive.htm</t>
  </si>
  <si>
    <t>1999-2008</t>
  </si>
  <si>
    <t>Department for Environment, Food and Rural Affairs (DEFRA)</t>
  </si>
  <si>
    <t>1965-1998</t>
  </si>
  <si>
    <t>Ministry of Agriculture, Fisheries and Food (MAFF)</t>
  </si>
  <si>
    <t>Great Britain landings and UK trade</t>
  </si>
  <si>
    <t>Great Britain</t>
  </si>
  <si>
    <t>1955-1964</t>
  </si>
  <si>
    <t>1922-1954</t>
  </si>
  <si>
    <t>Ministry of Agriculture and Fisheries (MAF)</t>
  </si>
  <si>
    <t>1920-1921</t>
  </si>
  <si>
    <t>E&amp;W landings and UK trade</t>
  </si>
  <si>
    <t>1903–1919</t>
  </si>
  <si>
    <t>Board of Agriculture and Fisheries England and Wales</t>
  </si>
  <si>
    <t xml:space="preserve">1900–1902 </t>
  </si>
  <si>
    <t xml:space="preserve">Board of Agriculture and Fisheries United Kingdom and Ireland </t>
  </si>
  <si>
    <t>Ireland population</t>
  </si>
  <si>
    <t>Central Statistics Office of Ireland</t>
  </si>
  <si>
    <t>https://www.ceicdata.com/en/ireland/population-by-age/estimated-population</t>
  </si>
  <si>
    <t>UK (excluding Ireland between 1912-1921)</t>
  </si>
  <si>
    <t>1900-2019</t>
  </si>
  <si>
    <t>Office of National Statistics (ONS)</t>
  </si>
  <si>
    <t>https://www.ons.gov.uk/peoplepopulationandcommunity/populationandmigration/populationestimates/datasets/populationestimatesforukenglandandwalesscotlandandnorthernireland</t>
  </si>
  <si>
    <t>Aquaculture data</t>
  </si>
  <si>
    <t>Food and Agriculture Organization (FAO)</t>
  </si>
  <si>
    <t>http://www.fao.org/fishery/statistics/global-aquaculture-production/en</t>
  </si>
  <si>
    <t>UK landings in the UK and abroad</t>
  </si>
  <si>
    <t>1903-2018</t>
  </si>
  <si>
    <t>International Council for the Exploration of the Sea (ICES)</t>
  </si>
  <si>
    <t>https://www.ices.dk/data/dataset-collections/Pages/Fish-catch-and-stock-assessment.aspx</t>
  </si>
  <si>
    <t>RPI calculations</t>
  </si>
  <si>
    <t>Processed landings calculations/Recommended fish intake</t>
  </si>
  <si>
    <t>Thurstan and Roberts (2014)</t>
  </si>
  <si>
    <t>https://doi.org/10.1016/j.marpolbul.2014.09.016</t>
  </si>
  <si>
    <t>Periods</t>
  </si>
  <si>
    <t>Kerby et al (2012)</t>
  </si>
  <si>
    <t>https://doi.org/10.1007/s11160-012-9261-y</t>
  </si>
  <si>
    <t>Conversion factors for fish weight</t>
  </si>
  <si>
    <t>https://www.gov.uk/government/publications/calculate-your-fisheries-catch-limits/conversion-factors</t>
  </si>
  <si>
    <t>Landings by UK vessels in the UK and abroad (tonnes live weight)</t>
  </si>
  <si>
    <t>Quantity of total landings abroad for 2020 added to "Calculations"</t>
  </si>
  <si>
    <t>2012-2020</t>
  </si>
  <si>
    <t>1950-2019</t>
  </si>
  <si>
    <t>https://www.ons.gov.uk/economy/inflationandpriceindices/timeseries/cdko/mm23</t>
  </si>
  <si>
    <t>Office of National Statictics (ONS)</t>
  </si>
  <si>
    <t>1831-2020</t>
  </si>
  <si>
    <t>Calculation</t>
  </si>
  <si>
    <t>Raw data</t>
  </si>
  <si>
    <t>RPI - Raw data</t>
  </si>
  <si>
    <t>1900-2020</t>
  </si>
  <si>
    <t>Standard error</t>
  </si>
  <si>
    <t>Domestic landings ('000 tonnes landed weight)</t>
  </si>
  <si>
    <t>Landings abroad ('000 tonnes landed weight)</t>
  </si>
  <si>
    <t>Processed domestic landings ('000 tonnes)</t>
  </si>
  <si>
    <t>Recommended fish intake ('000 tonnes)</t>
  </si>
  <si>
    <t>Tab</t>
  </si>
  <si>
    <t>Description</t>
  </si>
  <si>
    <t>Clean data</t>
  </si>
  <si>
    <t>Data collated from UK sea fisheries statistics and FAO aquaculture following data manipulation</t>
  </si>
  <si>
    <t>ICES data</t>
  </si>
  <si>
    <t>Landings data from ICES</t>
  </si>
  <si>
    <t>Aquaculture data from FAO</t>
  </si>
  <si>
    <t>Landings and trade data from UK sea fisheries statistic tables</t>
  </si>
  <si>
    <t>Recommended fish intake</t>
  </si>
  <si>
    <t>Recommended fish intake and UK population data</t>
  </si>
  <si>
    <t>Price data</t>
  </si>
  <si>
    <t>RPI conversation factors with year 2000 as base year</t>
  </si>
  <si>
    <t>Conversion factors</t>
  </si>
  <si>
    <t>MMO conversation factors for seafood from landed to TLW</t>
  </si>
  <si>
    <t>Calculations</t>
  </si>
  <si>
    <t>Manipulation of raw data to produce "Clean data" tab</t>
  </si>
  <si>
    <t>Data sources (more information in Harrison et al (under review) supplementary material)</t>
  </si>
  <si>
    <t>Data considerations and manipulations for UK fish landings, imports, exports, aquaculture, and population (more information in Harrison et al (under review) supplementary material)</t>
  </si>
  <si>
    <t>Quantity of aquaculture (tonnes live weight)</t>
  </si>
  <si>
    <t>Exports ('000 tonnes processed weight)</t>
  </si>
  <si>
    <t>Imports ('000 tonnes processed weight)</t>
  </si>
  <si>
    <t>Landings abroad ('000 tonnes processed weight)</t>
  </si>
  <si>
    <t>Domestic landings ('000 tonnes processed weight)</t>
  </si>
  <si>
    <t>Aquaculture ('000 tonnes processed weight)</t>
  </si>
  <si>
    <t>Aquaculture ('000 tonnes landed weight)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</si>
</sst>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i/>
      <sz val="11"/>
      <color theme="1"/>
      <name val="Calibri"/>
    </font>
    <font>
      <b/>
      <sz val="11"/>
      <color theme="1"/>
      <name val="Calibri"/>
    </font>
    <font>
      <sz val="11"/>
      <color rgb="FF0B0C0C"/>
      <name val="Inherit"/>
    </font>
    <font>
      <u/>
      <sz val="11"/>
      <color theme="10"/>
      <name val="Calibri"/>
    </font>
    <font>
      <u/>
      <sz val="11"/>
      <color theme="10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505050"/>
      </bottom>
      <diagonal/>
    </border>
    <border>
      <left/>
      <right/>
      <top/>
      <bottom/>
      <diagonal/>
    </border>
    <border>
      <left/>
      <right/>
      <top/>
      <bottom style="thin">
        <color rgb="FFB1B4B6"/>
      </bottom>
      <diagonal/>
    </border>
    <border>
      <left/>
      <right/>
      <top/>
      <bottom style="medium">
        <color rgb="FF000000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1" fillId="0" borderId="2"/>
  </cellStyleXfs>
  <cellXfs count="29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4" fontId="2" fillId="0" borderId="0" xfId="0" applyNumberFormat="1" applyFont="1"/>
    <xf numFmtId="4" fontId="4" fillId="0" borderId="0" xfId="0" applyNumberFormat="1" applyFont="1"/>
    <xf numFmtId="3" fontId="2" fillId="0" borderId="0" xfId="0" applyNumberFormat="1" applyFont="1"/>
    <xf numFmtId="0" fontId="2" fillId="0" borderId="1" xfId="0" applyFont="1" applyBorder="1"/>
    <xf numFmtId="0" fontId="2" fillId="2" borderId="2" xfId="0" applyFont="1" applyFill="1" applyBorder="1"/>
    <xf numFmtId="3" fontId="4" fillId="0" borderId="0" xfId="0" applyNumberFormat="1" applyFont="1"/>
    <xf numFmtId="0" fontId="5" fillId="0" borderId="0" xfId="0" applyFont="1" applyAlignment="1">
      <alignment wrapText="1"/>
    </xf>
    <xf numFmtId="0" fontId="6" fillId="3" borderId="3" xfId="0" applyFont="1" applyFill="1" applyBorder="1" applyAlignment="1">
      <alignment wrapText="1"/>
    </xf>
    <xf numFmtId="164" fontId="2" fillId="0" borderId="0" xfId="0" applyNumberFormat="1" applyFont="1" applyAlignment="1">
      <alignment wrapText="1"/>
    </xf>
    <xf numFmtId="164" fontId="2" fillId="0" borderId="0" xfId="0" applyNumberFormat="1" applyFont="1"/>
    <xf numFmtId="165" fontId="2" fillId="0" borderId="0" xfId="0" applyNumberFormat="1" applyFont="1"/>
    <xf numFmtId="0" fontId="2" fillId="0" borderId="4" xfId="0" applyFont="1" applyBorder="1"/>
    <xf numFmtId="0" fontId="5" fillId="0" borderId="1" xfId="0" applyFont="1" applyBorder="1" applyAlignment="1">
      <alignment wrapText="1"/>
    </xf>
    <xf numFmtId="0" fontId="2" fillId="0" borderId="0" xfId="0" applyFont="1" applyAlignment="1">
      <alignment horizontal="left" wrapText="1"/>
    </xf>
    <xf numFmtId="0" fontId="2" fillId="0" borderId="1" xfId="0" applyFont="1" applyBorder="1" applyAlignment="1">
      <alignment wrapText="1"/>
    </xf>
    <xf numFmtId="0" fontId="7" fillId="0" borderId="0" xfId="0" applyFont="1"/>
    <xf numFmtId="0" fontId="9" fillId="0" borderId="0" xfId="0" applyFont="1"/>
    <xf numFmtId="0" fontId="1" fillId="0" borderId="0" xfId="0" applyFont="1"/>
    <xf numFmtId="0" fontId="10" fillId="0" borderId="0" xfId="0" applyFont="1"/>
    <xf numFmtId="0" fontId="8" fillId="0" borderId="0" xfId="1"/>
    <xf numFmtId="0" fontId="10" fillId="0" borderId="0" xfId="0" applyFont="1" applyAlignment="1">
      <alignment wrapText="1"/>
    </xf>
    <xf numFmtId="165" fontId="11" fillId="0" borderId="2" xfId="2" applyNumberFormat="1"/>
    <xf numFmtId="0" fontId="12" fillId="0" borderId="0" xfId="0" applyFont="1"/>
  </cellXfs>
  <cellStyles count="3">
    <cellStyle name="Hyperlink" xfId="1" builtinId="8"/>
    <cellStyle name="Normal" xfId="0" builtinId="0"/>
    <cellStyle name="Normal 2" xfId="2" xr:uid="{D03B0B5F-2B7C-429F-9209-52866BF446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ebarchive.nationalarchives.gov.uk/20140508034354/http:/www.marinemanagement.org.uk/fisheries/statistics/annual_archive.htm" TargetMode="External"/><Relationship Id="rId13" Type="http://schemas.openxmlformats.org/officeDocument/2006/relationships/hyperlink" Target="https://www.ices.dk/data/dataset-collections/Pages/Fish-catch-and-stock-assessment.aspx" TargetMode="External"/><Relationship Id="rId3" Type="http://schemas.openxmlformats.org/officeDocument/2006/relationships/hyperlink" Target="https://webarchive.nationalarchives.gov.uk/20140508034354/http:/www.marinemanagement.org.uk/fisheries/statistics/annual_archive.htm" TargetMode="External"/><Relationship Id="rId7" Type="http://schemas.openxmlformats.org/officeDocument/2006/relationships/hyperlink" Target="https://webarchive.nationalarchives.gov.uk/20140508034354/http:/www.marinemanagement.org.uk/fisheries/statistics/annual_archive.htm" TargetMode="External"/><Relationship Id="rId12" Type="http://schemas.openxmlformats.org/officeDocument/2006/relationships/hyperlink" Target="http://www.fao.org/fishery/statistics/global-aquaculture-production/en" TargetMode="External"/><Relationship Id="rId17" Type="http://schemas.openxmlformats.org/officeDocument/2006/relationships/hyperlink" Target="https://www.gov.uk/government/publications/calculate-your-fisheries-catch-limits/conversion-factors" TargetMode="External"/><Relationship Id="rId2" Type="http://schemas.openxmlformats.org/officeDocument/2006/relationships/hyperlink" Target="https://webarchive.nationalarchives.gov.uk/20140508034354/http:/www.marinemanagement.org.uk/fisheries/statistics/annual_archive.htm" TargetMode="External"/><Relationship Id="rId16" Type="http://schemas.openxmlformats.org/officeDocument/2006/relationships/hyperlink" Target="https://doi.org/10.1007/s11160-012-9261-y" TargetMode="External"/><Relationship Id="rId1" Type="http://schemas.openxmlformats.org/officeDocument/2006/relationships/hyperlink" Target="https://www.gov.uk/government/collections/uk-sea-fisheries-annual-statistics" TargetMode="External"/><Relationship Id="rId6" Type="http://schemas.openxmlformats.org/officeDocument/2006/relationships/hyperlink" Target="https://webarchive.nationalarchives.gov.uk/20140508034354/http:/www.marinemanagement.org.uk/fisheries/statistics/annual_archive.htm" TargetMode="External"/><Relationship Id="rId11" Type="http://schemas.openxmlformats.org/officeDocument/2006/relationships/hyperlink" Target="https://www.ons.gov.uk/peoplepopulationandcommunity/populationandmigration/populationestimates/datasets/populationestimatesforukenglandandwalesscotlandandnorthernireland" TargetMode="External"/><Relationship Id="rId5" Type="http://schemas.openxmlformats.org/officeDocument/2006/relationships/hyperlink" Target="https://webarchive.nationalarchives.gov.uk/20140508034354/http:/www.marinemanagement.org.uk/fisheries/statistics/annual_archive.htm" TargetMode="External"/><Relationship Id="rId15" Type="http://schemas.openxmlformats.org/officeDocument/2006/relationships/hyperlink" Target="https://doi.org/10.1016/j.marpolbul.2014.09.016" TargetMode="External"/><Relationship Id="rId10" Type="http://schemas.openxmlformats.org/officeDocument/2006/relationships/hyperlink" Target="https://www.ceicdata.com/en/ireland/population-by-age/estimated-population" TargetMode="External"/><Relationship Id="rId4" Type="http://schemas.openxmlformats.org/officeDocument/2006/relationships/hyperlink" Target="https://webarchive.nationalarchives.gov.uk/20140508034354/http:/www.marinemanagement.org.uk/fisheries/statistics/annual_archive.htm" TargetMode="External"/><Relationship Id="rId9" Type="http://schemas.openxmlformats.org/officeDocument/2006/relationships/hyperlink" Target="https://webarchive.nationalarchives.gov.uk/20140508034354/http:/www.marinemanagement.org.uk/fisheries/statistics/annual_archive.htm" TargetMode="External"/><Relationship Id="rId14" Type="http://schemas.openxmlformats.org/officeDocument/2006/relationships/hyperlink" Target="https://www.ons.gov.uk/economy/inflationandpriceindices/timeseries/cdko/mm2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7"/>
  <sheetViews>
    <sheetView showGridLines="0" workbookViewId="0"/>
  </sheetViews>
  <sheetFormatPr defaultColWidth="14.42578125" defaultRowHeight="15" customHeight="1"/>
  <cols>
    <col min="1" max="1" width="30.42578125" customWidth="1"/>
    <col min="2" max="2" width="18.7109375" customWidth="1"/>
    <col min="3" max="3" width="10.7109375" customWidth="1"/>
    <col min="4" max="4" width="35.85546875" customWidth="1"/>
    <col min="5" max="5" width="51.5703125" customWidth="1"/>
    <col min="6" max="6" width="8.7109375" customWidth="1"/>
    <col min="7" max="7" width="34.42578125" customWidth="1"/>
    <col min="8" max="26" width="8.7109375" customWidth="1"/>
  </cols>
  <sheetData>
    <row r="1" spans="1:26" ht="14.25" customHeight="1">
      <c r="D1" s="1"/>
    </row>
    <row r="2" spans="1:26" ht="14.25" customHeight="1">
      <c r="A2" s="22" t="s">
        <v>364</v>
      </c>
      <c r="B2" s="22" t="s">
        <v>365</v>
      </c>
      <c r="D2" s="1"/>
    </row>
    <row r="3" spans="1:26" ht="14.25" customHeight="1">
      <c r="A3" s="23" t="s">
        <v>366</v>
      </c>
      <c r="B3" s="23" t="s">
        <v>367</v>
      </c>
      <c r="D3" s="1"/>
    </row>
    <row r="4" spans="1:26" ht="14.25" customHeight="1">
      <c r="A4" s="23" t="s">
        <v>368</v>
      </c>
      <c r="B4" s="23" t="s">
        <v>369</v>
      </c>
      <c r="D4" s="1"/>
    </row>
    <row r="5" spans="1:26" ht="14.25" customHeight="1">
      <c r="A5" s="23" t="s">
        <v>332</v>
      </c>
      <c r="B5" s="23" t="s">
        <v>370</v>
      </c>
      <c r="D5" s="1"/>
    </row>
    <row r="6" spans="1:26" ht="14.25" customHeight="1">
      <c r="A6" s="23" t="s">
        <v>356</v>
      </c>
      <c r="B6" s="23" t="s">
        <v>371</v>
      </c>
      <c r="D6" s="1"/>
    </row>
    <row r="7" spans="1:26" ht="14.25" customHeight="1">
      <c r="A7" s="23" t="s">
        <v>372</v>
      </c>
      <c r="B7" s="23" t="s">
        <v>373</v>
      </c>
      <c r="D7" s="1"/>
    </row>
    <row r="8" spans="1:26" ht="14.25" customHeight="1">
      <c r="A8" s="23" t="s">
        <v>374</v>
      </c>
      <c r="B8" s="23" t="s">
        <v>375</v>
      </c>
      <c r="D8" s="1"/>
    </row>
    <row r="9" spans="1:26" ht="14.25" customHeight="1">
      <c r="A9" s="23" t="s">
        <v>376</v>
      </c>
      <c r="B9" s="23" t="s">
        <v>377</v>
      </c>
      <c r="D9" s="1"/>
    </row>
    <row r="10" spans="1:26" ht="14.25" customHeight="1">
      <c r="A10" s="23" t="s">
        <v>378</v>
      </c>
      <c r="B10" s="23" t="s">
        <v>379</v>
      </c>
      <c r="D10" s="1"/>
    </row>
    <row r="11" spans="1:26" ht="14.25" customHeight="1">
      <c r="A11" s="23"/>
      <c r="B11" s="23"/>
      <c r="D11" s="1"/>
    </row>
    <row r="12" spans="1:26" ht="14.25" customHeight="1">
      <c r="A12" s="28" t="s">
        <v>380</v>
      </c>
      <c r="D12" s="1"/>
    </row>
    <row r="13" spans="1:26" ht="14.25" customHeight="1">
      <c r="A13" s="5" t="s">
        <v>148</v>
      </c>
      <c r="B13" s="5" t="s">
        <v>301</v>
      </c>
      <c r="C13" s="5" t="s">
        <v>302</v>
      </c>
      <c r="D13" s="12" t="s">
        <v>303</v>
      </c>
      <c r="E13" s="5" t="s">
        <v>304</v>
      </c>
      <c r="F13" s="5"/>
      <c r="G13" s="1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1" t="s">
        <v>305</v>
      </c>
      <c r="B14" s="4" t="s">
        <v>15</v>
      </c>
      <c r="C14" s="24" t="s">
        <v>350</v>
      </c>
      <c r="D14" s="1" t="s">
        <v>306</v>
      </c>
      <c r="E14" s="21" t="s">
        <v>307</v>
      </c>
      <c r="F14" s="5"/>
      <c r="G14" s="1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1" t="s">
        <v>305</v>
      </c>
      <c r="B15" s="4" t="s">
        <v>15</v>
      </c>
      <c r="C15" s="4" t="s">
        <v>308</v>
      </c>
      <c r="D15" s="1" t="s">
        <v>306</v>
      </c>
      <c r="E15" s="21" t="s">
        <v>309</v>
      </c>
      <c r="F15" s="5"/>
      <c r="G15" s="1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1" t="s">
        <v>305</v>
      </c>
      <c r="B16" s="4" t="s">
        <v>15</v>
      </c>
      <c r="C16" s="4" t="s">
        <v>310</v>
      </c>
      <c r="D16" s="1" t="s">
        <v>311</v>
      </c>
      <c r="E16" s="21" t="s">
        <v>309</v>
      </c>
    </row>
    <row r="17" spans="1:5" ht="14.25" customHeight="1">
      <c r="A17" s="1" t="s">
        <v>305</v>
      </c>
      <c r="B17" s="4" t="s">
        <v>15</v>
      </c>
      <c r="C17" s="4" t="s">
        <v>312</v>
      </c>
      <c r="D17" s="1" t="s">
        <v>313</v>
      </c>
      <c r="E17" s="21" t="s">
        <v>309</v>
      </c>
    </row>
    <row r="18" spans="1:5" ht="14.25" customHeight="1">
      <c r="A18" s="1" t="s">
        <v>314</v>
      </c>
      <c r="B18" s="4" t="s">
        <v>315</v>
      </c>
      <c r="C18" s="4" t="s">
        <v>316</v>
      </c>
      <c r="D18" s="1" t="s">
        <v>313</v>
      </c>
      <c r="E18" s="21" t="s">
        <v>309</v>
      </c>
    </row>
    <row r="19" spans="1:5" ht="14.25" customHeight="1">
      <c r="A19" s="1" t="s">
        <v>314</v>
      </c>
      <c r="B19" s="4" t="s">
        <v>315</v>
      </c>
      <c r="C19" s="4" t="s">
        <v>317</v>
      </c>
      <c r="D19" s="1" t="s">
        <v>318</v>
      </c>
      <c r="E19" s="21" t="s">
        <v>309</v>
      </c>
    </row>
    <row r="20" spans="1:5" ht="14.25" customHeight="1">
      <c r="A20" s="1" t="s">
        <v>305</v>
      </c>
      <c r="B20" s="4" t="s">
        <v>117</v>
      </c>
      <c r="C20" s="4" t="s">
        <v>319</v>
      </c>
      <c r="D20" s="1" t="s">
        <v>318</v>
      </c>
      <c r="E20" s="21" t="s">
        <v>309</v>
      </c>
    </row>
    <row r="21" spans="1:5" ht="14.25" customHeight="1">
      <c r="A21" s="1" t="s">
        <v>320</v>
      </c>
      <c r="B21" s="4" t="s">
        <v>117</v>
      </c>
      <c r="C21" s="2" t="s">
        <v>321</v>
      </c>
      <c r="D21" s="1" t="s">
        <v>322</v>
      </c>
      <c r="E21" s="21" t="s">
        <v>309</v>
      </c>
    </row>
    <row r="22" spans="1:5" ht="14.25" customHeight="1">
      <c r="A22" s="1" t="s">
        <v>305</v>
      </c>
      <c r="B22" s="2" t="s">
        <v>117</v>
      </c>
      <c r="C22" s="2" t="s">
        <v>323</v>
      </c>
      <c r="D22" s="1" t="s">
        <v>324</v>
      </c>
      <c r="E22" s="21" t="s">
        <v>309</v>
      </c>
    </row>
    <row r="23" spans="1:5" ht="14.25" customHeight="1">
      <c r="A23" s="2" t="s">
        <v>325</v>
      </c>
      <c r="B23" s="2" t="s">
        <v>118</v>
      </c>
      <c r="C23" s="2" t="s">
        <v>259</v>
      </c>
      <c r="D23" s="1" t="s">
        <v>326</v>
      </c>
      <c r="E23" s="21" t="s">
        <v>327</v>
      </c>
    </row>
    <row r="24" spans="1:5" ht="14.25" customHeight="1">
      <c r="A24" s="2" t="s">
        <v>111</v>
      </c>
      <c r="B24" s="1" t="s">
        <v>328</v>
      </c>
      <c r="C24" s="2" t="s">
        <v>329</v>
      </c>
      <c r="D24" s="1" t="s">
        <v>330</v>
      </c>
      <c r="E24" s="21" t="s">
        <v>331</v>
      </c>
    </row>
    <row r="25" spans="1:5" ht="14.25" customHeight="1">
      <c r="A25" s="2" t="s">
        <v>332</v>
      </c>
      <c r="B25" s="2" t="s">
        <v>15</v>
      </c>
      <c r="C25" s="23" t="s">
        <v>351</v>
      </c>
      <c r="D25" s="1" t="s">
        <v>333</v>
      </c>
      <c r="E25" s="21" t="s">
        <v>334</v>
      </c>
    </row>
    <row r="26" spans="1:5" ht="14.25" customHeight="1">
      <c r="A26" s="2" t="s">
        <v>335</v>
      </c>
      <c r="B26" s="2" t="s">
        <v>15</v>
      </c>
      <c r="C26" s="2" t="s">
        <v>336</v>
      </c>
      <c r="D26" s="1" t="s">
        <v>337</v>
      </c>
      <c r="E26" s="21" t="s">
        <v>338</v>
      </c>
    </row>
    <row r="27" spans="1:5" ht="14.25" customHeight="1">
      <c r="A27" s="2" t="s">
        <v>339</v>
      </c>
      <c r="B27" s="2" t="s">
        <v>15</v>
      </c>
      <c r="C27" s="23" t="s">
        <v>354</v>
      </c>
      <c r="D27" s="26" t="s">
        <v>353</v>
      </c>
      <c r="E27" s="25" t="s">
        <v>352</v>
      </c>
    </row>
    <row r="28" spans="1:5" ht="14.25" customHeight="1">
      <c r="A28" s="2" t="s">
        <v>340</v>
      </c>
      <c r="B28" s="2" t="s">
        <v>15</v>
      </c>
      <c r="C28" s="2" t="s">
        <v>17</v>
      </c>
      <c r="D28" s="1" t="s">
        <v>341</v>
      </c>
      <c r="E28" s="21" t="s">
        <v>342</v>
      </c>
    </row>
    <row r="29" spans="1:5" ht="14.25" customHeight="1">
      <c r="A29" s="2" t="s">
        <v>343</v>
      </c>
      <c r="B29" s="2" t="s">
        <v>15</v>
      </c>
      <c r="C29" s="23" t="s">
        <v>358</v>
      </c>
      <c r="D29" s="1" t="s">
        <v>344</v>
      </c>
      <c r="E29" s="21" t="s">
        <v>345</v>
      </c>
    </row>
    <row r="30" spans="1:5" ht="14.25" customHeight="1">
      <c r="A30" s="2" t="s">
        <v>346</v>
      </c>
      <c r="B30" s="2" t="s">
        <v>15</v>
      </c>
      <c r="C30" s="2" t="s">
        <v>17</v>
      </c>
      <c r="D30" s="1" t="s">
        <v>306</v>
      </c>
      <c r="E30" s="21" t="s">
        <v>347</v>
      </c>
    </row>
    <row r="31" spans="1:5" ht="14.25" customHeight="1">
      <c r="D31" s="1"/>
    </row>
    <row r="32" spans="1:5" ht="14.25" customHeight="1">
      <c r="A32" s="5" t="s">
        <v>150</v>
      </c>
      <c r="B32" s="5"/>
      <c r="C32" s="5"/>
      <c r="D32" s="5"/>
    </row>
    <row r="33" spans="1:4" ht="14.25" customHeight="1">
      <c r="A33" s="2" t="s">
        <v>153</v>
      </c>
      <c r="B33" s="16"/>
      <c r="C33" s="16"/>
      <c r="D33" s="16"/>
    </row>
    <row r="34" spans="1:4" ht="14.25" customHeight="1">
      <c r="A34" s="2" t="s">
        <v>155</v>
      </c>
      <c r="B34" s="4"/>
      <c r="C34" s="4"/>
      <c r="D34" s="4"/>
    </row>
    <row r="35" spans="1:4" ht="14.25" customHeight="1">
      <c r="A35" s="2" t="s">
        <v>157</v>
      </c>
    </row>
    <row r="36" spans="1:4" ht="14.25" customHeight="1">
      <c r="A36" s="2" t="s">
        <v>159</v>
      </c>
    </row>
    <row r="37" spans="1:4" ht="14.25" customHeight="1">
      <c r="A37" s="2" t="s">
        <v>161</v>
      </c>
    </row>
    <row r="38" spans="1:4" ht="14.25" customHeight="1">
      <c r="A38" s="2" t="s">
        <v>164</v>
      </c>
    </row>
    <row r="39" spans="1:4" ht="14.25" customHeight="1">
      <c r="A39" s="2" t="s">
        <v>166</v>
      </c>
    </row>
    <row r="40" spans="1:4" ht="14.25" customHeight="1">
      <c r="A40" s="2" t="s">
        <v>168</v>
      </c>
    </row>
    <row r="41" spans="1:4" ht="14.25" customHeight="1">
      <c r="A41" s="2" t="s">
        <v>170</v>
      </c>
    </row>
    <row r="42" spans="1:4" ht="14.25" customHeight="1">
      <c r="A42" s="2" t="s">
        <v>173</v>
      </c>
    </row>
    <row r="43" spans="1:4" ht="14.25" customHeight="1"/>
    <row r="44" spans="1:4" ht="14.25" customHeight="1">
      <c r="A44" s="5" t="s">
        <v>174</v>
      </c>
    </row>
    <row r="45" spans="1:4" ht="14.25" customHeight="1">
      <c r="A45" s="2" t="s">
        <v>175</v>
      </c>
    </row>
    <row r="46" spans="1:4" ht="14.25" customHeight="1">
      <c r="A46" s="2" t="s">
        <v>176</v>
      </c>
    </row>
    <row r="47" spans="1:4" ht="14.25" customHeight="1">
      <c r="A47" s="2" t="s">
        <v>177</v>
      </c>
    </row>
    <row r="48" spans="1:4" ht="14.25" customHeight="1"/>
    <row r="49" spans="1:1" ht="14.25" customHeight="1">
      <c r="A49" s="5" t="s">
        <v>178</v>
      </c>
    </row>
    <row r="50" spans="1:1" ht="14.25" customHeight="1">
      <c r="A50" s="2" t="s">
        <v>179</v>
      </c>
    </row>
    <row r="51" spans="1:1" ht="14.25" customHeight="1">
      <c r="A51" s="2" t="s">
        <v>180</v>
      </c>
    </row>
    <row r="52" spans="1:1" ht="14.25" customHeight="1">
      <c r="A52" s="2" t="s">
        <v>181</v>
      </c>
    </row>
    <row r="53" spans="1:1" ht="14.25" customHeight="1"/>
    <row r="54" spans="1:1" ht="14.25" customHeight="1">
      <c r="A54" s="5" t="s">
        <v>182</v>
      </c>
    </row>
    <row r="55" spans="1:1" ht="14.25" customHeight="1">
      <c r="A55" s="2" t="s">
        <v>183</v>
      </c>
    </row>
    <row r="56" spans="1:1" ht="14.25" customHeight="1">
      <c r="A56" s="2" t="s">
        <v>184</v>
      </c>
    </row>
    <row r="57" spans="1:1" ht="14.25" customHeight="1">
      <c r="A57" s="2" t="s">
        <v>185</v>
      </c>
    </row>
    <row r="58" spans="1:1" ht="14.25" customHeight="1">
      <c r="A58" s="2" t="s">
        <v>186</v>
      </c>
    </row>
    <row r="59" spans="1:1" ht="14.25" customHeight="1">
      <c r="A59" s="2" t="s">
        <v>187</v>
      </c>
    </row>
    <row r="60" spans="1:1" ht="14.25" customHeight="1"/>
    <row r="61" spans="1:1" ht="14.25" customHeight="1">
      <c r="A61" s="5" t="s">
        <v>188</v>
      </c>
    </row>
    <row r="62" spans="1:1" ht="14.25" customHeight="1">
      <c r="A62" s="2" t="s">
        <v>189</v>
      </c>
    </row>
    <row r="63" spans="1:1" ht="14.25" customHeight="1">
      <c r="A63" s="2" t="s">
        <v>190</v>
      </c>
    </row>
    <row r="64" spans="1:1" ht="14.25" customHeight="1">
      <c r="A64" s="2" t="s">
        <v>191</v>
      </c>
    </row>
    <row r="65" spans="1:4" ht="14.25" customHeight="1">
      <c r="A65" s="2" t="s">
        <v>192</v>
      </c>
    </row>
    <row r="66" spans="1:4" ht="14.25" customHeight="1">
      <c r="A66" s="23" t="s">
        <v>349</v>
      </c>
    </row>
    <row r="67" spans="1:4" ht="14.25" customHeight="1">
      <c r="A67" s="2" t="s">
        <v>193</v>
      </c>
    </row>
    <row r="68" spans="1:4" ht="14.25" customHeight="1">
      <c r="A68" s="2" t="s">
        <v>194</v>
      </c>
    </row>
    <row r="69" spans="1:4" ht="14.25" customHeight="1">
      <c r="A69" s="2" t="s">
        <v>196</v>
      </c>
    </row>
    <row r="70" spans="1:4" ht="14.25" customHeight="1"/>
    <row r="71" spans="1:4" ht="14.25" customHeight="1">
      <c r="A71" s="28" t="s">
        <v>381</v>
      </c>
    </row>
    <row r="72" spans="1:4" ht="14.25" customHeight="1" thickBot="1">
      <c r="A72" s="9"/>
      <c r="B72" s="17"/>
      <c r="C72" s="17"/>
      <c r="D72" s="17"/>
    </row>
    <row r="73" spans="1:4" ht="14.25" customHeight="1" thickBot="1">
      <c r="A73" s="18" t="s">
        <v>148</v>
      </c>
      <c r="B73" s="18" t="s">
        <v>202</v>
      </c>
      <c r="C73" s="18" t="s">
        <v>203</v>
      </c>
      <c r="D73" s="18" t="s">
        <v>204</v>
      </c>
    </row>
    <row r="74" spans="1:4" ht="14.25" customHeight="1">
      <c r="A74" s="1" t="s">
        <v>206</v>
      </c>
      <c r="B74" s="1" t="s">
        <v>207</v>
      </c>
      <c r="C74" s="1" t="s">
        <v>208</v>
      </c>
      <c r="D74" s="1" t="s">
        <v>209</v>
      </c>
    </row>
    <row r="75" spans="1:4" ht="14.25" customHeight="1">
      <c r="A75" s="19" t="s">
        <v>211</v>
      </c>
      <c r="B75" s="19" t="s">
        <v>212</v>
      </c>
      <c r="C75" s="19" t="s">
        <v>213</v>
      </c>
      <c r="D75" s="19" t="s">
        <v>214</v>
      </c>
    </row>
    <row r="76" spans="1:4" ht="14.25" customHeight="1">
      <c r="A76" s="19" t="s">
        <v>211</v>
      </c>
      <c r="B76" s="19" t="s">
        <v>216</v>
      </c>
      <c r="C76" s="19" t="s">
        <v>217</v>
      </c>
      <c r="D76" s="19" t="s">
        <v>218</v>
      </c>
    </row>
    <row r="77" spans="1:4" ht="14.25" customHeight="1">
      <c r="A77" s="19" t="s">
        <v>211</v>
      </c>
      <c r="B77" s="19" t="s">
        <v>220</v>
      </c>
      <c r="C77" s="19" t="s">
        <v>221</v>
      </c>
      <c r="D77" s="19" t="s">
        <v>222</v>
      </c>
    </row>
    <row r="78" spans="1:4" ht="14.25" customHeight="1">
      <c r="A78" s="19" t="s">
        <v>211</v>
      </c>
      <c r="B78" s="19" t="s">
        <v>224</v>
      </c>
      <c r="C78" s="19" t="s">
        <v>225</v>
      </c>
      <c r="D78" s="19" t="s">
        <v>226</v>
      </c>
    </row>
    <row r="79" spans="1:4" ht="14.25" customHeight="1">
      <c r="A79" s="1" t="s">
        <v>228</v>
      </c>
      <c r="B79" s="2" t="s">
        <v>216</v>
      </c>
      <c r="C79" s="1" t="s">
        <v>229</v>
      </c>
      <c r="D79" s="2" t="s">
        <v>230</v>
      </c>
    </row>
    <row r="80" spans="1:4" ht="14.25" customHeight="1">
      <c r="A80" s="1" t="s">
        <v>232</v>
      </c>
      <c r="B80" s="19" t="s">
        <v>233</v>
      </c>
      <c r="C80" s="19" t="s">
        <v>234</v>
      </c>
      <c r="D80" s="19" t="s">
        <v>230</v>
      </c>
    </row>
    <row r="81" spans="1:6" ht="14.25" customHeight="1">
      <c r="A81" s="19" t="s">
        <v>232</v>
      </c>
      <c r="B81" s="19">
        <v>1909</v>
      </c>
      <c r="C81" s="19" t="s">
        <v>236</v>
      </c>
      <c r="D81" s="19" t="s">
        <v>237</v>
      </c>
    </row>
    <row r="82" spans="1:6" ht="14.25" customHeight="1">
      <c r="A82" s="19" t="s">
        <v>239</v>
      </c>
      <c r="B82" s="1" t="s">
        <v>240</v>
      </c>
      <c r="C82" s="1" t="s">
        <v>241</v>
      </c>
      <c r="D82" s="1" t="s">
        <v>230</v>
      </c>
    </row>
    <row r="83" spans="1:6" ht="14.25" customHeight="1">
      <c r="A83" s="19" t="s">
        <v>243</v>
      </c>
      <c r="B83" s="19" t="s">
        <v>244</v>
      </c>
      <c r="C83" s="19" t="s">
        <v>245</v>
      </c>
      <c r="D83" s="19" t="s">
        <v>230</v>
      </c>
    </row>
    <row r="84" spans="1:6" ht="14.25" customHeight="1">
      <c r="A84" s="19" t="s">
        <v>247</v>
      </c>
      <c r="B84" s="19" t="s">
        <v>248</v>
      </c>
      <c r="C84" s="19" t="s">
        <v>249</v>
      </c>
      <c r="D84" s="19" t="s">
        <v>230</v>
      </c>
    </row>
    <row r="85" spans="1:6" ht="14.25" customHeight="1">
      <c r="A85" s="19" t="s">
        <v>251</v>
      </c>
      <c r="B85" s="19" t="s">
        <v>252</v>
      </c>
      <c r="C85" s="19" t="s">
        <v>225</v>
      </c>
      <c r="D85" s="19" t="s">
        <v>253</v>
      </c>
    </row>
    <row r="86" spans="1:6" ht="14.25" customHeight="1">
      <c r="A86" s="1" t="s">
        <v>111</v>
      </c>
      <c r="B86" s="1" t="s">
        <v>255</v>
      </c>
      <c r="C86" s="1" t="s">
        <v>256</v>
      </c>
      <c r="D86" s="1" t="s">
        <v>257</v>
      </c>
    </row>
    <row r="87" spans="1:6" ht="14.25" customHeight="1" thickBot="1">
      <c r="A87" s="20" t="s">
        <v>111</v>
      </c>
      <c r="B87" s="20" t="s">
        <v>259</v>
      </c>
      <c r="C87" s="20" t="s">
        <v>260</v>
      </c>
      <c r="D87" s="20" t="s">
        <v>261</v>
      </c>
    </row>
    <row r="88" spans="1:6" ht="14.25" customHeight="1"/>
    <row r="89" spans="1:6" ht="14.25" customHeight="1">
      <c r="A89" s="5" t="s">
        <v>147</v>
      </c>
      <c r="D89" s="1"/>
      <c r="F89" s="4"/>
    </row>
    <row r="90" spans="1:6" ht="14.25" customHeight="1">
      <c r="A90" s="5"/>
      <c r="D90" s="1"/>
      <c r="F90" s="4"/>
    </row>
    <row r="91" spans="1:6" ht="14.25" customHeight="1">
      <c r="A91" s="5" t="s">
        <v>0</v>
      </c>
      <c r="B91" s="5" t="s">
        <v>148</v>
      </c>
      <c r="C91" s="5" t="s">
        <v>1</v>
      </c>
      <c r="D91" s="12" t="s">
        <v>149</v>
      </c>
    </row>
    <row r="92" spans="1:6" ht="14.25" customHeight="1">
      <c r="A92" s="2" t="s">
        <v>15</v>
      </c>
      <c r="B92" s="2" t="s">
        <v>151</v>
      </c>
      <c r="C92" s="2">
        <v>2019</v>
      </c>
      <c r="D92" s="1" t="s">
        <v>152</v>
      </c>
    </row>
    <row r="93" spans="1:6" ht="14.25" customHeight="1">
      <c r="A93" s="2" t="s">
        <v>15</v>
      </c>
      <c r="B93" s="2" t="s">
        <v>151</v>
      </c>
      <c r="C93" s="2">
        <v>2014</v>
      </c>
      <c r="D93" s="1" t="s">
        <v>154</v>
      </c>
    </row>
    <row r="94" spans="1:6" ht="14.25" customHeight="1">
      <c r="A94" s="2" t="s">
        <v>15</v>
      </c>
      <c r="B94" s="2" t="s">
        <v>151</v>
      </c>
      <c r="C94" s="2">
        <v>2009</v>
      </c>
      <c r="D94" s="1" t="s">
        <v>156</v>
      </c>
    </row>
    <row r="95" spans="1:6" ht="14.25" customHeight="1">
      <c r="A95" s="2" t="s">
        <v>15</v>
      </c>
      <c r="B95" s="2" t="s">
        <v>151</v>
      </c>
      <c r="C95" s="2">
        <v>2007</v>
      </c>
      <c r="D95" s="1" t="s">
        <v>158</v>
      </c>
    </row>
    <row r="96" spans="1:6" ht="14.25" customHeight="1">
      <c r="A96" s="2" t="s">
        <v>15</v>
      </c>
      <c r="B96" s="2" t="s">
        <v>151</v>
      </c>
      <c r="C96" s="2">
        <v>2002</v>
      </c>
      <c r="D96" s="1" t="s">
        <v>160</v>
      </c>
    </row>
    <row r="97" spans="1:4" ht="14.25" customHeight="1">
      <c r="A97" s="2" t="s">
        <v>15</v>
      </c>
      <c r="B97" s="2" t="s">
        <v>151</v>
      </c>
      <c r="C97" s="2" t="s">
        <v>162</v>
      </c>
      <c r="D97" s="1" t="s">
        <v>163</v>
      </c>
    </row>
    <row r="98" spans="1:4" ht="14.25" customHeight="1">
      <c r="A98" s="2" t="s">
        <v>15</v>
      </c>
      <c r="B98" s="2" t="s">
        <v>151</v>
      </c>
      <c r="C98" s="2">
        <v>1998</v>
      </c>
      <c r="D98" s="1" t="s">
        <v>165</v>
      </c>
    </row>
    <row r="99" spans="1:4" ht="14.25" customHeight="1">
      <c r="A99" s="2" t="s">
        <v>15</v>
      </c>
      <c r="B99" s="2" t="s">
        <v>151</v>
      </c>
      <c r="C99" s="2">
        <v>1996</v>
      </c>
      <c r="D99" s="1" t="s">
        <v>167</v>
      </c>
    </row>
    <row r="100" spans="1:4" ht="14.25" customHeight="1">
      <c r="A100" s="2" t="s">
        <v>15</v>
      </c>
      <c r="B100" s="2" t="s">
        <v>151</v>
      </c>
      <c r="C100" s="2">
        <v>1994</v>
      </c>
      <c r="D100" s="1" t="s">
        <v>169</v>
      </c>
    </row>
    <row r="101" spans="1:4" ht="14.25" customHeight="1">
      <c r="A101" s="2" t="s">
        <v>15</v>
      </c>
      <c r="B101" s="2" t="s">
        <v>151</v>
      </c>
      <c r="C101" s="2" t="s">
        <v>171</v>
      </c>
      <c r="D101" s="1" t="s">
        <v>172</v>
      </c>
    </row>
    <row r="102" spans="1:4" ht="14.25" customHeight="1">
      <c r="A102" s="2" t="s">
        <v>15</v>
      </c>
      <c r="B102" s="2" t="s">
        <v>151</v>
      </c>
      <c r="C102" s="2">
        <v>1990</v>
      </c>
      <c r="D102" s="1">
        <v>1990</v>
      </c>
    </row>
    <row r="103" spans="1:4" ht="14.25" customHeight="1">
      <c r="A103" s="2" t="s">
        <v>15</v>
      </c>
      <c r="B103" s="2" t="s">
        <v>151</v>
      </c>
      <c r="C103" s="2">
        <v>1989</v>
      </c>
      <c r="D103" s="1">
        <v>1989</v>
      </c>
    </row>
    <row r="104" spans="1:4" ht="14.25" customHeight="1">
      <c r="A104" s="2" t="s">
        <v>15</v>
      </c>
      <c r="B104" s="2" t="s">
        <v>151</v>
      </c>
      <c r="C104" s="2">
        <v>1988</v>
      </c>
      <c r="D104" s="1">
        <v>1988</v>
      </c>
    </row>
    <row r="105" spans="1:4" ht="14.25" customHeight="1">
      <c r="A105" s="2" t="s">
        <v>15</v>
      </c>
      <c r="B105" s="2" t="s">
        <v>151</v>
      </c>
      <c r="C105" s="2">
        <v>1987</v>
      </c>
      <c r="D105" s="1">
        <v>1987</v>
      </c>
    </row>
    <row r="106" spans="1:4" ht="14.25" customHeight="1">
      <c r="A106" s="2" t="s">
        <v>15</v>
      </c>
      <c r="B106" s="2" t="s">
        <v>151</v>
      </c>
      <c r="C106" s="2">
        <v>1986</v>
      </c>
      <c r="D106" s="1">
        <v>1986</v>
      </c>
    </row>
    <row r="107" spans="1:4" ht="14.25" customHeight="1">
      <c r="A107" s="2" t="s">
        <v>15</v>
      </c>
      <c r="B107" s="2" t="s">
        <v>151</v>
      </c>
      <c r="C107" s="2">
        <v>1985</v>
      </c>
      <c r="D107" s="1">
        <v>1985</v>
      </c>
    </row>
    <row r="108" spans="1:4" ht="14.25" customHeight="1">
      <c r="A108" s="2" t="s">
        <v>15</v>
      </c>
      <c r="B108" s="2" t="s">
        <v>151</v>
      </c>
      <c r="C108" s="2">
        <v>1984</v>
      </c>
      <c r="D108" s="1">
        <v>1984</v>
      </c>
    </row>
    <row r="109" spans="1:4" ht="14.25" customHeight="1">
      <c r="A109" s="2" t="s">
        <v>15</v>
      </c>
      <c r="B109" s="2" t="s">
        <v>151</v>
      </c>
      <c r="C109" s="2">
        <v>1983</v>
      </c>
      <c r="D109" s="1">
        <v>1983</v>
      </c>
    </row>
    <row r="110" spans="1:4" ht="14.25" customHeight="1">
      <c r="A110" s="2" t="s">
        <v>15</v>
      </c>
      <c r="B110" s="2" t="s">
        <v>151</v>
      </c>
      <c r="C110" s="2">
        <v>1982</v>
      </c>
      <c r="D110" s="1">
        <v>1982</v>
      </c>
    </row>
    <row r="111" spans="1:4" ht="14.25" customHeight="1">
      <c r="A111" s="2" t="s">
        <v>15</v>
      </c>
      <c r="B111" s="2" t="s">
        <v>151</v>
      </c>
      <c r="C111" s="2">
        <v>1981</v>
      </c>
      <c r="D111" s="1">
        <v>1981</v>
      </c>
    </row>
    <row r="112" spans="1:4" ht="14.25" customHeight="1">
      <c r="A112" s="2" t="s">
        <v>15</v>
      </c>
      <c r="B112" s="2" t="s">
        <v>151</v>
      </c>
      <c r="C112" s="2">
        <v>1980</v>
      </c>
      <c r="D112" s="1">
        <v>1980</v>
      </c>
    </row>
    <row r="113" spans="1:4" ht="14.25" customHeight="1">
      <c r="A113" s="2" t="s">
        <v>15</v>
      </c>
      <c r="B113" s="2" t="s">
        <v>151</v>
      </c>
      <c r="C113" s="2">
        <v>1979</v>
      </c>
      <c r="D113" s="1">
        <v>1979</v>
      </c>
    </row>
    <row r="114" spans="1:4" ht="14.25" customHeight="1">
      <c r="A114" s="2" t="s">
        <v>15</v>
      </c>
      <c r="B114" s="2" t="s">
        <v>151</v>
      </c>
      <c r="C114" s="2">
        <v>1978</v>
      </c>
      <c r="D114" s="1">
        <v>1978</v>
      </c>
    </row>
    <row r="115" spans="1:4" ht="14.25" customHeight="1">
      <c r="A115" s="2" t="s">
        <v>15</v>
      </c>
      <c r="B115" s="2" t="s">
        <v>151</v>
      </c>
      <c r="C115" s="2">
        <v>1977</v>
      </c>
      <c r="D115" s="1">
        <v>1977</v>
      </c>
    </row>
    <row r="116" spans="1:4" ht="14.25" customHeight="1">
      <c r="A116" s="2" t="s">
        <v>15</v>
      </c>
      <c r="B116" s="2" t="s">
        <v>151</v>
      </c>
      <c r="C116" s="2">
        <v>1976</v>
      </c>
      <c r="D116" s="1">
        <v>1976</v>
      </c>
    </row>
    <row r="117" spans="1:4" ht="14.25" customHeight="1">
      <c r="A117" s="2" t="s">
        <v>15</v>
      </c>
      <c r="B117" s="2" t="s">
        <v>151</v>
      </c>
      <c r="C117" s="2">
        <v>1975</v>
      </c>
      <c r="D117" s="1">
        <v>1975</v>
      </c>
    </row>
    <row r="118" spans="1:4" ht="14.25" customHeight="1">
      <c r="A118" s="2" t="s">
        <v>15</v>
      </c>
      <c r="B118" s="2" t="s">
        <v>151</v>
      </c>
      <c r="C118" s="2">
        <v>1974</v>
      </c>
      <c r="D118" s="1">
        <v>1974</v>
      </c>
    </row>
    <row r="119" spans="1:4" ht="14.25" customHeight="1">
      <c r="A119" s="2" t="s">
        <v>15</v>
      </c>
      <c r="B119" s="2" t="s">
        <v>151</v>
      </c>
      <c r="C119" s="2">
        <v>1973</v>
      </c>
      <c r="D119" s="1">
        <v>1973</v>
      </c>
    </row>
    <row r="120" spans="1:4" ht="14.25" customHeight="1">
      <c r="A120" s="2" t="s">
        <v>15</v>
      </c>
      <c r="B120" s="2" t="s">
        <v>151</v>
      </c>
      <c r="C120" s="2">
        <v>1972</v>
      </c>
      <c r="D120" s="1">
        <v>1972</v>
      </c>
    </row>
    <row r="121" spans="1:4" ht="14.25" customHeight="1">
      <c r="A121" s="2" t="s">
        <v>15</v>
      </c>
      <c r="B121" s="2" t="s">
        <v>151</v>
      </c>
      <c r="C121" s="2">
        <v>1971</v>
      </c>
      <c r="D121" s="1">
        <v>1971</v>
      </c>
    </row>
    <row r="122" spans="1:4" ht="14.25" customHeight="1">
      <c r="A122" s="2" t="s">
        <v>15</v>
      </c>
      <c r="B122" s="2" t="s">
        <v>151</v>
      </c>
      <c r="C122" s="2">
        <v>1970</v>
      </c>
      <c r="D122" s="1">
        <v>1970</v>
      </c>
    </row>
    <row r="123" spans="1:4" ht="14.25" customHeight="1">
      <c r="A123" s="2" t="s">
        <v>15</v>
      </c>
      <c r="B123" s="2" t="s">
        <v>151</v>
      </c>
      <c r="C123" s="2">
        <v>1969</v>
      </c>
      <c r="D123" s="1">
        <v>1969</v>
      </c>
    </row>
    <row r="124" spans="1:4" ht="14.25" customHeight="1">
      <c r="A124" s="2" t="s">
        <v>15</v>
      </c>
      <c r="B124" s="2" t="s">
        <v>151</v>
      </c>
      <c r="C124" s="2">
        <v>1968</v>
      </c>
      <c r="D124" s="1">
        <v>1968</v>
      </c>
    </row>
    <row r="125" spans="1:4" ht="14.25" customHeight="1">
      <c r="A125" s="2" t="s">
        <v>15</v>
      </c>
      <c r="B125" s="2" t="s">
        <v>151</v>
      </c>
      <c r="C125" s="2">
        <v>1967</v>
      </c>
      <c r="D125" s="1">
        <v>1967</v>
      </c>
    </row>
    <row r="126" spans="1:4" ht="14.25" customHeight="1">
      <c r="A126" s="2" t="s">
        <v>15</v>
      </c>
      <c r="B126" s="2" t="s">
        <v>151</v>
      </c>
      <c r="C126" s="2">
        <v>1966</v>
      </c>
      <c r="D126" s="1">
        <v>1966</v>
      </c>
    </row>
    <row r="127" spans="1:4" ht="14.25" customHeight="1">
      <c r="A127" s="2" t="s">
        <v>15</v>
      </c>
      <c r="B127" s="2" t="s">
        <v>151</v>
      </c>
      <c r="C127" s="2">
        <v>1965</v>
      </c>
      <c r="D127" s="1">
        <v>1965</v>
      </c>
    </row>
    <row r="128" spans="1:4" ht="14.25" customHeight="1">
      <c r="A128" s="2" t="s">
        <v>15</v>
      </c>
      <c r="B128" s="2" t="s">
        <v>151</v>
      </c>
      <c r="C128" s="2">
        <v>1965</v>
      </c>
      <c r="D128" s="1" t="s">
        <v>195</v>
      </c>
    </row>
    <row r="129" spans="1:4" ht="14.25" customHeight="1">
      <c r="A129" s="2" t="s">
        <v>15</v>
      </c>
      <c r="B129" s="2" t="s">
        <v>197</v>
      </c>
      <c r="C129" s="2">
        <v>1960</v>
      </c>
      <c r="D129" s="1" t="s">
        <v>198</v>
      </c>
    </row>
    <row r="130" spans="1:4" ht="14.25" customHeight="1">
      <c r="A130" s="2" t="s">
        <v>115</v>
      </c>
      <c r="B130" s="2" t="s">
        <v>197</v>
      </c>
      <c r="C130" s="2">
        <v>1956</v>
      </c>
      <c r="D130" s="1" t="s">
        <v>199</v>
      </c>
    </row>
    <row r="131" spans="1:4" ht="14.25" customHeight="1">
      <c r="A131" s="2" t="s">
        <v>115</v>
      </c>
      <c r="B131" s="2" t="s">
        <v>197</v>
      </c>
      <c r="C131" s="2">
        <v>1947</v>
      </c>
      <c r="D131" s="1" t="s">
        <v>200</v>
      </c>
    </row>
    <row r="132" spans="1:4" ht="14.25" customHeight="1">
      <c r="A132" s="2" t="s">
        <v>115</v>
      </c>
      <c r="B132" s="2" t="s">
        <v>197</v>
      </c>
      <c r="C132" s="2">
        <v>1938</v>
      </c>
      <c r="D132" s="1" t="s">
        <v>201</v>
      </c>
    </row>
    <row r="133" spans="1:4" ht="14.25" customHeight="1">
      <c r="A133" s="2" t="s">
        <v>115</v>
      </c>
      <c r="B133" s="2" t="s">
        <v>197</v>
      </c>
      <c r="C133" s="2">
        <v>1930</v>
      </c>
      <c r="D133" s="1" t="s">
        <v>205</v>
      </c>
    </row>
    <row r="134" spans="1:4" ht="14.25" customHeight="1">
      <c r="A134" s="2" t="s">
        <v>15</v>
      </c>
      <c r="B134" s="2" t="s">
        <v>197</v>
      </c>
      <c r="C134" s="2">
        <v>1925</v>
      </c>
      <c r="D134" s="1" t="s">
        <v>210</v>
      </c>
    </row>
    <row r="135" spans="1:4" ht="14.25" customHeight="1">
      <c r="A135" s="2" t="s">
        <v>15</v>
      </c>
      <c r="B135" s="2" t="s">
        <v>197</v>
      </c>
      <c r="C135" s="2">
        <v>1921</v>
      </c>
      <c r="D135" s="1" t="s">
        <v>215</v>
      </c>
    </row>
    <row r="136" spans="1:4" ht="14.25" customHeight="1">
      <c r="A136" s="2" t="s">
        <v>15</v>
      </c>
      <c r="B136" s="2" t="s">
        <v>197</v>
      </c>
      <c r="C136" s="2">
        <v>1912</v>
      </c>
      <c r="D136" s="1" t="s">
        <v>219</v>
      </c>
    </row>
    <row r="137" spans="1:4" ht="14.25" customHeight="1">
      <c r="A137" s="2" t="s">
        <v>115</v>
      </c>
      <c r="B137" s="2" t="s">
        <v>197</v>
      </c>
      <c r="C137" s="2">
        <v>1926</v>
      </c>
      <c r="D137" s="1" t="s">
        <v>223</v>
      </c>
    </row>
    <row r="138" spans="1:4" ht="14.25" customHeight="1">
      <c r="A138" s="2" t="s">
        <v>15</v>
      </c>
      <c r="B138" s="2" t="s">
        <v>151</v>
      </c>
      <c r="C138" s="2">
        <v>1902</v>
      </c>
      <c r="D138" s="1" t="s">
        <v>227</v>
      </c>
    </row>
    <row r="139" spans="1:4" ht="14.25" customHeight="1">
      <c r="A139" s="2" t="s">
        <v>15</v>
      </c>
      <c r="B139" s="2" t="s">
        <v>151</v>
      </c>
      <c r="C139" s="2">
        <v>1901</v>
      </c>
      <c r="D139" s="1" t="s">
        <v>231</v>
      </c>
    </row>
    <row r="140" spans="1:4" ht="14.25" customHeight="1">
      <c r="A140" s="2" t="s">
        <v>15</v>
      </c>
      <c r="B140" s="2" t="s">
        <v>151</v>
      </c>
      <c r="C140" s="2">
        <v>1900</v>
      </c>
      <c r="D140" s="1" t="s">
        <v>235</v>
      </c>
    </row>
    <row r="141" spans="1:4" ht="14.25" customHeight="1">
      <c r="A141" s="2" t="s">
        <v>15</v>
      </c>
      <c r="B141" s="2" t="s">
        <v>197</v>
      </c>
      <c r="C141" s="2">
        <v>1964</v>
      </c>
      <c r="D141" s="1" t="s">
        <v>238</v>
      </c>
    </row>
    <row r="142" spans="1:4" ht="14.25" customHeight="1">
      <c r="A142" s="2" t="s">
        <v>15</v>
      </c>
      <c r="B142" s="2" t="s">
        <v>197</v>
      </c>
      <c r="C142" s="2">
        <v>1956</v>
      </c>
      <c r="D142" s="1" t="s">
        <v>242</v>
      </c>
    </row>
    <row r="143" spans="1:4" ht="14.25" customHeight="1">
      <c r="A143" s="2" t="s">
        <v>15</v>
      </c>
      <c r="B143" s="2" t="s">
        <v>197</v>
      </c>
      <c r="C143" s="2">
        <v>1947</v>
      </c>
      <c r="D143" s="1" t="s">
        <v>246</v>
      </c>
    </row>
    <row r="144" spans="1:4" ht="14.25" customHeight="1">
      <c r="A144" s="2" t="s">
        <v>15</v>
      </c>
      <c r="B144" s="2" t="s">
        <v>197</v>
      </c>
      <c r="C144" s="2">
        <v>1937</v>
      </c>
      <c r="D144" s="1" t="s">
        <v>250</v>
      </c>
    </row>
    <row r="145" spans="1:4" ht="14.25" customHeight="1">
      <c r="A145" s="2" t="s">
        <v>15</v>
      </c>
      <c r="B145" s="2" t="s">
        <v>197</v>
      </c>
      <c r="C145" s="2">
        <v>1927</v>
      </c>
      <c r="D145" s="1" t="s">
        <v>254</v>
      </c>
    </row>
    <row r="146" spans="1:4" ht="14.25" customHeight="1">
      <c r="A146" s="2" t="s">
        <v>15</v>
      </c>
      <c r="B146" s="2" t="s">
        <v>197</v>
      </c>
      <c r="C146" s="2">
        <v>1922</v>
      </c>
      <c r="D146" s="1" t="s">
        <v>258</v>
      </c>
    </row>
    <row r="147" spans="1:4" ht="14.25" customHeight="1">
      <c r="A147" s="2" t="s">
        <v>15</v>
      </c>
      <c r="B147" s="2" t="s">
        <v>197</v>
      </c>
      <c r="C147" s="2" t="s">
        <v>262</v>
      </c>
      <c r="D147" s="1" t="s">
        <v>263</v>
      </c>
    </row>
    <row r="148" spans="1:4" ht="14.25" customHeight="1">
      <c r="A148" s="2" t="s">
        <v>15</v>
      </c>
      <c r="B148" s="2" t="s">
        <v>197</v>
      </c>
      <c r="C148" s="2">
        <v>1912</v>
      </c>
      <c r="D148" s="1" t="s">
        <v>264</v>
      </c>
    </row>
    <row r="149" spans="1:4" ht="14.25" customHeight="1">
      <c r="A149" s="2" t="s">
        <v>15</v>
      </c>
      <c r="B149" s="2" t="s">
        <v>197</v>
      </c>
      <c r="C149" s="2">
        <v>1908</v>
      </c>
      <c r="D149" s="1" t="s">
        <v>265</v>
      </c>
    </row>
    <row r="150" spans="1:4" ht="14.25" customHeight="1">
      <c r="A150" s="2" t="s">
        <v>15</v>
      </c>
      <c r="B150" s="2" t="s">
        <v>197</v>
      </c>
      <c r="C150" s="2">
        <v>1906</v>
      </c>
      <c r="D150" s="1" t="s">
        <v>266</v>
      </c>
    </row>
    <row r="151" spans="1:4" ht="14.25" customHeight="1">
      <c r="A151" s="2" t="s">
        <v>15</v>
      </c>
      <c r="B151" s="2" t="s">
        <v>197</v>
      </c>
      <c r="C151" s="2">
        <v>1904</v>
      </c>
      <c r="D151" s="1" t="s">
        <v>267</v>
      </c>
    </row>
    <row r="152" spans="1:4" ht="14.25" customHeight="1">
      <c r="A152" s="2" t="s">
        <v>15</v>
      </c>
      <c r="B152" s="2" t="s">
        <v>197</v>
      </c>
      <c r="C152" s="2">
        <v>1902</v>
      </c>
      <c r="D152" s="1" t="s">
        <v>268</v>
      </c>
    </row>
    <row r="153" spans="1:4" ht="14.25" customHeight="1">
      <c r="A153" s="2" t="s">
        <v>15</v>
      </c>
      <c r="B153" s="2" t="s">
        <v>197</v>
      </c>
      <c r="C153" s="2">
        <v>1961</v>
      </c>
      <c r="D153" s="1" t="s">
        <v>269</v>
      </c>
    </row>
    <row r="154" spans="1:4" ht="14.25" customHeight="1">
      <c r="A154" s="2" t="s">
        <v>15</v>
      </c>
      <c r="B154" s="2" t="s">
        <v>197</v>
      </c>
      <c r="C154" s="2">
        <v>1956</v>
      </c>
      <c r="D154" s="1" t="s">
        <v>270</v>
      </c>
    </row>
    <row r="155" spans="1:4" ht="14.25" customHeight="1">
      <c r="A155" s="2" t="s">
        <v>15</v>
      </c>
      <c r="B155" s="2" t="s">
        <v>197</v>
      </c>
      <c r="C155" s="2">
        <v>1951</v>
      </c>
      <c r="D155" s="1" t="s">
        <v>271</v>
      </c>
    </row>
    <row r="156" spans="1:4" ht="14.25" customHeight="1">
      <c r="A156" s="2" t="s">
        <v>15</v>
      </c>
      <c r="B156" s="2" t="s">
        <v>197</v>
      </c>
      <c r="C156" s="2">
        <v>1947</v>
      </c>
      <c r="D156" s="1" t="s">
        <v>272</v>
      </c>
    </row>
    <row r="157" spans="1:4" ht="14.25" customHeight="1">
      <c r="A157" s="2" t="s">
        <v>15</v>
      </c>
      <c r="B157" s="2" t="s">
        <v>197</v>
      </c>
      <c r="C157" s="2" t="s">
        <v>273</v>
      </c>
      <c r="D157" s="1" t="s">
        <v>274</v>
      </c>
    </row>
    <row r="158" spans="1:4" ht="14.25" customHeight="1">
      <c r="A158" s="2" t="s">
        <v>15</v>
      </c>
      <c r="B158" s="2" t="s">
        <v>197</v>
      </c>
      <c r="C158" s="2">
        <v>1936</v>
      </c>
      <c r="D158" s="1" t="s">
        <v>275</v>
      </c>
    </row>
    <row r="159" spans="1:4" ht="14.25" customHeight="1">
      <c r="A159" s="2" t="s">
        <v>15</v>
      </c>
      <c r="B159" s="2" t="s">
        <v>197</v>
      </c>
      <c r="C159" s="2">
        <v>1931</v>
      </c>
      <c r="D159" s="1" t="s">
        <v>276</v>
      </c>
    </row>
    <row r="160" spans="1:4" ht="14.25" customHeight="1">
      <c r="A160" s="2" t="s">
        <v>15</v>
      </c>
      <c r="B160" s="2" t="s">
        <v>197</v>
      </c>
      <c r="C160" s="2">
        <v>1926</v>
      </c>
      <c r="D160" s="1" t="s">
        <v>277</v>
      </c>
    </row>
    <row r="161" spans="1:5" ht="14.25" customHeight="1">
      <c r="A161" s="2" t="s">
        <v>15</v>
      </c>
      <c r="B161" s="2" t="s">
        <v>197</v>
      </c>
      <c r="C161" s="2">
        <v>1922</v>
      </c>
      <c r="D161" s="1" t="s">
        <v>278</v>
      </c>
    </row>
    <row r="162" spans="1:5" ht="14.25" customHeight="1">
      <c r="A162" s="2" t="s">
        <v>15</v>
      </c>
      <c r="B162" s="2" t="s">
        <v>197</v>
      </c>
      <c r="C162" s="2">
        <v>1921</v>
      </c>
      <c r="D162" s="1" t="s">
        <v>279</v>
      </c>
    </row>
    <row r="163" spans="1:5" ht="14.25" customHeight="1">
      <c r="A163" s="2" t="s">
        <v>15</v>
      </c>
      <c r="B163" s="2" t="s">
        <v>197</v>
      </c>
      <c r="C163" s="2" t="s">
        <v>262</v>
      </c>
      <c r="D163" s="1" t="s">
        <v>280</v>
      </c>
    </row>
    <row r="164" spans="1:5" ht="14.25" customHeight="1">
      <c r="A164" s="2" t="s">
        <v>15</v>
      </c>
      <c r="B164" s="2" t="s">
        <v>197</v>
      </c>
      <c r="C164" s="2" t="s">
        <v>281</v>
      </c>
      <c r="D164" s="1" t="s">
        <v>282</v>
      </c>
    </row>
    <row r="165" spans="1:5" ht="14.25" customHeight="1">
      <c r="A165" s="2" t="s">
        <v>15</v>
      </c>
      <c r="B165" s="2" t="s">
        <v>197</v>
      </c>
      <c r="C165" s="2" t="s">
        <v>281</v>
      </c>
      <c r="D165" s="1" t="s">
        <v>283</v>
      </c>
    </row>
    <row r="166" spans="1:5" ht="14.25" customHeight="1">
      <c r="A166" s="2" t="s">
        <v>15</v>
      </c>
      <c r="B166" s="2" t="s">
        <v>197</v>
      </c>
      <c r="C166" s="2">
        <v>1912</v>
      </c>
      <c r="D166" s="1" t="s">
        <v>284</v>
      </c>
    </row>
    <row r="167" spans="1:5" ht="14.25" customHeight="1">
      <c r="A167" s="2" t="s">
        <v>15</v>
      </c>
      <c r="B167" s="2" t="s">
        <v>197</v>
      </c>
      <c r="C167" s="2">
        <v>1907</v>
      </c>
      <c r="D167" s="1" t="s">
        <v>285</v>
      </c>
    </row>
    <row r="168" spans="1:5" ht="14.25" customHeight="1">
      <c r="A168" s="2" t="s">
        <v>15</v>
      </c>
      <c r="B168" s="2" t="s">
        <v>197</v>
      </c>
      <c r="C168" s="2">
        <v>1901</v>
      </c>
      <c r="D168" s="1" t="s">
        <v>286</v>
      </c>
    </row>
    <row r="169" spans="1:5" ht="14.25" customHeight="1">
      <c r="A169" s="2" t="s">
        <v>15</v>
      </c>
      <c r="B169" s="2" t="s">
        <v>151</v>
      </c>
      <c r="C169" s="2">
        <v>2019</v>
      </c>
      <c r="D169" s="1" t="s">
        <v>287</v>
      </c>
    </row>
    <row r="170" spans="1:5" ht="14.25" customHeight="1">
      <c r="A170" s="2" t="s">
        <v>15</v>
      </c>
      <c r="B170" s="2" t="s">
        <v>151</v>
      </c>
      <c r="C170" s="2">
        <v>2012</v>
      </c>
      <c r="D170" s="1" t="s">
        <v>288</v>
      </c>
    </row>
    <row r="171" spans="1:5" ht="14.25" customHeight="1">
      <c r="A171" s="2" t="s">
        <v>15</v>
      </c>
      <c r="B171" s="2" t="s">
        <v>151</v>
      </c>
      <c r="C171" s="2">
        <v>2009</v>
      </c>
      <c r="D171" s="1" t="s">
        <v>289</v>
      </c>
    </row>
    <row r="172" spans="1:5" ht="14.25" customHeight="1">
      <c r="A172" s="2" t="s">
        <v>15</v>
      </c>
      <c r="B172" s="2" t="s">
        <v>151</v>
      </c>
      <c r="C172" s="2">
        <v>1994</v>
      </c>
      <c r="D172" s="1" t="s">
        <v>290</v>
      </c>
    </row>
    <row r="173" spans="1:5" ht="14.25" customHeight="1">
      <c r="A173" s="2" t="s">
        <v>15</v>
      </c>
      <c r="B173" s="2" t="s">
        <v>151</v>
      </c>
      <c r="C173" s="2" t="s">
        <v>171</v>
      </c>
      <c r="D173" s="1" t="s">
        <v>291</v>
      </c>
    </row>
    <row r="174" spans="1:5" ht="14.25" customHeight="1">
      <c r="A174" s="2" t="s">
        <v>15</v>
      </c>
      <c r="B174" s="2" t="s">
        <v>151</v>
      </c>
      <c r="C174" s="2">
        <v>2019</v>
      </c>
      <c r="D174" s="1" t="s">
        <v>292</v>
      </c>
      <c r="E174" s="2" t="s">
        <v>293</v>
      </c>
    </row>
    <row r="175" spans="1:5" ht="14.25" customHeight="1">
      <c r="A175" s="2" t="s">
        <v>15</v>
      </c>
      <c r="B175" s="2" t="s">
        <v>151</v>
      </c>
      <c r="C175" s="2">
        <v>2016</v>
      </c>
      <c r="D175" s="1" t="s">
        <v>294</v>
      </c>
      <c r="E175" s="2" t="s">
        <v>295</v>
      </c>
    </row>
    <row r="176" spans="1:5" ht="14.25" customHeight="1">
      <c r="A176" s="2" t="s">
        <v>15</v>
      </c>
      <c r="B176" s="2" t="s">
        <v>151</v>
      </c>
      <c r="C176" s="2">
        <v>2012</v>
      </c>
      <c r="D176" s="1" t="s">
        <v>296</v>
      </c>
      <c r="E176" s="2" t="s">
        <v>297</v>
      </c>
    </row>
    <row r="177" spans="1:4" ht="14.25" customHeight="1">
      <c r="A177" s="2" t="s">
        <v>15</v>
      </c>
      <c r="B177" s="2" t="s">
        <v>151</v>
      </c>
      <c r="C177" s="2">
        <v>2009</v>
      </c>
      <c r="D177" s="1" t="s">
        <v>298</v>
      </c>
    </row>
    <row r="178" spans="1:4" ht="14.25" customHeight="1">
      <c r="A178" s="2" t="s">
        <v>15</v>
      </c>
      <c r="B178" s="2" t="s">
        <v>151</v>
      </c>
      <c r="C178" s="2">
        <v>1994</v>
      </c>
      <c r="D178" s="1" t="s">
        <v>299</v>
      </c>
    </row>
    <row r="179" spans="1:4" ht="14.25" customHeight="1">
      <c r="A179" s="2" t="s">
        <v>15</v>
      </c>
      <c r="B179" s="2" t="s">
        <v>151</v>
      </c>
      <c r="C179" s="2" t="s">
        <v>171</v>
      </c>
      <c r="D179" s="1" t="s">
        <v>300</v>
      </c>
    </row>
    <row r="180" spans="1:4" ht="14.25" customHeight="1">
      <c r="D180" s="1"/>
    </row>
    <row r="181" spans="1:4" ht="14.25" customHeight="1">
      <c r="D181" s="1"/>
    </row>
    <row r="182" spans="1:4" ht="14.25" customHeight="1">
      <c r="D182" s="1"/>
    </row>
    <row r="183" spans="1:4" ht="14.25" customHeight="1">
      <c r="D183" s="1"/>
    </row>
    <row r="184" spans="1:4" ht="14.25" customHeight="1">
      <c r="D184" s="1"/>
    </row>
    <row r="185" spans="1:4" ht="14.25" customHeight="1">
      <c r="D185" s="1"/>
    </row>
    <row r="186" spans="1:4" ht="14.25" customHeight="1">
      <c r="D186" s="1"/>
    </row>
    <row r="187" spans="1:4" ht="14.25" customHeight="1">
      <c r="D187" s="1"/>
    </row>
    <row r="188" spans="1:4" ht="14.25" customHeight="1">
      <c r="D188" s="1"/>
    </row>
    <row r="189" spans="1:4" ht="14.25" customHeight="1">
      <c r="D189" s="1"/>
    </row>
    <row r="190" spans="1:4" ht="14.25" customHeight="1">
      <c r="D190" s="1"/>
    </row>
    <row r="191" spans="1:4" ht="14.25" customHeight="1">
      <c r="D191" s="1"/>
    </row>
    <row r="192" spans="1:4" ht="14.25" customHeight="1">
      <c r="D192" s="1"/>
    </row>
    <row r="193" spans="4:4" ht="14.25" customHeight="1">
      <c r="D193" s="1"/>
    </row>
    <row r="194" spans="4:4" ht="14.25" customHeight="1">
      <c r="D194" s="1"/>
    </row>
    <row r="195" spans="4:4" ht="14.25" customHeight="1">
      <c r="D195" s="1"/>
    </row>
    <row r="196" spans="4:4" ht="14.25" customHeight="1">
      <c r="D196" s="1"/>
    </row>
    <row r="197" spans="4:4" ht="14.25" customHeight="1">
      <c r="D197" s="1"/>
    </row>
    <row r="198" spans="4:4" ht="14.25" customHeight="1">
      <c r="D198" s="1"/>
    </row>
    <row r="199" spans="4:4" ht="14.25" customHeight="1">
      <c r="D199" s="1"/>
    </row>
    <row r="200" spans="4:4" ht="14.25" customHeight="1">
      <c r="D200" s="1"/>
    </row>
    <row r="201" spans="4:4" ht="14.25" customHeight="1">
      <c r="D201" s="1"/>
    </row>
    <row r="202" spans="4:4" ht="14.25" customHeight="1">
      <c r="D202" s="1"/>
    </row>
    <row r="203" spans="4:4" ht="14.25" customHeight="1">
      <c r="D203" s="1"/>
    </row>
    <row r="204" spans="4:4" ht="14.25" customHeight="1">
      <c r="D204" s="1"/>
    </row>
    <row r="205" spans="4:4" ht="14.25" customHeight="1">
      <c r="D205" s="1"/>
    </row>
    <row r="206" spans="4:4" ht="14.25" customHeight="1">
      <c r="D206" s="1"/>
    </row>
    <row r="207" spans="4:4" ht="14.25" customHeight="1">
      <c r="D207" s="1"/>
    </row>
    <row r="208" spans="4:4" ht="14.25" customHeight="1">
      <c r="D208" s="1"/>
    </row>
    <row r="209" spans="4:4" ht="14.25" customHeight="1">
      <c r="D209" s="1"/>
    </row>
    <row r="210" spans="4:4" ht="14.25" customHeight="1">
      <c r="D210" s="1"/>
    </row>
    <row r="211" spans="4:4" ht="14.25" customHeight="1">
      <c r="D211" s="1"/>
    </row>
    <row r="212" spans="4:4" ht="14.25" customHeight="1">
      <c r="D212" s="1"/>
    </row>
    <row r="213" spans="4:4" ht="14.25" customHeight="1">
      <c r="D213" s="1"/>
    </row>
    <row r="214" spans="4:4" ht="14.25" customHeight="1">
      <c r="D214" s="1"/>
    </row>
    <row r="215" spans="4:4" ht="14.25" customHeight="1">
      <c r="D215" s="1"/>
    </row>
    <row r="216" spans="4:4" ht="14.25" customHeight="1">
      <c r="D216" s="1"/>
    </row>
    <row r="217" spans="4:4" ht="14.25" customHeight="1">
      <c r="D217" s="1"/>
    </row>
    <row r="218" spans="4:4" ht="14.25" customHeight="1">
      <c r="D218" s="1"/>
    </row>
    <row r="219" spans="4:4" ht="14.25" customHeight="1">
      <c r="D219" s="1"/>
    </row>
    <row r="220" spans="4:4" ht="14.25" customHeight="1">
      <c r="D220" s="1"/>
    </row>
    <row r="221" spans="4:4" ht="14.25" customHeight="1">
      <c r="D221" s="1"/>
    </row>
    <row r="222" spans="4:4" ht="14.25" customHeight="1">
      <c r="D222" s="1"/>
    </row>
    <row r="223" spans="4:4" ht="14.25" customHeight="1">
      <c r="D223" s="1"/>
    </row>
    <row r="224" spans="4:4" ht="14.25" customHeight="1">
      <c r="D224" s="1"/>
    </row>
    <row r="225" spans="4:4" ht="14.25" customHeight="1">
      <c r="D225" s="1"/>
    </row>
    <row r="226" spans="4:4" ht="14.25" customHeight="1">
      <c r="D226" s="1"/>
    </row>
    <row r="227" spans="4:4" ht="14.25" customHeight="1">
      <c r="D227" s="1"/>
    </row>
    <row r="228" spans="4:4" ht="14.25" customHeight="1">
      <c r="D228" s="1"/>
    </row>
    <row r="229" spans="4:4" ht="14.25" customHeight="1">
      <c r="D229" s="1"/>
    </row>
    <row r="230" spans="4:4" ht="14.25" customHeight="1">
      <c r="D230" s="1"/>
    </row>
    <row r="231" spans="4:4" ht="14.25" customHeight="1">
      <c r="D231" s="1"/>
    </row>
    <row r="232" spans="4:4" ht="14.25" customHeight="1">
      <c r="D232" s="1"/>
    </row>
    <row r="233" spans="4:4" ht="14.25" customHeight="1">
      <c r="D233" s="1"/>
    </row>
    <row r="234" spans="4:4" ht="14.25" customHeight="1">
      <c r="D234" s="1"/>
    </row>
    <row r="235" spans="4:4" ht="14.25" customHeight="1">
      <c r="D235" s="1"/>
    </row>
    <row r="236" spans="4:4" ht="14.25" customHeight="1">
      <c r="D236" s="1"/>
    </row>
    <row r="237" spans="4:4" ht="14.25" customHeight="1">
      <c r="D237" s="1"/>
    </row>
    <row r="238" spans="4:4" ht="14.25" customHeight="1">
      <c r="D238" s="1"/>
    </row>
    <row r="239" spans="4:4" ht="14.25" customHeight="1">
      <c r="D239" s="1"/>
    </row>
    <row r="240" spans="4:4" ht="14.25" customHeight="1">
      <c r="D240" s="1"/>
    </row>
    <row r="241" spans="4:4" ht="14.25" customHeight="1">
      <c r="D241" s="1"/>
    </row>
    <row r="242" spans="4:4" ht="14.25" customHeight="1">
      <c r="D242" s="1"/>
    </row>
    <row r="243" spans="4:4" ht="14.25" customHeight="1">
      <c r="D243" s="1"/>
    </row>
    <row r="244" spans="4:4" ht="14.25" customHeight="1">
      <c r="D244" s="1"/>
    </row>
    <row r="245" spans="4:4" ht="14.25" customHeight="1">
      <c r="D245" s="1"/>
    </row>
    <row r="246" spans="4:4" ht="14.25" customHeight="1">
      <c r="D246" s="1"/>
    </row>
    <row r="247" spans="4:4" ht="14.25" customHeight="1">
      <c r="D247" s="1"/>
    </row>
    <row r="248" spans="4:4" ht="14.25" customHeight="1">
      <c r="D248" s="1"/>
    </row>
    <row r="249" spans="4:4" ht="14.25" customHeight="1">
      <c r="D249" s="1"/>
    </row>
    <row r="250" spans="4:4" ht="14.25" customHeight="1">
      <c r="D250" s="1"/>
    </row>
    <row r="251" spans="4:4" ht="14.25" customHeight="1">
      <c r="D251" s="1"/>
    </row>
    <row r="252" spans="4:4" ht="14.25" customHeight="1">
      <c r="D252" s="1"/>
    </row>
    <row r="253" spans="4:4" ht="14.25" customHeight="1">
      <c r="D253" s="1"/>
    </row>
    <row r="254" spans="4:4" ht="14.25" customHeight="1">
      <c r="D254" s="1"/>
    </row>
    <row r="255" spans="4:4" ht="14.25" customHeight="1">
      <c r="D255" s="1"/>
    </row>
    <row r="256" spans="4:4" ht="14.25" customHeight="1">
      <c r="D256" s="1"/>
    </row>
    <row r="257" spans="4:4" ht="14.25" customHeight="1">
      <c r="D257" s="1"/>
    </row>
    <row r="258" spans="4:4" ht="14.25" customHeight="1">
      <c r="D258" s="1"/>
    </row>
    <row r="259" spans="4:4" ht="14.25" customHeight="1">
      <c r="D259" s="1"/>
    </row>
    <row r="260" spans="4:4" ht="14.25" customHeight="1">
      <c r="D260" s="1"/>
    </row>
    <row r="261" spans="4:4" ht="14.25" customHeight="1">
      <c r="D261" s="1"/>
    </row>
    <row r="262" spans="4:4" ht="14.25" customHeight="1">
      <c r="D262" s="1"/>
    </row>
    <row r="263" spans="4:4" ht="14.25" customHeight="1">
      <c r="D263" s="1"/>
    </row>
    <row r="264" spans="4:4" ht="14.25" customHeight="1">
      <c r="D264" s="1"/>
    </row>
    <row r="265" spans="4:4" ht="14.25" customHeight="1">
      <c r="D265" s="1"/>
    </row>
    <row r="266" spans="4:4" ht="14.25" customHeight="1">
      <c r="D266" s="1"/>
    </row>
    <row r="267" spans="4:4" ht="14.25" customHeight="1">
      <c r="D267" s="1"/>
    </row>
    <row r="268" spans="4:4" ht="14.25" customHeight="1">
      <c r="D268" s="1"/>
    </row>
    <row r="269" spans="4:4" ht="14.25" customHeight="1">
      <c r="D269" s="1"/>
    </row>
    <row r="270" spans="4:4" ht="14.25" customHeight="1">
      <c r="D270" s="1"/>
    </row>
    <row r="271" spans="4:4" ht="14.25" customHeight="1">
      <c r="D271" s="1"/>
    </row>
    <row r="272" spans="4:4" ht="14.25" customHeight="1">
      <c r="D272" s="1"/>
    </row>
    <row r="273" spans="4:4" ht="14.25" customHeight="1">
      <c r="D273" s="1"/>
    </row>
    <row r="274" spans="4:4" ht="14.25" customHeight="1">
      <c r="D274" s="1"/>
    </row>
    <row r="275" spans="4:4" ht="14.25" customHeight="1">
      <c r="D275" s="1"/>
    </row>
    <row r="276" spans="4:4" ht="14.25" customHeight="1">
      <c r="D276" s="1"/>
    </row>
    <row r="277" spans="4:4" ht="14.25" customHeight="1">
      <c r="D277" s="1"/>
    </row>
    <row r="278" spans="4:4" ht="14.25" customHeight="1">
      <c r="D278" s="1"/>
    </row>
    <row r="279" spans="4:4" ht="14.25" customHeight="1">
      <c r="D279" s="1"/>
    </row>
    <row r="280" spans="4:4" ht="14.25" customHeight="1">
      <c r="D280" s="1"/>
    </row>
    <row r="281" spans="4:4" ht="14.25" customHeight="1">
      <c r="D281" s="1"/>
    </row>
    <row r="282" spans="4:4" ht="14.25" customHeight="1">
      <c r="D282" s="1"/>
    </row>
    <row r="283" spans="4:4" ht="14.25" customHeight="1">
      <c r="D283" s="1"/>
    </row>
    <row r="284" spans="4:4" ht="14.25" customHeight="1">
      <c r="D284" s="1"/>
    </row>
    <row r="285" spans="4:4" ht="14.25" customHeight="1">
      <c r="D285" s="1"/>
    </row>
    <row r="286" spans="4:4" ht="14.25" customHeight="1">
      <c r="D286" s="1"/>
    </row>
    <row r="287" spans="4:4" ht="14.25" customHeight="1">
      <c r="D287" s="1"/>
    </row>
    <row r="288" spans="4:4" ht="14.25" customHeight="1">
      <c r="D288" s="1"/>
    </row>
    <row r="289" spans="4:4" ht="14.25" customHeight="1">
      <c r="D289" s="1"/>
    </row>
    <row r="290" spans="4:4" ht="14.25" customHeight="1">
      <c r="D290" s="1"/>
    </row>
    <row r="291" spans="4:4" ht="14.25" customHeight="1">
      <c r="D291" s="1"/>
    </row>
    <row r="292" spans="4:4" ht="14.25" customHeight="1">
      <c r="D292" s="1"/>
    </row>
    <row r="293" spans="4:4" ht="14.25" customHeight="1">
      <c r="D293" s="1"/>
    </row>
    <row r="294" spans="4:4" ht="14.25" customHeight="1">
      <c r="D294" s="1"/>
    </row>
    <row r="295" spans="4:4" ht="14.25" customHeight="1">
      <c r="D295" s="1"/>
    </row>
    <row r="296" spans="4:4" ht="14.25" customHeight="1">
      <c r="D296" s="1"/>
    </row>
    <row r="297" spans="4:4" ht="14.25" customHeight="1">
      <c r="D297" s="1"/>
    </row>
    <row r="298" spans="4:4" ht="14.25" customHeight="1">
      <c r="D298" s="1"/>
    </row>
    <row r="299" spans="4:4" ht="14.25" customHeight="1">
      <c r="D299" s="1"/>
    </row>
    <row r="300" spans="4:4" ht="14.25" customHeight="1">
      <c r="D300" s="1"/>
    </row>
    <row r="301" spans="4:4" ht="14.25" customHeight="1">
      <c r="D301" s="1"/>
    </row>
    <row r="302" spans="4:4" ht="14.25" customHeight="1">
      <c r="D302" s="1"/>
    </row>
    <row r="303" spans="4:4" ht="14.25" customHeight="1">
      <c r="D303" s="1"/>
    </row>
    <row r="304" spans="4:4" ht="14.25" customHeight="1">
      <c r="D304" s="1"/>
    </row>
    <row r="305" spans="4:4" ht="14.25" customHeight="1">
      <c r="D305" s="1"/>
    </row>
    <row r="306" spans="4:4" ht="14.25" customHeight="1">
      <c r="D306" s="1"/>
    </row>
    <row r="307" spans="4:4" ht="14.25" customHeight="1">
      <c r="D307" s="1"/>
    </row>
    <row r="308" spans="4:4" ht="14.25" customHeight="1">
      <c r="D308" s="1"/>
    </row>
    <row r="309" spans="4:4" ht="14.25" customHeight="1">
      <c r="D309" s="1"/>
    </row>
    <row r="310" spans="4:4" ht="14.25" customHeight="1">
      <c r="D310" s="1"/>
    </row>
    <row r="311" spans="4:4" ht="14.25" customHeight="1">
      <c r="D311" s="1"/>
    </row>
    <row r="312" spans="4:4" ht="14.25" customHeight="1">
      <c r="D312" s="1"/>
    </row>
    <row r="313" spans="4:4" ht="14.25" customHeight="1">
      <c r="D313" s="1"/>
    </row>
    <row r="314" spans="4:4" ht="14.25" customHeight="1">
      <c r="D314" s="1"/>
    </row>
    <row r="315" spans="4:4" ht="14.25" customHeight="1">
      <c r="D315" s="1"/>
    </row>
    <row r="316" spans="4:4" ht="14.25" customHeight="1">
      <c r="D316" s="1"/>
    </row>
    <row r="317" spans="4:4" ht="14.25" customHeight="1">
      <c r="D317" s="1"/>
    </row>
    <row r="318" spans="4:4" ht="14.25" customHeight="1">
      <c r="D318" s="1"/>
    </row>
    <row r="319" spans="4:4" ht="14.25" customHeight="1">
      <c r="D319" s="1"/>
    </row>
    <row r="320" spans="4:4" ht="14.25" customHeight="1">
      <c r="D320" s="1"/>
    </row>
    <row r="321" spans="4:4" ht="14.25" customHeight="1">
      <c r="D321" s="1"/>
    </row>
    <row r="322" spans="4:4" ht="14.25" customHeight="1">
      <c r="D322" s="1"/>
    </row>
    <row r="323" spans="4:4" ht="14.25" customHeight="1">
      <c r="D323" s="1"/>
    </row>
    <row r="324" spans="4:4" ht="14.25" customHeight="1">
      <c r="D324" s="1"/>
    </row>
    <row r="325" spans="4:4" ht="14.25" customHeight="1">
      <c r="D325" s="1"/>
    </row>
    <row r="326" spans="4:4" ht="14.25" customHeight="1">
      <c r="D326" s="1"/>
    </row>
    <row r="327" spans="4:4" ht="14.25" customHeight="1">
      <c r="D327" s="1"/>
    </row>
    <row r="328" spans="4:4" ht="14.25" customHeight="1">
      <c r="D328" s="1"/>
    </row>
    <row r="329" spans="4:4" ht="14.25" customHeight="1">
      <c r="D329" s="1"/>
    </row>
    <row r="330" spans="4:4" ht="14.25" customHeight="1">
      <c r="D330" s="1"/>
    </row>
    <row r="331" spans="4:4" ht="14.25" customHeight="1">
      <c r="D331" s="1"/>
    </row>
    <row r="332" spans="4:4" ht="14.25" customHeight="1">
      <c r="D332" s="1"/>
    </row>
    <row r="333" spans="4:4" ht="14.25" customHeight="1">
      <c r="D333" s="1"/>
    </row>
    <row r="334" spans="4:4" ht="14.25" customHeight="1">
      <c r="D334" s="1"/>
    </row>
    <row r="335" spans="4:4" ht="14.25" customHeight="1">
      <c r="D335" s="1"/>
    </row>
    <row r="336" spans="4:4" ht="14.25" customHeight="1">
      <c r="D336" s="1"/>
    </row>
    <row r="337" spans="4:4" ht="14.25" customHeight="1">
      <c r="D337" s="1"/>
    </row>
    <row r="338" spans="4:4" ht="14.25" customHeight="1">
      <c r="D338" s="1"/>
    </row>
    <row r="339" spans="4:4" ht="14.25" customHeight="1">
      <c r="D339" s="1"/>
    </row>
    <row r="340" spans="4:4" ht="14.25" customHeight="1">
      <c r="D340" s="1"/>
    </row>
    <row r="341" spans="4:4" ht="14.25" customHeight="1">
      <c r="D341" s="1"/>
    </row>
    <row r="342" spans="4:4" ht="14.25" customHeight="1">
      <c r="D342" s="1"/>
    </row>
    <row r="343" spans="4:4" ht="14.25" customHeight="1">
      <c r="D343" s="1"/>
    </row>
    <row r="344" spans="4:4" ht="14.25" customHeight="1">
      <c r="D344" s="1"/>
    </row>
    <row r="345" spans="4:4" ht="14.25" customHeight="1">
      <c r="D345" s="1"/>
    </row>
    <row r="346" spans="4:4" ht="14.25" customHeight="1">
      <c r="D346" s="1"/>
    </row>
    <row r="347" spans="4:4" ht="14.25" customHeight="1">
      <c r="D347" s="1"/>
    </row>
    <row r="348" spans="4:4" ht="14.25" customHeight="1">
      <c r="D348" s="1"/>
    </row>
    <row r="349" spans="4:4" ht="14.25" customHeight="1">
      <c r="D349" s="1"/>
    </row>
    <row r="350" spans="4:4" ht="14.25" customHeight="1">
      <c r="D350" s="1"/>
    </row>
    <row r="351" spans="4:4" ht="14.25" customHeight="1">
      <c r="D351" s="1"/>
    </row>
    <row r="352" spans="4:4" ht="14.25" customHeight="1">
      <c r="D352" s="1"/>
    </row>
    <row r="353" spans="4:4" ht="14.25" customHeight="1">
      <c r="D353" s="1"/>
    </row>
    <row r="354" spans="4:4" ht="14.25" customHeight="1">
      <c r="D354" s="1"/>
    </row>
    <row r="355" spans="4:4" ht="14.25" customHeight="1">
      <c r="D355" s="1"/>
    </row>
    <row r="356" spans="4:4" ht="14.25" customHeight="1">
      <c r="D356" s="1"/>
    </row>
    <row r="357" spans="4:4" ht="14.25" customHeight="1">
      <c r="D357" s="1"/>
    </row>
    <row r="358" spans="4:4" ht="14.25" customHeight="1">
      <c r="D358" s="1"/>
    </row>
    <row r="359" spans="4:4" ht="14.25" customHeight="1">
      <c r="D359" s="1"/>
    </row>
    <row r="360" spans="4:4" ht="14.25" customHeight="1">
      <c r="D360" s="1"/>
    </row>
    <row r="361" spans="4:4" ht="14.25" customHeight="1">
      <c r="D361" s="1"/>
    </row>
    <row r="362" spans="4:4" ht="14.25" customHeight="1">
      <c r="D362" s="1"/>
    </row>
    <row r="363" spans="4:4" ht="14.25" customHeight="1">
      <c r="D363" s="1"/>
    </row>
    <row r="364" spans="4:4" ht="14.25" customHeight="1">
      <c r="D364" s="1"/>
    </row>
    <row r="365" spans="4:4" ht="14.25" customHeight="1">
      <c r="D365" s="1"/>
    </row>
    <row r="366" spans="4:4" ht="14.25" customHeight="1">
      <c r="D366" s="1"/>
    </row>
    <row r="367" spans="4:4" ht="14.25" customHeight="1">
      <c r="D367" s="1"/>
    </row>
    <row r="368" spans="4:4" ht="14.25" customHeight="1">
      <c r="D368" s="1"/>
    </row>
    <row r="369" spans="4:4" ht="14.25" customHeight="1">
      <c r="D369" s="1"/>
    </row>
    <row r="370" spans="4:4" ht="14.25" customHeight="1">
      <c r="D370" s="1"/>
    </row>
    <row r="371" spans="4:4" ht="14.25" customHeight="1">
      <c r="D371" s="1"/>
    </row>
    <row r="372" spans="4:4" ht="14.25" customHeight="1">
      <c r="D372" s="1"/>
    </row>
    <row r="373" spans="4:4" ht="14.25" customHeight="1">
      <c r="D373" s="1"/>
    </row>
    <row r="374" spans="4:4" ht="14.25" customHeight="1">
      <c r="D374" s="1"/>
    </row>
    <row r="375" spans="4:4" ht="14.25" customHeight="1">
      <c r="D375" s="1"/>
    </row>
    <row r="376" spans="4:4" ht="14.25" customHeight="1">
      <c r="D376" s="1"/>
    </row>
    <row r="377" spans="4:4" ht="14.25" customHeight="1">
      <c r="D377" s="1"/>
    </row>
    <row r="378" spans="4:4" ht="14.25" customHeight="1">
      <c r="D378" s="1"/>
    </row>
    <row r="379" spans="4:4" ht="14.25" customHeight="1">
      <c r="D379" s="1"/>
    </row>
    <row r="380" spans="4:4" ht="14.25" customHeight="1">
      <c r="D380" s="1"/>
    </row>
    <row r="381" spans="4:4" ht="14.25" customHeight="1">
      <c r="D381" s="1"/>
    </row>
    <row r="382" spans="4:4" ht="14.25" customHeight="1">
      <c r="D382" s="1"/>
    </row>
    <row r="383" spans="4:4" ht="14.25" customHeight="1">
      <c r="D383" s="1"/>
    </row>
    <row r="384" spans="4:4" ht="14.25" customHeight="1">
      <c r="D384" s="1"/>
    </row>
    <row r="385" spans="4:4" ht="14.25" customHeight="1">
      <c r="D385" s="1"/>
    </row>
    <row r="386" spans="4:4" ht="14.25" customHeight="1">
      <c r="D386" s="1"/>
    </row>
    <row r="387" spans="4:4" ht="14.25" customHeight="1">
      <c r="D387" s="1"/>
    </row>
    <row r="388" spans="4:4" ht="14.25" customHeight="1">
      <c r="D388" s="1"/>
    </row>
    <row r="389" spans="4:4" ht="14.25" customHeight="1">
      <c r="D389" s="1"/>
    </row>
    <row r="390" spans="4:4" ht="14.25" customHeight="1">
      <c r="D390" s="1"/>
    </row>
    <row r="391" spans="4:4" ht="14.25" customHeight="1">
      <c r="D391" s="1"/>
    </row>
    <row r="392" spans="4:4" ht="14.25" customHeight="1">
      <c r="D392" s="1"/>
    </row>
    <row r="393" spans="4:4" ht="14.25" customHeight="1">
      <c r="D393" s="1"/>
    </row>
    <row r="394" spans="4:4" ht="14.25" customHeight="1">
      <c r="D394" s="1"/>
    </row>
    <row r="395" spans="4:4" ht="14.25" customHeight="1">
      <c r="D395" s="1"/>
    </row>
    <row r="396" spans="4:4" ht="14.25" customHeight="1">
      <c r="D396" s="1"/>
    </row>
    <row r="397" spans="4:4" ht="14.25" customHeight="1">
      <c r="D397" s="1"/>
    </row>
    <row r="398" spans="4:4" ht="14.25" customHeight="1">
      <c r="D398" s="1"/>
    </row>
    <row r="399" spans="4:4" ht="14.25" customHeight="1">
      <c r="D399" s="1"/>
    </row>
    <row r="400" spans="4:4" ht="14.25" customHeight="1">
      <c r="D400" s="1"/>
    </row>
    <row r="401" spans="4:4" ht="14.25" customHeight="1">
      <c r="D401" s="1"/>
    </row>
    <row r="402" spans="4:4" ht="14.25" customHeight="1">
      <c r="D402" s="1"/>
    </row>
    <row r="403" spans="4:4" ht="14.25" customHeight="1">
      <c r="D403" s="1"/>
    </row>
    <row r="404" spans="4:4" ht="14.25" customHeight="1">
      <c r="D404" s="1"/>
    </row>
    <row r="405" spans="4:4" ht="14.25" customHeight="1">
      <c r="D405" s="1"/>
    </row>
    <row r="406" spans="4:4" ht="14.25" customHeight="1">
      <c r="D406" s="1"/>
    </row>
    <row r="407" spans="4:4" ht="14.25" customHeight="1">
      <c r="D407" s="1"/>
    </row>
    <row r="408" spans="4:4" ht="14.25" customHeight="1">
      <c r="D408" s="1"/>
    </row>
    <row r="409" spans="4:4" ht="14.25" customHeight="1">
      <c r="D409" s="1"/>
    </row>
    <row r="410" spans="4:4" ht="14.25" customHeight="1">
      <c r="D410" s="1"/>
    </row>
    <row r="411" spans="4:4" ht="14.25" customHeight="1">
      <c r="D411" s="1"/>
    </row>
    <row r="412" spans="4:4" ht="14.25" customHeight="1">
      <c r="D412" s="1"/>
    </row>
    <row r="413" spans="4:4" ht="14.25" customHeight="1">
      <c r="D413" s="1"/>
    </row>
    <row r="414" spans="4:4" ht="14.25" customHeight="1">
      <c r="D414" s="1"/>
    </row>
    <row r="415" spans="4:4" ht="14.25" customHeight="1">
      <c r="D415" s="1"/>
    </row>
    <row r="416" spans="4:4" ht="14.25" customHeight="1">
      <c r="D416" s="1"/>
    </row>
    <row r="417" spans="4:4" ht="14.25" customHeight="1">
      <c r="D417" s="1"/>
    </row>
    <row r="418" spans="4:4" ht="14.25" customHeight="1">
      <c r="D418" s="1"/>
    </row>
    <row r="419" spans="4:4" ht="14.25" customHeight="1">
      <c r="D419" s="1"/>
    </row>
    <row r="420" spans="4:4" ht="14.25" customHeight="1">
      <c r="D420" s="1"/>
    </row>
    <row r="421" spans="4:4" ht="14.25" customHeight="1">
      <c r="D421" s="1"/>
    </row>
    <row r="422" spans="4:4" ht="14.25" customHeight="1">
      <c r="D422" s="1"/>
    </row>
    <row r="423" spans="4:4" ht="14.25" customHeight="1">
      <c r="D423" s="1"/>
    </row>
    <row r="424" spans="4:4" ht="14.25" customHeight="1">
      <c r="D424" s="1"/>
    </row>
    <row r="425" spans="4:4" ht="14.25" customHeight="1">
      <c r="D425" s="1"/>
    </row>
    <row r="426" spans="4:4" ht="14.25" customHeight="1">
      <c r="D426" s="1"/>
    </row>
    <row r="427" spans="4:4" ht="14.25" customHeight="1">
      <c r="D427" s="1"/>
    </row>
    <row r="428" spans="4:4" ht="14.25" customHeight="1">
      <c r="D428" s="1"/>
    </row>
    <row r="429" spans="4:4" ht="14.25" customHeight="1">
      <c r="D429" s="1"/>
    </row>
    <row r="430" spans="4:4" ht="14.25" customHeight="1">
      <c r="D430" s="1"/>
    </row>
    <row r="431" spans="4:4" ht="14.25" customHeight="1">
      <c r="D431" s="1"/>
    </row>
    <row r="432" spans="4:4" ht="14.25" customHeight="1">
      <c r="D432" s="1"/>
    </row>
    <row r="433" spans="4:4" ht="14.25" customHeight="1">
      <c r="D433" s="1"/>
    </row>
    <row r="434" spans="4:4" ht="14.25" customHeight="1">
      <c r="D434" s="1"/>
    </row>
    <row r="435" spans="4:4" ht="14.25" customHeight="1">
      <c r="D435" s="1"/>
    </row>
    <row r="436" spans="4:4" ht="14.25" customHeight="1">
      <c r="D436" s="1"/>
    </row>
    <row r="437" spans="4:4" ht="14.25" customHeight="1">
      <c r="D437" s="1"/>
    </row>
    <row r="438" spans="4:4" ht="14.25" customHeight="1">
      <c r="D438" s="1"/>
    </row>
    <row r="439" spans="4:4" ht="14.25" customHeight="1">
      <c r="D439" s="1"/>
    </row>
    <row r="440" spans="4:4" ht="14.25" customHeight="1">
      <c r="D440" s="1"/>
    </row>
    <row r="441" spans="4:4" ht="14.25" customHeight="1">
      <c r="D441" s="1"/>
    </row>
    <row r="442" spans="4:4" ht="14.25" customHeight="1">
      <c r="D442" s="1"/>
    </row>
    <row r="443" spans="4:4" ht="14.25" customHeight="1">
      <c r="D443" s="1"/>
    </row>
    <row r="444" spans="4:4" ht="14.25" customHeight="1">
      <c r="D444" s="1"/>
    </row>
    <row r="445" spans="4:4" ht="14.25" customHeight="1">
      <c r="D445" s="1"/>
    </row>
    <row r="446" spans="4:4" ht="14.25" customHeight="1">
      <c r="D446" s="1"/>
    </row>
    <row r="447" spans="4:4" ht="14.25" customHeight="1">
      <c r="D447" s="1"/>
    </row>
    <row r="448" spans="4:4" ht="14.25" customHeight="1">
      <c r="D448" s="1"/>
    </row>
    <row r="449" spans="4:4" ht="14.25" customHeight="1">
      <c r="D449" s="1"/>
    </row>
    <row r="450" spans="4:4" ht="14.25" customHeight="1">
      <c r="D450" s="1"/>
    </row>
    <row r="451" spans="4:4" ht="14.25" customHeight="1">
      <c r="D451" s="1"/>
    </row>
    <row r="452" spans="4:4" ht="14.25" customHeight="1">
      <c r="D452" s="1"/>
    </row>
    <row r="453" spans="4:4" ht="14.25" customHeight="1">
      <c r="D453" s="1"/>
    </row>
    <row r="454" spans="4:4" ht="14.25" customHeight="1">
      <c r="D454" s="1"/>
    </row>
    <row r="455" spans="4:4" ht="14.25" customHeight="1">
      <c r="D455" s="1"/>
    </row>
    <row r="456" spans="4:4" ht="14.25" customHeight="1">
      <c r="D456" s="1"/>
    </row>
    <row r="457" spans="4:4" ht="14.25" customHeight="1">
      <c r="D457" s="1"/>
    </row>
    <row r="458" spans="4:4" ht="14.25" customHeight="1">
      <c r="D458" s="1"/>
    </row>
    <row r="459" spans="4:4" ht="14.25" customHeight="1">
      <c r="D459" s="1"/>
    </row>
    <row r="460" spans="4:4" ht="14.25" customHeight="1">
      <c r="D460" s="1"/>
    </row>
    <row r="461" spans="4:4" ht="14.25" customHeight="1">
      <c r="D461" s="1"/>
    </row>
    <row r="462" spans="4:4" ht="14.25" customHeight="1">
      <c r="D462" s="1"/>
    </row>
    <row r="463" spans="4:4" ht="14.25" customHeight="1">
      <c r="D463" s="1"/>
    </row>
    <row r="464" spans="4:4" ht="14.25" customHeight="1">
      <c r="D464" s="1"/>
    </row>
    <row r="465" spans="4:4" ht="14.25" customHeight="1">
      <c r="D465" s="1"/>
    </row>
    <row r="466" spans="4:4" ht="14.25" customHeight="1">
      <c r="D466" s="1"/>
    </row>
    <row r="467" spans="4:4" ht="14.25" customHeight="1">
      <c r="D467" s="1"/>
    </row>
    <row r="468" spans="4:4" ht="14.25" customHeight="1">
      <c r="D468" s="1"/>
    </row>
    <row r="469" spans="4:4" ht="14.25" customHeight="1">
      <c r="D469" s="1"/>
    </row>
    <row r="470" spans="4:4" ht="14.25" customHeight="1">
      <c r="D470" s="1"/>
    </row>
    <row r="471" spans="4:4" ht="14.25" customHeight="1">
      <c r="D471" s="1"/>
    </row>
    <row r="472" spans="4:4" ht="14.25" customHeight="1">
      <c r="D472" s="1"/>
    </row>
    <row r="473" spans="4:4" ht="14.25" customHeight="1">
      <c r="D473" s="1"/>
    </row>
    <row r="474" spans="4:4" ht="14.25" customHeight="1">
      <c r="D474" s="1"/>
    </row>
    <row r="475" spans="4:4" ht="14.25" customHeight="1">
      <c r="D475" s="1"/>
    </row>
    <row r="476" spans="4:4" ht="14.25" customHeight="1">
      <c r="D476" s="1"/>
    </row>
    <row r="477" spans="4:4" ht="14.25" customHeight="1">
      <c r="D477" s="1"/>
    </row>
    <row r="478" spans="4:4" ht="14.25" customHeight="1">
      <c r="D478" s="1"/>
    </row>
    <row r="479" spans="4:4" ht="14.25" customHeight="1">
      <c r="D479" s="1"/>
    </row>
    <row r="480" spans="4:4" ht="14.25" customHeight="1">
      <c r="D480" s="1"/>
    </row>
    <row r="481" spans="4:4" ht="14.25" customHeight="1">
      <c r="D481" s="1"/>
    </row>
    <row r="482" spans="4:4" ht="14.25" customHeight="1">
      <c r="D482" s="1"/>
    </row>
    <row r="483" spans="4:4" ht="14.25" customHeight="1">
      <c r="D483" s="1"/>
    </row>
    <row r="484" spans="4:4" ht="14.25" customHeight="1">
      <c r="D484" s="1"/>
    </row>
    <row r="485" spans="4:4" ht="14.25" customHeight="1">
      <c r="D485" s="1"/>
    </row>
    <row r="486" spans="4:4" ht="14.25" customHeight="1">
      <c r="D486" s="1"/>
    </row>
    <row r="487" spans="4:4" ht="14.25" customHeight="1">
      <c r="D487" s="1"/>
    </row>
    <row r="488" spans="4:4" ht="14.25" customHeight="1">
      <c r="D488" s="1"/>
    </row>
    <row r="489" spans="4:4" ht="14.25" customHeight="1">
      <c r="D489" s="1"/>
    </row>
    <row r="490" spans="4:4" ht="14.25" customHeight="1">
      <c r="D490" s="1"/>
    </row>
    <row r="491" spans="4:4" ht="14.25" customHeight="1">
      <c r="D491" s="1"/>
    </row>
    <row r="492" spans="4:4" ht="14.25" customHeight="1">
      <c r="D492" s="1"/>
    </row>
    <row r="493" spans="4:4" ht="14.25" customHeight="1">
      <c r="D493" s="1"/>
    </row>
    <row r="494" spans="4:4" ht="14.25" customHeight="1">
      <c r="D494" s="1"/>
    </row>
    <row r="495" spans="4:4" ht="14.25" customHeight="1">
      <c r="D495" s="1"/>
    </row>
    <row r="496" spans="4:4" ht="14.25" customHeight="1">
      <c r="D496" s="1"/>
    </row>
    <row r="497" spans="4:4" ht="14.25" customHeight="1">
      <c r="D497" s="1"/>
    </row>
    <row r="498" spans="4:4" ht="14.25" customHeight="1">
      <c r="D498" s="1"/>
    </row>
    <row r="499" spans="4:4" ht="14.25" customHeight="1">
      <c r="D499" s="1"/>
    </row>
    <row r="500" spans="4:4" ht="14.25" customHeight="1">
      <c r="D500" s="1"/>
    </row>
    <row r="501" spans="4:4" ht="14.25" customHeight="1">
      <c r="D501" s="1"/>
    </row>
    <row r="502" spans="4:4" ht="14.25" customHeight="1">
      <c r="D502" s="1"/>
    </row>
    <row r="503" spans="4:4" ht="14.25" customHeight="1">
      <c r="D503" s="1"/>
    </row>
    <row r="504" spans="4:4" ht="14.25" customHeight="1">
      <c r="D504" s="1"/>
    </row>
    <row r="505" spans="4:4" ht="14.25" customHeight="1">
      <c r="D505" s="1"/>
    </row>
    <row r="506" spans="4:4" ht="14.25" customHeight="1">
      <c r="D506" s="1"/>
    </row>
    <row r="507" spans="4:4" ht="14.25" customHeight="1">
      <c r="D507" s="1"/>
    </row>
    <row r="508" spans="4:4" ht="14.25" customHeight="1">
      <c r="D508" s="1"/>
    </row>
    <row r="509" spans="4:4" ht="14.25" customHeight="1">
      <c r="D509" s="1"/>
    </row>
    <row r="510" spans="4:4" ht="14.25" customHeight="1">
      <c r="D510" s="1"/>
    </row>
    <row r="511" spans="4:4" ht="14.25" customHeight="1">
      <c r="D511" s="1"/>
    </row>
    <row r="512" spans="4:4" ht="14.25" customHeight="1">
      <c r="D512" s="1"/>
    </row>
    <row r="513" spans="4:4" ht="14.25" customHeight="1">
      <c r="D513" s="1"/>
    </row>
    <row r="514" spans="4:4" ht="14.25" customHeight="1">
      <c r="D514" s="1"/>
    </row>
    <row r="515" spans="4:4" ht="14.25" customHeight="1">
      <c r="D515" s="1"/>
    </row>
    <row r="516" spans="4:4" ht="14.25" customHeight="1">
      <c r="D516" s="1"/>
    </row>
    <row r="517" spans="4:4" ht="14.25" customHeight="1">
      <c r="D517" s="1"/>
    </row>
    <row r="518" spans="4:4" ht="14.25" customHeight="1">
      <c r="D518" s="1"/>
    </row>
    <row r="519" spans="4:4" ht="14.25" customHeight="1">
      <c r="D519" s="1"/>
    </row>
    <row r="520" spans="4:4" ht="14.25" customHeight="1">
      <c r="D520" s="1"/>
    </row>
    <row r="521" spans="4:4" ht="14.25" customHeight="1">
      <c r="D521" s="1"/>
    </row>
    <row r="522" spans="4:4" ht="14.25" customHeight="1">
      <c r="D522" s="1"/>
    </row>
    <row r="523" spans="4:4" ht="14.25" customHeight="1">
      <c r="D523" s="1"/>
    </row>
    <row r="524" spans="4:4" ht="14.25" customHeight="1">
      <c r="D524" s="1"/>
    </row>
    <row r="525" spans="4:4" ht="14.25" customHeight="1">
      <c r="D525" s="1"/>
    </row>
    <row r="526" spans="4:4" ht="14.25" customHeight="1">
      <c r="D526" s="1"/>
    </row>
    <row r="527" spans="4:4" ht="14.25" customHeight="1">
      <c r="D527" s="1"/>
    </row>
    <row r="528" spans="4:4" ht="14.25" customHeight="1">
      <c r="D528" s="1"/>
    </row>
    <row r="529" spans="4:4" ht="14.25" customHeight="1">
      <c r="D529" s="1"/>
    </row>
    <row r="530" spans="4:4" ht="14.25" customHeight="1">
      <c r="D530" s="1"/>
    </row>
    <row r="531" spans="4:4" ht="14.25" customHeight="1">
      <c r="D531" s="1"/>
    </row>
    <row r="532" spans="4:4" ht="14.25" customHeight="1">
      <c r="D532" s="1"/>
    </row>
    <row r="533" spans="4:4" ht="14.25" customHeight="1">
      <c r="D533" s="1"/>
    </row>
    <row r="534" spans="4:4" ht="14.25" customHeight="1">
      <c r="D534" s="1"/>
    </row>
    <row r="535" spans="4:4" ht="14.25" customHeight="1">
      <c r="D535" s="1"/>
    </row>
    <row r="536" spans="4:4" ht="14.25" customHeight="1">
      <c r="D536" s="1"/>
    </row>
    <row r="537" spans="4:4" ht="14.25" customHeight="1">
      <c r="D537" s="1"/>
    </row>
    <row r="538" spans="4:4" ht="14.25" customHeight="1">
      <c r="D538" s="1"/>
    </row>
    <row r="539" spans="4:4" ht="14.25" customHeight="1">
      <c r="D539" s="1"/>
    </row>
    <row r="540" spans="4:4" ht="14.25" customHeight="1">
      <c r="D540" s="1"/>
    </row>
    <row r="541" spans="4:4" ht="14.25" customHeight="1">
      <c r="D541" s="1"/>
    </row>
    <row r="542" spans="4:4" ht="14.25" customHeight="1">
      <c r="D542" s="1"/>
    </row>
    <row r="543" spans="4:4" ht="14.25" customHeight="1">
      <c r="D543" s="1"/>
    </row>
    <row r="544" spans="4:4" ht="14.25" customHeight="1">
      <c r="D544" s="1"/>
    </row>
    <row r="545" spans="4:4" ht="14.25" customHeight="1">
      <c r="D545" s="1"/>
    </row>
    <row r="546" spans="4:4" ht="14.25" customHeight="1">
      <c r="D546" s="1"/>
    </row>
    <row r="547" spans="4:4" ht="14.25" customHeight="1">
      <c r="D547" s="1"/>
    </row>
    <row r="548" spans="4:4" ht="14.25" customHeight="1">
      <c r="D548" s="1"/>
    </row>
    <row r="549" spans="4:4" ht="14.25" customHeight="1">
      <c r="D549" s="1"/>
    </row>
    <row r="550" spans="4:4" ht="14.25" customHeight="1">
      <c r="D550" s="1"/>
    </row>
    <row r="551" spans="4:4" ht="14.25" customHeight="1">
      <c r="D551" s="1"/>
    </row>
    <row r="552" spans="4:4" ht="14.25" customHeight="1">
      <c r="D552" s="1"/>
    </row>
    <row r="553" spans="4:4" ht="14.25" customHeight="1">
      <c r="D553" s="1"/>
    </row>
    <row r="554" spans="4:4" ht="14.25" customHeight="1">
      <c r="D554" s="1"/>
    </row>
    <row r="555" spans="4:4" ht="14.25" customHeight="1">
      <c r="D555" s="1"/>
    </row>
    <row r="556" spans="4:4" ht="14.25" customHeight="1">
      <c r="D556" s="1"/>
    </row>
    <row r="557" spans="4:4" ht="14.25" customHeight="1">
      <c r="D557" s="1"/>
    </row>
    <row r="558" spans="4:4" ht="14.25" customHeight="1">
      <c r="D558" s="1"/>
    </row>
    <row r="559" spans="4:4" ht="14.25" customHeight="1">
      <c r="D559" s="1"/>
    </row>
    <row r="560" spans="4:4" ht="14.25" customHeight="1">
      <c r="D560" s="1"/>
    </row>
    <row r="561" spans="4:4" ht="14.25" customHeight="1">
      <c r="D561" s="1"/>
    </row>
    <row r="562" spans="4:4" ht="14.25" customHeight="1">
      <c r="D562" s="1"/>
    </row>
    <row r="563" spans="4:4" ht="14.25" customHeight="1">
      <c r="D563" s="1"/>
    </row>
    <row r="564" spans="4:4" ht="14.25" customHeight="1">
      <c r="D564" s="1"/>
    </row>
    <row r="565" spans="4:4" ht="14.25" customHeight="1">
      <c r="D565" s="1"/>
    </row>
    <row r="566" spans="4:4" ht="14.25" customHeight="1">
      <c r="D566" s="1"/>
    </row>
    <row r="567" spans="4:4" ht="14.25" customHeight="1">
      <c r="D567" s="1"/>
    </row>
    <row r="568" spans="4:4" ht="14.25" customHeight="1">
      <c r="D568" s="1"/>
    </row>
    <row r="569" spans="4:4" ht="14.25" customHeight="1">
      <c r="D569" s="1"/>
    </row>
    <row r="570" spans="4:4" ht="14.25" customHeight="1">
      <c r="D570" s="1"/>
    </row>
    <row r="571" spans="4:4" ht="14.25" customHeight="1">
      <c r="D571" s="1"/>
    </row>
    <row r="572" spans="4:4" ht="14.25" customHeight="1">
      <c r="D572" s="1"/>
    </row>
    <row r="573" spans="4:4" ht="14.25" customHeight="1">
      <c r="D573" s="1"/>
    </row>
    <row r="574" spans="4:4" ht="14.25" customHeight="1">
      <c r="D574" s="1"/>
    </row>
    <row r="575" spans="4:4" ht="14.25" customHeight="1">
      <c r="D575" s="1"/>
    </row>
    <row r="576" spans="4:4" ht="14.25" customHeight="1">
      <c r="D576" s="1"/>
    </row>
    <row r="577" spans="4:4" ht="14.25" customHeight="1">
      <c r="D577" s="1"/>
    </row>
    <row r="578" spans="4:4" ht="14.25" customHeight="1">
      <c r="D578" s="1"/>
    </row>
    <row r="579" spans="4:4" ht="14.25" customHeight="1">
      <c r="D579" s="1"/>
    </row>
    <row r="580" spans="4:4" ht="14.25" customHeight="1">
      <c r="D580" s="1"/>
    </row>
    <row r="581" spans="4:4" ht="14.25" customHeight="1">
      <c r="D581" s="1"/>
    </row>
    <row r="582" spans="4:4" ht="14.25" customHeight="1">
      <c r="D582" s="1"/>
    </row>
    <row r="583" spans="4:4" ht="14.25" customHeight="1">
      <c r="D583" s="1"/>
    </row>
    <row r="584" spans="4:4" ht="14.25" customHeight="1">
      <c r="D584" s="1"/>
    </row>
    <row r="585" spans="4:4" ht="14.25" customHeight="1">
      <c r="D585" s="1"/>
    </row>
    <row r="586" spans="4:4" ht="14.25" customHeight="1">
      <c r="D586" s="1"/>
    </row>
    <row r="587" spans="4:4" ht="14.25" customHeight="1">
      <c r="D587" s="1"/>
    </row>
    <row r="588" spans="4:4" ht="14.25" customHeight="1">
      <c r="D588" s="1"/>
    </row>
    <row r="589" spans="4:4" ht="14.25" customHeight="1">
      <c r="D589" s="1"/>
    </row>
    <row r="590" spans="4:4" ht="14.25" customHeight="1">
      <c r="D590" s="1"/>
    </row>
    <row r="591" spans="4:4" ht="14.25" customHeight="1">
      <c r="D591" s="1"/>
    </row>
    <row r="592" spans="4:4" ht="14.25" customHeight="1">
      <c r="D592" s="1"/>
    </row>
    <row r="593" spans="4:4" ht="14.25" customHeight="1">
      <c r="D593" s="1"/>
    </row>
    <row r="594" spans="4:4" ht="14.25" customHeight="1">
      <c r="D594" s="1"/>
    </row>
    <row r="595" spans="4:4" ht="14.25" customHeight="1">
      <c r="D595" s="1"/>
    </row>
    <row r="596" spans="4:4" ht="14.25" customHeight="1">
      <c r="D596" s="1"/>
    </row>
    <row r="597" spans="4:4" ht="14.25" customHeight="1">
      <c r="D597" s="1"/>
    </row>
    <row r="598" spans="4:4" ht="14.25" customHeight="1">
      <c r="D598" s="1"/>
    </row>
    <row r="599" spans="4:4" ht="14.25" customHeight="1">
      <c r="D599" s="1"/>
    </row>
    <row r="600" spans="4:4" ht="14.25" customHeight="1">
      <c r="D600" s="1"/>
    </row>
    <row r="601" spans="4:4" ht="14.25" customHeight="1">
      <c r="D601" s="1"/>
    </row>
    <row r="602" spans="4:4" ht="14.25" customHeight="1">
      <c r="D602" s="1"/>
    </row>
    <row r="603" spans="4:4" ht="14.25" customHeight="1">
      <c r="D603" s="1"/>
    </row>
    <row r="604" spans="4:4" ht="14.25" customHeight="1">
      <c r="D604" s="1"/>
    </row>
    <row r="605" spans="4:4" ht="14.25" customHeight="1">
      <c r="D605" s="1"/>
    </row>
    <row r="606" spans="4:4" ht="14.25" customHeight="1">
      <c r="D606" s="1"/>
    </row>
    <row r="607" spans="4:4" ht="14.25" customHeight="1">
      <c r="D607" s="1"/>
    </row>
    <row r="608" spans="4:4" ht="14.25" customHeight="1">
      <c r="D608" s="1"/>
    </row>
    <row r="609" spans="4:4" ht="14.25" customHeight="1">
      <c r="D609" s="1"/>
    </row>
    <row r="610" spans="4:4" ht="14.25" customHeight="1">
      <c r="D610" s="1"/>
    </row>
    <row r="611" spans="4:4" ht="14.25" customHeight="1">
      <c r="D611" s="1"/>
    </row>
    <row r="612" spans="4:4" ht="14.25" customHeight="1">
      <c r="D612" s="1"/>
    </row>
    <row r="613" spans="4:4" ht="14.25" customHeight="1">
      <c r="D613" s="1"/>
    </row>
    <row r="614" spans="4:4" ht="14.25" customHeight="1">
      <c r="D614" s="1"/>
    </row>
    <row r="615" spans="4:4" ht="14.25" customHeight="1">
      <c r="D615" s="1"/>
    </row>
    <row r="616" spans="4:4" ht="14.25" customHeight="1">
      <c r="D616" s="1"/>
    </row>
    <row r="617" spans="4:4" ht="14.25" customHeight="1">
      <c r="D617" s="1"/>
    </row>
    <row r="618" spans="4:4" ht="14.25" customHeight="1">
      <c r="D618" s="1"/>
    </row>
    <row r="619" spans="4:4" ht="14.25" customHeight="1">
      <c r="D619" s="1"/>
    </row>
    <row r="620" spans="4:4" ht="14.25" customHeight="1">
      <c r="D620" s="1"/>
    </row>
    <row r="621" spans="4:4" ht="14.25" customHeight="1">
      <c r="D621" s="1"/>
    </row>
    <row r="622" spans="4:4" ht="14.25" customHeight="1">
      <c r="D622" s="1"/>
    </row>
    <row r="623" spans="4:4" ht="14.25" customHeight="1">
      <c r="D623" s="1"/>
    </row>
    <row r="624" spans="4:4" ht="14.25" customHeight="1">
      <c r="D624" s="1"/>
    </row>
    <row r="625" spans="4:4" ht="14.25" customHeight="1">
      <c r="D625" s="1"/>
    </row>
    <row r="626" spans="4:4" ht="14.25" customHeight="1">
      <c r="D626" s="1"/>
    </row>
    <row r="627" spans="4:4" ht="14.25" customHeight="1">
      <c r="D627" s="1"/>
    </row>
    <row r="628" spans="4:4" ht="14.25" customHeight="1">
      <c r="D628" s="1"/>
    </row>
    <row r="629" spans="4:4" ht="14.25" customHeight="1">
      <c r="D629" s="1"/>
    </row>
    <row r="630" spans="4:4" ht="14.25" customHeight="1">
      <c r="D630" s="1"/>
    </row>
    <row r="631" spans="4:4" ht="14.25" customHeight="1">
      <c r="D631" s="1"/>
    </row>
    <row r="632" spans="4:4" ht="14.25" customHeight="1">
      <c r="D632" s="1"/>
    </row>
    <row r="633" spans="4:4" ht="14.25" customHeight="1">
      <c r="D633" s="1"/>
    </row>
    <row r="634" spans="4:4" ht="14.25" customHeight="1">
      <c r="D634" s="1"/>
    </row>
    <row r="635" spans="4:4" ht="14.25" customHeight="1">
      <c r="D635" s="1"/>
    </row>
    <row r="636" spans="4:4" ht="14.25" customHeight="1">
      <c r="D636" s="1"/>
    </row>
    <row r="637" spans="4:4" ht="14.25" customHeight="1">
      <c r="D637" s="1"/>
    </row>
    <row r="638" spans="4:4" ht="14.25" customHeight="1">
      <c r="D638" s="1"/>
    </row>
    <row r="639" spans="4:4" ht="14.25" customHeight="1">
      <c r="D639" s="1"/>
    </row>
    <row r="640" spans="4:4" ht="14.25" customHeight="1">
      <c r="D640" s="1"/>
    </row>
    <row r="641" spans="4:4" ht="14.25" customHeight="1">
      <c r="D641" s="1"/>
    </row>
    <row r="642" spans="4:4" ht="14.25" customHeight="1">
      <c r="D642" s="1"/>
    </row>
    <row r="643" spans="4:4" ht="14.25" customHeight="1">
      <c r="D643" s="1"/>
    </row>
    <row r="644" spans="4:4" ht="14.25" customHeight="1">
      <c r="D644" s="1"/>
    </row>
    <row r="645" spans="4:4" ht="14.25" customHeight="1">
      <c r="D645" s="1"/>
    </row>
    <row r="646" spans="4:4" ht="14.25" customHeight="1">
      <c r="D646" s="1"/>
    </row>
    <row r="647" spans="4:4" ht="14.25" customHeight="1">
      <c r="D647" s="1"/>
    </row>
    <row r="648" spans="4:4" ht="14.25" customHeight="1">
      <c r="D648" s="1"/>
    </row>
    <row r="649" spans="4:4" ht="14.25" customHeight="1">
      <c r="D649" s="1"/>
    </row>
    <row r="650" spans="4:4" ht="14.25" customHeight="1">
      <c r="D650" s="1"/>
    </row>
    <row r="651" spans="4:4" ht="14.25" customHeight="1">
      <c r="D651" s="1"/>
    </row>
    <row r="652" spans="4:4" ht="14.25" customHeight="1">
      <c r="D652" s="1"/>
    </row>
    <row r="653" spans="4:4" ht="14.25" customHeight="1">
      <c r="D653" s="1"/>
    </row>
    <row r="654" spans="4:4" ht="14.25" customHeight="1">
      <c r="D654" s="1"/>
    </row>
    <row r="655" spans="4:4" ht="14.25" customHeight="1">
      <c r="D655" s="1"/>
    </row>
    <row r="656" spans="4:4" ht="14.25" customHeight="1">
      <c r="D656" s="1"/>
    </row>
    <row r="657" spans="4:4" ht="14.25" customHeight="1">
      <c r="D657" s="1"/>
    </row>
    <row r="658" spans="4:4" ht="14.25" customHeight="1">
      <c r="D658" s="1"/>
    </row>
    <row r="659" spans="4:4" ht="14.25" customHeight="1">
      <c r="D659" s="1"/>
    </row>
    <row r="660" spans="4:4" ht="14.25" customHeight="1">
      <c r="D660" s="1"/>
    </row>
    <row r="661" spans="4:4" ht="14.25" customHeight="1">
      <c r="D661" s="1"/>
    </row>
    <row r="662" spans="4:4" ht="14.25" customHeight="1">
      <c r="D662" s="1"/>
    </row>
    <row r="663" spans="4:4" ht="14.25" customHeight="1">
      <c r="D663" s="1"/>
    </row>
    <row r="664" spans="4:4" ht="14.25" customHeight="1">
      <c r="D664" s="1"/>
    </row>
    <row r="665" spans="4:4" ht="14.25" customHeight="1">
      <c r="D665" s="1"/>
    </row>
    <row r="666" spans="4:4" ht="14.25" customHeight="1">
      <c r="D666" s="1"/>
    </row>
    <row r="667" spans="4:4" ht="14.25" customHeight="1">
      <c r="D667" s="1"/>
    </row>
    <row r="668" spans="4:4" ht="14.25" customHeight="1">
      <c r="D668" s="1"/>
    </row>
    <row r="669" spans="4:4" ht="14.25" customHeight="1">
      <c r="D669" s="1"/>
    </row>
    <row r="670" spans="4:4" ht="14.25" customHeight="1">
      <c r="D670" s="1"/>
    </row>
    <row r="671" spans="4:4" ht="14.25" customHeight="1">
      <c r="D671" s="1"/>
    </row>
    <row r="672" spans="4:4" ht="14.25" customHeight="1">
      <c r="D672" s="1"/>
    </row>
    <row r="673" spans="4:4" ht="14.25" customHeight="1">
      <c r="D673" s="1"/>
    </row>
    <row r="674" spans="4:4" ht="14.25" customHeight="1">
      <c r="D674" s="1"/>
    </row>
    <row r="675" spans="4:4" ht="14.25" customHeight="1">
      <c r="D675" s="1"/>
    </row>
    <row r="676" spans="4:4" ht="14.25" customHeight="1">
      <c r="D676" s="1"/>
    </row>
    <row r="677" spans="4:4" ht="14.25" customHeight="1">
      <c r="D677" s="1"/>
    </row>
    <row r="678" spans="4:4" ht="14.25" customHeight="1">
      <c r="D678" s="1"/>
    </row>
    <row r="679" spans="4:4" ht="14.25" customHeight="1">
      <c r="D679" s="1"/>
    </row>
    <row r="680" spans="4:4" ht="14.25" customHeight="1">
      <c r="D680" s="1"/>
    </row>
    <row r="681" spans="4:4" ht="14.25" customHeight="1">
      <c r="D681" s="1"/>
    </row>
    <row r="682" spans="4:4" ht="14.25" customHeight="1">
      <c r="D682" s="1"/>
    </row>
    <row r="683" spans="4:4" ht="14.25" customHeight="1">
      <c r="D683" s="1"/>
    </row>
    <row r="684" spans="4:4" ht="14.25" customHeight="1">
      <c r="D684" s="1"/>
    </row>
    <row r="685" spans="4:4" ht="14.25" customHeight="1">
      <c r="D685" s="1"/>
    </row>
    <row r="686" spans="4:4" ht="14.25" customHeight="1">
      <c r="D686" s="1"/>
    </row>
    <row r="687" spans="4:4" ht="14.25" customHeight="1">
      <c r="D687" s="1"/>
    </row>
    <row r="688" spans="4:4" ht="14.25" customHeight="1">
      <c r="D688" s="1"/>
    </row>
    <row r="689" spans="4:4" ht="14.25" customHeight="1">
      <c r="D689" s="1"/>
    </row>
    <row r="690" spans="4:4" ht="14.25" customHeight="1">
      <c r="D690" s="1"/>
    </row>
    <row r="691" spans="4:4" ht="14.25" customHeight="1">
      <c r="D691" s="1"/>
    </row>
    <row r="692" spans="4:4" ht="14.25" customHeight="1">
      <c r="D692" s="1"/>
    </row>
    <row r="693" spans="4:4" ht="14.25" customHeight="1">
      <c r="D693" s="1"/>
    </row>
    <row r="694" spans="4:4" ht="14.25" customHeight="1">
      <c r="D694" s="1"/>
    </row>
    <row r="695" spans="4:4" ht="14.25" customHeight="1">
      <c r="D695" s="1"/>
    </row>
    <row r="696" spans="4:4" ht="14.25" customHeight="1">
      <c r="D696" s="1"/>
    </row>
    <row r="697" spans="4:4" ht="14.25" customHeight="1">
      <c r="D697" s="1"/>
    </row>
    <row r="698" spans="4:4" ht="14.25" customHeight="1">
      <c r="D698" s="1"/>
    </row>
    <row r="699" spans="4:4" ht="14.25" customHeight="1">
      <c r="D699" s="1"/>
    </row>
    <row r="700" spans="4:4" ht="14.25" customHeight="1">
      <c r="D700" s="1"/>
    </row>
    <row r="701" spans="4:4" ht="14.25" customHeight="1">
      <c r="D701" s="1"/>
    </row>
    <row r="702" spans="4:4" ht="14.25" customHeight="1">
      <c r="D702" s="1"/>
    </row>
    <row r="703" spans="4:4" ht="14.25" customHeight="1">
      <c r="D703" s="1"/>
    </row>
    <row r="704" spans="4:4" ht="14.25" customHeight="1">
      <c r="D704" s="1"/>
    </row>
    <row r="705" spans="4:4" ht="14.25" customHeight="1">
      <c r="D705" s="1"/>
    </row>
    <row r="706" spans="4:4" ht="14.25" customHeight="1">
      <c r="D706" s="1"/>
    </row>
    <row r="707" spans="4:4" ht="14.25" customHeight="1">
      <c r="D707" s="1"/>
    </row>
    <row r="708" spans="4:4" ht="14.25" customHeight="1">
      <c r="D708" s="1"/>
    </row>
    <row r="709" spans="4:4" ht="14.25" customHeight="1">
      <c r="D709" s="1"/>
    </row>
    <row r="710" spans="4:4" ht="14.25" customHeight="1">
      <c r="D710" s="1"/>
    </row>
    <row r="711" spans="4:4" ht="14.25" customHeight="1">
      <c r="D711" s="1"/>
    </row>
    <row r="712" spans="4:4" ht="14.25" customHeight="1">
      <c r="D712" s="1"/>
    </row>
    <row r="713" spans="4:4" ht="14.25" customHeight="1">
      <c r="D713" s="1"/>
    </row>
    <row r="714" spans="4:4" ht="14.25" customHeight="1">
      <c r="D714" s="1"/>
    </row>
    <row r="715" spans="4:4" ht="14.25" customHeight="1">
      <c r="D715" s="1"/>
    </row>
    <row r="716" spans="4:4" ht="14.25" customHeight="1">
      <c r="D716" s="1"/>
    </row>
    <row r="717" spans="4:4" ht="14.25" customHeight="1">
      <c r="D717" s="1"/>
    </row>
    <row r="718" spans="4:4" ht="14.25" customHeight="1">
      <c r="D718" s="1"/>
    </row>
    <row r="719" spans="4:4" ht="14.25" customHeight="1">
      <c r="D719" s="1"/>
    </row>
    <row r="720" spans="4:4" ht="14.25" customHeight="1">
      <c r="D720" s="1"/>
    </row>
    <row r="721" spans="4:4" ht="14.25" customHeight="1">
      <c r="D721" s="1"/>
    </row>
    <row r="722" spans="4:4" ht="14.25" customHeight="1">
      <c r="D722" s="1"/>
    </row>
    <row r="723" spans="4:4" ht="14.25" customHeight="1">
      <c r="D723" s="1"/>
    </row>
    <row r="724" spans="4:4" ht="14.25" customHeight="1">
      <c r="D724" s="1"/>
    </row>
    <row r="725" spans="4:4" ht="14.25" customHeight="1">
      <c r="D725" s="1"/>
    </row>
    <row r="726" spans="4:4" ht="14.25" customHeight="1">
      <c r="D726" s="1"/>
    </row>
    <row r="727" spans="4:4" ht="14.25" customHeight="1">
      <c r="D727" s="1"/>
    </row>
    <row r="728" spans="4:4" ht="14.25" customHeight="1">
      <c r="D728" s="1"/>
    </row>
    <row r="729" spans="4:4" ht="14.25" customHeight="1">
      <c r="D729" s="1"/>
    </row>
    <row r="730" spans="4:4" ht="14.25" customHeight="1">
      <c r="D730" s="1"/>
    </row>
    <row r="731" spans="4:4" ht="14.25" customHeight="1">
      <c r="D731" s="1"/>
    </row>
    <row r="732" spans="4:4" ht="14.25" customHeight="1">
      <c r="D732" s="1"/>
    </row>
    <row r="733" spans="4:4" ht="14.25" customHeight="1">
      <c r="D733" s="1"/>
    </row>
    <row r="734" spans="4:4" ht="14.25" customHeight="1">
      <c r="D734" s="1"/>
    </row>
    <row r="735" spans="4:4" ht="14.25" customHeight="1">
      <c r="D735" s="1"/>
    </row>
    <row r="736" spans="4:4" ht="14.25" customHeight="1">
      <c r="D736" s="1"/>
    </row>
    <row r="737" spans="4:4" ht="14.25" customHeight="1">
      <c r="D737" s="1"/>
    </row>
    <row r="738" spans="4:4" ht="14.25" customHeight="1">
      <c r="D738" s="1"/>
    </row>
    <row r="739" spans="4:4" ht="14.25" customHeight="1">
      <c r="D739" s="1"/>
    </row>
    <row r="740" spans="4:4" ht="14.25" customHeight="1">
      <c r="D740" s="1"/>
    </row>
    <row r="741" spans="4:4" ht="14.25" customHeight="1">
      <c r="D741" s="1"/>
    </row>
    <row r="742" spans="4:4" ht="14.25" customHeight="1">
      <c r="D742" s="1"/>
    </row>
    <row r="743" spans="4:4" ht="14.25" customHeight="1">
      <c r="D743" s="1"/>
    </row>
    <row r="744" spans="4:4" ht="14.25" customHeight="1">
      <c r="D744" s="1"/>
    </row>
    <row r="745" spans="4:4" ht="14.25" customHeight="1">
      <c r="D745" s="1"/>
    </row>
    <row r="746" spans="4:4" ht="14.25" customHeight="1">
      <c r="D746" s="1"/>
    </row>
    <row r="747" spans="4:4" ht="14.25" customHeight="1">
      <c r="D747" s="1"/>
    </row>
    <row r="748" spans="4:4" ht="14.25" customHeight="1">
      <c r="D748" s="1"/>
    </row>
    <row r="749" spans="4:4" ht="14.25" customHeight="1">
      <c r="D749" s="1"/>
    </row>
    <row r="750" spans="4:4" ht="14.25" customHeight="1">
      <c r="D750" s="1"/>
    </row>
    <row r="751" spans="4:4" ht="14.25" customHeight="1">
      <c r="D751" s="1"/>
    </row>
    <row r="752" spans="4:4" ht="14.25" customHeight="1">
      <c r="D752" s="1"/>
    </row>
    <row r="753" spans="4:4" ht="14.25" customHeight="1">
      <c r="D753" s="1"/>
    </row>
    <row r="754" spans="4:4" ht="14.25" customHeight="1">
      <c r="D754" s="1"/>
    </row>
    <row r="755" spans="4:4" ht="14.25" customHeight="1">
      <c r="D755" s="1"/>
    </row>
    <row r="756" spans="4:4" ht="14.25" customHeight="1">
      <c r="D756" s="1"/>
    </row>
    <row r="757" spans="4:4" ht="14.25" customHeight="1">
      <c r="D757" s="1"/>
    </row>
    <row r="758" spans="4:4" ht="14.25" customHeight="1">
      <c r="D758" s="1"/>
    </row>
    <row r="759" spans="4:4" ht="14.25" customHeight="1">
      <c r="D759" s="1"/>
    </row>
    <row r="760" spans="4:4" ht="14.25" customHeight="1">
      <c r="D760" s="1"/>
    </row>
    <row r="761" spans="4:4" ht="14.25" customHeight="1">
      <c r="D761" s="1"/>
    </row>
    <row r="762" spans="4:4" ht="14.25" customHeight="1">
      <c r="D762" s="1"/>
    </row>
    <row r="763" spans="4:4" ht="14.25" customHeight="1">
      <c r="D763" s="1"/>
    </row>
    <row r="764" spans="4:4" ht="14.25" customHeight="1">
      <c r="D764" s="1"/>
    </row>
    <row r="765" spans="4:4" ht="14.25" customHeight="1">
      <c r="D765" s="1"/>
    </row>
    <row r="766" spans="4:4" ht="14.25" customHeight="1">
      <c r="D766" s="1"/>
    </row>
    <row r="767" spans="4:4" ht="14.25" customHeight="1">
      <c r="D767" s="1"/>
    </row>
    <row r="768" spans="4:4" ht="14.25" customHeight="1">
      <c r="D768" s="1"/>
    </row>
    <row r="769" spans="4:4" ht="14.25" customHeight="1">
      <c r="D769" s="1"/>
    </row>
    <row r="770" spans="4:4" ht="14.25" customHeight="1">
      <c r="D770" s="1"/>
    </row>
    <row r="771" spans="4:4" ht="14.25" customHeight="1">
      <c r="D771" s="1"/>
    </row>
    <row r="772" spans="4:4" ht="14.25" customHeight="1">
      <c r="D772" s="1"/>
    </row>
    <row r="773" spans="4:4" ht="14.25" customHeight="1">
      <c r="D773" s="1"/>
    </row>
    <row r="774" spans="4:4" ht="14.25" customHeight="1">
      <c r="D774" s="1"/>
    </row>
    <row r="775" spans="4:4" ht="14.25" customHeight="1">
      <c r="D775" s="1"/>
    </row>
    <row r="776" spans="4:4" ht="14.25" customHeight="1">
      <c r="D776" s="1"/>
    </row>
    <row r="777" spans="4:4" ht="14.25" customHeight="1">
      <c r="D777" s="1"/>
    </row>
    <row r="778" spans="4:4" ht="14.25" customHeight="1">
      <c r="D778" s="1"/>
    </row>
    <row r="779" spans="4:4" ht="14.25" customHeight="1">
      <c r="D779" s="1"/>
    </row>
    <row r="780" spans="4:4" ht="14.25" customHeight="1">
      <c r="D780" s="1"/>
    </row>
    <row r="781" spans="4:4" ht="14.25" customHeight="1">
      <c r="D781" s="1"/>
    </row>
    <row r="782" spans="4:4" ht="14.25" customHeight="1">
      <c r="D782" s="1"/>
    </row>
    <row r="783" spans="4:4" ht="14.25" customHeight="1">
      <c r="D783" s="1"/>
    </row>
    <row r="784" spans="4:4" ht="14.25" customHeight="1">
      <c r="D784" s="1"/>
    </row>
    <row r="785" spans="4:4" ht="14.25" customHeight="1">
      <c r="D785" s="1"/>
    </row>
    <row r="786" spans="4:4" ht="14.25" customHeight="1">
      <c r="D786" s="1"/>
    </row>
    <row r="787" spans="4:4" ht="14.25" customHeight="1">
      <c r="D787" s="1"/>
    </row>
    <row r="788" spans="4:4" ht="14.25" customHeight="1">
      <c r="D788" s="1"/>
    </row>
    <row r="789" spans="4:4" ht="14.25" customHeight="1">
      <c r="D789" s="1"/>
    </row>
    <row r="790" spans="4:4" ht="14.25" customHeight="1">
      <c r="D790" s="1"/>
    </row>
    <row r="791" spans="4:4" ht="14.25" customHeight="1">
      <c r="D791" s="1"/>
    </row>
    <row r="792" spans="4:4" ht="14.25" customHeight="1">
      <c r="D792" s="1"/>
    </row>
    <row r="793" spans="4:4" ht="14.25" customHeight="1">
      <c r="D793" s="1"/>
    </row>
    <row r="794" spans="4:4" ht="14.25" customHeight="1">
      <c r="D794" s="1"/>
    </row>
    <row r="795" spans="4:4" ht="14.25" customHeight="1">
      <c r="D795" s="1"/>
    </row>
    <row r="796" spans="4:4" ht="14.25" customHeight="1">
      <c r="D796" s="1"/>
    </row>
    <row r="797" spans="4:4" ht="14.25" customHeight="1">
      <c r="D797" s="1"/>
    </row>
    <row r="798" spans="4:4" ht="14.25" customHeight="1">
      <c r="D798" s="1"/>
    </row>
    <row r="799" spans="4:4" ht="14.25" customHeight="1">
      <c r="D799" s="1"/>
    </row>
    <row r="800" spans="4:4" ht="14.25" customHeight="1">
      <c r="D800" s="1"/>
    </row>
    <row r="801" spans="4:4" ht="14.25" customHeight="1">
      <c r="D801" s="1"/>
    </row>
    <row r="802" spans="4:4" ht="14.25" customHeight="1">
      <c r="D802" s="1"/>
    </row>
    <row r="803" spans="4:4" ht="14.25" customHeight="1">
      <c r="D803" s="1"/>
    </row>
    <row r="804" spans="4:4" ht="14.25" customHeight="1">
      <c r="D804" s="1"/>
    </row>
    <row r="805" spans="4:4" ht="14.25" customHeight="1">
      <c r="D805" s="1"/>
    </row>
    <row r="806" spans="4:4" ht="14.25" customHeight="1">
      <c r="D806" s="1"/>
    </row>
    <row r="807" spans="4:4" ht="14.25" customHeight="1">
      <c r="D807" s="1"/>
    </row>
    <row r="808" spans="4:4" ht="14.25" customHeight="1">
      <c r="D808" s="1"/>
    </row>
    <row r="809" spans="4:4" ht="14.25" customHeight="1">
      <c r="D809" s="1"/>
    </row>
    <row r="810" spans="4:4" ht="14.25" customHeight="1">
      <c r="D810" s="1"/>
    </row>
    <row r="811" spans="4:4" ht="14.25" customHeight="1">
      <c r="D811" s="1"/>
    </row>
    <row r="812" spans="4:4" ht="14.25" customHeight="1">
      <c r="D812" s="1"/>
    </row>
    <row r="813" spans="4:4" ht="14.25" customHeight="1">
      <c r="D813" s="1"/>
    </row>
    <row r="814" spans="4:4" ht="14.25" customHeight="1">
      <c r="D814" s="1"/>
    </row>
    <row r="815" spans="4:4" ht="14.25" customHeight="1">
      <c r="D815" s="1"/>
    </row>
    <row r="816" spans="4:4" ht="14.25" customHeight="1">
      <c r="D816" s="1"/>
    </row>
    <row r="817" spans="4:4" ht="14.25" customHeight="1">
      <c r="D817" s="1"/>
    </row>
    <row r="818" spans="4:4" ht="14.25" customHeight="1">
      <c r="D818" s="1"/>
    </row>
    <row r="819" spans="4:4" ht="14.25" customHeight="1">
      <c r="D819" s="1"/>
    </row>
    <row r="820" spans="4:4" ht="14.25" customHeight="1">
      <c r="D820" s="1"/>
    </row>
    <row r="821" spans="4:4" ht="14.25" customHeight="1">
      <c r="D821" s="1"/>
    </row>
    <row r="822" spans="4:4" ht="14.25" customHeight="1">
      <c r="D822" s="1"/>
    </row>
    <row r="823" spans="4:4" ht="14.25" customHeight="1">
      <c r="D823" s="1"/>
    </row>
    <row r="824" spans="4:4" ht="14.25" customHeight="1">
      <c r="D824" s="1"/>
    </row>
    <row r="825" spans="4:4" ht="14.25" customHeight="1">
      <c r="D825" s="1"/>
    </row>
    <row r="826" spans="4:4" ht="14.25" customHeight="1">
      <c r="D826" s="1"/>
    </row>
    <row r="827" spans="4:4" ht="14.25" customHeight="1">
      <c r="D827" s="1"/>
    </row>
    <row r="828" spans="4:4" ht="14.25" customHeight="1">
      <c r="D828" s="1"/>
    </row>
    <row r="829" spans="4:4" ht="14.25" customHeight="1">
      <c r="D829" s="1"/>
    </row>
    <row r="830" spans="4:4" ht="14.25" customHeight="1">
      <c r="D830" s="1"/>
    </row>
    <row r="831" spans="4:4" ht="14.25" customHeight="1">
      <c r="D831" s="1"/>
    </row>
    <row r="832" spans="4:4" ht="14.25" customHeight="1">
      <c r="D832" s="1"/>
    </row>
    <row r="833" spans="4:4" ht="14.25" customHeight="1">
      <c r="D833" s="1"/>
    </row>
    <row r="834" spans="4:4" ht="14.25" customHeight="1">
      <c r="D834" s="1"/>
    </row>
    <row r="835" spans="4:4" ht="14.25" customHeight="1">
      <c r="D835" s="1"/>
    </row>
    <row r="836" spans="4:4" ht="14.25" customHeight="1">
      <c r="D836" s="1"/>
    </row>
    <row r="837" spans="4:4" ht="14.25" customHeight="1">
      <c r="D837" s="1"/>
    </row>
    <row r="838" spans="4:4" ht="14.25" customHeight="1">
      <c r="D838" s="1"/>
    </row>
    <row r="839" spans="4:4" ht="14.25" customHeight="1">
      <c r="D839" s="1"/>
    </row>
    <row r="840" spans="4:4" ht="14.25" customHeight="1">
      <c r="D840" s="1"/>
    </row>
    <row r="841" spans="4:4" ht="14.25" customHeight="1">
      <c r="D841" s="1"/>
    </row>
    <row r="842" spans="4:4" ht="14.25" customHeight="1">
      <c r="D842" s="1"/>
    </row>
    <row r="843" spans="4:4" ht="14.25" customHeight="1">
      <c r="D843" s="1"/>
    </row>
    <row r="844" spans="4:4" ht="14.25" customHeight="1">
      <c r="D844" s="1"/>
    </row>
    <row r="845" spans="4:4" ht="14.25" customHeight="1">
      <c r="D845" s="1"/>
    </row>
    <row r="846" spans="4:4" ht="14.25" customHeight="1">
      <c r="D846" s="1"/>
    </row>
    <row r="847" spans="4:4" ht="14.25" customHeight="1">
      <c r="D847" s="1"/>
    </row>
    <row r="848" spans="4:4" ht="14.25" customHeight="1">
      <c r="D848" s="1"/>
    </row>
    <row r="849" spans="4:4" ht="14.25" customHeight="1">
      <c r="D849" s="1"/>
    </row>
    <row r="850" spans="4:4" ht="14.25" customHeight="1">
      <c r="D850" s="1"/>
    </row>
    <row r="851" spans="4:4" ht="14.25" customHeight="1">
      <c r="D851" s="1"/>
    </row>
    <row r="852" spans="4:4" ht="14.25" customHeight="1">
      <c r="D852" s="1"/>
    </row>
    <row r="853" spans="4:4" ht="14.25" customHeight="1">
      <c r="D853" s="1"/>
    </row>
    <row r="854" spans="4:4" ht="14.25" customHeight="1">
      <c r="D854" s="1"/>
    </row>
    <row r="855" spans="4:4" ht="14.25" customHeight="1">
      <c r="D855" s="1"/>
    </row>
    <row r="856" spans="4:4" ht="14.25" customHeight="1">
      <c r="D856" s="1"/>
    </row>
    <row r="857" spans="4:4" ht="14.25" customHeight="1">
      <c r="D857" s="1"/>
    </row>
    <row r="858" spans="4:4" ht="14.25" customHeight="1">
      <c r="D858" s="1"/>
    </row>
    <row r="859" spans="4:4" ht="14.25" customHeight="1">
      <c r="D859" s="1"/>
    </row>
    <row r="860" spans="4:4" ht="14.25" customHeight="1">
      <c r="D860" s="1"/>
    </row>
    <row r="861" spans="4:4" ht="14.25" customHeight="1">
      <c r="D861" s="1"/>
    </row>
    <row r="862" spans="4:4" ht="14.25" customHeight="1">
      <c r="D862" s="1"/>
    </row>
    <row r="863" spans="4:4" ht="14.25" customHeight="1">
      <c r="D863" s="1"/>
    </row>
    <row r="864" spans="4:4" ht="14.25" customHeight="1">
      <c r="D864" s="1"/>
    </row>
    <row r="865" spans="4:4" ht="14.25" customHeight="1">
      <c r="D865" s="1"/>
    </row>
    <row r="866" spans="4:4" ht="14.25" customHeight="1">
      <c r="D866" s="1"/>
    </row>
    <row r="867" spans="4:4" ht="14.25" customHeight="1">
      <c r="D867" s="1"/>
    </row>
    <row r="868" spans="4:4" ht="14.25" customHeight="1">
      <c r="D868" s="1"/>
    </row>
    <row r="869" spans="4:4" ht="14.25" customHeight="1">
      <c r="D869" s="1"/>
    </row>
    <row r="870" spans="4:4" ht="14.25" customHeight="1">
      <c r="D870" s="1"/>
    </row>
    <row r="871" spans="4:4" ht="14.25" customHeight="1">
      <c r="D871" s="1"/>
    </row>
    <row r="872" spans="4:4" ht="14.25" customHeight="1">
      <c r="D872" s="1"/>
    </row>
    <row r="873" spans="4:4" ht="14.25" customHeight="1">
      <c r="D873" s="1"/>
    </row>
    <row r="874" spans="4:4" ht="14.25" customHeight="1">
      <c r="D874" s="1"/>
    </row>
    <row r="875" spans="4:4" ht="14.25" customHeight="1">
      <c r="D875" s="1"/>
    </row>
    <row r="876" spans="4:4" ht="14.25" customHeight="1">
      <c r="D876" s="1"/>
    </row>
    <row r="877" spans="4:4" ht="14.25" customHeight="1">
      <c r="D877" s="1"/>
    </row>
    <row r="878" spans="4:4" ht="14.25" customHeight="1">
      <c r="D878" s="1"/>
    </row>
    <row r="879" spans="4:4" ht="14.25" customHeight="1">
      <c r="D879" s="1"/>
    </row>
    <row r="880" spans="4:4" ht="14.25" customHeight="1">
      <c r="D880" s="1"/>
    </row>
    <row r="881" spans="4:4" ht="14.25" customHeight="1">
      <c r="D881" s="1"/>
    </row>
    <row r="882" spans="4:4" ht="14.25" customHeight="1">
      <c r="D882" s="1"/>
    </row>
    <row r="883" spans="4:4" ht="14.25" customHeight="1">
      <c r="D883" s="1"/>
    </row>
    <row r="884" spans="4:4" ht="14.25" customHeight="1">
      <c r="D884" s="1"/>
    </row>
    <row r="885" spans="4:4" ht="14.25" customHeight="1">
      <c r="D885" s="1"/>
    </row>
    <row r="886" spans="4:4" ht="14.25" customHeight="1">
      <c r="D886" s="1"/>
    </row>
    <row r="887" spans="4:4" ht="14.25" customHeight="1">
      <c r="D887" s="1"/>
    </row>
    <row r="888" spans="4:4" ht="14.25" customHeight="1">
      <c r="D888" s="1"/>
    </row>
    <row r="889" spans="4:4" ht="14.25" customHeight="1">
      <c r="D889" s="1"/>
    </row>
    <row r="890" spans="4:4" ht="14.25" customHeight="1">
      <c r="D890" s="1"/>
    </row>
    <row r="891" spans="4:4" ht="14.25" customHeight="1">
      <c r="D891" s="1"/>
    </row>
    <row r="892" spans="4:4" ht="14.25" customHeight="1">
      <c r="D892" s="1"/>
    </row>
    <row r="893" spans="4:4" ht="14.25" customHeight="1">
      <c r="D893" s="1"/>
    </row>
    <row r="894" spans="4:4" ht="14.25" customHeight="1">
      <c r="D894" s="1"/>
    </row>
    <row r="895" spans="4:4" ht="14.25" customHeight="1">
      <c r="D895" s="1"/>
    </row>
    <row r="896" spans="4:4" ht="14.25" customHeight="1">
      <c r="D896" s="1"/>
    </row>
    <row r="897" spans="4:4" ht="14.25" customHeight="1">
      <c r="D897" s="1"/>
    </row>
    <row r="898" spans="4:4" ht="14.25" customHeight="1">
      <c r="D898" s="1"/>
    </row>
    <row r="899" spans="4:4" ht="14.25" customHeight="1">
      <c r="D899" s="1"/>
    </row>
    <row r="900" spans="4:4" ht="14.25" customHeight="1">
      <c r="D900" s="1"/>
    </row>
    <row r="901" spans="4:4" ht="14.25" customHeight="1">
      <c r="D901" s="1"/>
    </row>
    <row r="902" spans="4:4" ht="14.25" customHeight="1">
      <c r="D902" s="1"/>
    </row>
    <row r="903" spans="4:4" ht="14.25" customHeight="1">
      <c r="D903" s="1"/>
    </row>
    <row r="904" spans="4:4" ht="14.25" customHeight="1">
      <c r="D904" s="1"/>
    </row>
    <row r="905" spans="4:4" ht="14.25" customHeight="1">
      <c r="D905" s="1"/>
    </row>
    <row r="906" spans="4:4" ht="14.25" customHeight="1">
      <c r="D906" s="1"/>
    </row>
    <row r="907" spans="4:4" ht="14.25" customHeight="1">
      <c r="D907" s="1"/>
    </row>
    <row r="908" spans="4:4" ht="14.25" customHeight="1">
      <c r="D908" s="1"/>
    </row>
    <row r="909" spans="4:4" ht="14.25" customHeight="1">
      <c r="D909" s="1"/>
    </row>
    <row r="910" spans="4:4" ht="14.25" customHeight="1">
      <c r="D910" s="1"/>
    </row>
    <row r="911" spans="4:4" ht="14.25" customHeight="1">
      <c r="D911" s="1"/>
    </row>
    <row r="912" spans="4:4" ht="14.25" customHeight="1">
      <c r="D912" s="1"/>
    </row>
    <row r="913" spans="4:4" ht="14.25" customHeight="1">
      <c r="D913" s="1"/>
    </row>
    <row r="914" spans="4:4" ht="14.25" customHeight="1">
      <c r="D914" s="1"/>
    </row>
    <row r="915" spans="4:4" ht="14.25" customHeight="1">
      <c r="D915" s="1"/>
    </row>
    <row r="916" spans="4:4" ht="14.25" customHeight="1">
      <c r="D916" s="1"/>
    </row>
    <row r="917" spans="4:4" ht="14.25" customHeight="1">
      <c r="D917" s="1"/>
    </row>
    <row r="918" spans="4:4" ht="14.25" customHeight="1">
      <c r="D918" s="1"/>
    </row>
    <row r="919" spans="4:4" ht="14.25" customHeight="1">
      <c r="D919" s="1"/>
    </row>
    <row r="920" spans="4:4" ht="14.25" customHeight="1">
      <c r="D920" s="1"/>
    </row>
    <row r="921" spans="4:4" ht="14.25" customHeight="1">
      <c r="D921" s="1"/>
    </row>
    <row r="922" spans="4:4" ht="14.25" customHeight="1">
      <c r="D922" s="1"/>
    </row>
    <row r="923" spans="4:4" ht="14.25" customHeight="1">
      <c r="D923" s="1"/>
    </row>
    <row r="924" spans="4:4" ht="14.25" customHeight="1">
      <c r="D924" s="1"/>
    </row>
    <row r="925" spans="4:4" ht="14.25" customHeight="1">
      <c r="D925" s="1"/>
    </row>
    <row r="926" spans="4:4" ht="14.25" customHeight="1">
      <c r="D926" s="1"/>
    </row>
    <row r="927" spans="4:4" ht="14.25" customHeight="1">
      <c r="D927" s="1"/>
    </row>
    <row r="928" spans="4:4" ht="14.25" customHeight="1">
      <c r="D928" s="1"/>
    </row>
    <row r="929" spans="4:4" ht="14.25" customHeight="1">
      <c r="D929" s="1"/>
    </row>
    <row r="930" spans="4:4" ht="14.25" customHeight="1">
      <c r="D930" s="1"/>
    </row>
    <row r="931" spans="4:4" ht="14.25" customHeight="1">
      <c r="D931" s="1"/>
    </row>
    <row r="932" spans="4:4" ht="14.25" customHeight="1">
      <c r="D932" s="1"/>
    </row>
    <row r="933" spans="4:4" ht="14.25" customHeight="1">
      <c r="D933" s="1"/>
    </row>
    <row r="934" spans="4:4" ht="14.25" customHeight="1">
      <c r="D934" s="1"/>
    </row>
    <row r="935" spans="4:4" ht="14.25" customHeight="1">
      <c r="D935" s="1"/>
    </row>
    <row r="936" spans="4:4" ht="14.25" customHeight="1">
      <c r="D936" s="1"/>
    </row>
    <row r="937" spans="4:4" ht="14.25" customHeight="1">
      <c r="D937" s="1"/>
    </row>
    <row r="938" spans="4:4" ht="14.25" customHeight="1">
      <c r="D938" s="1"/>
    </row>
    <row r="939" spans="4:4" ht="14.25" customHeight="1">
      <c r="D939" s="1"/>
    </row>
    <row r="940" spans="4:4" ht="14.25" customHeight="1">
      <c r="D940" s="1"/>
    </row>
    <row r="941" spans="4:4" ht="14.25" customHeight="1">
      <c r="D941" s="1"/>
    </row>
    <row r="942" spans="4:4" ht="14.25" customHeight="1">
      <c r="D942" s="1"/>
    </row>
    <row r="943" spans="4:4" ht="14.25" customHeight="1">
      <c r="D943" s="1"/>
    </row>
    <row r="944" spans="4:4" ht="14.25" customHeight="1">
      <c r="D944" s="1"/>
    </row>
    <row r="945" spans="4:4" ht="14.25" customHeight="1">
      <c r="D945" s="1"/>
    </row>
    <row r="946" spans="4:4" ht="14.25" customHeight="1">
      <c r="D946" s="1"/>
    </row>
    <row r="947" spans="4:4" ht="14.25" customHeight="1">
      <c r="D947" s="1"/>
    </row>
    <row r="948" spans="4:4" ht="14.25" customHeight="1">
      <c r="D948" s="1"/>
    </row>
    <row r="949" spans="4:4" ht="14.25" customHeight="1">
      <c r="D949" s="1"/>
    </row>
    <row r="950" spans="4:4" ht="14.25" customHeight="1">
      <c r="D950" s="1"/>
    </row>
    <row r="951" spans="4:4" ht="14.25" customHeight="1">
      <c r="D951" s="1"/>
    </row>
    <row r="952" spans="4:4" ht="14.25" customHeight="1">
      <c r="D952" s="1"/>
    </row>
    <row r="953" spans="4:4" ht="14.25" customHeight="1">
      <c r="D953" s="1"/>
    </row>
    <row r="954" spans="4:4" ht="14.25" customHeight="1">
      <c r="D954" s="1"/>
    </row>
    <row r="955" spans="4:4" ht="14.25" customHeight="1">
      <c r="D955" s="1"/>
    </row>
    <row r="956" spans="4:4" ht="14.25" customHeight="1">
      <c r="D956" s="1"/>
    </row>
    <row r="957" spans="4:4" ht="14.25" customHeight="1">
      <c r="D957" s="1"/>
    </row>
    <row r="958" spans="4:4" ht="14.25" customHeight="1">
      <c r="D958" s="1"/>
    </row>
    <row r="959" spans="4:4" ht="14.25" customHeight="1">
      <c r="D959" s="1"/>
    </row>
    <row r="960" spans="4:4" ht="14.25" customHeight="1">
      <c r="D960" s="1"/>
    </row>
    <row r="961" spans="4:4" ht="14.25" customHeight="1">
      <c r="D961" s="1"/>
    </row>
    <row r="962" spans="4:4" ht="14.25" customHeight="1">
      <c r="D962" s="1"/>
    </row>
    <row r="963" spans="4:4" ht="14.25" customHeight="1">
      <c r="D963" s="1"/>
    </row>
    <row r="964" spans="4:4" ht="14.25" customHeight="1">
      <c r="D964" s="1"/>
    </row>
    <row r="965" spans="4:4" ht="14.25" customHeight="1">
      <c r="D965" s="1"/>
    </row>
    <row r="966" spans="4:4" ht="14.25" customHeight="1">
      <c r="D966" s="1"/>
    </row>
    <row r="967" spans="4:4" ht="14.25" customHeight="1">
      <c r="D967" s="1"/>
    </row>
    <row r="968" spans="4:4" ht="14.25" customHeight="1">
      <c r="D968" s="1"/>
    </row>
    <row r="969" spans="4:4" ht="14.25" customHeight="1">
      <c r="D969" s="1"/>
    </row>
    <row r="970" spans="4:4" ht="14.25" customHeight="1">
      <c r="D970" s="1"/>
    </row>
    <row r="971" spans="4:4" ht="14.25" customHeight="1">
      <c r="D971" s="1"/>
    </row>
    <row r="972" spans="4:4" ht="14.25" customHeight="1">
      <c r="D972" s="1"/>
    </row>
    <row r="973" spans="4:4" ht="14.25" customHeight="1">
      <c r="D973" s="1"/>
    </row>
    <row r="974" spans="4:4" ht="14.25" customHeight="1">
      <c r="D974" s="1"/>
    </row>
    <row r="975" spans="4:4" ht="14.25" customHeight="1">
      <c r="D975" s="1"/>
    </row>
    <row r="976" spans="4:4" ht="14.25" customHeight="1">
      <c r="D976" s="1"/>
    </row>
    <row r="977" spans="4:4" ht="14.25" customHeight="1">
      <c r="D977" s="1"/>
    </row>
    <row r="978" spans="4:4" ht="14.25" customHeight="1">
      <c r="D978" s="1"/>
    </row>
    <row r="979" spans="4:4" ht="14.25" customHeight="1">
      <c r="D979" s="1"/>
    </row>
    <row r="980" spans="4:4" ht="14.25" customHeight="1">
      <c r="D980" s="1"/>
    </row>
    <row r="981" spans="4:4" ht="14.25" customHeight="1">
      <c r="D981" s="1"/>
    </row>
    <row r="982" spans="4:4" ht="14.25" customHeight="1">
      <c r="D982" s="1"/>
    </row>
    <row r="983" spans="4:4" ht="14.25" customHeight="1">
      <c r="D983" s="1"/>
    </row>
    <row r="984" spans="4:4" ht="14.25" customHeight="1">
      <c r="D984" s="1"/>
    </row>
    <row r="985" spans="4:4" ht="14.25" customHeight="1">
      <c r="D985" s="1"/>
    </row>
    <row r="986" spans="4:4" ht="14.25" customHeight="1">
      <c r="D986" s="1"/>
    </row>
    <row r="987" spans="4:4" ht="14.25" customHeight="1">
      <c r="D987" s="1"/>
    </row>
    <row r="988" spans="4:4" ht="14.25" customHeight="1">
      <c r="D988" s="1"/>
    </row>
    <row r="989" spans="4:4" ht="14.25" customHeight="1">
      <c r="D989" s="1"/>
    </row>
    <row r="990" spans="4:4" ht="14.25" customHeight="1">
      <c r="D990" s="1"/>
    </row>
    <row r="991" spans="4:4" ht="14.25" customHeight="1">
      <c r="D991" s="1"/>
    </row>
    <row r="992" spans="4:4" ht="14.25" customHeight="1">
      <c r="D992" s="1"/>
    </row>
    <row r="993" spans="4:4" ht="14.25" customHeight="1">
      <c r="D993" s="1"/>
    </row>
    <row r="994" spans="4:4" ht="14.25" customHeight="1">
      <c r="D994" s="1"/>
    </row>
    <row r="995" spans="4:4" ht="14.25" customHeight="1">
      <c r="D995" s="1"/>
    </row>
    <row r="996" spans="4:4" ht="14.25" customHeight="1">
      <c r="D996" s="1"/>
    </row>
    <row r="997" spans="4:4" ht="14.25" customHeight="1">
      <c r="D997" s="1"/>
    </row>
  </sheetData>
  <hyperlinks>
    <hyperlink ref="E14" r:id="rId1" xr:uid="{00000000-0004-0000-0B00-000000000000}"/>
    <hyperlink ref="E15" r:id="rId2" xr:uid="{00000000-0004-0000-0B00-000001000000}"/>
    <hyperlink ref="E16" r:id="rId3" xr:uid="{00000000-0004-0000-0B00-000002000000}"/>
    <hyperlink ref="E17" r:id="rId4" xr:uid="{00000000-0004-0000-0B00-000003000000}"/>
    <hyperlink ref="E18" r:id="rId5" xr:uid="{00000000-0004-0000-0B00-000004000000}"/>
    <hyperlink ref="E19" r:id="rId6" xr:uid="{00000000-0004-0000-0B00-000005000000}"/>
    <hyperlink ref="E20" r:id="rId7" xr:uid="{00000000-0004-0000-0B00-000006000000}"/>
    <hyperlink ref="E21" r:id="rId8" xr:uid="{00000000-0004-0000-0B00-000007000000}"/>
    <hyperlink ref="E22" r:id="rId9" xr:uid="{00000000-0004-0000-0B00-000008000000}"/>
    <hyperlink ref="E23" r:id="rId10" xr:uid="{00000000-0004-0000-0B00-000009000000}"/>
    <hyperlink ref="E24" r:id="rId11" xr:uid="{00000000-0004-0000-0B00-00000A000000}"/>
    <hyperlink ref="E25" r:id="rId12" xr:uid="{00000000-0004-0000-0B00-00000B000000}"/>
    <hyperlink ref="E26" r:id="rId13" xr:uid="{00000000-0004-0000-0B00-00000C000000}"/>
    <hyperlink ref="E27" r:id="rId14" xr:uid="{00000000-0004-0000-0B00-00000D000000}"/>
    <hyperlink ref="E28" r:id="rId15" xr:uid="{00000000-0004-0000-0B00-00000F000000}"/>
    <hyperlink ref="E29" r:id="rId16" xr:uid="{00000000-0004-0000-0B00-000010000000}"/>
    <hyperlink ref="E30" r:id="rId17" xr:uid="{00000000-0004-0000-0B00-000011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139"/>
  <sheetViews>
    <sheetView tabSelected="1" workbookViewId="0">
      <pane xSplit="3" ySplit="1" topLeftCell="I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28515625" customWidth="1"/>
    <col min="2" max="2" width="5.85546875" customWidth="1"/>
    <col min="3" max="3" width="14.28515625" customWidth="1"/>
    <col min="4" max="4" width="28.140625" customWidth="1"/>
    <col min="5" max="7" width="11.85546875" customWidth="1"/>
    <col min="8" max="8" width="14.28515625" customWidth="1"/>
    <col min="9" max="9" width="15.5703125" customWidth="1"/>
    <col min="10" max="11" width="11.85546875" customWidth="1"/>
    <col min="12" max="13" width="19.85546875" customWidth="1"/>
    <col min="14" max="14" width="11" customWidth="1"/>
    <col min="15" max="15" width="17.140625" customWidth="1"/>
    <col min="16" max="16" width="19.5703125" customWidth="1"/>
    <col min="17" max="17" width="11.85546875" customWidth="1"/>
    <col min="18" max="18" width="14.28515625" customWidth="1"/>
    <col min="19" max="25" width="8.7109375" customWidth="1"/>
  </cols>
  <sheetData>
    <row r="1" spans="1:18" ht="14.25" customHeight="1">
      <c r="A1" s="1" t="s">
        <v>0</v>
      </c>
      <c r="B1" s="1" t="s">
        <v>1</v>
      </c>
      <c r="C1" s="1" t="s">
        <v>2</v>
      </c>
      <c r="D1" s="26" t="s">
        <v>360</v>
      </c>
      <c r="E1" s="26" t="s">
        <v>383</v>
      </c>
      <c r="F1" s="26" t="s">
        <v>384</v>
      </c>
      <c r="G1" s="26" t="s">
        <v>388</v>
      </c>
      <c r="H1" s="26" t="s">
        <v>361</v>
      </c>
      <c r="I1" s="1" t="s">
        <v>84</v>
      </c>
      <c r="J1" s="1" t="s">
        <v>85</v>
      </c>
      <c r="K1" s="1" t="s">
        <v>86</v>
      </c>
      <c r="L1" s="1" t="s">
        <v>69</v>
      </c>
      <c r="M1" s="1" t="s">
        <v>97</v>
      </c>
      <c r="N1" s="4" t="s">
        <v>87</v>
      </c>
      <c r="O1" s="26" t="s">
        <v>363</v>
      </c>
      <c r="P1" s="26" t="s">
        <v>386</v>
      </c>
      <c r="Q1" s="1" t="s">
        <v>387</v>
      </c>
      <c r="R1" s="26" t="s">
        <v>385</v>
      </c>
    </row>
    <row r="2" spans="1:18" ht="14.25" customHeight="1">
      <c r="A2" s="2" t="s">
        <v>15</v>
      </c>
      <c r="B2" s="2">
        <v>1900</v>
      </c>
      <c r="C2" s="2" t="s">
        <v>22</v>
      </c>
      <c r="D2" s="3">
        <v>53.350436903068477</v>
      </c>
      <c r="E2" s="3" t="e">
        <v>#VALUE!</v>
      </c>
      <c r="F2" s="3" t="e">
        <v>#N/A</v>
      </c>
      <c r="G2" s="3"/>
      <c r="I2" s="3"/>
      <c r="J2" s="3"/>
      <c r="K2" s="3"/>
      <c r="N2" s="4" t="s">
        <v>99</v>
      </c>
      <c r="O2" s="2" t="s">
        <v>17</v>
      </c>
      <c r="P2" s="2">
        <v>26.141714082503555</v>
      </c>
    </row>
    <row r="3" spans="1:18" ht="14.25" customHeight="1">
      <c r="A3" s="2" t="s">
        <v>15</v>
      </c>
      <c r="B3" s="2">
        <v>1901</v>
      </c>
      <c r="C3" s="2" t="s">
        <v>22</v>
      </c>
      <c r="D3" s="3">
        <v>52.851452956716116</v>
      </c>
      <c r="E3" s="3" t="e">
        <v>#N/A</v>
      </c>
      <c r="F3" s="3" t="e">
        <v>#N/A</v>
      </c>
      <c r="G3" s="3"/>
      <c r="I3" s="3"/>
      <c r="J3" s="3"/>
      <c r="K3" s="3"/>
      <c r="N3" s="4" t="s">
        <v>99</v>
      </c>
      <c r="O3" s="2" t="s">
        <v>17</v>
      </c>
      <c r="P3" s="2">
        <v>25.897211948790897</v>
      </c>
    </row>
    <row r="4" spans="1:18" ht="14.25" customHeight="1">
      <c r="A4" s="2" t="s">
        <v>15</v>
      </c>
      <c r="B4" s="2">
        <v>1902</v>
      </c>
      <c r="C4" s="2" t="s">
        <v>22</v>
      </c>
      <c r="D4" s="3">
        <v>77.963218857955695</v>
      </c>
      <c r="E4" s="3" t="e">
        <v>#N/A</v>
      </c>
      <c r="F4" s="3" t="e">
        <v>#N/A</v>
      </c>
      <c r="G4" s="3"/>
      <c r="I4" s="3"/>
      <c r="J4" s="3"/>
      <c r="K4" s="3"/>
      <c r="N4" s="4" t="s">
        <v>99</v>
      </c>
      <c r="O4" s="2" t="s">
        <v>17</v>
      </c>
      <c r="P4" s="2">
        <v>38.201977240398293</v>
      </c>
    </row>
    <row r="5" spans="1:18" ht="14.25" customHeight="1">
      <c r="A5" s="2" t="s">
        <v>15</v>
      </c>
      <c r="B5" s="2">
        <v>1903</v>
      </c>
      <c r="C5" s="2" t="s">
        <v>22</v>
      </c>
      <c r="D5" s="3" t="e">
        <v>#N/A</v>
      </c>
      <c r="E5" s="3" t="e">
        <v>#N/A</v>
      </c>
      <c r="F5" s="3" t="e">
        <v>#N/A</v>
      </c>
      <c r="G5" s="3"/>
      <c r="I5" s="3"/>
      <c r="J5" s="3"/>
      <c r="K5" s="3"/>
      <c r="N5" s="4" t="s">
        <v>99</v>
      </c>
      <c r="O5" s="2" t="s">
        <v>17</v>
      </c>
      <c r="P5" s="2" t="e">
        <v>#N/A</v>
      </c>
    </row>
    <row r="6" spans="1:18" ht="14.25" customHeight="1">
      <c r="A6" s="2" t="s">
        <v>15</v>
      </c>
      <c r="B6" s="2">
        <v>1904</v>
      </c>
      <c r="C6" s="2" t="s">
        <v>22</v>
      </c>
      <c r="D6" s="3" t="e">
        <v>#N/A</v>
      </c>
      <c r="E6" s="3" t="e">
        <v>#N/A</v>
      </c>
      <c r="F6" s="3" t="e">
        <v>#N/A</v>
      </c>
      <c r="G6" s="3"/>
      <c r="I6" s="3"/>
      <c r="J6" s="3"/>
      <c r="K6" s="3"/>
      <c r="N6" s="4" t="s">
        <v>99</v>
      </c>
      <c r="O6" s="2" t="s">
        <v>17</v>
      </c>
      <c r="P6" s="2" t="e">
        <v>#N/A</v>
      </c>
    </row>
    <row r="7" spans="1:18" ht="14.25" customHeight="1">
      <c r="A7" s="2" t="s">
        <v>15</v>
      </c>
      <c r="B7" s="2">
        <v>1905</v>
      </c>
      <c r="C7" s="2" t="s">
        <v>22</v>
      </c>
      <c r="D7" s="3" t="e">
        <v>#N/A</v>
      </c>
      <c r="E7" s="3" t="e">
        <v>#VALUE!</v>
      </c>
      <c r="F7" s="3">
        <v>0</v>
      </c>
      <c r="G7" s="3"/>
      <c r="I7" s="3"/>
      <c r="J7" s="3"/>
      <c r="K7" s="3"/>
      <c r="N7" s="4" t="s">
        <v>99</v>
      </c>
      <c r="O7" s="2" t="s">
        <v>17</v>
      </c>
      <c r="P7" s="2" t="e">
        <v>#N/A</v>
      </c>
    </row>
    <row r="8" spans="1:18" ht="14.25" customHeight="1">
      <c r="A8" s="2" t="s">
        <v>15</v>
      </c>
      <c r="B8" s="2">
        <v>1906</v>
      </c>
      <c r="C8" s="2" t="s">
        <v>22</v>
      </c>
      <c r="D8" s="3" t="e">
        <v>#N/A</v>
      </c>
      <c r="E8" s="3" t="e">
        <v>#N/A</v>
      </c>
      <c r="F8" s="3" t="e">
        <v>#N/A</v>
      </c>
      <c r="G8" s="3"/>
      <c r="I8" s="3"/>
      <c r="J8" s="3"/>
      <c r="K8" s="3"/>
      <c r="N8" s="4" t="s">
        <v>99</v>
      </c>
      <c r="O8" s="2" t="s">
        <v>17</v>
      </c>
      <c r="P8" s="2" t="e">
        <v>#N/A</v>
      </c>
    </row>
    <row r="9" spans="1:18" ht="14.25" customHeight="1">
      <c r="A9" s="2" t="s">
        <v>15</v>
      </c>
      <c r="B9" s="2">
        <v>1907</v>
      </c>
      <c r="C9" s="2" t="s">
        <v>22</v>
      </c>
      <c r="D9" s="3" t="e">
        <v>#N/A</v>
      </c>
      <c r="E9" s="3" t="e">
        <v>#N/A</v>
      </c>
      <c r="F9" s="3" t="e">
        <v>#N/A</v>
      </c>
      <c r="G9" s="3"/>
      <c r="I9" s="3"/>
      <c r="J9" s="3"/>
      <c r="K9" s="3"/>
      <c r="N9" s="4" t="s">
        <v>99</v>
      </c>
      <c r="O9" s="2" t="s">
        <v>17</v>
      </c>
      <c r="P9" s="2" t="e">
        <v>#N/A</v>
      </c>
    </row>
    <row r="10" spans="1:18" ht="14.25" customHeight="1">
      <c r="A10" s="2" t="s">
        <v>15</v>
      </c>
      <c r="B10" s="2">
        <v>1908</v>
      </c>
      <c r="C10" s="2" t="s">
        <v>22</v>
      </c>
      <c r="D10" s="3" t="e">
        <v>#N/A</v>
      </c>
      <c r="E10" s="3" t="e">
        <v>#N/A</v>
      </c>
      <c r="F10" s="3" t="e">
        <v>#N/A</v>
      </c>
      <c r="G10" s="3"/>
      <c r="I10" s="3"/>
      <c r="J10" s="3"/>
      <c r="K10" s="3"/>
      <c r="N10" s="4" t="s">
        <v>99</v>
      </c>
      <c r="O10" s="2" t="s">
        <v>17</v>
      </c>
      <c r="P10" s="2" t="e">
        <v>#N/A</v>
      </c>
    </row>
    <row r="11" spans="1:18" ht="14.25" customHeight="1">
      <c r="A11" s="2" t="s">
        <v>15</v>
      </c>
      <c r="B11" s="2">
        <v>1910</v>
      </c>
      <c r="C11" s="2" t="s">
        <v>22</v>
      </c>
      <c r="D11" s="3" t="e">
        <v>#N/A</v>
      </c>
      <c r="E11" s="3">
        <v>16.046179638284901</v>
      </c>
      <c r="F11" s="3">
        <v>0</v>
      </c>
      <c r="G11" s="3"/>
      <c r="I11" s="3"/>
      <c r="J11" s="3"/>
      <c r="K11" s="3"/>
      <c r="N11" s="4" t="s">
        <v>99</v>
      </c>
      <c r="O11" s="2" t="s">
        <v>17</v>
      </c>
      <c r="P11" s="2" t="e">
        <v>#N/A</v>
      </c>
    </row>
    <row r="12" spans="1:18" ht="14.25" customHeight="1">
      <c r="A12" s="2" t="s">
        <v>15</v>
      </c>
      <c r="B12" s="2">
        <v>1911</v>
      </c>
      <c r="C12" s="2" t="s">
        <v>22</v>
      </c>
      <c r="D12" s="3">
        <v>180.23816297500508</v>
      </c>
      <c r="E12" s="3" t="e">
        <v>#N/A</v>
      </c>
      <c r="F12" s="3" t="e">
        <v>#N/A</v>
      </c>
      <c r="G12" s="3"/>
      <c r="I12" s="3"/>
      <c r="J12" s="3"/>
      <c r="K12" s="3"/>
      <c r="N12" s="4" t="s">
        <v>99</v>
      </c>
      <c r="O12" s="2" t="s">
        <v>17</v>
      </c>
      <c r="P12" s="2">
        <v>88.316699857752482</v>
      </c>
    </row>
    <row r="13" spans="1:18" ht="14.25" customHeight="1">
      <c r="A13" s="2" t="s">
        <v>15</v>
      </c>
      <c r="B13" s="2">
        <v>1912</v>
      </c>
      <c r="C13" s="2" t="s">
        <v>22</v>
      </c>
      <c r="D13" s="3">
        <v>173.06335094492988</v>
      </c>
      <c r="E13" s="3" t="e">
        <v>#N/A</v>
      </c>
      <c r="F13" s="3" t="e">
        <v>#N/A</v>
      </c>
      <c r="G13" s="3"/>
      <c r="I13" s="3"/>
      <c r="J13" s="3"/>
      <c r="K13" s="3"/>
      <c r="N13" s="4" t="s">
        <v>99</v>
      </c>
      <c r="O13" s="2" t="s">
        <v>17</v>
      </c>
      <c r="P13" s="2">
        <v>84.801041963015635</v>
      </c>
    </row>
    <row r="14" spans="1:18" ht="14.25" customHeight="1">
      <c r="A14" s="2" t="s">
        <v>15</v>
      </c>
      <c r="B14" s="2">
        <v>1913</v>
      </c>
      <c r="C14" s="2" t="s">
        <v>22</v>
      </c>
      <c r="D14" s="3">
        <v>178.52174354805933</v>
      </c>
      <c r="E14" s="3" t="e">
        <v>#N/A</v>
      </c>
      <c r="F14" s="3" t="e">
        <v>#N/A</v>
      </c>
      <c r="G14" s="3"/>
      <c r="I14" s="3"/>
      <c r="J14" s="3"/>
      <c r="K14" s="3"/>
      <c r="N14" s="4" t="s">
        <v>99</v>
      </c>
      <c r="O14" s="2" t="s">
        <v>17</v>
      </c>
      <c r="P14" s="2">
        <v>87.475654338549077</v>
      </c>
    </row>
    <row r="15" spans="1:18" ht="14.25" customHeight="1">
      <c r="A15" s="2" t="s">
        <v>15</v>
      </c>
      <c r="B15" s="2">
        <v>1914</v>
      </c>
      <c r="C15" s="2" t="s">
        <v>22</v>
      </c>
      <c r="D15" s="3" t="e">
        <v>#N/A</v>
      </c>
      <c r="E15" s="3">
        <v>22.562233285917497</v>
      </c>
      <c r="F15" s="3">
        <v>0</v>
      </c>
      <c r="G15" s="3"/>
      <c r="I15" s="3"/>
      <c r="J15" s="3"/>
      <c r="K15" s="3"/>
      <c r="N15" s="4" t="s">
        <v>100</v>
      </c>
      <c r="O15" s="2" t="s">
        <v>17</v>
      </c>
      <c r="P15" s="2" t="e">
        <v>#N/A</v>
      </c>
    </row>
    <row r="16" spans="1:18" ht="14.25" customHeight="1">
      <c r="A16" s="2" t="s">
        <v>15</v>
      </c>
      <c r="B16" s="2">
        <v>1915</v>
      </c>
      <c r="C16" s="2" t="s">
        <v>22</v>
      </c>
      <c r="D16" s="3" t="e">
        <v>#N/A</v>
      </c>
      <c r="E16" s="3">
        <v>7.7486283275756955</v>
      </c>
      <c r="F16" s="3">
        <v>0</v>
      </c>
      <c r="G16" s="3"/>
      <c r="I16" s="3"/>
      <c r="J16" s="3"/>
      <c r="K16" s="3"/>
      <c r="N16" s="4" t="s">
        <v>100</v>
      </c>
      <c r="O16" s="2" t="s">
        <v>17</v>
      </c>
      <c r="P16" s="2" t="e">
        <v>#N/A</v>
      </c>
    </row>
    <row r="17" spans="1:16" ht="14.25" customHeight="1">
      <c r="A17" s="2" t="s">
        <v>15</v>
      </c>
      <c r="B17" s="2">
        <v>1916</v>
      </c>
      <c r="C17" s="2" t="s">
        <v>22</v>
      </c>
      <c r="D17" s="3" t="e">
        <v>#N/A</v>
      </c>
      <c r="E17" s="3">
        <v>7.5617252590936799</v>
      </c>
      <c r="F17" s="3">
        <v>0</v>
      </c>
      <c r="G17" s="3"/>
      <c r="I17" s="3"/>
      <c r="J17" s="3"/>
      <c r="K17" s="3"/>
      <c r="N17" s="4" t="s">
        <v>100</v>
      </c>
      <c r="O17" s="2" t="s">
        <v>17</v>
      </c>
      <c r="P17" s="2" t="e">
        <v>#N/A</v>
      </c>
    </row>
    <row r="18" spans="1:16" ht="14.25" customHeight="1">
      <c r="A18" s="2" t="s">
        <v>15</v>
      </c>
      <c r="B18" s="2">
        <v>1917</v>
      </c>
      <c r="C18" s="2" t="s">
        <v>22</v>
      </c>
      <c r="D18" s="3" t="e">
        <v>#N/A</v>
      </c>
      <c r="E18" s="3">
        <v>6.2660028449502132</v>
      </c>
      <c r="F18" s="3">
        <v>0</v>
      </c>
      <c r="G18" s="3"/>
      <c r="I18" s="3"/>
      <c r="J18" s="3"/>
      <c r="K18" s="3"/>
      <c r="N18" s="4" t="s">
        <v>100</v>
      </c>
      <c r="O18" s="2" t="s">
        <v>17</v>
      </c>
      <c r="P18" s="2" t="e">
        <v>#N/A</v>
      </c>
    </row>
    <row r="19" spans="1:16" ht="14.25" customHeight="1">
      <c r="A19" s="2" t="s">
        <v>15</v>
      </c>
      <c r="B19" s="2">
        <v>1918</v>
      </c>
      <c r="C19" s="2" t="s">
        <v>22</v>
      </c>
      <c r="D19" s="3" t="e">
        <v>#N/A</v>
      </c>
      <c r="E19" s="3">
        <v>5.0864153627311515</v>
      </c>
      <c r="F19" s="3">
        <v>0</v>
      </c>
      <c r="G19" s="3"/>
      <c r="I19" s="3"/>
      <c r="J19" s="3"/>
      <c r="K19" s="3"/>
      <c r="N19" s="4" t="s">
        <v>100</v>
      </c>
      <c r="O19" s="2" t="s">
        <v>17</v>
      </c>
      <c r="P19" s="2" t="e">
        <v>#N/A</v>
      </c>
    </row>
    <row r="20" spans="1:16" ht="14.25" customHeight="1">
      <c r="A20" s="2" t="s">
        <v>15</v>
      </c>
      <c r="B20" s="2">
        <v>1919</v>
      </c>
      <c r="C20" s="2" t="s">
        <v>22</v>
      </c>
      <c r="D20" s="3">
        <v>111.814163787848</v>
      </c>
      <c r="E20" s="3">
        <v>7.5151900020321074</v>
      </c>
      <c r="F20" s="3">
        <v>0</v>
      </c>
      <c r="G20" s="3"/>
      <c r="I20" s="3"/>
      <c r="J20" s="3"/>
      <c r="K20" s="3"/>
      <c r="N20" s="4" t="s">
        <v>99</v>
      </c>
      <c r="O20" s="2" t="s">
        <v>17</v>
      </c>
      <c r="P20" s="2">
        <v>54.788940256045521</v>
      </c>
    </row>
    <row r="21" spans="1:16" ht="14.25" customHeight="1">
      <c r="A21" s="2" t="s">
        <v>15</v>
      </c>
      <c r="B21" s="2">
        <v>1920</v>
      </c>
      <c r="C21" s="2" t="s">
        <v>22</v>
      </c>
      <c r="D21" s="3">
        <v>175.51016053647632</v>
      </c>
      <c r="E21" s="3">
        <v>9.4143974801869543</v>
      </c>
      <c r="F21" s="3" t="e">
        <v>#N/A</v>
      </c>
      <c r="G21" s="3"/>
      <c r="I21" s="3"/>
      <c r="J21" s="3"/>
      <c r="K21" s="3"/>
      <c r="N21" s="4" t="s">
        <v>99</v>
      </c>
      <c r="O21" s="2" t="s">
        <v>17</v>
      </c>
      <c r="P21" s="2">
        <v>85.999978662873389</v>
      </c>
    </row>
    <row r="22" spans="1:16" ht="14.25" customHeight="1">
      <c r="A22" s="2" t="s">
        <v>15</v>
      </c>
      <c r="B22" s="2">
        <v>1921</v>
      </c>
      <c r="C22" s="2" t="s">
        <v>22</v>
      </c>
      <c r="D22" s="3">
        <v>139.91515952042266</v>
      </c>
      <c r="E22" s="3" t="e">
        <v>#N/A</v>
      </c>
      <c r="F22" s="3" t="e">
        <v>#N/A</v>
      </c>
      <c r="G22" s="3"/>
      <c r="I22" s="3"/>
      <c r="J22" s="3"/>
      <c r="K22" s="3"/>
      <c r="N22" s="4" t="s">
        <v>99</v>
      </c>
      <c r="O22" s="2" t="s">
        <v>17</v>
      </c>
      <c r="P22" s="2">
        <v>68.558428165007101</v>
      </c>
    </row>
    <row r="23" spans="1:16" ht="14.25" customHeight="1">
      <c r="A23" s="2" t="s">
        <v>15</v>
      </c>
      <c r="B23" s="2">
        <v>1922</v>
      </c>
      <c r="C23" s="2" t="s">
        <v>22</v>
      </c>
      <c r="D23" s="3">
        <v>158.22516318837634</v>
      </c>
      <c r="E23" s="3" t="e">
        <v>#N/A</v>
      </c>
      <c r="F23" s="3" t="e">
        <v>#N/A</v>
      </c>
      <c r="G23" s="3"/>
      <c r="I23" s="3"/>
      <c r="J23" s="3"/>
      <c r="K23" s="3"/>
      <c r="N23" s="4" t="s">
        <v>99</v>
      </c>
      <c r="O23" s="2" t="s">
        <v>17</v>
      </c>
      <c r="P23" s="2">
        <v>77.530329962304407</v>
      </c>
    </row>
    <row r="24" spans="1:16" ht="14.25" customHeight="1">
      <c r="A24" s="2" t="s">
        <v>15</v>
      </c>
      <c r="B24" s="2">
        <v>1923</v>
      </c>
      <c r="C24" s="2" t="s">
        <v>22</v>
      </c>
      <c r="D24" s="3">
        <v>131.21285669579353</v>
      </c>
      <c r="E24" s="3" t="e">
        <v>#N/A</v>
      </c>
      <c r="F24" s="3" t="e">
        <v>#N/A</v>
      </c>
      <c r="G24" s="3"/>
      <c r="I24" s="3"/>
      <c r="J24" s="3"/>
      <c r="K24" s="3"/>
      <c r="N24" s="4" t="s">
        <v>99</v>
      </c>
      <c r="O24" s="2" t="s">
        <v>17</v>
      </c>
      <c r="P24" s="2">
        <v>64.294299780938829</v>
      </c>
    </row>
    <row r="25" spans="1:16" ht="14.25" customHeight="1">
      <c r="A25" s="2" t="s">
        <v>15</v>
      </c>
      <c r="B25" s="2">
        <v>1924</v>
      </c>
      <c r="C25" s="2" t="s">
        <v>22</v>
      </c>
      <c r="D25" s="3">
        <v>160.88377071733387</v>
      </c>
      <c r="E25" s="3" t="e">
        <v>#N/A</v>
      </c>
      <c r="F25" s="3" t="e">
        <v>#N/A</v>
      </c>
      <c r="G25" s="3"/>
      <c r="I25" s="3"/>
      <c r="J25" s="3"/>
      <c r="K25" s="3"/>
      <c r="N25" s="4" t="s">
        <v>99</v>
      </c>
      <c r="O25" s="2" t="s">
        <v>17</v>
      </c>
      <c r="P25" s="2">
        <v>78.833047651493601</v>
      </c>
    </row>
    <row r="26" spans="1:16" ht="14.25" customHeight="1">
      <c r="A26" s="2" t="s">
        <v>15</v>
      </c>
      <c r="B26" s="2">
        <v>1925</v>
      </c>
      <c r="C26" s="2" t="s">
        <v>22</v>
      </c>
      <c r="D26" s="3">
        <v>168.71316432635641</v>
      </c>
      <c r="E26" s="3">
        <v>24.230390164600689</v>
      </c>
      <c r="F26" s="3">
        <v>53.07147937411095</v>
      </c>
      <c r="G26" s="3"/>
      <c r="I26" s="3"/>
      <c r="J26" s="3"/>
      <c r="K26" s="3"/>
      <c r="N26" s="4" t="s">
        <v>99</v>
      </c>
      <c r="O26" s="2" t="s">
        <v>17</v>
      </c>
      <c r="P26" s="2">
        <v>82.669450519914633</v>
      </c>
    </row>
    <row r="27" spans="1:16" ht="14.25" customHeight="1">
      <c r="A27" s="2" t="s">
        <v>15</v>
      </c>
      <c r="B27" s="2">
        <v>1926</v>
      </c>
      <c r="C27" s="2" t="s">
        <v>22</v>
      </c>
      <c r="D27" s="3">
        <v>170.5788538203617</v>
      </c>
      <c r="E27" s="3" t="e">
        <v>#N/A</v>
      </c>
      <c r="F27" s="3" t="e">
        <v>#N/A</v>
      </c>
      <c r="G27" s="3"/>
      <c r="I27" s="3"/>
      <c r="J27" s="3"/>
      <c r="K27" s="3"/>
      <c r="N27" s="4" t="s">
        <v>99</v>
      </c>
      <c r="O27" s="2" t="s">
        <v>17</v>
      </c>
      <c r="P27" s="2">
        <v>83.58363837197723</v>
      </c>
    </row>
    <row r="28" spans="1:16" ht="14.25" customHeight="1">
      <c r="A28" s="2" t="s">
        <v>15</v>
      </c>
      <c r="B28" s="2">
        <v>1927</v>
      </c>
      <c r="C28" s="2" t="s">
        <v>22</v>
      </c>
      <c r="D28" s="3">
        <v>185.553520757976</v>
      </c>
      <c r="E28" s="3" t="e">
        <v>#N/A</v>
      </c>
      <c r="F28" s="3" t="e">
        <v>#N/A</v>
      </c>
      <c r="G28" s="3"/>
      <c r="I28" s="3"/>
      <c r="J28" s="3"/>
      <c r="K28" s="3"/>
      <c r="N28" s="4" t="s">
        <v>99</v>
      </c>
      <c r="O28" s="2" t="s">
        <v>17</v>
      </c>
      <c r="P28" s="2">
        <v>90.921225171408238</v>
      </c>
    </row>
    <row r="29" spans="1:16" ht="14.25" customHeight="1">
      <c r="A29" s="2" t="s">
        <v>15</v>
      </c>
      <c r="B29" s="2">
        <v>1928</v>
      </c>
      <c r="C29" s="2" t="s">
        <v>22</v>
      </c>
      <c r="D29" s="3">
        <v>169.15588158910791</v>
      </c>
      <c r="E29" s="3" t="e">
        <v>#N/A</v>
      </c>
      <c r="F29" s="3" t="e">
        <v>#N/A</v>
      </c>
      <c r="G29" s="3"/>
      <c r="I29" s="3"/>
      <c r="J29" s="3"/>
      <c r="K29" s="3"/>
      <c r="N29" s="4" t="s">
        <v>99</v>
      </c>
      <c r="O29" s="2" t="s">
        <v>17</v>
      </c>
      <c r="P29" s="2">
        <v>82.886381978662868</v>
      </c>
    </row>
    <row r="30" spans="1:16" ht="14.25" customHeight="1">
      <c r="A30" s="2" t="s">
        <v>15</v>
      </c>
      <c r="B30" s="2">
        <v>1929</v>
      </c>
      <c r="C30" s="2" t="s">
        <v>22</v>
      </c>
      <c r="D30" s="3">
        <v>184.87211402154031</v>
      </c>
      <c r="E30" s="3" t="e">
        <v>#N/A</v>
      </c>
      <c r="F30" s="3" t="e">
        <v>#N/A</v>
      </c>
      <c r="G30" s="3"/>
      <c r="I30" s="3"/>
      <c r="J30" s="3"/>
      <c r="K30" s="3"/>
      <c r="N30" s="4" t="s">
        <v>99</v>
      </c>
      <c r="O30" s="2" t="s">
        <v>17</v>
      </c>
      <c r="P30" s="2">
        <v>90.587335870554753</v>
      </c>
    </row>
    <row r="31" spans="1:16" ht="14.25" customHeight="1">
      <c r="A31" s="2" t="s">
        <v>15</v>
      </c>
      <c r="B31" s="2">
        <v>1930</v>
      </c>
      <c r="C31" s="2" t="s">
        <v>22</v>
      </c>
      <c r="D31" s="3">
        <v>251.17075208290998</v>
      </c>
      <c r="E31" s="3">
        <v>19.494614915667544</v>
      </c>
      <c r="F31" s="3">
        <v>54.499491973176184</v>
      </c>
      <c r="G31" s="3"/>
      <c r="I31" s="3"/>
      <c r="J31" s="3"/>
      <c r="K31" s="3"/>
      <c r="N31" s="4" t="s">
        <v>99</v>
      </c>
      <c r="O31" s="2" t="s">
        <v>17</v>
      </c>
      <c r="P31" s="2">
        <v>123.07366852062589</v>
      </c>
    </row>
    <row r="32" spans="1:16" ht="14.25" customHeight="1">
      <c r="A32" s="2" t="s">
        <v>15</v>
      </c>
      <c r="B32" s="2">
        <v>1931</v>
      </c>
      <c r="C32" s="2" t="s">
        <v>22</v>
      </c>
      <c r="D32" s="3">
        <v>265.12236173541959</v>
      </c>
      <c r="E32" s="3" t="e">
        <v>#N/A</v>
      </c>
      <c r="F32" s="3" t="e">
        <v>#N/A</v>
      </c>
      <c r="G32" s="3"/>
      <c r="I32" s="3"/>
      <c r="J32" s="3"/>
      <c r="K32" s="3"/>
      <c r="N32" s="4" t="s">
        <v>99</v>
      </c>
      <c r="O32" s="2" t="s">
        <v>17</v>
      </c>
      <c r="P32" s="2">
        <v>129.9099572503556</v>
      </c>
    </row>
    <row r="33" spans="1:16" ht="14.25" customHeight="1">
      <c r="A33" s="2" t="s">
        <v>15</v>
      </c>
      <c r="B33" s="2">
        <v>1932</v>
      </c>
      <c r="C33" s="2" t="s">
        <v>22</v>
      </c>
      <c r="D33" s="3">
        <v>283.71223725868725</v>
      </c>
      <c r="E33" s="3" t="e">
        <v>#N/A</v>
      </c>
      <c r="F33" s="3" t="e">
        <v>#N/A</v>
      </c>
      <c r="G33" s="3"/>
      <c r="I33" s="3"/>
      <c r="J33" s="3"/>
      <c r="K33" s="3"/>
      <c r="N33" s="4" t="s">
        <v>99</v>
      </c>
      <c r="O33" s="2" t="s">
        <v>17</v>
      </c>
      <c r="P33" s="2">
        <v>139.01899625675676</v>
      </c>
    </row>
    <row r="34" spans="1:16" ht="14.25" customHeight="1">
      <c r="A34" s="2" t="s">
        <v>15</v>
      </c>
      <c r="B34" s="2">
        <v>1933</v>
      </c>
      <c r="C34" s="2" t="s">
        <v>22</v>
      </c>
      <c r="D34" s="3">
        <v>283.32046294452346</v>
      </c>
      <c r="E34" s="3" t="e">
        <v>#N/A</v>
      </c>
      <c r="F34" s="3" t="e">
        <v>#N/A</v>
      </c>
      <c r="G34" s="3"/>
      <c r="I34" s="3"/>
      <c r="J34" s="3"/>
      <c r="K34" s="3"/>
      <c r="N34" s="4" t="s">
        <v>99</v>
      </c>
      <c r="O34" s="2" t="s">
        <v>17</v>
      </c>
      <c r="P34" s="2">
        <v>138.82702684281648</v>
      </c>
    </row>
    <row r="35" spans="1:16" ht="14.25" customHeight="1">
      <c r="A35" s="2" t="s">
        <v>15</v>
      </c>
      <c r="B35" s="2">
        <v>1934</v>
      </c>
      <c r="C35" s="2" t="s">
        <v>22</v>
      </c>
      <c r="D35" s="3">
        <v>284.11138422068683</v>
      </c>
      <c r="E35" s="3" t="e">
        <v>#N/A</v>
      </c>
      <c r="F35" s="3" t="e">
        <v>#N/A</v>
      </c>
      <c r="G35" s="3"/>
      <c r="I35" s="3"/>
      <c r="J35" s="3"/>
      <c r="K35" s="3"/>
      <c r="N35" s="4" t="s">
        <v>99</v>
      </c>
      <c r="O35" s="2" t="s">
        <v>17</v>
      </c>
      <c r="P35" s="2">
        <v>139.21457826813653</v>
      </c>
    </row>
    <row r="36" spans="1:16" ht="14.25" customHeight="1">
      <c r="A36" s="2" t="s">
        <v>15</v>
      </c>
      <c r="B36" s="2">
        <v>1935</v>
      </c>
      <c r="C36" s="2" t="s">
        <v>22</v>
      </c>
      <c r="D36" s="3">
        <v>312.15944533631375</v>
      </c>
      <c r="E36" s="3">
        <v>12.804816094289778</v>
      </c>
      <c r="F36" s="3">
        <v>24.613035968299126</v>
      </c>
      <c r="G36" s="3"/>
      <c r="I36" s="3"/>
      <c r="J36" s="3"/>
      <c r="K36" s="3"/>
      <c r="N36" s="4" t="s">
        <v>99</v>
      </c>
      <c r="O36" s="2" t="s">
        <v>17</v>
      </c>
      <c r="P36" s="2">
        <v>152.95812821479373</v>
      </c>
    </row>
    <row r="37" spans="1:16" ht="14.25" customHeight="1">
      <c r="A37" s="2" t="s">
        <v>15</v>
      </c>
      <c r="B37" s="2">
        <v>1936</v>
      </c>
      <c r="C37" s="2" t="s">
        <v>22</v>
      </c>
      <c r="D37" s="3">
        <v>363.10669463523675</v>
      </c>
      <c r="E37" s="3" t="e">
        <v>#N/A</v>
      </c>
      <c r="F37" s="3" t="e">
        <v>#N/A</v>
      </c>
      <c r="G37" s="3"/>
      <c r="I37" s="3"/>
      <c r="J37" s="3"/>
      <c r="K37" s="3"/>
      <c r="N37" s="4" t="s">
        <v>99</v>
      </c>
      <c r="O37" s="2" t="s">
        <v>17</v>
      </c>
      <c r="P37" s="2">
        <v>177.922280371266</v>
      </c>
    </row>
    <row r="38" spans="1:16" ht="14.25" customHeight="1">
      <c r="A38" s="2" t="s">
        <v>15</v>
      </c>
      <c r="B38" s="2">
        <v>1937</v>
      </c>
      <c r="C38" s="2" t="s">
        <v>22</v>
      </c>
      <c r="D38" s="3">
        <v>384.53237723023773</v>
      </c>
      <c r="E38" s="3" t="e">
        <v>#N/A</v>
      </c>
      <c r="F38" s="3" t="e">
        <v>#N/A</v>
      </c>
      <c r="G38" s="3"/>
      <c r="I38" s="3"/>
      <c r="J38" s="3"/>
      <c r="K38" s="3"/>
      <c r="N38" s="4" t="s">
        <v>99</v>
      </c>
      <c r="O38" s="2" t="s">
        <v>17</v>
      </c>
      <c r="P38" s="2">
        <v>188.42086484281648</v>
      </c>
    </row>
    <row r="39" spans="1:16" ht="14.25" customHeight="1">
      <c r="A39" s="2" t="s">
        <v>15</v>
      </c>
      <c r="B39" s="2">
        <v>1938</v>
      </c>
      <c r="C39" s="2" t="s">
        <v>22</v>
      </c>
      <c r="D39" s="3">
        <v>358.09293571428572</v>
      </c>
      <c r="E39" s="3" t="e">
        <v>#N/A</v>
      </c>
      <c r="F39" s="3" t="e">
        <v>#N/A</v>
      </c>
      <c r="G39" s="3"/>
      <c r="I39" s="3"/>
      <c r="J39" s="3"/>
      <c r="K39" s="3"/>
      <c r="N39" s="4" t="s">
        <v>99</v>
      </c>
      <c r="O39" s="2" t="s">
        <v>17</v>
      </c>
      <c r="P39" s="2">
        <v>175.46553850000001</v>
      </c>
    </row>
    <row r="40" spans="1:16" ht="14.25" customHeight="1">
      <c r="A40" s="2" t="s">
        <v>15</v>
      </c>
      <c r="B40" s="2">
        <v>1939</v>
      </c>
      <c r="C40" s="2" t="s">
        <v>22</v>
      </c>
      <c r="D40" s="3">
        <v>266.73584523470839</v>
      </c>
      <c r="E40" s="3" t="e">
        <v>#N/A</v>
      </c>
      <c r="F40" s="3" t="e">
        <v>#N/A</v>
      </c>
      <c r="G40" s="3"/>
      <c r="I40" s="3"/>
      <c r="J40" s="3"/>
      <c r="K40" s="3"/>
      <c r="N40" s="4" t="s">
        <v>100</v>
      </c>
      <c r="O40" s="2" t="s">
        <v>17</v>
      </c>
      <c r="P40" s="2">
        <v>130.70056416500711</v>
      </c>
    </row>
    <row r="41" spans="1:16" ht="14.25" customHeight="1">
      <c r="A41" s="2" t="s">
        <v>15</v>
      </c>
      <c r="B41" s="2">
        <v>1940</v>
      </c>
      <c r="C41" s="2" t="s">
        <v>22</v>
      </c>
      <c r="D41" s="3">
        <v>64.434535734606783</v>
      </c>
      <c r="E41" s="3">
        <v>3.2484759195285511</v>
      </c>
      <c r="F41" s="3">
        <v>92.804409672830715</v>
      </c>
      <c r="G41" s="3"/>
      <c r="I41" s="3"/>
      <c r="J41" s="3"/>
      <c r="K41" s="3"/>
      <c r="N41" s="4" t="s">
        <v>100</v>
      </c>
      <c r="O41" s="2" t="s">
        <v>17</v>
      </c>
      <c r="P41" s="2">
        <v>31.572922509957323</v>
      </c>
    </row>
    <row r="42" spans="1:16" ht="14.25" customHeight="1">
      <c r="A42" s="2" t="s">
        <v>15</v>
      </c>
      <c r="B42" s="2">
        <v>1941</v>
      </c>
      <c r="C42" s="2" t="s">
        <v>22</v>
      </c>
      <c r="D42" s="3">
        <v>44.212181904084538</v>
      </c>
      <c r="E42" s="3" t="e">
        <v>#N/A</v>
      </c>
      <c r="F42" s="3" t="e">
        <v>#N/A</v>
      </c>
      <c r="G42" s="3"/>
      <c r="I42" s="3"/>
      <c r="J42" s="3"/>
      <c r="K42" s="3"/>
      <c r="N42" s="4" t="s">
        <v>100</v>
      </c>
      <c r="O42" s="2" t="s">
        <v>17</v>
      </c>
      <c r="P42" s="2">
        <v>21.663969133001423</v>
      </c>
    </row>
    <row r="43" spans="1:16" ht="14.25" customHeight="1">
      <c r="A43" s="2" t="s">
        <v>15</v>
      </c>
      <c r="B43" s="2">
        <v>1942</v>
      </c>
      <c r="C43" s="2" t="s">
        <v>22</v>
      </c>
      <c r="D43" s="3">
        <v>54.958584108920952</v>
      </c>
      <c r="E43" s="3">
        <v>3.2374517374517371</v>
      </c>
      <c r="F43" s="3">
        <v>86.404440154440152</v>
      </c>
      <c r="G43" s="3"/>
      <c r="I43" s="3"/>
      <c r="J43" s="3"/>
      <c r="K43" s="3"/>
      <c r="N43" s="4" t="s">
        <v>100</v>
      </c>
      <c r="O43" s="2" t="s">
        <v>17</v>
      </c>
      <c r="P43" s="2">
        <v>26.929706213371265</v>
      </c>
    </row>
    <row r="44" spans="1:16" ht="14.25" customHeight="1">
      <c r="A44" s="2" t="s">
        <v>15</v>
      </c>
      <c r="B44" s="2">
        <v>1943</v>
      </c>
      <c r="C44" s="2" t="s">
        <v>22</v>
      </c>
      <c r="D44" s="3">
        <v>72.366276031294447</v>
      </c>
      <c r="E44" s="3" t="e">
        <v>#N/A</v>
      </c>
      <c r="F44" s="3" t="e">
        <v>#N/A</v>
      </c>
      <c r="G44" s="3"/>
      <c r="I44" s="3"/>
      <c r="J44" s="3"/>
      <c r="K44" s="3"/>
      <c r="N44" s="4" t="s">
        <v>100</v>
      </c>
      <c r="O44" s="2" t="s">
        <v>17</v>
      </c>
      <c r="P44" s="2">
        <v>35.459475255334276</v>
      </c>
    </row>
    <row r="45" spans="1:16" ht="14.25" customHeight="1">
      <c r="A45" s="2" t="s">
        <v>15</v>
      </c>
      <c r="B45" s="2">
        <v>1944</v>
      </c>
      <c r="C45" s="2" t="s">
        <v>22</v>
      </c>
      <c r="D45" s="3">
        <v>77.328631213168066</v>
      </c>
      <c r="E45" s="3">
        <v>0</v>
      </c>
      <c r="F45" s="3">
        <v>123.36461085145295</v>
      </c>
      <c r="G45" s="3"/>
      <c r="I45" s="3"/>
      <c r="J45" s="3"/>
      <c r="K45" s="3"/>
      <c r="N45" s="4" t="s">
        <v>100</v>
      </c>
      <c r="O45" s="2" t="s">
        <v>17</v>
      </c>
      <c r="P45" s="2">
        <v>37.891029294452352</v>
      </c>
    </row>
    <row r="46" spans="1:16" ht="14.25" customHeight="1">
      <c r="A46" s="2" t="s">
        <v>15</v>
      </c>
      <c r="B46" s="2">
        <v>1945</v>
      </c>
      <c r="C46" s="2" t="s">
        <v>22</v>
      </c>
      <c r="D46" s="3">
        <v>121.76818762446656</v>
      </c>
      <c r="E46" s="3" t="e">
        <v>#N/A</v>
      </c>
      <c r="F46" s="3" t="e">
        <v>#N/A</v>
      </c>
      <c r="G46" s="3"/>
      <c r="I46" s="3"/>
      <c r="J46" s="3"/>
      <c r="K46" s="3"/>
      <c r="N46" s="4" t="s">
        <v>100</v>
      </c>
      <c r="O46" s="2" t="s">
        <v>17</v>
      </c>
      <c r="P46" s="2">
        <v>59.666411935988613</v>
      </c>
    </row>
    <row r="47" spans="1:16" ht="14.25" customHeight="1">
      <c r="A47" s="2" t="s">
        <v>15</v>
      </c>
      <c r="B47" s="2">
        <v>1946</v>
      </c>
      <c r="C47" s="2" t="s">
        <v>22</v>
      </c>
      <c r="D47" s="3">
        <v>288.56246675472465</v>
      </c>
      <c r="E47" s="3">
        <v>0.44553952448689288</v>
      </c>
      <c r="F47" s="3">
        <v>90.056238569396456</v>
      </c>
      <c r="G47" s="3"/>
      <c r="I47" s="3"/>
      <c r="J47" s="3"/>
      <c r="K47" s="3"/>
      <c r="N47" s="4" t="s">
        <v>99</v>
      </c>
      <c r="O47" s="2" t="s">
        <v>17</v>
      </c>
      <c r="P47" s="2">
        <v>141.39560870981506</v>
      </c>
    </row>
    <row r="48" spans="1:16" ht="14.25" customHeight="1">
      <c r="A48" s="2" t="s">
        <v>15</v>
      </c>
      <c r="B48" s="2">
        <v>1947</v>
      </c>
      <c r="C48" s="2" t="s">
        <v>22</v>
      </c>
      <c r="D48" s="3">
        <v>321.54974112985161</v>
      </c>
      <c r="E48" s="3" t="e">
        <v>#N/A</v>
      </c>
      <c r="F48" s="3" t="e">
        <v>#N/A</v>
      </c>
      <c r="G48" s="3"/>
      <c r="I48" s="3"/>
      <c r="J48" s="3"/>
      <c r="K48" s="3"/>
      <c r="N48" s="4" t="s">
        <v>99</v>
      </c>
      <c r="O48" s="2" t="s">
        <v>17</v>
      </c>
      <c r="P48" s="2">
        <v>157.55937315362729</v>
      </c>
    </row>
    <row r="49" spans="1:16" ht="14.25" customHeight="1">
      <c r="A49" s="2" t="s">
        <v>15</v>
      </c>
      <c r="B49" s="2">
        <v>1948</v>
      </c>
      <c r="C49" s="2" t="s">
        <v>22</v>
      </c>
      <c r="D49" s="3">
        <v>345.80262937411095</v>
      </c>
      <c r="E49" s="3" t="e">
        <v>#N/A</v>
      </c>
      <c r="F49" s="3" t="e">
        <v>#N/A</v>
      </c>
      <c r="G49" s="3"/>
      <c r="I49" s="3"/>
      <c r="J49" s="3"/>
      <c r="K49" s="3"/>
      <c r="N49" s="4" t="s">
        <v>99</v>
      </c>
      <c r="O49" s="2" t="s">
        <v>17</v>
      </c>
      <c r="P49" s="2">
        <v>169.44328839331436</v>
      </c>
    </row>
    <row r="50" spans="1:16" ht="14.25" customHeight="1">
      <c r="A50" s="2" t="s">
        <v>15</v>
      </c>
      <c r="B50" s="2">
        <v>1949</v>
      </c>
      <c r="C50" s="2" t="s">
        <v>22</v>
      </c>
      <c r="D50" s="3">
        <v>391.00023733997153</v>
      </c>
      <c r="E50" s="3" t="e">
        <v>#N/A</v>
      </c>
      <c r="F50" s="3" t="e">
        <v>#N/A</v>
      </c>
      <c r="G50" s="3"/>
      <c r="I50" s="3"/>
      <c r="J50" s="3"/>
      <c r="K50" s="3"/>
      <c r="N50" s="4" t="s">
        <v>99</v>
      </c>
      <c r="O50" s="2" t="s">
        <v>17</v>
      </c>
      <c r="P50" s="2">
        <v>191.59011629658605</v>
      </c>
    </row>
    <row r="51" spans="1:16" ht="14.25" customHeight="1">
      <c r="A51" s="2" t="s">
        <v>15</v>
      </c>
      <c r="B51" s="2">
        <v>1950</v>
      </c>
      <c r="C51" s="2" t="s">
        <v>22</v>
      </c>
      <c r="D51" s="3">
        <v>329.65535303800044</v>
      </c>
      <c r="E51" s="3">
        <v>4.7925218451534235</v>
      </c>
      <c r="F51" s="3">
        <v>26.496596220280431</v>
      </c>
      <c r="G51" s="3"/>
      <c r="I51" s="3"/>
      <c r="J51" s="3"/>
      <c r="K51" s="3"/>
      <c r="N51" s="4" t="s">
        <v>99</v>
      </c>
      <c r="O51" s="2" t="s">
        <v>17</v>
      </c>
      <c r="P51" s="2">
        <v>161.53112298862021</v>
      </c>
    </row>
    <row r="52" spans="1:16" ht="14.25" customHeight="1">
      <c r="A52" s="2" t="s">
        <v>15</v>
      </c>
      <c r="B52" s="2">
        <v>1951</v>
      </c>
      <c r="C52" s="2" t="s">
        <v>22</v>
      </c>
      <c r="D52" s="3">
        <v>380.95377588904694</v>
      </c>
      <c r="E52" s="3" t="e">
        <v>#N/A</v>
      </c>
      <c r="F52" s="3" t="e">
        <v>#N/A</v>
      </c>
      <c r="G52" s="3"/>
      <c r="I52" s="3"/>
      <c r="J52" s="3"/>
      <c r="K52" s="3"/>
      <c r="N52" s="4" t="s">
        <v>99</v>
      </c>
      <c r="O52" s="2" t="s">
        <v>17</v>
      </c>
      <c r="P52" s="2">
        <v>186.66735018563298</v>
      </c>
    </row>
    <row r="53" spans="1:16" ht="14.25" customHeight="1">
      <c r="A53" s="2" t="s">
        <v>15</v>
      </c>
      <c r="B53" s="2">
        <v>1952</v>
      </c>
      <c r="C53" s="2" t="s">
        <v>22</v>
      </c>
      <c r="D53" s="3">
        <v>387.3995692542166</v>
      </c>
      <c r="E53" s="3" t="e">
        <v>#N/A</v>
      </c>
      <c r="F53" s="3" t="e">
        <v>#N/A</v>
      </c>
      <c r="G53" s="3"/>
      <c r="I53" s="3"/>
      <c r="J53" s="3"/>
      <c r="K53" s="3"/>
      <c r="N53" s="4" t="s">
        <v>99</v>
      </c>
      <c r="O53" s="2" t="s">
        <v>17</v>
      </c>
      <c r="P53" s="2">
        <v>189.82578893456613</v>
      </c>
    </row>
    <row r="54" spans="1:16" ht="14.25" customHeight="1">
      <c r="A54" s="2" t="s">
        <v>15</v>
      </c>
      <c r="B54" s="2">
        <v>1953</v>
      </c>
      <c r="C54" s="2" t="s">
        <v>22</v>
      </c>
      <c r="D54" s="3">
        <v>364.73656179638283</v>
      </c>
      <c r="E54" s="3" t="e">
        <v>#N/A</v>
      </c>
      <c r="F54" s="3" t="e">
        <v>#N/A</v>
      </c>
      <c r="G54" s="3"/>
      <c r="I54" s="3"/>
      <c r="J54" s="3"/>
      <c r="K54" s="3"/>
      <c r="N54" s="4" t="s">
        <v>99</v>
      </c>
      <c r="O54" s="2" t="s">
        <v>17</v>
      </c>
      <c r="P54" s="2">
        <v>178.72091528022759</v>
      </c>
    </row>
    <row r="55" spans="1:16" ht="14.25" customHeight="1">
      <c r="A55" s="2" t="s">
        <v>15</v>
      </c>
      <c r="B55" s="2">
        <v>1954</v>
      </c>
      <c r="C55" s="2" t="s">
        <v>22</v>
      </c>
      <c r="D55" s="3">
        <v>363.00660070107699</v>
      </c>
      <c r="E55" s="3" t="e">
        <v>#N/A</v>
      </c>
      <c r="F55" s="3" t="e">
        <v>#N/A</v>
      </c>
      <c r="G55" s="3"/>
      <c r="I55" s="3"/>
      <c r="J55" s="3"/>
      <c r="K55" s="3"/>
      <c r="N55" s="4" t="s">
        <v>99</v>
      </c>
      <c r="O55" s="2" t="s">
        <v>17</v>
      </c>
      <c r="P55" s="2">
        <v>177.87323434352771</v>
      </c>
    </row>
    <row r="56" spans="1:16" ht="14.25" customHeight="1">
      <c r="A56" s="2" t="s">
        <v>15</v>
      </c>
      <c r="B56" s="2">
        <v>1955</v>
      </c>
      <c r="C56" s="2" t="s">
        <v>22</v>
      </c>
      <c r="D56" s="3">
        <v>381.60425846372686</v>
      </c>
      <c r="E56" s="3">
        <v>6.3679638284901436</v>
      </c>
      <c r="F56" s="3">
        <v>16.016663279821174</v>
      </c>
      <c r="G56" s="3"/>
      <c r="I56" s="3"/>
      <c r="J56" s="3"/>
      <c r="K56" s="3"/>
      <c r="N56" s="4" t="s">
        <v>99</v>
      </c>
      <c r="O56" s="2" t="s">
        <v>17</v>
      </c>
      <c r="P56" s="2">
        <v>186.98608664722616</v>
      </c>
    </row>
    <row r="57" spans="1:16" ht="14.25" customHeight="1">
      <c r="A57" s="2" t="s">
        <v>15</v>
      </c>
      <c r="B57" s="2">
        <v>1956</v>
      </c>
      <c r="C57" s="2" t="s">
        <v>22</v>
      </c>
      <c r="D57" s="3">
        <v>393.82239382239379</v>
      </c>
      <c r="E57" s="3" t="e">
        <v>#N/A</v>
      </c>
      <c r="F57" s="3" t="e">
        <v>#N/A</v>
      </c>
      <c r="G57" s="3"/>
      <c r="I57" s="3"/>
      <c r="J57" s="3"/>
      <c r="K57" s="3"/>
      <c r="N57" s="4" t="s">
        <v>99</v>
      </c>
      <c r="O57" s="2" t="s">
        <v>17</v>
      </c>
      <c r="P57" s="2">
        <v>192.97297297297297</v>
      </c>
    </row>
    <row r="58" spans="1:16" ht="14.25" customHeight="1">
      <c r="A58" s="2" t="s">
        <v>15</v>
      </c>
      <c r="B58" s="2">
        <v>1957</v>
      </c>
      <c r="C58" s="2" t="s">
        <v>22</v>
      </c>
      <c r="D58" s="3">
        <v>344.13737045315992</v>
      </c>
      <c r="E58" s="3" t="e">
        <v>#N/A</v>
      </c>
      <c r="F58" s="3" t="e">
        <v>#N/A</v>
      </c>
      <c r="G58" s="3"/>
      <c r="I58" s="3"/>
      <c r="J58" s="3"/>
      <c r="K58" s="3"/>
      <c r="N58" s="4" t="s">
        <v>99</v>
      </c>
      <c r="O58" s="2" t="s">
        <v>17</v>
      </c>
      <c r="P58" s="2">
        <v>168.62731152204836</v>
      </c>
    </row>
    <row r="59" spans="1:16" ht="14.25" customHeight="1">
      <c r="A59" s="2" t="s">
        <v>15</v>
      </c>
      <c r="B59" s="2">
        <v>1958</v>
      </c>
      <c r="C59" s="2" t="s">
        <v>22</v>
      </c>
      <c r="D59" s="3">
        <v>342.81650071123755</v>
      </c>
      <c r="E59" s="3" t="e">
        <v>#N/A</v>
      </c>
      <c r="F59" s="3" t="e">
        <v>#N/A</v>
      </c>
      <c r="G59" s="3"/>
      <c r="I59" s="3"/>
      <c r="J59" s="3"/>
      <c r="K59" s="3"/>
      <c r="N59" s="4" t="s">
        <v>99</v>
      </c>
      <c r="O59" s="2" t="s">
        <v>17</v>
      </c>
      <c r="P59" s="2">
        <v>167.98008534850641</v>
      </c>
    </row>
    <row r="60" spans="1:16" ht="14.25" customHeight="1">
      <c r="A60" s="2" t="s">
        <v>15</v>
      </c>
      <c r="B60" s="2">
        <v>1959</v>
      </c>
      <c r="C60" s="2" t="s">
        <v>22</v>
      </c>
      <c r="D60" s="3">
        <v>341.39402560455187</v>
      </c>
      <c r="E60" s="3" t="e">
        <v>#N/A</v>
      </c>
      <c r="F60" s="3" t="e">
        <v>#N/A</v>
      </c>
      <c r="G60" s="3"/>
      <c r="I60" s="3"/>
      <c r="J60" s="3"/>
      <c r="K60" s="3"/>
      <c r="N60" s="4" t="s">
        <v>99</v>
      </c>
      <c r="O60" s="2" t="s">
        <v>17</v>
      </c>
      <c r="P60" s="2">
        <v>167.28307254623041</v>
      </c>
    </row>
    <row r="61" spans="1:16" ht="14.25" customHeight="1">
      <c r="A61" s="2" t="s">
        <v>15</v>
      </c>
      <c r="B61" s="2">
        <v>1960</v>
      </c>
      <c r="C61" s="2" t="s">
        <v>22</v>
      </c>
      <c r="D61" s="3">
        <v>314.62101198943304</v>
      </c>
      <c r="E61" s="3">
        <v>3.1650071123755334</v>
      </c>
      <c r="F61" s="3">
        <v>37.412111359479781</v>
      </c>
      <c r="G61" s="3"/>
      <c r="I61" s="3"/>
      <c r="J61" s="3"/>
      <c r="K61" s="3"/>
      <c r="N61" s="4" t="s">
        <v>99</v>
      </c>
      <c r="O61" s="2" t="s">
        <v>17</v>
      </c>
      <c r="P61" s="2">
        <v>154.16429587482219</v>
      </c>
    </row>
    <row r="62" spans="1:16" ht="14.25" customHeight="1">
      <c r="A62" s="2" t="s">
        <v>15</v>
      </c>
      <c r="B62" s="2">
        <v>1961</v>
      </c>
      <c r="C62" s="2" t="s">
        <v>22</v>
      </c>
      <c r="D62" s="3">
        <v>291.86141028246288</v>
      </c>
      <c r="E62" s="3" t="e">
        <v>#N/A</v>
      </c>
      <c r="F62" s="3" t="e">
        <v>#N/A</v>
      </c>
      <c r="G62" s="3"/>
      <c r="I62" s="3"/>
      <c r="J62" s="3"/>
      <c r="K62" s="3"/>
      <c r="N62" s="4" t="s">
        <v>99</v>
      </c>
      <c r="O62" s="2" t="s">
        <v>17</v>
      </c>
      <c r="P62" s="2">
        <v>143.01209103840682</v>
      </c>
    </row>
    <row r="63" spans="1:16" ht="14.25" customHeight="1">
      <c r="A63" s="2" t="s">
        <v>15</v>
      </c>
      <c r="B63" s="2">
        <v>1962</v>
      </c>
      <c r="C63" s="2" t="s">
        <v>22</v>
      </c>
      <c r="D63" s="3">
        <v>320.26010973379397</v>
      </c>
      <c r="E63" s="3" t="e">
        <v>#N/A</v>
      </c>
      <c r="F63" s="3" t="e">
        <v>#N/A</v>
      </c>
      <c r="G63" s="3"/>
      <c r="I63" s="3"/>
      <c r="J63" s="3"/>
      <c r="K63" s="3"/>
      <c r="N63" s="4" t="s">
        <v>99</v>
      </c>
      <c r="O63" s="2" t="s">
        <v>17</v>
      </c>
      <c r="P63" s="2">
        <v>156.92745376955904</v>
      </c>
    </row>
    <row r="64" spans="1:16" ht="14.25" customHeight="1">
      <c r="A64" s="2" t="s">
        <v>15</v>
      </c>
      <c r="B64" s="2">
        <v>1963</v>
      </c>
      <c r="C64" s="2" t="s">
        <v>22</v>
      </c>
      <c r="D64" s="3">
        <v>321.53017679333465</v>
      </c>
      <c r="E64" s="3" t="e">
        <v>#N/A</v>
      </c>
      <c r="F64" s="3" t="e">
        <v>#N/A</v>
      </c>
      <c r="G64" s="3"/>
      <c r="I64" s="3"/>
      <c r="J64" s="3"/>
      <c r="K64" s="3"/>
      <c r="N64" s="4" t="s">
        <v>99</v>
      </c>
      <c r="O64" s="2" t="s">
        <v>17</v>
      </c>
      <c r="P64" s="2">
        <v>157.54978662873398</v>
      </c>
    </row>
    <row r="65" spans="1:16" ht="14.25" customHeight="1">
      <c r="A65" s="2" t="s">
        <v>15</v>
      </c>
      <c r="B65" s="2">
        <v>1964</v>
      </c>
      <c r="C65" s="2" t="s">
        <v>22</v>
      </c>
      <c r="D65" s="3">
        <v>299.83743141637876</v>
      </c>
      <c r="E65" s="3" t="e">
        <v>#N/A</v>
      </c>
      <c r="F65" s="3" t="e">
        <v>#N/A</v>
      </c>
      <c r="G65" s="3"/>
      <c r="I65" s="3"/>
      <c r="J65" s="3"/>
      <c r="K65" s="3"/>
      <c r="N65" s="4" t="s">
        <v>99</v>
      </c>
      <c r="O65" s="2" t="s">
        <v>17</v>
      </c>
      <c r="P65" s="2">
        <v>146.9203413940256</v>
      </c>
    </row>
    <row r="66" spans="1:16" ht="14.25" customHeight="1">
      <c r="A66" s="2" t="s">
        <v>15</v>
      </c>
      <c r="B66" s="2">
        <v>1965</v>
      </c>
      <c r="C66" s="2" t="s">
        <v>22</v>
      </c>
      <c r="D66" s="3">
        <v>317.00873806136963</v>
      </c>
      <c r="E66" s="3" t="e">
        <v>#N/A</v>
      </c>
      <c r="F66" s="3">
        <v>44.045925624872993</v>
      </c>
      <c r="G66" s="3"/>
      <c r="I66" s="3"/>
      <c r="J66" s="3"/>
      <c r="K66" s="3"/>
      <c r="N66" s="4" t="s">
        <v>99</v>
      </c>
      <c r="O66" s="2" t="s">
        <v>17</v>
      </c>
      <c r="P66" s="2">
        <v>155.33428165007112</v>
      </c>
    </row>
    <row r="67" spans="1:16" ht="14.25" customHeight="1">
      <c r="A67" s="2" t="s">
        <v>15</v>
      </c>
      <c r="B67" s="2">
        <v>1966</v>
      </c>
      <c r="C67" s="2" t="s">
        <v>22</v>
      </c>
      <c r="D67" s="3">
        <v>325.79760211339158</v>
      </c>
      <c r="E67" s="3" t="e">
        <v>#N/A</v>
      </c>
      <c r="F67" s="3">
        <v>37.593984962406019</v>
      </c>
      <c r="G67" s="3"/>
      <c r="I67" s="3"/>
      <c r="J67" s="3"/>
      <c r="K67" s="3"/>
      <c r="N67" s="4" t="s">
        <v>99</v>
      </c>
      <c r="O67" s="2" t="s">
        <v>17</v>
      </c>
      <c r="P67" s="2">
        <v>159.64082503556187</v>
      </c>
    </row>
    <row r="68" spans="1:16" ht="14.25" customHeight="1">
      <c r="A68" s="2" t="s">
        <v>15</v>
      </c>
      <c r="B68" s="2">
        <v>1967</v>
      </c>
      <c r="C68" s="2" t="s">
        <v>22</v>
      </c>
      <c r="D68" s="3">
        <v>350.84332452753506</v>
      </c>
      <c r="E68" s="3" t="e">
        <v>#N/A</v>
      </c>
      <c r="F68" s="3">
        <v>36.069904490957121</v>
      </c>
      <c r="G68" s="3"/>
      <c r="I68" s="3"/>
      <c r="J68" s="3"/>
      <c r="K68" s="3"/>
      <c r="N68" s="4" t="s">
        <v>99</v>
      </c>
      <c r="O68" s="2" t="s">
        <v>17</v>
      </c>
      <c r="P68" s="2">
        <v>171.91322901849219</v>
      </c>
    </row>
    <row r="69" spans="1:16" ht="14.25" customHeight="1">
      <c r="A69" s="2" t="s">
        <v>15</v>
      </c>
      <c r="B69" s="2">
        <v>1968</v>
      </c>
      <c r="C69" s="2" t="s">
        <v>22</v>
      </c>
      <c r="D69" s="3">
        <v>372.53606990449094</v>
      </c>
      <c r="E69" s="3" t="e">
        <v>#N/A</v>
      </c>
      <c r="F69" s="3">
        <v>37.289168868116235</v>
      </c>
      <c r="G69" s="3"/>
      <c r="I69" s="3"/>
      <c r="J69" s="3"/>
      <c r="K69" s="3"/>
      <c r="N69" s="4" t="s">
        <v>99</v>
      </c>
      <c r="O69" s="2" t="s">
        <v>17</v>
      </c>
      <c r="P69" s="2">
        <v>182.54267425320057</v>
      </c>
    </row>
    <row r="70" spans="1:16" ht="14.25" customHeight="1">
      <c r="A70" s="2" t="s">
        <v>15</v>
      </c>
      <c r="B70" s="2">
        <v>1969</v>
      </c>
      <c r="C70" s="2" t="s">
        <v>22</v>
      </c>
      <c r="D70" s="3">
        <v>380.10566957935379</v>
      </c>
      <c r="E70" s="3" t="e">
        <v>#N/A</v>
      </c>
      <c r="F70" s="3">
        <v>34.139402560455189</v>
      </c>
      <c r="G70" s="3"/>
      <c r="I70" s="3"/>
      <c r="J70" s="3"/>
      <c r="K70" s="3"/>
      <c r="N70" s="4" t="s">
        <v>99</v>
      </c>
      <c r="O70" s="2" t="s">
        <v>17</v>
      </c>
      <c r="P70" s="2">
        <v>186.25177809388336</v>
      </c>
    </row>
    <row r="71" spans="1:16" ht="14.25" customHeight="1">
      <c r="A71" s="2" t="s">
        <v>15</v>
      </c>
      <c r="B71" s="2">
        <v>1970</v>
      </c>
      <c r="C71" s="2" t="s">
        <v>22</v>
      </c>
      <c r="D71" s="3">
        <v>345.20422678317414</v>
      </c>
      <c r="E71" s="3" t="e">
        <v>#N/A</v>
      </c>
      <c r="F71" s="3">
        <v>44.807965860597434</v>
      </c>
      <c r="G71" s="3"/>
      <c r="I71" s="3"/>
      <c r="J71" s="3"/>
      <c r="K71" s="3"/>
      <c r="N71" s="4" t="s">
        <v>99</v>
      </c>
      <c r="O71" s="2" t="s">
        <v>17</v>
      </c>
      <c r="P71" s="2">
        <v>169.15007112375531</v>
      </c>
    </row>
    <row r="72" spans="1:16" ht="14.25" customHeight="1">
      <c r="A72" s="2" t="s">
        <v>15</v>
      </c>
      <c r="B72" s="2">
        <v>1971</v>
      </c>
      <c r="C72" s="2" t="s">
        <v>22</v>
      </c>
      <c r="D72" s="3">
        <v>305.88295061979272</v>
      </c>
      <c r="E72" s="3" t="e">
        <v>#N/A</v>
      </c>
      <c r="F72" s="3">
        <v>41.099370046738464</v>
      </c>
      <c r="G72" s="3"/>
      <c r="I72" s="3"/>
      <c r="J72" s="3"/>
      <c r="K72" s="3"/>
      <c r="N72" s="4" t="s">
        <v>99</v>
      </c>
      <c r="O72" s="2" t="s">
        <v>17</v>
      </c>
      <c r="P72" s="2">
        <v>149.88264580369844</v>
      </c>
    </row>
    <row r="73" spans="1:16" ht="14.25" customHeight="1">
      <c r="A73" s="2" t="s">
        <v>15</v>
      </c>
      <c r="B73" s="2">
        <v>1972</v>
      </c>
      <c r="C73" s="2" t="s">
        <v>22</v>
      </c>
      <c r="D73" s="3">
        <v>301.81873602926231</v>
      </c>
      <c r="E73" s="3" t="e">
        <v>#N/A</v>
      </c>
      <c r="F73" s="3">
        <v>43.893517577728105</v>
      </c>
      <c r="G73" s="3"/>
      <c r="I73" s="3"/>
      <c r="J73" s="3"/>
      <c r="K73" s="3"/>
      <c r="N73" s="4" t="s">
        <v>99</v>
      </c>
      <c r="O73" s="2" t="s">
        <v>17</v>
      </c>
      <c r="P73" s="2">
        <v>147.89118065433854</v>
      </c>
    </row>
    <row r="74" spans="1:16" ht="14.25" customHeight="1">
      <c r="A74" s="2" t="s">
        <v>15</v>
      </c>
      <c r="B74" s="2">
        <v>1973</v>
      </c>
      <c r="C74" s="2" t="s">
        <v>22</v>
      </c>
      <c r="D74" s="3">
        <v>273.72485267222106</v>
      </c>
      <c r="E74" s="3" t="e">
        <v>#N/A</v>
      </c>
      <c r="F74" s="3">
        <v>36.933550091444829</v>
      </c>
      <c r="G74" s="3"/>
      <c r="I74" s="3"/>
      <c r="J74" s="3"/>
      <c r="K74" s="3"/>
      <c r="N74" s="4" t="s">
        <v>99</v>
      </c>
      <c r="O74" s="2" t="s">
        <v>17</v>
      </c>
      <c r="P74" s="2">
        <v>134.1251778093883</v>
      </c>
    </row>
    <row r="75" spans="1:16" ht="14.25" customHeight="1">
      <c r="A75" s="2" t="s">
        <v>15</v>
      </c>
      <c r="B75" s="2">
        <v>1974</v>
      </c>
      <c r="C75" s="2" t="s">
        <v>22</v>
      </c>
      <c r="D75" s="3">
        <v>267.62853078642553</v>
      </c>
      <c r="E75" s="3" t="e">
        <v>#N/A</v>
      </c>
      <c r="F75" s="3">
        <v>33.732981101402153</v>
      </c>
      <c r="G75" s="3"/>
      <c r="I75" s="3"/>
      <c r="J75" s="3"/>
      <c r="K75" s="3"/>
      <c r="N75" s="4" t="s">
        <v>99</v>
      </c>
      <c r="O75" s="2" t="s">
        <v>17</v>
      </c>
      <c r="P75" s="2">
        <v>131.13798008534852</v>
      </c>
    </row>
    <row r="76" spans="1:16" ht="14.25" customHeight="1">
      <c r="A76" s="2" t="s">
        <v>15</v>
      </c>
      <c r="B76" s="2">
        <v>1975</v>
      </c>
      <c r="C76" s="2" t="s">
        <v>22</v>
      </c>
      <c r="D76" s="3">
        <v>242.44</v>
      </c>
      <c r="E76" s="3" t="e">
        <v>#N/A</v>
      </c>
      <c r="F76" s="3">
        <v>42.872</v>
      </c>
      <c r="G76" s="3"/>
      <c r="I76" s="3"/>
      <c r="J76" s="3"/>
      <c r="K76" s="3"/>
      <c r="N76" s="4" t="s">
        <v>99</v>
      </c>
      <c r="O76" s="2" t="s">
        <v>17</v>
      </c>
      <c r="P76" s="2">
        <v>118.79559999999999</v>
      </c>
    </row>
    <row r="77" spans="1:16" ht="14.25" customHeight="1">
      <c r="A77" s="2" t="s">
        <v>15</v>
      </c>
      <c r="B77" s="2">
        <v>1976</v>
      </c>
      <c r="C77" s="2" t="s">
        <v>22</v>
      </c>
      <c r="D77" s="3">
        <v>212.11</v>
      </c>
      <c r="E77" s="3" t="e">
        <v>#N/A</v>
      </c>
      <c r="F77" s="3">
        <v>57.94</v>
      </c>
      <c r="G77" s="3"/>
      <c r="I77" s="3"/>
      <c r="J77" s="3"/>
      <c r="K77" s="3"/>
      <c r="N77" s="4" t="s">
        <v>101</v>
      </c>
      <c r="O77" s="2" t="s">
        <v>17</v>
      </c>
      <c r="P77" s="2">
        <v>103.93390000000001</v>
      </c>
    </row>
    <row r="78" spans="1:16" ht="14.25" customHeight="1">
      <c r="A78" s="2" t="s">
        <v>15</v>
      </c>
      <c r="B78" s="2">
        <v>1977</v>
      </c>
      <c r="C78" s="2" t="s">
        <v>22</v>
      </c>
      <c r="D78" s="3">
        <v>147.69900000000001</v>
      </c>
      <c r="E78" s="3" t="e">
        <v>#N/A</v>
      </c>
      <c r="F78" s="3">
        <v>61.869</v>
      </c>
      <c r="G78" s="3"/>
      <c r="I78" s="3"/>
      <c r="J78" s="3"/>
      <c r="K78" s="3"/>
      <c r="N78" s="4" t="s">
        <v>101</v>
      </c>
      <c r="O78" s="2" t="s">
        <v>17</v>
      </c>
      <c r="P78" s="2">
        <v>72.372510000000005</v>
      </c>
    </row>
    <row r="79" spans="1:16" ht="14.25" customHeight="1">
      <c r="A79" s="2" t="s">
        <v>15</v>
      </c>
      <c r="B79" s="2">
        <v>1978</v>
      </c>
      <c r="C79" s="2" t="s">
        <v>22</v>
      </c>
      <c r="D79" s="3">
        <v>126.39100000000001</v>
      </c>
      <c r="E79" s="3" t="e">
        <v>#N/A</v>
      </c>
      <c r="F79" s="3">
        <v>99.504999999999995</v>
      </c>
      <c r="G79" s="3"/>
      <c r="I79" s="3"/>
      <c r="J79" s="3"/>
      <c r="K79" s="3"/>
      <c r="N79" s="4" t="s">
        <v>101</v>
      </c>
      <c r="O79" s="2" t="s">
        <v>17</v>
      </c>
      <c r="P79" s="2">
        <v>61.93159</v>
      </c>
    </row>
    <row r="80" spans="1:16" ht="14.25" customHeight="1">
      <c r="A80" s="2" t="s">
        <v>15</v>
      </c>
      <c r="B80" s="2">
        <v>1979</v>
      </c>
      <c r="C80" s="2" t="s">
        <v>22</v>
      </c>
      <c r="D80" s="3">
        <v>109.255</v>
      </c>
      <c r="E80" s="3" t="e">
        <v>#N/A</v>
      </c>
      <c r="F80" s="3">
        <v>122.498</v>
      </c>
      <c r="G80" s="3"/>
      <c r="I80" s="3"/>
      <c r="J80" s="3"/>
      <c r="K80" s="3"/>
      <c r="N80" s="4" t="s">
        <v>101</v>
      </c>
      <c r="O80" s="2" t="s">
        <v>17</v>
      </c>
      <c r="P80" s="2">
        <v>53.534949999999995</v>
      </c>
    </row>
    <row r="81" spans="1:16" ht="14.25" customHeight="1">
      <c r="A81" s="2" t="s">
        <v>15</v>
      </c>
      <c r="B81" s="2">
        <v>1980</v>
      </c>
      <c r="C81" s="2" t="s">
        <v>22</v>
      </c>
      <c r="D81" s="3">
        <v>104.307</v>
      </c>
      <c r="E81" s="3" t="e">
        <v>#N/A</v>
      </c>
      <c r="F81" s="3">
        <v>123.03</v>
      </c>
      <c r="G81" s="3"/>
      <c r="I81" s="3"/>
      <c r="J81" s="3"/>
      <c r="K81" s="3"/>
      <c r="N81" s="4" t="s">
        <v>101</v>
      </c>
      <c r="O81" s="2" t="s">
        <v>17</v>
      </c>
      <c r="P81" s="2">
        <v>51.110430000000001</v>
      </c>
    </row>
    <row r="82" spans="1:16" ht="14.25" customHeight="1">
      <c r="A82" s="2" t="s">
        <v>15</v>
      </c>
      <c r="B82" s="2">
        <v>1981</v>
      </c>
      <c r="C82" s="2" t="s">
        <v>22</v>
      </c>
      <c r="D82" s="3">
        <v>115.733</v>
      </c>
      <c r="E82" s="3" t="e">
        <v>#N/A</v>
      </c>
      <c r="F82" s="3">
        <v>114.741</v>
      </c>
      <c r="G82" s="3"/>
      <c r="I82" s="3"/>
      <c r="J82" s="3"/>
      <c r="K82" s="3"/>
      <c r="N82" s="4" t="s">
        <v>101</v>
      </c>
      <c r="O82" s="2" t="s">
        <v>17</v>
      </c>
      <c r="P82" s="2">
        <v>56.70917</v>
      </c>
    </row>
    <row r="83" spans="1:16" ht="14.25" customHeight="1">
      <c r="A83" s="2" t="s">
        <v>15</v>
      </c>
      <c r="B83" s="2">
        <v>1982</v>
      </c>
      <c r="C83" s="2" t="s">
        <v>22</v>
      </c>
      <c r="D83" s="3">
        <v>114.316</v>
      </c>
      <c r="E83" s="3" t="e">
        <v>#N/A</v>
      </c>
      <c r="F83" s="3">
        <v>107.738</v>
      </c>
      <c r="G83" s="3"/>
      <c r="I83" s="3"/>
      <c r="J83" s="3"/>
      <c r="K83" s="3"/>
      <c r="N83" s="4" t="s">
        <v>101</v>
      </c>
      <c r="O83" s="2" t="s">
        <v>17</v>
      </c>
      <c r="P83" s="2">
        <v>56.01484</v>
      </c>
    </row>
    <row r="84" spans="1:16" ht="14.25" customHeight="1">
      <c r="A84" s="2" t="s">
        <v>15</v>
      </c>
      <c r="B84" s="2">
        <v>1983</v>
      </c>
      <c r="C84" s="2" t="s">
        <v>22</v>
      </c>
      <c r="D84" s="3">
        <v>112.60299999999999</v>
      </c>
      <c r="E84" s="3" t="e">
        <v>#N/A</v>
      </c>
      <c r="F84" s="3">
        <v>96.382000000000005</v>
      </c>
      <c r="G84" s="3"/>
      <c r="I84" s="3"/>
      <c r="J84" s="3"/>
      <c r="K84" s="3"/>
      <c r="N84" s="4" t="s">
        <v>101</v>
      </c>
      <c r="O84" s="2" t="s">
        <v>17</v>
      </c>
      <c r="P84" s="2">
        <v>55.175469999999997</v>
      </c>
    </row>
    <row r="85" spans="1:16" ht="14.25" customHeight="1">
      <c r="A85" s="2" t="s">
        <v>15</v>
      </c>
      <c r="B85" s="2">
        <v>1984</v>
      </c>
      <c r="C85" s="2" t="s">
        <v>22</v>
      </c>
      <c r="D85" s="3">
        <v>90.873999999999995</v>
      </c>
      <c r="E85" s="3" t="e">
        <v>#N/A</v>
      </c>
      <c r="F85" s="3">
        <v>117.194</v>
      </c>
      <c r="G85" s="3"/>
      <c r="I85" s="3"/>
      <c r="J85" s="3"/>
      <c r="K85" s="3"/>
      <c r="N85" s="4" t="s">
        <v>101</v>
      </c>
      <c r="O85" s="2" t="s">
        <v>17</v>
      </c>
      <c r="P85" s="2">
        <v>44.528259999999996</v>
      </c>
    </row>
    <row r="86" spans="1:16" ht="14.25" customHeight="1">
      <c r="A86" s="2" t="s">
        <v>15</v>
      </c>
      <c r="B86" s="2">
        <v>1985</v>
      </c>
      <c r="C86" s="2" t="s">
        <v>22</v>
      </c>
      <c r="D86" s="3">
        <v>90.045000000000002</v>
      </c>
      <c r="E86" s="3" t="e">
        <v>#N/A</v>
      </c>
      <c r="F86" s="3">
        <v>129.98599999999999</v>
      </c>
      <c r="G86" s="3"/>
      <c r="I86" s="3"/>
      <c r="J86" s="3"/>
      <c r="K86" s="3"/>
      <c r="N86" s="4" t="s">
        <v>101</v>
      </c>
      <c r="O86" s="2" t="s">
        <v>17</v>
      </c>
      <c r="P86" s="2">
        <v>44.122050000000002</v>
      </c>
    </row>
    <row r="87" spans="1:16" ht="14.25" customHeight="1">
      <c r="A87" s="2" t="s">
        <v>15</v>
      </c>
      <c r="B87" s="2">
        <v>1986</v>
      </c>
      <c r="C87" s="2" t="s">
        <v>22</v>
      </c>
      <c r="D87" s="3">
        <v>76.569000000000003</v>
      </c>
      <c r="E87" s="3" t="e">
        <v>#N/A</v>
      </c>
      <c r="F87" s="3">
        <v>137.935</v>
      </c>
      <c r="G87" s="3"/>
      <c r="I87" s="3"/>
      <c r="J87" s="3"/>
      <c r="K87" s="3"/>
      <c r="N87" s="4" t="s">
        <v>101</v>
      </c>
      <c r="O87" s="2" t="s">
        <v>17</v>
      </c>
      <c r="P87" s="2">
        <v>37.518810000000002</v>
      </c>
    </row>
    <row r="88" spans="1:16" ht="14.25" customHeight="1">
      <c r="A88" s="2" t="s">
        <v>15</v>
      </c>
      <c r="B88" s="2">
        <v>1987</v>
      </c>
      <c r="C88" s="2" t="s">
        <v>22</v>
      </c>
      <c r="D88" s="3">
        <v>93.58</v>
      </c>
      <c r="E88" s="3" t="e">
        <v>#N/A</v>
      </c>
      <c r="F88" s="3">
        <v>124.88800000000001</v>
      </c>
      <c r="G88" s="3"/>
      <c r="I88" s="3"/>
      <c r="J88" s="3"/>
      <c r="K88" s="3"/>
      <c r="N88" s="4" t="s">
        <v>101</v>
      </c>
      <c r="O88" s="2" t="s">
        <v>17</v>
      </c>
      <c r="P88" s="2">
        <v>45.854199999999999</v>
      </c>
    </row>
    <row r="89" spans="1:16" ht="14.25" customHeight="1">
      <c r="A89" s="2" t="s">
        <v>15</v>
      </c>
      <c r="B89" s="2">
        <v>1988</v>
      </c>
      <c r="C89" s="2" t="s">
        <v>22</v>
      </c>
      <c r="D89" s="3">
        <v>77.67</v>
      </c>
      <c r="E89" s="3" t="e">
        <v>#N/A</v>
      </c>
      <c r="F89" s="3">
        <v>132.184</v>
      </c>
      <c r="G89" s="3"/>
      <c r="H89" s="2">
        <v>1.6239316239316239</v>
      </c>
      <c r="I89" s="3"/>
      <c r="J89" s="3"/>
      <c r="K89" s="3"/>
      <c r="N89" s="4" t="s">
        <v>101</v>
      </c>
      <c r="O89" s="2" t="s">
        <v>17</v>
      </c>
      <c r="P89" s="2">
        <v>38.058300000000003</v>
      </c>
    </row>
    <row r="90" spans="1:16" ht="14.25" customHeight="1">
      <c r="A90" s="2" t="s">
        <v>15</v>
      </c>
      <c r="B90" s="2">
        <v>1989</v>
      </c>
      <c r="C90" s="2" t="s">
        <v>22</v>
      </c>
      <c r="D90" s="3">
        <v>68.245000000000005</v>
      </c>
      <c r="E90" s="3" t="e">
        <v>#N/A</v>
      </c>
      <c r="F90" s="3">
        <v>142.101</v>
      </c>
      <c r="G90" s="3"/>
      <c r="H90" s="2">
        <v>1.1965811965811965</v>
      </c>
      <c r="I90" s="3"/>
      <c r="J90" s="3"/>
      <c r="K90" s="3"/>
      <c r="N90" s="4" t="s">
        <v>101</v>
      </c>
      <c r="O90" s="2" t="s">
        <v>17</v>
      </c>
      <c r="P90" s="2">
        <v>33.440049999999999</v>
      </c>
    </row>
    <row r="91" spans="1:16" ht="14.25" customHeight="1">
      <c r="A91" s="2" t="s">
        <v>15</v>
      </c>
      <c r="B91" s="2">
        <v>1990</v>
      </c>
      <c r="C91" s="2" t="s">
        <v>22</v>
      </c>
      <c r="D91" s="3">
        <v>60.371000000000002</v>
      </c>
      <c r="E91" s="3" t="e">
        <v>#N/A</v>
      </c>
      <c r="F91" s="3">
        <v>134.964</v>
      </c>
      <c r="G91" s="3"/>
      <c r="H91" s="2">
        <v>1.0256410256410258</v>
      </c>
      <c r="I91" s="3"/>
      <c r="J91" s="3"/>
      <c r="K91" s="3"/>
      <c r="N91" s="4" t="s">
        <v>101</v>
      </c>
      <c r="O91" s="2" t="s">
        <v>17</v>
      </c>
      <c r="P91" s="2">
        <v>29.581790000000002</v>
      </c>
    </row>
    <row r="92" spans="1:16" ht="14.25" customHeight="1">
      <c r="A92" s="2" t="s">
        <v>15</v>
      </c>
      <c r="B92" s="2">
        <v>1991</v>
      </c>
      <c r="C92" s="2" t="s">
        <v>22</v>
      </c>
      <c r="D92" s="3">
        <v>56.153846153846175</v>
      </c>
      <c r="E92" s="3">
        <v>8.8580000000000005</v>
      </c>
      <c r="F92" s="3">
        <v>117.53100000000001</v>
      </c>
      <c r="G92" s="3"/>
      <c r="H92" s="2">
        <v>1.5384615384615385</v>
      </c>
      <c r="I92" s="3"/>
      <c r="J92" s="3"/>
      <c r="K92" s="3"/>
      <c r="N92" s="4" t="s">
        <v>101</v>
      </c>
      <c r="O92" s="2" t="s">
        <v>17</v>
      </c>
      <c r="P92" s="2">
        <v>27.515384615384626</v>
      </c>
    </row>
    <row r="93" spans="1:16" ht="14.25" customHeight="1">
      <c r="A93" s="2" t="s">
        <v>15</v>
      </c>
      <c r="B93" s="2">
        <v>1992</v>
      </c>
      <c r="C93" s="2" t="s">
        <v>22</v>
      </c>
      <c r="D93" s="3">
        <v>53.16239316239318</v>
      </c>
      <c r="E93" s="3">
        <v>8.1920000000000002</v>
      </c>
      <c r="F93" s="3">
        <v>116.211</v>
      </c>
      <c r="G93" s="3"/>
      <c r="H93" s="2">
        <v>2.6495726495726499</v>
      </c>
      <c r="I93" s="3"/>
      <c r="J93" s="3"/>
      <c r="K93" s="3"/>
      <c r="N93" s="4" t="s">
        <v>101</v>
      </c>
      <c r="O93" s="2" t="s">
        <v>17</v>
      </c>
      <c r="P93" s="2">
        <v>26.049572649572657</v>
      </c>
    </row>
    <row r="94" spans="1:16" ht="14.25" customHeight="1">
      <c r="A94" s="2" t="s">
        <v>15</v>
      </c>
      <c r="B94" s="2">
        <v>1993</v>
      </c>
      <c r="C94" s="2" t="s">
        <v>22</v>
      </c>
      <c r="D94" s="3">
        <v>55.384615384615401</v>
      </c>
      <c r="E94" s="3">
        <v>11.262</v>
      </c>
      <c r="F94" s="3">
        <v>106.09099999999999</v>
      </c>
      <c r="G94" s="3"/>
      <c r="H94" s="2">
        <v>2.1367521367521372</v>
      </c>
      <c r="I94" s="3"/>
      <c r="J94" s="3"/>
      <c r="K94" s="3"/>
      <c r="N94" s="4" t="s">
        <v>101</v>
      </c>
      <c r="O94" s="2" t="s">
        <v>17</v>
      </c>
      <c r="P94" s="2">
        <v>27.138461538461545</v>
      </c>
    </row>
    <row r="95" spans="1:16" ht="14.25" customHeight="1">
      <c r="A95" s="2" t="s">
        <v>15</v>
      </c>
      <c r="B95" s="2">
        <v>1994</v>
      </c>
      <c r="C95" s="2" t="s">
        <v>22</v>
      </c>
      <c r="D95" s="3">
        <v>56.170940170940192</v>
      </c>
      <c r="E95" s="3">
        <v>9.2159999999999993</v>
      </c>
      <c r="F95" s="3">
        <v>105.79300000000001</v>
      </c>
      <c r="G95" s="3"/>
      <c r="H95" s="2">
        <v>2.6495726495726499</v>
      </c>
      <c r="I95" s="3"/>
      <c r="J95" s="3"/>
      <c r="K95" s="3"/>
      <c r="N95" s="4" t="s">
        <v>101</v>
      </c>
      <c r="O95" s="2" t="s">
        <v>17</v>
      </c>
      <c r="P95" s="2">
        <v>27.523760683760692</v>
      </c>
    </row>
    <row r="96" spans="1:16" ht="14.25" customHeight="1">
      <c r="A96" s="2" t="s">
        <v>15</v>
      </c>
      <c r="B96" s="2">
        <v>1995</v>
      </c>
      <c r="C96" s="2" t="s">
        <v>22</v>
      </c>
      <c r="D96" s="3">
        <v>63.557264957264977</v>
      </c>
      <c r="E96" s="3">
        <v>15.391999999999999</v>
      </c>
      <c r="F96" s="3">
        <v>97.867000000000004</v>
      </c>
      <c r="G96" s="3"/>
      <c r="H96" s="2">
        <v>3.6752136752136755</v>
      </c>
      <c r="I96" s="3"/>
      <c r="J96" s="3"/>
      <c r="K96" s="3"/>
      <c r="N96" s="4" t="s">
        <v>101</v>
      </c>
      <c r="O96" s="2" t="s">
        <v>17</v>
      </c>
      <c r="P96" s="2">
        <v>31.143059829059837</v>
      </c>
    </row>
    <row r="97" spans="1:16" ht="14.25" customHeight="1">
      <c r="A97" s="2" t="s">
        <v>15</v>
      </c>
      <c r="B97" s="2">
        <v>1996</v>
      </c>
      <c r="C97" s="2" t="s">
        <v>22</v>
      </c>
      <c r="D97" s="3">
        <v>64.696581196581207</v>
      </c>
      <c r="E97" s="3">
        <v>13.26</v>
      </c>
      <c r="F97" s="3">
        <v>111.73699999999999</v>
      </c>
      <c r="G97" s="3"/>
      <c r="H97" s="2">
        <v>3.5042735042735043</v>
      </c>
      <c r="I97" s="3"/>
      <c r="J97" s="3"/>
      <c r="K97" s="3"/>
      <c r="N97" s="4" t="s">
        <v>101</v>
      </c>
      <c r="O97" s="2" t="s">
        <v>17</v>
      </c>
      <c r="P97" s="2">
        <v>31.70132478632479</v>
      </c>
    </row>
    <row r="98" spans="1:16" ht="14.25" customHeight="1">
      <c r="A98" s="2" t="s">
        <v>15</v>
      </c>
      <c r="B98" s="2">
        <v>1997</v>
      </c>
      <c r="C98" s="2" t="s">
        <v>22</v>
      </c>
      <c r="D98" s="3">
        <v>60.697435897435923</v>
      </c>
      <c r="E98" s="3">
        <v>9.75</v>
      </c>
      <c r="F98" s="3">
        <v>111.398</v>
      </c>
      <c r="G98" s="3"/>
      <c r="H98" s="2">
        <v>3.0769230769230771</v>
      </c>
      <c r="I98" s="3"/>
      <c r="J98" s="3"/>
      <c r="K98" s="3"/>
      <c r="N98" s="4" t="s">
        <v>101</v>
      </c>
      <c r="O98" s="2" t="s">
        <v>17</v>
      </c>
      <c r="P98" s="2">
        <v>29.741743589743603</v>
      </c>
    </row>
    <row r="99" spans="1:16" ht="14.25" customHeight="1">
      <c r="A99" s="2" t="s">
        <v>15</v>
      </c>
      <c r="B99" s="2">
        <v>1998</v>
      </c>
      <c r="C99" s="2" t="s">
        <v>22</v>
      </c>
      <c r="D99" s="3">
        <v>62.160683760683774</v>
      </c>
      <c r="E99" s="3">
        <v>9.6790000000000003</v>
      </c>
      <c r="F99" s="3">
        <v>109.628</v>
      </c>
      <c r="G99" s="3"/>
      <c r="H99" s="2">
        <v>3.8461538461538467</v>
      </c>
      <c r="I99" s="3"/>
      <c r="J99" s="3"/>
      <c r="K99" s="3"/>
      <c r="N99" s="4" t="s">
        <v>101</v>
      </c>
      <c r="O99" s="2" t="s">
        <v>17</v>
      </c>
      <c r="P99" s="2">
        <v>30.45873504273505</v>
      </c>
    </row>
    <row r="100" spans="1:16" ht="14.25" customHeight="1">
      <c r="A100" s="2" t="s">
        <v>15</v>
      </c>
      <c r="B100" s="2">
        <v>1999</v>
      </c>
      <c r="C100" s="2" t="s">
        <v>22</v>
      </c>
      <c r="D100" s="3">
        <v>39.964102564102582</v>
      </c>
      <c r="E100" s="3">
        <v>9.0660000000000007</v>
      </c>
      <c r="F100" s="3">
        <v>111.88500000000001</v>
      </c>
      <c r="G100" s="3"/>
      <c r="H100" s="2">
        <v>4.1880341880341883</v>
      </c>
      <c r="I100" s="3"/>
      <c r="J100" s="3"/>
      <c r="K100" s="3"/>
      <c r="N100" s="4" t="s">
        <v>101</v>
      </c>
      <c r="O100" s="2" t="s">
        <v>17</v>
      </c>
      <c r="P100" s="2">
        <v>19.582410256410263</v>
      </c>
    </row>
    <row r="101" spans="1:16" ht="14.25" customHeight="1">
      <c r="A101" s="2" t="s">
        <v>15</v>
      </c>
      <c r="B101" s="2">
        <v>2000</v>
      </c>
      <c r="C101" s="2" t="s">
        <v>22</v>
      </c>
      <c r="D101" s="3">
        <v>31.61196581196582</v>
      </c>
      <c r="E101" s="3">
        <v>9.3480000000000008</v>
      </c>
      <c r="F101" s="3">
        <v>122.271</v>
      </c>
      <c r="G101" s="3"/>
      <c r="H101" s="2">
        <v>4.1025641025641031</v>
      </c>
      <c r="I101" s="3"/>
      <c r="J101" s="3"/>
      <c r="K101" s="3"/>
      <c r="N101" s="4" t="s">
        <v>101</v>
      </c>
      <c r="O101" s="2" t="s">
        <v>17</v>
      </c>
      <c r="P101" s="2">
        <v>15.489863247863251</v>
      </c>
    </row>
    <row r="102" spans="1:16" ht="14.25" customHeight="1">
      <c r="A102" s="2" t="s">
        <v>15</v>
      </c>
      <c r="B102" s="2">
        <v>2001</v>
      </c>
      <c r="C102" s="2" t="s">
        <v>22</v>
      </c>
      <c r="D102" s="3">
        <v>24.005128205128212</v>
      </c>
      <c r="E102" s="3">
        <v>11.702999999999999</v>
      </c>
      <c r="F102" s="3">
        <v>127.18600000000001</v>
      </c>
      <c r="G102" s="3"/>
      <c r="H102" s="2">
        <v>4.1025641025641031</v>
      </c>
      <c r="I102" s="3"/>
      <c r="J102" s="3"/>
      <c r="K102" s="3"/>
      <c r="N102" s="4" t="s">
        <v>101</v>
      </c>
      <c r="O102" s="2" t="s">
        <v>17</v>
      </c>
      <c r="P102" s="2">
        <v>11.762512820512823</v>
      </c>
    </row>
    <row r="103" spans="1:16" ht="14.25" customHeight="1">
      <c r="A103" s="2" t="s">
        <v>15</v>
      </c>
      <c r="B103" s="2">
        <v>2002</v>
      </c>
      <c r="C103" s="2" t="s">
        <v>22</v>
      </c>
      <c r="D103" s="3">
        <v>21.986324786324793</v>
      </c>
      <c r="E103" s="3">
        <v>14.35</v>
      </c>
      <c r="F103" s="3">
        <v>120.717</v>
      </c>
      <c r="G103" s="3"/>
      <c r="H103" s="2">
        <v>4.9572649572649574</v>
      </c>
      <c r="I103" s="3"/>
      <c r="J103" s="3"/>
      <c r="K103" s="3"/>
      <c r="N103" s="4" t="s">
        <v>101</v>
      </c>
      <c r="O103" s="2" t="s">
        <v>17</v>
      </c>
      <c r="P103" s="2">
        <v>10.773299145299148</v>
      </c>
    </row>
    <row r="104" spans="1:16" ht="14.25" customHeight="1">
      <c r="A104" s="2" t="s">
        <v>15</v>
      </c>
      <c r="B104" s="2">
        <v>2003</v>
      </c>
      <c r="C104" s="2" t="s">
        <v>22</v>
      </c>
      <c r="D104" s="3">
        <v>13.244444444444449</v>
      </c>
      <c r="E104" s="2">
        <v>24.7</v>
      </c>
      <c r="F104" s="2">
        <v>132.5</v>
      </c>
      <c r="H104" s="2">
        <v>5.1282051282051286</v>
      </c>
      <c r="I104" s="3"/>
      <c r="J104" s="3"/>
      <c r="K104" s="3"/>
      <c r="N104" s="4" t="s">
        <v>101</v>
      </c>
      <c r="O104" s="2" t="s">
        <v>17</v>
      </c>
      <c r="P104" s="2">
        <v>6.4897777777777801</v>
      </c>
    </row>
    <row r="105" spans="1:16" ht="14.25" customHeight="1">
      <c r="A105" s="2" t="s">
        <v>15</v>
      </c>
      <c r="B105" s="2">
        <v>2004</v>
      </c>
      <c r="C105" s="2" t="s">
        <v>22</v>
      </c>
      <c r="D105" s="3">
        <v>12.985470085470089</v>
      </c>
      <c r="E105" s="2">
        <v>33.6</v>
      </c>
      <c r="F105" s="2">
        <v>132.1</v>
      </c>
      <c r="H105" s="2">
        <v>5.2136752136752138</v>
      </c>
      <c r="I105" s="3"/>
      <c r="J105" s="3"/>
      <c r="K105" s="3"/>
      <c r="N105" s="4" t="s">
        <v>101</v>
      </c>
      <c r="O105" s="2" t="s">
        <v>17</v>
      </c>
      <c r="P105" s="2">
        <v>6.3628803418803432</v>
      </c>
    </row>
    <row r="106" spans="1:16" ht="14.25" customHeight="1">
      <c r="A106" s="2" t="s">
        <v>15</v>
      </c>
      <c r="B106" s="2">
        <v>2005</v>
      </c>
      <c r="C106" s="2" t="s">
        <v>22</v>
      </c>
      <c r="D106" s="3">
        <v>11.781196581196586</v>
      </c>
      <c r="E106" s="2">
        <v>41.6</v>
      </c>
      <c r="F106" s="2">
        <v>138.4</v>
      </c>
      <c r="H106" s="2">
        <v>6.068376068376069</v>
      </c>
      <c r="I106" s="3"/>
      <c r="J106" s="3"/>
      <c r="K106" s="3"/>
      <c r="N106" s="4" t="s">
        <v>101</v>
      </c>
      <c r="O106" s="2" t="s">
        <v>17</v>
      </c>
      <c r="P106" s="2">
        <v>5.7727863247863267</v>
      </c>
    </row>
    <row r="107" spans="1:16" ht="14.25" customHeight="1">
      <c r="A107" s="2" t="s">
        <v>15</v>
      </c>
      <c r="B107" s="2">
        <v>2006</v>
      </c>
      <c r="C107" s="2" t="s">
        <v>22</v>
      </c>
      <c r="D107" s="3">
        <v>10.983760683760689</v>
      </c>
      <c r="E107" s="2">
        <v>25.3</v>
      </c>
      <c r="F107" s="2">
        <v>136</v>
      </c>
      <c r="H107" s="2">
        <v>6.8376068376068382</v>
      </c>
      <c r="I107" s="3"/>
      <c r="J107" s="3"/>
      <c r="K107" s="3"/>
      <c r="N107" s="4" t="s">
        <v>101</v>
      </c>
      <c r="O107" s="2" t="s">
        <v>17</v>
      </c>
      <c r="P107" s="2">
        <v>5.382042735042738</v>
      </c>
    </row>
    <row r="108" spans="1:16" ht="14.25" customHeight="1">
      <c r="A108" s="2" t="s">
        <v>15</v>
      </c>
      <c r="B108" s="2">
        <v>2007</v>
      </c>
      <c r="C108" s="2" t="s">
        <v>22</v>
      </c>
      <c r="D108" s="3">
        <v>10.897435897435901</v>
      </c>
      <c r="E108" s="2">
        <v>16</v>
      </c>
      <c r="F108" s="2">
        <v>115.4</v>
      </c>
      <c r="H108" s="2">
        <v>5.6410256410256414</v>
      </c>
      <c r="I108" s="3"/>
      <c r="J108" s="3"/>
      <c r="K108" s="3"/>
      <c r="N108" s="4" t="s">
        <v>101</v>
      </c>
      <c r="O108" s="2" t="s">
        <v>17</v>
      </c>
      <c r="P108" s="2">
        <v>5.3397435897435912</v>
      </c>
    </row>
    <row r="109" spans="1:16" ht="14.25" customHeight="1">
      <c r="A109" s="2" t="s">
        <v>15</v>
      </c>
      <c r="B109" s="2">
        <v>2008</v>
      </c>
      <c r="C109" s="2" t="s">
        <v>22</v>
      </c>
      <c r="D109" s="3">
        <v>8.3769230769230791</v>
      </c>
      <c r="E109" s="2">
        <v>24.1</v>
      </c>
      <c r="F109" s="2">
        <v>108.6</v>
      </c>
      <c r="H109" s="2">
        <v>8.119658119658121</v>
      </c>
      <c r="I109" s="3"/>
      <c r="J109" s="3"/>
      <c r="K109" s="3"/>
      <c r="N109" s="4" t="s">
        <v>101</v>
      </c>
      <c r="O109" s="2" t="s">
        <v>17</v>
      </c>
      <c r="P109" s="2">
        <v>4.104692307692309</v>
      </c>
    </row>
    <row r="110" spans="1:16" ht="14.25" customHeight="1">
      <c r="A110" s="2" t="s">
        <v>15</v>
      </c>
      <c r="B110" s="2">
        <v>2009</v>
      </c>
      <c r="C110" s="2" t="s">
        <v>22</v>
      </c>
      <c r="D110" s="3">
        <v>9.9324786324786363</v>
      </c>
      <c r="E110" s="2">
        <v>32.5</v>
      </c>
      <c r="F110" s="2">
        <v>105.6</v>
      </c>
      <c r="H110" s="2">
        <v>9.3162393162393169</v>
      </c>
      <c r="I110" s="3"/>
      <c r="J110" s="3"/>
      <c r="K110" s="3"/>
      <c r="N110" s="4" t="s">
        <v>101</v>
      </c>
      <c r="O110" s="2" t="s">
        <v>17</v>
      </c>
      <c r="P110" s="2">
        <v>4.8669145299145313</v>
      </c>
    </row>
    <row r="111" spans="1:16" ht="14.25" customHeight="1">
      <c r="A111" s="2" t="s">
        <v>15</v>
      </c>
      <c r="B111" s="2">
        <v>2010</v>
      </c>
      <c r="C111" s="2" t="s">
        <v>22</v>
      </c>
      <c r="D111" s="3">
        <v>12.564102564102567</v>
      </c>
      <c r="E111" s="2">
        <v>31</v>
      </c>
      <c r="F111" s="2">
        <v>101.4</v>
      </c>
      <c r="H111" s="2">
        <v>9.4871794871794872</v>
      </c>
      <c r="I111" s="3"/>
      <c r="J111" s="3"/>
      <c r="K111" s="3"/>
      <c r="N111" s="4" t="s">
        <v>101</v>
      </c>
      <c r="O111" s="2" t="s">
        <v>17</v>
      </c>
      <c r="P111" s="2">
        <v>6.1564102564102576</v>
      </c>
    </row>
    <row r="112" spans="1:16" ht="14.25" customHeight="1">
      <c r="A112" s="2" t="s">
        <v>15</v>
      </c>
      <c r="B112" s="2">
        <v>2011</v>
      </c>
      <c r="C112" s="2" t="s">
        <v>22</v>
      </c>
      <c r="D112" s="3">
        <v>10.854700854700857</v>
      </c>
      <c r="E112" s="2">
        <v>34.799999999999997</v>
      </c>
      <c r="F112" s="2">
        <v>103.1</v>
      </c>
      <c r="H112" s="2">
        <v>8.9743589743589745</v>
      </c>
      <c r="I112" s="3"/>
      <c r="J112" s="3"/>
      <c r="K112" s="3"/>
      <c r="N112" s="4" t="s">
        <v>101</v>
      </c>
      <c r="O112" s="2" t="s">
        <v>17</v>
      </c>
      <c r="P112" s="2">
        <v>5.3188034188034194</v>
      </c>
    </row>
    <row r="113" spans="1:16" ht="14.25" customHeight="1">
      <c r="A113" s="2" t="s">
        <v>15</v>
      </c>
      <c r="B113" s="2">
        <v>2012</v>
      </c>
      <c r="C113" s="2" t="s">
        <v>22</v>
      </c>
      <c r="D113" s="3">
        <v>10.854700854700857</v>
      </c>
      <c r="E113" s="2">
        <v>20.2</v>
      </c>
      <c r="F113" s="2">
        <v>101.5</v>
      </c>
      <c r="H113" s="2">
        <v>11.794871794871796</v>
      </c>
      <c r="I113" s="3"/>
      <c r="J113" s="3"/>
      <c r="K113" s="3"/>
      <c r="N113" s="4" t="s">
        <v>101</v>
      </c>
      <c r="O113" s="2" t="s">
        <v>17</v>
      </c>
      <c r="P113" s="2">
        <v>5.3188034188034194</v>
      </c>
    </row>
    <row r="114" spans="1:16" ht="14.25" customHeight="1">
      <c r="A114" s="2" t="s">
        <v>15</v>
      </c>
      <c r="B114" s="2">
        <v>2013</v>
      </c>
      <c r="C114" s="2" t="s">
        <v>22</v>
      </c>
      <c r="D114" s="3">
        <v>11.111111111111114</v>
      </c>
      <c r="E114" s="2">
        <v>16.7</v>
      </c>
      <c r="F114" s="2">
        <v>116.3</v>
      </c>
      <c r="H114" s="2">
        <v>14.017094017094017</v>
      </c>
      <c r="I114" s="3"/>
      <c r="J114" s="3"/>
      <c r="K114" s="3"/>
      <c r="N114" s="4" t="s">
        <v>101</v>
      </c>
      <c r="O114" s="2" t="s">
        <v>17</v>
      </c>
      <c r="P114" s="2">
        <v>5.4444444444444455</v>
      </c>
    </row>
    <row r="115" spans="1:16" ht="14.25" customHeight="1">
      <c r="A115" s="2" t="s">
        <v>15</v>
      </c>
      <c r="B115" s="2">
        <v>2014</v>
      </c>
      <c r="C115" s="2" t="s">
        <v>22</v>
      </c>
      <c r="D115" s="3">
        <v>11.965811965811969</v>
      </c>
      <c r="E115" s="2">
        <v>15.5</v>
      </c>
      <c r="F115" s="2">
        <v>116.4</v>
      </c>
      <c r="H115" s="2">
        <v>13.931623931623934</v>
      </c>
      <c r="I115" s="3"/>
      <c r="J115" s="3"/>
      <c r="K115" s="3"/>
      <c r="N115" s="4" t="s">
        <v>101</v>
      </c>
      <c r="O115" s="2" t="s">
        <v>17</v>
      </c>
      <c r="P115" s="2">
        <v>5.8632478632478646</v>
      </c>
    </row>
    <row r="116" spans="1:16" ht="14.25" customHeight="1">
      <c r="A116" s="2" t="s">
        <v>15</v>
      </c>
      <c r="B116" s="2">
        <v>2015</v>
      </c>
      <c r="C116" s="2" t="s">
        <v>22</v>
      </c>
      <c r="D116" s="3">
        <v>13.162393162393167</v>
      </c>
      <c r="E116" s="2">
        <v>16</v>
      </c>
      <c r="F116" s="2">
        <v>115.4</v>
      </c>
      <c r="H116" s="2">
        <v>11.025641025641027</v>
      </c>
      <c r="I116" s="3"/>
      <c r="J116" s="3"/>
      <c r="K116" s="3"/>
      <c r="N116" s="4" t="s">
        <v>101</v>
      </c>
      <c r="O116" s="2" t="s">
        <v>17</v>
      </c>
      <c r="P116" s="2">
        <v>6.4495726495726515</v>
      </c>
    </row>
    <row r="117" spans="1:16" ht="14.25" customHeight="1">
      <c r="A117" s="2" t="s">
        <v>15</v>
      </c>
      <c r="B117" s="2">
        <v>2016</v>
      </c>
      <c r="C117" s="2" t="s">
        <v>22</v>
      </c>
      <c r="D117" s="3">
        <v>17.692307692307697</v>
      </c>
      <c r="E117" s="2">
        <v>17.2</v>
      </c>
      <c r="F117" s="2">
        <v>120.5</v>
      </c>
      <c r="H117" s="2">
        <v>11.452991452991455</v>
      </c>
      <c r="I117" s="3"/>
      <c r="J117" s="3"/>
      <c r="K117" s="3"/>
      <c r="N117" s="4" t="s">
        <v>101</v>
      </c>
      <c r="O117" s="2" t="s">
        <v>17</v>
      </c>
      <c r="P117" s="2">
        <v>8.6692307692307722</v>
      </c>
    </row>
    <row r="118" spans="1:16" ht="14.25" customHeight="1">
      <c r="A118" s="2" t="s">
        <v>15</v>
      </c>
      <c r="B118" s="2">
        <v>2017</v>
      </c>
      <c r="C118" s="2" t="s">
        <v>22</v>
      </c>
      <c r="D118" s="3">
        <v>18.461538461538471</v>
      </c>
      <c r="E118" s="2">
        <v>16.7</v>
      </c>
      <c r="F118" s="2">
        <v>110</v>
      </c>
      <c r="H118" s="2">
        <v>14.358974358974361</v>
      </c>
      <c r="I118" s="3"/>
      <c r="J118" s="3"/>
      <c r="K118" s="3"/>
      <c r="N118" s="4" t="s">
        <v>101</v>
      </c>
      <c r="O118" s="2" t="s">
        <v>17</v>
      </c>
      <c r="P118" s="2">
        <v>9.0461538461538495</v>
      </c>
    </row>
    <row r="119" spans="1:16" ht="14.25" customHeight="1">
      <c r="A119" s="2" t="s">
        <v>15</v>
      </c>
      <c r="B119" s="2">
        <v>2018</v>
      </c>
      <c r="C119" s="2" t="s">
        <v>22</v>
      </c>
      <c r="D119" s="3">
        <v>21.025641025641033</v>
      </c>
      <c r="E119" s="2">
        <v>14.4</v>
      </c>
      <c r="F119" s="2">
        <v>102.9</v>
      </c>
      <c r="H119" s="2">
        <v>8.5470085470085486</v>
      </c>
      <c r="I119" s="3"/>
      <c r="J119" s="3"/>
      <c r="K119" s="3"/>
      <c r="N119" s="4" t="s">
        <v>101</v>
      </c>
      <c r="O119" s="2" t="s">
        <v>17</v>
      </c>
      <c r="P119" s="2">
        <v>10.302564102564105</v>
      </c>
    </row>
    <row r="120" spans="1:16" ht="14.25" customHeight="1">
      <c r="A120" s="2" t="s">
        <v>15</v>
      </c>
      <c r="B120" s="2">
        <v>2019</v>
      </c>
      <c r="C120" s="2" t="s">
        <v>22</v>
      </c>
      <c r="D120" s="3">
        <v>18.803418803418811</v>
      </c>
      <c r="E120" s="2">
        <v>12.099698999999999</v>
      </c>
      <c r="F120" s="2">
        <v>105.802702</v>
      </c>
      <c r="H120" s="2">
        <v>5.982905982905983</v>
      </c>
      <c r="I120" s="3"/>
      <c r="J120" s="3"/>
      <c r="K120" s="3"/>
      <c r="N120" s="4" t="s">
        <v>101</v>
      </c>
      <c r="O120" s="2" t="s">
        <v>17</v>
      </c>
      <c r="P120" s="2">
        <v>9.2136752136752165</v>
      </c>
    </row>
    <row r="121" spans="1:16" ht="14.25" customHeight="1">
      <c r="A121" s="2" t="s">
        <v>15</v>
      </c>
      <c r="B121" s="2">
        <v>2020</v>
      </c>
      <c r="C121" s="2" t="s">
        <v>22</v>
      </c>
      <c r="D121" s="3">
        <v>15.415228376068381</v>
      </c>
      <c r="E121" s="2">
        <v>9.8885649999999998</v>
      </c>
      <c r="F121" s="2">
        <v>97.385397999999995</v>
      </c>
      <c r="H121" s="2">
        <v>5.7385076923076932</v>
      </c>
      <c r="I121" s="3"/>
      <c r="J121" s="3"/>
      <c r="K121" s="3"/>
      <c r="N121" s="4" t="s">
        <v>101</v>
      </c>
      <c r="O121" s="2" t="s">
        <v>17</v>
      </c>
      <c r="P121" s="2">
        <v>7.5534619042735063</v>
      </c>
    </row>
    <row r="122" spans="1:16" ht="14.25" customHeight="1">
      <c r="A122" s="2" t="s">
        <v>15</v>
      </c>
      <c r="B122" s="2">
        <v>1900</v>
      </c>
      <c r="C122" s="2" t="s">
        <v>23</v>
      </c>
      <c r="D122" s="3">
        <v>165.66053647632594</v>
      </c>
      <c r="E122" s="3" t="e">
        <v>#VALUE!</v>
      </c>
      <c r="F122" s="3" t="e">
        <v>#VALUE!</v>
      </c>
      <c r="G122" s="3"/>
      <c r="I122" s="3"/>
      <c r="J122" s="3"/>
      <c r="K122" s="3"/>
      <c r="N122" s="4" t="s">
        <v>99</v>
      </c>
      <c r="O122" s="2" t="s">
        <v>17</v>
      </c>
      <c r="P122" s="2">
        <v>81.173662873399707</v>
      </c>
    </row>
    <row r="123" spans="1:16" ht="14.25" customHeight="1">
      <c r="A123" s="2" t="s">
        <v>15</v>
      </c>
      <c r="B123" s="2">
        <v>1901</v>
      </c>
      <c r="C123" s="2" t="s">
        <v>23</v>
      </c>
      <c r="D123" s="3">
        <v>162.25457224141434</v>
      </c>
      <c r="E123" s="3" t="e">
        <v>#N/A</v>
      </c>
      <c r="F123" s="3" t="e">
        <v>#N/A</v>
      </c>
      <c r="G123" s="3"/>
      <c r="I123" s="3"/>
      <c r="J123" s="3"/>
      <c r="K123" s="3"/>
      <c r="N123" s="4" t="s">
        <v>99</v>
      </c>
      <c r="O123" s="2" t="s">
        <v>17</v>
      </c>
      <c r="P123" s="2">
        <v>79.504740398293023</v>
      </c>
    </row>
    <row r="124" spans="1:16" ht="14.25" customHeight="1">
      <c r="A124" s="2" t="s">
        <v>15</v>
      </c>
      <c r="B124" s="2">
        <v>1902</v>
      </c>
      <c r="C124" s="2" t="s">
        <v>23</v>
      </c>
      <c r="D124" s="3">
        <v>149.42105263157893</v>
      </c>
      <c r="E124" s="3" t="e">
        <v>#N/A</v>
      </c>
      <c r="F124" s="3" t="e">
        <v>#N/A</v>
      </c>
      <c r="G124" s="3"/>
      <c r="I124" s="3"/>
      <c r="J124" s="3"/>
      <c r="K124" s="3"/>
      <c r="N124" s="4" t="s">
        <v>99</v>
      </c>
      <c r="O124" s="2" t="s">
        <v>17</v>
      </c>
      <c r="P124" s="2">
        <v>73.216315789473668</v>
      </c>
    </row>
    <row r="125" spans="1:16" ht="14.25" customHeight="1">
      <c r="A125" s="2" t="s">
        <v>15</v>
      </c>
      <c r="B125" s="2">
        <v>1903</v>
      </c>
      <c r="C125" s="2" t="s">
        <v>23</v>
      </c>
      <c r="D125" s="3" t="e">
        <v>#N/A</v>
      </c>
      <c r="E125" s="3" t="e">
        <v>#N/A</v>
      </c>
      <c r="F125" s="3" t="e">
        <v>#N/A</v>
      </c>
      <c r="G125" s="3"/>
      <c r="I125" s="3"/>
      <c r="J125" s="3"/>
      <c r="K125" s="3"/>
      <c r="N125" s="4" t="s">
        <v>99</v>
      </c>
      <c r="O125" s="2" t="s">
        <v>17</v>
      </c>
      <c r="P125" s="2" t="e">
        <v>#N/A</v>
      </c>
    </row>
    <row r="126" spans="1:16" ht="14.25" customHeight="1">
      <c r="A126" s="2" t="s">
        <v>15</v>
      </c>
      <c r="B126" s="2">
        <v>1904</v>
      </c>
      <c r="C126" s="2" t="s">
        <v>23</v>
      </c>
      <c r="D126" s="3" t="e">
        <v>#N/A</v>
      </c>
      <c r="E126" s="3" t="e">
        <v>#N/A</v>
      </c>
      <c r="F126" s="3" t="e">
        <v>#N/A</v>
      </c>
      <c r="G126" s="3"/>
      <c r="I126" s="3"/>
      <c r="J126" s="3"/>
      <c r="K126" s="3"/>
      <c r="N126" s="4" t="s">
        <v>99</v>
      </c>
      <c r="O126" s="2" t="s">
        <v>17</v>
      </c>
      <c r="P126" s="2" t="e">
        <v>#N/A</v>
      </c>
    </row>
    <row r="127" spans="1:16" ht="14.25" customHeight="1">
      <c r="A127" s="2" t="s">
        <v>15</v>
      </c>
      <c r="B127" s="2">
        <v>1905</v>
      </c>
      <c r="C127" s="2" t="s">
        <v>23</v>
      </c>
      <c r="D127" s="3" t="e">
        <v>#N/A</v>
      </c>
      <c r="E127" s="3" t="e">
        <v>#VALUE!</v>
      </c>
      <c r="F127" s="3" t="e">
        <v>#VALUE!</v>
      </c>
      <c r="G127" s="3"/>
      <c r="I127" s="3"/>
      <c r="J127" s="3"/>
      <c r="K127" s="3"/>
      <c r="N127" s="4" t="s">
        <v>99</v>
      </c>
      <c r="O127" s="2" t="s">
        <v>17</v>
      </c>
      <c r="P127" s="2" t="e">
        <v>#N/A</v>
      </c>
    </row>
    <row r="128" spans="1:16" ht="14.25" customHeight="1">
      <c r="A128" s="2" t="s">
        <v>15</v>
      </c>
      <c r="B128" s="2">
        <v>1906</v>
      </c>
      <c r="C128" s="2" t="s">
        <v>23</v>
      </c>
      <c r="D128" s="3" t="e">
        <v>#N/A</v>
      </c>
      <c r="E128" s="3" t="e">
        <v>#N/A</v>
      </c>
      <c r="F128" s="3" t="e">
        <v>#N/A</v>
      </c>
      <c r="G128" s="3"/>
      <c r="I128" s="3"/>
      <c r="J128" s="3"/>
      <c r="K128" s="3"/>
      <c r="N128" s="4" t="s">
        <v>99</v>
      </c>
      <c r="O128" s="2" t="s">
        <v>17</v>
      </c>
      <c r="P128" s="2" t="e">
        <v>#N/A</v>
      </c>
    </row>
    <row r="129" spans="1:16" ht="14.25" customHeight="1">
      <c r="A129" s="2" t="s">
        <v>15</v>
      </c>
      <c r="B129" s="2">
        <v>1907</v>
      </c>
      <c r="C129" s="2" t="s">
        <v>23</v>
      </c>
      <c r="D129" s="3" t="e">
        <v>#N/A</v>
      </c>
      <c r="E129" s="3" t="e">
        <v>#N/A</v>
      </c>
      <c r="F129" s="3" t="e">
        <v>#N/A</v>
      </c>
      <c r="G129" s="3"/>
      <c r="I129" s="3"/>
      <c r="J129" s="3"/>
      <c r="K129" s="3"/>
      <c r="N129" s="4" t="s">
        <v>99</v>
      </c>
      <c r="O129" s="2" t="s">
        <v>17</v>
      </c>
      <c r="P129" s="2" t="e">
        <v>#N/A</v>
      </c>
    </row>
    <row r="130" spans="1:16" ht="14.25" customHeight="1">
      <c r="A130" s="2" t="s">
        <v>15</v>
      </c>
      <c r="B130" s="2">
        <v>1908</v>
      </c>
      <c r="C130" s="2" t="s">
        <v>23</v>
      </c>
      <c r="D130" s="3" t="e">
        <v>#N/A</v>
      </c>
      <c r="E130" s="3" t="e">
        <v>#N/A</v>
      </c>
      <c r="F130" s="3" t="e">
        <v>#N/A</v>
      </c>
      <c r="G130" s="3"/>
      <c r="I130" s="3"/>
      <c r="J130" s="3"/>
      <c r="K130" s="3"/>
      <c r="N130" s="4" t="s">
        <v>99</v>
      </c>
      <c r="O130" s="2" t="s">
        <v>17</v>
      </c>
      <c r="P130" s="2" t="e">
        <v>#N/A</v>
      </c>
    </row>
    <row r="131" spans="1:16" ht="14.25" customHeight="1">
      <c r="A131" s="2" t="s">
        <v>15</v>
      </c>
      <c r="B131" s="2">
        <v>1910</v>
      </c>
      <c r="C131" s="2" t="s">
        <v>23</v>
      </c>
      <c r="D131" s="3" t="e">
        <v>#N/A</v>
      </c>
      <c r="E131" s="3">
        <v>3.2748933143669983</v>
      </c>
      <c r="F131" s="3" t="e">
        <v>#VALUE!</v>
      </c>
      <c r="G131" s="3"/>
      <c r="I131" s="3"/>
      <c r="J131" s="3"/>
      <c r="K131" s="3"/>
      <c r="N131" s="4" t="s">
        <v>99</v>
      </c>
      <c r="O131" s="2" t="s">
        <v>17</v>
      </c>
      <c r="P131" s="2" t="e">
        <v>#N/A</v>
      </c>
    </row>
    <row r="132" spans="1:16" ht="14.25" customHeight="1">
      <c r="A132" s="2" t="s">
        <v>15</v>
      </c>
      <c r="B132" s="2">
        <v>1911</v>
      </c>
      <c r="C132" s="2" t="s">
        <v>23</v>
      </c>
      <c r="D132" s="3">
        <v>158.90977443609023</v>
      </c>
      <c r="E132" s="3" t="e">
        <v>#N/A</v>
      </c>
      <c r="F132" s="3" t="e">
        <v>#N/A</v>
      </c>
      <c r="G132" s="3"/>
      <c r="I132" s="3"/>
      <c r="J132" s="3"/>
      <c r="K132" s="3"/>
      <c r="N132" s="4" t="s">
        <v>99</v>
      </c>
      <c r="O132" s="2" t="s">
        <v>17</v>
      </c>
      <c r="P132" s="2">
        <v>77.865789473684217</v>
      </c>
    </row>
    <row r="133" spans="1:16" ht="14.25" customHeight="1">
      <c r="A133" s="2" t="s">
        <v>15</v>
      </c>
      <c r="B133" s="2">
        <v>1912</v>
      </c>
      <c r="C133" s="2" t="s">
        <v>23</v>
      </c>
      <c r="D133" s="3">
        <v>145.45763056289371</v>
      </c>
      <c r="E133" s="3" t="e">
        <v>#N/A</v>
      </c>
      <c r="F133" s="3" t="e">
        <v>#N/A</v>
      </c>
      <c r="G133" s="3"/>
      <c r="I133" s="3"/>
      <c r="J133" s="3"/>
      <c r="K133" s="3"/>
      <c r="N133" s="4" t="s">
        <v>99</v>
      </c>
      <c r="O133" s="2" t="s">
        <v>17</v>
      </c>
      <c r="P133" s="2">
        <v>71.274238975817923</v>
      </c>
    </row>
    <row r="134" spans="1:16" ht="14.25" customHeight="1">
      <c r="A134" s="2" t="s">
        <v>15</v>
      </c>
      <c r="B134" s="2">
        <v>1913</v>
      </c>
      <c r="C134" s="2" t="s">
        <v>23</v>
      </c>
      <c r="D134" s="3">
        <v>112.2981101402154</v>
      </c>
      <c r="E134" s="3" t="e">
        <v>#N/A</v>
      </c>
      <c r="F134" s="3" t="e">
        <v>#N/A</v>
      </c>
      <c r="G134" s="3"/>
      <c r="I134" s="3"/>
      <c r="J134" s="3"/>
      <c r="K134" s="3"/>
      <c r="N134" s="4" t="s">
        <v>99</v>
      </c>
      <c r="O134" s="2" t="s">
        <v>17</v>
      </c>
      <c r="P134" s="2">
        <v>55.026073968705546</v>
      </c>
    </row>
    <row r="135" spans="1:16" ht="14.25" customHeight="1">
      <c r="A135" s="2" t="s">
        <v>15</v>
      </c>
      <c r="B135" s="2">
        <v>1914</v>
      </c>
      <c r="C135" s="2" t="s">
        <v>23</v>
      </c>
      <c r="D135" s="3" t="e">
        <v>#N/A</v>
      </c>
      <c r="E135" s="3">
        <v>3.1218248323511482</v>
      </c>
      <c r="F135" s="3" t="e">
        <v>#VALUE!</v>
      </c>
      <c r="G135" s="3"/>
      <c r="I135" s="3"/>
      <c r="J135" s="3"/>
      <c r="K135" s="3"/>
      <c r="N135" s="4" t="s">
        <v>100</v>
      </c>
      <c r="O135" s="2" t="s">
        <v>17</v>
      </c>
      <c r="P135" s="2" t="e">
        <v>#N/A</v>
      </c>
    </row>
    <row r="136" spans="1:16" ht="14.25" customHeight="1">
      <c r="A136" s="2" t="s">
        <v>15</v>
      </c>
      <c r="B136" s="2">
        <v>1915</v>
      </c>
      <c r="C136" s="2" t="s">
        <v>23</v>
      </c>
      <c r="D136" s="3" t="e">
        <v>#N/A</v>
      </c>
      <c r="E136" s="3">
        <v>0.70874822190611653</v>
      </c>
      <c r="F136" s="3" t="e">
        <v>#VALUE!</v>
      </c>
      <c r="G136" s="3"/>
      <c r="I136" s="3"/>
      <c r="J136" s="3"/>
      <c r="K136" s="3"/>
      <c r="N136" s="4" t="s">
        <v>100</v>
      </c>
      <c r="O136" s="2" t="s">
        <v>17</v>
      </c>
      <c r="P136" s="2" t="e">
        <v>#N/A</v>
      </c>
    </row>
    <row r="137" spans="1:16" ht="14.25" customHeight="1">
      <c r="A137" s="2" t="s">
        <v>15</v>
      </c>
      <c r="B137" s="2">
        <v>1916</v>
      </c>
      <c r="C137" s="2" t="s">
        <v>23</v>
      </c>
      <c r="D137" s="3" t="e">
        <v>#N/A</v>
      </c>
      <c r="E137" s="3">
        <v>0.54882137776874618</v>
      </c>
      <c r="F137" s="3" t="e">
        <v>#VALUE!</v>
      </c>
      <c r="G137" s="3"/>
      <c r="I137" s="3"/>
      <c r="J137" s="3"/>
      <c r="K137" s="3"/>
      <c r="N137" s="4" t="s">
        <v>100</v>
      </c>
      <c r="O137" s="2" t="s">
        <v>17</v>
      </c>
      <c r="P137" s="2" t="e">
        <v>#N/A</v>
      </c>
    </row>
    <row r="138" spans="1:16" ht="14.25" customHeight="1">
      <c r="A138" s="2" t="s">
        <v>15</v>
      </c>
      <c r="B138" s="2">
        <v>1917</v>
      </c>
      <c r="C138" s="2" t="s">
        <v>23</v>
      </c>
      <c r="D138" s="3" t="e">
        <v>#N/A</v>
      </c>
      <c r="E138" s="3">
        <v>0.18375330217435479</v>
      </c>
      <c r="F138" s="3" t="e">
        <v>#VALUE!</v>
      </c>
      <c r="G138" s="3"/>
      <c r="I138" s="3"/>
      <c r="J138" s="3"/>
      <c r="K138" s="3"/>
      <c r="N138" s="4" t="s">
        <v>100</v>
      </c>
      <c r="O138" s="2" t="s">
        <v>17</v>
      </c>
      <c r="P138" s="2" t="e">
        <v>#N/A</v>
      </c>
    </row>
    <row r="139" spans="1:16" ht="14.25" customHeight="1">
      <c r="A139" s="2" t="s">
        <v>15</v>
      </c>
      <c r="B139" s="2">
        <v>1918</v>
      </c>
      <c r="C139" s="2" t="s">
        <v>23</v>
      </c>
      <c r="D139" s="3" t="e">
        <v>#N/A</v>
      </c>
      <c r="E139" s="3">
        <v>0.14092664092664092</v>
      </c>
      <c r="F139" s="3" t="e">
        <v>#VALUE!</v>
      </c>
      <c r="G139" s="3"/>
      <c r="I139" s="3"/>
      <c r="J139" s="3"/>
      <c r="K139" s="3"/>
      <c r="N139" s="4" t="s">
        <v>100</v>
      </c>
      <c r="O139" s="2" t="s">
        <v>17</v>
      </c>
      <c r="P139" s="2" t="e">
        <v>#N/A</v>
      </c>
    </row>
    <row r="140" spans="1:16" ht="14.25" customHeight="1">
      <c r="A140" s="2" t="s">
        <v>15</v>
      </c>
      <c r="B140" s="2">
        <v>1919</v>
      </c>
      <c r="C140" s="2" t="s">
        <v>23</v>
      </c>
      <c r="D140" s="3">
        <v>154.19447266815686</v>
      </c>
      <c r="E140" s="3">
        <v>0.86638894533631372</v>
      </c>
      <c r="F140" s="3" t="e">
        <v>#VALUE!</v>
      </c>
      <c r="G140" s="3"/>
      <c r="I140" s="3"/>
      <c r="J140" s="3"/>
      <c r="K140" s="3"/>
      <c r="N140" s="4" t="s">
        <v>99</v>
      </c>
      <c r="O140" s="2" t="s">
        <v>17</v>
      </c>
      <c r="P140" s="2">
        <v>75.555291607396867</v>
      </c>
    </row>
    <row r="141" spans="1:16" ht="14.25" customHeight="1">
      <c r="A141" s="2" t="s">
        <v>15</v>
      </c>
      <c r="B141" s="2">
        <v>1920</v>
      </c>
      <c r="C141" s="2" t="s">
        <v>23</v>
      </c>
      <c r="D141" s="3">
        <v>199.72886608412924</v>
      </c>
      <c r="E141" s="3">
        <v>1.442084942084942</v>
      </c>
      <c r="F141" s="3" t="e">
        <v>#VALUE!</v>
      </c>
      <c r="G141" s="3"/>
      <c r="I141" s="3"/>
      <c r="J141" s="3"/>
      <c r="K141" s="3"/>
      <c r="N141" s="4" t="s">
        <v>99</v>
      </c>
      <c r="O141" s="2" t="s">
        <v>17</v>
      </c>
      <c r="P141" s="2">
        <v>97.867144381223326</v>
      </c>
    </row>
    <row r="142" spans="1:16" ht="14.25" customHeight="1">
      <c r="A142" s="2" t="s">
        <v>15</v>
      </c>
      <c r="B142" s="2">
        <v>1921</v>
      </c>
      <c r="C142" s="2" t="s">
        <v>23</v>
      </c>
      <c r="D142" s="3">
        <v>159.19680959154641</v>
      </c>
      <c r="E142" s="3" t="e">
        <v>#N/A</v>
      </c>
      <c r="F142" s="3" t="e">
        <v>#N/A</v>
      </c>
      <c r="G142" s="3"/>
      <c r="I142" s="3"/>
      <c r="J142" s="3"/>
      <c r="K142" s="3"/>
      <c r="N142" s="4" t="s">
        <v>99</v>
      </c>
      <c r="O142" s="2" t="s">
        <v>17</v>
      </c>
      <c r="P142" s="2">
        <v>78.006436699857744</v>
      </c>
    </row>
    <row r="143" spans="1:16" ht="14.25" customHeight="1">
      <c r="A143" s="2" t="s">
        <v>15</v>
      </c>
      <c r="B143" s="2">
        <v>1922</v>
      </c>
      <c r="C143" s="2" t="s">
        <v>23</v>
      </c>
      <c r="D143" s="3">
        <v>174.04773582605159</v>
      </c>
      <c r="E143" s="3" t="e">
        <v>#N/A</v>
      </c>
      <c r="F143" s="3" t="e">
        <v>#N/A</v>
      </c>
      <c r="G143" s="3"/>
      <c r="I143" s="3"/>
      <c r="J143" s="3"/>
      <c r="K143" s="3"/>
      <c r="N143" s="4" t="s">
        <v>99</v>
      </c>
      <c r="O143" s="2" t="s">
        <v>17</v>
      </c>
      <c r="P143" s="2">
        <v>85.283390554765276</v>
      </c>
    </row>
    <row r="144" spans="1:16" ht="14.25" customHeight="1">
      <c r="A144" s="2" t="s">
        <v>15</v>
      </c>
      <c r="B144" s="2">
        <v>1923</v>
      </c>
      <c r="C144" s="2" t="s">
        <v>23</v>
      </c>
      <c r="D144" s="3">
        <v>142.16062434464541</v>
      </c>
      <c r="E144" s="3" t="e">
        <v>#N/A</v>
      </c>
      <c r="F144" s="3" t="e">
        <v>#N/A</v>
      </c>
      <c r="G144" s="3"/>
      <c r="I144" s="3"/>
      <c r="J144" s="3"/>
      <c r="K144" s="3"/>
      <c r="N144" s="4" t="s">
        <v>99</v>
      </c>
      <c r="O144" s="2" t="s">
        <v>17</v>
      </c>
      <c r="P144" s="2">
        <v>69.658705928876245</v>
      </c>
    </row>
    <row r="145" spans="1:16" ht="14.25" customHeight="1">
      <c r="A145" s="2" t="s">
        <v>15</v>
      </c>
      <c r="B145" s="2">
        <v>1924</v>
      </c>
      <c r="C145" s="2" t="s">
        <v>23</v>
      </c>
      <c r="D145" s="3">
        <v>129.56537709815078</v>
      </c>
      <c r="E145" s="3" t="e">
        <v>#N/A</v>
      </c>
      <c r="F145" s="3" t="e">
        <v>#N/A</v>
      </c>
      <c r="G145" s="3"/>
      <c r="I145" s="3"/>
      <c r="J145" s="3"/>
      <c r="K145" s="3"/>
      <c r="N145" s="4" t="s">
        <v>99</v>
      </c>
      <c r="O145" s="2" t="s">
        <v>17</v>
      </c>
      <c r="P145" s="2">
        <v>63.487034778093879</v>
      </c>
    </row>
    <row r="146" spans="1:16" ht="14.25" customHeight="1">
      <c r="A146" s="2" t="s">
        <v>15</v>
      </c>
      <c r="B146" s="2">
        <v>1925</v>
      </c>
      <c r="C146" s="2" t="s">
        <v>23</v>
      </c>
      <c r="D146" s="3">
        <v>163.14399926844138</v>
      </c>
      <c r="E146" s="3">
        <v>1.4974598658809184</v>
      </c>
      <c r="F146" s="3">
        <v>9.8711643974801859</v>
      </c>
      <c r="G146" s="3"/>
      <c r="I146" s="3"/>
      <c r="J146" s="3"/>
      <c r="K146" s="3"/>
      <c r="N146" s="4" t="s">
        <v>99</v>
      </c>
      <c r="O146" s="2" t="s">
        <v>17</v>
      </c>
      <c r="P146" s="2">
        <v>79.940559641536268</v>
      </c>
    </row>
    <row r="147" spans="1:16" ht="14.25" customHeight="1">
      <c r="A147" s="2" t="s">
        <v>15</v>
      </c>
      <c r="B147" s="2">
        <v>1926</v>
      </c>
      <c r="C147" s="2" t="s">
        <v>23</v>
      </c>
      <c r="D147" s="3">
        <v>149.05630282462914</v>
      </c>
      <c r="E147" s="3" t="e">
        <v>#N/A</v>
      </c>
      <c r="F147" s="3" t="e">
        <v>#N/A</v>
      </c>
      <c r="G147" s="3"/>
      <c r="I147" s="3"/>
      <c r="J147" s="3"/>
      <c r="K147" s="3"/>
      <c r="N147" s="4" t="s">
        <v>99</v>
      </c>
      <c r="O147" s="2" t="s">
        <v>17</v>
      </c>
      <c r="P147" s="2">
        <v>73.037588384068272</v>
      </c>
    </row>
    <row r="148" spans="1:16" ht="14.25" customHeight="1">
      <c r="A148" s="2" t="s">
        <v>15</v>
      </c>
      <c r="B148" s="2">
        <v>1927</v>
      </c>
      <c r="C148" s="2" t="s">
        <v>23</v>
      </c>
      <c r="D148" s="3">
        <v>151.7505448181264</v>
      </c>
      <c r="E148" s="3" t="e">
        <v>#N/A</v>
      </c>
      <c r="F148" s="3" t="e">
        <v>#N/A</v>
      </c>
      <c r="G148" s="3"/>
      <c r="I148" s="3"/>
      <c r="J148" s="3"/>
      <c r="K148" s="3"/>
      <c r="N148" s="4" t="s">
        <v>99</v>
      </c>
      <c r="O148" s="2" t="s">
        <v>17</v>
      </c>
      <c r="P148" s="2">
        <v>74.357766960881932</v>
      </c>
    </row>
    <row r="149" spans="1:16" ht="14.25" customHeight="1">
      <c r="A149" s="2" t="s">
        <v>15</v>
      </c>
      <c r="B149" s="2">
        <v>1928</v>
      </c>
      <c r="C149" s="2" t="s">
        <v>23</v>
      </c>
      <c r="D149" s="3">
        <v>152.2740540134119</v>
      </c>
      <c r="E149" s="3" t="e">
        <v>#N/A</v>
      </c>
      <c r="F149" s="3" t="e">
        <v>#N/A</v>
      </c>
      <c r="G149" s="3"/>
      <c r="I149" s="3"/>
      <c r="J149" s="3"/>
      <c r="K149" s="3"/>
      <c r="N149" s="4" t="s">
        <v>99</v>
      </c>
      <c r="O149" s="2" t="s">
        <v>17</v>
      </c>
      <c r="P149" s="2">
        <v>74.614286466571826</v>
      </c>
    </row>
    <row r="150" spans="1:16" ht="14.25" customHeight="1">
      <c r="A150" s="2" t="s">
        <v>15</v>
      </c>
      <c r="B150" s="2">
        <v>1929</v>
      </c>
      <c r="C150" s="2" t="s">
        <v>23</v>
      </c>
      <c r="D150" s="3">
        <v>157.62418999187159</v>
      </c>
      <c r="E150" s="3" t="e">
        <v>#N/A</v>
      </c>
      <c r="F150" s="3" t="e">
        <v>#N/A</v>
      </c>
      <c r="G150" s="3"/>
      <c r="I150" s="3"/>
      <c r="J150" s="3"/>
      <c r="K150" s="3"/>
      <c r="N150" s="4" t="s">
        <v>99</v>
      </c>
      <c r="O150" s="2" t="s">
        <v>17</v>
      </c>
      <c r="P150" s="2">
        <v>77.235853096017081</v>
      </c>
    </row>
    <row r="151" spans="1:16" ht="14.25" customHeight="1">
      <c r="A151" s="2" t="s">
        <v>15</v>
      </c>
      <c r="B151" s="2">
        <v>1930</v>
      </c>
      <c r="C151" s="2" t="s">
        <v>23</v>
      </c>
      <c r="D151" s="3">
        <v>181.30375246901036</v>
      </c>
      <c r="E151" s="3">
        <v>1.3336720178825443</v>
      </c>
      <c r="F151" s="3">
        <v>18.034901442796176</v>
      </c>
      <c r="G151" s="3"/>
      <c r="I151" s="3"/>
      <c r="J151" s="3"/>
      <c r="K151" s="3"/>
      <c r="N151" s="4" t="s">
        <v>99</v>
      </c>
      <c r="O151" s="2" t="s">
        <v>17</v>
      </c>
      <c r="P151" s="2">
        <v>88.838838709815079</v>
      </c>
    </row>
    <row r="152" spans="1:16" ht="14.25" customHeight="1">
      <c r="A152" s="2" t="s">
        <v>15</v>
      </c>
      <c r="B152" s="2">
        <v>1931</v>
      </c>
      <c r="C152" s="2" t="s">
        <v>23</v>
      </c>
      <c r="D152" s="3">
        <v>157.86431303596831</v>
      </c>
      <c r="E152" s="3" t="e">
        <v>#N/A</v>
      </c>
      <c r="F152" s="3" t="e">
        <v>#N/A</v>
      </c>
      <c r="G152" s="3"/>
      <c r="I152" s="3"/>
      <c r="J152" s="3"/>
      <c r="K152" s="3"/>
      <c r="N152" s="4" t="s">
        <v>99</v>
      </c>
      <c r="O152" s="2" t="s">
        <v>17</v>
      </c>
      <c r="P152" s="2">
        <v>77.353513387624474</v>
      </c>
    </row>
    <row r="153" spans="1:16" ht="14.25" customHeight="1">
      <c r="A153" s="2" t="s">
        <v>15</v>
      </c>
      <c r="B153" s="2">
        <v>1932</v>
      </c>
      <c r="C153" s="2" t="s">
        <v>23</v>
      </c>
      <c r="D153" s="3">
        <v>146.49297652916073</v>
      </c>
      <c r="E153" s="3" t="e">
        <v>#N/A</v>
      </c>
      <c r="F153" s="3" t="e">
        <v>#N/A</v>
      </c>
      <c r="G153" s="3"/>
      <c r="I153" s="3"/>
      <c r="J153" s="3"/>
      <c r="K153" s="3"/>
      <c r="N153" s="4" t="s">
        <v>99</v>
      </c>
      <c r="O153" s="2" t="s">
        <v>17</v>
      </c>
      <c r="P153" s="2">
        <v>71.781558499288749</v>
      </c>
    </row>
    <row r="154" spans="1:16" ht="14.25" customHeight="1">
      <c r="A154" s="2" t="s">
        <v>15</v>
      </c>
      <c r="B154" s="2">
        <v>1933</v>
      </c>
      <c r="C154" s="2" t="s">
        <v>23</v>
      </c>
      <c r="D154" s="3">
        <v>141.48336472261735</v>
      </c>
      <c r="E154" s="3" t="e">
        <v>#N/A</v>
      </c>
      <c r="F154" s="3" t="e">
        <v>#N/A</v>
      </c>
      <c r="G154" s="3"/>
      <c r="I154" s="3"/>
      <c r="J154" s="3"/>
      <c r="K154" s="3"/>
      <c r="N154" s="4" t="s">
        <v>99</v>
      </c>
      <c r="O154" s="2" t="s">
        <v>17</v>
      </c>
      <c r="P154" s="2">
        <v>69.326848714082502</v>
      </c>
    </row>
    <row r="155" spans="1:16" ht="14.25" customHeight="1">
      <c r="A155" s="2" t="s">
        <v>15</v>
      </c>
      <c r="B155" s="2">
        <v>1934</v>
      </c>
      <c r="C155" s="2" t="s">
        <v>23</v>
      </c>
      <c r="D155" s="3">
        <v>118.1194949298923</v>
      </c>
      <c r="E155" s="3" t="e">
        <v>#N/A</v>
      </c>
      <c r="F155" s="3" t="e">
        <v>#N/A</v>
      </c>
      <c r="G155" s="3"/>
      <c r="I155" s="3"/>
      <c r="J155" s="3"/>
      <c r="K155" s="3"/>
      <c r="N155" s="4" t="s">
        <v>99</v>
      </c>
      <c r="O155" s="2" t="s">
        <v>17</v>
      </c>
      <c r="P155" s="2">
        <v>57.878552515647222</v>
      </c>
    </row>
    <row r="156" spans="1:16" ht="14.25" customHeight="1">
      <c r="A156" s="2" t="s">
        <v>15</v>
      </c>
      <c r="B156" s="2">
        <v>1935</v>
      </c>
      <c r="C156" s="2" t="s">
        <v>23</v>
      </c>
      <c r="D156" s="3">
        <v>113.0052324832351</v>
      </c>
      <c r="E156" s="3">
        <v>0.75208290997764671</v>
      </c>
      <c r="F156" s="3">
        <v>7.8723836618573459</v>
      </c>
      <c r="G156" s="3"/>
      <c r="I156" s="3"/>
      <c r="J156" s="3"/>
      <c r="K156" s="3"/>
      <c r="N156" s="4" t="s">
        <v>99</v>
      </c>
      <c r="O156" s="2" t="s">
        <v>17</v>
      </c>
      <c r="P156" s="2">
        <v>55.372563916785204</v>
      </c>
    </row>
    <row r="157" spans="1:16" ht="14.25" customHeight="1">
      <c r="A157" s="2" t="s">
        <v>15</v>
      </c>
      <c r="B157" s="2">
        <v>1936</v>
      </c>
      <c r="C157" s="2" t="s">
        <v>23</v>
      </c>
      <c r="D157" s="3">
        <v>118.78784593578541</v>
      </c>
      <c r="E157" s="3" t="e">
        <v>#N/A</v>
      </c>
      <c r="F157" s="3" t="e">
        <v>#N/A</v>
      </c>
      <c r="G157" s="3"/>
      <c r="I157" s="3"/>
      <c r="J157" s="3"/>
      <c r="K157" s="3"/>
      <c r="N157" s="4" t="s">
        <v>99</v>
      </c>
      <c r="O157" s="2" t="s">
        <v>17</v>
      </c>
      <c r="P157" s="2">
        <v>58.206044508534852</v>
      </c>
    </row>
    <row r="158" spans="1:16" ht="14.25" customHeight="1">
      <c r="A158" s="2" t="s">
        <v>15</v>
      </c>
      <c r="B158" s="2">
        <v>1937</v>
      </c>
      <c r="C158" s="2" t="s">
        <v>23</v>
      </c>
      <c r="D158" s="3">
        <v>152.43666185734605</v>
      </c>
      <c r="E158" s="3" t="e">
        <v>#N/A</v>
      </c>
      <c r="F158" s="3" t="e">
        <v>#N/A</v>
      </c>
      <c r="G158" s="3"/>
      <c r="I158" s="3"/>
      <c r="J158" s="3"/>
      <c r="K158" s="3"/>
      <c r="N158" s="4" t="s">
        <v>99</v>
      </c>
      <c r="O158" s="2" t="s">
        <v>17</v>
      </c>
      <c r="P158" s="2">
        <v>74.69396431009956</v>
      </c>
    </row>
    <row r="159" spans="1:16" ht="14.25" customHeight="1">
      <c r="A159" s="2" t="s">
        <v>15</v>
      </c>
      <c r="B159" s="2">
        <v>1938</v>
      </c>
      <c r="C159" s="2" t="s">
        <v>23</v>
      </c>
      <c r="D159" s="3">
        <v>146.34526757772812</v>
      </c>
      <c r="E159" s="3" t="e">
        <v>#N/A</v>
      </c>
      <c r="F159" s="3" t="e">
        <v>#N/A</v>
      </c>
      <c r="G159" s="3"/>
      <c r="I159" s="3"/>
      <c r="J159" s="3"/>
      <c r="K159" s="3"/>
      <c r="N159" s="4" t="s">
        <v>99</v>
      </c>
      <c r="O159" s="2" t="s">
        <v>17</v>
      </c>
      <c r="P159" s="2">
        <v>71.709181113086785</v>
      </c>
    </row>
    <row r="160" spans="1:16" ht="14.25" customHeight="1">
      <c r="A160" s="2" t="s">
        <v>15</v>
      </c>
      <c r="B160" s="2">
        <v>1939</v>
      </c>
      <c r="C160" s="2" t="s">
        <v>23</v>
      </c>
      <c r="D160" s="3">
        <v>114.92555124974599</v>
      </c>
      <c r="E160" s="3" t="e">
        <v>#N/A</v>
      </c>
      <c r="F160" s="3" t="e">
        <v>#N/A</v>
      </c>
      <c r="G160" s="3"/>
      <c r="I160" s="3"/>
      <c r="J160" s="3"/>
      <c r="K160" s="3"/>
      <c r="N160" s="4" t="s">
        <v>100</v>
      </c>
      <c r="O160" s="2" t="s">
        <v>17</v>
      </c>
      <c r="P160" s="2">
        <v>56.313520112375535</v>
      </c>
    </row>
    <row r="161" spans="1:16" ht="14.25" customHeight="1">
      <c r="A161" s="2" t="s">
        <v>15</v>
      </c>
      <c r="B161" s="2">
        <v>1940</v>
      </c>
      <c r="C161" s="2" t="s">
        <v>23</v>
      </c>
      <c r="D161" s="3">
        <v>50.323236577931311</v>
      </c>
      <c r="E161" s="3">
        <v>0.28921967079861816</v>
      </c>
      <c r="F161" s="3">
        <v>20.566602316602314</v>
      </c>
      <c r="G161" s="3"/>
      <c r="I161" s="3"/>
      <c r="J161" s="3"/>
      <c r="K161" s="3"/>
      <c r="N161" s="4" t="s">
        <v>100</v>
      </c>
      <c r="O161" s="2" t="s">
        <v>17</v>
      </c>
      <c r="P161" s="2">
        <v>24.658385923186341</v>
      </c>
    </row>
    <row r="162" spans="1:16" ht="14.25" customHeight="1">
      <c r="A162" s="2" t="s">
        <v>15</v>
      </c>
      <c r="B162" s="2">
        <v>1941</v>
      </c>
      <c r="C162" s="2" t="s">
        <v>23</v>
      </c>
      <c r="D162" s="3">
        <v>36.544423359073363</v>
      </c>
      <c r="E162" s="3" t="e">
        <v>#N/A</v>
      </c>
      <c r="F162" s="3" t="e">
        <v>#N/A</v>
      </c>
      <c r="G162" s="3"/>
      <c r="I162" s="3"/>
      <c r="J162" s="3"/>
      <c r="K162" s="3"/>
      <c r="N162" s="4" t="s">
        <v>100</v>
      </c>
      <c r="O162" s="2" t="s">
        <v>17</v>
      </c>
      <c r="P162" s="2">
        <v>17.906767445945949</v>
      </c>
    </row>
    <row r="163" spans="1:16" ht="14.25" customHeight="1">
      <c r="A163" s="2" t="s">
        <v>15</v>
      </c>
      <c r="B163" s="2">
        <v>1942</v>
      </c>
      <c r="C163" s="2" t="s">
        <v>23</v>
      </c>
      <c r="D163" s="3">
        <v>39.698841454988823</v>
      </c>
      <c r="E163" s="3">
        <v>3.3021743548059333E-2</v>
      </c>
      <c r="F163" s="3">
        <v>15.55705141231457</v>
      </c>
      <c r="G163" s="3"/>
      <c r="I163" s="3"/>
      <c r="J163" s="3"/>
      <c r="K163" s="3"/>
      <c r="N163" s="4" t="s">
        <v>100</v>
      </c>
      <c r="O163" s="2" t="s">
        <v>17</v>
      </c>
      <c r="P163" s="2">
        <v>19.452432312944524</v>
      </c>
    </row>
    <row r="164" spans="1:16" ht="14.25" customHeight="1">
      <c r="A164" s="2" t="s">
        <v>15</v>
      </c>
      <c r="B164" s="2">
        <v>1943</v>
      </c>
      <c r="C164" s="2" t="s">
        <v>23</v>
      </c>
      <c r="D164" s="3">
        <v>31.814818573460681</v>
      </c>
      <c r="E164" s="3" t="e">
        <v>#N/A</v>
      </c>
      <c r="F164" s="3" t="e">
        <v>#N/A</v>
      </c>
      <c r="G164" s="3"/>
      <c r="I164" s="3"/>
      <c r="J164" s="3"/>
      <c r="K164" s="3"/>
      <c r="N164" s="4" t="s">
        <v>100</v>
      </c>
      <c r="O164" s="2" t="s">
        <v>17</v>
      </c>
      <c r="P164" s="2">
        <v>15.589261100995733</v>
      </c>
    </row>
    <row r="165" spans="1:16" ht="14.25" customHeight="1">
      <c r="A165" s="2" t="s">
        <v>15</v>
      </c>
      <c r="B165" s="2">
        <v>1944</v>
      </c>
      <c r="C165" s="2" t="s">
        <v>23</v>
      </c>
      <c r="D165" s="3">
        <v>30.273627982117457</v>
      </c>
      <c r="E165" s="3">
        <v>0</v>
      </c>
      <c r="F165" s="3">
        <v>11.169376143060354</v>
      </c>
      <c r="G165" s="3"/>
      <c r="I165" s="3"/>
      <c r="J165" s="3"/>
      <c r="K165" s="3"/>
      <c r="N165" s="4" t="s">
        <v>100</v>
      </c>
      <c r="O165" s="2" t="s">
        <v>17</v>
      </c>
      <c r="P165" s="2">
        <v>14.834077711237553</v>
      </c>
    </row>
    <row r="166" spans="1:16" ht="14.25" customHeight="1">
      <c r="A166" s="2" t="s">
        <v>15</v>
      </c>
      <c r="B166" s="2">
        <v>1945</v>
      </c>
      <c r="C166" s="2" t="s">
        <v>23</v>
      </c>
      <c r="D166" s="3">
        <v>59.36814429993904</v>
      </c>
      <c r="E166" s="3" t="e">
        <v>#N/A</v>
      </c>
      <c r="F166" s="3" t="e">
        <v>#N/A</v>
      </c>
      <c r="G166" s="3"/>
      <c r="I166" s="3"/>
      <c r="J166" s="3"/>
      <c r="K166" s="3"/>
      <c r="N166" s="4" t="s">
        <v>100</v>
      </c>
      <c r="O166" s="2" t="s">
        <v>17</v>
      </c>
      <c r="P166" s="2">
        <v>29.09039070697013</v>
      </c>
    </row>
    <row r="167" spans="1:16" ht="14.25" customHeight="1">
      <c r="A167" s="2" t="s">
        <v>15</v>
      </c>
      <c r="B167" s="2">
        <v>1946</v>
      </c>
      <c r="C167" s="2" t="s">
        <v>23</v>
      </c>
      <c r="D167" s="3">
        <v>147.09338653728915</v>
      </c>
      <c r="E167" s="3">
        <v>4.0946961999593579E-2</v>
      </c>
      <c r="F167" s="3">
        <v>24.913279821174559</v>
      </c>
      <c r="G167" s="3"/>
      <c r="I167" s="3"/>
      <c r="J167" s="3"/>
      <c r="K167" s="3"/>
      <c r="N167" s="4" t="s">
        <v>99</v>
      </c>
      <c r="O167" s="2" t="s">
        <v>17</v>
      </c>
      <c r="P167" s="2">
        <v>72.075759403271675</v>
      </c>
    </row>
    <row r="168" spans="1:16" ht="14.25" customHeight="1">
      <c r="A168" s="2" t="s">
        <v>15</v>
      </c>
      <c r="B168" s="2">
        <v>1947</v>
      </c>
      <c r="C168" s="2" t="s">
        <v>23</v>
      </c>
      <c r="D168" s="3">
        <v>161.37901809591548</v>
      </c>
      <c r="E168" s="3" t="e">
        <v>#N/A</v>
      </c>
      <c r="F168" s="3" t="e">
        <v>#N/A</v>
      </c>
      <c r="G168" s="3"/>
      <c r="I168" s="3"/>
      <c r="J168" s="3"/>
      <c r="K168" s="3"/>
      <c r="N168" s="4" t="s">
        <v>99</v>
      </c>
      <c r="O168" s="2" t="s">
        <v>17</v>
      </c>
      <c r="P168" s="2">
        <v>79.075718866998585</v>
      </c>
    </row>
    <row r="169" spans="1:16" ht="14.25" customHeight="1">
      <c r="A169" s="2" t="s">
        <v>15</v>
      </c>
      <c r="B169" s="2">
        <v>1948</v>
      </c>
      <c r="C169" s="2" t="s">
        <v>23</v>
      </c>
      <c r="D169" s="3">
        <v>131.84321808575493</v>
      </c>
      <c r="E169" s="3" t="e">
        <v>#N/A</v>
      </c>
      <c r="F169" s="3" t="e">
        <v>#N/A</v>
      </c>
      <c r="G169" s="3"/>
      <c r="I169" s="3"/>
      <c r="J169" s="3"/>
      <c r="K169" s="3"/>
      <c r="N169" s="4" t="s">
        <v>99</v>
      </c>
      <c r="O169" s="2" t="s">
        <v>17</v>
      </c>
      <c r="P169" s="2">
        <v>64.603176862019907</v>
      </c>
    </row>
    <row r="170" spans="1:16" ht="14.25" customHeight="1">
      <c r="A170" s="2" t="s">
        <v>15</v>
      </c>
      <c r="B170" s="2">
        <v>1949</v>
      </c>
      <c r="C170" s="2" t="s">
        <v>23</v>
      </c>
      <c r="D170" s="3">
        <v>134.25110438935178</v>
      </c>
      <c r="E170" s="3" t="e">
        <v>#N/A</v>
      </c>
      <c r="F170" s="3" t="e">
        <v>#N/A</v>
      </c>
      <c r="G170" s="3"/>
      <c r="I170" s="3"/>
      <c r="J170" s="3"/>
      <c r="K170" s="3"/>
      <c r="N170" s="4" t="s">
        <v>99</v>
      </c>
      <c r="O170" s="2" t="s">
        <v>17</v>
      </c>
      <c r="P170" s="2">
        <v>65.783041150782367</v>
      </c>
    </row>
    <row r="171" spans="1:16" ht="14.25" customHeight="1">
      <c r="A171" s="2" t="s">
        <v>15</v>
      </c>
      <c r="B171" s="2">
        <v>1950</v>
      </c>
      <c r="C171" s="2" t="s">
        <v>23</v>
      </c>
      <c r="D171" s="3">
        <v>129.44101486486488</v>
      </c>
      <c r="E171" s="3" t="e">
        <v>#VALUE!</v>
      </c>
      <c r="F171" s="3">
        <v>14.357193659825239</v>
      </c>
      <c r="G171" s="3"/>
      <c r="I171" s="3"/>
      <c r="J171" s="3"/>
      <c r="K171" s="3"/>
      <c r="N171" s="4" t="s">
        <v>99</v>
      </c>
      <c r="O171" s="2" t="s">
        <v>17</v>
      </c>
      <c r="P171" s="2">
        <v>63.42609728378379</v>
      </c>
    </row>
    <row r="172" spans="1:16" ht="14.25" customHeight="1">
      <c r="A172" s="2" t="s">
        <v>15</v>
      </c>
      <c r="B172" s="2">
        <v>1951</v>
      </c>
      <c r="C172" s="2" t="s">
        <v>23</v>
      </c>
      <c r="D172" s="3">
        <v>120.57576423491159</v>
      </c>
      <c r="E172" s="3" t="e">
        <v>#N/A</v>
      </c>
      <c r="F172" s="3" t="e">
        <v>#N/A</v>
      </c>
      <c r="G172" s="3"/>
      <c r="I172" s="3"/>
      <c r="J172" s="3"/>
      <c r="K172" s="3"/>
      <c r="N172" s="4" t="s">
        <v>99</v>
      </c>
      <c r="O172" s="2" t="s">
        <v>17</v>
      </c>
      <c r="P172" s="2">
        <v>59.082124475106674</v>
      </c>
    </row>
    <row r="173" spans="1:16" ht="14.25" customHeight="1">
      <c r="A173" s="2" t="s">
        <v>15</v>
      </c>
      <c r="B173" s="2">
        <v>1952</v>
      </c>
      <c r="C173" s="2" t="s">
        <v>23</v>
      </c>
      <c r="D173" s="3">
        <v>111.10283334688071</v>
      </c>
      <c r="E173" s="3" t="e">
        <v>#N/A</v>
      </c>
      <c r="F173" s="3" t="e">
        <v>#N/A</v>
      </c>
      <c r="G173" s="3"/>
      <c r="I173" s="3"/>
      <c r="J173" s="3"/>
      <c r="K173" s="3"/>
      <c r="N173" s="4" t="s">
        <v>99</v>
      </c>
      <c r="O173" s="2" t="s">
        <v>17</v>
      </c>
      <c r="P173" s="2">
        <v>54.440388339971548</v>
      </c>
    </row>
    <row r="174" spans="1:16" ht="14.25" customHeight="1">
      <c r="A174" s="2" t="s">
        <v>15</v>
      </c>
      <c r="B174" s="2">
        <v>1953</v>
      </c>
      <c r="C174" s="2" t="s">
        <v>23</v>
      </c>
      <c r="D174" s="3">
        <v>119.33495784393416</v>
      </c>
      <c r="E174" s="3" t="e">
        <v>#N/A</v>
      </c>
      <c r="F174" s="3" t="e">
        <v>#N/A</v>
      </c>
      <c r="G174" s="3"/>
      <c r="I174" s="3"/>
      <c r="J174" s="3"/>
      <c r="K174" s="3"/>
      <c r="N174" s="4" t="s">
        <v>99</v>
      </c>
      <c r="O174" s="2" t="s">
        <v>17</v>
      </c>
      <c r="P174" s="2">
        <v>58.474129343527736</v>
      </c>
    </row>
    <row r="175" spans="1:16" ht="14.25" customHeight="1">
      <c r="A175" s="2" t="s">
        <v>15</v>
      </c>
      <c r="B175" s="2">
        <v>1954</v>
      </c>
      <c r="C175" s="2" t="s">
        <v>23</v>
      </c>
      <c r="D175" s="3">
        <v>127.60015685836213</v>
      </c>
      <c r="E175" s="3" t="e">
        <v>#N/A</v>
      </c>
      <c r="F175" s="3" t="e">
        <v>#N/A</v>
      </c>
      <c r="G175" s="3"/>
      <c r="I175" s="3"/>
      <c r="J175" s="3"/>
      <c r="K175" s="3"/>
      <c r="N175" s="4" t="s">
        <v>99</v>
      </c>
      <c r="O175" s="2" t="s">
        <v>17</v>
      </c>
      <c r="P175" s="2">
        <v>62.52407686059744</v>
      </c>
    </row>
    <row r="176" spans="1:16" ht="14.25" customHeight="1">
      <c r="A176" s="2" t="s">
        <v>15</v>
      </c>
      <c r="B176" s="2">
        <v>1955</v>
      </c>
      <c r="C176" s="2" t="s">
        <v>23</v>
      </c>
      <c r="D176" s="3">
        <v>148.94909223735016</v>
      </c>
      <c r="E176" s="3" t="e">
        <v>#VALUE!</v>
      </c>
      <c r="F176" s="3">
        <v>12.05989636252794</v>
      </c>
      <c r="G176" s="3"/>
      <c r="I176" s="3"/>
      <c r="J176" s="3"/>
      <c r="K176" s="3"/>
      <c r="N176" s="4" t="s">
        <v>99</v>
      </c>
      <c r="O176" s="2" t="s">
        <v>17</v>
      </c>
      <c r="P176" s="2">
        <v>72.985055196301573</v>
      </c>
    </row>
    <row r="177" spans="1:16" ht="14.25" customHeight="1">
      <c r="A177" s="2" t="s">
        <v>15</v>
      </c>
      <c r="B177" s="2">
        <v>1956</v>
      </c>
      <c r="C177" s="2" t="s">
        <v>23</v>
      </c>
      <c r="D177" s="3">
        <v>150.32513716724242</v>
      </c>
      <c r="E177" s="3" t="e">
        <v>#N/A</v>
      </c>
      <c r="F177" s="3" t="e">
        <v>#N/A</v>
      </c>
      <c r="G177" s="3"/>
      <c r="I177" s="3"/>
      <c r="J177" s="3"/>
      <c r="K177" s="3"/>
      <c r="N177" s="4" t="s">
        <v>99</v>
      </c>
      <c r="O177" s="2" t="s">
        <v>17</v>
      </c>
      <c r="P177" s="2">
        <v>73.659317211948789</v>
      </c>
    </row>
    <row r="178" spans="1:16" ht="14.25" customHeight="1">
      <c r="A178" s="2" t="s">
        <v>15</v>
      </c>
      <c r="B178" s="2">
        <v>1957</v>
      </c>
      <c r="C178" s="2" t="s">
        <v>23</v>
      </c>
      <c r="D178" s="3">
        <v>159.01239585450111</v>
      </c>
      <c r="E178" s="3" t="e">
        <v>#N/A</v>
      </c>
      <c r="F178" s="3" t="e">
        <v>#N/A</v>
      </c>
      <c r="G178" s="3"/>
      <c r="I178" s="3"/>
      <c r="J178" s="3"/>
      <c r="K178" s="3"/>
      <c r="N178" s="4" t="s">
        <v>99</v>
      </c>
      <c r="O178" s="2" t="s">
        <v>17</v>
      </c>
      <c r="P178" s="2">
        <v>77.916073968705547</v>
      </c>
    </row>
    <row r="179" spans="1:16" ht="14.25" customHeight="1">
      <c r="A179" s="2" t="s">
        <v>15</v>
      </c>
      <c r="B179" s="2">
        <v>1958</v>
      </c>
      <c r="C179" s="2" t="s">
        <v>23</v>
      </c>
      <c r="D179" s="3">
        <v>144.94005283478967</v>
      </c>
      <c r="E179" s="3" t="e">
        <v>#N/A</v>
      </c>
      <c r="F179" s="3" t="e">
        <v>#N/A</v>
      </c>
      <c r="G179" s="3"/>
      <c r="I179" s="3"/>
      <c r="J179" s="3"/>
      <c r="K179" s="3"/>
      <c r="N179" s="4" t="s">
        <v>99</v>
      </c>
      <c r="O179" s="2" t="s">
        <v>17</v>
      </c>
      <c r="P179" s="2">
        <v>71.02062588904694</v>
      </c>
    </row>
    <row r="180" spans="1:16" ht="14.25" customHeight="1">
      <c r="A180" s="2" t="s">
        <v>15</v>
      </c>
      <c r="B180" s="2">
        <v>1959</v>
      </c>
      <c r="C180" s="2" t="s">
        <v>23</v>
      </c>
      <c r="D180" s="3">
        <v>122.68847795163585</v>
      </c>
      <c r="E180" s="3" t="e">
        <v>#N/A</v>
      </c>
      <c r="F180" s="3" t="e">
        <v>#N/A</v>
      </c>
      <c r="G180" s="3"/>
      <c r="I180" s="3"/>
      <c r="J180" s="3"/>
      <c r="K180" s="3"/>
      <c r="N180" s="4" t="s">
        <v>99</v>
      </c>
      <c r="O180" s="2" t="s">
        <v>17</v>
      </c>
      <c r="P180" s="2">
        <v>60.117354196301562</v>
      </c>
    </row>
    <row r="181" spans="1:16" ht="14.25" customHeight="1">
      <c r="A181" s="2" t="s">
        <v>15</v>
      </c>
      <c r="B181" s="2">
        <v>1960</v>
      </c>
      <c r="C181" s="2" t="s">
        <v>23</v>
      </c>
      <c r="D181" s="3">
        <v>136.55761024182078</v>
      </c>
      <c r="E181" s="3" t="e">
        <v>#VALUE!</v>
      </c>
      <c r="F181" s="3">
        <v>19.791099370046737</v>
      </c>
      <c r="G181" s="3"/>
      <c r="I181" s="3"/>
      <c r="J181" s="3"/>
      <c r="K181" s="3"/>
      <c r="N181" s="4" t="s">
        <v>99</v>
      </c>
      <c r="O181" s="2" t="s">
        <v>17</v>
      </c>
      <c r="P181" s="2">
        <v>66.913229018492189</v>
      </c>
    </row>
    <row r="182" spans="1:16" ht="14.25" customHeight="1">
      <c r="A182" s="2" t="s">
        <v>15</v>
      </c>
      <c r="B182" s="2">
        <v>1961</v>
      </c>
      <c r="C182" s="2" t="s">
        <v>23</v>
      </c>
      <c r="D182" s="3">
        <v>133.40784393415973</v>
      </c>
      <c r="E182" s="3" t="e">
        <v>#N/A</v>
      </c>
      <c r="F182" s="3" t="e">
        <v>#N/A</v>
      </c>
      <c r="G182" s="3"/>
      <c r="I182" s="3"/>
      <c r="J182" s="3"/>
      <c r="K182" s="3"/>
      <c r="N182" s="4" t="s">
        <v>99</v>
      </c>
      <c r="O182" s="2" t="s">
        <v>17</v>
      </c>
      <c r="P182" s="2">
        <v>65.369843527738269</v>
      </c>
    </row>
    <row r="183" spans="1:16" ht="14.25" customHeight="1">
      <c r="A183" s="2" t="s">
        <v>15</v>
      </c>
      <c r="B183" s="2">
        <v>1962</v>
      </c>
      <c r="C183" s="2" t="s">
        <v>23</v>
      </c>
      <c r="D183" s="3">
        <v>137.42125584230845</v>
      </c>
      <c r="E183" s="3" t="e">
        <v>#N/A</v>
      </c>
      <c r="F183" s="3" t="e">
        <v>#N/A</v>
      </c>
      <c r="G183" s="3"/>
      <c r="I183" s="3"/>
      <c r="J183" s="3"/>
      <c r="K183" s="3"/>
      <c r="N183" s="4" t="s">
        <v>99</v>
      </c>
      <c r="O183" s="2" t="s">
        <v>17</v>
      </c>
      <c r="P183" s="2">
        <v>67.336415362731145</v>
      </c>
    </row>
    <row r="184" spans="1:16" ht="14.25" customHeight="1">
      <c r="A184" s="2" t="s">
        <v>15</v>
      </c>
      <c r="B184" s="2">
        <v>1963</v>
      </c>
      <c r="C184" s="2" t="s">
        <v>23</v>
      </c>
      <c r="D184" s="3">
        <v>122.38366185734606</v>
      </c>
      <c r="E184" s="3" t="e">
        <v>#N/A</v>
      </c>
      <c r="F184" s="3" t="e">
        <v>#N/A</v>
      </c>
      <c r="G184" s="3"/>
      <c r="I184" s="3"/>
      <c r="J184" s="3"/>
      <c r="K184" s="3"/>
      <c r="N184" s="4" t="s">
        <v>99</v>
      </c>
      <c r="O184" s="2" t="s">
        <v>17</v>
      </c>
      <c r="P184" s="2">
        <v>59.967994310099563</v>
      </c>
    </row>
    <row r="185" spans="1:16" ht="14.25" customHeight="1">
      <c r="A185" s="2" t="s">
        <v>15</v>
      </c>
      <c r="B185" s="2">
        <v>1964</v>
      </c>
      <c r="C185" s="2" t="s">
        <v>23</v>
      </c>
      <c r="D185" s="3">
        <v>150.02032107295264</v>
      </c>
      <c r="E185" s="3" t="e">
        <v>#N/A</v>
      </c>
      <c r="F185" s="3" t="e">
        <v>#N/A</v>
      </c>
      <c r="G185" s="3"/>
      <c r="I185" s="3"/>
      <c r="J185" s="3"/>
      <c r="K185" s="3"/>
      <c r="N185" s="4" t="s">
        <v>99</v>
      </c>
      <c r="O185" s="2" t="s">
        <v>17</v>
      </c>
      <c r="P185" s="2">
        <v>73.509957325746797</v>
      </c>
    </row>
    <row r="186" spans="1:16" ht="14.25" customHeight="1">
      <c r="A186" s="2" t="s">
        <v>15</v>
      </c>
      <c r="B186" s="2">
        <v>1965</v>
      </c>
      <c r="C186" s="2" t="s">
        <v>23</v>
      </c>
      <c r="D186" s="3">
        <v>168.5633001422475</v>
      </c>
      <c r="E186" s="3" t="e">
        <v>#N/A</v>
      </c>
      <c r="F186" s="3">
        <v>16.866490550701077</v>
      </c>
      <c r="G186" s="3"/>
      <c r="I186" s="3"/>
      <c r="J186" s="3"/>
      <c r="K186" s="3"/>
      <c r="N186" s="4" t="s">
        <v>99</v>
      </c>
      <c r="O186" s="2" t="s">
        <v>17</v>
      </c>
      <c r="P186" s="2">
        <v>82.596017069701276</v>
      </c>
    </row>
    <row r="187" spans="1:16" ht="14.25" customHeight="1">
      <c r="A187" s="2" t="s">
        <v>15</v>
      </c>
      <c r="B187" s="2">
        <v>1966</v>
      </c>
      <c r="C187" s="2" t="s">
        <v>23</v>
      </c>
      <c r="D187" s="3">
        <v>152.20483641536273</v>
      </c>
      <c r="E187" s="3" t="e">
        <v>#N/A</v>
      </c>
      <c r="F187" s="3">
        <v>13.513513513513512</v>
      </c>
      <c r="G187" s="3"/>
      <c r="I187" s="3"/>
      <c r="J187" s="3"/>
      <c r="K187" s="3"/>
      <c r="N187" s="4" t="s">
        <v>99</v>
      </c>
      <c r="O187" s="2" t="s">
        <v>17</v>
      </c>
      <c r="P187" s="2">
        <v>74.580369843527734</v>
      </c>
    </row>
    <row r="188" spans="1:16" ht="14.25" customHeight="1">
      <c r="A188" s="2" t="s">
        <v>15</v>
      </c>
      <c r="B188" s="2">
        <v>1967</v>
      </c>
      <c r="C188" s="2" t="s">
        <v>23</v>
      </c>
      <c r="D188" s="3">
        <v>128.88640520219468</v>
      </c>
      <c r="E188" s="3" t="e">
        <v>#N/A</v>
      </c>
      <c r="F188" s="3">
        <v>14.02154033732981</v>
      </c>
      <c r="G188" s="3"/>
      <c r="I188" s="3"/>
      <c r="J188" s="3"/>
      <c r="K188" s="3"/>
      <c r="N188" s="4" t="s">
        <v>99</v>
      </c>
      <c r="O188" s="2" t="s">
        <v>17</v>
      </c>
      <c r="P188" s="2">
        <v>63.154338549075391</v>
      </c>
    </row>
    <row r="189" spans="1:16" ht="14.25" customHeight="1">
      <c r="A189" s="2" t="s">
        <v>15</v>
      </c>
      <c r="B189" s="2">
        <v>1968</v>
      </c>
      <c r="C189" s="2" t="s">
        <v>23</v>
      </c>
      <c r="D189" s="3">
        <v>134.47470026417395</v>
      </c>
      <c r="E189" s="3" t="e">
        <v>#N/A</v>
      </c>
      <c r="F189" s="3">
        <v>13.107092054460475</v>
      </c>
      <c r="G189" s="3"/>
      <c r="I189" s="3"/>
      <c r="J189" s="3"/>
      <c r="K189" s="3"/>
      <c r="N189" s="4" t="s">
        <v>99</v>
      </c>
      <c r="O189" s="2" t="s">
        <v>17</v>
      </c>
      <c r="P189" s="2">
        <v>65.892603129445234</v>
      </c>
    </row>
    <row r="190" spans="1:16" ht="14.25" customHeight="1">
      <c r="A190" s="2" t="s">
        <v>15</v>
      </c>
      <c r="B190" s="2">
        <v>1969</v>
      </c>
      <c r="C190" s="2" t="s">
        <v>23</v>
      </c>
      <c r="D190" s="3">
        <v>143.06035358666938</v>
      </c>
      <c r="E190" s="3" t="e">
        <v>#N/A</v>
      </c>
      <c r="F190" s="3">
        <v>11.938630359682991</v>
      </c>
      <c r="G190" s="3"/>
      <c r="I190" s="3"/>
      <c r="J190" s="3"/>
      <c r="K190" s="3"/>
      <c r="N190" s="4" t="s">
        <v>99</v>
      </c>
      <c r="O190" s="2" t="s">
        <v>17</v>
      </c>
      <c r="P190" s="2">
        <v>70.099573257467995</v>
      </c>
    </row>
    <row r="191" spans="1:16" ht="14.25" customHeight="1">
      <c r="A191" s="2" t="s">
        <v>15</v>
      </c>
      <c r="B191" s="2">
        <v>1970</v>
      </c>
      <c r="C191" s="2" t="s">
        <v>23</v>
      </c>
      <c r="D191" s="3">
        <v>176.33611054663686</v>
      </c>
      <c r="E191" s="3" t="e">
        <v>#N/A</v>
      </c>
      <c r="F191" s="3">
        <v>7.3663889453363129</v>
      </c>
      <c r="G191" s="3"/>
      <c r="I191" s="3"/>
      <c r="J191" s="3"/>
      <c r="K191" s="3"/>
      <c r="N191" s="4" t="s">
        <v>99</v>
      </c>
      <c r="O191" s="2" t="s">
        <v>17</v>
      </c>
      <c r="P191" s="2">
        <v>86.404694167852057</v>
      </c>
    </row>
    <row r="192" spans="1:16" ht="14.25" customHeight="1">
      <c r="A192" s="2" t="s">
        <v>15</v>
      </c>
      <c r="B192" s="2">
        <v>1971</v>
      </c>
      <c r="C192" s="2" t="s">
        <v>23</v>
      </c>
      <c r="D192" s="3">
        <v>181.26397073765494</v>
      </c>
      <c r="E192" s="3" t="e">
        <v>#N/A</v>
      </c>
      <c r="F192" s="3">
        <v>6.3503352977037189</v>
      </c>
      <c r="G192" s="3"/>
      <c r="I192" s="3"/>
      <c r="J192" s="3"/>
      <c r="K192" s="3"/>
      <c r="N192" s="4" t="s">
        <v>99</v>
      </c>
      <c r="O192" s="2" t="s">
        <v>17</v>
      </c>
      <c r="P192" s="2">
        <v>88.819345661450924</v>
      </c>
    </row>
    <row r="193" spans="1:16" ht="14.25" customHeight="1">
      <c r="A193" s="2" t="s">
        <v>15</v>
      </c>
      <c r="B193" s="2">
        <v>1972</v>
      </c>
      <c r="C193" s="2" t="s">
        <v>23</v>
      </c>
      <c r="D193" s="3">
        <v>156.6246697825645</v>
      </c>
      <c r="E193" s="3" t="e">
        <v>#N/A</v>
      </c>
      <c r="F193" s="3">
        <v>4.9278601910180857</v>
      </c>
      <c r="G193" s="3"/>
      <c r="I193" s="3"/>
      <c r="J193" s="3"/>
      <c r="K193" s="3"/>
      <c r="N193" s="4" t="s">
        <v>99</v>
      </c>
      <c r="O193" s="2" t="s">
        <v>17</v>
      </c>
      <c r="P193" s="2">
        <v>76.7460881934566</v>
      </c>
    </row>
    <row r="194" spans="1:16" ht="14.25" customHeight="1">
      <c r="A194" s="2" t="s">
        <v>15</v>
      </c>
      <c r="B194" s="2">
        <v>1973</v>
      </c>
      <c r="C194" s="2" t="s">
        <v>23</v>
      </c>
      <c r="D194" s="3">
        <v>149.51229424913635</v>
      </c>
      <c r="E194" s="3" t="e">
        <v>#N/A</v>
      </c>
      <c r="F194" s="3">
        <v>11.837024994919732</v>
      </c>
      <c r="G194" s="3"/>
      <c r="I194" s="3"/>
      <c r="J194" s="3"/>
      <c r="K194" s="3"/>
      <c r="N194" s="4" t="s">
        <v>99</v>
      </c>
      <c r="O194" s="2" t="s">
        <v>17</v>
      </c>
      <c r="P194" s="2">
        <v>73.26102418207681</v>
      </c>
    </row>
    <row r="195" spans="1:16" ht="14.25" customHeight="1">
      <c r="A195" s="2" t="s">
        <v>15</v>
      </c>
      <c r="B195" s="2">
        <v>1974</v>
      </c>
      <c r="C195" s="2" t="s">
        <v>23</v>
      </c>
      <c r="D195" s="3">
        <v>126.19386303596829</v>
      </c>
      <c r="E195" s="3" t="e">
        <v>#N/A</v>
      </c>
      <c r="F195" s="3">
        <v>10.312944523470838</v>
      </c>
      <c r="G195" s="3"/>
      <c r="I195" s="3"/>
      <c r="J195" s="3"/>
      <c r="K195" s="3"/>
      <c r="N195" s="4" t="s">
        <v>99</v>
      </c>
      <c r="O195" s="2" t="s">
        <v>17</v>
      </c>
      <c r="P195" s="2">
        <v>61.834992887624459</v>
      </c>
    </row>
    <row r="196" spans="1:16" ht="14.25" customHeight="1">
      <c r="A196" s="2" t="s">
        <v>15</v>
      </c>
      <c r="B196" s="2">
        <v>1975</v>
      </c>
      <c r="C196" s="2" t="s">
        <v>23</v>
      </c>
      <c r="D196" s="3">
        <v>112.479</v>
      </c>
      <c r="E196" s="3" t="e">
        <v>#N/A</v>
      </c>
      <c r="F196" s="3">
        <v>9.0289999999999999</v>
      </c>
      <c r="G196" s="3"/>
      <c r="I196" s="3"/>
      <c r="J196" s="3"/>
      <c r="K196" s="3"/>
      <c r="N196" s="4" t="s">
        <v>99</v>
      </c>
      <c r="O196" s="2" t="s">
        <v>17</v>
      </c>
      <c r="P196" s="2">
        <v>55.114709999999995</v>
      </c>
    </row>
    <row r="197" spans="1:16" ht="14.25" customHeight="1">
      <c r="A197" s="2" t="s">
        <v>15</v>
      </c>
      <c r="B197" s="2">
        <v>1976</v>
      </c>
      <c r="C197" s="2" t="s">
        <v>23</v>
      </c>
      <c r="D197" s="3">
        <v>127.461</v>
      </c>
      <c r="E197" s="3" t="e">
        <v>#N/A</v>
      </c>
      <c r="F197" s="3">
        <v>8.0679999999999996</v>
      </c>
      <c r="G197" s="3"/>
      <c r="I197" s="3"/>
      <c r="J197" s="3"/>
      <c r="K197" s="3"/>
      <c r="N197" s="4" t="s">
        <v>101</v>
      </c>
      <c r="O197" s="2" t="s">
        <v>17</v>
      </c>
      <c r="P197" s="2">
        <v>62.455889999999997</v>
      </c>
    </row>
    <row r="198" spans="1:16" ht="14.25" customHeight="1">
      <c r="A198" s="2" t="s">
        <v>15</v>
      </c>
      <c r="B198" s="2">
        <v>1977</v>
      </c>
      <c r="C198" s="2" t="s">
        <v>23</v>
      </c>
      <c r="D198" s="3">
        <v>122.938</v>
      </c>
      <c r="E198" s="3" t="e">
        <v>#N/A</v>
      </c>
      <c r="F198" s="3">
        <v>5.8129999999999997</v>
      </c>
      <c r="G198" s="3"/>
      <c r="I198" s="3"/>
      <c r="J198" s="3"/>
      <c r="K198" s="3"/>
      <c r="N198" s="4" t="s">
        <v>101</v>
      </c>
      <c r="O198" s="2" t="s">
        <v>17</v>
      </c>
      <c r="P198" s="2">
        <v>60.239620000000002</v>
      </c>
    </row>
    <row r="199" spans="1:16" ht="14.25" customHeight="1">
      <c r="A199" s="2" t="s">
        <v>15</v>
      </c>
      <c r="B199" s="2">
        <v>1978</v>
      </c>
      <c r="C199" s="2" t="s">
        <v>23</v>
      </c>
      <c r="D199" s="3">
        <v>82.399000000000001</v>
      </c>
      <c r="E199" s="3" t="e">
        <v>#N/A</v>
      </c>
      <c r="F199" s="3">
        <v>12.996</v>
      </c>
      <c r="G199" s="3"/>
      <c r="I199" s="3"/>
      <c r="J199" s="3"/>
      <c r="K199" s="3"/>
      <c r="N199" s="4" t="s">
        <v>101</v>
      </c>
      <c r="O199" s="2" t="s">
        <v>17</v>
      </c>
      <c r="P199" s="2">
        <v>40.375509999999998</v>
      </c>
    </row>
    <row r="200" spans="1:16" ht="14.25" customHeight="1">
      <c r="A200" s="2" t="s">
        <v>15</v>
      </c>
      <c r="B200" s="2">
        <v>1979</v>
      </c>
      <c r="C200" s="2" t="s">
        <v>23</v>
      </c>
      <c r="D200" s="3">
        <v>72.759</v>
      </c>
      <c r="E200" s="3" t="e">
        <v>#N/A</v>
      </c>
      <c r="F200" s="3">
        <v>21.887</v>
      </c>
      <c r="G200" s="3"/>
      <c r="I200" s="3"/>
      <c r="J200" s="3"/>
      <c r="K200" s="3"/>
      <c r="N200" s="4" t="s">
        <v>101</v>
      </c>
      <c r="O200" s="2" t="s">
        <v>17</v>
      </c>
      <c r="P200" s="2">
        <v>35.651910000000001</v>
      </c>
    </row>
    <row r="201" spans="1:16" ht="14.25" customHeight="1">
      <c r="A201" s="2" t="s">
        <v>15</v>
      </c>
      <c r="B201" s="2">
        <v>1980</v>
      </c>
      <c r="C201" s="2" t="s">
        <v>23</v>
      </c>
      <c r="D201" s="3">
        <v>84.801000000000002</v>
      </c>
      <c r="E201" s="3" t="e">
        <v>#N/A</v>
      </c>
      <c r="F201" s="3">
        <v>21.335000000000001</v>
      </c>
      <c r="G201" s="3"/>
      <c r="I201" s="3"/>
      <c r="J201" s="3"/>
      <c r="K201" s="3"/>
      <c r="N201" s="4" t="s">
        <v>101</v>
      </c>
      <c r="O201" s="2" t="s">
        <v>17</v>
      </c>
      <c r="P201" s="2">
        <v>41.552489999999999</v>
      </c>
    </row>
    <row r="202" spans="1:16" ht="14.25" customHeight="1">
      <c r="A202" s="2" t="s">
        <v>15</v>
      </c>
      <c r="B202" s="2">
        <v>1981</v>
      </c>
      <c r="C202" s="2" t="s">
        <v>23</v>
      </c>
      <c r="D202" s="3">
        <v>100.084</v>
      </c>
      <c r="E202" s="3" t="e">
        <v>#N/A</v>
      </c>
      <c r="F202" s="3">
        <v>19.388999999999999</v>
      </c>
      <c r="G202" s="3"/>
      <c r="I202" s="3"/>
      <c r="J202" s="3"/>
      <c r="K202" s="3"/>
      <c r="N202" s="4" t="s">
        <v>101</v>
      </c>
      <c r="O202" s="2" t="s">
        <v>17</v>
      </c>
      <c r="P202" s="2">
        <v>49.041159999999998</v>
      </c>
    </row>
    <row r="203" spans="1:16" ht="14.25" customHeight="1">
      <c r="A203" s="2" t="s">
        <v>15</v>
      </c>
      <c r="B203" s="2">
        <v>1982</v>
      </c>
      <c r="C203" s="2" t="s">
        <v>23</v>
      </c>
      <c r="D203" s="3">
        <v>129.00200000000001</v>
      </c>
      <c r="E203" s="3" t="e">
        <v>#N/A</v>
      </c>
      <c r="F203" s="3">
        <v>15.629</v>
      </c>
      <c r="G203" s="3"/>
      <c r="I203" s="3"/>
      <c r="J203" s="3"/>
      <c r="K203" s="3"/>
      <c r="N203" s="4" t="s">
        <v>101</v>
      </c>
      <c r="O203" s="2" t="s">
        <v>17</v>
      </c>
      <c r="P203" s="2">
        <v>63.210980000000006</v>
      </c>
    </row>
    <row r="204" spans="1:16" ht="14.25" customHeight="1">
      <c r="A204" s="2" t="s">
        <v>15</v>
      </c>
      <c r="B204" s="2">
        <v>1983</v>
      </c>
      <c r="C204" s="2" t="s">
        <v>23</v>
      </c>
      <c r="D204" s="3">
        <v>122.64700000000001</v>
      </c>
      <c r="E204" s="3" t="e">
        <v>#N/A</v>
      </c>
      <c r="F204" s="3">
        <v>16.748999999999999</v>
      </c>
      <c r="G204" s="3"/>
      <c r="I204" s="3"/>
      <c r="J204" s="3"/>
      <c r="K204" s="3"/>
      <c r="N204" s="4" t="s">
        <v>101</v>
      </c>
      <c r="O204" s="2" t="s">
        <v>17</v>
      </c>
      <c r="P204" s="2">
        <v>60.097030000000004</v>
      </c>
    </row>
    <row r="205" spans="1:16" ht="14.25" customHeight="1">
      <c r="A205" s="2" t="s">
        <v>15</v>
      </c>
      <c r="B205" s="2">
        <v>1984</v>
      </c>
      <c r="C205" s="2" t="s">
        <v>23</v>
      </c>
      <c r="D205" s="3">
        <v>107.47499999999999</v>
      </c>
      <c r="E205" s="3" t="e">
        <v>#N/A</v>
      </c>
      <c r="F205" s="3">
        <v>13.898999999999999</v>
      </c>
      <c r="G205" s="3"/>
      <c r="I205" s="3"/>
      <c r="J205" s="3"/>
      <c r="K205" s="3"/>
      <c r="N205" s="4" t="s">
        <v>101</v>
      </c>
      <c r="O205" s="2" t="s">
        <v>17</v>
      </c>
      <c r="P205" s="2">
        <v>52.662749999999996</v>
      </c>
    </row>
    <row r="206" spans="1:16" ht="14.25" customHeight="1">
      <c r="A206" s="2" t="s">
        <v>15</v>
      </c>
      <c r="B206" s="2">
        <v>1985</v>
      </c>
      <c r="C206" s="2" t="s">
        <v>23</v>
      </c>
      <c r="D206" s="3">
        <v>132.23500000000001</v>
      </c>
      <c r="E206" s="3" t="e">
        <v>#N/A</v>
      </c>
      <c r="F206" s="3">
        <v>22.757999999999999</v>
      </c>
      <c r="G206" s="3"/>
      <c r="I206" s="3"/>
      <c r="J206" s="3"/>
      <c r="K206" s="3"/>
      <c r="N206" s="4" t="s">
        <v>101</v>
      </c>
      <c r="O206" s="2" t="s">
        <v>17</v>
      </c>
      <c r="P206" s="2">
        <v>64.795150000000007</v>
      </c>
    </row>
    <row r="207" spans="1:16" ht="14.25" customHeight="1">
      <c r="A207" s="2" t="s">
        <v>15</v>
      </c>
      <c r="B207" s="2">
        <v>1986</v>
      </c>
      <c r="C207" s="2" t="s">
        <v>23</v>
      </c>
      <c r="D207" s="3">
        <v>131.05600000000001</v>
      </c>
      <c r="E207" s="3" t="e">
        <v>#N/A</v>
      </c>
      <c r="F207" s="3">
        <v>21.678999999999998</v>
      </c>
      <c r="G207" s="3"/>
      <c r="I207" s="3"/>
      <c r="J207" s="3"/>
      <c r="K207" s="3"/>
      <c r="N207" s="4" t="s">
        <v>101</v>
      </c>
      <c r="O207" s="2" t="s">
        <v>17</v>
      </c>
      <c r="P207" s="2">
        <v>64.217440000000011</v>
      </c>
    </row>
    <row r="208" spans="1:16" ht="14.25" customHeight="1">
      <c r="A208" s="2" t="s">
        <v>15</v>
      </c>
      <c r="B208" s="2">
        <v>1987</v>
      </c>
      <c r="C208" s="2" t="s">
        <v>23</v>
      </c>
      <c r="D208" s="3">
        <v>102.372</v>
      </c>
      <c r="E208" s="3" t="e">
        <v>#N/A</v>
      </c>
      <c r="F208" s="3">
        <v>27.931000000000001</v>
      </c>
      <c r="G208" s="3"/>
      <c r="I208" s="3"/>
      <c r="J208" s="3"/>
      <c r="K208" s="3"/>
      <c r="N208" s="4" t="s">
        <v>101</v>
      </c>
      <c r="O208" s="2" t="s">
        <v>17</v>
      </c>
      <c r="P208" s="2">
        <v>50.162279999999996</v>
      </c>
    </row>
    <row r="209" spans="1:16" ht="14.25" customHeight="1">
      <c r="A209" s="2" t="s">
        <v>15</v>
      </c>
      <c r="B209" s="2">
        <v>1988</v>
      </c>
      <c r="C209" s="2" t="s">
        <v>23</v>
      </c>
      <c r="D209" s="3">
        <v>97.638999999999996</v>
      </c>
      <c r="E209" s="3" t="e">
        <v>#N/A</v>
      </c>
      <c r="F209" s="3">
        <v>37.496000000000002</v>
      </c>
      <c r="G209" s="3"/>
      <c r="H209" s="2">
        <v>0.51282051282051289</v>
      </c>
      <c r="I209" s="3"/>
      <c r="J209" s="3"/>
      <c r="K209" s="3"/>
      <c r="N209" s="4" t="s">
        <v>101</v>
      </c>
      <c r="O209" s="2" t="s">
        <v>17</v>
      </c>
      <c r="P209" s="2">
        <v>47.843109999999996</v>
      </c>
    </row>
    <row r="210" spans="1:16" ht="14.25" customHeight="1">
      <c r="A210" s="2" t="s">
        <v>15</v>
      </c>
      <c r="B210" s="2">
        <v>1989</v>
      </c>
      <c r="C210" s="2" t="s">
        <v>23</v>
      </c>
      <c r="D210" s="3">
        <v>72.03</v>
      </c>
      <c r="E210" s="3" t="e">
        <v>#N/A</v>
      </c>
      <c r="F210" s="3">
        <v>38.670999999999999</v>
      </c>
      <c r="G210" s="3"/>
      <c r="H210" s="2">
        <v>1.2820512820512822</v>
      </c>
      <c r="I210" s="3"/>
      <c r="J210" s="3"/>
      <c r="K210" s="3"/>
      <c r="N210" s="4" t="s">
        <v>101</v>
      </c>
      <c r="O210" s="2" t="s">
        <v>17</v>
      </c>
      <c r="P210" s="2">
        <v>35.294699999999999</v>
      </c>
    </row>
    <row r="211" spans="1:16" ht="14.25" customHeight="1">
      <c r="A211" s="2" t="s">
        <v>15</v>
      </c>
      <c r="B211" s="2">
        <v>1990</v>
      </c>
      <c r="C211" s="2" t="s">
        <v>23</v>
      </c>
      <c r="D211" s="3">
        <v>49.076000000000001</v>
      </c>
      <c r="E211" s="3" t="e">
        <v>#N/A</v>
      </c>
      <c r="F211" s="3">
        <v>36.853000000000002</v>
      </c>
      <c r="G211" s="3"/>
      <c r="H211" s="2">
        <v>0.17094017094017097</v>
      </c>
      <c r="I211" s="3"/>
      <c r="J211" s="3"/>
      <c r="K211" s="3"/>
      <c r="N211" s="4" t="s">
        <v>101</v>
      </c>
      <c r="O211" s="2" t="s">
        <v>17</v>
      </c>
      <c r="P211" s="2">
        <v>24.047239999999999</v>
      </c>
    </row>
    <row r="212" spans="1:16" ht="14.25" customHeight="1">
      <c r="A212" s="2" t="s">
        <v>15</v>
      </c>
      <c r="B212" s="2">
        <v>1991</v>
      </c>
      <c r="C212" s="2" t="s">
        <v>23</v>
      </c>
      <c r="D212" s="3">
        <v>45.555555555555571</v>
      </c>
      <c r="E212" s="4">
        <v>0.874</v>
      </c>
      <c r="F212" s="4">
        <v>26.762</v>
      </c>
      <c r="G212" s="4"/>
      <c r="H212" s="2">
        <v>0.17094017094017097</v>
      </c>
      <c r="I212" s="3"/>
      <c r="J212" s="3"/>
      <c r="K212" s="3"/>
      <c r="N212" s="4" t="s">
        <v>101</v>
      </c>
      <c r="O212" s="2" t="s">
        <v>17</v>
      </c>
      <c r="P212" s="2">
        <v>22.32222222222223</v>
      </c>
    </row>
    <row r="213" spans="1:16" ht="14.25" customHeight="1">
      <c r="A213" s="2" t="s">
        <v>15</v>
      </c>
      <c r="B213" s="2">
        <v>1992</v>
      </c>
      <c r="C213" s="2" t="s">
        <v>23</v>
      </c>
      <c r="D213" s="3">
        <v>46.068376068376082</v>
      </c>
      <c r="E213" s="4">
        <v>1.1180000000000001</v>
      </c>
      <c r="F213" s="4">
        <v>28.869</v>
      </c>
      <c r="G213" s="4"/>
      <c r="H213" s="2">
        <v>0.34188034188034194</v>
      </c>
      <c r="I213" s="3"/>
      <c r="J213" s="3"/>
      <c r="K213" s="3"/>
      <c r="N213" s="4" t="s">
        <v>101</v>
      </c>
      <c r="O213" s="2" t="s">
        <v>17</v>
      </c>
      <c r="P213" s="2">
        <v>22.57350427350428</v>
      </c>
    </row>
    <row r="214" spans="1:16" ht="14.25" customHeight="1">
      <c r="A214" s="2" t="s">
        <v>15</v>
      </c>
      <c r="B214" s="2">
        <v>1993</v>
      </c>
      <c r="C214" s="2" t="s">
        <v>23</v>
      </c>
      <c r="D214" s="3">
        <v>74.444444444444471</v>
      </c>
      <c r="E214" s="4">
        <v>1.0389999999999999</v>
      </c>
      <c r="F214" s="4">
        <v>28.712</v>
      </c>
      <c r="G214" s="4"/>
      <c r="H214" s="2">
        <v>0.42735042735042739</v>
      </c>
      <c r="I214" s="3"/>
      <c r="J214" s="3"/>
      <c r="K214" s="3"/>
      <c r="N214" s="4" t="s">
        <v>101</v>
      </c>
      <c r="O214" s="2" t="s">
        <v>17</v>
      </c>
      <c r="P214" s="2">
        <v>36.477777777777789</v>
      </c>
    </row>
    <row r="215" spans="1:16" ht="14.25" customHeight="1">
      <c r="A215" s="2" t="s">
        <v>15</v>
      </c>
      <c r="B215" s="2">
        <v>1994</v>
      </c>
      <c r="C215" s="2" t="s">
        <v>23</v>
      </c>
      <c r="D215" s="3">
        <v>79.435042735042757</v>
      </c>
      <c r="E215" s="4">
        <v>1.1819999999999999</v>
      </c>
      <c r="F215" s="4">
        <v>33.07</v>
      </c>
      <c r="G215" s="4"/>
      <c r="H215" s="2">
        <v>0.68376068376068388</v>
      </c>
      <c r="I215" s="3"/>
      <c r="J215" s="3"/>
      <c r="K215" s="3"/>
      <c r="N215" s="4" t="s">
        <v>101</v>
      </c>
      <c r="O215" s="2" t="s">
        <v>17</v>
      </c>
      <c r="P215" s="2">
        <v>38.923170940170948</v>
      </c>
    </row>
    <row r="216" spans="1:16" ht="14.25" customHeight="1">
      <c r="A216" s="2" t="s">
        <v>15</v>
      </c>
      <c r="B216" s="2">
        <v>1995</v>
      </c>
      <c r="C216" s="2" t="s">
        <v>23</v>
      </c>
      <c r="D216" s="3">
        <v>72.911965811965842</v>
      </c>
      <c r="E216" s="4">
        <v>1.369</v>
      </c>
      <c r="F216" s="4">
        <v>37.920999999999999</v>
      </c>
      <c r="G216" s="4"/>
      <c r="H216" s="2">
        <v>0.85470085470085477</v>
      </c>
      <c r="I216" s="3"/>
      <c r="J216" s="3"/>
      <c r="K216" s="3"/>
      <c r="N216" s="4" t="s">
        <v>101</v>
      </c>
      <c r="O216" s="2" t="s">
        <v>17</v>
      </c>
      <c r="P216" s="2">
        <v>35.726863247863264</v>
      </c>
    </row>
    <row r="217" spans="1:16" ht="14.25" customHeight="1">
      <c r="A217" s="2" t="s">
        <v>15</v>
      </c>
      <c r="B217" s="2">
        <v>1996</v>
      </c>
      <c r="C217" s="2" t="s">
        <v>23</v>
      </c>
      <c r="D217" s="3">
        <v>76.158974358974376</v>
      </c>
      <c r="E217" s="4">
        <v>1.06</v>
      </c>
      <c r="F217" s="4">
        <v>50.936999999999998</v>
      </c>
      <c r="G217" s="4"/>
      <c r="H217" s="2">
        <v>0.51282051282051289</v>
      </c>
      <c r="I217" s="3"/>
      <c r="J217" s="3"/>
      <c r="K217" s="3"/>
      <c r="N217" s="4" t="s">
        <v>101</v>
      </c>
      <c r="O217" s="2" t="s">
        <v>17</v>
      </c>
      <c r="P217" s="2">
        <v>37.317897435897443</v>
      </c>
    </row>
    <row r="218" spans="1:16" ht="14.25" customHeight="1">
      <c r="A218" s="2" t="s">
        <v>15</v>
      </c>
      <c r="B218" s="2">
        <v>1997</v>
      </c>
      <c r="C218" s="2" t="s">
        <v>23</v>
      </c>
      <c r="D218" s="3">
        <v>70.618803418803438</v>
      </c>
      <c r="E218" s="4">
        <v>1.127</v>
      </c>
      <c r="F218" s="4">
        <v>47.244</v>
      </c>
      <c r="G218" s="4"/>
      <c r="H218" s="2">
        <v>0.68376068376068388</v>
      </c>
      <c r="I218" s="3"/>
      <c r="J218" s="3"/>
      <c r="K218" s="3"/>
      <c r="N218" s="4" t="s">
        <v>101</v>
      </c>
      <c r="O218" s="2" t="s">
        <v>17</v>
      </c>
      <c r="P218" s="2">
        <v>34.603213675213681</v>
      </c>
    </row>
    <row r="219" spans="1:16" ht="14.25" customHeight="1">
      <c r="A219" s="2" t="s">
        <v>15</v>
      </c>
      <c r="B219" s="2">
        <v>1998</v>
      </c>
      <c r="C219" s="2" t="s">
        <v>23</v>
      </c>
      <c r="D219" s="3">
        <v>70.79829059829062</v>
      </c>
      <c r="E219" s="4">
        <v>1.744</v>
      </c>
      <c r="F219" s="4">
        <v>45.716999999999999</v>
      </c>
      <c r="G219" s="4"/>
      <c r="H219" s="2">
        <v>0.51282051282051289</v>
      </c>
      <c r="I219" s="3"/>
      <c r="J219" s="3"/>
      <c r="K219" s="3"/>
      <c r="N219" s="4" t="s">
        <v>101</v>
      </c>
      <c r="O219" s="2" t="s">
        <v>17</v>
      </c>
      <c r="P219" s="2">
        <v>34.691162393162401</v>
      </c>
    </row>
    <row r="220" spans="1:16" ht="14.25" customHeight="1">
      <c r="A220" s="2" t="s">
        <v>15</v>
      </c>
      <c r="B220" s="2">
        <v>1999</v>
      </c>
      <c r="C220" s="2" t="s">
        <v>23</v>
      </c>
      <c r="D220" s="3">
        <v>60.939316239316263</v>
      </c>
      <c r="E220" s="4">
        <v>1.627</v>
      </c>
      <c r="F220" s="4">
        <v>43.398000000000003</v>
      </c>
      <c r="G220" s="4"/>
      <c r="H220" s="2">
        <v>0.59829059829059827</v>
      </c>
      <c r="I220" s="3"/>
      <c r="J220" s="3"/>
      <c r="K220" s="3"/>
      <c r="N220" s="4" t="s">
        <v>101</v>
      </c>
      <c r="O220" s="2" t="s">
        <v>17</v>
      </c>
      <c r="P220" s="2">
        <v>29.860264957264967</v>
      </c>
    </row>
    <row r="221" spans="1:16" ht="14.25" customHeight="1">
      <c r="A221" s="2" t="s">
        <v>15</v>
      </c>
      <c r="B221" s="2">
        <v>2000</v>
      </c>
      <c r="C221" s="2" t="s">
        <v>23</v>
      </c>
      <c r="D221" s="3">
        <v>42.972649572649587</v>
      </c>
      <c r="E221" s="4">
        <v>1.1970000000000001</v>
      </c>
      <c r="F221" s="4">
        <v>37.509</v>
      </c>
      <c r="G221" s="4"/>
      <c r="H221" s="2">
        <v>0.34188034188034194</v>
      </c>
      <c r="I221" s="3"/>
      <c r="J221" s="3"/>
      <c r="K221" s="3"/>
      <c r="N221" s="4" t="s">
        <v>101</v>
      </c>
      <c r="O221" s="2" t="s">
        <v>17</v>
      </c>
      <c r="P221" s="2">
        <v>21.056598290598298</v>
      </c>
    </row>
    <row r="222" spans="1:16" ht="14.25" customHeight="1">
      <c r="A222" s="2" t="s">
        <v>15</v>
      </c>
      <c r="B222" s="2">
        <v>2001</v>
      </c>
      <c r="C222" s="2" t="s">
        <v>23</v>
      </c>
      <c r="D222" s="3">
        <v>36.17948717948719</v>
      </c>
      <c r="E222" s="3">
        <v>1.266</v>
      </c>
      <c r="F222" s="3">
        <v>49.457999999999998</v>
      </c>
      <c r="G222" s="3"/>
      <c r="H222" s="2">
        <v>0.42735042735042739</v>
      </c>
      <c r="I222" s="3"/>
      <c r="J222" s="3"/>
      <c r="K222" s="3"/>
      <c r="N222" s="4" t="s">
        <v>101</v>
      </c>
      <c r="O222" s="2" t="s">
        <v>17</v>
      </c>
      <c r="P222" s="2">
        <v>17.727948717948724</v>
      </c>
    </row>
    <row r="223" spans="1:16" ht="14.25" customHeight="1">
      <c r="A223" s="2" t="s">
        <v>15</v>
      </c>
      <c r="B223" s="2">
        <v>2002</v>
      </c>
      <c r="C223" s="2" t="s">
        <v>23</v>
      </c>
      <c r="D223" s="3">
        <v>44.336752136752153</v>
      </c>
      <c r="E223" s="3">
        <v>2.82</v>
      </c>
      <c r="F223" s="3">
        <v>48.497999999999998</v>
      </c>
      <c r="G223" s="3"/>
      <c r="H223" s="2">
        <v>0.85470085470085477</v>
      </c>
      <c r="I223" s="3"/>
      <c r="J223" s="3"/>
      <c r="K223" s="3"/>
      <c r="N223" s="4" t="s">
        <v>101</v>
      </c>
      <c r="O223" s="2" t="s">
        <v>17</v>
      </c>
      <c r="P223" s="2">
        <v>21.725008547008553</v>
      </c>
    </row>
    <row r="224" spans="1:16" ht="14.25" customHeight="1">
      <c r="A224" s="2" t="s">
        <v>15</v>
      </c>
      <c r="B224" s="2">
        <v>2003</v>
      </c>
      <c r="C224" s="2" t="s">
        <v>23</v>
      </c>
      <c r="D224" s="3">
        <v>34.759829059829066</v>
      </c>
      <c r="E224" s="2">
        <v>5.2</v>
      </c>
      <c r="F224" s="2">
        <v>56.2</v>
      </c>
      <c r="H224" s="2">
        <v>0.59829059829059827</v>
      </c>
      <c r="I224" s="3"/>
      <c r="J224" s="3"/>
      <c r="K224" s="3"/>
      <c r="N224" s="4" t="s">
        <v>101</v>
      </c>
      <c r="O224" s="2" t="s">
        <v>17</v>
      </c>
      <c r="P224" s="2">
        <v>17.032316239316241</v>
      </c>
    </row>
    <row r="225" spans="1:16" ht="14.25" customHeight="1">
      <c r="A225" s="2" t="s">
        <v>15</v>
      </c>
      <c r="B225" s="2">
        <v>2004</v>
      </c>
      <c r="C225" s="2" t="s">
        <v>23</v>
      </c>
      <c r="D225" s="3">
        <v>38.786324786324805</v>
      </c>
      <c r="E225" s="2">
        <v>5.2</v>
      </c>
      <c r="F225" s="2">
        <v>64.5</v>
      </c>
      <c r="H225" s="2">
        <v>0.59829059829059827</v>
      </c>
      <c r="I225" s="3"/>
      <c r="J225" s="3"/>
      <c r="K225" s="3"/>
      <c r="N225" s="4" t="s">
        <v>101</v>
      </c>
      <c r="O225" s="2" t="s">
        <v>17</v>
      </c>
      <c r="P225" s="2">
        <v>19.005299145299155</v>
      </c>
    </row>
    <row r="226" spans="1:16" ht="14.25" customHeight="1">
      <c r="A226" s="2" t="s">
        <v>15</v>
      </c>
      <c r="B226" s="2">
        <v>2005</v>
      </c>
      <c r="C226" s="2" t="s">
        <v>23</v>
      </c>
      <c r="D226" s="3">
        <v>40.643589743589757</v>
      </c>
      <c r="E226" s="2">
        <v>6.3</v>
      </c>
      <c r="F226" s="2">
        <v>67.599999999999994</v>
      </c>
      <c r="H226" s="2">
        <v>0.68376068376068388</v>
      </c>
      <c r="I226" s="3"/>
      <c r="J226" s="3"/>
      <c r="K226" s="3"/>
      <c r="N226" s="4" t="s">
        <v>101</v>
      </c>
      <c r="O226" s="2" t="s">
        <v>17</v>
      </c>
      <c r="P226" s="2">
        <v>19.915358974358981</v>
      </c>
    </row>
    <row r="227" spans="1:16" ht="14.25" customHeight="1">
      <c r="A227" s="2" t="s">
        <v>15</v>
      </c>
      <c r="B227" s="2">
        <v>2006</v>
      </c>
      <c r="C227" s="2" t="s">
        <v>23</v>
      </c>
      <c r="D227" s="3">
        <v>33.223931623931634</v>
      </c>
      <c r="E227" s="2">
        <v>5.4</v>
      </c>
      <c r="F227" s="2">
        <v>65.599999999999994</v>
      </c>
      <c r="H227" s="2">
        <v>0.76923076923076927</v>
      </c>
      <c r="I227" s="3"/>
      <c r="J227" s="3"/>
      <c r="K227" s="3"/>
      <c r="N227" s="4" t="s">
        <v>101</v>
      </c>
      <c r="O227" s="2" t="s">
        <v>17</v>
      </c>
      <c r="P227" s="2">
        <v>16.2797264957265</v>
      </c>
    </row>
    <row r="228" spans="1:16" ht="14.25" customHeight="1">
      <c r="A228" s="2" t="s">
        <v>15</v>
      </c>
      <c r="B228" s="2">
        <v>2007</v>
      </c>
      <c r="C228" s="2" t="s">
        <v>23</v>
      </c>
      <c r="D228" s="3">
        <v>27.608547008547017</v>
      </c>
      <c r="E228" s="2">
        <v>3.7</v>
      </c>
      <c r="F228" s="2">
        <v>69.599999999999994</v>
      </c>
      <c r="H228" s="2">
        <v>1.0256410256410258</v>
      </c>
      <c r="I228" s="3"/>
      <c r="J228" s="3"/>
      <c r="K228" s="3"/>
      <c r="N228" s="4" t="s">
        <v>101</v>
      </c>
      <c r="O228" s="2" t="s">
        <v>17</v>
      </c>
      <c r="P228" s="2">
        <v>13.528188034188037</v>
      </c>
    </row>
    <row r="229" spans="1:16" ht="14.25" customHeight="1">
      <c r="A229" s="2" t="s">
        <v>15</v>
      </c>
      <c r="B229" s="2">
        <v>2008</v>
      </c>
      <c r="C229" s="2" t="s">
        <v>23</v>
      </c>
      <c r="D229" s="3">
        <v>27.276068376068384</v>
      </c>
      <c r="E229" s="2">
        <v>4.8</v>
      </c>
      <c r="F229" s="2">
        <v>68.2</v>
      </c>
      <c r="H229" s="2">
        <v>0.94017094017094027</v>
      </c>
      <c r="I229" s="3"/>
      <c r="J229" s="3"/>
      <c r="K229" s="3"/>
      <c r="N229" s="4" t="s">
        <v>101</v>
      </c>
      <c r="O229" s="2" t="s">
        <v>17</v>
      </c>
      <c r="P229" s="2">
        <v>13.365273504273508</v>
      </c>
    </row>
    <row r="230" spans="1:16" ht="14.25" customHeight="1">
      <c r="A230" s="2" t="s">
        <v>15</v>
      </c>
      <c r="B230" s="2">
        <v>2009</v>
      </c>
      <c r="C230" s="2" t="s">
        <v>23</v>
      </c>
      <c r="D230" s="3">
        <v>29.696581196581203</v>
      </c>
      <c r="E230" s="2">
        <v>3.1</v>
      </c>
      <c r="F230" s="2">
        <v>66.900000000000006</v>
      </c>
      <c r="H230" s="2">
        <v>1.3675213675213678</v>
      </c>
      <c r="I230" s="3"/>
      <c r="J230" s="3"/>
      <c r="K230" s="3"/>
      <c r="N230" s="4" t="s">
        <v>101</v>
      </c>
      <c r="O230" s="2" t="s">
        <v>17</v>
      </c>
      <c r="P230" s="2">
        <v>14.551324786324789</v>
      </c>
    </row>
    <row r="231" spans="1:16" ht="14.25" customHeight="1">
      <c r="A231" s="2" t="s">
        <v>15</v>
      </c>
      <c r="B231" s="2">
        <v>2010</v>
      </c>
      <c r="C231" s="2" t="s">
        <v>23</v>
      </c>
      <c r="D231" s="3">
        <v>27.094017094017104</v>
      </c>
      <c r="E231" s="2">
        <v>3.6</v>
      </c>
      <c r="F231" s="2">
        <v>60.3</v>
      </c>
      <c r="H231" s="2">
        <v>1.6239316239316239</v>
      </c>
      <c r="I231" s="3"/>
      <c r="J231" s="3"/>
      <c r="K231" s="3"/>
      <c r="N231" s="4" t="s">
        <v>101</v>
      </c>
      <c r="O231" s="2" t="s">
        <v>17</v>
      </c>
      <c r="P231" s="2">
        <v>13.27606837606838</v>
      </c>
    </row>
    <row r="232" spans="1:16" ht="14.25" customHeight="1">
      <c r="A232" s="2" t="s">
        <v>15</v>
      </c>
      <c r="B232" s="2">
        <v>2011</v>
      </c>
      <c r="C232" s="2" t="s">
        <v>23</v>
      </c>
      <c r="D232" s="3">
        <v>24.188034188034198</v>
      </c>
      <c r="E232" s="2">
        <v>3.1</v>
      </c>
      <c r="F232" s="2">
        <v>59.2</v>
      </c>
      <c r="H232" s="2">
        <v>1.3675213675213678</v>
      </c>
      <c r="I232" s="3"/>
      <c r="J232" s="3"/>
      <c r="K232" s="3"/>
      <c r="N232" s="4" t="s">
        <v>101</v>
      </c>
      <c r="O232" s="2" t="s">
        <v>17</v>
      </c>
      <c r="P232" s="2">
        <v>11.852136752136756</v>
      </c>
    </row>
    <row r="233" spans="1:16" ht="14.25" customHeight="1">
      <c r="A233" s="2" t="s">
        <v>15</v>
      </c>
      <c r="B233" s="2">
        <v>2012</v>
      </c>
      <c r="C233" s="2" t="s">
        <v>23</v>
      </c>
      <c r="D233" s="3">
        <v>29.05982905982907</v>
      </c>
      <c r="E233" s="2">
        <v>1.7</v>
      </c>
      <c r="F233" s="2">
        <v>60.7</v>
      </c>
      <c r="H233" s="2">
        <v>1.0256410256410258</v>
      </c>
      <c r="I233" s="3"/>
      <c r="J233" s="3"/>
      <c r="K233" s="3"/>
      <c r="N233" s="4" t="s">
        <v>101</v>
      </c>
      <c r="O233" s="2" t="s">
        <v>17</v>
      </c>
      <c r="P233" s="2">
        <v>14.239316239316244</v>
      </c>
    </row>
    <row r="234" spans="1:16" ht="14.25" customHeight="1">
      <c r="A234" s="2" t="s">
        <v>15</v>
      </c>
      <c r="B234" s="2">
        <v>2013</v>
      </c>
      <c r="C234" s="2" t="s">
        <v>23</v>
      </c>
      <c r="D234" s="3">
        <v>33.076923076923087</v>
      </c>
      <c r="E234" s="2">
        <v>1</v>
      </c>
      <c r="F234" s="2">
        <v>44.9</v>
      </c>
      <c r="H234" s="2">
        <v>0.94017094017094027</v>
      </c>
      <c r="I234" s="3"/>
      <c r="J234" s="3"/>
      <c r="K234" s="3"/>
      <c r="N234" s="4" t="s">
        <v>101</v>
      </c>
      <c r="O234" s="2" t="s">
        <v>17</v>
      </c>
      <c r="P234" s="2">
        <v>16.207692307692312</v>
      </c>
    </row>
    <row r="235" spans="1:16" ht="14.25" customHeight="1">
      <c r="A235" s="2" t="s">
        <v>15</v>
      </c>
      <c r="B235" s="2">
        <v>2014</v>
      </c>
      <c r="C235" s="2" t="s">
        <v>23</v>
      </c>
      <c r="D235" s="3">
        <v>30.256410256410266</v>
      </c>
      <c r="E235" s="2">
        <v>1</v>
      </c>
      <c r="F235" s="2">
        <v>35.9</v>
      </c>
      <c r="H235" s="2">
        <v>0.76923076923076927</v>
      </c>
      <c r="I235" s="3"/>
      <c r="J235" s="3"/>
      <c r="K235" s="3"/>
      <c r="N235" s="4" t="s">
        <v>101</v>
      </c>
      <c r="O235" s="2" t="s">
        <v>17</v>
      </c>
      <c r="P235" s="2">
        <v>14.82564102564103</v>
      </c>
    </row>
    <row r="236" spans="1:16" ht="14.25" customHeight="1">
      <c r="A236" s="2" t="s">
        <v>15</v>
      </c>
      <c r="B236" s="2">
        <v>2015</v>
      </c>
      <c r="C236" s="2" t="s">
        <v>23</v>
      </c>
      <c r="D236" s="3">
        <v>27.692307692307701</v>
      </c>
      <c r="E236" s="2">
        <v>0.9</v>
      </c>
      <c r="F236" s="2">
        <v>41</v>
      </c>
      <c r="H236" s="2">
        <v>0.76923076923076927</v>
      </c>
      <c r="I236" s="3"/>
      <c r="J236" s="3"/>
      <c r="K236" s="3"/>
      <c r="N236" s="4" t="s">
        <v>101</v>
      </c>
      <c r="O236" s="2" t="s">
        <v>17</v>
      </c>
      <c r="P236" s="2">
        <v>13.569230769230773</v>
      </c>
    </row>
    <row r="237" spans="1:16" ht="14.25" customHeight="1">
      <c r="A237" s="2" t="s">
        <v>15</v>
      </c>
      <c r="B237" s="2">
        <v>2016</v>
      </c>
      <c r="C237" s="2" t="s">
        <v>23</v>
      </c>
      <c r="D237" s="3">
        <v>28.2905982905983</v>
      </c>
      <c r="E237" s="2">
        <v>1.2</v>
      </c>
      <c r="F237" s="2">
        <v>44.9</v>
      </c>
      <c r="H237" s="2">
        <v>0.76923076923076927</v>
      </c>
      <c r="I237" s="3"/>
      <c r="J237" s="3"/>
      <c r="K237" s="3"/>
      <c r="N237" s="4" t="s">
        <v>101</v>
      </c>
      <c r="O237" s="2" t="s">
        <v>17</v>
      </c>
      <c r="P237" s="2">
        <v>13.862393162393166</v>
      </c>
    </row>
    <row r="238" spans="1:16" ht="14.25" customHeight="1">
      <c r="A238" s="2" t="s">
        <v>15</v>
      </c>
      <c r="B238" s="2">
        <v>2017</v>
      </c>
      <c r="C238" s="2" t="s">
        <v>23</v>
      </c>
      <c r="D238" s="3">
        <v>28.632478632478641</v>
      </c>
      <c r="E238" s="2">
        <v>1.2</v>
      </c>
      <c r="F238" s="2">
        <v>47</v>
      </c>
      <c r="H238" s="2">
        <v>0.59829059829059827</v>
      </c>
      <c r="I238" s="3"/>
      <c r="J238" s="3"/>
      <c r="K238" s="3"/>
      <c r="N238" s="4" t="s">
        <v>101</v>
      </c>
      <c r="O238" s="2" t="s">
        <v>17</v>
      </c>
      <c r="P238" s="2">
        <v>14.029914529914533</v>
      </c>
    </row>
    <row r="239" spans="1:16" ht="14.25" customHeight="1">
      <c r="A239" s="2" t="s">
        <v>15</v>
      </c>
      <c r="B239" s="2">
        <v>2018</v>
      </c>
      <c r="C239" s="2" t="s">
        <v>23</v>
      </c>
      <c r="D239" s="3">
        <v>30.085470085470099</v>
      </c>
      <c r="E239" s="2">
        <v>1.3</v>
      </c>
      <c r="F239" s="2">
        <v>49.8</v>
      </c>
      <c r="H239" s="2">
        <v>0.42735042735042739</v>
      </c>
      <c r="I239" s="3"/>
      <c r="J239" s="3"/>
      <c r="K239" s="3"/>
      <c r="N239" s="4" t="s">
        <v>101</v>
      </c>
      <c r="O239" s="2" t="s">
        <v>17</v>
      </c>
      <c r="P239" s="2">
        <v>14.741880341880348</v>
      </c>
    </row>
    <row r="240" spans="1:16" ht="14.25" customHeight="1">
      <c r="A240" s="2" t="s">
        <v>15</v>
      </c>
      <c r="B240" s="2">
        <v>2019</v>
      </c>
      <c r="C240" s="2" t="s">
        <v>23</v>
      </c>
      <c r="D240" s="3">
        <v>28.461538461538471</v>
      </c>
      <c r="E240" s="2">
        <v>1.9635910000000001</v>
      </c>
      <c r="F240" s="2">
        <v>51.334542999999996</v>
      </c>
      <c r="H240" s="2">
        <v>0.34188034188034194</v>
      </c>
      <c r="I240" s="3"/>
      <c r="J240" s="3"/>
      <c r="K240" s="3"/>
      <c r="N240" s="4" t="s">
        <v>101</v>
      </c>
      <c r="O240" s="2" t="s">
        <v>17</v>
      </c>
      <c r="P240" s="2">
        <v>13.94615384615385</v>
      </c>
    </row>
    <row r="241" spans="1:16" ht="14.25" customHeight="1">
      <c r="A241" s="2" t="s">
        <v>15</v>
      </c>
      <c r="B241" s="2">
        <v>2020</v>
      </c>
      <c r="C241" s="2" t="s">
        <v>23</v>
      </c>
      <c r="D241" s="3">
        <v>24.347242649572657</v>
      </c>
      <c r="E241" s="2">
        <v>1.4818610000000001</v>
      </c>
      <c r="F241" s="2">
        <v>46.982584000000003</v>
      </c>
      <c r="H241" s="2">
        <v>0.31405401709401715</v>
      </c>
      <c r="I241" s="3"/>
      <c r="J241" s="3"/>
      <c r="K241" s="3"/>
      <c r="N241" s="4" t="s">
        <v>101</v>
      </c>
      <c r="O241" s="2" t="s">
        <v>17</v>
      </c>
      <c r="P241" s="2">
        <v>11.930148898290602</v>
      </c>
    </row>
    <row r="242" spans="1:16" ht="14.25" customHeight="1">
      <c r="A242" s="2" t="s">
        <v>15</v>
      </c>
      <c r="B242" s="2">
        <v>1900</v>
      </c>
      <c r="C242" s="2" t="s">
        <v>19</v>
      </c>
      <c r="D242" s="3">
        <v>313.37477138792929</v>
      </c>
      <c r="E242" s="3" t="e">
        <v>#VALUE!</v>
      </c>
      <c r="F242" s="3" t="e">
        <v>#VALUE!</v>
      </c>
      <c r="G242" s="3"/>
      <c r="I242" s="3"/>
      <c r="J242" s="3"/>
      <c r="K242" s="3"/>
      <c r="N242" s="4" t="s">
        <v>99</v>
      </c>
      <c r="O242" s="2" t="s">
        <v>17</v>
      </c>
      <c r="P242" s="2">
        <v>153.55363798008534</v>
      </c>
    </row>
    <row r="243" spans="1:16" ht="14.25" customHeight="1">
      <c r="A243" s="2" t="s">
        <v>15</v>
      </c>
      <c r="B243" s="2">
        <v>1901</v>
      </c>
      <c r="C243" s="2" t="s">
        <v>19</v>
      </c>
      <c r="D243" s="3">
        <v>358.55725462304406</v>
      </c>
      <c r="E243" s="3" t="e">
        <v>#N/A</v>
      </c>
      <c r="F243" s="3" t="e">
        <v>#N/A</v>
      </c>
      <c r="G243" s="3"/>
      <c r="I243" s="3"/>
      <c r="J243" s="3"/>
      <c r="K243" s="3"/>
      <c r="N243" s="4" t="s">
        <v>99</v>
      </c>
      <c r="O243" s="2" t="s">
        <v>17</v>
      </c>
      <c r="P243" s="2">
        <v>175.69305476529158</v>
      </c>
    </row>
    <row r="244" spans="1:16" ht="14.25" customHeight="1">
      <c r="A244" s="2" t="s">
        <v>15</v>
      </c>
      <c r="B244" s="2">
        <v>1902</v>
      </c>
      <c r="C244" s="2" t="s">
        <v>19</v>
      </c>
      <c r="D244" s="3">
        <v>428.65606584027637</v>
      </c>
      <c r="E244" s="3" t="e">
        <v>#N/A</v>
      </c>
      <c r="F244" s="3" t="e">
        <v>#N/A</v>
      </c>
      <c r="G244" s="3"/>
      <c r="I244" s="3"/>
      <c r="J244" s="3"/>
      <c r="K244" s="3"/>
      <c r="N244" s="4" t="s">
        <v>99</v>
      </c>
      <c r="O244" s="2" t="s">
        <v>17</v>
      </c>
      <c r="P244" s="2">
        <v>210.04147226173541</v>
      </c>
    </row>
    <row r="245" spans="1:16" ht="14.25" customHeight="1">
      <c r="A245" s="2" t="s">
        <v>15</v>
      </c>
      <c r="B245" s="2">
        <v>1903</v>
      </c>
      <c r="C245" s="2" t="s">
        <v>19</v>
      </c>
      <c r="D245" s="3" t="e">
        <v>#N/A</v>
      </c>
      <c r="E245" s="3" t="e">
        <v>#N/A</v>
      </c>
      <c r="F245" s="3" t="e">
        <v>#N/A</v>
      </c>
      <c r="G245" s="3"/>
      <c r="I245" s="3"/>
      <c r="J245" s="3"/>
      <c r="K245" s="3"/>
      <c r="N245" s="4" t="s">
        <v>99</v>
      </c>
      <c r="O245" s="2" t="s">
        <v>17</v>
      </c>
      <c r="P245" s="2" t="e">
        <v>#N/A</v>
      </c>
    </row>
    <row r="246" spans="1:16" ht="14.25" customHeight="1">
      <c r="A246" s="2" t="s">
        <v>15</v>
      </c>
      <c r="B246" s="2">
        <v>1904</v>
      </c>
      <c r="C246" s="2" t="s">
        <v>19</v>
      </c>
      <c r="D246" s="3" t="e">
        <v>#N/A</v>
      </c>
      <c r="E246" s="3" t="e">
        <v>#N/A</v>
      </c>
      <c r="F246" s="3" t="e">
        <v>#N/A</v>
      </c>
      <c r="G246" s="3"/>
      <c r="I246" s="3"/>
      <c r="J246" s="3"/>
      <c r="K246" s="3"/>
      <c r="N246" s="4" t="s">
        <v>99</v>
      </c>
      <c r="O246" s="2" t="s">
        <v>17</v>
      </c>
      <c r="P246" s="2" t="e">
        <v>#N/A</v>
      </c>
    </row>
    <row r="247" spans="1:16" ht="14.25" customHeight="1">
      <c r="A247" s="2" t="s">
        <v>15</v>
      </c>
      <c r="B247" s="2">
        <v>1905</v>
      </c>
      <c r="C247" s="2" t="s">
        <v>19</v>
      </c>
      <c r="D247" s="3" t="e">
        <v>#N/A</v>
      </c>
      <c r="E247" s="3" t="e">
        <v>#VALUE!</v>
      </c>
      <c r="F247" s="3">
        <v>30.604653525706155</v>
      </c>
      <c r="G247" s="3"/>
      <c r="I247" s="3"/>
      <c r="J247" s="3"/>
      <c r="K247" s="3"/>
      <c r="N247" s="4" t="s">
        <v>99</v>
      </c>
      <c r="O247" s="2" t="s">
        <v>17</v>
      </c>
      <c r="P247" s="2" t="e">
        <v>#N/A</v>
      </c>
    </row>
    <row r="248" spans="1:16" ht="14.25" customHeight="1">
      <c r="A248" s="2" t="s">
        <v>15</v>
      </c>
      <c r="B248" s="2">
        <v>1906</v>
      </c>
      <c r="C248" s="2" t="s">
        <v>19</v>
      </c>
      <c r="D248" s="3" t="e">
        <v>#N/A</v>
      </c>
      <c r="E248" s="3" t="e">
        <v>#N/A</v>
      </c>
      <c r="F248" s="3" t="e">
        <v>#N/A</v>
      </c>
      <c r="G248" s="3"/>
      <c r="I248" s="3"/>
      <c r="J248" s="3"/>
      <c r="K248" s="3"/>
      <c r="N248" s="4" t="s">
        <v>99</v>
      </c>
      <c r="O248" s="2" t="s">
        <v>17</v>
      </c>
      <c r="P248" s="2" t="e">
        <v>#N/A</v>
      </c>
    </row>
    <row r="249" spans="1:16" ht="14.25" customHeight="1">
      <c r="A249" s="2" t="s">
        <v>15</v>
      </c>
      <c r="B249" s="2">
        <v>1907</v>
      </c>
      <c r="C249" s="2" t="s">
        <v>19</v>
      </c>
      <c r="D249" s="3" t="e">
        <v>#N/A</v>
      </c>
      <c r="E249" s="3" t="e">
        <v>#N/A</v>
      </c>
      <c r="F249" s="3" t="e">
        <v>#N/A</v>
      </c>
      <c r="G249" s="3"/>
      <c r="I249" s="3"/>
      <c r="J249" s="3"/>
      <c r="K249" s="3"/>
      <c r="N249" s="4" t="s">
        <v>99</v>
      </c>
      <c r="O249" s="2" t="s">
        <v>17</v>
      </c>
      <c r="P249" s="2" t="e">
        <v>#N/A</v>
      </c>
    </row>
    <row r="250" spans="1:16" ht="14.25" customHeight="1">
      <c r="A250" s="2" t="s">
        <v>15</v>
      </c>
      <c r="B250" s="2">
        <v>1908</v>
      </c>
      <c r="C250" s="2" t="s">
        <v>19</v>
      </c>
      <c r="D250" s="3" t="e">
        <v>#N/A</v>
      </c>
      <c r="E250" s="3" t="e">
        <v>#N/A</v>
      </c>
      <c r="F250" s="3" t="e">
        <v>#N/A</v>
      </c>
      <c r="G250" s="3"/>
      <c r="I250" s="3"/>
      <c r="J250" s="3"/>
      <c r="K250" s="3"/>
      <c r="N250" s="4" t="s">
        <v>99</v>
      </c>
      <c r="O250" s="2" t="s">
        <v>17</v>
      </c>
      <c r="P250" s="2" t="e">
        <v>#N/A</v>
      </c>
    </row>
    <row r="251" spans="1:16" ht="14.25" customHeight="1">
      <c r="A251" s="2" t="s">
        <v>15</v>
      </c>
      <c r="B251" s="2">
        <v>1910</v>
      </c>
      <c r="C251" s="2" t="s">
        <v>19</v>
      </c>
      <c r="D251" s="3" t="e">
        <v>#N/A</v>
      </c>
      <c r="E251" s="3">
        <v>408.56096321885792</v>
      </c>
      <c r="F251" s="3">
        <v>67.095102621418405</v>
      </c>
      <c r="G251" s="3"/>
      <c r="I251" s="3"/>
      <c r="J251" s="3"/>
      <c r="K251" s="3"/>
      <c r="N251" s="4" t="s">
        <v>99</v>
      </c>
      <c r="O251" s="2" t="s">
        <v>17</v>
      </c>
      <c r="P251" s="2" t="e">
        <v>#N/A</v>
      </c>
    </row>
    <row r="252" spans="1:16" ht="14.25" customHeight="1">
      <c r="A252" s="2" t="s">
        <v>15</v>
      </c>
      <c r="B252" s="2">
        <v>1911</v>
      </c>
      <c r="C252" s="2" t="s">
        <v>19</v>
      </c>
      <c r="D252" s="3">
        <v>509.6758788864052</v>
      </c>
      <c r="E252" s="3" t="e">
        <v>#N/A</v>
      </c>
      <c r="F252" s="3" t="e">
        <v>#N/A</v>
      </c>
      <c r="G252" s="3"/>
      <c r="I252" s="3"/>
      <c r="J252" s="3"/>
      <c r="K252" s="3"/>
      <c r="N252" s="4" t="s">
        <v>99</v>
      </c>
      <c r="O252" s="2" t="s">
        <v>17</v>
      </c>
      <c r="P252" s="2">
        <v>249.74118065433854</v>
      </c>
    </row>
    <row r="253" spans="1:16" ht="14.25" customHeight="1">
      <c r="A253" s="2" t="s">
        <v>15</v>
      </c>
      <c r="B253" s="2">
        <v>1912</v>
      </c>
      <c r="C253" s="2" t="s">
        <v>19</v>
      </c>
      <c r="D253" s="3">
        <v>537.41043487096113</v>
      </c>
      <c r="E253" s="3" t="e">
        <v>#N/A</v>
      </c>
      <c r="F253" s="3" t="e">
        <v>#N/A</v>
      </c>
      <c r="G253" s="3"/>
      <c r="I253" s="3"/>
      <c r="J253" s="3"/>
      <c r="K253" s="3"/>
      <c r="N253" s="4" t="s">
        <v>99</v>
      </c>
      <c r="O253" s="2" t="s">
        <v>17</v>
      </c>
      <c r="P253" s="2">
        <v>263.33111308677093</v>
      </c>
    </row>
    <row r="254" spans="1:16" ht="14.25" customHeight="1">
      <c r="A254" s="2" t="s">
        <v>15</v>
      </c>
      <c r="B254" s="2">
        <v>1913</v>
      </c>
      <c r="C254" s="2" t="s">
        <v>19</v>
      </c>
      <c r="D254" s="3">
        <v>597.5790489737858</v>
      </c>
      <c r="E254" s="3" t="e">
        <v>#N/A</v>
      </c>
      <c r="F254" s="3" t="e">
        <v>#N/A</v>
      </c>
      <c r="G254" s="3"/>
      <c r="I254" s="3"/>
      <c r="J254" s="3"/>
      <c r="K254" s="3"/>
      <c r="N254" s="4" t="s">
        <v>99</v>
      </c>
      <c r="O254" s="2" t="s">
        <v>17</v>
      </c>
      <c r="P254" s="2">
        <v>292.81373399715505</v>
      </c>
    </row>
    <row r="255" spans="1:16" ht="14.25" customHeight="1">
      <c r="A255" s="2" t="s">
        <v>15</v>
      </c>
      <c r="B255" s="2">
        <v>1914</v>
      </c>
      <c r="C255" s="2" t="s">
        <v>19</v>
      </c>
      <c r="D255" s="3" t="e">
        <v>#N/A</v>
      </c>
      <c r="E255" s="3">
        <v>205.84942084942082</v>
      </c>
      <c r="F255" s="3">
        <v>48.429638284901444</v>
      </c>
      <c r="G255" s="3"/>
      <c r="I255" s="3"/>
      <c r="J255" s="3"/>
      <c r="K255" s="3"/>
      <c r="N255" s="4" t="s">
        <v>100</v>
      </c>
      <c r="O255" s="2" t="s">
        <v>17</v>
      </c>
      <c r="P255" s="2" t="e">
        <v>#N/A</v>
      </c>
    </row>
    <row r="256" spans="1:16" ht="14.25" customHeight="1">
      <c r="A256" s="2" t="s">
        <v>15</v>
      </c>
      <c r="B256" s="2">
        <v>1915</v>
      </c>
      <c r="C256" s="2" t="s">
        <v>19</v>
      </c>
      <c r="D256" s="3" t="e">
        <v>#N/A</v>
      </c>
      <c r="E256" s="3">
        <v>51.410231660231659</v>
      </c>
      <c r="F256" s="3">
        <v>40.23191424507214</v>
      </c>
      <c r="G256" s="3"/>
      <c r="I256" s="3"/>
      <c r="J256" s="3"/>
      <c r="K256" s="3"/>
      <c r="N256" s="4" t="s">
        <v>100</v>
      </c>
      <c r="O256" s="2" t="s">
        <v>17</v>
      </c>
      <c r="P256" s="2" t="e">
        <v>#N/A</v>
      </c>
    </row>
    <row r="257" spans="1:16" ht="14.25" customHeight="1">
      <c r="A257" s="2" t="s">
        <v>15</v>
      </c>
      <c r="B257" s="2">
        <v>1916</v>
      </c>
      <c r="C257" s="2" t="s">
        <v>19</v>
      </c>
      <c r="D257" s="3" t="e">
        <v>#N/A</v>
      </c>
      <c r="E257" s="3">
        <v>78.59987807356228</v>
      </c>
      <c r="F257" s="3">
        <v>8.7294249136354392</v>
      </c>
      <c r="G257" s="3"/>
      <c r="I257" s="3"/>
      <c r="J257" s="3"/>
      <c r="K257" s="3"/>
      <c r="N257" s="4" t="s">
        <v>100</v>
      </c>
      <c r="O257" s="2" t="s">
        <v>17</v>
      </c>
      <c r="P257" s="2" t="e">
        <v>#N/A</v>
      </c>
    </row>
    <row r="258" spans="1:16" ht="14.25" customHeight="1">
      <c r="A258" s="2" t="s">
        <v>15</v>
      </c>
      <c r="B258" s="2">
        <v>1917</v>
      </c>
      <c r="C258" s="2" t="s">
        <v>19</v>
      </c>
      <c r="D258" s="3" t="e">
        <v>#N/A</v>
      </c>
      <c r="E258" s="3">
        <v>16.042521845153423</v>
      </c>
      <c r="F258" s="3">
        <v>11.700010160536475</v>
      </c>
      <c r="G258" s="3"/>
      <c r="I258" s="3"/>
      <c r="J258" s="3"/>
      <c r="K258" s="3"/>
      <c r="N258" s="4" t="s">
        <v>100</v>
      </c>
      <c r="O258" s="2" t="s">
        <v>17</v>
      </c>
      <c r="P258" s="2" t="e">
        <v>#N/A</v>
      </c>
    </row>
    <row r="259" spans="1:16" ht="14.25" customHeight="1">
      <c r="A259" s="2" t="s">
        <v>15</v>
      </c>
      <c r="B259" s="2">
        <v>1918</v>
      </c>
      <c r="C259" s="2" t="s">
        <v>19</v>
      </c>
      <c r="D259" s="3" t="e">
        <v>#N/A</v>
      </c>
      <c r="E259" s="3">
        <v>9.0331741515952029</v>
      </c>
      <c r="F259" s="3">
        <v>29.79739890266206</v>
      </c>
      <c r="G259" s="3"/>
      <c r="I259" s="3"/>
      <c r="J259" s="3"/>
      <c r="K259" s="3"/>
      <c r="N259" s="4" t="s">
        <v>100</v>
      </c>
      <c r="O259" s="2" t="s">
        <v>17</v>
      </c>
      <c r="P259" s="2" t="e">
        <v>#N/A</v>
      </c>
    </row>
    <row r="260" spans="1:16" ht="14.25" customHeight="1">
      <c r="A260" s="2" t="s">
        <v>15</v>
      </c>
      <c r="B260" s="2">
        <v>1919</v>
      </c>
      <c r="C260" s="2" t="s">
        <v>19</v>
      </c>
      <c r="D260" s="3">
        <v>370.24542775858566</v>
      </c>
      <c r="E260" s="3">
        <v>118.00741719162771</v>
      </c>
      <c r="F260" s="3">
        <v>24.653474903474905</v>
      </c>
      <c r="G260" s="3"/>
      <c r="I260" s="3"/>
      <c r="J260" s="3"/>
      <c r="K260" s="3"/>
      <c r="N260" s="4" t="s">
        <v>99</v>
      </c>
      <c r="O260" s="2" t="s">
        <v>17</v>
      </c>
      <c r="P260" s="2">
        <v>181.42025960170696</v>
      </c>
    </row>
    <row r="261" spans="1:16" ht="14.25" customHeight="1">
      <c r="A261" s="2" t="s">
        <v>15</v>
      </c>
      <c r="B261" s="2">
        <v>1920</v>
      </c>
      <c r="C261" s="2" t="s">
        <v>19</v>
      </c>
      <c r="D261" s="3">
        <v>395.83931111562691</v>
      </c>
      <c r="E261" s="3">
        <v>174.23790896159318</v>
      </c>
      <c r="F261" s="3">
        <v>29.829506197927252</v>
      </c>
      <c r="G261" s="3"/>
      <c r="I261" s="3"/>
      <c r="J261" s="3"/>
      <c r="K261" s="3"/>
      <c r="N261" s="4" t="s">
        <v>99</v>
      </c>
      <c r="O261" s="2" t="s">
        <v>17</v>
      </c>
      <c r="P261" s="2">
        <v>193.96126244665717</v>
      </c>
    </row>
    <row r="262" spans="1:16" ht="14.25" customHeight="1">
      <c r="A262" s="2" t="s">
        <v>15</v>
      </c>
      <c r="B262" s="2">
        <v>1921</v>
      </c>
      <c r="C262" s="2" t="s">
        <v>19</v>
      </c>
      <c r="D262" s="3">
        <v>269.1435683804105</v>
      </c>
      <c r="E262" s="3" t="e">
        <v>#N/A</v>
      </c>
      <c r="F262" s="3" t="e">
        <v>#N/A</v>
      </c>
      <c r="G262" s="3"/>
      <c r="I262" s="3"/>
      <c r="J262" s="3"/>
      <c r="K262" s="3"/>
      <c r="N262" s="4" t="s">
        <v>99</v>
      </c>
      <c r="O262" s="2" t="s">
        <v>17</v>
      </c>
      <c r="P262" s="2">
        <v>131.88034850640113</v>
      </c>
    </row>
    <row r="263" spans="1:16" ht="14.25" customHeight="1">
      <c r="A263" s="2" t="s">
        <v>15</v>
      </c>
      <c r="B263" s="2">
        <v>1922</v>
      </c>
      <c r="C263" s="2" t="s">
        <v>19</v>
      </c>
      <c r="D263" s="3">
        <v>275.6077517272912</v>
      </c>
      <c r="E263" s="3" t="e">
        <v>#N/A</v>
      </c>
      <c r="F263" s="3" t="e">
        <v>#N/A</v>
      </c>
      <c r="G263" s="3"/>
      <c r="I263" s="3"/>
      <c r="J263" s="3"/>
      <c r="K263" s="3"/>
      <c r="N263" s="4" t="s">
        <v>99</v>
      </c>
      <c r="O263" s="2" t="s">
        <v>17</v>
      </c>
      <c r="P263" s="2">
        <v>135.04779834637267</v>
      </c>
    </row>
    <row r="264" spans="1:16" ht="14.25" customHeight="1">
      <c r="A264" s="2" t="s">
        <v>15</v>
      </c>
      <c r="B264" s="2">
        <v>1923</v>
      </c>
      <c r="C264" s="2" t="s">
        <v>19</v>
      </c>
      <c r="D264" s="3">
        <v>321.92564377159113</v>
      </c>
      <c r="E264" s="3" t="e">
        <v>#N/A</v>
      </c>
      <c r="F264" s="3" t="e">
        <v>#N/A</v>
      </c>
      <c r="G264" s="3"/>
      <c r="I264" s="3"/>
      <c r="J264" s="3"/>
      <c r="K264" s="3"/>
      <c r="N264" s="4" t="s">
        <v>99</v>
      </c>
      <c r="O264" s="2" t="s">
        <v>17</v>
      </c>
      <c r="P264" s="2">
        <v>157.74356544807964</v>
      </c>
    </row>
    <row r="265" spans="1:16" ht="14.25" customHeight="1">
      <c r="A265" s="2" t="s">
        <v>15</v>
      </c>
      <c r="B265" s="2">
        <v>1924</v>
      </c>
      <c r="C265" s="2" t="s">
        <v>19</v>
      </c>
      <c r="D265" s="3">
        <v>472.46446319853692</v>
      </c>
      <c r="E265" s="3" t="e">
        <v>#N/A</v>
      </c>
      <c r="F265" s="3" t="e">
        <v>#N/A</v>
      </c>
      <c r="G265" s="3"/>
      <c r="I265" s="3"/>
      <c r="J265" s="3"/>
      <c r="K265" s="3"/>
      <c r="N265" s="4" t="s">
        <v>99</v>
      </c>
      <c r="O265" s="2" t="s">
        <v>17</v>
      </c>
      <c r="P265" s="2">
        <v>231.50758696728309</v>
      </c>
    </row>
    <row r="266" spans="1:16" ht="14.25" customHeight="1">
      <c r="A266" s="2" t="s">
        <v>15</v>
      </c>
      <c r="B266" s="2">
        <v>1925</v>
      </c>
      <c r="C266" s="2" t="s">
        <v>19</v>
      </c>
      <c r="D266" s="3">
        <v>363.578492897785</v>
      </c>
      <c r="E266" s="3">
        <v>293.33976833976834</v>
      </c>
      <c r="F266" s="3">
        <v>39.979272505588291</v>
      </c>
      <c r="G266" s="3"/>
      <c r="I266" s="3"/>
      <c r="J266" s="3"/>
      <c r="K266" s="3"/>
      <c r="N266" s="4" t="s">
        <v>99</v>
      </c>
      <c r="O266" s="2" t="s">
        <v>17</v>
      </c>
      <c r="P266" s="2">
        <v>178.15346151991466</v>
      </c>
    </row>
    <row r="267" spans="1:16" ht="14.25" customHeight="1">
      <c r="A267" s="2" t="s">
        <v>15</v>
      </c>
      <c r="B267" s="2">
        <v>1926</v>
      </c>
      <c r="C267" s="2" t="s">
        <v>19</v>
      </c>
      <c r="D267" s="3">
        <v>390.48435678723837</v>
      </c>
      <c r="E267" s="3" t="e">
        <v>#N/A</v>
      </c>
      <c r="F267" s="3" t="e">
        <v>#N/A</v>
      </c>
      <c r="G267" s="3"/>
      <c r="I267" s="3"/>
      <c r="J267" s="3"/>
      <c r="K267" s="3"/>
      <c r="N267" s="4" t="s">
        <v>99</v>
      </c>
      <c r="O267" s="2" t="s">
        <v>17</v>
      </c>
      <c r="P267" s="2">
        <v>191.33733482574681</v>
      </c>
    </row>
    <row r="268" spans="1:16" ht="14.25" customHeight="1">
      <c r="A268" s="2" t="s">
        <v>15</v>
      </c>
      <c r="B268" s="2">
        <v>1927</v>
      </c>
      <c r="C268" s="2" t="s">
        <v>19</v>
      </c>
      <c r="D268" s="3">
        <v>394.69301232473072</v>
      </c>
      <c r="E268" s="3" t="e">
        <v>#N/A</v>
      </c>
      <c r="F268" s="3" t="e">
        <v>#N/A</v>
      </c>
      <c r="G268" s="3"/>
      <c r="I268" s="3"/>
      <c r="J268" s="3"/>
      <c r="K268" s="3"/>
      <c r="N268" s="4" t="s">
        <v>99</v>
      </c>
      <c r="O268" s="2" t="s">
        <v>17</v>
      </c>
      <c r="P268" s="2">
        <v>193.39957603911805</v>
      </c>
    </row>
    <row r="269" spans="1:16" ht="14.25" customHeight="1">
      <c r="A269" s="2" t="s">
        <v>15</v>
      </c>
      <c r="B269" s="2">
        <v>1928</v>
      </c>
      <c r="C269" s="2" t="s">
        <v>19</v>
      </c>
      <c r="D269" s="3">
        <v>417.76545773216827</v>
      </c>
      <c r="E269" s="3" t="e">
        <v>#N/A</v>
      </c>
      <c r="F269" s="3" t="e">
        <v>#N/A</v>
      </c>
      <c r="G269" s="3"/>
      <c r="I269" s="3"/>
      <c r="J269" s="3"/>
      <c r="K269" s="3"/>
      <c r="N269" s="4" t="s">
        <v>99</v>
      </c>
      <c r="O269" s="2" t="s">
        <v>17</v>
      </c>
      <c r="P269" s="2">
        <v>204.70507428876246</v>
      </c>
    </row>
    <row r="270" spans="1:16" ht="14.25" customHeight="1">
      <c r="A270" s="2" t="s">
        <v>15</v>
      </c>
      <c r="B270" s="2">
        <v>1929</v>
      </c>
      <c r="C270" s="2" t="s">
        <v>19</v>
      </c>
      <c r="D270" s="3">
        <v>423.12020161552527</v>
      </c>
      <c r="E270" s="3" t="e">
        <v>#N/A</v>
      </c>
      <c r="F270" s="3" t="e">
        <v>#N/A</v>
      </c>
      <c r="G270" s="3"/>
      <c r="I270" s="3"/>
      <c r="J270" s="3"/>
      <c r="K270" s="3"/>
      <c r="N270" s="4" t="s">
        <v>99</v>
      </c>
      <c r="O270" s="2" t="s">
        <v>17</v>
      </c>
      <c r="P270" s="2">
        <v>207.32889879160737</v>
      </c>
    </row>
    <row r="271" spans="1:16" ht="14.25" customHeight="1">
      <c r="A271" s="2" t="s">
        <v>15</v>
      </c>
      <c r="B271" s="2">
        <v>1930</v>
      </c>
      <c r="C271" s="2" t="s">
        <v>19</v>
      </c>
      <c r="D271" s="3">
        <v>378.74408069498071</v>
      </c>
      <c r="E271" s="3">
        <v>313.49654541759804</v>
      </c>
      <c r="F271" s="3">
        <v>40.095255029465555</v>
      </c>
      <c r="G271" s="3"/>
      <c r="I271" s="3"/>
      <c r="J271" s="3"/>
      <c r="K271" s="3"/>
      <c r="N271" s="4" t="s">
        <v>99</v>
      </c>
      <c r="O271" s="2" t="s">
        <v>17</v>
      </c>
      <c r="P271" s="2">
        <v>185.58459954054055</v>
      </c>
    </row>
    <row r="272" spans="1:16" ht="14.25" customHeight="1">
      <c r="A272" s="2" t="s">
        <v>15</v>
      </c>
      <c r="B272" s="2">
        <v>1931</v>
      </c>
      <c r="C272" s="2" t="s">
        <v>19</v>
      </c>
      <c r="D272" s="3">
        <v>282.89971002844953</v>
      </c>
      <c r="E272" s="3" t="e">
        <v>#N/A</v>
      </c>
      <c r="F272" s="3" t="e">
        <v>#N/A</v>
      </c>
      <c r="G272" s="3"/>
      <c r="I272" s="3"/>
      <c r="J272" s="3"/>
      <c r="K272" s="3"/>
      <c r="N272" s="4" t="s">
        <v>99</v>
      </c>
      <c r="O272" s="2" t="s">
        <v>17</v>
      </c>
      <c r="P272" s="2">
        <v>138.62085791394026</v>
      </c>
    </row>
    <row r="273" spans="1:16" ht="14.25" customHeight="1">
      <c r="A273" s="2" t="s">
        <v>15</v>
      </c>
      <c r="B273" s="2">
        <v>1932</v>
      </c>
      <c r="C273" s="2" t="s">
        <v>19</v>
      </c>
      <c r="D273" s="3">
        <v>266.69350370859581</v>
      </c>
      <c r="E273" s="3" t="e">
        <v>#N/A</v>
      </c>
      <c r="F273" s="3" t="e">
        <v>#N/A</v>
      </c>
      <c r="G273" s="3"/>
      <c r="I273" s="3"/>
      <c r="J273" s="3"/>
      <c r="K273" s="3"/>
      <c r="N273" s="4" t="s">
        <v>99</v>
      </c>
      <c r="O273" s="2" t="s">
        <v>17</v>
      </c>
      <c r="P273" s="2">
        <v>130.67981681721196</v>
      </c>
    </row>
    <row r="274" spans="1:16" ht="14.25" customHeight="1">
      <c r="A274" s="2" t="s">
        <v>15</v>
      </c>
      <c r="B274" s="2">
        <v>1933</v>
      </c>
      <c r="C274" s="2" t="s">
        <v>19</v>
      </c>
      <c r="D274" s="3">
        <v>240.00584971550498</v>
      </c>
      <c r="E274" s="3" t="e">
        <v>#N/A</v>
      </c>
      <c r="F274" s="3" t="e">
        <v>#N/A</v>
      </c>
      <c r="G274" s="3"/>
      <c r="I274" s="3"/>
      <c r="J274" s="3"/>
      <c r="K274" s="3"/>
      <c r="N274" s="4" t="s">
        <v>99</v>
      </c>
      <c r="O274" s="2" t="s">
        <v>17</v>
      </c>
      <c r="P274" s="2">
        <v>117.60286636059743</v>
      </c>
    </row>
    <row r="275" spans="1:16" ht="14.25" customHeight="1">
      <c r="A275" s="2" t="s">
        <v>15</v>
      </c>
      <c r="B275" s="2">
        <v>1934</v>
      </c>
      <c r="C275" s="2" t="s">
        <v>19</v>
      </c>
      <c r="D275" s="3">
        <v>245.08493848811216</v>
      </c>
      <c r="E275" s="3" t="e">
        <v>#N/A</v>
      </c>
      <c r="F275" s="3" t="e">
        <v>#N/A</v>
      </c>
      <c r="G275" s="3"/>
      <c r="I275" s="3"/>
      <c r="J275" s="3"/>
      <c r="K275" s="3"/>
      <c r="N275" s="4" t="s">
        <v>99</v>
      </c>
      <c r="O275" s="2" t="s">
        <v>17</v>
      </c>
      <c r="P275" s="2">
        <v>120.09161985917495</v>
      </c>
    </row>
    <row r="276" spans="1:16" ht="14.25" customHeight="1">
      <c r="A276" s="2" t="s">
        <v>15</v>
      </c>
      <c r="B276" s="2">
        <v>1935</v>
      </c>
      <c r="C276" s="2" t="s">
        <v>19</v>
      </c>
      <c r="D276" s="3">
        <v>290.82202971956917</v>
      </c>
      <c r="E276" s="3">
        <v>195.26204023572444</v>
      </c>
      <c r="F276" s="3">
        <v>28.675218451534239</v>
      </c>
      <c r="G276" s="3"/>
      <c r="I276" s="3"/>
      <c r="J276" s="3"/>
      <c r="K276" s="3"/>
      <c r="N276" s="4" t="s">
        <v>99</v>
      </c>
      <c r="O276" s="2" t="s">
        <v>17</v>
      </c>
      <c r="P276" s="2">
        <v>142.50279456258889</v>
      </c>
    </row>
    <row r="277" spans="1:16" ht="14.25" customHeight="1">
      <c r="A277" s="2" t="s">
        <v>15</v>
      </c>
      <c r="B277" s="2">
        <v>1936</v>
      </c>
      <c r="C277" s="2" t="s">
        <v>19</v>
      </c>
      <c r="D277" s="3">
        <v>284.55620064011384</v>
      </c>
      <c r="E277" s="3" t="e">
        <v>#N/A</v>
      </c>
      <c r="F277" s="3" t="e">
        <v>#N/A</v>
      </c>
      <c r="G277" s="3"/>
      <c r="I277" s="3"/>
      <c r="J277" s="3"/>
      <c r="K277" s="3"/>
      <c r="N277" s="4" t="s">
        <v>99</v>
      </c>
      <c r="O277" s="2" t="s">
        <v>17</v>
      </c>
      <c r="P277" s="2">
        <v>139.43253831365578</v>
      </c>
    </row>
    <row r="278" spans="1:16" ht="14.25" customHeight="1">
      <c r="A278" s="2" t="s">
        <v>15</v>
      </c>
      <c r="B278" s="2">
        <v>1937</v>
      </c>
      <c r="C278" s="2" t="s">
        <v>19</v>
      </c>
      <c r="D278" s="3">
        <v>282.39668041048566</v>
      </c>
      <c r="E278" s="3" t="e">
        <v>#N/A</v>
      </c>
      <c r="F278" s="3" t="e">
        <v>#N/A</v>
      </c>
      <c r="G278" s="3"/>
      <c r="I278" s="3"/>
      <c r="J278" s="3"/>
      <c r="K278" s="3"/>
      <c r="N278" s="4" t="s">
        <v>99</v>
      </c>
      <c r="O278" s="2" t="s">
        <v>17</v>
      </c>
      <c r="P278" s="2">
        <v>138.37437340113797</v>
      </c>
    </row>
    <row r="279" spans="1:16" ht="14.25" customHeight="1">
      <c r="A279" s="2" t="s">
        <v>15</v>
      </c>
      <c r="B279" s="2">
        <v>1938</v>
      </c>
      <c r="C279" s="2" t="s">
        <v>19</v>
      </c>
      <c r="D279" s="3">
        <v>275.81904976630767</v>
      </c>
      <c r="E279" s="3" t="e">
        <v>#N/A</v>
      </c>
      <c r="F279" s="3" t="e">
        <v>#N/A</v>
      </c>
      <c r="G279" s="3"/>
      <c r="I279" s="3"/>
      <c r="J279" s="3"/>
      <c r="K279" s="3"/>
      <c r="N279" s="4" t="s">
        <v>99</v>
      </c>
      <c r="O279" s="2" t="s">
        <v>17</v>
      </c>
      <c r="P279" s="2">
        <v>135.15133438549077</v>
      </c>
    </row>
    <row r="280" spans="1:16" ht="14.25" customHeight="1">
      <c r="A280" s="2" t="s">
        <v>15</v>
      </c>
      <c r="B280" s="2">
        <v>1939</v>
      </c>
      <c r="C280" s="2" t="s">
        <v>19</v>
      </c>
      <c r="D280" s="3">
        <v>160.79581093273725</v>
      </c>
      <c r="E280" s="3" t="e">
        <v>#N/A</v>
      </c>
      <c r="F280" s="3" t="e">
        <v>#N/A</v>
      </c>
      <c r="G280" s="3"/>
      <c r="I280" s="3"/>
      <c r="J280" s="3"/>
      <c r="K280" s="3"/>
      <c r="N280" s="4" t="s">
        <v>100</v>
      </c>
      <c r="O280" s="2" t="s">
        <v>17</v>
      </c>
      <c r="P280" s="2">
        <v>78.789947357041257</v>
      </c>
    </row>
    <row r="281" spans="1:16" ht="14.25" customHeight="1">
      <c r="A281" s="2" t="s">
        <v>15</v>
      </c>
      <c r="B281" s="2">
        <v>1940</v>
      </c>
      <c r="C281" s="2" t="s">
        <v>19</v>
      </c>
      <c r="D281" s="3">
        <v>68.592197124568173</v>
      </c>
      <c r="E281" s="3">
        <v>16.722718959561064</v>
      </c>
      <c r="F281" s="3">
        <v>14.909672830725462</v>
      </c>
      <c r="G281" s="3"/>
      <c r="I281" s="3"/>
      <c r="J281" s="3"/>
      <c r="K281" s="3"/>
      <c r="N281" s="4" t="s">
        <v>100</v>
      </c>
      <c r="O281" s="2" t="s">
        <v>17</v>
      </c>
      <c r="P281" s="2">
        <v>33.610176591038403</v>
      </c>
    </row>
    <row r="282" spans="1:16" ht="14.25" customHeight="1">
      <c r="A282" s="2" t="s">
        <v>15</v>
      </c>
      <c r="B282" s="2">
        <v>1941</v>
      </c>
      <c r="C282" s="2" t="s">
        <v>19</v>
      </c>
      <c r="D282" s="3">
        <v>54.210055557813455</v>
      </c>
      <c r="E282" s="3" t="e">
        <v>#N/A</v>
      </c>
      <c r="F282" s="3" t="e">
        <v>#N/A</v>
      </c>
      <c r="G282" s="3"/>
      <c r="I282" s="3"/>
      <c r="J282" s="3"/>
      <c r="K282" s="3"/>
      <c r="N282" s="4" t="s">
        <v>100</v>
      </c>
      <c r="O282" s="2" t="s">
        <v>17</v>
      </c>
      <c r="P282" s="2">
        <v>26.562927223328593</v>
      </c>
    </row>
    <row r="283" spans="1:16" ht="14.25" customHeight="1">
      <c r="A283" s="2" t="s">
        <v>15</v>
      </c>
      <c r="B283" s="2">
        <v>1942</v>
      </c>
      <c r="C283" s="2" t="s">
        <v>19</v>
      </c>
      <c r="D283" s="3">
        <v>69.899357346067873</v>
      </c>
      <c r="E283" s="3">
        <v>2.0524283682178419E-2</v>
      </c>
      <c r="F283" s="3">
        <v>27.841648039016459</v>
      </c>
      <c r="G283" s="3"/>
      <c r="I283" s="3"/>
      <c r="J283" s="3"/>
      <c r="K283" s="3"/>
      <c r="N283" s="4" t="s">
        <v>100</v>
      </c>
      <c r="O283" s="2" t="s">
        <v>17</v>
      </c>
      <c r="P283" s="2">
        <v>34.250685099573261</v>
      </c>
    </row>
    <row r="284" spans="1:16" ht="14.25" customHeight="1">
      <c r="A284" s="2" t="s">
        <v>15</v>
      </c>
      <c r="B284" s="2">
        <v>1943</v>
      </c>
      <c r="C284" s="2" t="s">
        <v>19</v>
      </c>
      <c r="D284" s="3">
        <v>76.511342481203002</v>
      </c>
      <c r="E284" s="3" t="e">
        <v>#N/A</v>
      </c>
      <c r="F284" s="3" t="e">
        <v>#N/A</v>
      </c>
      <c r="G284" s="3"/>
      <c r="I284" s="3"/>
      <c r="J284" s="3"/>
      <c r="K284" s="3"/>
      <c r="N284" s="4" t="s">
        <v>100</v>
      </c>
      <c r="O284" s="2" t="s">
        <v>17</v>
      </c>
      <c r="P284" s="2">
        <v>37.490557815789472</v>
      </c>
    </row>
    <row r="285" spans="1:16" ht="14.25" customHeight="1">
      <c r="A285" s="2" t="s">
        <v>15</v>
      </c>
      <c r="B285" s="2">
        <v>1944</v>
      </c>
      <c r="C285" s="2" t="s">
        <v>19</v>
      </c>
      <c r="D285" s="3">
        <v>78.593552306441779</v>
      </c>
      <c r="E285" s="3">
        <v>3.8102011786222315E-2</v>
      </c>
      <c r="F285" s="3">
        <v>15.350843324527533</v>
      </c>
      <c r="G285" s="3"/>
      <c r="I285" s="3"/>
      <c r="J285" s="3"/>
      <c r="K285" s="3"/>
      <c r="N285" s="4" t="s">
        <v>100</v>
      </c>
      <c r="O285" s="2" t="s">
        <v>17</v>
      </c>
      <c r="P285" s="2">
        <v>38.510840630156473</v>
      </c>
    </row>
    <row r="286" spans="1:16" ht="14.25" customHeight="1">
      <c r="A286" s="2" t="s">
        <v>15</v>
      </c>
      <c r="B286" s="2">
        <v>1945</v>
      </c>
      <c r="C286" s="2" t="s">
        <v>19</v>
      </c>
      <c r="D286" s="3">
        <v>145.30920576102417</v>
      </c>
      <c r="E286" s="3" t="e">
        <v>#N/A</v>
      </c>
      <c r="F286" s="3" t="e">
        <v>#N/A</v>
      </c>
      <c r="G286" s="3"/>
      <c r="I286" s="3"/>
      <c r="J286" s="3"/>
      <c r="K286" s="3"/>
      <c r="N286" s="4" t="s">
        <v>100</v>
      </c>
      <c r="O286" s="2" t="s">
        <v>17</v>
      </c>
      <c r="P286" s="2">
        <v>71.201510822901838</v>
      </c>
    </row>
    <row r="287" spans="1:16" ht="14.25" customHeight="1">
      <c r="A287" s="2" t="s">
        <v>15</v>
      </c>
      <c r="B287" s="2">
        <v>1946</v>
      </c>
      <c r="C287" s="2" t="s">
        <v>19</v>
      </c>
      <c r="D287" s="3">
        <v>204.03393294045924</v>
      </c>
      <c r="E287" s="3">
        <v>47.123755334281647</v>
      </c>
      <c r="F287" s="3">
        <v>25.757315586262955</v>
      </c>
      <c r="G287" s="3"/>
      <c r="I287" s="3"/>
      <c r="J287" s="3"/>
      <c r="K287" s="3"/>
      <c r="N287" s="4" t="s">
        <v>99</v>
      </c>
      <c r="O287" s="2" t="s">
        <v>17</v>
      </c>
      <c r="P287" s="2">
        <v>99.97662714082503</v>
      </c>
    </row>
    <row r="288" spans="1:16" ht="14.25" customHeight="1">
      <c r="A288" s="2" t="s">
        <v>15</v>
      </c>
      <c r="B288" s="2">
        <v>1947</v>
      </c>
      <c r="C288" s="2" t="s">
        <v>19</v>
      </c>
      <c r="D288" s="3">
        <v>225.30299796789271</v>
      </c>
      <c r="E288" s="3" t="e">
        <v>#N/A</v>
      </c>
      <c r="F288" s="3" t="e">
        <v>#N/A</v>
      </c>
      <c r="G288" s="3"/>
      <c r="I288" s="3"/>
      <c r="J288" s="3"/>
      <c r="K288" s="3"/>
      <c r="N288" s="4" t="s">
        <v>99</v>
      </c>
      <c r="O288" s="2" t="s">
        <v>17</v>
      </c>
      <c r="P288" s="2">
        <v>110.39846900426743</v>
      </c>
    </row>
    <row r="289" spans="1:16" ht="14.25" customHeight="1">
      <c r="A289" s="2" t="s">
        <v>15</v>
      </c>
      <c r="B289" s="2">
        <v>1948</v>
      </c>
      <c r="C289" s="2" t="s">
        <v>19</v>
      </c>
      <c r="D289" s="3">
        <v>269.86410067059546</v>
      </c>
      <c r="E289" s="3" t="e">
        <v>#N/A</v>
      </c>
      <c r="F289" s="3" t="e">
        <v>#N/A</v>
      </c>
      <c r="G289" s="3"/>
      <c r="I289" s="3"/>
      <c r="J289" s="3"/>
      <c r="K289" s="3"/>
      <c r="N289" s="4" t="s">
        <v>99</v>
      </c>
      <c r="O289" s="2" t="s">
        <v>17</v>
      </c>
      <c r="P289" s="2">
        <v>132.23340932859176</v>
      </c>
    </row>
    <row r="290" spans="1:16" ht="14.25" customHeight="1">
      <c r="A290" s="2" t="s">
        <v>15</v>
      </c>
      <c r="B290" s="2">
        <v>1949</v>
      </c>
      <c r="C290" s="2" t="s">
        <v>19</v>
      </c>
      <c r="D290" s="3">
        <v>206.11440200162568</v>
      </c>
      <c r="E290" s="3" t="e">
        <v>#N/A</v>
      </c>
      <c r="F290" s="3" t="e">
        <v>#N/A</v>
      </c>
      <c r="G290" s="3"/>
      <c r="I290" s="3"/>
      <c r="J290" s="3"/>
      <c r="K290" s="3"/>
      <c r="N290" s="4" t="s">
        <v>99</v>
      </c>
      <c r="O290" s="2" t="s">
        <v>17</v>
      </c>
      <c r="P290" s="2">
        <v>100.99605698079658</v>
      </c>
    </row>
    <row r="291" spans="1:16" ht="14.25" customHeight="1">
      <c r="A291" s="2" t="s">
        <v>15</v>
      </c>
      <c r="B291" s="2">
        <v>1950</v>
      </c>
      <c r="C291" s="2" t="s">
        <v>19</v>
      </c>
      <c r="D291" s="3">
        <v>180.53331077016867</v>
      </c>
      <c r="E291" s="3">
        <v>51.110699044909566</v>
      </c>
      <c r="F291" s="3">
        <v>13.115728510465351</v>
      </c>
      <c r="G291" s="3"/>
      <c r="I291" s="3"/>
      <c r="J291" s="3"/>
      <c r="K291" s="3"/>
      <c r="N291" s="4" t="s">
        <v>99</v>
      </c>
      <c r="O291" s="2" t="s">
        <v>17</v>
      </c>
      <c r="P291" s="2">
        <v>88.461322277382649</v>
      </c>
    </row>
    <row r="292" spans="1:16" ht="14.25" customHeight="1">
      <c r="A292" s="2" t="s">
        <v>15</v>
      </c>
      <c r="B292" s="2">
        <v>1951</v>
      </c>
      <c r="C292" s="2" t="s">
        <v>19</v>
      </c>
      <c r="D292" s="3">
        <v>168.08607966876647</v>
      </c>
      <c r="E292" s="3" t="e">
        <v>#N/A</v>
      </c>
      <c r="F292" s="3" t="e">
        <v>#N/A</v>
      </c>
      <c r="G292" s="3"/>
      <c r="I292" s="3"/>
      <c r="J292" s="3"/>
      <c r="K292" s="3"/>
      <c r="N292" s="4" t="s">
        <v>99</v>
      </c>
      <c r="O292" s="2" t="s">
        <v>17</v>
      </c>
      <c r="P292" s="2">
        <v>82.362179037695569</v>
      </c>
    </row>
    <row r="293" spans="1:16" ht="14.25" customHeight="1">
      <c r="A293" s="2" t="s">
        <v>15</v>
      </c>
      <c r="B293" s="2">
        <v>1952</v>
      </c>
      <c r="C293" s="2" t="s">
        <v>19</v>
      </c>
      <c r="D293" s="3">
        <v>210.91123099979677</v>
      </c>
      <c r="E293" s="3" t="e">
        <v>#N/A</v>
      </c>
      <c r="F293" s="3" t="e">
        <v>#N/A</v>
      </c>
      <c r="G293" s="3"/>
      <c r="I293" s="3"/>
      <c r="J293" s="3"/>
      <c r="K293" s="3"/>
      <c r="N293" s="4" t="s">
        <v>99</v>
      </c>
      <c r="O293" s="2" t="s">
        <v>17</v>
      </c>
      <c r="P293" s="2">
        <v>103.34650318990042</v>
      </c>
    </row>
    <row r="294" spans="1:16" ht="14.25" customHeight="1">
      <c r="A294" s="2" t="s">
        <v>15</v>
      </c>
      <c r="B294" s="2">
        <v>1953</v>
      </c>
      <c r="C294" s="2" t="s">
        <v>19</v>
      </c>
      <c r="D294" s="3">
        <v>227.43425638081692</v>
      </c>
      <c r="E294" s="3" t="e">
        <v>#N/A</v>
      </c>
      <c r="F294" s="3" t="e">
        <v>#N/A</v>
      </c>
      <c r="G294" s="3"/>
      <c r="I294" s="3"/>
      <c r="J294" s="3"/>
      <c r="K294" s="3"/>
      <c r="N294" s="4" t="s">
        <v>99</v>
      </c>
      <c r="O294" s="2" t="s">
        <v>17</v>
      </c>
      <c r="P294" s="2">
        <v>111.44278562660028</v>
      </c>
    </row>
    <row r="295" spans="1:16" ht="14.25" customHeight="1">
      <c r="A295" s="2" t="s">
        <v>15</v>
      </c>
      <c r="B295" s="2">
        <v>1954</v>
      </c>
      <c r="C295" s="2" t="s">
        <v>19</v>
      </c>
      <c r="D295" s="3">
        <v>197.06130244868928</v>
      </c>
      <c r="E295" s="3" t="e">
        <v>#N/A</v>
      </c>
      <c r="F295" s="3" t="e">
        <v>#N/A</v>
      </c>
      <c r="G295" s="3"/>
      <c r="I295" s="3"/>
      <c r="J295" s="3"/>
      <c r="K295" s="3"/>
      <c r="N295" s="4" t="s">
        <v>99</v>
      </c>
      <c r="O295" s="2" t="s">
        <v>17</v>
      </c>
      <c r="P295" s="2">
        <v>96.560038199857743</v>
      </c>
    </row>
    <row r="296" spans="1:16" ht="14.25" customHeight="1">
      <c r="A296" s="2" t="s">
        <v>15</v>
      </c>
      <c r="B296" s="2">
        <v>1955</v>
      </c>
      <c r="C296" s="2" t="s">
        <v>19</v>
      </c>
      <c r="D296" s="3">
        <v>164.68058195488723</v>
      </c>
      <c r="E296" s="3">
        <v>23.738213777687463</v>
      </c>
      <c r="F296" s="3">
        <v>19.909164803901643</v>
      </c>
      <c r="G296" s="3"/>
      <c r="I296" s="3"/>
      <c r="J296" s="3"/>
      <c r="K296" s="3"/>
      <c r="N296" s="4" t="s">
        <v>99</v>
      </c>
      <c r="O296" s="2" t="s">
        <v>17</v>
      </c>
      <c r="P296" s="2">
        <v>80.693485157894742</v>
      </c>
    </row>
    <row r="297" spans="1:16" ht="14.25" customHeight="1">
      <c r="A297" s="2" t="s">
        <v>15</v>
      </c>
      <c r="B297" s="2">
        <v>1956</v>
      </c>
      <c r="C297" s="2" t="s">
        <v>19</v>
      </c>
      <c r="D297" s="3">
        <v>137.37045315992683</v>
      </c>
      <c r="E297" s="3" t="e">
        <v>#N/A</v>
      </c>
      <c r="F297" s="3" t="e">
        <v>#N/A</v>
      </c>
      <c r="G297" s="3"/>
      <c r="I297" s="3"/>
      <c r="J297" s="3"/>
      <c r="K297" s="3"/>
      <c r="N297" s="4" t="s">
        <v>99</v>
      </c>
      <c r="O297" s="2" t="s">
        <v>17</v>
      </c>
      <c r="P297" s="2">
        <v>67.311522048364139</v>
      </c>
    </row>
    <row r="298" spans="1:16" ht="14.25" customHeight="1">
      <c r="A298" s="2" t="s">
        <v>15</v>
      </c>
      <c r="B298" s="2">
        <v>1957</v>
      </c>
      <c r="C298" s="2" t="s">
        <v>19</v>
      </c>
      <c r="D298" s="3">
        <v>121.62162162162161</v>
      </c>
      <c r="E298" s="3" t="e">
        <v>#N/A</v>
      </c>
      <c r="F298" s="3" t="e">
        <v>#N/A</v>
      </c>
      <c r="G298" s="3"/>
      <c r="I298" s="3"/>
      <c r="J298" s="3"/>
      <c r="K298" s="3"/>
      <c r="N298" s="4" t="s">
        <v>99</v>
      </c>
      <c r="O298" s="2" t="s">
        <v>17</v>
      </c>
      <c r="P298" s="2">
        <v>59.594594594594589</v>
      </c>
    </row>
    <row r="299" spans="1:16" ht="14.25" customHeight="1">
      <c r="A299" s="2" t="s">
        <v>15</v>
      </c>
      <c r="B299" s="2">
        <v>1958</v>
      </c>
      <c r="C299" s="2" t="s">
        <v>19</v>
      </c>
      <c r="D299" s="3">
        <v>112.78195488721805</v>
      </c>
      <c r="E299" s="3" t="e">
        <v>#N/A</v>
      </c>
      <c r="F299" s="3" t="e">
        <v>#N/A</v>
      </c>
      <c r="G299" s="3"/>
      <c r="I299" s="3"/>
      <c r="J299" s="3"/>
      <c r="K299" s="3"/>
      <c r="N299" s="4" t="s">
        <v>99</v>
      </c>
      <c r="O299" s="2" t="s">
        <v>17</v>
      </c>
      <c r="P299" s="2">
        <v>55.263157894736842</v>
      </c>
    </row>
    <row r="300" spans="1:16" ht="14.25" customHeight="1">
      <c r="A300" s="2" t="s">
        <v>15</v>
      </c>
      <c r="B300" s="2">
        <v>1959</v>
      </c>
      <c r="C300" s="2" t="s">
        <v>19</v>
      </c>
      <c r="D300" s="3">
        <v>138.89453363137574</v>
      </c>
      <c r="E300" s="3" t="e">
        <v>#N/A</v>
      </c>
      <c r="F300" s="3" t="e">
        <v>#N/A</v>
      </c>
      <c r="G300" s="3"/>
      <c r="I300" s="3"/>
      <c r="J300" s="3"/>
      <c r="K300" s="3"/>
      <c r="N300" s="4" t="s">
        <v>99</v>
      </c>
      <c r="O300" s="2" t="s">
        <v>17</v>
      </c>
      <c r="P300" s="2">
        <v>68.058321479374115</v>
      </c>
    </row>
    <row r="301" spans="1:16" ht="14.25" customHeight="1">
      <c r="A301" s="2" t="s">
        <v>15</v>
      </c>
      <c r="B301" s="2">
        <v>1960</v>
      </c>
      <c r="C301" s="2" t="s">
        <v>19</v>
      </c>
      <c r="D301" s="3">
        <v>111.00386100386099</v>
      </c>
      <c r="E301" s="3">
        <v>23.866642958748219</v>
      </c>
      <c r="F301" s="3">
        <v>16.028449502133711</v>
      </c>
      <c r="G301" s="3"/>
      <c r="I301" s="3"/>
      <c r="J301" s="3"/>
      <c r="K301" s="3"/>
      <c r="N301" s="4" t="s">
        <v>99</v>
      </c>
      <c r="O301" s="2" t="s">
        <v>17</v>
      </c>
      <c r="P301" s="2">
        <v>54.391891891891888</v>
      </c>
    </row>
    <row r="302" spans="1:16" ht="14.25" customHeight="1">
      <c r="A302" s="2" t="s">
        <v>15</v>
      </c>
      <c r="B302" s="2">
        <v>1961</v>
      </c>
      <c r="C302" s="2" t="s">
        <v>19</v>
      </c>
      <c r="D302" s="3">
        <v>90.530380004064213</v>
      </c>
      <c r="E302" s="3" t="e">
        <v>#N/A</v>
      </c>
      <c r="F302" s="3" t="e">
        <v>#N/A</v>
      </c>
      <c r="G302" s="3"/>
      <c r="I302" s="3"/>
      <c r="J302" s="3"/>
      <c r="K302" s="3"/>
      <c r="N302" s="4" t="s">
        <v>99</v>
      </c>
      <c r="O302" s="2" t="s">
        <v>17</v>
      </c>
      <c r="P302" s="2">
        <v>44.359886201991465</v>
      </c>
    </row>
    <row r="303" spans="1:16" ht="14.25" customHeight="1">
      <c r="A303" s="2" t="s">
        <v>15</v>
      </c>
      <c r="B303" s="2">
        <v>1962</v>
      </c>
      <c r="C303" s="2" t="s">
        <v>19</v>
      </c>
      <c r="D303" s="3">
        <v>91.089209510262137</v>
      </c>
      <c r="E303" s="3" t="e">
        <v>#N/A</v>
      </c>
      <c r="F303" s="3" t="e">
        <v>#N/A</v>
      </c>
      <c r="G303" s="3"/>
      <c r="I303" s="3"/>
      <c r="J303" s="3"/>
      <c r="K303" s="3"/>
      <c r="N303" s="4" t="s">
        <v>99</v>
      </c>
      <c r="O303" s="2" t="s">
        <v>17</v>
      </c>
      <c r="P303" s="2">
        <v>44.633712660028444</v>
      </c>
    </row>
    <row r="304" spans="1:16" ht="14.25" customHeight="1">
      <c r="A304" s="2" t="s">
        <v>15</v>
      </c>
      <c r="B304" s="2">
        <v>1963</v>
      </c>
      <c r="C304" s="2" t="s">
        <v>19</v>
      </c>
      <c r="D304" s="3">
        <v>106.43161958951431</v>
      </c>
      <c r="E304" s="3" t="e">
        <v>#N/A</v>
      </c>
      <c r="F304" s="3" t="e">
        <v>#N/A</v>
      </c>
      <c r="G304" s="3"/>
      <c r="I304" s="3"/>
      <c r="J304" s="3"/>
      <c r="K304" s="3"/>
      <c r="N304" s="4" t="s">
        <v>99</v>
      </c>
      <c r="O304" s="2" t="s">
        <v>17</v>
      </c>
      <c r="P304" s="2">
        <v>52.151493598862011</v>
      </c>
    </row>
    <row r="305" spans="1:16" ht="14.25" customHeight="1">
      <c r="A305" s="2" t="s">
        <v>15</v>
      </c>
      <c r="B305" s="2">
        <v>1964</v>
      </c>
      <c r="C305" s="2" t="s">
        <v>19</v>
      </c>
      <c r="D305" s="3">
        <v>99.471652103231037</v>
      </c>
      <c r="E305" s="3" t="e">
        <v>#N/A</v>
      </c>
      <c r="F305" s="3" t="e">
        <v>#N/A</v>
      </c>
      <c r="G305" s="3"/>
      <c r="I305" s="3"/>
      <c r="J305" s="3"/>
      <c r="K305" s="3"/>
      <c r="N305" s="4" t="s">
        <v>99</v>
      </c>
      <c r="O305" s="2" t="s">
        <v>17</v>
      </c>
      <c r="P305" s="2">
        <v>48.741109530583209</v>
      </c>
    </row>
    <row r="306" spans="1:16" ht="14.25" customHeight="1">
      <c r="A306" s="2" t="s">
        <v>15</v>
      </c>
      <c r="B306" s="2">
        <v>1965</v>
      </c>
      <c r="C306" s="2" t="s">
        <v>19</v>
      </c>
      <c r="D306" s="3">
        <v>99.674862832757569</v>
      </c>
      <c r="E306" s="3" t="e">
        <v>#N/A</v>
      </c>
      <c r="F306" s="3">
        <v>6.1471245681771993</v>
      </c>
      <c r="G306" s="3"/>
      <c r="I306" s="3"/>
      <c r="J306" s="3"/>
      <c r="K306" s="3"/>
      <c r="N306" s="4" t="s">
        <v>99</v>
      </c>
      <c r="O306" s="2" t="s">
        <v>17</v>
      </c>
      <c r="P306" s="2">
        <v>48.840682788051211</v>
      </c>
    </row>
    <row r="307" spans="1:16" ht="14.25" customHeight="1">
      <c r="A307" s="2" t="s">
        <v>15</v>
      </c>
      <c r="B307" s="2">
        <v>1966</v>
      </c>
      <c r="C307" s="2" t="s">
        <v>19</v>
      </c>
      <c r="D307" s="3">
        <v>115.37289168868115</v>
      </c>
      <c r="E307" s="3" t="e">
        <v>#N/A</v>
      </c>
      <c r="F307" s="3">
        <v>7.9760211339158706</v>
      </c>
      <c r="G307" s="3"/>
      <c r="I307" s="3"/>
      <c r="J307" s="3"/>
      <c r="K307" s="3"/>
      <c r="N307" s="4" t="s">
        <v>99</v>
      </c>
      <c r="O307" s="2" t="s">
        <v>17</v>
      </c>
      <c r="P307" s="2">
        <v>56.532716927453762</v>
      </c>
    </row>
    <row r="308" spans="1:16" ht="14.25" customHeight="1">
      <c r="A308" s="2" t="s">
        <v>15</v>
      </c>
      <c r="B308" s="2">
        <v>1967</v>
      </c>
      <c r="C308" s="2" t="s">
        <v>19</v>
      </c>
      <c r="D308" s="3">
        <v>102.1133915870758</v>
      </c>
      <c r="E308" s="3" t="e">
        <v>#N/A</v>
      </c>
      <c r="F308" s="3">
        <v>13.513513513513512</v>
      </c>
      <c r="G308" s="3"/>
      <c r="I308" s="3"/>
      <c r="J308" s="3"/>
      <c r="K308" s="3"/>
      <c r="N308" s="4" t="s">
        <v>99</v>
      </c>
      <c r="O308" s="2" t="s">
        <v>17</v>
      </c>
      <c r="P308" s="2">
        <v>50.035561877667142</v>
      </c>
    </row>
    <row r="309" spans="1:16" ht="14.25" customHeight="1">
      <c r="A309" s="2" t="s">
        <v>15</v>
      </c>
      <c r="B309" s="2">
        <v>1968</v>
      </c>
      <c r="C309" s="2" t="s">
        <v>19</v>
      </c>
      <c r="D309" s="3">
        <v>94.543791912212953</v>
      </c>
      <c r="E309" s="3" t="e">
        <v>#N/A</v>
      </c>
      <c r="F309" s="3">
        <v>22.861207071733386</v>
      </c>
      <c r="G309" s="3"/>
      <c r="I309" s="3"/>
      <c r="J309" s="3"/>
      <c r="K309" s="3"/>
      <c r="N309" s="4" t="s">
        <v>99</v>
      </c>
      <c r="O309" s="2" t="s">
        <v>17</v>
      </c>
      <c r="P309" s="2">
        <v>46.326458036984349</v>
      </c>
    </row>
    <row r="310" spans="1:16" ht="14.25" customHeight="1">
      <c r="A310" s="2" t="s">
        <v>15</v>
      </c>
      <c r="B310" s="2">
        <v>1969</v>
      </c>
      <c r="C310" s="2" t="s">
        <v>19</v>
      </c>
      <c r="D310" s="3">
        <v>123.70453159926844</v>
      </c>
      <c r="E310" s="3" t="e">
        <v>#N/A</v>
      </c>
      <c r="F310" s="3">
        <v>15.850436903068481</v>
      </c>
      <c r="G310" s="3"/>
      <c r="I310" s="3"/>
      <c r="J310" s="3"/>
      <c r="K310" s="3"/>
      <c r="N310" s="4" t="s">
        <v>99</v>
      </c>
      <c r="O310" s="2" t="s">
        <v>17</v>
      </c>
      <c r="P310" s="2">
        <v>60.615220483641529</v>
      </c>
    </row>
    <row r="311" spans="1:16" ht="14.25" customHeight="1">
      <c r="A311" s="2" t="s">
        <v>15</v>
      </c>
      <c r="B311" s="2">
        <v>1970</v>
      </c>
      <c r="C311" s="2" t="s">
        <v>19</v>
      </c>
      <c r="D311" s="3">
        <v>145.60048770575085</v>
      </c>
      <c r="E311" s="3" t="e">
        <v>#N/A</v>
      </c>
      <c r="F311" s="3">
        <v>10.719365982523877</v>
      </c>
      <c r="G311" s="3"/>
      <c r="I311" s="3"/>
      <c r="J311" s="3"/>
      <c r="K311" s="3"/>
      <c r="N311" s="4" t="s">
        <v>99</v>
      </c>
      <c r="O311" s="2" t="s">
        <v>17</v>
      </c>
      <c r="P311" s="2">
        <v>71.344238975817916</v>
      </c>
    </row>
    <row r="312" spans="1:16" ht="14.25" customHeight="1">
      <c r="A312" s="2" t="s">
        <v>15</v>
      </c>
      <c r="B312" s="2">
        <v>1971</v>
      </c>
      <c r="C312" s="2" t="s">
        <v>19</v>
      </c>
      <c r="D312" s="3">
        <v>146.46413330623855</v>
      </c>
      <c r="E312" s="3" t="e">
        <v>#N/A</v>
      </c>
      <c r="F312" s="3">
        <v>8.1284291810607598</v>
      </c>
      <c r="G312" s="3"/>
      <c r="I312" s="3"/>
      <c r="J312" s="3"/>
      <c r="K312" s="3"/>
      <c r="N312" s="4" t="s">
        <v>99</v>
      </c>
      <c r="O312" s="2" t="s">
        <v>17</v>
      </c>
      <c r="P312" s="2">
        <v>71.767425320056887</v>
      </c>
    </row>
    <row r="313" spans="1:16" ht="14.25" customHeight="1">
      <c r="A313" s="2" t="s">
        <v>15</v>
      </c>
      <c r="B313" s="2">
        <v>1972</v>
      </c>
      <c r="C313" s="2" t="s">
        <v>19</v>
      </c>
      <c r="D313" s="3">
        <v>149.71550497866286</v>
      </c>
      <c r="E313" s="3" t="e">
        <v>#N/A</v>
      </c>
      <c r="F313" s="3">
        <v>12.751473277789067</v>
      </c>
      <c r="G313" s="3"/>
      <c r="I313" s="3"/>
      <c r="J313" s="3"/>
      <c r="K313" s="3"/>
      <c r="N313" s="4" t="s">
        <v>99</v>
      </c>
      <c r="O313" s="2" t="s">
        <v>17</v>
      </c>
      <c r="P313" s="2">
        <v>73.360597439544804</v>
      </c>
    </row>
    <row r="314" spans="1:16" ht="14.25" customHeight="1">
      <c r="A314" s="2" t="s">
        <v>15</v>
      </c>
      <c r="B314" s="2">
        <v>1973</v>
      </c>
      <c r="C314" s="2" t="s">
        <v>19</v>
      </c>
      <c r="D314" s="3">
        <v>156.82788051209104</v>
      </c>
      <c r="E314" s="3" t="e">
        <v>#N/A</v>
      </c>
      <c r="F314" s="3">
        <v>13.361105466368624</v>
      </c>
      <c r="G314" s="3"/>
      <c r="I314" s="3"/>
      <c r="J314" s="3"/>
      <c r="K314" s="3"/>
      <c r="N314" s="4" t="s">
        <v>99</v>
      </c>
      <c r="O314" s="2" t="s">
        <v>17</v>
      </c>
      <c r="P314" s="2">
        <v>76.845661450924609</v>
      </c>
    </row>
    <row r="315" spans="1:16" ht="14.25" customHeight="1">
      <c r="A315" s="2" t="s">
        <v>15</v>
      </c>
      <c r="B315" s="2">
        <v>1974</v>
      </c>
      <c r="C315" s="2" t="s">
        <v>19</v>
      </c>
      <c r="D315" s="3">
        <v>149.2582808372282</v>
      </c>
      <c r="E315" s="3" t="e">
        <v>#N/A</v>
      </c>
      <c r="F315" s="3">
        <v>11.532208900629954</v>
      </c>
      <c r="G315" s="3"/>
      <c r="I315" s="3"/>
      <c r="J315" s="3"/>
      <c r="K315" s="3"/>
      <c r="N315" s="4" t="s">
        <v>99</v>
      </c>
      <c r="O315" s="2" t="s">
        <v>17</v>
      </c>
      <c r="P315" s="2">
        <v>73.136557610241823</v>
      </c>
    </row>
    <row r="316" spans="1:16" ht="14.25" customHeight="1">
      <c r="A316" s="2" t="s">
        <v>15</v>
      </c>
      <c r="B316" s="2">
        <v>1975</v>
      </c>
      <c r="C316" s="2" t="s">
        <v>19</v>
      </c>
      <c r="D316" s="3">
        <v>112.837</v>
      </c>
      <c r="E316" s="3" t="e">
        <v>#N/A</v>
      </c>
      <c r="F316" s="3">
        <v>4.0170000000000003</v>
      </c>
      <c r="G316" s="3"/>
      <c r="I316" s="3"/>
      <c r="J316" s="3"/>
      <c r="K316" s="3"/>
      <c r="N316" s="4" t="s">
        <v>99</v>
      </c>
      <c r="O316" s="2" t="s">
        <v>17</v>
      </c>
      <c r="P316" s="2">
        <v>55.290129999999998</v>
      </c>
    </row>
    <row r="317" spans="1:16" ht="14.25" customHeight="1">
      <c r="A317" s="2" t="s">
        <v>15</v>
      </c>
      <c r="B317" s="2">
        <v>1976</v>
      </c>
      <c r="C317" s="2" t="s">
        <v>19</v>
      </c>
      <c r="D317" s="3">
        <v>91.012</v>
      </c>
      <c r="E317" s="3" t="e">
        <v>#N/A</v>
      </c>
      <c r="F317" s="3">
        <v>2.1640000000000001</v>
      </c>
      <c r="G317" s="3"/>
      <c r="I317" s="3"/>
      <c r="J317" s="3"/>
      <c r="K317" s="3"/>
      <c r="N317" s="4" t="s">
        <v>101</v>
      </c>
      <c r="O317" s="2" t="s">
        <v>17</v>
      </c>
      <c r="P317" s="2">
        <v>44.595880000000001</v>
      </c>
    </row>
    <row r="318" spans="1:16" ht="14.25" customHeight="1">
      <c r="A318" s="2" t="s">
        <v>15</v>
      </c>
      <c r="B318" s="2">
        <v>1977</v>
      </c>
      <c r="C318" s="2" t="s">
        <v>19</v>
      </c>
      <c r="D318" s="3">
        <v>43.048999999999999</v>
      </c>
      <c r="E318" s="3" t="e">
        <v>#N/A</v>
      </c>
      <c r="F318" s="3">
        <v>4.5510000000000002</v>
      </c>
      <c r="G318" s="3"/>
      <c r="I318" s="3"/>
      <c r="J318" s="3"/>
      <c r="K318" s="3"/>
      <c r="N318" s="4" t="s">
        <v>101</v>
      </c>
      <c r="O318" s="2" t="s">
        <v>17</v>
      </c>
      <c r="P318" s="2">
        <v>21.094010000000001</v>
      </c>
    </row>
    <row r="319" spans="1:16" ht="14.25" customHeight="1">
      <c r="A319" s="2" t="s">
        <v>15</v>
      </c>
      <c r="B319" s="2">
        <v>1978</v>
      </c>
      <c r="C319" s="2" t="s">
        <v>19</v>
      </c>
      <c r="D319" s="3">
        <v>15.968999999999999</v>
      </c>
      <c r="E319" s="3" t="e">
        <v>#N/A</v>
      </c>
      <c r="F319" s="3">
        <v>11.499000000000001</v>
      </c>
      <c r="G319" s="3"/>
      <c r="I319" s="3"/>
      <c r="J319" s="3"/>
      <c r="K319" s="3"/>
      <c r="N319" s="4" t="s">
        <v>101</v>
      </c>
      <c r="O319" s="2" t="s">
        <v>17</v>
      </c>
      <c r="P319" s="2">
        <v>7.8248099999999994</v>
      </c>
    </row>
    <row r="320" spans="1:16" ht="14.25" customHeight="1">
      <c r="A320" s="2" t="s">
        <v>15</v>
      </c>
      <c r="B320" s="2">
        <v>1979</v>
      </c>
      <c r="C320" s="2" t="s">
        <v>19</v>
      </c>
      <c r="D320" s="3">
        <v>4.5869999999999997</v>
      </c>
      <c r="E320" s="3" t="e">
        <v>#N/A</v>
      </c>
      <c r="F320" s="3">
        <v>13.754</v>
      </c>
      <c r="G320" s="3"/>
      <c r="I320" s="3"/>
      <c r="J320" s="3"/>
      <c r="K320" s="3"/>
      <c r="N320" s="4" t="s">
        <v>101</v>
      </c>
      <c r="O320" s="2" t="s">
        <v>17</v>
      </c>
      <c r="P320" s="2">
        <v>2.24763</v>
      </c>
    </row>
    <row r="321" spans="1:16" ht="14.25" customHeight="1">
      <c r="A321" s="2" t="s">
        <v>15</v>
      </c>
      <c r="B321" s="2">
        <v>1980</v>
      </c>
      <c r="C321" s="2" t="s">
        <v>19</v>
      </c>
      <c r="D321" s="3">
        <v>5.5659999999999998</v>
      </c>
      <c r="E321" s="3" t="e">
        <v>#N/A</v>
      </c>
      <c r="F321" s="3">
        <v>17.692</v>
      </c>
      <c r="G321" s="3"/>
      <c r="I321" s="3"/>
      <c r="J321" s="3"/>
      <c r="K321" s="3"/>
      <c r="N321" s="4" t="s">
        <v>101</v>
      </c>
      <c r="O321" s="2" t="s">
        <v>17</v>
      </c>
      <c r="P321" s="2">
        <v>2.7273399999999999</v>
      </c>
    </row>
    <row r="322" spans="1:16" ht="14.25" customHeight="1">
      <c r="A322" s="2" t="s">
        <v>15</v>
      </c>
      <c r="B322" s="2">
        <v>1981</v>
      </c>
      <c r="C322" s="2" t="s">
        <v>19</v>
      </c>
      <c r="D322" s="3">
        <v>36.314999999999998</v>
      </c>
      <c r="E322" s="3" t="e">
        <v>#N/A</v>
      </c>
      <c r="F322" s="3">
        <v>18.684999999999999</v>
      </c>
      <c r="G322" s="3"/>
      <c r="I322" s="3"/>
      <c r="J322" s="3"/>
      <c r="K322" s="3"/>
      <c r="N322" s="4" t="s">
        <v>101</v>
      </c>
      <c r="O322" s="2" t="s">
        <v>17</v>
      </c>
      <c r="P322" s="2">
        <v>17.794349999999998</v>
      </c>
    </row>
    <row r="323" spans="1:16" ht="14.25" customHeight="1">
      <c r="A323" s="2" t="s">
        <v>15</v>
      </c>
      <c r="B323" s="2">
        <v>1982</v>
      </c>
      <c r="C323" s="2" t="s">
        <v>19</v>
      </c>
      <c r="D323" s="3">
        <v>47.941000000000003</v>
      </c>
      <c r="E323" s="3" t="e">
        <v>#N/A</v>
      </c>
      <c r="F323" s="3">
        <v>12.196999999999999</v>
      </c>
      <c r="G323" s="3"/>
      <c r="I323" s="3"/>
      <c r="J323" s="3"/>
      <c r="K323" s="3"/>
      <c r="N323" s="4" t="s">
        <v>101</v>
      </c>
      <c r="O323" s="2" t="s">
        <v>17</v>
      </c>
      <c r="P323" s="2">
        <v>23.49109</v>
      </c>
    </row>
    <row r="324" spans="1:16" ht="14.25" customHeight="1">
      <c r="A324" s="2" t="s">
        <v>15</v>
      </c>
      <c r="B324" s="2">
        <v>1983</v>
      </c>
      <c r="C324" s="2" t="s">
        <v>19</v>
      </c>
      <c r="D324" s="3">
        <v>54.192</v>
      </c>
      <c r="E324" s="3" t="e">
        <v>#N/A</v>
      </c>
      <c r="F324" s="3">
        <v>13.349</v>
      </c>
      <c r="G324" s="3"/>
      <c r="I324" s="3"/>
      <c r="J324" s="3"/>
      <c r="K324" s="3"/>
      <c r="N324" s="4" t="s">
        <v>101</v>
      </c>
      <c r="O324" s="2" t="s">
        <v>17</v>
      </c>
      <c r="P324" s="2">
        <v>26.554079999999999</v>
      </c>
    </row>
    <row r="325" spans="1:16" ht="14.25" customHeight="1">
      <c r="A325" s="2" t="s">
        <v>15</v>
      </c>
      <c r="B325" s="2">
        <v>1984</v>
      </c>
      <c r="C325" s="2" t="s">
        <v>19</v>
      </c>
      <c r="D325" s="3">
        <v>71.478999999999999</v>
      </c>
      <c r="E325" s="3" t="e">
        <v>#N/A</v>
      </c>
      <c r="F325" s="3">
        <v>11.14</v>
      </c>
      <c r="G325" s="3"/>
      <c r="I325" s="3"/>
      <c r="J325" s="3"/>
      <c r="K325" s="3"/>
      <c r="N325" s="4" t="s">
        <v>101</v>
      </c>
      <c r="O325" s="2" t="s">
        <v>17</v>
      </c>
      <c r="P325" s="2">
        <v>35.024709999999999</v>
      </c>
    </row>
    <row r="326" spans="1:16" ht="14.25" customHeight="1">
      <c r="A326" s="2" t="s">
        <v>15</v>
      </c>
      <c r="B326" s="2">
        <v>1985</v>
      </c>
      <c r="C326" s="2" t="s">
        <v>19</v>
      </c>
      <c r="D326" s="3">
        <v>95.424000000000007</v>
      </c>
      <c r="E326" s="3" t="e">
        <v>#N/A</v>
      </c>
      <c r="F326" s="3">
        <v>12.96</v>
      </c>
      <c r="G326" s="3"/>
      <c r="I326" s="3"/>
      <c r="J326" s="3"/>
      <c r="K326" s="3"/>
      <c r="N326" s="4" t="s">
        <v>101</v>
      </c>
      <c r="O326" s="2" t="s">
        <v>17</v>
      </c>
      <c r="P326" s="2">
        <v>46.757760000000005</v>
      </c>
    </row>
    <row r="327" spans="1:16" ht="14.25" customHeight="1">
      <c r="A327" s="2" t="s">
        <v>15</v>
      </c>
      <c r="B327" s="2">
        <v>1986</v>
      </c>
      <c r="C327" s="2" t="s">
        <v>19</v>
      </c>
      <c r="D327" s="3">
        <v>106.119</v>
      </c>
      <c r="E327" s="3" t="e">
        <v>#N/A</v>
      </c>
      <c r="F327" s="3">
        <v>13.98</v>
      </c>
      <c r="G327" s="3"/>
      <c r="I327" s="3"/>
      <c r="J327" s="3"/>
      <c r="K327" s="3"/>
      <c r="N327" s="4" t="s">
        <v>101</v>
      </c>
      <c r="O327" s="2" t="s">
        <v>17</v>
      </c>
      <c r="P327" s="2">
        <v>51.998309999999996</v>
      </c>
    </row>
    <row r="328" spans="1:16" ht="14.25" customHeight="1">
      <c r="A328" s="2" t="s">
        <v>15</v>
      </c>
      <c r="B328" s="2">
        <v>1987</v>
      </c>
      <c r="C328" s="2" t="s">
        <v>19</v>
      </c>
      <c r="D328" s="3">
        <v>100.348</v>
      </c>
      <c r="E328" s="3" t="e">
        <v>#N/A</v>
      </c>
      <c r="F328" s="3">
        <v>10.531000000000001</v>
      </c>
      <c r="G328" s="3"/>
      <c r="I328" s="3"/>
      <c r="J328" s="3"/>
      <c r="K328" s="3"/>
      <c r="N328" s="4" t="s">
        <v>101</v>
      </c>
      <c r="O328" s="2" t="s">
        <v>17</v>
      </c>
      <c r="P328" s="2">
        <v>49.170519999999996</v>
      </c>
    </row>
    <row r="329" spans="1:16" ht="14.25" customHeight="1">
      <c r="A329" s="2" t="s">
        <v>15</v>
      </c>
      <c r="B329" s="2">
        <v>1988</v>
      </c>
      <c r="C329" s="2" t="s">
        <v>19</v>
      </c>
      <c r="D329" s="3">
        <v>93.21</v>
      </c>
      <c r="E329" s="3" t="e">
        <v>#N/A</v>
      </c>
      <c r="F329" s="3">
        <v>9.0470000000000006</v>
      </c>
      <c r="G329" s="3"/>
      <c r="H329" s="2">
        <v>12.6</v>
      </c>
      <c r="I329" s="3"/>
      <c r="J329" s="3"/>
      <c r="K329" s="3"/>
      <c r="N329" s="4" t="s">
        <v>101</v>
      </c>
      <c r="O329" s="2" t="s">
        <v>17</v>
      </c>
      <c r="P329" s="2">
        <v>45.672899999999998</v>
      </c>
    </row>
    <row r="330" spans="1:16" ht="14.25" customHeight="1">
      <c r="A330" s="2" t="s">
        <v>15</v>
      </c>
      <c r="B330" s="2">
        <v>1989</v>
      </c>
      <c r="C330" s="2" t="s">
        <v>19</v>
      </c>
      <c r="D330" s="3">
        <v>99.340999999999994</v>
      </c>
      <c r="E330" s="3" t="e">
        <v>#N/A</v>
      </c>
      <c r="F330" s="3">
        <v>13.214</v>
      </c>
      <c r="G330" s="3"/>
      <c r="H330" s="2">
        <v>21.8</v>
      </c>
      <c r="I330" s="3"/>
      <c r="J330" s="3"/>
      <c r="K330" s="3"/>
      <c r="N330" s="4" t="s">
        <v>101</v>
      </c>
      <c r="O330" s="2" t="s">
        <v>17</v>
      </c>
      <c r="P330" s="2">
        <v>48.677089999999993</v>
      </c>
    </row>
    <row r="331" spans="1:16" ht="14.25" customHeight="1">
      <c r="A331" s="2" t="s">
        <v>15</v>
      </c>
      <c r="B331" s="2">
        <v>1990</v>
      </c>
      <c r="C331" s="2" t="s">
        <v>19</v>
      </c>
      <c r="D331" s="3">
        <v>98.757999999999996</v>
      </c>
      <c r="E331" s="3" t="e">
        <v>#N/A</v>
      </c>
      <c r="F331" s="3">
        <v>11.86</v>
      </c>
      <c r="G331" s="3"/>
      <c r="H331" s="2">
        <v>11.7</v>
      </c>
      <c r="I331" s="3"/>
      <c r="J331" s="3"/>
      <c r="K331" s="3"/>
      <c r="N331" s="4" t="s">
        <v>101</v>
      </c>
      <c r="O331" s="2" t="s">
        <v>17</v>
      </c>
      <c r="P331" s="2">
        <v>48.391419999999997</v>
      </c>
    </row>
    <row r="332" spans="1:16" ht="14.25" customHeight="1">
      <c r="A332" s="2" t="s">
        <v>15</v>
      </c>
      <c r="B332" s="2">
        <v>1991</v>
      </c>
      <c r="C332" s="2" t="s">
        <v>19</v>
      </c>
      <c r="D332" s="3">
        <v>94</v>
      </c>
      <c r="E332" s="4">
        <v>77.191999999999993</v>
      </c>
      <c r="F332" s="4">
        <v>11.914</v>
      </c>
      <c r="G332" s="4"/>
      <c r="H332" s="2">
        <v>16.600000000000001</v>
      </c>
      <c r="I332" s="3"/>
      <c r="J332" s="3"/>
      <c r="K332" s="3"/>
      <c r="N332" s="4" t="s">
        <v>101</v>
      </c>
      <c r="O332" s="2" t="s">
        <v>17</v>
      </c>
      <c r="P332" s="2">
        <v>46.06</v>
      </c>
    </row>
    <row r="333" spans="1:16" ht="14.25" customHeight="1">
      <c r="A333" s="2" t="s">
        <v>15</v>
      </c>
      <c r="B333" s="2">
        <v>1992</v>
      </c>
      <c r="C333" s="2" t="s">
        <v>19</v>
      </c>
      <c r="D333" s="3">
        <v>88.8</v>
      </c>
      <c r="E333" s="4">
        <v>79.227000000000004</v>
      </c>
      <c r="F333" s="4">
        <v>11.632</v>
      </c>
      <c r="G333" s="4"/>
      <c r="H333" s="2">
        <v>17.399999999999999</v>
      </c>
      <c r="I333" s="3"/>
      <c r="J333" s="3"/>
      <c r="K333" s="3"/>
      <c r="N333" s="4" t="s">
        <v>101</v>
      </c>
      <c r="O333" s="2" t="s">
        <v>17</v>
      </c>
      <c r="P333" s="2">
        <v>43.512</v>
      </c>
    </row>
    <row r="334" spans="1:16" ht="14.25" customHeight="1">
      <c r="A334" s="2" t="s">
        <v>15</v>
      </c>
      <c r="B334" s="2">
        <v>1993</v>
      </c>
      <c r="C334" s="2" t="s">
        <v>19</v>
      </c>
      <c r="D334" s="3">
        <v>87.2</v>
      </c>
      <c r="E334" s="4">
        <v>91.221000000000004</v>
      </c>
      <c r="F334" s="4">
        <v>10.597</v>
      </c>
      <c r="G334" s="4"/>
      <c r="H334" s="2">
        <v>19.2</v>
      </c>
      <c r="I334" s="3"/>
      <c r="J334" s="3"/>
      <c r="K334" s="3"/>
      <c r="N334" s="4" t="s">
        <v>101</v>
      </c>
      <c r="O334" s="2" t="s">
        <v>17</v>
      </c>
      <c r="P334" s="2">
        <v>42.728000000000002</v>
      </c>
    </row>
    <row r="335" spans="1:16" ht="14.25" customHeight="1">
      <c r="A335" s="2" t="s">
        <v>15</v>
      </c>
      <c r="B335" s="2">
        <v>1994</v>
      </c>
      <c r="C335" s="2" t="s">
        <v>19</v>
      </c>
      <c r="D335" s="3">
        <v>86.069000000000003</v>
      </c>
      <c r="E335" s="4">
        <v>47.08</v>
      </c>
      <c r="F335" s="4">
        <v>8.7279999999999998</v>
      </c>
      <c r="G335" s="4"/>
      <c r="H335" s="2">
        <v>17.899999999999999</v>
      </c>
      <c r="I335" s="3"/>
      <c r="J335" s="3"/>
      <c r="K335" s="3"/>
      <c r="N335" s="4" t="s">
        <v>101</v>
      </c>
      <c r="O335" s="2" t="s">
        <v>17</v>
      </c>
      <c r="P335" s="2">
        <v>42.173810000000003</v>
      </c>
    </row>
    <row r="336" spans="1:16" ht="14.25" customHeight="1">
      <c r="A336" s="2" t="s">
        <v>15</v>
      </c>
      <c r="B336" s="2">
        <v>1995</v>
      </c>
      <c r="C336" s="2" t="s">
        <v>19</v>
      </c>
      <c r="D336" s="3">
        <v>95.876999999999995</v>
      </c>
      <c r="E336" s="4">
        <v>35.774999999999999</v>
      </c>
      <c r="F336" s="4">
        <v>8.26</v>
      </c>
      <c r="G336" s="4"/>
      <c r="H336" s="2">
        <v>20</v>
      </c>
      <c r="I336" s="3"/>
      <c r="J336" s="3"/>
      <c r="K336" s="3"/>
      <c r="N336" s="4" t="s">
        <v>101</v>
      </c>
      <c r="O336" s="2" t="s">
        <v>17</v>
      </c>
      <c r="P336" s="2">
        <v>46.979729999999996</v>
      </c>
    </row>
    <row r="337" spans="1:16" ht="14.25" customHeight="1">
      <c r="A337" s="2" t="s">
        <v>15</v>
      </c>
      <c r="B337" s="2">
        <v>1996</v>
      </c>
      <c r="C337" s="2" t="s">
        <v>19</v>
      </c>
      <c r="D337" s="3">
        <v>72.325000000000003</v>
      </c>
      <c r="E337" s="4">
        <v>34.569000000000003</v>
      </c>
      <c r="F337" s="4">
        <v>9.89</v>
      </c>
      <c r="G337" s="4"/>
      <c r="H337" s="2">
        <v>50.5</v>
      </c>
      <c r="I337" s="3"/>
      <c r="J337" s="3"/>
      <c r="K337" s="3"/>
      <c r="N337" s="4" t="s">
        <v>101</v>
      </c>
      <c r="O337" s="2" t="s">
        <v>17</v>
      </c>
      <c r="P337" s="2">
        <v>35.439250000000001</v>
      </c>
    </row>
    <row r="338" spans="1:16" ht="14.25" customHeight="1">
      <c r="A338" s="2" t="s">
        <v>15</v>
      </c>
      <c r="B338" s="2">
        <v>1997</v>
      </c>
      <c r="C338" s="2" t="s">
        <v>19</v>
      </c>
      <c r="D338" s="3">
        <v>57.406999999999996</v>
      </c>
      <c r="E338" s="4">
        <v>35.793999999999997</v>
      </c>
      <c r="F338" s="4">
        <v>6.2220000000000004</v>
      </c>
      <c r="G338" s="4"/>
      <c r="H338" s="2">
        <v>46</v>
      </c>
      <c r="I338" s="3"/>
      <c r="J338" s="3"/>
      <c r="K338" s="3"/>
      <c r="N338" s="4" t="s">
        <v>101</v>
      </c>
      <c r="O338" s="2" t="s">
        <v>17</v>
      </c>
      <c r="P338" s="2">
        <v>28.129429999999999</v>
      </c>
    </row>
    <row r="339" spans="1:16" ht="14.25" customHeight="1">
      <c r="A339" s="2" t="s">
        <v>15</v>
      </c>
      <c r="B339" s="2">
        <v>1998</v>
      </c>
      <c r="C339" s="2" t="s">
        <v>19</v>
      </c>
      <c r="D339" s="3">
        <v>39.529000000000003</v>
      </c>
      <c r="E339" s="4">
        <v>26.035</v>
      </c>
      <c r="F339" s="4">
        <v>7.319</v>
      </c>
      <c r="G339" s="4"/>
      <c r="H339" s="2">
        <v>65.099999999999994</v>
      </c>
      <c r="I339" s="3"/>
      <c r="J339" s="3"/>
      <c r="K339" s="3"/>
      <c r="N339" s="4" t="s">
        <v>101</v>
      </c>
      <c r="O339" s="2" t="s">
        <v>17</v>
      </c>
      <c r="P339" s="2">
        <v>19.369210000000002</v>
      </c>
    </row>
    <row r="340" spans="1:16" ht="14.25" customHeight="1">
      <c r="A340" s="2" t="s">
        <v>15</v>
      </c>
      <c r="B340" s="2">
        <v>1999</v>
      </c>
      <c r="C340" s="2" t="s">
        <v>19</v>
      </c>
      <c r="D340" s="3">
        <v>45.314</v>
      </c>
      <c r="E340" s="4">
        <v>35.499000000000002</v>
      </c>
      <c r="F340" s="4">
        <v>8.2889999999999997</v>
      </c>
      <c r="G340" s="4"/>
      <c r="H340" s="2">
        <v>59.4</v>
      </c>
      <c r="I340" s="3"/>
      <c r="J340" s="3"/>
      <c r="K340" s="3"/>
      <c r="N340" s="4" t="s">
        <v>101</v>
      </c>
      <c r="O340" s="2" t="s">
        <v>17</v>
      </c>
      <c r="P340" s="2">
        <v>22.203859999999999</v>
      </c>
    </row>
    <row r="341" spans="1:16" ht="14.25" customHeight="1">
      <c r="A341" s="2" t="s">
        <v>15</v>
      </c>
      <c r="B341" s="2">
        <v>2000</v>
      </c>
      <c r="C341" s="2" t="s">
        <v>19</v>
      </c>
      <c r="D341" s="3">
        <v>39.469000000000001</v>
      </c>
      <c r="E341" s="4">
        <v>50.719000000000001</v>
      </c>
      <c r="F341" s="4">
        <v>6.6689999999999996</v>
      </c>
      <c r="G341" s="4"/>
      <c r="H341" s="2">
        <v>43.3</v>
      </c>
      <c r="I341" s="3"/>
      <c r="J341" s="3"/>
      <c r="K341" s="3"/>
      <c r="N341" s="4" t="s">
        <v>101</v>
      </c>
      <c r="O341" s="2" t="s">
        <v>17</v>
      </c>
      <c r="P341" s="2">
        <v>19.33981</v>
      </c>
    </row>
    <row r="342" spans="1:16" ht="14.25" customHeight="1">
      <c r="A342" s="2" t="s">
        <v>15</v>
      </c>
      <c r="B342" s="2">
        <v>2001</v>
      </c>
      <c r="C342" s="2" t="s">
        <v>19</v>
      </c>
      <c r="D342" s="3">
        <v>43.808</v>
      </c>
      <c r="E342" s="3">
        <v>32.497999999999998</v>
      </c>
      <c r="F342" s="3">
        <v>6.2949999999999999</v>
      </c>
      <c r="G342" s="3"/>
      <c r="H342" s="2">
        <v>37.6</v>
      </c>
      <c r="I342" s="3"/>
      <c r="J342" s="3"/>
      <c r="K342" s="3"/>
      <c r="N342" s="4" t="s">
        <v>101</v>
      </c>
      <c r="O342" s="2" t="s">
        <v>17</v>
      </c>
      <c r="P342" s="2">
        <v>21.465920000000001</v>
      </c>
    </row>
    <row r="343" spans="1:16" ht="14.25" customHeight="1">
      <c r="A343" s="2" t="s">
        <v>15</v>
      </c>
      <c r="B343" s="2">
        <v>2002</v>
      </c>
      <c r="C343" s="2" t="s">
        <v>19</v>
      </c>
      <c r="D343" s="3">
        <v>42.466000000000001</v>
      </c>
      <c r="E343" s="3">
        <v>41.518999999999998</v>
      </c>
      <c r="F343" s="3">
        <v>5.63</v>
      </c>
      <c r="G343" s="3"/>
      <c r="H343" s="2">
        <v>30.4</v>
      </c>
      <c r="I343" s="3"/>
      <c r="J343" s="3"/>
      <c r="K343" s="3"/>
      <c r="N343" s="4" t="s">
        <v>101</v>
      </c>
      <c r="O343" s="2" t="s">
        <v>17</v>
      </c>
      <c r="P343" s="2">
        <v>20.808340000000001</v>
      </c>
    </row>
    <row r="344" spans="1:16" ht="14.25" customHeight="1">
      <c r="A344" s="2" t="s">
        <v>15</v>
      </c>
      <c r="B344" s="2">
        <v>2003</v>
      </c>
      <c r="C344" s="2" t="s">
        <v>19</v>
      </c>
      <c r="D344" s="3">
        <v>55.417000000000002</v>
      </c>
      <c r="E344" s="2">
        <v>42.7</v>
      </c>
      <c r="F344" s="2">
        <v>4.4000000000000004</v>
      </c>
      <c r="H344" s="2">
        <v>35.1</v>
      </c>
      <c r="I344" s="3"/>
      <c r="J344" s="3"/>
      <c r="K344" s="3"/>
      <c r="N344" s="4" t="s">
        <v>101</v>
      </c>
      <c r="O344" s="2" t="s">
        <v>17</v>
      </c>
      <c r="P344" s="2">
        <v>27.154330000000002</v>
      </c>
    </row>
    <row r="345" spans="1:16" ht="14.25" customHeight="1">
      <c r="A345" s="2" t="s">
        <v>15</v>
      </c>
      <c r="B345" s="2">
        <v>2004</v>
      </c>
      <c r="C345" s="2" t="s">
        <v>19</v>
      </c>
      <c r="D345" s="3">
        <v>56.23</v>
      </c>
      <c r="E345" s="2">
        <v>55.1</v>
      </c>
      <c r="F345" s="2">
        <v>6</v>
      </c>
      <c r="H345" s="2">
        <v>40.1</v>
      </c>
      <c r="I345" s="3"/>
      <c r="J345" s="3"/>
      <c r="K345" s="3"/>
      <c r="N345" s="4" t="s">
        <v>101</v>
      </c>
      <c r="O345" s="2" t="s">
        <v>17</v>
      </c>
      <c r="P345" s="2">
        <v>27.552699999999998</v>
      </c>
    </row>
    <row r="346" spans="1:16" ht="14.25" customHeight="1">
      <c r="A346" s="2" t="s">
        <v>15</v>
      </c>
      <c r="B346" s="2">
        <v>2005</v>
      </c>
      <c r="C346" s="2" t="s">
        <v>19</v>
      </c>
      <c r="D346" s="3">
        <v>76.423000000000002</v>
      </c>
      <c r="E346" s="2">
        <v>69.099999999999994</v>
      </c>
      <c r="F346" s="2">
        <v>15.6</v>
      </c>
      <c r="H346" s="2">
        <v>49.4</v>
      </c>
      <c r="I346" s="3"/>
      <c r="J346" s="3"/>
      <c r="K346" s="3"/>
      <c r="N346" s="4" t="s">
        <v>101</v>
      </c>
      <c r="O346" s="2" t="s">
        <v>17</v>
      </c>
      <c r="P346" s="2">
        <v>37.447270000000003</v>
      </c>
    </row>
    <row r="347" spans="1:16" ht="14.25" customHeight="1">
      <c r="A347" s="2" t="s">
        <v>15</v>
      </c>
      <c r="B347" s="2">
        <v>2006</v>
      </c>
      <c r="C347" s="2" t="s">
        <v>19</v>
      </c>
      <c r="D347" s="3">
        <v>62.12</v>
      </c>
      <c r="E347" s="2">
        <v>57.6</v>
      </c>
      <c r="F347" s="2">
        <v>19</v>
      </c>
      <c r="H347" s="2">
        <v>47.5</v>
      </c>
      <c r="I347" s="3"/>
      <c r="J347" s="3"/>
      <c r="K347" s="3"/>
      <c r="N347" s="4" t="s">
        <v>101</v>
      </c>
      <c r="O347" s="2" t="s">
        <v>17</v>
      </c>
      <c r="P347" s="2">
        <v>30.438799999999997</v>
      </c>
    </row>
    <row r="348" spans="1:16" ht="14.25" customHeight="1">
      <c r="A348" s="2" t="s">
        <v>15</v>
      </c>
      <c r="B348" s="2">
        <v>2007</v>
      </c>
      <c r="C348" s="2" t="s">
        <v>19</v>
      </c>
      <c r="D348" s="3">
        <v>50.75</v>
      </c>
      <c r="E348" s="2">
        <v>66.7</v>
      </c>
      <c r="F348" s="2">
        <v>8.6</v>
      </c>
      <c r="H348" s="2">
        <v>40.299999999999997</v>
      </c>
      <c r="I348" s="3"/>
      <c r="J348" s="3"/>
      <c r="K348" s="3"/>
      <c r="N348" s="4" t="s">
        <v>101</v>
      </c>
      <c r="O348" s="2" t="s">
        <v>17</v>
      </c>
      <c r="P348" s="2">
        <v>24.8675</v>
      </c>
    </row>
    <row r="349" spans="1:16" ht="14.25" customHeight="1">
      <c r="A349" s="2" t="s">
        <v>15</v>
      </c>
      <c r="B349" s="2">
        <v>2008</v>
      </c>
      <c r="C349" s="2" t="s">
        <v>19</v>
      </c>
      <c r="D349" s="3">
        <v>38.226999999999997</v>
      </c>
      <c r="E349" s="2">
        <v>37.1</v>
      </c>
      <c r="F349" s="2">
        <v>11.1</v>
      </c>
      <c r="H349" s="2">
        <v>28.9</v>
      </c>
      <c r="I349" s="3"/>
      <c r="J349" s="3"/>
      <c r="K349" s="3"/>
      <c r="N349" s="4" t="s">
        <v>101</v>
      </c>
      <c r="O349" s="2" t="s">
        <v>17</v>
      </c>
      <c r="P349" s="2">
        <v>18.731229999999996</v>
      </c>
    </row>
    <row r="350" spans="1:16" ht="14.25" customHeight="1">
      <c r="A350" s="2" t="s">
        <v>15</v>
      </c>
      <c r="B350" s="2">
        <v>2009</v>
      </c>
      <c r="C350" s="2" t="s">
        <v>19</v>
      </c>
      <c r="D350" s="3">
        <v>31.611000000000001</v>
      </c>
      <c r="E350" s="2">
        <v>34.299999999999997</v>
      </c>
      <c r="F350" s="2">
        <v>8.5</v>
      </c>
      <c r="H350" s="2">
        <v>35.5</v>
      </c>
      <c r="I350" s="3"/>
      <c r="J350" s="3"/>
      <c r="K350" s="3"/>
      <c r="N350" s="4" t="s">
        <v>101</v>
      </c>
      <c r="O350" s="2" t="s">
        <v>17</v>
      </c>
      <c r="P350" s="2">
        <v>15.48939</v>
      </c>
    </row>
    <row r="351" spans="1:16" ht="14.25" customHeight="1">
      <c r="A351" s="2" t="s">
        <v>15</v>
      </c>
      <c r="B351" s="2">
        <v>2010</v>
      </c>
      <c r="C351" s="2" t="s">
        <v>19</v>
      </c>
      <c r="D351" s="3">
        <v>35.6</v>
      </c>
      <c r="E351" s="2">
        <v>36.799999999999997</v>
      </c>
      <c r="F351" s="2">
        <v>9</v>
      </c>
      <c r="H351" s="2">
        <v>31.3</v>
      </c>
      <c r="I351" s="3"/>
      <c r="J351" s="3"/>
      <c r="K351" s="3"/>
      <c r="N351" s="4" t="s">
        <v>101</v>
      </c>
      <c r="O351" s="2" t="s">
        <v>17</v>
      </c>
      <c r="P351" s="2">
        <v>17.443999999999999</v>
      </c>
    </row>
    <row r="352" spans="1:16" ht="14.25" customHeight="1">
      <c r="A352" s="2" t="s">
        <v>15</v>
      </c>
      <c r="B352" s="2">
        <v>2011</v>
      </c>
      <c r="C352" s="2" t="s">
        <v>19</v>
      </c>
      <c r="D352" s="3">
        <v>31.3</v>
      </c>
      <c r="E352" s="2">
        <v>33</v>
      </c>
      <c r="F352" s="2">
        <v>12.9</v>
      </c>
      <c r="H352" s="2">
        <v>30.3</v>
      </c>
      <c r="I352" s="3"/>
      <c r="J352" s="3"/>
      <c r="K352" s="3"/>
      <c r="N352" s="4" t="s">
        <v>101</v>
      </c>
      <c r="O352" s="2" t="s">
        <v>17</v>
      </c>
      <c r="P352" s="2">
        <v>15.337</v>
      </c>
    </row>
    <row r="353" spans="1:16" ht="14.25" customHeight="1">
      <c r="A353" s="2" t="s">
        <v>15</v>
      </c>
      <c r="B353" s="2">
        <v>2012</v>
      </c>
      <c r="C353" s="2" t="s">
        <v>19</v>
      </c>
      <c r="D353" s="3">
        <v>38.200000000000003</v>
      </c>
      <c r="E353" s="2">
        <v>59.8</v>
      </c>
      <c r="F353" s="2">
        <v>20</v>
      </c>
      <c r="H353" s="2">
        <v>52.2</v>
      </c>
      <c r="I353" s="3"/>
      <c r="J353" s="3"/>
      <c r="K353" s="3"/>
      <c r="N353" s="4" t="s">
        <v>101</v>
      </c>
      <c r="O353" s="2" t="s">
        <v>17</v>
      </c>
      <c r="P353" s="2">
        <v>18.718</v>
      </c>
    </row>
    <row r="354" spans="1:16" ht="14.25" customHeight="1">
      <c r="A354" s="2" t="s">
        <v>15</v>
      </c>
      <c r="B354" s="2">
        <v>2013</v>
      </c>
      <c r="C354" s="2" t="s">
        <v>19</v>
      </c>
      <c r="D354" s="3">
        <v>37.5</v>
      </c>
      <c r="E354" s="2">
        <v>52.9</v>
      </c>
      <c r="F354" s="2">
        <v>12</v>
      </c>
      <c r="H354" s="2">
        <v>56.3</v>
      </c>
      <c r="I354" s="3"/>
      <c r="J354" s="3"/>
      <c r="K354" s="3"/>
      <c r="N354" s="4" t="s">
        <v>101</v>
      </c>
      <c r="O354" s="2" t="s">
        <v>17</v>
      </c>
      <c r="P354" s="2">
        <v>18.375</v>
      </c>
    </row>
    <row r="355" spans="1:16" ht="14.25" customHeight="1">
      <c r="A355" s="2" t="s">
        <v>15</v>
      </c>
      <c r="B355" s="2">
        <v>2014</v>
      </c>
      <c r="C355" s="2" t="s">
        <v>19</v>
      </c>
      <c r="D355" s="3">
        <v>38.299999999999997</v>
      </c>
      <c r="E355" s="2">
        <v>63.5</v>
      </c>
      <c r="F355" s="2">
        <v>11.9</v>
      </c>
      <c r="H355" s="2">
        <v>59.3</v>
      </c>
      <c r="I355" s="3"/>
      <c r="J355" s="3"/>
      <c r="K355" s="3"/>
      <c r="N355" s="4" t="s">
        <v>101</v>
      </c>
      <c r="O355" s="2" t="s">
        <v>17</v>
      </c>
      <c r="P355" s="2">
        <v>18.766999999999999</v>
      </c>
    </row>
    <row r="356" spans="1:16" ht="14.25" customHeight="1">
      <c r="A356" s="2" t="s">
        <v>15</v>
      </c>
      <c r="B356" s="2">
        <v>2015</v>
      </c>
      <c r="C356" s="2" t="s">
        <v>19</v>
      </c>
      <c r="D356" s="3">
        <v>38.6</v>
      </c>
      <c r="E356" s="2">
        <v>64.8</v>
      </c>
      <c r="F356" s="2">
        <v>9.4</v>
      </c>
      <c r="H356" s="2">
        <v>55.2</v>
      </c>
      <c r="I356" s="3"/>
      <c r="J356" s="3"/>
      <c r="K356" s="3"/>
      <c r="N356" s="4" t="s">
        <v>101</v>
      </c>
      <c r="O356" s="2" t="s">
        <v>17</v>
      </c>
      <c r="P356" s="2">
        <v>18.914000000000001</v>
      </c>
    </row>
    <row r="357" spans="1:16" ht="14.25" customHeight="1">
      <c r="A357" s="2" t="s">
        <v>15</v>
      </c>
      <c r="B357" s="2">
        <v>2016</v>
      </c>
      <c r="C357" s="2" t="s">
        <v>19</v>
      </c>
      <c r="D357" s="3">
        <v>40.5</v>
      </c>
      <c r="E357" s="2">
        <v>44.1</v>
      </c>
      <c r="F357" s="2">
        <v>10.199999999999999</v>
      </c>
      <c r="H357" s="2">
        <v>51.8</v>
      </c>
      <c r="I357" s="3"/>
      <c r="J357" s="3"/>
      <c r="K357" s="3"/>
      <c r="N357" s="4" t="s">
        <v>101</v>
      </c>
      <c r="O357" s="2" t="s">
        <v>17</v>
      </c>
      <c r="P357" s="2">
        <v>19.844999999999999</v>
      </c>
    </row>
    <row r="358" spans="1:16" ht="14.25" customHeight="1">
      <c r="A358" s="2" t="s">
        <v>15</v>
      </c>
      <c r="B358" s="2">
        <v>2017</v>
      </c>
      <c r="C358" s="2" t="s">
        <v>19</v>
      </c>
      <c r="D358" s="3">
        <v>44.9</v>
      </c>
      <c r="E358" s="2">
        <v>41.6</v>
      </c>
      <c r="F358" s="2">
        <v>7</v>
      </c>
      <c r="H358" s="2">
        <v>39.1</v>
      </c>
      <c r="I358" s="3"/>
      <c r="J358" s="3"/>
      <c r="K358" s="3"/>
      <c r="N358" s="4" t="s">
        <v>101</v>
      </c>
      <c r="O358" s="2" t="s">
        <v>17</v>
      </c>
      <c r="P358" s="2">
        <v>22.000999999999998</v>
      </c>
    </row>
    <row r="359" spans="1:16" ht="14.25" customHeight="1">
      <c r="A359" s="2" t="s">
        <v>15</v>
      </c>
      <c r="B359" s="2">
        <v>2018</v>
      </c>
      <c r="C359" s="2" t="s">
        <v>19</v>
      </c>
      <c r="D359" s="3">
        <v>48.7</v>
      </c>
      <c r="E359" s="2">
        <v>51.2</v>
      </c>
      <c r="F359" s="2">
        <v>4.5</v>
      </c>
      <c r="H359" s="2">
        <v>54.5</v>
      </c>
      <c r="I359" s="3"/>
      <c r="J359" s="3"/>
      <c r="K359" s="3"/>
      <c r="N359" s="4" t="s">
        <v>101</v>
      </c>
      <c r="O359" s="2" t="s">
        <v>17</v>
      </c>
      <c r="P359" s="2">
        <v>23.863</v>
      </c>
    </row>
    <row r="360" spans="1:16" ht="14.25" customHeight="1">
      <c r="A360" s="2" t="s">
        <v>15</v>
      </c>
      <c r="B360" s="2">
        <v>2019</v>
      </c>
      <c r="C360" s="2" t="s">
        <v>19</v>
      </c>
      <c r="D360" s="3">
        <v>34.799999999999997</v>
      </c>
      <c r="E360" s="2">
        <v>34.792485999999997</v>
      </c>
      <c r="F360" s="2">
        <v>5.6219890000000001</v>
      </c>
      <c r="H360" s="2">
        <v>40.700000000000003</v>
      </c>
      <c r="I360" s="3"/>
      <c r="J360" s="3"/>
      <c r="K360" s="3"/>
      <c r="N360" s="4" t="s">
        <v>101</v>
      </c>
      <c r="O360" s="2" t="s">
        <v>17</v>
      </c>
      <c r="P360" s="2">
        <v>17.052</v>
      </c>
    </row>
    <row r="361" spans="1:16" ht="14.25" customHeight="1">
      <c r="A361" s="2" t="s">
        <v>15</v>
      </c>
      <c r="B361" s="2">
        <v>2020</v>
      </c>
      <c r="C361" s="2" t="s">
        <v>19</v>
      </c>
      <c r="D361" s="3">
        <v>35.687645400000001</v>
      </c>
      <c r="E361" s="2">
        <v>36.794975000000001</v>
      </c>
      <c r="F361" s="2">
        <v>4.4679489999999999</v>
      </c>
      <c r="H361" s="2">
        <v>40.95373</v>
      </c>
      <c r="I361" s="3"/>
      <c r="J361" s="3"/>
      <c r="K361" s="3"/>
      <c r="N361" s="4" t="s">
        <v>101</v>
      </c>
      <c r="O361" s="2" t="s">
        <v>17</v>
      </c>
      <c r="P361" s="2">
        <v>17.486946245999999</v>
      </c>
    </row>
    <row r="362" spans="1:16" ht="14.25" customHeight="1">
      <c r="A362" s="2" t="s">
        <v>15</v>
      </c>
      <c r="B362" s="2">
        <v>1900</v>
      </c>
      <c r="C362" s="2" t="s">
        <v>20</v>
      </c>
      <c r="D362" s="3">
        <v>28.945844340581182</v>
      </c>
      <c r="E362" s="3" t="e">
        <v>#VALUE!</v>
      </c>
      <c r="F362" s="3" t="e">
        <v>#VALUE!</v>
      </c>
      <c r="G362" s="3"/>
      <c r="I362" s="3"/>
      <c r="J362" s="3"/>
      <c r="K362" s="3"/>
      <c r="N362" s="4" t="s">
        <v>99</v>
      </c>
      <c r="O362" s="2" t="s">
        <v>17</v>
      </c>
      <c r="P362" s="2">
        <v>14.18346372688478</v>
      </c>
    </row>
    <row r="363" spans="1:16" ht="14.25" customHeight="1">
      <c r="A363" s="2" t="s">
        <v>15</v>
      </c>
      <c r="B363" s="2">
        <v>1901</v>
      </c>
      <c r="C363" s="2" t="s">
        <v>20</v>
      </c>
      <c r="D363" s="3">
        <v>34.761735419630156</v>
      </c>
      <c r="E363" s="3" t="e">
        <v>#N/A</v>
      </c>
      <c r="F363" s="3" t="e">
        <v>#N/A</v>
      </c>
      <c r="G363" s="3"/>
      <c r="I363" s="3"/>
      <c r="J363" s="3"/>
      <c r="K363" s="3"/>
      <c r="N363" s="4" t="s">
        <v>99</v>
      </c>
      <c r="O363" s="2" t="s">
        <v>17</v>
      </c>
      <c r="P363" s="2">
        <v>17.033250355618776</v>
      </c>
    </row>
    <row r="364" spans="1:16" ht="14.25" customHeight="1">
      <c r="A364" s="2" t="s">
        <v>15</v>
      </c>
      <c r="B364" s="2">
        <v>1902</v>
      </c>
      <c r="C364" s="2" t="s">
        <v>20</v>
      </c>
      <c r="D364" s="3">
        <v>30.480745783377362</v>
      </c>
      <c r="E364" s="3" t="e">
        <v>#N/A</v>
      </c>
      <c r="F364" s="3" t="e">
        <v>#N/A</v>
      </c>
      <c r="G364" s="3"/>
      <c r="I364" s="3"/>
      <c r="J364" s="3"/>
      <c r="K364" s="3"/>
      <c r="N364" s="4" t="s">
        <v>99</v>
      </c>
      <c r="O364" s="2" t="s">
        <v>17</v>
      </c>
      <c r="P364" s="2">
        <v>14.935565433854906</v>
      </c>
    </row>
    <row r="365" spans="1:16" ht="14.25" customHeight="1">
      <c r="A365" s="2" t="s">
        <v>15</v>
      </c>
      <c r="B365" s="2">
        <v>1903</v>
      </c>
      <c r="C365" s="2" t="s">
        <v>20</v>
      </c>
      <c r="D365" s="3" t="e">
        <v>#N/A</v>
      </c>
      <c r="E365" s="3" t="e">
        <v>#N/A</v>
      </c>
      <c r="F365" s="3" t="e">
        <v>#N/A</v>
      </c>
      <c r="G365" s="3"/>
      <c r="I365" s="3"/>
      <c r="J365" s="3"/>
      <c r="K365" s="3"/>
      <c r="N365" s="4" t="s">
        <v>99</v>
      </c>
      <c r="O365" s="2" t="s">
        <v>17</v>
      </c>
      <c r="P365" s="2" t="e">
        <v>#N/A</v>
      </c>
    </row>
    <row r="366" spans="1:16" ht="14.25" customHeight="1">
      <c r="A366" s="2" t="s">
        <v>15</v>
      </c>
      <c r="B366" s="2">
        <v>1904</v>
      </c>
      <c r="C366" s="2" t="s">
        <v>20</v>
      </c>
      <c r="D366" s="3" t="e">
        <v>#N/A</v>
      </c>
      <c r="E366" s="3" t="e">
        <v>#N/A</v>
      </c>
      <c r="F366" s="3" t="e">
        <v>#N/A</v>
      </c>
      <c r="G366" s="3"/>
      <c r="I366" s="3"/>
      <c r="J366" s="3"/>
      <c r="K366" s="3"/>
      <c r="N366" s="4" t="s">
        <v>99</v>
      </c>
      <c r="O366" s="2" t="s">
        <v>17</v>
      </c>
      <c r="P366" s="2" t="e">
        <v>#N/A</v>
      </c>
    </row>
    <row r="367" spans="1:16" ht="14.25" customHeight="1">
      <c r="A367" s="2" t="s">
        <v>15</v>
      </c>
      <c r="B367" s="2">
        <v>1905</v>
      </c>
      <c r="C367" s="2" t="s">
        <v>20</v>
      </c>
      <c r="D367" s="3" t="e">
        <v>#N/A</v>
      </c>
      <c r="E367" s="3" t="e">
        <v>#VALUE!</v>
      </c>
      <c r="F367" s="3" t="e">
        <v>#VALUE!</v>
      </c>
      <c r="G367" s="3"/>
      <c r="I367" s="3"/>
      <c r="J367" s="3"/>
      <c r="K367" s="3"/>
      <c r="N367" s="4" t="s">
        <v>99</v>
      </c>
      <c r="O367" s="2" t="s">
        <v>17</v>
      </c>
      <c r="P367" s="2" t="e">
        <v>#N/A</v>
      </c>
    </row>
    <row r="368" spans="1:16" ht="14.25" customHeight="1">
      <c r="A368" s="2" t="s">
        <v>15</v>
      </c>
      <c r="B368" s="2">
        <v>1906</v>
      </c>
      <c r="C368" s="2" t="s">
        <v>20</v>
      </c>
      <c r="D368" s="3" t="e">
        <v>#N/A</v>
      </c>
      <c r="E368" s="3" t="e">
        <v>#N/A</v>
      </c>
      <c r="F368" s="3" t="e">
        <v>#N/A</v>
      </c>
      <c r="G368" s="3"/>
      <c r="I368" s="3"/>
      <c r="J368" s="3"/>
      <c r="K368" s="3"/>
      <c r="N368" s="4" t="s">
        <v>99</v>
      </c>
      <c r="O368" s="2" t="s">
        <v>17</v>
      </c>
      <c r="P368" s="2" t="e">
        <v>#N/A</v>
      </c>
    </row>
    <row r="369" spans="1:16" ht="14.25" customHeight="1">
      <c r="A369" s="2" t="s">
        <v>15</v>
      </c>
      <c r="B369" s="2">
        <v>1907</v>
      </c>
      <c r="C369" s="2" t="s">
        <v>20</v>
      </c>
      <c r="D369" s="3" t="e">
        <v>#N/A</v>
      </c>
      <c r="E369" s="3" t="e">
        <v>#N/A</v>
      </c>
      <c r="F369" s="3" t="e">
        <v>#N/A</v>
      </c>
      <c r="G369" s="3"/>
      <c r="I369" s="3"/>
      <c r="J369" s="3"/>
      <c r="K369" s="3"/>
      <c r="N369" s="4" t="s">
        <v>99</v>
      </c>
      <c r="O369" s="2" t="s">
        <v>17</v>
      </c>
      <c r="P369" s="2" t="e">
        <v>#N/A</v>
      </c>
    </row>
    <row r="370" spans="1:16" ht="14.25" customHeight="1">
      <c r="A370" s="2" t="s">
        <v>15</v>
      </c>
      <c r="B370" s="2">
        <v>1908</v>
      </c>
      <c r="C370" s="2" t="s">
        <v>20</v>
      </c>
      <c r="D370" s="3" t="e">
        <v>#N/A</v>
      </c>
      <c r="E370" s="3" t="e">
        <v>#N/A</v>
      </c>
      <c r="F370" s="3" t="e">
        <v>#N/A</v>
      </c>
      <c r="G370" s="3"/>
      <c r="I370" s="3"/>
      <c r="J370" s="3"/>
      <c r="K370" s="3"/>
      <c r="N370" s="4" t="s">
        <v>99</v>
      </c>
      <c r="O370" s="2" t="s">
        <v>17</v>
      </c>
      <c r="P370" s="2" t="e">
        <v>#N/A</v>
      </c>
    </row>
    <row r="371" spans="1:16" ht="14.25" customHeight="1">
      <c r="A371" s="2" t="s">
        <v>15</v>
      </c>
      <c r="B371" s="2">
        <v>1909</v>
      </c>
      <c r="C371" s="2" t="s">
        <v>20</v>
      </c>
      <c r="D371" s="3" t="e">
        <v>#N/A</v>
      </c>
      <c r="E371" s="3" t="e">
        <v>#N/A</v>
      </c>
      <c r="F371" s="3" t="e">
        <v>#N/A</v>
      </c>
      <c r="G371" s="3"/>
      <c r="I371" s="3"/>
      <c r="J371" s="3"/>
      <c r="K371" s="3"/>
      <c r="N371" s="4" t="s">
        <v>99</v>
      </c>
      <c r="O371" s="2" t="s">
        <v>17</v>
      </c>
      <c r="P371" s="2" t="e">
        <v>#N/A</v>
      </c>
    </row>
    <row r="372" spans="1:16" ht="14.25" customHeight="1">
      <c r="A372" s="2" t="s">
        <v>15</v>
      </c>
      <c r="B372" s="2">
        <v>1910</v>
      </c>
      <c r="C372" s="2" t="s">
        <v>20</v>
      </c>
      <c r="D372" s="3" t="e">
        <v>#N/A</v>
      </c>
      <c r="E372" s="3">
        <v>9.2581284291810615</v>
      </c>
      <c r="F372" s="3" t="e">
        <v>#VALUE!</v>
      </c>
      <c r="G372" s="3"/>
      <c r="I372" s="3"/>
      <c r="J372" s="3"/>
      <c r="K372" s="3"/>
      <c r="N372" s="4" t="s">
        <v>99</v>
      </c>
      <c r="O372" s="2" t="s">
        <v>17</v>
      </c>
      <c r="P372" s="2" t="e">
        <v>#N/A</v>
      </c>
    </row>
    <row r="373" spans="1:16" ht="14.25" customHeight="1">
      <c r="A373" s="2" t="s">
        <v>15</v>
      </c>
      <c r="B373" s="2">
        <v>1911</v>
      </c>
      <c r="C373" s="2" t="s">
        <v>20</v>
      </c>
      <c r="D373" s="3">
        <v>21.40469416785206</v>
      </c>
      <c r="E373" s="3" t="e">
        <v>#N/A</v>
      </c>
      <c r="F373" s="3" t="e">
        <v>#N/A</v>
      </c>
      <c r="G373" s="3"/>
      <c r="I373" s="3"/>
      <c r="J373" s="3"/>
      <c r="K373" s="3"/>
      <c r="N373" s="4" t="s">
        <v>99</v>
      </c>
      <c r="O373" s="2" t="s">
        <v>17</v>
      </c>
      <c r="P373" s="2">
        <v>10.488300142247509</v>
      </c>
    </row>
    <row r="374" spans="1:16" ht="14.25" customHeight="1">
      <c r="A374" s="2" t="s">
        <v>15</v>
      </c>
      <c r="B374" s="2">
        <v>1912</v>
      </c>
      <c r="C374" s="2" t="s">
        <v>20</v>
      </c>
      <c r="D374" s="3">
        <v>19.368675066043483</v>
      </c>
      <c r="E374" s="3" t="e">
        <v>#N/A</v>
      </c>
      <c r="F374" s="3" t="e">
        <v>#N/A</v>
      </c>
      <c r="G374" s="3"/>
      <c r="I374" s="3"/>
      <c r="J374" s="3"/>
      <c r="K374" s="3"/>
      <c r="N374" s="4" t="s">
        <v>99</v>
      </c>
      <c r="O374" s="2" t="s">
        <v>17</v>
      </c>
      <c r="P374" s="2">
        <v>9.4906507823613069</v>
      </c>
    </row>
    <row r="375" spans="1:16" ht="14.25" customHeight="1">
      <c r="A375" s="2" t="s">
        <v>15</v>
      </c>
      <c r="B375" s="2">
        <v>1913</v>
      </c>
      <c r="C375" s="2" t="s">
        <v>20</v>
      </c>
      <c r="D375" s="3">
        <v>21.308067465962203</v>
      </c>
      <c r="E375" s="3" t="e">
        <v>#N/A</v>
      </c>
      <c r="F375" s="3" t="e">
        <v>#N/A</v>
      </c>
      <c r="G375" s="3"/>
      <c r="I375" s="3"/>
      <c r="J375" s="3"/>
      <c r="K375" s="3"/>
      <c r="N375" s="4" t="s">
        <v>99</v>
      </c>
      <c r="O375" s="2" t="s">
        <v>17</v>
      </c>
      <c r="P375" s="2">
        <v>10.44095305832148</v>
      </c>
    </row>
    <row r="376" spans="1:16" ht="14.25" customHeight="1">
      <c r="A376" s="2" t="s">
        <v>15</v>
      </c>
      <c r="B376" s="2">
        <v>1914</v>
      </c>
      <c r="C376" s="2" t="s">
        <v>20</v>
      </c>
      <c r="D376" s="3" t="e">
        <v>#N/A</v>
      </c>
      <c r="E376" s="3">
        <v>6.8822393822393817</v>
      </c>
      <c r="F376" s="3" t="e">
        <v>#VALUE!</v>
      </c>
      <c r="G376" s="3"/>
      <c r="I376" s="3"/>
      <c r="J376" s="3"/>
      <c r="K376" s="3"/>
      <c r="N376" s="4" t="s">
        <v>100</v>
      </c>
      <c r="O376" s="2" t="s">
        <v>17</v>
      </c>
      <c r="P376" s="2" t="e">
        <v>#N/A</v>
      </c>
    </row>
    <row r="377" spans="1:16" ht="14.25" customHeight="1">
      <c r="A377" s="2" t="s">
        <v>15</v>
      </c>
      <c r="B377" s="2">
        <v>1915</v>
      </c>
      <c r="C377" s="2" t="s">
        <v>20</v>
      </c>
      <c r="D377" s="3" t="e">
        <v>#N/A</v>
      </c>
      <c r="E377" s="3">
        <v>3.54739890266206</v>
      </c>
      <c r="F377" s="3" t="e">
        <v>#VALUE!</v>
      </c>
      <c r="G377" s="3"/>
      <c r="I377" s="3"/>
      <c r="J377" s="3"/>
      <c r="K377" s="3"/>
      <c r="N377" s="4" t="s">
        <v>100</v>
      </c>
      <c r="O377" s="2" t="s">
        <v>17</v>
      </c>
      <c r="P377" s="2" t="e">
        <v>#N/A</v>
      </c>
    </row>
    <row r="378" spans="1:16" ht="14.25" customHeight="1">
      <c r="A378" s="2" t="s">
        <v>15</v>
      </c>
      <c r="B378" s="2">
        <v>1916</v>
      </c>
      <c r="C378" s="2" t="s">
        <v>20</v>
      </c>
      <c r="D378" s="3" t="e">
        <v>#N/A</v>
      </c>
      <c r="E378" s="3">
        <v>3.0941373704531596</v>
      </c>
      <c r="F378" s="3" t="e">
        <v>#VALUE!</v>
      </c>
      <c r="G378" s="3"/>
      <c r="I378" s="3"/>
      <c r="J378" s="3"/>
      <c r="K378" s="3"/>
      <c r="N378" s="4" t="s">
        <v>100</v>
      </c>
      <c r="O378" s="2" t="s">
        <v>17</v>
      </c>
      <c r="P378" s="2" t="e">
        <v>#N/A</v>
      </c>
    </row>
    <row r="379" spans="1:16" ht="14.25" customHeight="1">
      <c r="A379" s="2" t="s">
        <v>15</v>
      </c>
      <c r="B379" s="2">
        <v>1917</v>
      </c>
      <c r="C379" s="2" t="s">
        <v>20</v>
      </c>
      <c r="D379" s="3" t="e">
        <v>#N/A</v>
      </c>
      <c r="E379" s="3">
        <v>3.5721398089819139</v>
      </c>
      <c r="F379" s="3" t="e">
        <v>#VALUE!</v>
      </c>
      <c r="G379" s="3"/>
      <c r="I379" s="3"/>
      <c r="J379" s="3"/>
      <c r="K379" s="3"/>
      <c r="N379" s="4" t="s">
        <v>100</v>
      </c>
      <c r="O379" s="2" t="s">
        <v>17</v>
      </c>
      <c r="P379" s="2" t="e">
        <v>#N/A</v>
      </c>
    </row>
    <row r="380" spans="1:16" ht="14.25" customHeight="1">
      <c r="A380" s="2" t="s">
        <v>15</v>
      </c>
      <c r="B380" s="2">
        <v>1918</v>
      </c>
      <c r="C380" s="2" t="s">
        <v>20</v>
      </c>
      <c r="D380" s="3" t="e">
        <v>#N/A</v>
      </c>
      <c r="E380" s="3">
        <v>4.7343527738264575</v>
      </c>
      <c r="F380" s="3" t="e">
        <v>#VALUE!</v>
      </c>
      <c r="G380" s="3"/>
      <c r="I380" s="3"/>
      <c r="J380" s="3"/>
      <c r="K380" s="3"/>
      <c r="N380" s="4" t="s">
        <v>100</v>
      </c>
      <c r="O380" s="2" t="s">
        <v>17</v>
      </c>
      <c r="P380" s="2" t="e">
        <v>#N/A</v>
      </c>
    </row>
    <row r="381" spans="1:16" ht="14.25" customHeight="1">
      <c r="A381" s="2" t="s">
        <v>15</v>
      </c>
      <c r="B381" s="2">
        <v>1919</v>
      </c>
      <c r="C381" s="2" t="s">
        <v>20</v>
      </c>
      <c r="D381" s="3">
        <v>13.440408453566349</v>
      </c>
      <c r="E381" s="3">
        <v>6.9249136354399505</v>
      </c>
      <c r="F381" s="3" t="e">
        <v>#VALUE!</v>
      </c>
      <c r="G381" s="3"/>
      <c r="I381" s="3"/>
      <c r="J381" s="3"/>
      <c r="K381" s="3"/>
      <c r="N381" s="4" t="s">
        <v>99</v>
      </c>
      <c r="O381" s="2" t="s">
        <v>17</v>
      </c>
      <c r="P381" s="2">
        <v>6.5858001422475105</v>
      </c>
    </row>
    <row r="382" spans="1:16" ht="14.25" customHeight="1">
      <c r="A382" s="2" t="s">
        <v>15</v>
      </c>
      <c r="B382" s="2">
        <v>1920</v>
      </c>
      <c r="C382" s="2" t="s">
        <v>20</v>
      </c>
      <c r="D382" s="3">
        <v>20.190764072343018</v>
      </c>
      <c r="E382" s="3">
        <v>5.9918207681365576</v>
      </c>
      <c r="F382" s="3" t="e">
        <v>#VALUE!</v>
      </c>
      <c r="G382" s="3"/>
      <c r="I382" s="3"/>
      <c r="J382" s="3"/>
      <c r="K382" s="3"/>
      <c r="N382" s="4" t="s">
        <v>99</v>
      </c>
      <c r="O382" s="2" t="s">
        <v>17</v>
      </c>
      <c r="P382" s="2">
        <v>9.8934743954480791</v>
      </c>
    </row>
    <row r="383" spans="1:16" ht="14.25" customHeight="1">
      <c r="A383" s="2" t="s">
        <v>15</v>
      </c>
      <c r="B383" s="2">
        <v>1921</v>
      </c>
      <c r="C383" s="2" t="s">
        <v>20</v>
      </c>
      <c r="D383" s="3">
        <v>17.721804511278194</v>
      </c>
      <c r="E383" s="3" t="e">
        <v>#N/A</v>
      </c>
      <c r="F383" s="3" t="e">
        <v>#N/A</v>
      </c>
      <c r="G383" s="3"/>
      <c r="I383" s="3"/>
      <c r="J383" s="3"/>
      <c r="K383" s="3"/>
      <c r="N383" s="4" t="s">
        <v>99</v>
      </c>
      <c r="O383" s="2" t="s">
        <v>17</v>
      </c>
      <c r="P383" s="2">
        <v>8.6836842105263141</v>
      </c>
    </row>
    <row r="384" spans="1:16" ht="14.25" customHeight="1">
      <c r="A384" s="2" t="s">
        <v>15</v>
      </c>
      <c r="B384" s="2">
        <v>1922</v>
      </c>
      <c r="C384" s="2" t="s">
        <v>20</v>
      </c>
      <c r="D384" s="3">
        <v>15.999772180451126</v>
      </c>
      <c r="E384" s="3" t="e">
        <v>#N/A</v>
      </c>
      <c r="F384" s="3" t="e">
        <v>#N/A</v>
      </c>
      <c r="G384" s="3"/>
      <c r="I384" s="3"/>
      <c r="J384" s="3"/>
      <c r="K384" s="3"/>
      <c r="N384" s="4" t="s">
        <v>99</v>
      </c>
      <c r="O384" s="2" t="s">
        <v>17</v>
      </c>
      <c r="P384" s="2">
        <v>7.8398883684210521</v>
      </c>
    </row>
    <row r="385" spans="1:16" ht="14.25" customHeight="1">
      <c r="A385" s="2" t="s">
        <v>15</v>
      </c>
      <c r="B385" s="2">
        <v>1923</v>
      </c>
      <c r="C385" s="2" t="s">
        <v>20</v>
      </c>
      <c r="D385" s="3">
        <v>13.401477006705955</v>
      </c>
      <c r="E385" s="3" t="e">
        <v>#N/A</v>
      </c>
      <c r="F385" s="3" t="e">
        <v>#N/A</v>
      </c>
      <c r="G385" s="3"/>
      <c r="I385" s="3"/>
      <c r="J385" s="3"/>
      <c r="K385" s="3"/>
      <c r="N385" s="4" t="s">
        <v>99</v>
      </c>
      <c r="O385" s="2" t="s">
        <v>17</v>
      </c>
      <c r="P385" s="2">
        <v>6.5667237332859179</v>
      </c>
    </row>
    <row r="386" spans="1:16" ht="14.25" customHeight="1">
      <c r="A386" s="2" t="s">
        <v>15</v>
      </c>
      <c r="B386" s="2">
        <v>1924</v>
      </c>
      <c r="C386" s="2" t="s">
        <v>20</v>
      </c>
      <c r="D386" s="3">
        <v>12.548246616541354</v>
      </c>
      <c r="E386" s="3" t="e">
        <v>#N/A</v>
      </c>
      <c r="F386" s="3" t="e">
        <v>#N/A</v>
      </c>
      <c r="G386" s="3"/>
      <c r="I386" s="3"/>
      <c r="J386" s="3"/>
      <c r="K386" s="3"/>
      <c r="N386" s="4" t="s">
        <v>99</v>
      </c>
      <c r="O386" s="2" t="s">
        <v>17</v>
      </c>
      <c r="P386" s="2">
        <v>6.1486408421052632</v>
      </c>
    </row>
    <row r="387" spans="1:16" ht="14.25" customHeight="1">
      <c r="A387" s="2" t="s">
        <v>15</v>
      </c>
      <c r="B387" s="2">
        <v>1925</v>
      </c>
      <c r="C387" s="2" t="s">
        <v>20</v>
      </c>
      <c r="D387" s="3">
        <v>11.755994167852064</v>
      </c>
      <c r="E387" s="3">
        <v>1.9910587279008329</v>
      </c>
      <c r="F387" s="3">
        <v>2.5435887014834382</v>
      </c>
      <c r="G387" s="3"/>
      <c r="I387" s="3"/>
      <c r="J387" s="3"/>
      <c r="K387" s="3"/>
      <c r="N387" s="4" t="s">
        <v>99</v>
      </c>
      <c r="O387" s="2" t="s">
        <v>17</v>
      </c>
      <c r="P387" s="2">
        <v>5.7604371422475111</v>
      </c>
    </row>
    <row r="388" spans="1:16" ht="14.25" customHeight="1">
      <c r="A388" s="2" t="s">
        <v>15</v>
      </c>
      <c r="B388" s="2">
        <v>1926</v>
      </c>
      <c r="C388" s="2" t="s">
        <v>20</v>
      </c>
      <c r="D388" s="3">
        <v>10.171694066246697</v>
      </c>
      <c r="E388" s="3" t="e">
        <v>#N/A</v>
      </c>
      <c r="F388" s="3" t="e">
        <v>#N/A</v>
      </c>
      <c r="G388" s="3"/>
      <c r="I388" s="3"/>
      <c r="J388" s="3"/>
      <c r="K388" s="3"/>
      <c r="N388" s="4" t="s">
        <v>99</v>
      </c>
      <c r="O388" s="2" t="s">
        <v>17</v>
      </c>
      <c r="P388" s="2">
        <v>4.984130092460882</v>
      </c>
    </row>
    <row r="389" spans="1:16" ht="14.25" customHeight="1">
      <c r="A389" s="2" t="s">
        <v>15</v>
      </c>
      <c r="B389" s="2">
        <v>1927</v>
      </c>
      <c r="C389" s="2" t="s">
        <v>20</v>
      </c>
      <c r="D389" s="3">
        <v>9.531963269660638</v>
      </c>
      <c r="E389" s="3" t="e">
        <v>#N/A</v>
      </c>
      <c r="F389" s="3" t="e">
        <v>#N/A</v>
      </c>
      <c r="G389" s="3"/>
      <c r="I389" s="3"/>
      <c r="J389" s="3"/>
      <c r="K389" s="3"/>
      <c r="N389" s="4" t="s">
        <v>99</v>
      </c>
      <c r="O389" s="2" t="s">
        <v>17</v>
      </c>
      <c r="P389" s="2">
        <v>4.6706620021337129</v>
      </c>
    </row>
    <row r="390" spans="1:16" ht="14.25" customHeight="1">
      <c r="A390" s="2" t="s">
        <v>15</v>
      </c>
      <c r="B390" s="2">
        <v>1928</v>
      </c>
      <c r="C390" s="2" t="s">
        <v>20</v>
      </c>
      <c r="D390" s="3">
        <v>8.8061158504369033</v>
      </c>
      <c r="E390" s="3" t="e">
        <v>#N/A</v>
      </c>
      <c r="F390" s="3" t="e">
        <v>#N/A</v>
      </c>
      <c r="G390" s="3"/>
      <c r="I390" s="3"/>
      <c r="J390" s="3"/>
      <c r="K390" s="3"/>
      <c r="N390" s="4" t="s">
        <v>99</v>
      </c>
      <c r="O390" s="2" t="s">
        <v>17</v>
      </c>
      <c r="P390" s="2">
        <v>4.3149967667140823</v>
      </c>
    </row>
    <row r="391" spans="1:16" ht="14.25" customHeight="1">
      <c r="A391" s="2" t="s">
        <v>15</v>
      </c>
      <c r="B391" s="2">
        <v>1929</v>
      </c>
      <c r="C391" s="2" t="s">
        <v>20</v>
      </c>
      <c r="D391" s="3">
        <v>9.6773682686445834</v>
      </c>
      <c r="E391" s="3" t="e">
        <v>#N/A</v>
      </c>
      <c r="F391" s="3" t="e">
        <v>#N/A</v>
      </c>
      <c r="G391" s="3"/>
      <c r="I391" s="3"/>
      <c r="J391" s="3"/>
      <c r="K391" s="3"/>
      <c r="N391" s="4" t="s">
        <v>99</v>
      </c>
      <c r="O391" s="2" t="s">
        <v>17</v>
      </c>
      <c r="P391" s="2">
        <v>4.7419104516358459</v>
      </c>
    </row>
    <row r="392" spans="1:16" ht="14.25" customHeight="1">
      <c r="A392" s="2" t="s">
        <v>15</v>
      </c>
      <c r="B392" s="2">
        <v>1930</v>
      </c>
      <c r="C392" s="2" t="s">
        <v>20</v>
      </c>
      <c r="D392" s="3">
        <v>8.8663770067059531</v>
      </c>
      <c r="E392" s="3">
        <v>0.72952651900020316</v>
      </c>
      <c r="F392" s="3">
        <v>1.9118573460678723</v>
      </c>
      <c r="G392" s="3"/>
      <c r="I392" s="3"/>
      <c r="J392" s="3"/>
      <c r="K392" s="3"/>
      <c r="N392" s="4" t="s">
        <v>99</v>
      </c>
      <c r="O392" s="2" t="s">
        <v>17</v>
      </c>
      <c r="P392" s="2">
        <v>4.3445247332859172</v>
      </c>
    </row>
    <row r="393" spans="1:16" ht="14.25" customHeight="1">
      <c r="A393" s="2" t="s">
        <v>15</v>
      </c>
      <c r="B393" s="2">
        <v>1931</v>
      </c>
      <c r="C393" s="2" t="s">
        <v>20</v>
      </c>
      <c r="D393" s="3">
        <v>10.410025147327778</v>
      </c>
      <c r="E393" s="3" t="e">
        <v>#N/A</v>
      </c>
      <c r="F393" s="3" t="e">
        <v>#N/A</v>
      </c>
      <c r="G393" s="3"/>
      <c r="I393" s="3"/>
      <c r="J393" s="3"/>
      <c r="K393" s="3"/>
      <c r="N393" s="4" t="s">
        <v>99</v>
      </c>
      <c r="O393" s="2" t="s">
        <v>17</v>
      </c>
      <c r="P393" s="2">
        <v>5.1009123221906112</v>
      </c>
    </row>
    <row r="394" spans="1:16" ht="14.25" customHeight="1">
      <c r="A394" s="2" t="s">
        <v>15</v>
      </c>
      <c r="B394" s="2">
        <v>1932</v>
      </c>
      <c r="C394" s="2" t="s">
        <v>20</v>
      </c>
      <c r="D394" s="3">
        <v>9.5426126498679125</v>
      </c>
      <c r="E394" s="3" t="e">
        <v>#N/A</v>
      </c>
      <c r="F394" s="3" t="e">
        <v>#N/A</v>
      </c>
      <c r="G394" s="3"/>
      <c r="I394" s="3"/>
      <c r="J394" s="3"/>
      <c r="K394" s="3"/>
      <c r="N394" s="4" t="s">
        <v>99</v>
      </c>
      <c r="O394" s="2" t="s">
        <v>17</v>
      </c>
      <c r="P394" s="2">
        <v>4.6758801984352774</v>
      </c>
    </row>
    <row r="395" spans="1:16" ht="14.25" customHeight="1">
      <c r="A395" s="2" t="s">
        <v>15</v>
      </c>
      <c r="B395" s="2">
        <v>1933</v>
      </c>
      <c r="C395" s="2" t="s">
        <v>20</v>
      </c>
      <c r="D395" s="3">
        <v>11.076891383865068</v>
      </c>
      <c r="E395" s="3" t="e">
        <v>#N/A</v>
      </c>
      <c r="F395" s="3" t="e">
        <v>#N/A</v>
      </c>
      <c r="G395" s="3"/>
      <c r="I395" s="3"/>
      <c r="J395" s="3"/>
      <c r="K395" s="3"/>
      <c r="N395" s="4" t="s">
        <v>99</v>
      </c>
      <c r="O395" s="2" t="s">
        <v>17</v>
      </c>
      <c r="P395" s="2">
        <v>5.4276767780938826</v>
      </c>
    </row>
    <row r="396" spans="1:16" ht="14.25" customHeight="1">
      <c r="A396" s="2" t="s">
        <v>15</v>
      </c>
      <c r="B396" s="2">
        <v>1934</v>
      </c>
      <c r="C396" s="2" t="s">
        <v>20</v>
      </c>
      <c r="D396" s="3">
        <v>11.221528398699451</v>
      </c>
      <c r="E396" s="3" t="e">
        <v>#N/A</v>
      </c>
      <c r="F396" s="3" t="e">
        <v>#N/A</v>
      </c>
      <c r="G396" s="3"/>
      <c r="I396" s="3"/>
      <c r="J396" s="3"/>
      <c r="K396" s="3"/>
      <c r="N396" s="4" t="s">
        <v>99</v>
      </c>
      <c r="O396" s="2" t="s">
        <v>17</v>
      </c>
      <c r="P396" s="2">
        <v>5.4985489153627309</v>
      </c>
    </row>
    <row r="397" spans="1:16" ht="14.25" customHeight="1">
      <c r="A397" s="2" t="s">
        <v>15</v>
      </c>
      <c r="B397" s="2">
        <v>1935</v>
      </c>
      <c r="C397" s="2" t="s">
        <v>20</v>
      </c>
      <c r="D397" s="3">
        <v>11.708430349522455</v>
      </c>
      <c r="E397" s="3">
        <v>0.25203210729526515</v>
      </c>
      <c r="F397" s="3">
        <v>0.58966673440357642</v>
      </c>
      <c r="G397" s="3"/>
      <c r="I397" s="3"/>
      <c r="J397" s="3"/>
      <c r="K397" s="3"/>
      <c r="N397" s="4" t="s">
        <v>99</v>
      </c>
      <c r="O397" s="2" t="s">
        <v>17</v>
      </c>
      <c r="P397" s="2">
        <v>5.737130871266003</v>
      </c>
    </row>
    <row r="398" spans="1:16" ht="14.25" customHeight="1">
      <c r="A398" s="2" t="s">
        <v>15</v>
      </c>
      <c r="B398" s="2">
        <v>1936</v>
      </c>
      <c r="C398" s="2" t="s">
        <v>20</v>
      </c>
      <c r="D398" s="3">
        <v>12.733996382849014</v>
      </c>
      <c r="E398" s="3" t="e">
        <v>#N/A</v>
      </c>
      <c r="F398" s="3" t="e">
        <v>#N/A</v>
      </c>
      <c r="G398" s="3"/>
      <c r="I398" s="3"/>
      <c r="J398" s="3"/>
      <c r="K398" s="3"/>
      <c r="N398" s="4" t="s">
        <v>99</v>
      </c>
      <c r="O398" s="2" t="s">
        <v>17</v>
      </c>
      <c r="P398" s="2">
        <v>6.2396582275960171</v>
      </c>
    </row>
    <row r="399" spans="1:16" ht="14.25" customHeight="1">
      <c r="A399" s="2" t="s">
        <v>15</v>
      </c>
      <c r="B399" s="2">
        <v>1937</v>
      </c>
      <c r="C399" s="2" t="s">
        <v>20</v>
      </c>
      <c r="D399" s="3">
        <v>9.1793049481812652</v>
      </c>
      <c r="E399" s="3" t="e">
        <v>#N/A</v>
      </c>
      <c r="F399" s="3" t="e">
        <v>#N/A</v>
      </c>
      <c r="G399" s="3"/>
      <c r="I399" s="3"/>
      <c r="J399" s="3"/>
      <c r="K399" s="3"/>
      <c r="N399" s="4" t="s">
        <v>99</v>
      </c>
      <c r="O399" s="2" t="s">
        <v>17</v>
      </c>
      <c r="P399" s="2">
        <v>4.4978594246088202</v>
      </c>
    </row>
    <row r="400" spans="1:16" ht="14.25" customHeight="1">
      <c r="A400" s="2" t="s">
        <v>15</v>
      </c>
      <c r="B400" s="2">
        <v>1938</v>
      </c>
      <c r="C400" s="2" t="s">
        <v>20</v>
      </c>
      <c r="D400" s="3">
        <v>10.298411450924608</v>
      </c>
      <c r="E400" s="3" t="e">
        <v>#N/A</v>
      </c>
      <c r="F400" s="3" t="e">
        <v>#N/A</v>
      </c>
      <c r="G400" s="3"/>
      <c r="I400" s="3"/>
      <c r="J400" s="3"/>
      <c r="K400" s="3"/>
      <c r="N400" s="4" t="s">
        <v>99</v>
      </c>
      <c r="O400" s="2" t="s">
        <v>17</v>
      </c>
      <c r="P400" s="2">
        <v>5.046221610953058</v>
      </c>
    </row>
    <row r="401" spans="1:16" ht="14.25" customHeight="1">
      <c r="A401" s="2" t="s">
        <v>15</v>
      </c>
      <c r="B401" s="2">
        <v>1939</v>
      </c>
      <c r="C401" s="2" t="s">
        <v>20</v>
      </c>
      <c r="D401" s="3">
        <v>6.8046979577321682</v>
      </c>
      <c r="E401" s="3" t="e">
        <v>#N/A</v>
      </c>
      <c r="F401" s="3" t="e">
        <v>#N/A</v>
      </c>
      <c r="G401" s="3"/>
      <c r="I401" s="3"/>
      <c r="J401" s="3"/>
      <c r="K401" s="3"/>
      <c r="N401" s="4" t="s">
        <v>100</v>
      </c>
      <c r="O401" s="2" t="s">
        <v>17</v>
      </c>
      <c r="P401" s="2">
        <v>3.3343019992887624</v>
      </c>
    </row>
    <row r="402" spans="1:16" ht="14.25" customHeight="1">
      <c r="A402" s="2" t="s">
        <v>15</v>
      </c>
      <c r="B402" s="2">
        <v>1940</v>
      </c>
      <c r="C402" s="2" t="s">
        <v>20</v>
      </c>
      <c r="D402" s="3">
        <v>6.4019158707579757</v>
      </c>
      <c r="E402" s="3" t="e">
        <v>#VALUE!</v>
      </c>
      <c r="F402" s="3" t="e">
        <v>#VALUE!</v>
      </c>
      <c r="G402" s="3"/>
      <c r="I402" s="3"/>
      <c r="J402" s="3"/>
      <c r="K402" s="3"/>
      <c r="N402" s="4" t="s">
        <v>100</v>
      </c>
      <c r="O402" s="2" t="s">
        <v>17</v>
      </c>
      <c r="P402" s="2">
        <v>3.1369387766714079</v>
      </c>
    </row>
    <row r="403" spans="1:16" ht="14.25" customHeight="1">
      <c r="A403" s="2" t="s">
        <v>15</v>
      </c>
      <c r="B403" s="2">
        <v>1941</v>
      </c>
      <c r="C403" s="2" t="s">
        <v>20</v>
      </c>
      <c r="D403" s="3">
        <v>3.7209856025198134</v>
      </c>
      <c r="E403" s="3" t="e">
        <v>#N/A</v>
      </c>
      <c r="F403" s="3" t="e">
        <v>#N/A</v>
      </c>
      <c r="G403" s="3"/>
      <c r="I403" s="3"/>
      <c r="J403" s="3"/>
      <c r="K403" s="3"/>
      <c r="N403" s="4" t="s">
        <v>100</v>
      </c>
      <c r="O403" s="2" t="s">
        <v>17</v>
      </c>
      <c r="P403" s="2">
        <v>1.8232829452347086</v>
      </c>
    </row>
    <row r="404" spans="1:16" ht="14.25" customHeight="1">
      <c r="A404" s="2" t="s">
        <v>15</v>
      </c>
      <c r="B404" s="2">
        <v>1942</v>
      </c>
      <c r="C404" s="2" t="s">
        <v>20</v>
      </c>
      <c r="D404" s="3">
        <v>4.2569361410282465</v>
      </c>
      <c r="E404" s="3" t="e">
        <v>#VALUE!</v>
      </c>
      <c r="F404" s="3" t="e">
        <v>#VALUE!</v>
      </c>
      <c r="G404" s="3"/>
      <c r="I404" s="3"/>
      <c r="J404" s="3"/>
      <c r="K404" s="3"/>
      <c r="N404" s="4" t="s">
        <v>100</v>
      </c>
      <c r="O404" s="2" t="s">
        <v>17</v>
      </c>
      <c r="P404" s="2">
        <v>2.0858987091038408</v>
      </c>
    </row>
    <row r="405" spans="1:16" ht="14.25" customHeight="1">
      <c r="A405" s="2" t="s">
        <v>15</v>
      </c>
      <c r="B405" s="2">
        <v>1943</v>
      </c>
      <c r="C405" s="2" t="s">
        <v>20</v>
      </c>
      <c r="D405" s="3">
        <v>2.3634968197520827</v>
      </c>
      <c r="E405" s="3" t="e">
        <v>#N/A</v>
      </c>
      <c r="F405" s="3" t="e">
        <v>#N/A</v>
      </c>
      <c r="G405" s="3"/>
      <c r="I405" s="3"/>
      <c r="J405" s="3"/>
      <c r="K405" s="3"/>
      <c r="N405" s="4" t="s">
        <v>100</v>
      </c>
      <c r="O405" s="2" t="s">
        <v>17</v>
      </c>
      <c r="P405" s="2">
        <v>1.1581134416785206</v>
      </c>
    </row>
    <row r="406" spans="1:16" ht="14.25" customHeight="1">
      <c r="A406" s="2" t="s">
        <v>15</v>
      </c>
      <c r="B406" s="2">
        <v>1944</v>
      </c>
      <c r="C406" s="2" t="s">
        <v>20</v>
      </c>
      <c r="D406" s="3">
        <v>3.6777224954277585</v>
      </c>
      <c r="E406" s="3" t="e">
        <v>#VALUE!</v>
      </c>
      <c r="F406" s="3" t="e">
        <v>#VALUE!</v>
      </c>
      <c r="G406" s="3"/>
      <c r="I406" s="3"/>
      <c r="J406" s="3"/>
      <c r="K406" s="3"/>
      <c r="N406" s="4" t="s">
        <v>100</v>
      </c>
      <c r="O406" s="2" t="s">
        <v>17</v>
      </c>
      <c r="P406" s="2">
        <v>1.8020840227596016</v>
      </c>
    </row>
    <row r="407" spans="1:16" ht="14.25" customHeight="1">
      <c r="A407" s="2" t="s">
        <v>15</v>
      </c>
      <c r="B407" s="2">
        <v>1945</v>
      </c>
      <c r="C407" s="2" t="s">
        <v>20</v>
      </c>
      <c r="D407" s="3">
        <v>3.7387516358463726</v>
      </c>
      <c r="E407" s="3" t="e">
        <v>#N/A</v>
      </c>
      <c r="F407" s="3" t="e">
        <v>#N/A</v>
      </c>
      <c r="G407" s="3"/>
      <c r="I407" s="3"/>
      <c r="J407" s="3"/>
      <c r="K407" s="3"/>
      <c r="N407" s="4" t="s">
        <v>100</v>
      </c>
      <c r="O407" s="2" t="s">
        <v>17</v>
      </c>
      <c r="P407" s="2">
        <v>1.8319883015647225</v>
      </c>
    </row>
    <row r="408" spans="1:16" ht="14.25" customHeight="1">
      <c r="A408" s="2" t="s">
        <v>15</v>
      </c>
      <c r="B408" s="2">
        <v>1946</v>
      </c>
      <c r="C408" s="2" t="s">
        <v>20</v>
      </c>
      <c r="D408" s="3">
        <v>3.1959916378784801</v>
      </c>
      <c r="E408" s="3" t="e">
        <v>#VALUE!</v>
      </c>
      <c r="F408" s="3" t="e">
        <v>#VALUE!</v>
      </c>
      <c r="G408" s="3"/>
      <c r="I408" s="3"/>
      <c r="J408" s="3"/>
      <c r="K408" s="3"/>
      <c r="N408" s="4" t="s">
        <v>99</v>
      </c>
      <c r="O408" s="2" t="s">
        <v>17</v>
      </c>
      <c r="P408" s="2">
        <v>1.5660359025604551</v>
      </c>
    </row>
    <row r="409" spans="1:16" ht="14.25" customHeight="1">
      <c r="A409" s="2" t="s">
        <v>15</v>
      </c>
      <c r="B409" s="2">
        <v>1947</v>
      </c>
      <c r="C409" s="2" t="s">
        <v>20</v>
      </c>
      <c r="D409" s="3">
        <v>3.6613900325137165</v>
      </c>
      <c r="E409" s="3" t="e">
        <v>#N/A</v>
      </c>
      <c r="F409" s="3" t="e">
        <v>#N/A</v>
      </c>
      <c r="G409" s="3"/>
      <c r="I409" s="3"/>
      <c r="J409" s="3"/>
      <c r="K409" s="3"/>
      <c r="N409" s="4" t="s">
        <v>99</v>
      </c>
      <c r="O409" s="2" t="s">
        <v>17</v>
      </c>
      <c r="P409" s="2">
        <v>1.7940811159317211</v>
      </c>
    </row>
    <row r="410" spans="1:16" ht="14.25" customHeight="1">
      <c r="A410" s="2" t="s">
        <v>15</v>
      </c>
      <c r="B410" s="2">
        <v>1948</v>
      </c>
      <c r="C410" s="2" t="s">
        <v>20</v>
      </c>
      <c r="D410" s="3">
        <v>8.2153312436496648</v>
      </c>
      <c r="E410" s="3" t="e">
        <v>#N/A</v>
      </c>
      <c r="F410" s="3" t="e">
        <v>#N/A</v>
      </c>
      <c r="G410" s="3"/>
      <c r="I410" s="3"/>
      <c r="J410" s="3"/>
      <c r="K410" s="3"/>
      <c r="N410" s="4" t="s">
        <v>99</v>
      </c>
      <c r="O410" s="2" t="s">
        <v>17</v>
      </c>
      <c r="P410" s="2">
        <v>4.0255123093883354</v>
      </c>
    </row>
    <row r="411" spans="1:16" ht="14.25" customHeight="1">
      <c r="A411" s="2" t="s">
        <v>15</v>
      </c>
      <c r="B411" s="2">
        <v>1949</v>
      </c>
      <c r="C411" s="2" t="s">
        <v>20</v>
      </c>
      <c r="D411" s="3">
        <v>6.9093997967892706</v>
      </c>
      <c r="E411" s="3" t="e">
        <v>#N/A</v>
      </c>
      <c r="F411" s="3" t="e">
        <v>#N/A</v>
      </c>
      <c r="G411" s="3"/>
      <c r="I411" s="3"/>
      <c r="J411" s="3"/>
      <c r="K411" s="3"/>
      <c r="N411" s="4" t="s">
        <v>99</v>
      </c>
      <c r="O411" s="2" t="s">
        <v>17</v>
      </c>
      <c r="P411" s="2">
        <v>3.3856059004267425</v>
      </c>
    </row>
    <row r="412" spans="1:16" ht="14.25" customHeight="1">
      <c r="A412" s="2" t="s">
        <v>15</v>
      </c>
      <c r="B412" s="2">
        <v>1950</v>
      </c>
      <c r="C412" s="2" t="s">
        <v>20</v>
      </c>
      <c r="D412" s="3">
        <v>4.1857184108920951</v>
      </c>
      <c r="E412" s="3" t="e">
        <v>#VALUE!</v>
      </c>
      <c r="F412" s="3" t="e">
        <v>#VALUE!</v>
      </c>
      <c r="G412" s="3"/>
      <c r="I412" s="3"/>
      <c r="J412" s="3"/>
      <c r="K412" s="3"/>
      <c r="N412" s="4" t="s">
        <v>99</v>
      </c>
      <c r="O412" s="2" t="s">
        <v>17</v>
      </c>
      <c r="P412" s="2">
        <v>2.0510020213371267</v>
      </c>
    </row>
    <row r="413" spans="1:16" ht="14.25" customHeight="1">
      <c r="A413" s="2" t="s">
        <v>15</v>
      </c>
      <c r="B413" s="2">
        <v>1951</v>
      </c>
      <c r="C413" s="2" t="s">
        <v>20</v>
      </c>
      <c r="D413" s="3">
        <v>6.3646942389758179</v>
      </c>
      <c r="E413" s="3" t="e">
        <v>#N/A</v>
      </c>
      <c r="F413" s="3" t="e">
        <v>#N/A</v>
      </c>
      <c r="G413" s="3"/>
      <c r="I413" s="3"/>
      <c r="J413" s="3"/>
      <c r="K413" s="3"/>
      <c r="N413" s="4" t="s">
        <v>99</v>
      </c>
      <c r="O413" s="2" t="s">
        <v>17</v>
      </c>
      <c r="P413" s="2">
        <v>3.1187001770981508</v>
      </c>
    </row>
    <row r="414" spans="1:16" ht="14.25" customHeight="1">
      <c r="A414" s="2" t="s">
        <v>15</v>
      </c>
      <c r="B414" s="2">
        <v>1952</v>
      </c>
      <c r="C414" s="2" t="s">
        <v>20</v>
      </c>
      <c r="D414" s="3">
        <v>6.6818716927453767</v>
      </c>
      <c r="E414" s="3" t="e">
        <v>#N/A</v>
      </c>
      <c r="F414" s="3" t="e">
        <v>#N/A</v>
      </c>
      <c r="G414" s="3"/>
      <c r="I414" s="3"/>
      <c r="J414" s="3"/>
      <c r="K414" s="3"/>
      <c r="N414" s="4" t="s">
        <v>99</v>
      </c>
      <c r="O414" s="2" t="s">
        <v>17</v>
      </c>
      <c r="P414" s="2">
        <v>3.2741171294452345</v>
      </c>
    </row>
    <row r="415" spans="1:16" ht="14.25" customHeight="1">
      <c r="A415" s="2" t="s">
        <v>15</v>
      </c>
      <c r="B415" s="2">
        <v>1953</v>
      </c>
      <c r="C415" s="2" t="s">
        <v>20</v>
      </c>
      <c r="D415" s="3">
        <v>4.5429334383255435</v>
      </c>
      <c r="E415" s="3" t="e">
        <v>#N/A</v>
      </c>
      <c r="F415" s="3" t="e">
        <v>#N/A</v>
      </c>
      <c r="G415" s="3"/>
      <c r="I415" s="3"/>
      <c r="J415" s="3"/>
      <c r="K415" s="3"/>
      <c r="N415" s="4" t="s">
        <v>99</v>
      </c>
      <c r="O415" s="2" t="s">
        <v>17</v>
      </c>
      <c r="P415" s="2">
        <v>2.2260373847795161</v>
      </c>
    </row>
    <row r="416" spans="1:16" ht="14.25" customHeight="1">
      <c r="A416" s="2" t="s">
        <v>15</v>
      </c>
      <c r="B416" s="2">
        <v>1954</v>
      </c>
      <c r="C416" s="2" t="s">
        <v>20</v>
      </c>
      <c r="D416" s="3">
        <v>5.0473966267018895</v>
      </c>
      <c r="E416" s="3" t="e">
        <v>#N/A</v>
      </c>
      <c r="F416" s="3" t="e">
        <v>#N/A</v>
      </c>
      <c r="G416" s="3"/>
      <c r="I416" s="3"/>
      <c r="J416" s="3"/>
      <c r="K416" s="3"/>
      <c r="N416" s="4" t="s">
        <v>99</v>
      </c>
      <c r="O416" s="2" t="s">
        <v>17</v>
      </c>
      <c r="P416" s="2">
        <v>2.4732243470839257</v>
      </c>
    </row>
    <row r="417" spans="1:16" ht="14.25" customHeight="1">
      <c r="A417" s="2" t="s">
        <v>15</v>
      </c>
      <c r="B417" s="2">
        <v>1955</v>
      </c>
      <c r="C417" s="2" t="s">
        <v>20</v>
      </c>
      <c r="D417" s="3">
        <v>4.2697870757976029</v>
      </c>
      <c r="E417" s="3" t="e">
        <v>#VALUE!</v>
      </c>
      <c r="F417" s="3" t="e">
        <v>#VALUE!</v>
      </c>
      <c r="G417" s="3"/>
      <c r="I417" s="3"/>
      <c r="J417" s="3"/>
      <c r="K417" s="3"/>
      <c r="N417" s="4" t="s">
        <v>99</v>
      </c>
      <c r="O417" s="2" t="s">
        <v>17</v>
      </c>
      <c r="P417" s="2">
        <v>2.0921956671408255</v>
      </c>
    </row>
    <row r="418" spans="1:16" ht="14.25" customHeight="1">
      <c r="A418" s="2" t="s">
        <v>15</v>
      </c>
      <c r="B418" s="2">
        <v>1956</v>
      </c>
      <c r="C418" s="2" t="s">
        <v>20</v>
      </c>
      <c r="D418" s="3">
        <v>3.120150670595407</v>
      </c>
      <c r="E418" s="3" t="e">
        <v>#N/A</v>
      </c>
      <c r="F418" s="3" t="e">
        <v>#N/A</v>
      </c>
      <c r="G418" s="3"/>
      <c r="I418" s="3"/>
      <c r="J418" s="3"/>
      <c r="K418" s="3"/>
      <c r="N418" s="4" t="s">
        <v>99</v>
      </c>
      <c r="O418" s="2" t="s">
        <v>17</v>
      </c>
      <c r="P418" s="2">
        <v>1.5288738285917494</v>
      </c>
    </row>
    <row r="419" spans="1:16" ht="14.25" customHeight="1">
      <c r="A419" s="2" t="s">
        <v>15</v>
      </c>
      <c r="B419" s="2">
        <v>1957</v>
      </c>
      <c r="C419" s="2" t="s">
        <v>20</v>
      </c>
      <c r="D419" s="3">
        <v>3.7896741312741309</v>
      </c>
      <c r="E419" s="3" t="e">
        <v>#N/A</v>
      </c>
      <c r="F419" s="3" t="e">
        <v>#N/A</v>
      </c>
      <c r="G419" s="3"/>
      <c r="I419" s="3"/>
      <c r="J419" s="3"/>
      <c r="K419" s="3"/>
      <c r="N419" s="4" t="s">
        <v>99</v>
      </c>
      <c r="O419" s="2" t="s">
        <v>17</v>
      </c>
      <c r="P419" s="2">
        <v>1.8569403243243241</v>
      </c>
    </row>
    <row r="420" spans="1:16" ht="14.25" customHeight="1">
      <c r="A420" s="2" t="s">
        <v>15</v>
      </c>
      <c r="B420" s="2">
        <v>1958</v>
      </c>
      <c r="C420" s="2" t="s">
        <v>20</v>
      </c>
      <c r="D420" s="3">
        <v>3.9394204328388538</v>
      </c>
      <c r="E420" s="3" t="e">
        <v>#N/A</v>
      </c>
      <c r="F420" s="3" t="e">
        <v>#N/A</v>
      </c>
      <c r="G420" s="3"/>
      <c r="I420" s="3"/>
      <c r="J420" s="3"/>
      <c r="K420" s="3"/>
      <c r="N420" s="4" t="s">
        <v>99</v>
      </c>
      <c r="O420" s="2" t="s">
        <v>17</v>
      </c>
      <c r="P420" s="2">
        <v>1.9303160120910383</v>
      </c>
    </row>
    <row r="421" spans="1:16" ht="14.25" customHeight="1">
      <c r="A421" s="2" t="s">
        <v>15</v>
      </c>
      <c r="B421" s="2">
        <v>1959</v>
      </c>
      <c r="C421" s="2" t="s">
        <v>20</v>
      </c>
      <c r="D421" s="3">
        <v>4.8657544401544399</v>
      </c>
      <c r="E421" s="3" t="e">
        <v>#N/A</v>
      </c>
      <c r="F421" s="3" t="e">
        <v>#N/A</v>
      </c>
      <c r="G421" s="3"/>
      <c r="I421" s="3"/>
      <c r="J421" s="3"/>
      <c r="K421" s="3"/>
      <c r="N421" s="4" t="s">
        <v>99</v>
      </c>
      <c r="O421" s="2" t="s">
        <v>17</v>
      </c>
      <c r="P421" s="2">
        <v>2.3842196756756757</v>
      </c>
    </row>
    <row r="422" spans="1:16" ht="14.25" customHeight="1">
      <c r="A422" s="2" t="s">
        <v>15</v>
      </c>
      <c r="B422" s="2">
        <v>1960</v>
      </c>
      <c r="C422" s="2" t="s">
        <v>20</v>
      </c>
      <c r="D422" s="3">
        <v>3.806962416175574</v>
      </c>
      <c r="E422" s="3" t="e">
        <v>#VALUE!</v>
      </c>
      <c r="F422" s="3" t="e">
        <v>#VALUE!</v>
      </c>
      <c r="G422" s="3"/>
      <c r="I422" s="3"/>
      <c r="J422" s="3"/>
      <c r="K422" s="3"/>
      <c r="N422" s="4" t="s">
        <v>99</v>
      </c>
      <c r="O422" s="2" t="s">
        <v>17</v>
      </c>
      <c r="P422" s="2">
        <v>1.8654115839260312</v>
      </c>
    </row>
    <row r="423" spans="1:16" ht="14.25" customHeight="1">
      <c r="A423" s="2" t="s">
        <v>15</v>
      </c>
      <c r="B423" s="2">
        <v>1961</v>
      </c>
      <c r="C423" s="2" t="s">
        <v>20</v>
      </c>
      <c r="D423" s="3">
        <v>4.976512324730745</v>
      </c>
      <c r="E423" s="3" t="e">
        <v>#N/A</v>
      </c>
      <c r="F423" s="3" t="e">
        <v>#N/A</v>
      </c>
      <c r="G423" s="3"/>
      <c r="I423" s="3"/>
      <c r="J423" s="3"/>
      <c r="K423" s="3"/>
      <c r="N423" s="4" t="s">
        <v>99</v>
      </c>
      <c r="O423" s="2" t="s">
        <v>17</v>
      </c>
      <c r="P423" s="2">
        <v>2.4384910391180652</v>
      </c>
    </row>
    <row r="424" spans="1:16" ht="14.25" customHeight="1">
      <c r="A424" s="2" t="s">
        <v>15</v>
      </c>
      <c r="B424" s="2">
        <v>1962</v>
      </c>
      <c r="C424" s="2" t="s">
        <v>20</v>
      </c>
      <c r="D424" s="3">
        <v>4.456529963422069</v>
      </c>
      <c r="E424" s="3" t="e">
        <v>#N/A</v>
      </c>
      <c r="F424" s="3" t="e">
        <v>#N/A</v>
      </c>
      <c r="G424" s="3"/>
      <c r="I424" s="3"/>
      <c r="J424" s="3"/>
      <c r="K424" s="3"/>
      <c r="N424" s="4" t="s">
        <v>99</v>
      </c>
      <c r="O424" s="2" t="s">
        <v>17</v>
      </c>
      <c r="P424" s="2">
        <v>2.183699682076814</v>
      </c>
    </row>
    <row r="425" spans="1:16" ht="14.25" customHeight="1">
      <c r="A425" s="2" t="s">
        <v>15</v>
      </c>
      <c r="B425" s="2">
        <v>1963</v>
      </c>
      <c r="C425" s="2" t="s">
        <v>20</v>
      </c>
      <c r="D425" s="3">
        <v>4.2739000101605367</v>
      </c>
      <c r="E425" s="3" t="e">
        <v>#N/A</v>
      </c>
      <c r="F425" s="3" t="e">
        <v>#N/A</v>
      </c>
      <c r="G425" s="3"/>
      <c r="I425" s="3"/>
      <c r="J425" s="3"/>
      <c r="K425" s="3"/>
      <c r="N425" s="4" t="s">
        <v>99</v>
      </c>
      <c r="O425" s="2" t="s">
        <v>17</v>
      </c>
      <c r="P425" s="2">
        <v>2.0942110049786629</v>
      </c>
    </row>
    <row r="426" spans="1:16" ht="14.25" customHeight="1">
      <c r="A426" s="2" t="s">
        <v>15</v>
      </c>
      <c r="B426" s="2">
        <v>1964</v>
      </c>
      <c r="C426" s="2" t="s">
        <v>20</v>
      </c>
      <c r="D426" s="3">
        <v>3.3407943304206462</v>
      </c>
      <c r="E426" s="3" t="e">
        <v>#N/A</v>
      </c>
      <c r="F426" s="3" t="e">
        <v>#N/A</v>
      </c>
      <c r="G426" s="3"/>
      <c r="I426" s="3"/>
      <c r="J426" s="3"/>
      <c r="K426" s="3"/>
      <c r="N426" s="4" t="s">
        <v>99</v>
      </c>
      <c r="O426" s="2" t="s">
        <v>17</v>
      </c>
      <c r="P426" s="2">
        <v>1.6369892219061166</v>
      </c>
    </row>
    <row r="427" spans="1:16" ht="14.25" customHeight="1">
      <c r="A427" s="2" t="s">
        <v>15</v>
      </c>
      <c r="B427" s="2">
        <v>1965</v>
      </c>
      <c r="C427" s="2" t="s">
        <v>20</v>
      </c>
      <c r="D427" s="3">
        <v>3.251371672424304</v>
      </c>
      <c r="E427" s="3" t="e">
        <v>#N/A</v>
      </c>
      <c r="F427" s="3" t="e">
        <v>#N/A</v>
      </c>
      <c r="G427" s="3"/>
      <c r="I427" s="3"/>
      <c r="J427" s="3"/>
      <c r="K427" s="3"/>
      <c r="N427" s="4" t="s">
        <v>99</v>
      </c>
      <c r="O427" s="2" t="s">
        <v>17</v>
      </c>
      <c r="P427" s="2">
        <v>1.5931721194879089</v>
      </c>
    </row>
    <row r="428" spans="1:16" ht="14.25" customHeight="1">
      <c r="A428" s="2" t="s">
        <v>15</v>
      </c>
      <c r="B428" s="2">
        <v>1966</v>
      </c>
      <c r="C428" s="2" t="s">
        <v>20</v>
      </c>
      <c r="D428" s="3">
        <v>3.4037797195691932</v>
      </c>
      <c r="E428" s="3" t="e">
        <v>#N/A</v>
      </c>
      <c r="F428" s="3" t="e">
        <v>#N/A</v>
      </c>
      <c r="G428" s="3"/>
      <c r="I428" s="3"/>
      <c r="J428" s="3"/>
      <c r="K428" s="3"/>
      <c r="N428" s="4" t="s">
        <v>99</v>
      </c>
      <c r="O428" s="2" t="s">
        <v>17</v>
      </c>
      <c r="P428" s="2">
        <v>1.6678520625889046</v>
      </c>
    </row>
    <row r="429" spans="1:16" ht="14.25" customHeight="1">
      <c r="A429" s="2" t="s">
        <v>15</v>
      </c>
      <c r="B429" s="2">
        <v>1967</v>
      </c>
      <c r="C429" s="2" t="s">
        <v>20</v>
      </c>
      <c r="D429" s="3">
        <v>4.1150172729120094</v>
      </c>
      <c r="E429" s="3" t="e">
        <v>#N/A</v>
      </c>
      <c r="F429" s="3" t="e">
        <v>#N/A</v>
      </c>
      <c r="G429" s="3"/>
      <c r="I429" s="3"/>
      <c r="J429" s="3"/>
      <c r="K429" s="3"/>
      <c r="N429" s="4" t="s">
        <v>99</v>
      </c>
      <c r="O429" s="2" t="s">
        <v>17</v>
      </c>
      <c r="P429" s="2">
        <v>2.0163584637268848</v>
      </c>
    </row>
    <row r="430" spans="1:16" ht="14.25" customHeight="1">
      <c r="A430" s="2" t="s">
        <v>15</v>
      </c>
      <c r="B430" s="2">
        <v>1968</v>
      </c>
      <c r="C430" s="2" t="s">
        <v>20</v>
      </c>
      <c r="D430" s="3">
        <v>3.9118065433854907</v>
      </c>
      <c r="E430" s="3" t="e">
        <v>#N/A</v>
      </c>
      <c r="F430" s="3" t="e">
        <v>#N/A</v>
      </c>
      <c r="G430" s="3"/>
      <c r="I430" s="3"/>
      <c r="J430" s="3"/>
      <c r="K430" s="3"/>
      <c r="N430" s="4" t="s">
        <v>99</v>
      </c>
      <c r="O430" s="2" t="s">
        <v>17</v>
      </c>
      <c r="P430" s="2">
        <v>1.9167852062588904</v>
      </c>
    </row>
    <row r="431" spans="1:16" ht="14.25" customHeight="1">
      <c r="A431" s="2" t="s">
        <v>15</v>
      </c>
      <c r="B431" s="2">
        <v>1969</v>
      </c>
      <c r="C431" s="2" t="s">
        <v>20</v>
      </c>
      <c r="D431" s="3">
        <v>3.6577931314773418</v>
      </c>
      <c r="E431" s="3" t="e">
        <v>#N/A</v>
      </c>
      <c r="F431" s="3" t="e">
        <v>#N/A</v>
      </c>
      <c r="G431" s="3"/>
      <c r="I431" s="3"/>
      <c r="J431" s="3"/>
      <c r="K431" s="3"/>
      <c r="N431" s="4" t="s">
        <v>99</v>
      </c>
      <c r="O431" s="2" t="s">
        <v>17</v>
      </c>
      <c r="P431" s="2">
        <v>1.7923186344238975</v>
      </c>
    </row>
    <row r="432" spans="1:16" ht="14.25" customHeight="1">
      <c r="A432" s="2" t="s">
        <v>15</v>
      </c>
      <c r="B432" s="2">
        <v>1970</v>
      </c>
      <c r="C432" s="2" t="s">
        <v>20</v>
      </c>
      <c r="D432" s="3">
        <v>4.6230440967283073</v>
      </c>
      <c r="E432" s="3" t="e">
        <v>#N/A</v>
      </c>
      <c r="F432" s="3" t="e">
        <v>#N/A</v>
      </c>
      <c r="G432" s="3"/>
      <c r="I432" s="3"/>
      <c r="J432" s="3"/>
      <c r="K432" s="3"/>
      <c r="N432" s="4" t="s">
        <v>99</v>
      </c>
      <c r="O432" s="2" t="s">
        <v>17</v>
      </c>
      <c r="P432" s="2">
        <v>2.2652916073968705</v>
      </c>
    </row>
    <row r="433" spans="1:16" ht="14.25" customHeight="1">
      <c r="A433" s="2" t="s">
        <v>15</v>
      </c>
      <c r="B433" s="2">
        <v>1971</v>
      </c>
      <c r="C433" s="2" t="s">
        <v>20</v>
      </c>
      <c r="D433" s="3">
        <v>6.5535460272302375</v>
      </c>
      <c r="E433" s="3" t="e">
        <v>#N/A</v>
      </c>
      <c r="F433" s="3" t="e">
        <v>#N/A</v>
      </c>
      <c r="G433" s="3"/>
      <c r="I433" s="3"/>
      <c r="J433" s="3"/>
      <c r="K433" s="3"/>
      <c r="N433" s="4" t="s">
        <v>99</v>
      </c>
      <c r="O433" s="2" t="s">
        <v>17</v>
      </c>
      <c r="P433" s="2">
        <v>3.2112375533428161</v>
      </c>
    </row>
    <row r="434" spans="1:16" ht="14.25" customHeight="1">
      <c r="A434" s="2" t="s">
        <v>15</v>
      </c>
      <c r="B434" s="2">
        <v>1972</v>
      </c>
      <c r="C434" s="2" t="s">
        <v>20</v>
      </c>
      <c r="D434" s="3">
        <v>8.7888640520219461</v>
      </c>
      <c r="E434" s="3" t="e">
        <v>#N/A</v>
      </c>
      <c r="F434" s="3">
        <v>3.3529770371875633</v>
      </c>
      <c r="G434" s="3"/>
      <c r="I434" s="3"/>
      <c r="J434" s="3"/>
      <c r="K434" s="3"/>
      <c r="N434" s="4" t="s">
        <v>99</v>
      </c>
      <c r="O434" s="2" t="s">
        <v>17</v>
      </c>
      <c r="P434" s="2">
        <v>4.3065433854907536</v>
      </c>
    </row>
    <row r="435" spans="1:16" ht="14.25" customHeight="1">
      <c r="A435" s="2" t="s">
        <v>15</v>
      </c>
      <c r="B435" s="2">
        <v>1973</v>
      </c>
      <c r="C435" s="2" t="s">
        <v>20</v>
      </c>
      <c r="D435" s="3">
        <v>21.387929282666125</v>
      </c>
      <c r="E435" s="3" t="e">
        <v>#N/A</v>
      </c>
      <c r="F435" s="3">
        <v>3.3529770371875633</v>
      </c>
      <c r="G435" s="3"/>
      <c r="I435" s="3"/>
      <c r="J435" s="3"/>
      <c r="K435" s="3"/>
      <c r="N435" s="4" t="s">
        <v>99</v>
      </c>
      <c r="O435" s="2" t="s">
        <v>17</v>
      </c>
      <c r="P435" s="2">
        <v>10.480085348506401</v>
      </c>
    </row>
    <row r="436" spans="1:16" ht="14.25" customHeight="1">
      <c r="A436" s="2" t="s">
        <v>15</v>
      </c>
      <c r="B436" s="2">
        <v>1974</v>
      </c>
      <c r="C436" s="2" t="s">
        <v>20</v>
      </c>
      <c r="D436" s="3">
        <v>35.206258890469414</v>
      </c>
      <c r="E436" s="3" t="e">
        <v>#N/A</v>
      </c>
      <c r="F436" s="3">
        <v>3.5053850843324525</v>
      </c>
      <c r="G436" s="3"/>
      <c r="I436" s="3"/>
      <c r="J436" s="3"/>
      <c r="K436" s="3"/>
      <c r="N436" s="4" t="s">
        <v>99</v>
      </c>
      <c r="O436" s="2" t="s">
        <v>17</v>
      </c>
      <c r="P436" s="2">
        <v>17.251066856330013</v>
      </c>
    </row>
    <row r="437" spans="1:16" ht="14.25" customHeight="1">
      <c r="A437" s="2" t="s">
        <v>15</v>
      </c>
      <c r="B437" s="2">
        <v>1975</v>
      </c>
      <c r="C437" s="2" t="s">
        <v>20</v>
      </c>
      <c r="D437" s="3">
        <v>48.375999999999998</v>
      </c>
      <c r="E437" s="3" t="e">
        <v>#N/A</v>
      </c>
      <c r="F437" s="3">
        <v>3.5760000000000001</v>
      </c>
      <c r="G437" s="3"/>
      <c r="I437" s="3"/>
      <c r="J437" s="3"/>
      <c r="K437" s="3"/>
      <c r="N437" s="4" t="s">
        <v>99</v>
      </c>
      <c r="O437" s="2" t="s">
        <v>17</v>
      </c>
      <c r="P437" s="2">
        <v>23.704239999999999</v>
      </c>
    </row>
    <row r="438" spans="1:16" ht="14.25" customHeight="1">
      <c r="A438" s="2" t="s">
        <v>15</v>
      </c>
      <c r="B438" s="2">
        <v>1976</v>
      </c>
      <c r="C438" s="2" t="s">
        <v>20</v>
      </c>
      <c r="D438" s="3">
        <v>87.097999999999999</v>
      </c>
      <c r="E438" s="3" t="e">
        <v>#N/A</v>
      </c>
      <c r="F438" s="3">
        <v>3.1120000000000001</v>
      </c>
      <c r="G438" s="3"/>
      <c r="I438" s="3"/>
      <c r="J438" s="3"/>
      <c r="K438" s="3"/>
      <c r="N438" s="4" t="s">
        <v>101</v>
      </c>
      <c r="O438" s="2" t="s">
        <v>17</v>
      </c>
      <c r="P438" s="2">
        <v>42.678019999999997</v>
      </c>
    </row>
    <row r="439" spans="1:16" ht="14.25" customHeight="1">
      <c r="A439" s="2" t="s">
        <v>15</v>
      </c>
      <c r="B439" s="2">
        <v>1977</v>
      </c>
      <c r="C439" s="2" t="s">
        <v>20</v>
      </c>
      <c r="D439" s="3">
        <v>186.76499999999999</v>
      </c>
      <c r="E439" s="3" t="e">
        <v>#N/A</v>
      </c>
      <c r="F439" s="3">
        <v>2.609</v>
      </c>
      <c r="G439" s="3"/>
      <c r="I439" s="3"/>
      <c r="J439" s="3"/>
      <c r="K439" s="3"/>
      <c r="N439" s="4" t="s">
        <v>101</v>
      </c>
      <c r="O439" s="2" t="s">
        <v>17</v>
      </c>
      <c r="P439" s="2">
        <v>91.514849999999996</v>
      </c>
    </row>
    <row r="440" spans="1:16" ht="14.25" customHeight="1">
      <c r="A440" s="2" t="s">
        <v>15</v>
      </c>
      <c r="B440" s="2">
        <v>1978</v>
      </c>
      <c r="C440" s="2" t="s">
        <v>20</v>
      </c>
      <c r="D440" s="3">
        <v>320.95999999999998</v>
      </c>
      <c r="E440" s="3" t="e">
        <v>#N/A</v>
      </c>
      <c r="F440" s="3">
        <v>1.254</v>
      </c>
      <c r="G440" s="3"/>
      <c r="I440" s="3"/>
      <c r="J440" s="3"/>
      <c r="K440" s="3"/>
      <c r="N440" s="4" t="s">
        <v>101</v>
      </c>
      <c r="O440" s="2" t="s">
        <v>17</v>
      </c>
      <c r="P440" s="2">
        <v>157.2704</v>
      </c>
    </row>
    <row r="441" spans="1:16" ht="14.25" customHeight="1">
      <c r="A441" s="2" t="s">
        <v>15</v>
      </c>
      <c r="B441" s="2">
        <v>1979</v>
      </c>
      <c r="C441" s="2" t="s">
        <v>20</v>
      </c>
      <c r="D441" s="3">
        <v>353.45400000000001</v>
      </c>
      <c r="E441" s="3" t="e">
        <v>#N/A</v>
      </c>
      <c r="F441" s="3">
        <v>1.395</v>
      </c>
      <c r="G441" s="3"/>
      <c r="I441" s="3"/>
      <c r="J441" s="3"/>
      <c r="K441" s="3"/>
      <c r="N441" s="4" t="s">
        <v>101</v>
      </c>
      <c r="O441" s="2" t="s">
        <v>17</v>
      </c>
      <c r="P441" s="2">
        <v>173.19246000000001</v>
      </c>
    </row>
    <row r="442" spans="1:16" ht="14.25" customHeight="1">
      <c r="A442" s="2" t="s">
        <v>15</v>
      </c>
      <c r="B442" s="2">
        <v>1980</v>
      </c>
      <c r="C442" s="2" t="s">
        <v>20</v>
      </c>
      <c r="D442" s="3">
        <v>253.1</v>
      </c>
      <c r="E442" s="3" t="e">
        <v>#N/A</v>
      </c>
      <c r="F442" s="3">
        <v>2.2490000000000001</v>
      </c>
      <c r="G442" s="3"/>
      <c r="I442" s="3"/>
      <c r="J442" s="3"/>
      <c r="K442" s="3"/>
      <c r="N442" s="4" t="s">
        <v>101</v>
      </c>
      <c r="O442" s="2" t="s">
        <v>17</v>
      </c>
      <c r="P442" s="2">
        <v>124.01899999999999</v>
      </c>
    </row>
    <row r="443" spans="1:16" ht="14.25" customHeight="1">
      <c r="A443" s="2" t="s">
        <v>15</v>
      </c>
      <c r="B443" s="2">
        <v>1981</v>
      </c>
      <c r="C443" s="2" t="s">
        <v>20</v>
      </c>
      <c r="D443" s="3">
        <v>197.232</v>
      </c>
      <c r="E443" s="3" t="e">
        <v>#N/A</v>
      </c>
      <c r="F443" s="3">
        <v>1.6259999999999999</v>
      </c>
      <c r="G443" s="3"/>
      <c r="I443" s="3"/>
      <c r="J443" s="3"/>
      <c r="K443" s="3"/>
      <c r="N443" s="4" t="s">
        <v>101</v>
      </c>
      <c r="O443" s="2" t="s">
        <v>17</v>
      </c>
      <c r="P443" s="2">
        <v>96.643680000000003</v>
      </c>
    </row>
    <row r="444" spans="1:16" ht="14.25" customHeight="1">
      <c r="A444" s="2" t="s">
        <v>15</v>
      </c>
      <c r="B444" s="2">
        <v>1982</v>
      </c>
      <c r="C444" s="2" t="s">
        <v>20</v>
      </c>
      <c r="D444" s="3">
        <v>185.666</v>
      </c>
      <c r="E444" s="3" t="e">
        <v>#N/A</v>
      </c>
      <c r="F444" s="3">
        <v>1.546</v>
      </c>
      <c r="G444" s="3"/>
      <c r="I444" s="3"/>
      <c r="J444" s="3"/>
      <c r="K444" s="3"/>
      <c r="N444" s="4" t="s">
        <v>101</v>
      </c>
      <c r="O444" s="2" t="s">
        <v>17</v>
      </c>
      <c r="P444" s="2">
        <v>90.976339999999993</v>
      </c>
    </row>
    <row r="445" spans="1:16" ht="14.25" customHeight="1">
      <c r="A445" s="2" t="s">
        <v>15</v>
      </c>
      <c r="B445" s="2">
        <v>1983</v>
      </c>
      <c r="C445" s="2" t="s">
        <v>20</v>
      </c>
      <c r="D445" s="3">
        <v>175.47499999999999</v>
      </c>
      <c r="E445" s="3" t="e">
        <v>#N/A</v>
      </c>
      <c r="F445" s="3">
        <v>2.0489999999999999</v>
      </c>
      <c r="G445" s="3"/>
      <c r="I445" s="3"/>
      <c r="J445" s="3"/>
      <c r="K445" s="3"/>
      <c r="N445" s="4" t="s">
        <v>101</v>
      </c>
      <c r="O445" s="2" t="s">
        <v>17</v>
      </c>
      <c r="P445" s="2">
        <v>85.982749999999996</v>
      </c>
    </row>
    <row r="446" spans="1:16" ht="14.25" customHeight="1">
      <c r="A446" s="2" t="s">
        <v>15</v>
      </c>
      <c r="B446" s="2">
        <v>1984</v>
      </c>
      <c r="C446" s="2" t="s">
        <v>20</v>
      </c>
      <c r="D446" s="3">
        <v>186.32900000000001</v>
      </c>
      <c r="E446" s="3" t="e">
        <v>#N/A</v>
      </c>
      <c r="F446" s="3">
        <v>1.923</v>
      </c>
      <c r="G446" s="3"/>
      <c r="I446" s="3"/>
      <c r="J446" s="3"/>
      <c r="K446" s="3"/>
      <c r="N446" s="4" t="s">
        <v>101</v>
      </c>
      <c r="O446" s="2" t="s">
        <v>17</v>
      </c>
      <c r="P446" s="2">
        <v>91.301209999999998</v>
      </c>
    </row>
    <row r="447" spans="1:16" ht="14.25" customHeight="1">
      <c r="A447" s="2" t="s">
        <v>15</v>
      </c>
      <c r="B447" s="2">
        <v>1985</v>
      </c>
      <c r="C447" s="2" t="s">
        <v>20</v>
      </c>
      <c r="D447" s="3">
        <v>174.22300000000001</v>
      </c>
      <c r="E447" s="3" t="e">
        <v>#N/A</v>
      </c>
      <c r="F447" s="3">
        <v>2.3290000000000002</v>
      </c>
      <c r="G447" s="3"/>
      <c r="I447" s="3"/>
      <c r="J447" s="3"/>
      <c r="K447" s="3"/>
      <c r="N447" s="4" t="s">
        <v>101</v>
      </c>
      <c r="O447" s="2" t="s">
        <v>17</v>
      </c>
      <c r="P447" s="2">
        <v>85.36927</v>
      </c>
    </row>
    <row r="448" spans="1:16" ht="14.25" customHeight="1">
      <c r="A448" s="2" t="s">
        <v>15</v>
      </c>
      <c r="B448" s="2">
        <v>1986</v>
      </c>
      <c r="C448" s="2" t="s">
        <v>20</v>
      </c>
      <c r="D448" s="3">
        <v>132.09899999999999</v>
      </c>
      <c r="E448" s="3" t="e">
        <v>#N/A</v>
      </c>
      <c r="F448" s="3">
        <v>2.5179999999999998</v>
      </c>
      <c r="G448" s="3"/>
      <c r="I448" s="3"/>
      <c r="J448" s="3"/>
      <c r="K448" s="3"/>
      <c r="N448" s="4" t="s">
        <v>101</v>
      </c>
      <c r="O448" s="2" t="s">
        <v>17</v>
      </c>
      <c r="P448" s="2">
        <v>64.72851</v>
      </c>
    </row>
    <row r="449" spans="1:16" ht="14.25" customHeight="1">
      <c r="A449" s="2" t="s">
        <v>15</v>
      </c>
      <c r="B449" s="2">
        <v>1987</v>
      </c>
      <c r="C449" s="2" t="s">
        <v>20</v>
      </c>
      <c r="D449" s="3">
        <v>189.35400000000001</v>
      </c>
      <c r="E449" s="3" t="e">
        <v>#N/A</v>
      </c>
      <c r="F449" s="3">
        <v>2.0760000000000001</v>
      </c>
      <c r="G449" s="3"/>
      <c r="I449" s="3"/>
      <c r="J449" s="3"/>
      <c r="K449" s="3"/>
      <c r="N449" s="4" t="s">
        <v>101</v>
      </c>
      <c r="O449" s="2" t="s">
        <v>17</v>
      </c>
      <c r="P449" s="2">
        <v>92.783460000000005</v>
      </c>
    </row>
    <row r="450" spans="1:16" ht="14.25" customHeight="1">
      <c r="A450" s="2" t="s">
        <v>15</v>
      </c>
      <c r="B450" s="2">
        <v>1988</v>
      </c>
      <c r="C450" s="2" t="s">
        <v>20</v>
      </c>
      <c r="D450" s="3">
        <v>176.06100000000001</v>
      </c>
      <c r="E450" s="3" t="e">
        <v>#N/A</v>
      </c>
      <c r="F450" s="3">
        <v>0.84199999999999997</v>
      </c>
      <c r="G450" s="3"/>
      <c r="H450" s="2">
        <v>35.5045871559633</v>
      </c>
      <c r="I450" s="3"/>
      <c r="J450" s="3"/>
      <c r="K450" s="3"/>
      <c r="N450" s="4" t="s">
        <v>101</v>
      </c>
      <c r="O450" s="2" t="s">
        <v>17</v>
      </c>
      <c r="P450" s="2">
        <v>86.269890000000004</v>
      </c>
    </row>
    <row r="451" spans="1:16" ht="14.25" customHeight="1">
      <c r="A451" s="2" t="s">
        <v>15</v>
      </c>
      <c r="B451" s="2">
        <v>1989</v>
      </c>
      <c r="C451" s="2" t="s">
        <v>20</v>
      </c>
      <c r="D451" s="3">
        <v>158.03200000000001</v>
      </c>
      <c r="E451" s="3" t="e">
        <v>#N/A</v>
      </c>
      <c r="F451" s="3">
        <v>2.3780000000000001</v>
      </c>
      <c r="G451" s="3"/>
      <c r="H451" s="2">
        <v>30.36697247706422</v>
      </c>
      <c r="I451" s="3"/>
      <c r="J451" s="3"/>
      <c r="K451" s="3"/>
      <c r="N451" s="4" t="s">
        <v>101</v>
      </c>
      <c r="O451" s="2" t="s">
        <v>17</v>
      </c>
      <c r="P451" s="2">
        <v>77.435680000000005</v>
      </c>
    </row>
    <row r="452" spans="1:16" ht="14.25" customHeight="1">
      <c r="A452" s="2" t="s">
        <v>15</v>
      </c>
      <c r="B452" s="2">
        <v>1990</v>
      </c>
      <c r="C452" s="2" t="s">
        <v>20</v>
      </c>
      <c r="D452" s="3">
        <v>146.54499999999999</v>
      </c>
      <c r="E452" s="3" t="e">
        <v>#N/A</v>
      </c>
      <c r="F452" s="3">
        <v>3.1219999999999999</v>
      </c>
      <c r="G452" s="3"/>
      <c r="H452" s="2">
        <v>44.495412844036693</v>
      </c>
      <c r="I452" s="3"/>
      <c r="J452" s="3"/>
      <c r="K452" s="3"/>
      <c r="N452" s="4" t="s">
        <v>101</v>
      </c>
      <c r="O452" s="2" t="s">
        <v>17</v>
      </c>
      <c r="P452" s="2">
        <v>71.80704999999999</v>
      </c>
    </row>
    <row r="453" spans="1:16" ht="14.25" customHeight="1">
      <c r="A453" s="2" t="s">
        <v>15</v>
      </c>
      <c r="B453" s="2">
        <v>1991</v>
      </c>
      <c r="C453" s="2" t="s">
        <v>20</v>
      </c>
      <c r="D453" s="3">
        <v>115.04587155963297</v>
      </c>
      <c r="E453" s="4">
        <v>0.97199999999999998</v>
      </c>
      <c r="F453" s="4">
        <v>2.7549999999999999</v>
      </c>
      <c r="G453" s="4"/>
      <c r="H453" s="2">
        <v>67.981651376146786</v>
      </c>
      <c r="I453" s="3"/>
      <c r="J453" s="3"/>
      <c r="K453" s="3"/>
      <c r="N453" s="4" t="s">
        <v>101</v>
      </c>
      <c r="O453" s="2" t="s">
        <v>17</v>
      </c>
      <c r="P453" s="2">
        <v>56.372477064220156</v>
      </c>
    </row>
    <row r="454" spans="1:16" ht="14.25" customHeight="1">
      <c r="A454" s="2" t="s">
        <v>15</v>
      </c>
      <c r="B454" s="2">
        <v>1992</v>
      </c>
      <c r="C454" s="2" t="s">
        <v>20</v>
      </c>
      <c r="D454" s="3">
        <v>138.25688073394485</v>
      </c>
      <c r="E454" s="4">
        <v>1.1539999999999999</v>
      </c>
      <c r="F454" s="4">
        <v>2.2589999999999999</v>
      </c>
      <c r="G454" s="4"/>
      <c r="H454" s="2">
        <v>76.880733944954116</v>
      </c>
      <c r="I454" s="3"/>
      <c r="J454" s="3"/>
      <c r="K454" s="3"/>
      <c r="N454" s="4" t="s">
        <v>101</v>
      </c>
      <c r="O454" s="2" t="s">
        <v>17</v>
      </c>
      <c r="P454" s="2">
        <v>67.745871559632974</v>
      </c>
    </row>
    <row r="455" spans="1:16" ht="14.25" customHeight="1">
      <c r="A455" s="2" t="s">
        <v>15</v>
      </c>
      <c r="B455" s="2">
        <v>1993</v>
      </c>
      <c r="C455" s="2" t="s">
        <v>20</v>
      </c>
      <c r="D455" s="3">
        <v>148.44036697247699</v>
      </c>
      <c r="E455" s="4">
        <v>114.092</v>
      </c>
      <c r="F455" s="4">
        <v>10.675000000000001</v>
      </c>
      <c r="G455" s="4"/>
      <c r="H455" s="2">
        <v>87.981651376146786</v>
      </c>
      <c r="I455" s="3"/>
      <c r="J455" s="3"/>
      <c r="K455" s="3"/>
      <c r="N455" s="4" t="s">
        <v>101</v>
      </c>
      <c r="O455" s="2" t="s">
        <v>17</v>
      </c>
      <c r="P455" s="2">
        <v>72.735779816513727</v>
      </c>
    </row>
    <row r="456" spans="1:16" ht="14.25" customHeight="1">
      <c r="A456" s="2" t="s">
        <v>15</v>
      </c>
      <c r="B456" s="2">
        <v>1994</v>
      </c>
      <c r="C456" s="2" t="s">
        <v>20</v>
      </c>
      <c r="D456" s="3">
        <v>143.03669724770634</v>
      </c>
      <c r="E456" s="4">
        <v>125.98399999999999</v>
      </c>
      <c r="F456" s="4">
        <v>14.484999999999999</v>
      </c>
      <c r="G456" s="4"/>
      <c r="H456" s="2">
        <v>75.77981651376146</v>
      </c>
      <c r="I456" s="3"/>
      <c r="J456" s="3"/>
      <c r="K456" s="3"/>
      <c r="N456" s="4" t="s">
        <v>101</v>
      </c>
      <c r="O456" s="2" t="s">
        <v>17</v>
      </c>
      <c r="P456" s="2">
        <v>70.087981651376111</v>
      </c>
    </row>
    <row r="457" spans="1:16" ht="14.25" customHeight="1">
      <c r="A457" s="2" t="s">
        <v>15</v>
      </c>
      <c r="B457" s="2">
        <v>1995</v>
      </c>
      <c r="C457" s="2" t="s">
        <v>20</v>
      </c>
      <c r="D457" s="3">
        <v>128.84403669724765</v>
      </c>
      <c r="E457" s="4">
        <v>99.091999999999999</v>
      </c>
      <c r="F457" s="4">
        <v>17.091999999999999</v>
      </c>
      <c r="G457" s="4"/>
      <c r="H457" s="2">
        <v>71.651376146788976</v>
      </c>
      <c r="I457" s="3"/>
      <c r="J457" s="3"/>
      <c r="K457" s="3"/>
      <c r="N457" s="4" t="s">
        <v>101</v>
      </c>
      <c r="O457" s="2" t="s">
        <v>17</v>
      </c>
      <c r="P457" s="2">
        <v>63.133577981651342</v>
      </c>
    </row>
    <row r="458" spans="1:16" ht="14.25" customHeight="1">
      <c r="A458" s="2" t="s">
        <v>15</v>
      </c>
      <c r="B458" s="2">
        <v>1996</v>
      </c>
      <c r="C458" s="2" t="s">
        <v>20</v>
      </c>
      <c r="D458" s="3">
        <v>55.811009174311899</v>
      </c>
      <c r="E458" s="4">
        <v>55.064999999999998</v>
      </c>
      <c r="F458" s="4">
        <v>6.3010000000000002</v>
      </c>
      <c r="G458" s="4"/>
      <c r="H458" s="2">
        <v>80.091743119266042</v>
      </c>
      <c r="I458" s="3"/>
      <c r="J458" s="3"/>
      <c r="K458" s="3"/>
      <c r="N458" s="4" t="s">
        <v>101</v>
      </c>
      <c r="O458" s="2" t="s">
        <v>17</v>
      </c>
      <c r="P458" s="2">
        <v>27.347394495412829</v>
      </c>
    </row>
    <row r="459" spans="1:16" ht="14.25" customHeight="1">
      <c r="A459" s="2" t="s">
        <v>15</v>
      </c>
      <c r="B459" s="2">
        <v>1997</v>
      </c>
      <c r="C459" s="2" t="s">
        <v>20</v>
      </c>
      <c r="D459" s="3">
        <v>57.959633027522905</v>
      </c>
      <c r="E459" s="4">
        <v>56.015000000000001</v>
      </c>
      <c r="F459" s="4">
        <v>6.2110000000000003</v>
      </c>
      <c r="G459" s="4"/>
      <c r="H459" s="2">
        <v>79.174311926605498</v>
      </c>
      <c r="I459" s="3"/>
      <c r="J459" s="3"/>
      <c r="K459" s="3"/>
      <c r="N459" s="4" t="s">
        <v>101</v>
      </c>
      <c r="O459" s="2" t="s">
        <v>17</v>
      </c>
      <c r="P459" s="2">
        <v>28.400220183486223</v>
      </c>
    </row>
    <row r="460" spans="1:16" ht="14.25" customHeight="1">
      <c r="A460" s="2" t="s">
        <v>15</v>
      </c>
      <c r="B460" s="2">
        <v>1998</v>
      </c>
      <c r="C460" s="2" t="s">
        <v>20</v>
      </c>
      <c r="D460" s="3">
        <v>49.936697247706391</v>
      </c>
      <c r="E460" s="4">
        <v>68.507999999999996</v>
      </c>
      <c r="F460" s="4">
        <v>9.1329999999999991</v>
      </c>
      <c r="G460" s="4"/>
      <c r="H460" s="2">
        <v>114.95412844036696</v>
      </c>
      <c r="I460" s="3"/>
      <c r="J460" s="3"/>
      <c r="K460" s="3"/>
      <c r="N460" s="4" t="s">
        <v>101</v>
      </c>
      <c r="O460" s="2" t="s">
        <v>17</v>
      </c>
      <c r="P460" s="2">
        <v>24.468981651376133</v>
      </c>
    </row>
    <row r="461" spans="1:16" ht="14.25" customHeight="1">
      <c r="A461" s="2" t="s">
        <v>15</v>
      </c>
      <c r="B461" s="2">
        <v>1999</v>
      </c>
      <c r="C461" s="2" t="s">
        <v>20</v>
      </c>
      <c r="D461" s="3">
        <v>37.900917431192639</v>
      </c>
      <c r="E461" s="4">
        <v>62.415999999999997</v>
      </c>
      <c r="F461" s="4">
        <v>7.7169999999999996</v>
      </c>
      <c r="G461" s="4"/>
      <c r="H461" s="2">
        <v>114.95412844036696</v>
      </c>
      <c r="I461" s="3"/>
      <c r="J461" s="3"/>
      <c r="K461" s="3"/>
      <c r="N461" s="4" t="s">
        <v>101</v>
      </c>
      <c r="O461" s="2" t="s">
        <v>17</v>
      </c>
      <c r="P461" s="2">
        <v>18.571449541284391</v>
      </c>
    </row>
    <row r="462" spans="1:16" ht="14.25" customHeight="1">
      <c r="A462" s="2" t="s">
        <v>15</v>
      </c>
      <c r="B462" s="2">
        <v>2000</v>
      </c>
      <c r="C462" s="2" t="s">
        <v>20</v>
      </c>
      <c r="D462" s="3">
        <v>50.107339449541257</v>
      </c>
      <c r="E462" s="4">
        <v>92.356999999999999</v>
      </c>
      <c r="F462" s="4">
        <v>9.6509999999999998</v>
      </c>
      <c r="G462" s="4"/>
      <c r="H462" s="2">
        <v>127.7064220183486</v>
      </c>
      <c r="I462" s="3"/>
      <c r="J462" s="3"/>
      <c r="K462" s="3"/>
      <c r="N462" s="4" t="s">
        <v>101</v>
      </c>
      <c r="O462" s="2" t="s">
        <v>17</v>
      </c>
      <c r="P462" s="2">
        <v>24.552596330275215</v>
      </c>
    </row>
    <row r="463" spans="1:16" ht="14.25" customHeight="1">
      <c r="A463" s="2" t="s">
        <v>15</v>
      </c>
      <c r="B463" s="2">
        <v>2001</v>
      </c>
      <c r="C463" s="2" t="s">
        <v>20</v>
      </c>
      <c r="D463" s="3">
        <v>58.634862385321071</v>
      </c>
      <c r="E463" s="3">
        <v>114.458</v>
      </c>
      <c r="F463" s="3">
        <v>21.481999999999999</v>
      </c>
      <c r="G463" s="3"/>
      <c r="H463" s="2">
        <v>123.8532110091743</v>
      </c>
      <c r="I463" s="3"/>
      <c r="J463" s="3"/>
      <c r="K463" s="3"/>
      <c r="N463" s="4" t="s">
        <v>101</v>
      </c>
      <c r="O463" s="2" t="s">
        <v>17</v>
      </c>
      <c r="P463" s="2">
        <v>28.731082568807324</v>
      </c>
    </row>
    <row r="464" spans="1:16" ht="14.25" customHeight="1">
      <c r="A464" s="2" t="s">
        <v>15</v>
      </c>
      <c r="B464" s="2">
        <v>2002</v>
      </c>
      <c r="C464" s="2" t="s">
        <v>20</v>
      </c>
      <c r="D464" s="3">
        <v>88.632110091743073</v>
      </c>
      <c r="E464" s="3">
        <v>104.27</v>
      </c>
      <c r="F464" s="3">
        <v>25.152000000000001</v>
      </c>
      <c r="G464" s="3"/>
      <c r="H464" s="2">
        <v>95.229357798165125</v>
      </c>
      <c r="I464" s="3"/>
      <c r="J464" s="3"/>
      <c r="K464" s="3"/>
      <c r="N464" s="4" t="s">
        <v>101</v>
      </c>
      <c r="O464" s="2" t="s">
        <v>17</v>
      </c>
      <c r="P464" s="2">
        <v>43.429733944954101</v>
      </c>
    </row>
    <row r="465" spans="1:16" ht="14.25" customHeight="1">
      <c r="A465" s="2" t="s">
        <v>15</v>
      </c>
      <c r="B465" s="2">
        <v>2003</v>
      </c>
      <c r="C465" s="2" t="s">
        <v>20</v>
      </c>
      <c r="D465" s="3">
        <v>97.642201834862334</v>
      </c>
      <c r="E465" s="2">
        <v>131.80000000000001</v>
      </c>
      <c r="F465" s="2">
        <v>17.5</v>
      </c>
      <c r="H465" s="2">
        <v>70.183486238532112</v>
      </c>
      <c r="I465" s="3"/>
      <c r="J465" s="3"/>
      <c r="K465" s="3"/>
      <c r="N465" s="4" t="s">
        <v>101</v>
      </c>
      <c r="O465" s="2" t="s">
        <v>17</v>
      </c>
      <c r="P465" s="2">
        <v>47.844678899082545</v>
      </c>
    </row>
    <row r="466" spans="1:16" ht="14.25" customHeight="1">
      <c r="A466" s="2" t="s">
        <v>15</v>
      </c>
      <c r="B466" s="2">
        <v>2004</v>
      </c>
      <c r="C466" s="2" t="s">
        <v>20</v>
      </c>
      <c r="D466" s="3">
        <v>105.78256880733939</v>
      </c>
      <c r="E466" s="2">
        <v>120.5</v>
      </c>
      <c r="F466" s="2">
        <v>21.6</v>
      </c>
      <c r="H466" s="2">
        <v>54.495412844036693</v>
      </c>
      <c r="I466" s="3"/>
      <c r="J466" s="3"/>
      <c r="K466" s="3"/>
      <c r="N466" s="4" t="s">
        <v>101</v>
      </c>
      <c r="O466" s="2" t="s">
        <v>17</v>
      </c>
      <c r="P466" s="2">
        <v>51.833458715596301</v>
      </c>
    </row>
    <row r="467" spans="1:16" ht="14.25" customHeight="1">
      <c r="A467" s="2" t="s">
        <v>15</v>
      </c>
      <c r="B467" s="2">
        <v>2005</v>
      </c>
      <c r="C467" s="2" t="s">
        <v>20</v>
      </c>
      <c r="D467" s="3">
        <v>110.87339449541278</v>
      </c>
      <c r="E467" s="2">
        <v>100.8</v>
      </c>
      <c r="F467" s="2">
        <v>27.1</v>
      </c>
      <c r="H467" s="2">
        <v>31.743119266055047</v>
      </c>
      <c r="I467" s="3"/>
      <c r="J467" s="3"/>
      <c r="K467" s="3"/>
      <c r="N467" s="4" t="s">
        <v>101</v>
      </c>
      <c r="O467" s="2" t="s">
        <v>17</v>
      </c>
      <c r="P467" s="2">
        <v>54.327963302752259</v>
      </c>
    </row>
    <row r="468" spans="1:16" ht="14.25" customHeight="1">
      <c r="A468" s="2" t="s">
        <v>15</v>
      </c>
      <c r="B468" s="2">
        <v>2006</v>
      </c>
      <c r="C468" s="2" t="s">
        <v>20</v>
      </c>
      <c r="D468" s="3">
        <v>64.58715596330272</v>
      </c>
      <c r="E468" s="2">
        <v>74.599999999999994</v>
      </c>
      <c r="F468" s="2">
        <v>32.6</v>
      </c>
      <c r="H468" s="2">
        <v>30</v>
      </c>
      <c r="I468" s="3"/>
      <c r="J468" s="3"/>
      <c r="K468" s="3"/>
      <c r="N468" s="4" t="s">
        <v>101</v>
      </c>
      <c r="O468" s="2" t="s">
        <v>17</v>
      </c>
      <c r="P468" s="2">
        <v>31.647706422018331</v>
      </c>
    </row>
    <row r="469" spans="1:16" ht="14.25" customHeight="1">
      <c r="A469" s="2" t="s">
        <v>15</v>
      </c>
      <c r="B469" s="2">
        <v>2007</v>
      </c>
      <c r="C469" s="2" t="s">
        <v>20</v>
      </c>
      <c r="D469" s="3">
        <v>92.019266055045819</v>
      </c>
      <c r="E469" s="2">
        <v>99.7</v>
      </c>
      <c r="F469" s="2">
        <v>31</v>
      </c>
      <c r="H469" s="2">
        <v>30.825688073394495</v>
      </c>
      <c r="I469" s="3"/>
      <c r="J469" s="3"/>
      <c r="K469" s="3"/>
      <c r="N469" s="4" t="s">
        <v>101</v>
      </c>
      <c r="O469" s="2" t="s">
        <v>17</v>
      </c>
      <c r="P469" s="2">
        <v>45.089440366972447</v>
      </c>
    </row>
    <row r="470" spans="1:16" ht="14.25" customHeight="1">
      <c r="A470" s="2" t="s">
        <v>15</v>
      </c>
      <c r="B470" s="2">
        <v>2008</v>
      </c>
      <c r="C470" s="2" t="s">
        <v>20</v>
      </c>
      <c r="D470" s="3">
        <v>83.232110091743067</v>
      </c>
      <c r="E470" s="2">
        <v>78.7</v>
      </c>
      <c r="F470" s="2">
        <v>27.1</v>
      </c>
      <c r="H470" s="2">
        <v>34.403669724770637</v>
      </c>
      <c r="I470" s="3"/>
      <c r="J470" s="3"/>
      <c r="K470" s="3"/>
      <c r="N470" s="4" t="s">
        <v>101</v>
      </c>
      <c r="O470" s="2" t="s">
        <v>17</v>
      </c>
      <c r="P470" s="2">
        <v>40.783733944954101</v>
      </c>
    </row>
    <row r="471" spans="1:16" ht="14.25" customHeight="1">
      <c r="A471" s="2" t="s">
        <v>15</v>
      </c>
      <c r="B471" s="2">
        <v>2009</v>
      </c>
      <c r="C471" s="2" t="s">
        <v>20</v>
      </c>
      <c r="D471" s="3">
        <v>91.986238532110036</v>
      </c>
      <c r="E471" s="2">
        <v>103.1</v>
      </c>
      <c r="F471" s="2">
        <v>32</v>
      </c>
      <c r="H471" s="2">
        <v>66.055045871559628</v>
      </c>
      <c r="I471" s="3"/>
      <c r="J471" s="3"/>
      <c r="K471" s="3"/>
      <c r="N471" s="4" t="s">
        <v>101</v>
      </c>
      <c r="O471" s="2" t="s">
        <v>17</v>
      </c>
      <c r="P471" s="2">
        <v>45.073256880733915</v>
      </c>
    </row>
    <row r="472" spans="1:16" ht="14.25" customHeight="1">
      <c r="A472" s="2" t="s">
        <v>15</v>
      </c>
      <c r="B472" s="2">
        <v>2010</v>
      </c>
      <c r="C472" s="2" t="s">
        <v>20</v>
      </c>
      <c r="D472" s="3">
        <v>91.651376146788948</v>
      </c>
      <c r="E472" s="2">
        <v>112.6</v>
      </c>
      <c r="F472" s="2">
        <v>45.5</v>
      </c>
      <c r="H472" s="2">
        <v>55.77981651376146</v>
      </c>
      <c r="I472" s="3"/>
      <c r="J472" s="3"/>
      <c r="K472" s="3"/>
      <c r="N472" s="4" t="s">
        <v>101</v>
      </c>
      <c r="O472" s="2" t="s">
        <v>17</v>
      </c>
      <c r="P472" s="2">
        <v>44.909174311926584</v>
      </c>
    </row>
    <row r="473" spans="1:16" ht="14.25" customHeight="1">
      <c r="A473" s="2" t="s">
        <v>15</v>
      </c>
      <c r="B473" s="2">
        <v>2011</v>
      </c>
      <c r="C473" s="2" t="s">
        <v>20</v>
      </c>
      <c r="D473" s="3">
        <v>86.60550458715592</v>
      </c>
      <c r="E473" s="2">
        <v>77.8</v>
      </c>
      <c r="F473" s="2">
        <v>33.5</v>
      </c>
      <c r="H473" s="2">
        <v>80.550458715596321</v>
      </c>
      <c r="I473" s="3"/>
      <c r="J473" s="3"/>
      <c r="K473" s="3"/>
      <c r="N473" s="4" t="s">
        <v>101</v>
      </c>
      <c r="O473" s="2" t="s">
        <v>17</v>
      </c>
      <c r="P473" s="2">
        <v>42.436697247706398</v>
      </c>
    </row>
    <row r="474" spans="1:16" ht="14.25" customHeight="1">
      <c r="A474" s="2" t="s">
        <v>15</v>
      </c>
      <c r="B474" s="2">
        <v>2012</v>
      </c>
      <c r="C474" s="2" t="s">
        <v>20</v>
      </c>
      <c r="D474" s="3">
        <v>62.201834862385283</v>
      </c>
      <c r="E474" s="2">
        <v>75</v>
      </c>
      <c r="F474" s="2">
        <v>49</v>
      </c>
      <c r="H474" s="2">
        <v>92.660550458715591</v>
      </c>
      <c r="I474" s="3"/>
      <c r="J474" s="3"/>
      <c r="K474" s="3"/>
      <c r="N474" s="4" t="s">
        <v>101</v>
      </c>
      <c r="O474" s="2" t="s">
        <v>17</v>
      </c>
      <c r="P474" s="2">
        <v>30.478899082568788</v>
      </c>
    </row>
    <row r="475" spans="1:16" ht="14.25" customHeight="1">
      <c r="A475" s="2" t="s">
        <v>15</v>
      </c>
      <c r="B475" s="2">
        <v>2013</v>
      </c>
      <c r="C475" s="2" t="s">
        <v>20</v>
      </c>
      <c r="D475" s="3">
        <v>71.743119266055004</v>
      </c>
      <c r="E475" s="2">
        <v>80.8</v>
      </c>
      <c r="F475" s="2">
        <v>29.9</v>
      </c>
      <c r="H475" s="2">
        <v>78.532110091743107</v>
      </c>
      <c r="I475" s="3"/>
      <c r="J475" s="3"/>
      <c r="K475" s="3"/>
      <c r="N475" s="4" t="s">
        <v>101</v>
      </c>
      <c r="O475" s="2" t="s">
        <v>17</v>
      </c>
      <c r="P475" s="2">
        <v>35.154128440366954</v>
      </c>
    </row>
    <row r="476" spans="1:16" ht="14.25" customHeight="1">
      <c r="A476" s="2" t="s">
        <v>15</v>
      </c>
      <c r="B476" s="2">
        <v>2014</v>
      </c>
      <c r="C476" s="2" t="s">
        <v>20</v>
      </c>
      <c r="D476" s="3">
        <v>117.61467889908249</v>
      </c>
      <c r="E476" s="2">
        <v>120.3</v>
      </c>
      <c r="F476" s="2">
        <v>32</v>
      </c>
      <c r="H476" s="2">
        <v>148.44036697247705</v>
      </c>
      <c r="I476" s="3"/>
      <c r="J476" s="3"/>
      <c r="K476" s="3"/>
      <c r="N476" s="4" t="s">
        <v>101</v>
      </c>
      <c r="O476" s="2" t="s">
        <v>17</v>
      </c>
      <c r="P476" s="2">
        <v>57.631192660550418</v>
      </c>
    </row>
    <row r="477" spans="1:16" ht="14.25" customHeight="1">
      <c r="A477" s="2" t="s">
        <v>15</v>
      </c>
      <c r="B477" s="2">
        <v>2015</v>
      </c>
      <c r="C477" s="2" t="s">
        <v>20</v>
      </c>
      <c r="D477" s="3">
        <v>86.972477064220129</v>
      </c>
      <c r="E477" s="2">
        <v>80.3</v>
      </c>
      <c r="F477" s="2">
        <v>19</v>
      </c>
      <c r="H477" s="2">
        <v>140.55045871559631</v>
      </c>
      <c r="I477" s="3"/>
      <c r="J477" s="3"/>
      <c r="K477" s="3"/>
      <c r="N477" s="4" t="s">
        <v>101</v>
      </c>
      <c r="O477" s="2" t="s">
        <v>17</v>
      </c>
      <c r="P477" s="2">
        <v>42.616513761467864</v>
      </c>
    </row>
    <row r="478" spans="1:16" ht="14.25" customHeight="1">
      <c r="A478" s="2" t="s">
        <v>15</v>
      </c>
      <c r="B478" s="2">
        <v>2016</v>
      </c>
      <c r="C478" s="2" t="s">
        <v>20</v>
      </c>
      <c r="D478" s="3">
        <v>95.321100917431139</v>
      </c>
      <c r="E478" s="2">
        <v>83.7</v>
      </c>
      <c r="F478" s="2">
        <v>19</v>
      </c>
      <c r="H478" s="2">
        <v>104.40366972477064</v>
      </c>
      <c r="I478" s="3"/>
      <c r="J478" s="3"/>
      <c r="K478" s="3"/>
      <c r="N478" s="4" t="s">
        <v>101</v>
      </c>
      <c r="O478" s="2" t="s">
        <v>17</v>
      </c>
      <c r="P478" s="2">
        <v>46.707339449541259</v>
      </c>
    </row>
    <row r="479" spans="1:16" ht="14.25" customHeight="1">
      <c r="A479" s="2" t="s">
        <v>15</v>
      </c>
      <c r="B479" s="2">
        <v>2017</v>
      </c>
      <c r="C479" s="2" t="s">
        <v>20</v>
      </c>
      <c r="D479" s="3">
        <v>87.61467889908252</v>
      </c>
      <c r="E479" s="2">
        <v>77.5</v>
      </c>
      <c r="F479" s="2">
        <v>26.4</v>
      </c>
      <c r="H479" s="2">
        <v>120.55045871559632</v>
      </c>
      <c r="I479" s="3"/>
      <c r="J479" s="3"/>
      <c r="K479" s="3"/>
      <c r="N479" s="4" t="s">
        <v>101</v>
      </c>
      <c r="O479" s="2" t="s">
        <v>17</v>
      </c>
      <c r="P479" s="2">
        <v>42.931192660550437</v>
      </c>
    </row>
    <row r="480" spans="1:16" ht="14.25" customHeight="1">
      <c r="A480" s="2" t="s">
        <v>15</v>
      </c>
      <c r="B480" s="2">
        <v>2018</v>
      </c>
      <c r="C480" s="2" t="s">
        <v>20</v>
      </c>
      <c r="D480" s="3">
        <v>74.311926605504553</v>
      </c>
      <c r="E480" s="2">
        <v>67.3</v>
      </c>
      <c r="F480" s="2">
        <v>14</v>
      </c>
      <c r="H480" s="2">
        <v>100.82568807339449</v>
      </c>
      <c r="I480" s="3"/>
      <c r="J480" s="3"/>
      <c r="K480" s="3"/>
      <c r="N480" s="4" t="s">
        <v>101</v>
      </c>
      <c r="O480" s="2" t="s">
        <v>17</v>
      </c>
      <c r="P480" s="2">
        <v>36.41284403669723</v>
      </c>
    </row>
    <row r="481" spans="1:16" ht="14.25" customHeight="1">
      <c r="A481" s="2" t="s">
        <v>15</v>
      </c>
      <c r="B481" s="2">
        <v>2019</v>
      </c>
      <c r="C481" s="2" t="s">
        <v>20</v>
      </c>
      <c r="D481" s="3">
        <v>56.422018348623823</v>
      </c>
      <c r="E481" s="2">
        <v>62.302202000000001</v>
      </c>
      <c r="F481" s="2">
        <v>20.153808999999999</v>
      </c>
      <c r="H481" s="2">
        <v>83.119266055045856</v>
      </c>
      <c r="I481" s="3"/>
      <c r="J481" s="3"/>
      <c r="K481" s="3"/>
      <c r="N481" s="4" t="s">
        <v>101</v>
      </c>
      <c r="O481" s="2" t="s">
        <v>17</v>
      </c>
      <c r="P481" s="2">
        <v>27.646788990825673</v>
      </c>
    </row>
    <row r="482" spans="1:16" ht="14.25" customHeight="1">
      <c r="A482" s="2" t="s">
        <v>15</v>
      </c>
      <c r="B482" s="2">
        <v>2020</v>
      </c>
      <c r="C482" s="2" t="s">
        <v>20</v>
      </c>
      <c r="D482" s="3">
        <v>76.267301559633083</v>
      </c>
      <c r="E482" s="2">
        <v>70.013717999999997</v>
      </c>
      <c r="F482" s="2">
        <v>14.216229999999999</v>
      </c>
      <c r="H482" s="2">
        <v>111.16957100917431</v>
      </c>
      <c r="I482" s="3"/>
      <c r="J482" s="3"/>
      <c r="K482" s="3"/>
      <c r="N482" s="4" t="s">
        <v>101</v>
      </c>
      <c r="O482" s="2" t="s">
        <v>17</v>
      </c>
      <c r="P482" s="2">
        <v>37.370977764220207</v>
      </c>
    </row>
    <row r="483" spans="1:16" ht="14.25" customHeight="1">
      <c r="A483" s="2" t="s">
        <v>15</v>
      </c>
      <c r="B483" s="2">
        <v>1900</v>
      </c>
      <c r="C483" s="2" t="s">
        <v>29</v>
      </c>
      <c r="D483" s="3" t="e">
        <v>#VALUE!</v>
      </c>
      <c r="E483" s="3" t="e">
        <v>#VALUE!</v>
      </c>
      <c r="F483" s="3" t="e">
        <v>#VALUE!</v>
      </c>
      <c r="G483" s="3"/>
      <c r="I483" s="3" t="e">
        <v>#VALUE!</v>
      </c>
      <c r="J483" s="3" t="e">
        <v>#VALUE!</v>
      </c>
      <c r="K483" s="3" t="e">
        <v>#VALUE!</v>
      </c>
      <c r="N483" s="4" t="s">
        <v>99</v>
      </c>
      <c r="O483" s="2" t="s">
        <v>17</v>
      </c>
      <c r="P483" s="2" t="e">
        <v>#VALUE!</v>
      </c>
    </row>
    <row r="484" spans="1:16" ht="14.25" customHeight="1">
      <c r="A484" s="2" t="s">
        <v>15</v>
      </c>
      <c r="B484" s="2">
        <v>1901</v>
      </c>
      <c r="C484" s="2" t="s">
        <v>29</v>
      </c>
      <c r="D484" s="3" t="e">
        <v>#VALUE!</v>
      </c>
      <c r="E484" s="3" t="e">
        <v>#N/A</v>
      </c>
      <c r="F484" s="3" t="e">
        <v>#N/A</v>
      </c>
      <c r="G484" s="3"/>
      <c r="I484" s="3" t="e">
        <v>#VALUE!</v>
      </c>
      <c r="J484" s="3" t="e">
        <v>#N/A</v>
      </c>
      <c r="K484" s="3" t="e">
        <v>#N/A</v>
      </c>
      <c r="N484" s="4" t="s">
        <v>99</v>
      </c>
      <c r="O484" s="2" t="s">
        <v>17</v>
      </c>
      <c r="P484" s="2" t="e">
        <v>#VALUE!</v>
      </c>
    </row>
    <row r="485" spans="1:16" ht="14.25" customHeight="1">
      <c r="A485" s="2" t="s">
        <v>15</v>
      </c>
      <c r="B485" s="2">
        <v>1902</v>
      </c>
      <c r="C485" s="2" t="s">
        <v>29</v>
      </c>
      <c r="D485" s="3" t="e">
        <v>#VALUE!</v>
      </c>
      <c r="E485" s="3" t="e">
        <v>#N/A</v>
      </c>
      <c r="F485" s="3" t="e">
        <v>#N/A</v>
      </c>
      <c r="G485" s="3"/>
      <c r="I485" s="3" t="e">
        <v>#VALUE!</v>
      </c>
      <c r="J485" s="3" t="e">
        <v>#N/A</v>
      </c>
      <c r="K485" s="3" t="e">
        <v>#N/A</v>
      </c>
      <c r="N485" s="4" t="s">
        <v>99</v>
      </c>
      <c r="O485" s="2" t="s">
        <v>17</v>
      </c>
      <c r="P485" s="2" t="e">
        <v>#VALUE!</v>
      </c>
    </row>
    <row r="486" spans="1:16" ht="14.25" customHeight="1">
      <c r="A486" s="2" t="s">
        <v>15</v>
      </c>
      <c r="B486" s="2">
        <v>1903</v>
      </c>
      <c r="C486" s="2" t="s">
        <v>29</v>
      </c>
      <c r="D486" s="3" t="e">
        <v>#VALUE!</v>
      </c>
      <c r="E486" s="3" t="e">
        <v>#N/A</v>
      </c>
      <c r="F486" s="3" t="e">
        <v>#N/A</v>
      </c>
      <c r="G486" s="3"/>
      <c r="I486" s="3" t="e">
        <v>#VALUE!</v>
      </c>
      <c r="J486" s="3" t="e">
        <v>#N/A</v>
      </c>
      <c r="K486" s="3" t="e">
        <v>#N/A</v>
      </c>
      <c r="N486" s="4" t="s">
        <v>99</v>
      </c>
      <c r="O486" s="2" t="s">
        <v>17</v>
      </c>
      <c r="P486" s="2" t="e">
        <v>#VALUE!</v>
      </c>
    </row>
    <row r="487" spans="1:16" ht="14.25" customHeight="1">
      <c r="A487" s="2" t="s">
        <v>15</v>
      </c>
      <c r="B487" s="2">
        <v>1904</v>
      </c>
      <c r="C487" s="2" t="s">
        <v>29</v>
      </c>
      <c r="D487" s="3" t="e">
        <v>#VALUE!</v>
      </c>
      <c r="E487" s="3" t="e">
        <v>#N/A</v>
      </c>
      <c r="F487" s="3" t="e">
        <v>#N/A</v>
      </c>
      <c r="G487" s="3"/>
      <c r="I487" s="3" t="e">
        <v>#VALUE!</v>
      </c>
      <c r="J487" s="3" t="e">
        <v>#N/A</v>
      </c>
      <c r="K487" s="3" t="e">
        <v>#N/A</v>
      </c>
      <c r="N487" s="4" t="s">
        <v>99</v>
      </c>
      <c r="O487" s="2" t="s">
        <v>17</v>
      </c>
      <c r="P487" s="2" t="e">
        <v>#VALUE!</v>
      </c>
    </row>
    <row r="488" spans="1:16" ht="14.25" customHeight="1">
      <c r="A488" s="2" t="s">
        <v>15</v>
      </c>
      <c r="B488" s="2">
        <v>1905</v>
      </c>
      <c r="C488" s="2" t="s">
        <v>29</v>
      </c>
      <c r="D488" s="3" t="e">
        <v>#VALUE!</v>
      </c>
      <c r="E488" s="3">
        <v>0.34540743751270064</v>
      </c>
      <c r="F488" s="3">
        <v>17.934210526315791</v>
      </c>
      <c r="G488" s="3"/>
      <c r="I488" s="3" t="e">
        <v>#VALUE!</v>
      </c>
      <c r="J488" s="3">
        <v>3.7599129032369998</v>
      </c>
      <c r="K488" s="3">
        <v>67.177182774393543</v>
      </c>
      <c r="N488" s="4" t="s">
        <v>99</v>
      </c>
      <c r="O488" s="2" t="s">
        <v>17</v>
      </c>
      <c r="P488" s="2" t="e">
        <v>#VALUE!</v>
      </c>
    </row>
    <row r="489" spans="1:16" ht="14.25" customHeight="1">
      <c r="A489" s="2" t="s">
        <v>15</v>
      </c>
      <c r="B489" s="2">
        <v>1906</v>
      </c>
      <c r="C489" s="2" t="s">
        <v>29</v>
      </c>
      <c r="D489" s="3" t="e">
        <v>#VALUE!</v>
      </c>
      <c r="E489" s="3" t="e">
        <v>#N/A</v>
      </c>
      <c r="F489" s="3" t="e">
        <v>#N/A</v>
      </c>
      <c r="G489" s="3"/>
      <c r="I489" s="3" t="e">
        <v>#VALUE!</v>
      </c>
      <c r="J489" s="3" t="e">
        <v>#N/A</v>
      </c>
      <c r="K489" s="3" t="e">
        <v>#N/A</v>
      </c>
      <c r="N489" s="4" t="s">
        <v>99</v>
      </c>
      <c r="O489" s="2" t="s">
        <v>17</v>
      </c>
      <c r="P489" s="2" t="e">
        <v>#VALUE!</v>
      </c>
    </row>
    <row r="490" spans="1:16" ht="14.25" customHeight="1">
      <c r="A490" s="2" t="s">
        <v>15</v>
      </c>
      <c r="B490" s="2">
        <v>1907</v>
      </c>
      <c r="C490" s="2" t="s">
        <v>29</v>
      </c>
      <c r="D490" s="3" t="e">
        <v>#VALUE!</v>
      </c>
      <c r="E490" s="3" t="e">
        <v>#N/A</v>
      </c>
      <c r="F490" s="3" t="e">
        <v>#N/A</v>
      </c>
      <c r="G490" s="3"/>
      <c r="I490" s="3" t="e">
        <v>#VALUE!</v>
      </c>
      <c r="J490" s="3" t="e">
        <v>#N/A</v>
      </c>
      <c r="K490" s="3" t="e">
        <v>#N/A</v>
      </c>
      <c r="N490" s="4" t="s">
        <v>99</v>
      </c>
      <c r="O490" s="2" t="s">
        <v>17</v>
      </c>
      <c r="P490" s="2" t="e">
        <v>#VALUE!</v>
      </c>
    </row>
    <row r="491" spans="1:16" ht="14.25" customHeight="1">
      <c r="A491" s="2" t="s">
        <v>15</v>
      </c>
      <c r="B491" s="2">
        <v>1908</v>
      </c>
      <c r="C491" s="2" t="s">
        <v>29</v>
      </c>
      <c r="D491" s="3" t="e">
        <v>#VALUE!</v>
      </c>
      <c r="E491" s="3" t="e">
        <v>#N/A</v>
      </c>
      <c r="F491" s="3" t="e">
        <v>#N/A</v>
      </c>
      <c r="G491" s="3"/>
      <c r="I491" s="3" t="e">
        <v>#VALUE!</v>
      </c>
      <c r="J491" s="3" t="e">
        <v>#N/A</v>
      </c>
      <c r="K491" s="3" t="e">
        <v>#N/A</v>
      </c>
      <c r="N491" s="4" t="s">
        <v>99</v>
      </c>
      <c r="O491" s="2" t="s">
        <v>17</v>
      </c>
      <c r="P491" s="2" t="e">
        <v>#VALUE!</v>
      </c>
    </row>
    <row r="492" spans="1:16" ht="14.25" customHeight="1">
      <c r="A492" s="2" t="s">
        <v>15</v>
      </c>
      <c r="B492" s="2">
        <v>1910</v>
      </c>
      <c r="C492" s="2" t="s">
        <v>29</v>
      </c>
      <c r="D492" s="3" t="e">
        <v>#VALUE!</v>
      </c>
      <c r="E492" s="3">
        <v>0.39092664092664092</v>
      </c>
      <c r="F492" s="3">
        <v>32.309794757163175</v>
      </c>
      <c r="G492" s="3"/>
      <c r="I492" s="3" t="e">
        <v>#VALUE!</v>
      </c>
      <c r="J492" s="3">
        <v>4.8491363752309793</v>
      </c>
      <c r="K492" s="3">
        <v>123.52260638088377</v>
      </c>
      <c r="N492" s="4" t="s">
        <v>99</v>
      </c>
      <c r="O492" s="2" t="s">
        <v>17</v>
      </c>
      <c r="P492" s="2" t="e">
        <v>#VALUE!</v>
      </c>
    </row>
    <row r="493" spans="1:16" ht="14.25" customHeight="1">
      <c r="A493" s="2" t="s">
        <v>15</v>
      </c>
      <c r="B493" s="2">
        <v>1911</v>
      </c>
      <c r="C493" s="2" t="s">
        <v>29</v>
      </c>
      <c r="D493" s="3" t="e">
        <v>#VALUE!</v>
      </c>
      <c r="E493" s="3" t="e">
        <v>#N/A</v>
      </c>
      <c r="F493" s="3" t="e">
        <v>#N/A</v>
      </c>
      <c r="G493" s="3"/>
      <c r="I493" s="3" t="e">
        <v>#VALUE!</v>
      </c>
      <c r="J493" s="3" t="e">
        <v>#N/A</v>
      </c>
      <c r="K493" s="3" t="e">
        <v>#N/A</v>
      </c>
      <c r="N493" s="4" t="s">
        <v>99</v>
      </c>
      <c r="O493" s="2" t="s">
        <v>17</v>
      </c>
      <c r="P493" s="2" t="e">
        <v>#VALUE!</v>
      </c>
    </row>
    <row r="494" spans="1:16" ht="14.25" customHeight="1">
      <c r="A494" s="2" t="s">
        <v>15</v>
      </c>
      <c r="B494" s="2">
        <v>1912</v>
      </c>
      <c r="C494" s="2" t="s">
        <v>29</v>
      </c>
      <c r="D494" s="3" t="e">
        <v>#VALUE!</v>
      </c>
      <c r="E494" s="3" t="e">
        <v>#N/A</v>
      </c>
      <c r="F494" s="3" t="e">
        <v>#N/A</v>
      </c>
      <c r="G494" s="3"/>
      <c r="I494" s="3" t="e">
        <v>#VALUE!</v>
      </c>
      <c r="J494" s="3" t="e">
        <v>#N/A</v>
      </c>
      <c r="K494" s="3" t="e">
        <v>#N/A</v>
      </c>
      <c r="N494" s="4" t="s">
        <v>99</v>
      </c>
      <c r="O494" s="2" t="s">
        <v>17</v>
      </c>
      <c r="P494" s="2" t="e">
        <v>#VALUE!</v>
      </c>
    </row>
    <row r="495" spans="1:16" ht="14.25" customHeight="1">
      <c r="A495" s="2" t="s">
        <v>15</v>
      </c>
      <c r="B495" s="2">
        <v>1913</v>
      </c>
      <c r="C495" s="2" t="s">
        <v>29</v>
      </c>
      <c r="D495" s="3" t="e">
        <v>#VALUE!</v>
      </c>
      <c r="E495" s="3" t="e">
        <v>#N/A</v>
      </c>
      <c r="F495" s="3" t="e">
        <v>#N/A</v>
      </c>
      <c r="G495" s="3"/>
      <c r="I495" s="3" t="e">
        <v>#VALUE!</v>
      </c>
      <c r="J495" s="3" t="e">
        <v>#N/A</v>
      </c>
      <c r="K495" s="3" t="e">
        <v>#N/A</v>
      </c>
      <c r="N495" s="4" t="s">
        <v>99</v>
      </c>
      <c r="O495" s="2" t="s">
        <v>17</v>
      </c>
      <c r="P495" s="2" t="e">
        <v>#VALUE!</v>
      </c>
    </row>
    <row r="496" spans="1:16" ht="14.25" customHeight="1">
      <c r="A496" s="2" t="s">
        <v>15</v>
      </c>
      <c r="B496" s="2">
        <v>1914</v>
      </c>
      <c r="C496" s="2" t="s">
        <v>29</v>
      </c>
      <c r="D496" s="3" t="e">
        <v>#VALUE!</v>
      </c>
      <c r="E496" s="3">
        <v>0.26391993497256655</v>
      </c>
      <c r="F496" s="3">
        <v>44.867404998983943</v>
      </c>
      <c r="G496" s="3"/>
      <c r="I496" s="3" t="e">
        <v>#VALUE!</v>
      </c>
      <c r="J496" s="3">
        <v>3.7355507552021305</v>
      </c>
      <c r="K496" s="3">
        <v>176.17207794349579</v>
      </c>
      <c r="N496" s="4" t="s">
        <v>100</v>
      </c>
      <c r="O496" s="2" t="s">
        <v>17</v>
      </c>
      <c r="P496" s="2" t="e">
        <v>#VALUE!</v>
      </c>
    </row>
    <row r="497" spans="1:16" ht="14.25" customHeight="1">
      <c r="A497" s="2" t="s">
        <v>15</v>
      </c>
      <c r="B497" s="2">
        <v>1915</v>
      </c>
      <c r="C497" s="2" t="s">
        <v>29</v>
      </c>
      <c r="D497" s="3" t="e">
        <v>#VALUE!</v>
      </c>
      <c r="E497" s="3">
        <v>3.0837228205649256E-2</v>
      </c>
      <c r="F497" s="3">
        <v>51.519101808575492</v>
      </c>
      <c r="G497" s="3"/>
      <c r="I497" s="3" t="e">
        <v>#VALUE!</v>
      </c>
      <c r="J497" s="3">
        <v>0.24282516362552004</v>
      </c>
      <c r="K497" s="3">
        <v>208.0548110270727</v>
      </c>
      <c r="N497" s="4" t="s">
        <v>100</v>
      </c>
      <c r="O497" s="2" t="s">
        <v>17</v>
      </c>
      <c r="P497" s="2" t="e">
        <v>#VALUE!</v>
      </c>
    </row>
    <row r="498" spans="1:16" ht="14.25" customHeight="1">
      <c r="A498" s="2" t="s">
        <v>15</v>
      </c>
      <c r="B498" s="2">
        <v>1916</v>
      </c>
      <c r="C498" s="2" t="s">
        <v>29</v>
      </c>
      <c r="D498" s="3" t="e">
        <v>#VALUE!</v>
      </c>
      <c r="E498" s="3">
        <v>4.3080674659622023E-2</v>
      </c>
      <c r="F498" s="3">
        <v>70.884525502946545</v>
      </c>
      <c r="G498" s="3"/>
      <c r="I498" s="3" t="e">
        <v>#VALUE!</v>
      </c>
      <c r="J498" s="3">
        <v>0.33770869232779999</v>
      </c>
      <c r="K498" s="3">
        <v>252.72526884581688</v>
      </c>
      <c r="N498" s="4" t="s">
        <v>100</v>
      </c>
      <c r="O498" s="2" t="s">
        <v>17</v>
      </c>
      <c r="P498" s="2" t="e">
        <v>#VALUE!</v>
      </c>
    </row>
    <row r="499" spans="1:16" ht="14.25" customHeight="1">
      <c r="A499" s="2" t="s">
        <v>15</v>
      </c>
      <c r="B499" s="2">
        <v>1917</v>
      </c>
      <c r="C499" s="2" t="s">
        <v>29</v>
      </c>
      <c r="D499" s="3" t="e">
        <v>#VALUE!</v>
      </c>
      <c r="E499" s="3">
        <v>2.2657996342206867E-2</v>
      </c>
      <c r="F499" s="3">
        <v>32.808118268644584</v>
      </c>
      <c r="G499" s="3"/>
      <c r="I499" s="3" t="e">
        <v>#VALUE!</v>
      </c>
      <c r="J499" s="3">
        <v>0.12121250307813</v>
      </c>
      <c r="K499" s="3">
        <v>124.42086326246084</v>
      </c>
      <c r="N499" s="4" t="s">
        <v>100</v>
      </c>
      <c r="O499" s="2" t="s">
        <v>17</v>
      </c>
      <c r="P499" s="2" t="e">
        <v>#VALUE!</v>
      </c>
    </row>
    <row r="500" spans="1:16" ht="14.25" customHeight="1">
      <c r="A500" s="2" t="s">
        <v>15</v>
      </c>
      <c r="B500" s="2">
        <v>1918</v>
      </c>
      <c r="C500" s="2" t="s">
        <v>29</v>
      </c>
      <c r="D500" s="3" t="e">
        <v>#VALUE!</v>
      </c>
      <c r="E500" s="3">
        <v>0</v>
      </c>
      <c r="F500" s="3">
        <v>45.182534037797197</v>
      </c>
      <c r="G500" s="3"/>
      <c r="I500" s="3" t="e">
        <v>#VALUE!</v>
      </c>
      <c r="J500" s="3">
        <v>0</v>
      </c>
      <c r="K500" s="3">
        <v>179.94213638271307</v>
      </c>
      <c r="N500" s="4" t="s">
        <v>100</v>
      </c>
      <c r="O500" s="2" t="s">
        <v>17</v>
      </c>
      <c r="P500" s="2" t="e">
        <v>#VALUE!</v>
      </c>
    </row>
    <row r="501" spans="1:16" ht="14.25" customHeight="1">
      <c r="A501" s="2" t="s">
        <v>15</v>
      </c>
      <c r="B501" s="2">
        <v>1919</v>
      </c>
      <c r="C501" s="2" t="s">
        <v>29</v>
      </c>
      <c r="D501" s="3" t="e">
        <v>#VALUE!</v>
      </c>
      <c r="E501" s="3">
        <v>3.5409469619995929E-2</v>
      </c>
      <c r="F501" s="3">
        <v>57.896870554765286</v>
      </c>
      <c r="G501" s="3"/>
      <c r="I501" s="3" t="e">
        <v>#VALUE!</v>
      </c>
      <c r="J501" s="3">
        <v>0.28648128770151005</v>
      </c>
      <c r="K501" s="3">
        <v>250.01555423646889</v>
      </c>
      <c r="N501" s="4" t="s">
        <v>99</v>
      </c>
      <c r="O501" s="2" t="s">
        <v>17</v>
      </c>
      <c r="P501" s="2" t="e">
        <v>#VALUE!</v>
      </c>
    </row>
    <row r="502" spans="1:16" ht="14.25" customHeight="1">
      <c r="A502" s="2" t="s">
        <v>15</v>
      </c>
      <c r="B502" s="2">
        <v>1920</v>
      </c>
      <c r="C502" s="2" t="s">
        <v>29</v>
      </c>
      <c r="D502" s="3" t="e">
        <v>#VALUE!</v>
      </c>
      <c r="E502" s="3">
        <v>8.1538305222515747E-2</v>
      </c>
      <c r="F502" s="3">
        <v>43.17943507417192</v>
      </c>
      <c r="G502" s="3"/>
      <c r="I502" s="3" t="e">
        <v>#VALUE!</v>
      </c>
      <c r="J502" s="3">
        <v>0.66293117777088006</v>
      </c>
      <c r="K502" s="3">
        <v>198.83179626407713</v>
      </c>
      <c r="N502" s="4" t="s">
        <v>99</v>
      </c>
      <c r="O502" s="2" t="s">
        <v>17</v>
      </c>
      <c r="P502" s="2" t="e">
        <v>#VALUE!</v>
      </c>
    </row>
    <row r="503" spans="1:16" ht="14.25" customHeight="1">
      <c r="A503" s="2" t="s">
        <v>15</v>
      </c>
      <c r="B503" s="2">
        <v>1921</v>
      </c>
      <c r="C503" s="2" t="s">
        <v>29</v>
      </c>
      <c r="D503" s="3" t="e">
        <v>#VALUE!</v>
      </c>
      <c r="E503" s="3" t="e">
        <v>#N/A</v>
      </c>
      <c r="F503" s="3" t="e">
        <v>#N/A</v>
      </c>
      <c r="G503" s="3"/>
      <c r="I503" s="3" t="e">
        <v>#VALUE!</v>
      </c>
      <c r="J503" s="3" t="e">
        <v>#N/A</v>
      </c>
      <c r="K503" s="3" t="e">
        <v>#N/A</v>
      </c>
      <c r="N503" s="4" t="s">
        <v>99</v>
      </c>
      <c r="O503" s="2" t="s">
        <v>17</v>
      </c>
      <c r="P503" s="2" t="e">
        <v>#VALUE!</v>
      </c>
    </row>
    <row r="504" spans="1:16" ht="14.25" customHeight="1">
      <c r="A504" s="2" t="s">
        <v>15</v>
      </c>
      <c r="B504" s="2">
        <v>1922</v>
      </c>
      <c r="C504" s="2" t="s">
        <v>29</v>
      </c>
      <c r="D504" s="3" t="e">
        <v>#VALUE!</v>
      </c>
      <c r="E504" s="3" t="e">
        <v>#N/A</v>
      </c>
      <c r="F504" s="3" t="e">
        <v>#N/A</v>
      </c>
      <c r="G504" s="3"/>
      <c r="I504" s="3" t="e">
        <v>#VALUE!</v>
      </c>
      <c r="J504" s="3" t="e">
        <v>#N/A</v>
      </c>
      <c r="K504" s="3" t="e">
        <v>#N/A</v>
      </c>
      <c r="N504" s="4" t="s">
        <v>99</v>
      </c>
      <c r="O504" s="2" t="s">
        <v>17</v>
      </c>
      <c r="P504" s="2" t="e">
        <v>#VALUE!</v>
      </c>
    </row>
    <row r="505" spans="1:16" ht="14.25" customHeight="1">
      <c r="A505" s="2" t="s">
        <v>15</v>
      </c>
      <c r="B505" s="2">
        <v>1923</v>
      </c>
      <c r="C505" s="2" t="s">
        <v>29</v>
      </c>
      <c r="D505" s="3" t="e">
        <v>#VALUE!</v>
      </c>
      <c r="E505" s="3" t="e">
        <v>#N/A</v>
      </c>
      <c r="F505" s="3" t="e">
        <v>#N/A</v>
      </c>
      <c r="G505" s="3"/>
      <c r="I505" s="3" t="e">
        <v>#VALUE!</v>
      </c>
      <c r="J505" s="3" t="e">
        <v>#N/A</v>
      </c>
      <c r="K505" s="3" t="e">
        <v>#N/A</v>
      </c>
      <c r="N505" s="4" t="s">
        <v>99</v>
      </c>
      <c r="O505" s="2" t="s">
        <v>17</v>
      </c>
      <c r="P505" s="2" t="e">
        <v>#VALUE!</v>
      </c>
    </row>
    <row r="506" spans="1:16" ht="14.25" customHeight="1">
      <c r="A506" s="2" t="s">
        <v>15</v>
      </c>
      <c r="B506" s="2">
        <v>1924</v>
      </c>
      <c r="C506" s="2" t="s">
        <v>29</v>
      </c>
      <c r="D506" s="3" t="e">
        <v>#VALUE!</v>
      </c>
      <c r="E506" s="3" t="e">
        <v>#N/A</v>
      </c>
      <c r="F506" s="3" t="e">
        <v>#N/A</v>
      </c>
      <c r="G506" s="3"/>
      <c r="I506" s="3" t="e">
        <v>#VALUE!</v>
      </c>
      <c r="J506" s="3" t="e">
        <v>#N/A</v>
      </c>
      <c r="K506" s="3" t="e">
        <v>#N/A</v>
      </c>
      <c r="N506" s="4" t="s">
        <v>99</v>
      </c>
      <c r="O506" s="2" t="s">
        <v>17</v>
      </c>
      <c r="P506" s="2" t="e">
        <v>#VALUE!</v>
      </c>
    </row>
    <row r="507" spans="1:16" ht="14.25" customHeight="1">
      <c r="A507" s="2" t="s">
        <v>15</v>
      </c>
      <c r="B507" s="2">
        <v>1925</v>
      </c>
      <c r="C507" s="2" t="s">
        <v>29</v>
      </c>
      <c r="D507" s="3" t="e">
        <v>#VALUE!</v>
      </c>
      <c r="E507" s="3">
        <v>0.18263564316195893</v>
      </c>
      <c r="F507" s="3">
        <v>40.001270067059536</v>
      </c>
      <c r="G507" s="3"/>
      <c r="I507" s="3" t="e">
        <v>#VALUE!</v>
      </c>
      <c r="J507" s="3">
        <v>1.5819445268864298</v>
      </c>
      <c r="K507" s="3">
        <v>165.99538706501031</v>
      </c>
      <c r="N507" s="4" t="s">
        <v>99</v>
      </c>
      <c r="O507" s="2" t="s">
        <v>17</v>
      </c>
      <c r="P507" s="2" t="e">
        <v>#VALUE!</v>
      </c>
    </row>
    <row r="508" spans="1:16" ht="14.25" customHeight="1">
      <c r="A508" s="2" t="s">
        <v>15</v>
      </c>
      <c r="B508" s="2">
        <v>1926</v>
      </c>
      <c r="C508" s="2" t="s">
        <v>29</v>
      </c>
      <c r="D508" s="3" t="e">
        <v>#VALUE!</v>
      </c>
      <c r="E508" s="3" t="e">
        <v>#N/A</v>
      </c>
      <c r="F508" s="3" t="e">
        <v>#N/A</v>
      </c>
      <c r="G508" s="3"/>
      <c r="I508" s="3" t="e">
        <v>#VALUE!</v>
      </c>
      <c r="J508" s="3" t="e">
        <v>#N/A</v>
      </c>
      <c r="K508" s="3" t="e">
        <v>#N/A</v>
      </c>
      <c r="N508" s="4" t="s">
        <v>99</v>
      </c>
      <c r="O508" s="2" t="s">
        <v>17</v>
      </c>
      <c r="P508" s="2" t="e">
        <v>#VALUE!</v>
      </c>
    </row>
    <row r="509" spans="1:16" ht="14.25" customHeight="1">
      <c r="A509" s="2" t="s">
        <v>15</v>
      </c>
      <c r="B509" s="2">
        <v>1927</v>
      </c>
      <c r="C509" s="2" t="s">
        <v>29</v>
      </c>
      <c r="D509" s="3" t="e">
        <v>#VALUE!</v>
      </c>
      <c r="E509" s="3" t="e">
        <v>#N/A</v>
      </c>
      <c r="F509" s="3" t="e">
        <v>#N/A</v>
      </c>
      <c r="G509" s="3"/>
      <c r="I509" s="3" t="e">
        <v>#VALUE!</v>
      </c>
      <c r="J509" s="3" t="e">
        <v>#N/A</v>
      </c>
      <c r="K509" s="3" t="e">
        <v>#N/A</v>
      </c>
      <c r="N509" s="4" t="s">
        <v>99</v>
      </c>
      <c r="O509" s="2" t="s">
        <v>17</v>
      </c>
      <c r="P509" s="2" t="e">
        <v>#VALUE!</v>
      </c>
    </row>
    <row r="510" spans="1:16" ht="14.25" customHeight="1">
      <c r="A510" s="2" t="s">
        <v>15</v>
      </c>
      <c r="B510" s="2">
        <v>1928</v>
      </c>
      <c r="C510" s="2" t="s">
        <v>29</v>
      </c>
      <c r="D510" s="3" t="e">
        <v>#VALUE!</v>
      </c>
      <c r="E510" s="3" t="e">
        <v>#N/A</v>
      </c>
      <c r="F510" s="3" t="e">
        <v>#N/A</v>
      </c>
      <c r="G510" s="3"/>
      <c r="I510" s="3" t="e">
        <v>#VALUE!</v>
      </c>
      <c r="J510" s="3" t="e">
        <v>#N/A</v>
      </c>
      <c r="K510" s="3" t="e">
        <v>#N/A</v>
      </c>
      <c r="N510" s="4" t="s">
        <v>99</v>
      </c>
      <c r="O510" s="2" t="s">
        <v>17</v>
      </c>
      <c r="P510" s="2" t="e">
        <v>#VALUE!</v>
      </c>
    </row>
    <row r="511" spans="1:16" ht="14.25" customHeight="1">
      <c r="A511" s="2" t="s">
        <v>15</v>
      </c>
      <c r="B511" s="2">
        <v>1929</v>
      </c>
      <c r="C511" s="2" t="s">
        <v>29</v>
      </c>
      <c r="D511" s="3" t="e">
        <v>#VALUE!</v>
      </c>
      <c r="E511" s="3" t="e">
        <v>#N/A</v>
      </c>
      <c r="F511" s="3" t="e">
        <v>#N/A</v>
      </c>
      <c r="G511" s="3"/>
      <c r="I511" s="3" t="e">
        <v>#VALUE!</v>
      </c>
      <c r="J511" s="3" t="e">
        <v>#N/A</v>
      </c>
      <c r="K511" s="3" t="e">
        <v>#N/A</v>
      </c>
      <c r="N511" s="4" t="s">
        <v>99</v>
      </c>
      <c r="O511" s="2" t="s">
        <v>17</v>
      </c>
      <c r="P511" s="2" t="e">
        <v>#VALUE!</v>
      </c>
    </row>
    <row r="512" spans="1:16" ht="14.25" customHeight="1">
      <c r="A512" s="2" t="s">
        <v>15</v>
      </c>
      <c r="B512" s="2">
        <v>1930</v>
      </c>
      <c r="C512" s="2" t="s">
        <v>29</v>
      </c>
      <c r="D512" s="3" t="e">
        <v>#VALUE!</v>
      </c>
      <c r="E512" s="3">
        <v>0.16302580776264985</v>
      </c>
      <c r="F512" s="3">
        <v>54.213472871367607</v>
      </c>
      <c r="G512" s="3"/>
      <c r="I512" s="3" t="e">
        <v>#VALUE!</v>
      </c>
      <c r="J512" s="3">
        <v>1.6180671906599198</v>
      </c>
      <c r="K512" s="3">
        <v>208.24619494775823</v>
      </c>
      <c r="N512" s="4" t="s">
        <v>99</v>
      </c>
      <c r="O512" s="2" t="s">
        <v>17</v>
      </c>
      <c r="P512" s="2" t="e">
        <v>#VALUE!</v>
      </c>
    </row>
    <row r="513" spans="1:16" ht="14.25" customHeight="1">
      <c r="A513" s="2" t="s">
        <v>15</v>
      </c>
      <c r="B513" s="2">
        <v>1931</v>
      </c>
      <c r="C513" s="2" t="s">
        <v>29</v>
      </c>
      <c r="D513" s="3" t="e">
        <v>#VALUE!</v>
      </c>
      <c r="E513" s="3" t="e">
        <v>#N/A</v>
      </c>
      <c r="F513" s="3" t="e">
        <v>#N/A</v>
      </c>
      <c r="G513" s="3"/>
      <c r="I513" s="3" t="e">
        <v>#VALUE!</v>
      </c>
      <c r="J513" s="3" t="e">
        <v>#N/A</v>
      </c>
      <c r="K513" s="3" t="e">
        <v>#N/A</v>
      </c>
      <c r="N513" s="4" t="s">
        <v>99</v>
      </c>
      <c r="O513" s="2" t="s">
        <v>17</v>
      </c>
      <c r="P513" s="2" t="e">
        <v>#VALUE!</v>
      </c>
    </row>
    <row r="514" spans="1:16" ht="14.25" customHeight="1">
      <c r="A514" s="2" t="s">
        <v>15</v>
      </c>
      <c r="B514" s="2">
        <v>1932</v>
      </c>
      <c r="C514" s="2" t="s">
        <v>29</v>
      </c>
      <c r="D514" s="3" t="e">
        <v>#VALUE!</v>
      </c>
      <c r="E514" s="3" t="e">
        <v>#N/A</v>
      </c>
      <c r="F514" s="3" t="e">
        <v>#N/A</v>
      </c>
      <c r="G514" s="3"/>
      <c r="I514" s="3" t="e">
        <v>#VALUE!</v>
      </c>
      <c r="J514" s="3" t="e">
        <v>#N/A</v>
      </c>
      <c r="K514" s="3" t="e">
        <v>#N/A</v>
      </c>
      <c r="N514" s="4" t="s">
        <v>99</v>
      </c>
      <c r="O514" s="2" t="s">
        <v>17</v>
      </c>
      <c r="P514" s="2" t="e">
        <v>#VALUE!</v>
      </c>
    </row>
    <row r="515" spans="1:16" ht="14.25" customHeight="1">
      <c r="A515" s="2" t="s">
        <v>15</v>
      </c>
      <c r="B515" s="2">
        <v>1933</v>
      </c>
      <c r="C515" s="2" t="s">
        <v>29</v>
      </c>
      <c r="D515" s="3" t="e">
        <v>#VALUE!</v>
      </c>
      <c r="E515" s="3" t="e">
        <v>#N/A</v>
      </c>
      <c r="F515" s="3" t="e">
        <v>#N/A</v>
      </c>
      <c r="G515" s="3"/>
      <c r="I515" s="3" t="e">
        <v>#VALUE!</v>
      </c>
      <c r="J515" s="3" t="e">
        <v>#N/A</v>
      </c>
      <c r="K515" s="3" t="e">
        <v>#N/A</v>
      </c>
      <c r="N515" s="4" t="s">
        <v>99</v>
      </c>
      <c r="O515" s="2" t="s">
        <v>17</v>
      </c>
      <c r="P515" s="2" t="e">
        <v>#VALUE!</v>
      </c>
    </row>
    <row r="516" spans="1:16" ht="14.25" customHeight="1">
      <c r="A516" s="2" t="s">
        <v>15</v>
      </c>
      <c r="B516" s="2">
        <v>1934</v>
      </c>
      <c r="C516" s="2" t="s">
        <v>29</v>
      </c>
      <c r="D516" s="3" t="e">
        <v>#VALUE!</v>
      </c>
      <c r="E516" s="3" t="e">
        <v>#N/A</v>
      </c>
      <c r="F516" s="3" t="e">
        <v>#N/A</v>
      </c>
      <c r="G516" s="3"/>
      <c r="I516" s="3" t="e">
        <v>#VALUE!</v>
      </c>
      <c r="J516" s="3" t="e">
        <v>#N/A</v>
      </c>
      <c r="K516" s="3" t="e">
        <v>#N/A</v>
      </c>
      <c r="N516" s="4" t="s">
        <v>99</v>
      </c>
      <c r="O516" s="2" t="s">
        <v>17</v>
      </c>
      <c r="P516" s="2" t="e">
        <v>#VALUE!</v>
      </c>
    </row>
    <row r="517" spans="1:16" ht="14.25" customHeight="1">
      <c r="A517" s="2" t="s">
        <v>15</v>
      </c>
      <c r="B517" s="2">
        <v>1935</v>
      </c>
      <c r="C517" s="2" t="s">
        <v>29</v>
      </c>
      <c r="D517" s="3" t="e">
        <v>#VALUE!</v>
      </c>
      <c r="E517" s="3">
        <v>0.20468400731558625</v>
      </c>
      <c r="F517" s="3">
        <v>54.68014631172526</v>
      </c>
      <c r="G517" s="3"/>
      <c r="I517" s="3" t="e">
        <v>#VALUE!</v>
      </c>
      <c r="J517" s="3">
        <v>1.7482433082984103</v>
      </c>
      <c r="K517" s="3">
        <v>176.98980841489819</v>
      </c>
      <c r="N517" s="4" t="s">
        <v>99</v>
      </c>
      <c r="O517" s="2" t="s">
        <v>17</v>
      </c>
      <c r="P517" s="2" t="e">
        <v>#VALUE!</v>
      </c>
    </row>
    <row r="518" spans="1:16" ht="14.25" customHeight="1">
      <c r="A518" s="2" t="s">
        <v>15</v>
      </c>
      <c r="B518" s="2">
        <v>1936</v>
      </c>
      <c r="C518" s="2" t="s">
        <v>29</v>
      </c>
      <c r="D518" s="3" t="e">
        <v>#VALUE!</v>
      </c>
      <c r="E518" s="3" t="e">
        <v>#N/A</v>
      </c>
      <c r="F518" s="3" t="e">
        <v>#N/A</v>
      </c>
      <c r="G518" s="3"/>
      <c r="I518" s="3" t="e">
        <v>#VALUE!</v>
      </c>
      <c r="J518" s="3" t="e">
        <v>#N/A</v>
      </c>
      <c r="K518" s="3" t="e">
        <v>#N/A</v>
      </c>
      <c r="N518" s="4" t="s">
        <v>99</v>
      </c>
      <c r="O518" s="2" t="s">
        <v>17</v>
      </c>
      <c r="P518" s="2" t="e">
        <v>#VALUE!</v>
      </c>
    </row>
    <row r="519" spans="1:16" ht="14.25" customHeight="1">
      <c r="A519" s="2" t="s">
        <v>15</v>
      </c>
      <c r="B519" s="2">
        <v>1937</v>
      </c>
      <c r="C519" s="2" t="s">
        <v>29</v>
      </c>
      <c r="D519" s="3" t="e">
        <v>#VALUE!</v>
      </c>
      <c r="E519" s="3" t="e">
        <v>#N/A</v>
      </c>
      <c r="F519" s="3" t="e">
        <v>#N/A</v>
      </c>
      <c r="G519" s="3"/>
      <c r="I519" s="3" t="e">
        <v>#VALUE!</v>
      </c>
      <c r="J519" s="3" t="e">
        <v>#N/A</v>
      </c>
      <c r="K519" s="3" t="e">
        <v>#N/A</v>
      </c>
      <c r="N519" s="4" t="s">
        <v>99</v>
      </c>
      <c r="O519" s="2" t="s">
        <v>17</v>
      </c>
      <c r="P519" s="2" t="e">
        <v>#VALUE!</v>
      </c>
    </row>
    <row r="520" spans="1:16" ht="14.25" customHeight="1">
      <c r="A520" s="2" t="s">
        <v>15</v>
      </c>
      <c r="B520" s="2">
        <v>1938</v>
      </c>
      <c r="C520" s="2" t="s">
        <v>29</v>
      </c>
      <c r="D520" s="3" t="e">
        <v>#VALUE!</v>
      </c>
      <c r="E520" s="3" t="e">
        <v>#N/A</v>
      </c>
      <c r="F520" s="3" t="e">
        <v>#N/A</v>
      </c>
      <c r="G520" s="3"/>
      <c r="I520" s="3" t="e">
        <v>#VALUE!</v>
      </c>
      <c r="J520" s="3" t="e">
        <v>#N/A</v>
      </c>
      <c r="K520" s="3" t="e">
        <v>#N/A</v>
      </c>
      <c r="N520" s="4" t="s">
        <v>99</v>
      </c>
      <c r="O520" s="2" t="s">
        <v>17</v>
      </c>
      <c r="P520" s="2" t="e">
        <v>#VALUE!</v>
      </c>
    </row>
    <row r="521" spans="1:16" ht="14.25" customHeight="1">
      <c r="A521" s="2" t="s">
        <v>15</v>
      </c>
      <c r="B521" s="2">
        <v>1939</v>
      </c>
      <c r="C521" s="2" t="s">
        <v>29</v>
      </c>
      <c r="D521" s="3" t="e">
        <v>#VALUE!</v>
      </c>
      <c r="E521" s="3" t="e">
        <v>#N/A</v>
      </c>
      <c r="F521" s="3" t="e">
        <v>#N/A</v>
      </c>
      <c r="G521" s="3"/>
      <c r="I521" s="3" t="e">
        <v>#VALUE!</v>
      </c>
      <c r="J521" s="3" t="e">
        <v>#N/A</v>
      </c>
      <c r="K521" s="3" t="e">
        <v>#N/A</v>
      </c>
      <c r="N521" s="4" t="s">
        <v>100</v>
      </c>
      <c r="O521" s="2" t="s">
        <v>17</v>
      </c>
      <c r="P521" s="2" t="e">
        <v>#VALUE!</v>
      </c>
    </row>
    <row r="522" spans="1:16" ht="14.25" customHeight="1">
      <c r="A522" s="2" t="s">
        <v>15</v>
      </c>
      <c r="B522" s="2">
        <v>1940</v>
      </c>
      <c r="C522" s="2" t="s">
        <v>29</v>
      </c>
      <c r="D522" s="3" t="e">
        <v>#VALUE!</v>
      </c>
      <c r="E522" s="3">
        <v>2.2099166836008939E-2</v>
      </c>
      <c r="F522" s="3">
        <v>57.12736232473074</v>
      </c>
      <c r="G522" s="3"/>
      <c r="I522" s="3" t="e">
        <v>#VALUE!</v>
      </c>
      <c r="J522" s="3">
        <v>0.17872540592676001</v>
      </c>
      <c r="K522" s="3">
        <v>193.79580885628658</v>
      </c>
      <c r="N522" s="4" t="s">
        <v>100</v>
      </c>
      <c r="O522" s="2" t="s">
        <v>17</v>
      </c>
      <c r="P522" s="2" t="e">
        <v>#VALUE!</v>
      </c>
    </row>
    <row r="523" spans="1:16" ht="14.25" customHeight="1">
      <c r="A523" s="2" t="s">
        <v>15</v>
      </c>
      <c r="B523" s="2">
        <v>1941</v>
      </c>
      <c r="C523" s="2" t="s">
        <v>29</v>
      </c>
      <c r="D523" s="3" t="e">
        <v>#VALUE!</v>
      </c>
      <c r="E523" s="3" t="e">
        <v>#N/A</v>
      </c>
      <c r="F523" s="3" t="e">
        <v>#N/A</v>
      </c>
      <c r="G523" s="3"/>
      <c r="I523" s="3" t="e">
        <v>#VALUE!</v>
      </c>
      <c r="J523" s="3" t="e">
        <v>#N/A</v>
      </c>
      <c r="K523" s="3" t="e">
        <v>#N/A</v>
      </c>
      <c r="N523" s="4" t="s">
        <v>100</v>
      </c>
      <c r="O523" s="2" t="s">
        <v>17</v>
      </c>
      <c r="P523" s="2" t="e">
        <v>#VALUE!</v>
      </c>
    </row>
    <row r="524" spans="1:16" ht="14.25" customHeight="1">
      <c r="A524" s="2" t="s">
        <v>15</v>
      </c>
      <c r="B524" s="2">
        <v>1942</v>
      </c>
      <c r="C524" s="2" t="s">
        <v>29</v>
      </c>
      <c r="D524" s="3" t="e">
        <v>#VALUE!</v>
      </c>
      <c r="E524" s="3">
        <v>0</v>
      </c>
      <c r="F524" s="3">
        <v>56.161044503149768</v>
      </c>
      <c r="G524" s="3"/>
      <c r="I524" s="3" t="e">
        <v>#VALUE!</v>
      </c>
      <c r="J524" s="3">
        <v>0</v>
      </c>
      <c r="K524" s="3">
        <v>164.54223853626087</v>
      </c>
      <c r="N524" s="4" t="s">
        <v>100</v>
      </c>
      <c r="O524" s="2" t="s">
        <v>17</v>
      </c>
      <c r="P524" s="2" t="e">
        <v>#VALUE!</v>
      </c>
    </row>
    <row r="525" spans="1:16" ht="14.25" customHeight="1">
      <c r="A525" s="2" t="s">
        <v>15</v>
      </c>
      <c r="B525" s="2">
        <v>1943</v>
      </c>
      <c r="C525" s="2" t="s">
        <v>29</v>
      </c>
      <c r="D525" s="3" t="e">
        <v>#VALUE!</v>
      </c>
      <c r="E525" s="3" t="e">
        <v>#N/A</v>
      </c>
      <c r="F525" s="3" t="e">
        <v>#N/A</v>
      </c>
      <c r="G525" s="3"/>
      <c r="I525" s="3" t="e">
        <v>#VALUE!</v>
      </c>
      <c r="J525" s="3" t="e">
        <v>#N/A</v>
      </c>
      <c r="K525" s="3" t="e">
        <v>#N/A</v>
      </c>
      <c r="N525" s="4" t="s">
        <v>100</v>
      </c>
      <c r="O525" s="2" t="s">
        <v>17</v>
      </c>
      <c r="P525" s="2" t="e">
        <v>#VALUE!</v>
      </c>
    </row>
    <row r="526" spans="1:16" ht="14.25" customHeight="1">
      <c r="A526" s="2" t="s">
        <v>15</v>
      </c>
      <c r="B526" s="2">
        <v>1944</v>
      </c>
      <c r="C526" s="2" t="s">
        <v>29</v>
      </c>
      <c r="D526" s="3" t="e">
        <v>#VALUE!</v>
      </c>
      <c r="E526" s="3">
        <v>0</v>
      </c>
      <c r="F526" s="3">
        <v>23.81548465758992</v>
      </c>
      <c r="G526" s="3"/>
      <c r="I526" s="3" t="e">
        <v>#VALUE!</v>
      </c>
      <c r="J526" s="3">
        <v>0</v>
      </c>
      <c r="K526" s="3">
        <v>75.729274112058434</v>
      </c>
      <c r="N526" s="4" t="s">
        <v>100</v>
      </c>
      <c r="O526" s="2" t="s">
        <v>17</v>
      </c>
      <c r="P526" s="2" t="e">
        <v>#VALUE!</v>
      </c>
    </row>
    <row r="527" spans="1:16" ht="14.25" customHeight="1">
      <c r="A527" s="2" t="s">
        <v>15</v>
      </c>
      <c r="B527" s="2">
        <v>1945</v>
      </c>
      <c r="C527" s="2" t="s">
        <v>29</v>
      </c>
      <c r="D527" s="3" t="e">
        <v>#VALUE!</v>
      </c>
      <c r="E527" s="3" t="e">
        <v>#N/A</v>
      </c>
      <c r="F527" s="3" t="e">
        <v>#N/A</v>
      </c>
      <c r="G527" s="3"/>
      <c r="I527" s="3" t="e">
        <v>#VALUE!</v>
      </c>
      <c r="J527" s="3" t="e">
        <v>#N/A</v>
      </c>
      <c r="K527" s="3" t="e">
        <v>#N/A</v>
      </c>
      <c r="N527" s="4" t="s">
        <v>100</v>
      </c>
      <c r="O527" s="2" t="s">
        <v>17</v>
      </c>
      <c r="P527" s="2" t="e">
        <v>#VALUE!</v>
      </c>
    </row>
    <row r="528" spans="1:16" ht="14.25" customHeight="1">
      <c r="A528" s="2" t="s">
        <v>15</v>
      </c>
      <c r="B528" s="2">
        <v>1946</v>
      </c>
      <c r="C528" s="2" t="s">
        <v>29</v>
      </c>
      <c r="D528" s="3" t="e">
        <v>#VALUE!</v>
      </c>
      <c r="E528" s="3">
        <v>0</v>
      </c>
      <c r="F528" s="3">
        <v>44.863239179028646</v>
      </c>
      <c r="G528" s="3"/>
      <c r="I528" s="3" t="e">
        <v>#VALUE!</v>
      </c>
      <c r="J528" s="3">
        <v>3.2345925924000003E-4</v>
      </c>
      <c r="K528" s="3">
        <v>174.71875821181919</v>
      </c>
      <c r="N528" s="4" t="s">
        <v>99</v>
      </c>
      <c r="O528" s="2" t="s">
        <v>17</v>
      </c>
      <c r="P528" s="2" t="e">
        <v>#VALUE!</v>
      </c>
    </row>
    <row r="529" spans="1:17" ht="14.25" customHeight="1">
      <c r="A529" s="2" t="s">
        <v>15</v>
      </c>
      <c r="B529" s="2">
        <v>1947</v>
      </c>
      <c r="C529" s="2" t="s">
        <v>29</v>
      </c>
      <c r="D529" s="3" t="e">
        <v>#VALUE!</v>
      </c>
      <c r="E529" s="3" t="e">
        <v>#N/A</v>
      </c>
      <c r="F529" s="3" t="e">
        <v>#N/A</v>
      </c>
      <c r="G529" s="3"/>
      <c r="I529" s="3" t="e">
        <v>#VALUE!</v>
      </c>
      <c r="J529" s="3" t="e">
        <v>#N/A</v>
      </c>
      <c r="K529" s="3" t="e">
        <v>#N/A</v>
      </c>
      <c r="N529" s="4" t="s">
        <v>99</v>
      </c>
      <c r="O529" s="2" t="s">
        <v>17</v>
      </c>
      <c r="P529" s="2" t="e">
        <v>#VALUE!</v>
      </c>
    </row>
    <row r="530" spans="1:17" ht="14.25" customHeight="1">
      <c r="A530" s="2" t="s">
        <v>15</v>
      </c>
      <c r="B530" s="2">
        <v>1948</v>
      </c>
      <c r="C530" s="2" t="s">
        <v>29</v>
      </c>
      <c r="D530" s="3" t="e">
        <v>#VALUE!</v>
      </c>
      <c r="E530" s="3" t="e">
        <v>#N/A</v>
      </c>
      <c r="F530" s="3" t="e">
        <v>#N/A</v>
      </c>
      <c r="G530" s="3"/>
      <c r="I530" s="3" t="e">
        <v>#VALUE!</v>
      </c>
      <c r="J530" s="3" t="e">
        <v>#N/A</v>
      </c>
      <c r="K530" s="3" t="e">
        <v>#N/A</v>
      </c>
      <c r="N530" s="4" t="s">
        <v>99</v>
      </c>
      <c r="O530" s="2" t="s">
        <v>17</v>
      </c>
      <c r="P530" s="2" t="e">
        <v>#VALUE!</v>
      </c>
    </row>
    <row r="531" spans="1:17" ht="14.25" customHeight="1">
      <c r="A531" s="2" t="s">
        <v>15</v>
      </c>
      <c r="B531" s="2">
        <v>1949</v>
      </c>
      <c r="C531" s="2" t="s">
        <v>29</v>
      </c>
      <c r="D531" s="3" t="e">
        <v>#VALUE!</v>
      </c>
      <c r="E531" s="3" t="e">
        <v>#N/A</v>
      </c>
      <c r="F531" s="3" t="e">
        <v>#N/A</v>
      </c>
      <c r="G531" s="3"/>
      <c r="I531" s="3" t="e">
        <v>#VALUE!</v>
      </c>
      <c r="J531" s="3" t="e">
        <v>#N/A</v>
      </c>
      <c r="K531" s="3" t="e">
        <v>#N/A</v>
      </c>
      <c r="N531" s="4" t="s">
        <v>99</v>
      </c>
      <c r="O531" s="2" t="s">
        <v>17</v>
      </c>
      <c r="P531" s="2" t="e">
        <v>#VALUE!</v>
      </c>
    </row>
    <row r="532" spans="1:17" ht="14.25" customHeight="1">
      <c r="A532" s="2" t="s">
        <v>15</v>
      </c>
      <c r="B532" s="2">
        <v>1950</v>
      </c>
      <c r="C532" s="2" t="s">
        <v>29</v>
      </c>
      <c r="D532" s="3" t="e">
        <v>#VALUE!</v>
      </c>
      <c r="E532" s="3" t="e">
        <v>#VALUE!</v>
      </c>
      <c r="F532" s="3">
        <v>6.4036273115220483</v>
      </c>
      <c r="G532" s="3">
        <v>0</v>
      </c>
      <c r="I532" s="3" t="e">
        <v>#VALUE!</v>
      </c>
      <c r="J532" s="3" t="e">
        <v>#VALUE!</v>
      </c>
      <c r="K532" s="3">
        <v>51.131247660634322</v>
      </c>
      <c r="N532" s="4" t="s">
        <v>99</v>
      </c>
      <c r="O532" s="2" t="s">
        <v>17</v>
      </c>
      <c r="P532" s="2" t="e">
        <v>#VALUE!</v>
      </c>
      <c r="Q532" s="2">
        <v>0</v>
      </c>
    </row>
    <row r="533" spans="1:17" ht="14.25" customHeight="1">
      <c r="A533" s="2" t="s">
        <v>15</v>
      </c>
      <c r="B533" s="2">
        <v>1951</v>
      </c>
      <c r="C533" s="2" t="s">
        <v>29</v>
      </c>
      <c r="D533" s="3" t="e">
        <v>#VALUE!</v>
      </c>
      <c r="E533" s="3" t="e">
        <v>#N/A</v>
      </c>
      <c r="F533" s="3" t="e">
        <v>#N/A</v>
      </c>
      <c r="G533" s="3">
        <v>0</v>
      </c>
      <c r="I533" s="3" t="e">
        <v>#VALUE!</v>
      </c>
      <c r="J533" s="3" t="e">
        <v>#N/A</v>
      </c>
      <c r="K533" s="3" t="e">
        <v>#N/A</v>
      </c>
      <c r="N533" s="4" t="s">
        <v>99</v>
      </c>
      <c r="O533" s="2" t="s">
        <v>17</v>
      </c>
      <c r="P533" s="2" t="e">
        <v>#VALUE!</v>
      </c>
      <c r="Q533" s="2">
        <v>0</v>
      </c>
    </row>
    <row r="534" spans="1:17" ht="14.25" customHeight="1">
      <c r="A534" s="2" t="s">
        <v>15</v>
      </c>
      <c r="B534" s="2">
        <v>1952</v>
      </c>
      <c r="C534" s="2" t="s">
        <v>29</v>
      </c>
      <c r="D534" s="3" t="e">
        <v>#VALUE!</v>
      </c>
      <c r="E534" s="3" t="e">
        <v>#N/A</v>
      </c>
      <c r="F534" s="3" t="e">
        <v>#N/A</v>
      </c>
      <c r="G534" s="3">
        <v>0</v>
      </c>
      <c r="I534" s="3" t="e">
        <v>#VALUE!</v>
      </c>
      <c r="J534" s="3" t="e">
        <v>#N/A</v>
      </c>
      <c r="K534" s="3" t="e">
        <v>#N/A</v>
      </c>
      <c r="N534" s="4" t="s">
        <v>99</v>
      </c>
      <c r="O534" s="2" t="s">
        <v>17</v>
      </c>
      <c r="P534" s="2" t="e">
        <v>#VALUE!</v>
      </c>
      <c r="Q534" s="2">
        <v>0</v>
      </c>
    </row>
    <row r="535" spans="1:17" ht="14.25" customHeight="1">
      <c r="A535" s="2" t="s">
        <v>15</v>
      </c>
      <c r="B535" s="2">
        <v>1953</v>
      </c>
      <c r="C535" s="2" t="s">
        <v>29</v>
      </c>
      <c r="D535" s="3" t="e">
        <v>#VALUE!</v>
      </c>
      <c r="E535" s="3" t="e">
        <v>#N/A</v>
      </c>
      <c r="F535" s="3" t="e">
        <v>#N/A</v>
      </c>
      <c r="G535" s="3">
        <v>0</v>
      </c>
      <c r="I535" s="3" t="e">
        <v>#VALUE!</v>
      </c>
      <c r="J535" s="3" t="e">
        <v>#N/A</v>
      </c>
      <c r="K535" s="3" t="e">
        <v>#N/A</v>
      </c>
      <c r="N535" s="4" t="s">
        <v>99</v>
      </c>
      <c r="O535" s="2" t="s">
        <v>17</v>
      </c>
      <c r="P535" s="2" t="e">
        <v>#VALUE!</v>
      </c>
      <c r="Q535" s="2">
        <v>0</v>
      </c>
    </row>
    <row r="536" spans="1:17" ht="14.25" customHeight="1">
      <c r="A536" s="2" t="s">
        <v>15</v>
      </c>
      <c r="B536" s="2">
        <v>1954</v>
      </c>
      <c r="C536" s="2" t="s">
        <v>29</v>
      </c>
      <c r="D536" s="3" t="e">
        <v>#VALUE!</v>
      </c>
      <c r="E536" s="3" t="e">
        <v>#N/A</v>
      </c>
      <c r="F536" s="3" t="e">
        <v>#N/A</v>
      </c>
      <c r="G536" s="3">
        <v>0</v>
      </c>
      <c r="I536" s="3" t="e">
        <v>#VALUE!</v>
      </c>
      <c r="J536" s="3" t="e">
        <v>#N/A</v>
      </c>
      <c r="K536" s="3" t="e">
        <v>#N/A</v>
      </c>
      <c r="N536" s="4" t="s">
        <v>99</v>
      </c>
      <c r="O536" s="2" t="s">
        <v>17</v>
      </c>
      <c r="P536" s="2" t="e">
        <v>#VALUE!</v>
      </c>
      <c r="Q536" s="2">
        <v>0</v>
      </c>
    </row>
    <row r="537" spans="1:17" ht="14.25" customHeight="1">
      <c r="A537" s="2" t="s">
        <v>15</v>
      </c>
      <c r="B537" s="2">
        <v>1955</v>
      </c>
      <c r="C537" s="2" t="s">
        <v>29</v>
      </c>
      <c r="D537" s="3" t="e">
        <v>#VALUE!</v>
      </c>
      <c r="E537" s="3" t="e">
        <v>#VALUE!</v>
      </c>
      <c r="F537" s="3">
        <v>11.075137167242429</v>
      </c>
      <c r="G537" s="3">
        <v>0</v>
      </c>
      <c r="I537" s="3" t="e">
        <v>#VALUE!</v>
      </c>
      <c r="J537" s="3" t="e">
        <v>#VALUE!</v>
      </c>
      <c r="K537" s="3">
        <v>94.418528465304405</v>
      </c>
      <c r="N537" s="4" t="s">
        <v>99</v>
      </c>
      <c r="O537" s="2" t="s">
        <v>17</v>
      </c>
      <c r="P537" s="2" t="e">
        <v>#VALUE!</v>
      </c>
      <c r="Q537" s="2">
        <v>0</v>
      </c>
    </row>
    <row r="538" spans="1:17" ht="14.25" customHeight="1">
      <c r="A538" s="2" t="s">
        <v>15</v>
      </c>
      <c r="B538" s="2">
        <v>1956</v>
      </c>
      <c r="C538" s="2" t="s">
        <v>29</v>
      </c>
      <c r="D538" s="3" t="e">
        <v>#VALUE!</v>
      </c>
      <c r="E538" s="3" t="e">
        <v>#N/A</v>
      </c>
      <c r="F538" s="3" t="e">
        <v>#N/A</v>
      </c>
      <c r="G538" s="3">
        <v>0</v>
      </c>
      <c r="I538" s="3" t="e">
        <v>#VALUE!</v>
      </c>
      <c r="J538" s="3" t="e">
        <v>#N/A</v>
      </c>
      <c r="K538" s="3" t="e">
        <v>#N/A</v>
      </c>
      <c r="N538" s="4" t="s">
        <v>99</v>
      </c>
      <c r="O538" s="2" t="s">
        <v>17</v>
      </c>
      <c r="P538" s="2" t="e">
        <v>#VALUE!</v>
      </c>
      <c r="Q538" s="2">
        <v>0</v>
      </c>
    </row>
    <row r="539" spans="1:17" ht="14.25" customHeight="1">
      <c r="A539" s="2" t="s">
        <v>15</v>
      </c>
      <c r="B539" s="2">
        <v>1957</v>
      </c>
      <c r="C539" s="2" t="s">
        <v>29</v>
      </c>
      <c r="D539" s="3" t="e">
        <v>#VALUE!</v>
      </c>
      <c r="E539" s="3" t="e">
        <v>#N/A</v>
      </c>
      <c r="F539" s="3" t="e">
        <v>#N/A</v>
      </c>
      <c r="G539" s="3">
        <v>0</v>
      </c>
      <c r="I539" s="3" t="e">
        <v>#VALUE!</v>
      </c>
      <c r="J539" s="3" t="e">
        <v>#N/A</v>
      </c>
      <c r="K539" s="3" t="e">
        <v>#N/A</v>
      </c>
      <c r="N539" s="4" t="s">
        <v>99</v>
      </c>
      <c r="O539" s="2" t="s">
        <v>17</v>
      </c>
      <c r="P539" s="2" t="e">
        <v>#VALUE!</v>
      </c>
      <c r="Q539" s="2">
        <v>0</v>
      </c>
    </row>
    <row r="540" spans="1:17" ht="14.25" customHeight="1">
      <c r="A540" s="2" t="s">
        <v>15</v>
      </c>
      <c r="B540" s="2">
        <v>1958</v>
      </c>
      <c r="C540" s="2" t="s">
        <v>29</v>
      </c>
      <c r="D540" s="3" t="e">
        <v>#VALUE!</v>
      </c>
      <c r="E540" s="3" t="e">
        <v>#N/A</v>
      </c>
      <c r="F540" s="3" t="e">
        <v>#N/A</v>
      </c>
      <c r="G540" s="3">
        <v>0</v>
      </c>
      <c r="I540" s="3" t="e">
        <v>#VALUE!</v>
      </c>
      <c r="J540" s="3" t="e">
        <v>#N/A</v>
      </c>
      <c r="K540" s="3" t="e">
        <v>#N/A</v>
      </c>
      <c r="N540" s="4" t="s">
        <v>99</v>
      </c>
      <c r="O540" s="2" t="s">
        <v>17</v>
      </c>
      <c r="P540" s="2" t="e">
        <v>#VALUE!</v>
      </c>
      <c r="Q540" s="2">
        <v>0</v>
      </c>
    </row>
    <row r="541" spans="1:17" ht="14.25" customHeight="1">
      <c r="A541" s="2" t="s">
        <v>15</v>
      </c>
      <c r="B541" s="2">
        <v>1959</v>
      </c>
      <c r="C541" s="2" t="s">
        <v>29</v>
      </c>
      <c r="D541" s="3" t="e">
        <v>#VALUE!</v>
      </c>
      <c r="E541" s="3" t="e">
        <v>#N/A</v>
      </c>
      <c r="F541" s="3" t="e">
        <v>#N/A</v>
      </c>
      <c r="G541" s="3">
        <v>0</v>
      </c>
      <c r="I541" s="3" t="e">
        <v>#VALUE!</v>
      </c>
      <c r="J541" s="3" t="e">
        <v>#N/A</v>
      </c>
      <c r="K541" s="3" t="e">
        <v>#N/A</v>
      </c>
      <c r="N541" s="4" t="s">
        <v>99</v>
      </c>
      <c r="O541" s="2" t="s">
        <v>17</v>
      </c>
      <c r="P541" s="2" t="e">
        <v>#VALUE!</v>
      </c>
      <c r="Q541" s="2">
        <v>0</v>
      </c>
    </row>
    <row r="542" spans="1:17" ht="14.25" customHeight="1">
      <c r="A542" s="2" t="s">
        <v>15</v>
      </c>
      <c r="B542" s="2">
        <v>1960</v>
      </c>
      <c r="C542" s="2" t="s">
        <v>29</v>
      </c>
      <c r="D542" s="3" t="e">
        <v>#VALUE!</v>
      </c>
      <c r="E542" s="3" t="e">
        <v>#VALUE!</v>
      </c>
      <c r="F542" s="3">
        <v>37.004216622637671</v>
      </c>
      <c r="G542" s="3">
        <v>0</v>
      </c>
      <c r="I542" s="3" t="e">
        <v>#VALUE!</v>
      </c>
      <c r="J542" s="3" t="e">
        <v>#VALUE!</v>
      </c>
      <c r="K542" s="3">
        <v>327.3375190774035</v>
      </c>
      <c r="N542" s="4" t="s">
        <v>99</v>
      </c>
      <c r="O542" s="2" t="s">
        <v>17</v>
      </c>
      <c r="P542" s="2" t="e">
        <v>#VALUE!</v>
      </c>
      <c r="Q542" s="2">
        <v>0</v>
      </c>
    </row>
    <row r="543" spans="1:17" ht="14.25" customHeight="1">
      <c r="A543" s="2" t="s">
        <v>15</v>
      </c>
      <c r="B543" s="2">
        <v>1961</v>
      </c>
      <c r="C543" s="2" t="s">
        <v>29</v>
      </c>
      <c r="D543" s="3" t="e">
        <v>#VALUE!</v>
      </c>
      <c r="E543" s="3" t="e">
        <v>#N/A</v>
      </c>
      <c r="F543" s="3" t="e">
        <v>#N/A</v>
      </c>
      <c r="G543" s="3">
        <v>0</v>
      </c>
      <c r="I543" s="3" t="e">
        <v>#VALUE!</v>
      </c>
      <c r="J543" s="3" t="e">
        <v>#N/A</v>
      </c>
      <c r="K543" s="3" t="e">
        <v>#N/A</v>
      </c>
      <c r="N543" s="4" t="s">
        <v>99</v>
      </c>
      <c r="O543" s="2" t="s">
        <v>17</v>
      </c>
      <c r="P543" s="2" t="e">
        <v>#VALUE!</v>
      </c>
      <c r="Q543" s="2">
        <v>0</v>
      </c>
    </row>
    <row r="544" spans="1:17" ht="14.25" customHeight="1">
      <c r="A544" s="2" t="s">
        <v>15</v>
      </c>
      <c r="B544" s="2">
        <v>1962</v>
      </c>
      <c r="C544" s="2" t="s">
        <v>29</v>
      </c>
      <c r="D544" s="3" t="e">
        <v>#VALUE!</v>
      </c>
      <c r="E544" s="3" t="e">
        <v>#N/A</v>
      </c>
      <c r="F544" s="3" t="e">
        <v>#N/A</v>
      </c>
      <c r="G544" s="3">
        <v>0</v>
      </c>
      <c r="I544" s="3" t="e">
        <v>#VALUE!</v>
      </c>
      <c r="J544" s="3" t="e">
        <v>#N/A</v>
      </c>
      <c r="K544" s="3" t="e">
        <v>#N/A</v>
      </c>
      <c r="N544" s="4" t="s">
        <v>99</v>
      </c>
      <c r="O544" s="2" t="s">
        <v>17</v>
      </c>
      <c r="P544" s="2" t="e">
        <v>#VALUE!</v>
      </c>
      <c r="Q544" s="2">
        <v>0</v>
      </c>
    </row>
    <row r="545" spans="1:17" ht="14.25" customHeight="1">
      <c r="A545" s="2" t="s">
        <v>15</v>
      </c>
      <c r="B545" s="2">
        <v>1963</v>
      </c>
      <c r="C545" s="2" t="s">
        <v>29</v>
      </c>
      <c r="D545" s="3" t="e">
        <v>#VALUE!</v>
      </c>
      <c r="E545" s="3" t="e">
        <v>#N/A</v>
      </c>
      <c r="F545" s="3" t="e">
        <v>#N/A</v>
      </c>
      <c r="G545" s="3">
        <v>0</v>
      </c>
      <c r="I545" s="3" t="e">
        <v>#VALUE!</v>
      </c>
      <c r="J545" s="3" t="e">
        <v>#N/A</v>
      </c>
      <c r="K545" s="3" t="e">
        <v>#N/A</v>
      </c>
      <c r="N545" s="4" t="s">
        <v>99</v>
      </c>
      <c r="O545" s="2" t="s">
        <v>17</v>
      </c>
      <c r="P545" s="2" t="e">
        <v>#VALUE!</v>
      </c>
      <c r="Q545" s="2">
        <v>0</v>
      </c>
    </row>
    <row r="546" spans="1:17" ht="14.25" customHeight="1">
      <c r="A546" s="2" t="s">
        <v>15</v>
      </c>
      <c r="B546" s="2">
        <v>1964</v>
      </c>
      <c r="C546" s="2" t="s">
        <v>29</v>
      </c>
      <c r="D546" s="3" t="e">
        <v>#VALUE!</v>
      </c>
      <c r="E546" s="3" t="e">
        <v>#N/A</v>
      </c>
      <c r="F546" s="3" t="e">
        <v>#N/A</v>
      </c>
      <c r="G546" s="3">
        <v>0</v>
      </c>
      <c r="I546" s="3" t="e">
        <v>#VALUE!</v>
      </c>
      <c r="J546" s="3" t="e">
        <v>#N/A</v>
      </c>
      <c r="K546" s="3" t="e">
        <v>#N/A</v>
      </c>
      <c r="N546" s="4" t="s">
        <v>99</v>
      </c>
      <c r="O546" s="2" t="s">
        <v>17</v>
      </c>
      <c r="P546" s="2" t="e">
        <v>#VALUE!</v>
      </c>
      <c r="Q546" s="2">
        <v>0</v>
      </c>
    </row>
    <row r="547" spans="1:17" ht="14.25" customHeight="1">
      <c r="A547" s="2" t="s">
        <v>15</v>
      </c>
      <c r="B547" s="2">
        <v>1965</v>
      </c>
      <c r="C547" s="2" t="s">
        <v>29</v>
      </c>
      <c r="D547" s="3" t="e">
        <v>#N/A</v>
      </c>
      <c r="E547" s="3" t="e">
        <v>#N/A</v>
      </c>
      <c r="F547" s="3">
        <v>49.024588498272706</v>
      </c>
      <c r="G547" s="3">
        <v>0</v>
      </c>
      <c r="I547" s="3" t="e">
        <v>#N/A</v>
      </c>
      <c r="J547" s="3" t="e">
        <v>#N/A</v>
      </c>
      <c r="K547" s="3">
        <v>361.19603089934003</v>
      </c>
      <c r="N547" s="4" t="s">
        <v>99</v>
      </c>
      <c r="O547" s="2" t="s">
        <v>17</v>
      </c>
      <c r="P547" s="2" t="e">
        <v>#N/A</v>
      </c>
      <c r="Q547" s="2">
        <v>0</v>
      </c>
    </row>
    <row r="548" spans="1:17" ht="14.25" customHeight="1">
      <c r="A548" s="2" t="s">
        <v>15</v>
      </c>
      <c r="B548" s="2">
        <v>1966</v>
      </c>
      <c r="C548" s="2" t="s">
        <v>29</v>
      </c>
      <c r="D548" s="3" t="e">
        <v>#N/A</v>
      </c>
      <c r="E548" s="3" t="e">
        <v>#N/A</v>
      </c>
      <c r="F548" s="3">
        <v>36.323917902865269</v>
      </c>
      <c r="G548" s="3">
        <v>0</v>
      </c>
      <c r="I548" s="3" t="e">
        <v>#N/A</v>
      </c>
      <c r="J548" s="3" t="e">
        <v>#N/A</v>
      </c>
      <c r="K548" s="3">
        <v>261.08339362700002</v>
      </c>
      <c r="N548" s="4" t="s">
        <v>99</v>
      </c>
      <c r="O548" s="2" t="s">
        <v>17</v>
      </c>
      <c r="P548" s="2" t="e">
        <v>#N/A</v>
      </c>
      <c r="Q548" s="2">
        <v>0</v>
      </c>
    </row>
    <row r="549" spans="1:17" ht="14.25" customHeight="1">
      <c r="A549" s="2" t="s">
        <v>15</v>
      </c>
      <c r="B549" s="2">
        <v>1967</v>
      </c>
      <c r="C549" s="2" t="s">
        <v>29</v>
      </c>
      <c r="D549" s="3" t="e">
        <v>#N/A</v>
      </c>
      <c r="E549" s="3" t="e">
        <v>#N/A</v>
      </c>
      <c r="F549" s="3">
        <v>46.230440967283073</v>
      </c>
      <c r="G549" s="3">
        <v>0</v>
      </c>
      <c r="I549" s="3" t="e">
        <v>#N/A</v>
      </c>
      <c r="J549" s="3" t="e">
        <v>#N/A</v>
      </c>
      <c r="K549" s="3">
        <v>336.97833062500001</v>
      </c>
      <c r="N549" s="4" t="s">
        <v>99</v>
      </c>
      <c r="O549" s="2" t="s">
        <v>17</v>
      </c>
      <c r="P549" s="2" t="e">
        <v>#N/A</v>
      </c>
      <c r="Q549" s="2">
        <v>0</v>
      </c>
    </row>
    <row r="550" spans="1:17" ht="14.25" customHeight="1">
      <c r="A550" s="2" t="s">
        <v>15</v>
      </c>
      <c r="B550" s="2">
        <v>1968</v>
      </c>
      <c r="C550" s="2" t="s">
        <v>29</v>
      </c>
      <c r="D550" s="3" t="e">
        <v>#N/A</v>
      </c>
      <c r="E550" s="3" t="e">
        <v>#N/A</v>
      </c>
      <c r="F550" s="3">
        <v>50.142247510668561</v>
      </c>
      <c r="G550" s="3">
        <v>0</v>
      </c>
      <c r="I550" s="3" t="e">
        <v>#N/A</v>
      </c>
      <c r="J550" s="3" t="e">
        <v>#N/A</v>
      </c>
      <c r="K550" s="3">
        <v>375.86797846942</v>
      </c>
      <c r="N550" s="4" t="s">
        <v>99</v>
      </c>
      <c r="O550" s="2" t="s">
        <v>17</v>
      </c>
      <c r="P550" s="2" t="e">
        <v>#N/A</v>
      </c>
      <c r="Q550" s="2">
        <v>0</v>
      </c>
    </row>
    <row r="551" spans="1:17" ht="14.25" customHeight="1">
      <c r="A551" s="2" t="s">
        <v>15</v>
      </c>
      <c r="B551" s="2">
        <v>1969</v>
      </c>
      <c r="C551" s="2" t="s">
        <v>29</v>
      </c>
      <c r="D551" s="3" t="e">
        <v>#N/A</v>
      </c>
      <c r="E551" s="3" t="e">
        <v>#N/A</v>
      </c>
      <c r="F551" s="3">
        <v>36.17150985572038</v>
      </c>
      <c r="G551" s="3">
        <v>0</v>
      </c>
      <c r="I551" s="3" t="e">
        <v>#N/A</v>
      </c>
      <c r="J551" s="3" t="e">
        <v>#N/A</v>
      </c>
      <c r="K551" s="3">
        <v>283.51524598273994</v>
      </c>
      <c r="N551" s="4" t="s">
        <v>99</v>
      </c>
      <c r="O551" s="2" t="s">
        <v>17</v>
      </c>
      <c r="P551" s="2" t="e">
        <v>#N/A</v>
      </c>
      <c r="Q551" s="2">
        <v>0</v>
      </c>
    </row>
    <row r="552" spans="1:17" ht="14.25" customHeight="1">
      <c r="A552" s="2" t="s">
        <v>15</v>
      </c>
      <c r="B552" s="2">
        <v>1970</v>
      </c>
      <c r="C552" s="2" t="s">
        <v>29</v>
      </c>
      <c r="D552" s="3" t="e">
        <v>#N/A</v>
      </c>
      <c r="E552" s="3" t="e">
        <v>#N/A</v>
      </c>
      <c r="F552" s="3">
        <v>28.805120910384066</v>
      </c>
      <c r="G552" s="3">
        <v>0.21645850356017277</v>
      </c>
      <c r="I552" s="3" t="e">
        <v>#N/A</v>
      </c>
      <c r="J552" s="3" t="e">
        <v>#N/A</v>
      </c>
      <c r="K552" s="3">
        <v>230.112177843681</v>
      </c>
      <c r="N552" s="4" t="s">
        <v>99</v>
      </c>
      <c r="O552" s="2" t="s">
        <v>17</v>
      </c>
      <c r="P552" s="2" t="e">
        <v>#N/A</v>
      </c>
      <c r="Q552" s="2">
        <v>6.0608380996848378E-2</v>
      </c>
    </row>
    <row r="553" spans="1:17" ht="14.25" customHeight="1">
      <c r="A553" s="2" t="s">
        <v>15</v>
      </c>
      <c r="B553" s="2">
        <v>1971</v>
      </c>
      <c r="C553" s="2" t="s">
        <v>29</v>
      </c>
      <c r="D553" s="3" t="e">
        <v>#N/A</v>
      </c>
      <c r="E553" s="3" t="e">
        <v>#N/A</v>
      </c>
      <c r="F553" s="3">
        <v>38.203617150985572</v>
      </c>
      <c r="G553" s="3">
        <v>0.19161900315162836</v>
      </c>
      <c r="I553" s="3" t="e">
        <v>#N/A</v>
      </c>
      <c r="J553" s="3" t="e">
        <v>#N/A</v>
      </c>
      <c r="K553" s="3">
        <v>283.89428250000003</v>
      </c>
      <c r="N553" s="4" t="s">
        <v>99</v>
      </c>
      <c r="O553" s="2" t="s">
        <v>17</v>
      </c>
      <c r="P553" s="2" t="e">
        <v>#N/A</v>
      </c>
      <c r="Q553" s="2">
        <v>5.3653320882455946E-2</v>
      </c>
    </row>
    <row r="554" spans="1:17" ht="14.25" customHeight="1">
      <c r="A554" s="2" t="s">
        <v>15</v>
      </c>
      <c r="B554" s="2">
        <v>1972</v>
      </c>
      <c r="C554" s="2" t="s">
        <v>29</v>
      </c>
      <c r="D554" s="3" t="e">
        <v>#N/A</v>
      </c>
      <c r="E554" s="3" t="e">
        <v>#N/A</v>
      </c>
      <c r="F554" s="3">
        <v>39.321276163381427</v>
      </c>
      <c r="G554" s="3">
        <v>0.18895762810785574</v>
      </c>
      <c r="I554" s="3" t="e">
        <v>#N/A</v>
      </c>
      <c r="J554" s="3" t="e">
        <v>#N/A</v>
      </c>
      <c r="K554" s="3">
        <v>290.598574088502</v>
      </c>
      <c r="N554" s="4" t="s">
        <v>99</v>
      </c>
      <c r="O554" s="2" t="s">
        <v>17</v>
      </c>
      <c r="P554" s="2" t="e">
        <v>#N/A</v>
      </c>
      <c r="Q554" s="2">
        <v>5.2908135870199616E-2</v>
      </c>
    </row>
    <row r="555" spans="1:17" ht="14.25" customHeight="1">
      <c r="A555" s="2" t="s">
        <v>15</v>
      </c>
      <c r="B555" s="2">
        <v>1973</v>
      </c>
      <c r="C555" s="2" t="s">
        <v>29</v>
      </c>
      <c r="D555" s="3" t="e">
        <v>#N/A</v>
      </c>
      <c r="E555" s="3" t="e">
        <v>#N/A</v>
      </c>
      <c r="F555" s="3">
        <v>29.211542369437105</v>
      </c>
      <c r="G555" s="3">
        <v>0.35573713085093972</v>
      </c>
      <c r="I555" s="3" t="e">
        <v>#N/A</v>
      </c>
      <c r="J555" s="3" t="e">
        <v>#N/A</v>
      </c>
      <c r="K555" s="3">
        <v>310.17760427946001</v>
      </c>
      <c r="N555" s="4" t="s">
        <v>99</v>
      </c>
      <c r="O555" s="2" t="s">
        <v>17</v>
      </c>
      <c r="P555" s="2" t="e">
        <v>#N/A</v>
      </c>
      <c r="Q555" s="2">
        <v>9.9606396638263137E-2</v>
      </c>
    </row>
    <row r="556" spans="1:17" ht="14.25" customHeight="1">
      <c r="A556" s="2" t="s">
        <v>15</v>
      </c>
      <c r="B556" s="2">
        <v>1974</v>
      </c>
      <c r="C556" s="2" t="s">
        <v>29</v>
      </c>
      <c r="D556" s="3" t="e">
        <v>#N/A</v>
      </c>
      <c r="E556" s="3" t="e">
        <v>#N/A</v>
      </c>
      <c r="F556" s="3">
        <v>18.4413737045316</v>
      </c>
      <c r="G556" s="3">
        <v>0.33001050542780436</v>
      </c>
      <c r="I556" s="3" t="e">
        <v>#N/A</v>
      </c>
      <c r="J556" s="3" t="e">
        <v>#N/A</v>
      </c>
      <c r="K556" s="3">
        <v>180.890663590835</v>
      </c>
      <c r="N556" s="4" t="s">
        <v>99</v>
      </c>
      <c r="O556" s="2" t="s">
        <v>17</v>
      </c>
      <c r="P556" s="2" t="e">
        <v>#N/A</v>
      </c>
      <c r="Q556" s="2">
        <v>9.2402941519785231E-2</v>
      </c>
    </row>
    <row r="557" spans="1:17" ht="14.25" customHeight="1">
      <c r="A557" s="2" t="s">
        <v>15</v>
      </c>
      <c r="B557" s="2">
        <v>1975</v>
      </c>
      <c r="C557" s="2" t="s">
        <v>29</v>
      </c>
      <c r="D557" s="3" t="e">
        <v>#N/A</v>
      </c>
      <c r="E557" s="3" t="e">
        <v>#N/A</v>
      </c>
      <c r="F557" s="3">
        <v>25.396999999999998</v>
      </c>
      <c r="G557" s="3">
        <v>0.34864013073421274</v>
      </c>
      <c r="I557" s="3" t="e">
        <v>#N/A</v>
      </c>
      <c r="J557" s="3" t="e">
        <v>#N/A</v>
      </c>
      <c r="K557" s="3">
        <v>202.69621364080001</v>
      </c>
      <c r="N557" s="4" t="s">
        <v>99</v>
      </c>
      <c r="O557" s="2" t="s">
        <v>17</v>
      </c>
      <c r="P557" s="2" t="e">
        <v>#N/A</v>
      </c>
      <c r="Q557" s="2">
        <v>9.7619236605579571E-2</v>
      </c>
    </row>
    <row r="558" spans="1:17" ht="14.25" customHeight="1">
      <c r="A558" s="2" t="s">
        <v>15</v>
      </c>
      <c r="B558" s="2">
        <v>1976</v>
      </c>
      <c r="C558" s="2" t="s">
        <v>29</v>
      </c>
      <c r="D558" s="3" t="e">
        <v>#N/A</v>
      </c>
      <c r="E558" s="3" t="e">
        <v>#N/A</v>
      </c>
      <c r="F558" s="3">
        <v>23.446999999999999</v>
      </c>
      <c r="G558" s="3">
        <v>0.18540912804949225</v>
      </c>
      <c r="I558" s="3" t="e">
        <v>#N/A</v>
      </c>
      <c r="J558" s="3" t="e">
        <v>#N/A</v>
      </c>
      <c r="K558" s="3">
        <v>229.65211457434401</v>
      </c>
      <c r="N558" s="4" t="s">
        <v>101</v>
      </c>
      <c r="O558" s="2" t="s">
        <v>17</v>
      </c>
      <c r="P558" s="2" t="e">
        <v>#N/A</v>
      </c>
      <c r="Q558" s="2">
        <v>5.1914555853857833E-2</v>
      </c>
    </row>
    <row r="559" spans="1:17" ht="14.25" customHeight="1">
      <c r="A559" s="2" t="s">
        <v>15</v>
      </c>
      <c r="B559" s="2">
        <v>1977</v>
      </c>
      <c r="C559" s="2" t="s">
        <v>29</v>
      </c>
      <c r="D559" s="3" t="e">
        <v>#N/A</v>
      </c>
      <c r="E559" s="3" t="e">
        <v>#N/A</v>
      </c>
      <c r="F559" s="3">
        <v>17.396000000000001</v>
      </c>
      <c r="G559" s="3">
        <v>0.10201937667795029</v>
      </c>
      <c r="I559" s="3" t="e">
        <v>#N/A</v>
      </c>
      <c r="J559" s="3" t="e">
        <v>#N/A</v>
      </c>
      <c r="K559" s="3">
        <v>149.09899669486302</v>
      </c>
      <c r="N559" s="4" t="s">
        <v>101</v>
      </c>
      <c r="O559" s="2" t="s">
        <v>17</v>
      </c>
      <c r="P559" s="2" t="e">
        <v>#N/A</v>
      </c>
      <c r="Q559" s="2">
        <v>2.8565425469826083E-2</v>
      </c>
    </row>
    <row r="560" spans="1:17" ht="14.25" customHeight="1">
      <c r="A560" s="2" t="s">
        <v>15</v>
      </c>
      <c r="B560" s="2">
        <v>1978</v>
      </c>
      <c r="C560" s="2" t="s">
        <v>29</v>
      </c>
      <c r="D560" s="3" t="e">
        <v>#N/A</v>
      </c>
      <c r="E560" s="3" t="e">
        <v>#N/A</v>
      </c>
      <c r="F560" s="3">
        <v>18.815999999999999</v>
      </c>
      <c r="G560" s="3">
        <v>0.33533325551534965</v>
      </c>
      <c r="I560" s="3" t="e">
        <v>#N/A</v>
      </c>
      <c r="J560" s="3" t="e">
        <v>#N/A</v>
      </c>
      <c r="K560" s="3">
        <v>143.58319026924599</v>
      </c>
      <c r="N560" s="4" t="s">
        <v>101</v>
      </c>
      <c r="O560" s="2" t="s">
        <v>17</v>
      </c>
      <c r="P560" s="2" t="e">
        <v>#N/A</v>
      </c>
      <c r="Q560" s="2">
        <v>9.3893311544297905E-2</v>
      </c>
    </row>
    <row r="561" spans="1:17" ht="14.25" customHeight="1">
      <c r="A561" s="2" t="s">
        <v>15</v>
      </c>
      <c r="B561" s="2">
        <v>1979</v>
      </c>
      <c r="C561" s="2" t="s">
        <v>29</v>
      </c>
      <c r="D561" s="3" t="e">
        <v>#N/A</v>
      </c>
      <c r="E561" s="3" t="e">
        <v>#N/A</v>
      </c>
      <c r="F561" s="3">
        <v>20.324000000000002</v>
      </c>
      <c r="G561" s="3">
        <v>0.46130500758725346</v>
      </c>
      <c r="I561" s="3" t="e">
        <v>#N/A</v>
      </c>
      <c r="J561" s="3" t="e">
        <v>#N/A</v>
      </c>
      <c r="K561" s="3">
        <v>147.97033736954</v>
      </c>
      <c r="N561" s="4" t="s">
        <v>101</v>
      </c>
      <c r="O561" s="2" t="s">
        <v>17</v>
      </c>
      <c r="P561" s="2" t="e">
        <v>#N/A</v>
      </c>
      <c r="Q561" s="2">
        <v>0.12916540212443098</v>
      </c>
    </row>
    <row r="562" spans="1:17" ht="14.25" customHeight="1">
      <c r="A562" s="2" t="s">
        <v>15</v>
      </c>
      <c r="B562" s="2">
        <v>1980</v>
      </c>
      <c r="C562" s="2" t="s">
        <v>29</v>
      </c>
      <c r="D562" s="3" t="e">
        <v>#N/A</v>
      </c>
      <c r="E562" s="3" t="e">
        <v>#N/A</v>
      </c>
      <c r="F562" s="3">
        <v>29.356999999999999</v>
      </c>
      <c r="G562" s="3">
        <v>0.53050075872534141</v>
      </c>
      <c r="I562" s="3" t="e">
        <v>#N/A</v>
      </c>
      <c r="J562" s="3" t="e">
        <v>#N/A</v>
      </c>
      <c r="K562" s="3">
        <v>171.89367238455301</v>
      </c>
      <c r="N562" s="4" t="s">
        <v>101</v>
      </c>
      <c r="O562" s="2" t="s">
        <v>17</v>
      </c>
      <c r="P562" s="2" t="e">
        <v>#N/A</v>
      </c>
      <c r="Q562" s="2">
        <v>0.14854021244309562</v>
      </c>
    </row>
    <row r="563" spans="1:17" ht="14.25" customHeight="1">
      <c r="A563" s="2" t="s">
        <v>15</v>
      </c>
      <c r="B563" s="2">
        <v>1981</v>
      </c>
      <c r="C563" s="2" t="s">
        <v>29</v>
      </c>
      <c r="D563" s="3" t="e">
        <v>#N/A</v>
      </c>
      <c r="E563" s="3" t="e">
        <v>#N/A</v>
      </c>
      <c r="F563" s="3">
        <v>35.683999999999997</v>
      </c>
      <c r="G563" s="3">
        <v>1.005112641531458</v>
      </c>
      <c r="I563" s="3" t="e">
        <v>#N/A</v>
      </c>
      <c r="J563" s="3" t="e">
        <v>#N/A</v>
      </c>
      <c r="K563" s="3">
        <v>198.42466986595201</v>
      </c>
      <c r="N563" s="4" t="s">
        <v>101</v>
      </c>
      <c r="O563" s="2" t="s">
        <v>17</v>
      </c>
      <c r="P563" s="2" t="e">
        <v>#N/A</v>
      </c>
      <c r="Q563" s="2">
        <v>0.28143153962880824</v>
      </c>
    </row>
    <row r="564" spans="1:17" ht="14.25" customHeight="1">
      <c r="A564" s="2" t="s">
        <v>15</v>
      </c>
      <c r="B564" s="2">
        <v>1982</v>
      </c>
      <c r="C564" s="2" t="s">
        <v>29</v>
      </c>
      <c r="D564" s="3" t="e">
        <v>#N/A</v>
      </c>
      <c r="E564" s="3" t="e">
        <v>#N/A</v>
      </c>
      <c r="F564" s="3">
        <v>22.462</v>
      </c>
      <c r="G564" s="3">
        <v>1.9090930313995567</v>
      </c>
      <c r="I564" s="3" t="e">
        <v>#N/A</v>
      </c>
      <c r="J564" s="3" t="e">
        <v>#N/A</v>
      </c>
      <c r="K564" s="3">
        <v>127.60635515496301</v>
      </c>
      <c r="N564" s="4" t="s">
        <v>101</v>
      </c>
      <c r="O564" s="2" t="s">
        <v>17</v>
      </c>
      <c r="P564" s="2" t="e">
        <v>#N/A</v>
      </c>
      <c r="Q564" s="2">
        <v>0.53454604879187595</v>
      </c>
    </row>
    <row r="565" spans="1:17" ht="14.25" customHeight="1">
      <c r="A565" s="2" t="s">
        <v>15</v>
      </c>
      <c r="B565" s="2">
        <v>1983</v>
      </c>
      <c r="C565" s="2" t="s">
        <v>29</v>
      </c>
      <c r="D565" s="3" t="e">
        <v>#N/A</v>
      </c>
      <c r="E565" s="3" t="e">
        <v>#N/A</v>
      </c>
      <c r="F565" s="3">
        <v>32.966000000000001</v>
      </c>
      <c r="G565" s="3">
        <v>2.2497490370024513</v>
      </c>
      <c r="I565" s="3" t="e">
        <v>#N/A</v>
      </c>
      <c r="J565" s="3" t="e">
        <v>#N/A</v>
      </c>
      <c r="K565" s="3">
        <v>205.766065042772</v>
      </c>
      <c r="N565" s="4" t="s">
        <v>101</v>
      </c>
      <c r="O565" s="2" t="s">
        <v>17</v>
      </c>
      <c r="P565" s="2" t="e">
        <v>#N/A</v>
      </c>
      <c r="Q565" s="2">
        <v>0.62992973036068645</v>
      </c>
    </row>
    <row r="566" spans="1:17" ht="14.25" customHeight="1">
      <c r="A566" s="2" t="s">
        <v>15</v>
      </c>
      <c r="B566" s="2">
        <v>1984</v>
      </c>
      <c r="C566" s="2" t="s">
        <v>29</v>
      </c>
      <c r="D566" s="3" t="e">
        <v>#N/A</v>
      </c>
      <c r="E566" s="3" t="e">
        <v>#N/A</v>
      </c>
      <c r="F566" s="3">
        <v>28.047999999999998</v>
      </c>
      <c r="G566" s="3">
        <v>3.4704330570794912</v>
      </c>
      <c r="I566" s="3" t="e">
        <v>#N/A</v>
      </c>
      <c r="J566" s="3" t="e">
        <v>#N/A</v>
      </c>
      <c r="K566" s="3">
        <v>185.30833431328</v>
      </c>
      <c r="N566" s="4" t="s">
        <v>101</v>
      </c>
      <c r="O566" s="2" t="s">
        <v>17</v>
      </c>
      <c r="P566" s="2" t="e">
        <v>#N/A</v>
      </c>
      <c r="Q566" s="2">
        <v>0.97172125598225767</v>
      </c>
    </row>
    <row r="567" spans="1:17" ht="14.25" customHeight="1">
      <c r="A567" s="2" t="s">
        <v>15</v>
      </c>
      <c r="B567" s="2">
        <v>1985</v>
      </c>
      <c r="C567" s="2" t="s">
        <v>29</v>
      </c>
      <c r="D567" s="3" t="e">
        <v>#N/A</v>
      </c>
      <c r="E567" s="3" t="e">
        <v>#N/A</v>
      </c>
      <c r="F567" s="3">
        <v>25.984000000000002</v>
      </c>
      <c r="G567" s="3">
        <v>6.1397922259834257</v>
      </c>
      <c r="I567" s="3" t="e">
        <v>#N/A</v>
      </c>
      <c r="J567" s="3" t="e">
        <v>#N/A</v>
      </c>
      <c r="K567" s="3">
        <v>175.07842442406002</v>
      </c>
      <c r="N567" s="4" t="s">
        <v>101</v>
      </c>
      <c r="O567" s="2" t="s">
        <v>17</v>
      </c>
      <c r="P567" s="2" t="e">
        <v>#N/A</v>
      </c>
      <c r="Q567" s="2">
        <v>1.7191418232753592</v>
      </c>
    </row>
    <row r="568" spans="1:17" ht="14.25" customHeight="1">
      <c r="A568" s="2" t="s">
        <v>15</v>
      </c>
      <c r="B568" s="2">
        <v>1986</v>
      </c>
      <c r="C568" s="2" t="s">
        <v>29</v>
      </c>
      <c r="D568" s="3" t="e">
        <v>#N/A</v>
      </c>
      <c r="E568" s="3" t="e">
        <v>#N/A</v>
      </c>
      <c r="F568" s="3">
        <v>34.536000000000001</v>
      </c>
      <c r="G568" s="3">
        <v>9.1702112758258441</v>
      </c>
      <c r="I568" s="3" t="e">
        <v>#N/A</v>
      </c>
      <c r="J568" s="3" t="e">
        <v>#N/A</v>
      </c>
      <c r="K568" s="3">
        <v>202.06225962963001</v>
      </c>
      <c r="N568" s="4" t="s">
        <v>101</v>
      </c>
      <c r="O568" s="2" t="s">
        <v>17</v>
      </c>
      <c r="P568" s="2" t="e">
        <v>#N/A</v>
      </c>
      <c r="Q568" s="2">
        <v>2.5676591572312364</v>
      </c>
    </row>
    <row r="569" spans="1:17" ht="14.25" customHeight="1">
      <c r="A569" s="2" t="s">
        <v>15</v>
      </c>
      <c r="B569" s="2">
        <v>1987</v>
      </c>
      <c r="C569" s="2" t="s">
        <v>29</v>
      </c>
      <c r="D569" s="3" t="e">
        <v>#N/A</v>
      </c>
      <c r="E569" s="3" t="e">
        <v>#N/A</v>
      </c>
      <c r="F569" s="3">
        <v>32.021000000000001</v>
      </c>
      <c r="G569" s="3">
        <v>11.285117310610483</v>
      </c>
      <c r="I569" s="3" t="e">
        <v>#N/A</v>
      </c>
      <c r="J569" s="3" t="e">
        <v>#N/A</v>
      </c>
      <c r="K569" s="3">
        <v>193.36141994597401</v>
      </c>
      <c r="N569" s="4" t="s">
        <v>101</v>
      </c>
      <c r="O569" s="2" t="s">
        <v>17</v>
      </c>
      <c r="P569" s="2" t="e">
        <v>#N/A</v>
      </c>
      <c r="Q569" s="2">
        <v>3.1598328469709354</v>
      </c>
    </row>
    <row r="570" spans="1:17" ht="14.25" customHeight="1">
      <c r="A570" s="2" t="s">
        <v>15</v>
      </c>
      <c r="B570" s="2">
        <v>1988</v>
      </c>
      <c r="C570" s="2" t="s">
        <v>29</v>
      </c>
      <c r="D570" s="3" t="e">
        <v>#N/A</v>
      </c>
      <c r="E570" s="3" t="e">
        <v>#N/A</v>
      </c>
      <c r="F570" s="3">
        <v>25.788</v>
      </c>
      <c r="G570" s="3">
        <v>15.924781136920744</v>
      </c>
      <c r="I570" s="3" t="e">
        <v>#N/A</v>
      </c>
      <c r="J570" s="3" t="e">
        <v>#N/A</v>
      </c>
      <c r="K570" s="3">
        <v>164.85624707501799</v>
      </c>
      <c r="N570" s="4" t="s">
        <v>101</v>
      </c>
      <c r="O570" s="2" t="s">
        <v>17</v>
      </c>
      <c r="P570" s="2" t="e">
        <v>#N/A</v>
      </c>
      <c r="Q570" s="2">
        <v>4.4589387183378086</v>
      </c>
    </row>
    <row r="571" spans="1:17" ht="14.25" customHeight="1">
      <c r="A571" s="2" t="s">
        <v>15</v>
      </c>
      <c r="B571" s="2">
        <v>1989</v>
      </c>
      <c r="C571" s="2" t="s">
        <v>29</v>
      </c>
      <c r="D571" s="3" t="e">
        <v>#N/A</v>
      </c>
      <c r="E571" s="3" t="e">
        <v>#N/A</v>
      </c>
      <c r="F571" s="3">
        <v>26.974</v>
      </c>
      <c r="G571" s="3">
        <v>25.374436792342713</v>
      </c>
      <c r="I571" s="3" t="e">
        <v>#N/A</v>
      </c>
      <c r="J571" s="3" t="e">
        <v>#N/A</v>
      </c>
      <c r="K571" s="3">
        <v>174.41080926675602</v>
      </c>
      <c r="N571" s="4" t="s">
        <v>101</v>
      </c>
      <c r="O571" s="2" t="s">
        <v>17</v>
      </c>
      <c r="P571" s="2" t="e">
        <v>#N/A</v>
      </c>
      <c r="Q571" s="2">
        <v>7.1048423018559603</v>
      </c>
    </row>
    <row r="572" spans="1:17" ht="14.25" customHeight="1">
      <c r="A572" s="2" t="s">
        <v>15</v>
      </c>
      <c r="B572" s="2">
        <v>1990</v>
      </c>
      <c r="C572" s="2" t="s">
        <v>29</v>
      </c>
      <c r="D572" s="3" t="e">
        <v>#N/A</v>
      </c>
      <c r="E572" s="3" t="e">
        <v>#N/A</v>
      </c>
      <c r="F572" s="3">
        <v>35.421999999999997</v>
      </c>
      <c r="G572" s="3">
        <v>28.391548966966266</v>
      </c>
      <c r="I572" s="3" t="e">
        <v>#N/A</v>
      </c>
      <c r="J572" s="3" t="e">
        <v>#N/A</v>
      </c>
      <c r="K572" s="3">
        <v>165.45860103027002</v>
      </c>
      <c r="N572" s="4" t="s">
        <v>101</v>
      </c>
      <c r="O572" s="2" t="s">
        <v>17</v>
      </c>
      <c r="P572" s="2" t="e">
        <v>#N/A</v>
      </c>
      <c r="Q572" s="2">
        <v>7.9496337107505548</v>
      </c>
    </row>
    <row r="573" spans="1:17" ht="14.25" customHeight="1">
      <c r="A573" s="2" t="s">
        <v>15</v>
      </c>
      <c r="B573" s="2">
        <v>1991</v>
      </c>
      <c r="C573" s="2" t="s">
        <v>29</v>
      </c>
      <c r="D573" s="3" t="e">
        <v>#N/A</v>
      </c>
      <c r="E573" s="3">
        <v>16.753</v>
      </c>
      <c r="F573" s="3">
        <v>39.527999999999999</v>
      </c>
      <c r="G573" s="3">
        <v>36.067841718221082</v>
      </c>
      <c r="I573" s="3" t="e">
        <v>#N/A</v>
      </c>
      <c r="J573" s="3">
        <v>83.164426801385986</v>
      </c>
      <c r="K573" s="3">
        <v>152.89923104837499</v>
      </c>
      <c r="N573" s="4" t="s">
        <v>101</v>
      </c>
      <c r="O573" s="2" t="s">
        <v>17</v>
      </c>
      <c r="P573" s="2" t="e">
        <v>#N/A</v>
      </c>
      <c r="Q573" s="2">
        <v>10.098995681101904</v>
      </c>
    </row>
    <row r="574" spans="1:17" ht="14.25" customHeight="1">
      <c r="A574" s="2" t="s">
        <v>15</v>
      </c>
      <c r="B574" s="2">
        <v>1992</v>
      </c>
      <c r="C574" s="2" t="s">
        <v>29</v>
      </c>
      <c r="D574" s="3" t="e">
        <v>#N/A</v>
      </c>
      <c r="E574" s="3">
        <v>14.430999999999999</v>
      </c>
      <c r="F574" s="3">
        <v>44.954000000000001</v>
      </c>
      <c r="G574" s="3">
        <v>32.204412279677832</v>
      </c>
      <c r="I574" s="3" t="e">
        <v>#N/A</v>
      </c>
      <c r="J574" s="3">
        <v>75.605778538628016</v>
      </c>
      <c r="K574" s="3">
        <v>170.16433342859602</v>
      </c>
      <c r="N574" s="4" t="s">
        <v>101</v>
      </c>
      <c r="O574" s="2" t="s">
        <v>17</v>
      </c>
      <c r="P574" s="2" t="e">
        <v>#N/A</v>
      </c>
      <c r="Q574" s="2">
        <v>9.0172354383097932</v>
      </c>
    </row>
    <row r="575" spans="1:17" ht="14.25" customHeight="1">
      <c r="A575" s="2" t="s">
        <v>15</v>
      </c>
      <c r="B575" s="2">
        <v>1993</v>
      </c>
      <c r="C575" s="2" t="s">
        <v>29</v>
      </c>
      <c r="D575" s="3" t="e">
        <v>#N/A</v>
      </c>
      <c r="E575" s="3">
        <v>20.849</v>
      </c>
      <c r="F575" s="3">
        <v>37.33</v>
      </c>
      <c r="G575" s="3">
        <v>43.283716586903232</v>
      </c>
      <c r="I575" s="3" t="e">
        <v>#N/A</v>
      </c>
      <c r="J575" s="3">
        <v>119.23209516131999</v>
      </c>
      <c r="K575" s="3">
        <v>155.328486455286</v>
      </c>
      <c r="N575" s="4" t="s">
        <v>101</v>
      </c>
      <c r="O575" s="2" t="s">
        <v>17</v>
      </c>
      <c r="P575" s="2" t="e">
        <v>#N/A</v>
      </c>
      <c r="Q575" s="2">
        <v>12.119440644332906</v>
      </c>
    </row>
    <row r="576" spans="1:17" ht="14.25" customHeight="1">
      <c r="A576" s="2" t="s">
        <v>15</v>
      </c>
      <c r="B576" s="2">
        <v>1994</v>
      </c>
      <c r="C576" s="2" t="s">
        <v>29</v>
      </c>
      <c r="D576" s="3" t="e">
        <v>#N/A</v>
      </c>
      <c r="E576" s="3">
        <v>28.844000000000001</v>
      </c>
      <c r="F576" s="3">
        <v>31.495000000000001</v>
      </c>
      <c r="G576" s="3">
        <v>57.011976187696987</v>
      </c>
      <c r="I576" s="3" t="e">
        <v>#N/A</v>
      </c>
      <c r="J576" s="3">
        <v>146.09906989433</v>
      </c>
      <c r="K576" s="3">
        <v>117.713304183185</v>
      </c>
      <c r="N576" s="4" t="s">
        <v>101</v>
      </c>
      <c r="O576" s="2" t="s">
        <v>17</v>
      </c>
      <c r="P576" s="2" t="e">
        <v>#N/A</v>
      </c>
      <c r="Q576" s="2">
        <v>15.963353332555158</v>
      </c>
    </row>
    <row r="577" spans="1:17" ht="14.25" customHeight="1">
      <c r="A577" s="2" t="s">
        <v>15</v>
      </c>
      <c r="B577" s="2">
        <v>1995</v>
      </c>
      <c r="C577" s="2" t="s">
        <v>29</v>
      </c>
      <c r="D577" s="3" t="e">
        <v>#N/A</v>
      </c>
      <c r="E577" s="3">
        <v>29.183</v>
      </c>
      <c r="F577" s="3">
        <v>37.595999999999997</v>
      </c>
      <c r="G577" s="3">
        <v>62.384405276059304</v>
      </c>
      <c r="I577" s="3" t="e">
        <v>#N/A</v>
      </c>
      <c r="J577" s="3">
        <v>138.88511326185599</v>
      </c>
      <c r="K577" s="3">
        <v>142.337767802</v>
      </c>
      <c r="N577" s="4" t="s">
        <v>101</v>
      </c>
      <c r="O577" s="2" t="s">
        <v>17</v>
      </c>
      <c r="P577" s="2" t="e">
        <v>#N/A</v>
      </c>
      <c r="Q577" s="2">
        <v>17.467633477296609</v>
      </c>
    </row>
    <row r="578" spans="1:17" ht="14.25" customHeight="1">
      <c r="A578" s="2" t="s">
        <v>15</v>
      </c>
      <c r="B578" s="2">
        <v>1996</v>
      </c>
      <c r="C578" s="2" t="s">
        <v>29</v>
      </c>
      <c r="D578" s="3" t="e">
        <v>#N/A</v>
      </c>
      <c r="E578" s="3">
        <v>31.882000000000001</v>
      </c>
      <c r="F578" s="3">
        <v>46.93</v>
      </c>
      <c r="G578" s="3">
        <v>73.936547216061626</v>
      </c>
      <c r="I578" s="3" t="e">
        <v>#N/A</v>
      </c>
      <c r="J578" s="3">
        <v>126.476609860473</v>
      </c>
      <c r="K578" s="3">
        <v>157.15592260140301</v>
      </c>
      <c r="N578" s="4" t="s">
        <v>101</v>
      </c>
      <c r="O578" s="2" t="s">
        <v>17</v>
      </c>
      <c r="P578" s="2" t="e">
        <v>#N/A</v>
      </c>
      <c r="Q578" s="2">
        <v>20.702233220497256</v>
      </c>
    </row>
    <row r="579" spans="1:17" ht="14.25" customHeight="1">
      <c r="A579" s="2" t="s">
        <v>15</v>
      </c>
      <c r="B579" s="2">
        <v>1997</v>
      </c>
      <c r="C579" s="2" t="s">
        <v>29</v>
      </c>
      <c r="D579" s="3" t="e">
        <v>#N/A</v>
      </c>
      <c r="E579" s="3">
        <v>44.569000000000003</v>
      </c>
      <c r="F579" s="3">
        <v>45.944000000000003</v>
      </c>
      <c r="G579" s="3">
        <v>88.199743200653671</v>
      </c>
      <c r="I579" s="3" t="e">
        <v>#N/A</v>
      </c>
      <c r="J579" s="3">
        <v>141.66621701514498</v>
      </c>
      <c r="K579" s="3">
        <v>130.64039277169999</v>
      </c>
      <c r="N579" s="4" t="s">
        <v>101</v>
      </c>
      <c r="O579" s="2" t="s">
        <v>17</v>
      </c>
      <c r="P579" s="2" t="e">
        <v>#N/A</v>
      </c>
      <c r="Q579" s="2">
        <v>24.695928096183032</v>
      </c>
    </row>
    <row r="580" spans="1:17" ht="14.25" customHeight="1">
      <c r="A580" s="2" t="s">
        <v>15</v>
      </c>
      <c r="B580" s="2">
        <v>1998</v>
      </c>
      <c r="C580" s="2" t="s">
        <v>29</v>
      </c>
      <c r="D580" s="3" t="e">
        <v>#N/A</v>
      </c>
      <c r="E580" s="3">
        <v>49.527999999999999</v>
      </c>
      <c r="F580" s="3">
        <v>36.520000000000003</v>
      </c>
      <c r="G580" s="3">
        <v>98.39724524337575</v>
      </c>
      <c r="I580" s="3" t="e">
        <v>#N/A</v>
      </c>
      <c r="J580" s="3">
        <v>155.10781008966802</v>
      </c>
      <c r="K580" s="3">
        <v>122.033212218142</v>
      </c>
      <c r="N580" s="4" t="s">
        <v>101</v>
      </c>
      <c r="O580" s="2" t="s">
        <v>17</v>
      </c>
      <c r="P580" s="2" t="e">
        <v>#N/A</v>
      </c>
      <c r="Q580" s="2">
        <v>27.551228668145214</v>
      </c>
    </row>
    <row r="581" spans="1:17" ht="14.25" customHeight="1">
      <c r="A581" s="2" t="s">
        <v>15</v>
      </c>
      <c r="B581" s="2">
        <v>1999</v>
      </c>
      <c r="C581" s="2" t="s">
        <v>29</v>
      </c>
      <c r="D581" s="3" t="e">
        <v>#N/A</v>
      </c>
      <c r="E581" s="3">
        <v>63.529000000000003</v>
      </c>
      <c r="F581" s="3">
        <v>49.881999999999998</v>
      </c>
      <c r="G581" s="3">
        <v>112.38631959845922</v>
      </c>
      <c r="I581" s="3" t="e">
        <v>#N/A</v>
      </c>
      <c r="J581" s="3">
        <v>187.24533148310402</v>
      </c>
      <c r="K581" s="3">
        <v>136.97409991521599</v>
      </c>
      <c r="N581" s="4" t="s">
        <v>101</v>
      </c>
      <c r="O581" s="2" t="s">
        <v>17</v>
      </c>
      <c r="P581" s="2" t="e">
        <v>#N/A</v>
      </c>
      <c r="Q581" s="2">
        <v>31.468169487568584</v>
      </c>
    </row>
    <row r="582" spans="1:17" ht="14.25" customHeight="1">
      <c r="A582" s="2" t="s">
        <v>15</v>
      </c>
      <c r="B582" s="2">
        <v>2000</v>
      </c>
      <c r="C582" s="2" t="s">
        <v>29</v>
      </c>
      <c r="D582" s="3" t="e">
        <v>#N/A</v>
      </c>
      <c r="E582" s="3">
        <v>51.567999999999998</v>
      </c>
      <c r="F582" s="3">
        <v>48.936999999999998</v>
      </c>
      <c r="G582" s="3">
        <v>114.40275475662426</v>
      </c>
      <c r="I582" s="3" t="e">
        <v>#N/A</v>
      </c>
      <c r="J582" s="3">
        <v>163.75700000000001</v>
      </c>
      <c r="K582" s="3">
        <v>131.358</v>
      </c>
      <c r="N582" s="4" t="s">
        <v>101</v>
      </c>
      <c r="O582" s="2" t="s">
        <v>17</v>
      </c>
      <c r="P582" s="2" t="e">
        <v>#N/A</v>
      </c>
      <c r="Q582" s="2">
        <v>32.032771331854796</v>
      </c>
    </row>
    <row r="583" spans="1:17" ht="14.25" customHeight="1">
      <c r="A583" s="2" t="s">
        <v>15</v>
      </c>
      <c r="B583" s="2">
        <v>2001</v>
      </c>
      <c r="C583" s="2" t="s">
        <v>29</v>
      </c>
      <c r="D583" s="3" t="e">
        <v>#N/A</v>
      </c>
      <c r="E583" s="3">
        <v>59.691000000000003</v>
      </c>
      <c r="F583" s="3">
        <v>55.432000000000002</v>
      </c>
      <c r="G583" s="3">
        <v>122.88366989611301</v>
      </c>
      <c r="I583" s="3" t="e">
        <v>#N/A</v>
      </c>
      <c r="J583" s="3">
        <v>143.77620506361191</v>
      </c>
      <c r="K583" s="3">
        <v>116.68115606496441</v>
      </c>
      <c r="N583" s="4" t="s">
        <v>101</v>
      </c>
      <c r="O583" s="2" t="s">
        <v>17</v>
      </c>
      <c r="P583" s="2" t="e">
        <v>#N/A</v>
      </c>
      <c r="Q583" s="2">
        <v>34.407427570911643</v>
      </c>
    </row>
    <row r="584" spans="1:17" ht="14.25" customHeight="1">
      <c r="A584" s="2" t="s">
        <v>15</v>
      </c>
      <c r="B584" s="2">
        <v>2002</v>
      </c>
      <c r="C584" s="2" t="s">
        <v>29</v>
      </c>
      <c r="D584" s="3" t="e">
        <v>#N/A</v>
      </c>
      <c r="E584" s="3">
        <v>53.622</v>
      </c>
      <c r="F584" s="3">
        <v>38.912999999999997</v>
      </c>
      <c r="G584" s="3">
        <v>129.1733862495623</v>
      </c>
      <c r="I584" s="3" t="e">
        <v>#N/A</v>
      </c>
      <c r="J584" s="3">
        <v>147.25767083616802</v>
      </c>
      <c r="K584" s="3">
        <v>94.959524383329608</v>
      </c>
      <c r="N584" s="4" t="s">
        <v>101</v>
      </c>
      <c r="O584" s="2" t="s">
        <v>17</v>
      </c>
      <c r="P584" s="2" t="e">
        <v>#N/A</v>
      </c>
      <c r="Q584" s="2">
        <v>36.168548149877445</v>
      </c>
    </row>
    <row r="585" spans="1:17" ht="14.25" customHeight="1">
      <c r="A585" s="2" t="s">
        <v>15</v>
      </c>
      <c r="B585" s="2">
        <v>2003</v>
      </c>
      <c r="C585" s="2" t="s">
        <v>29</v>
      </c>
      <c r="D585" s="3" t="s">
        <v>17</v>
      </c>
      <c r="E585" s="2">
        <v>74.7</v>
      </c>
      <c r="F585" s="2">
        <v>34.700000000000003</v>
      </c>
      <c r="G585" s="2">
        <v>129.1733862495623</v>
      </c>
      <c r="I585" s="3" t="e">
        <v>#VALUE!</v>
      </c>
      <c r="J585" s="3">
        <v>189.46037472478</v>
      </c>
      <c r="K585" s="3">
        <v>87.450475393540003</v>
      </c>
      <c r="N585" s="4" t="s">
        <v>101</v>
      </c>
      <c r="O585" s="2" t="s">
        <v>17</v>
      </c>
      <c r="P585" s="2" t="e">
        <v>#VALUE!</v>
      </c>
      <c r="Q585" s="2">
        <v>36.168548149877445</v>
      </c>
    </row>
    <row r="586" spans="1:17" ht="14.25" customHeight="1">
      <c r="A586" s="2" t="s">
        <v>15</v>
      </c>
      <c r="B586" s="2">
        <v>2004</v>
      </c>
      <c r="C586" s="2" t="s">
        <v>29</v>
      </c>
      <c r="D586" s="3" t="s">
        <v>17</v>
      </c>
      <c r="E586" s="2">
        <v>66.5</v>
      </c>
      <c r="F586" s="2">
        <v>44.7</v>
      </c>
      <c r="G586" s="2">
        <v>140.25357768180226</v>
      </c>
      <c r="I586" s="3" t="e">
        <v>#VALUE!</v>
      </c>
      <c r="J586" s="3">
        <v>164.55223353624001</v>
      </c>
      <c r="K586" s="3">
        <v>98.421208417740004</v>
      </c>
      <c r="N586" s="4" t="s">
        <v>101</v>
      </c>
      <c r="O586" s="2" t="s">
        <v>17</v>
      </c>
      <c r="P586" s="2" t="e">
        <v>#VALUE!</v>
      </c>
      <c r="Q586" s="2">
        <v>39.271001750904638</v>
      </c>
    </row>
    <row r="587" spans="1:17" ht="14.25" customHeight="1">
      <c r="A587" s="2" t="s">
        <v>15</v>
      </c>
      <c r="B587" s="2">
        <v>2005</v>
      </c>
      <c r="C587" s="2" t="s">
        <v>29</v>
      </c>
      <c r="D587" s="3" t="s">
        <v>17</v>
      </c>
      <c r="E587" s="2">
        <v>49.7</v>
      </c>
      <c r="F587" s="2">
        <v>54.9</v>
      </c>
      <c r="G587" s="2">
        <v>115.16923076923078</v>
      </c>
      <c r="I587" s="3" t="e">
        <v>#VALUE!</v>
      </c>
      <c r="J587" s="3">
        <v>144.77454113279998</v>
      </c>
      <c r="K587" s="3">
        <v>134.1293542848</v>
      </c>
      <c r="N587" s="4" t="s">
        <v>101</v>
      </c>
      <c r="O587" s="2" t="s">
        <v>17</v>
      </c>
      <c r="P587" s="2" t="e">
        <v>#VALUE!</v>
      </c>
      <c r="Q587" s="2">
        <v>32.247384615384618</v>
      </c>
    </row>
    <row r="588" spans="1:17" ht="14.25" customHeight="1">
      <c r="A588" s="2" t="s">
        <v>15</v>
      </c>
      <c r="B588" s="2">
        <v>2006</v>
      </c>
      <c r="C588" s="2" t="s">
        <v>29</v>
      </c>
      <c r="D588" s="3" t="s">
        <v>17</v>
      </c>
      <c r="E588" s="2">
        <v>54.8</v>
      </c>
      <c r="F588" s="2">
        <v>65.599999999999994</v>
      </c>
      <c r="G588" s="2">
        <v>117.07654955060116</v>
      </c>
      <c r="I588" s="3" t="e">
        <v>#VALUE!</v>
      </c>
      <c r="J588" s="3">
        <v>174.24678182048999</v>
      </c>
      <c r="K588" s="3">
        <v>176.30989122537</v>
      </c>
      <c r="N588" s="4" t="s">
        <v>101</v>
      </c>
      <c r="O588" s="2" t="s">
        <v>17</v>
      </c>
      <c r="P588" s="2" t="e">
        <v>#VALUE!</v>
      </c>
      <c r="Q588" s="2">
        <v>32.781433874168329</v>
      </c>
    </row>
    <row r="589" spans="1:17" ht="14.25" customHeight="1">
      <c r="A589" s="2" t="s">
        <v>15</v>
      </c>
      <c r="B589" s="2">
        <v>2007</v>
      </c>
      <c r="C589" s="2" t="s">
        <v>29</v>
      </c>
      <c r="D589" s="3" t="s">
        <v>17</v>
      </c>
      <c r="E589" s="2">
        <v>61.4</v>
      </c>
      <c r="F589" s="2">
        <v>62.6</v>
      </c>
      <c r="G589" s="2">
        <v>115.41851289833082</v>
      </c>
      <c r="I589" s="3" t="e">
        <v>#VALUE!</v>
      </c>
      <c r="J589" s="3">
        <v>166.09533741775002</v>
      </c>
      <c r="K589" s="3">
        <v>152.82419631390002</v>
      </c>
      <c r="N589" s="4" t="s">
        <v>101</v>
      </c>
      <c r="O589" s="2" t="s">
        <v>17</v>
      </c>
      <c r="P589" s="2" t="e">
        <v>#VALUE!</v>
      </c>
      <c r="Q589" s="2">
        <v>32.317183611532634</v>
      </c>
    </row>
    <row r="590" spans="1:17" ht="14.25" customHeight="1">
      <c r="A590" s="2" t="s">
        <v>15</v>
      </c>
      <c r="B590" s="2">
        <v>2008</v>
      </c>
      <c r="C590" s="2" t="s">
        <v>29</v>
      </c>
      <c r="D590" s="3" t="s">
        <v>17</v>
      </c>
      <c r="E590" s="2">
        <v>57.8</v>
      </c>
      <c r="F590" s="2">
        <v>63.6</v>
      </c>
      <c r="G590" s="2">
        <v>114.21202287848723</v>
      </c>
      <c r="I590" s="3" t="e">
        <v>#VALUE!</v>
      </c>
      <c r="J590" s="3">
        <v>172.48811799807999</v>
      </c>
      <c r="K590" s="3">
        <v>164.48200590350001</v>
      </c>
      <c r="N590" s="4" t="s">
        <v>101</v>
      </c>
      <c r="O590" s="2" t="s">
        <v>17</v>
      </c>
      <c r="P590" s="2" t="e">
        <v>#VALUE!</v>
      </c>
      <c r="Q590" s="2">
        <v>31.979366405976428</v>
      </c>
    </row>
    <row r="591" spans="1:17" ht="14.25" customHeight="1">
      <c r="A591" s="2" t="s">
        <v>15</v>
      </c>
      <c r="B591" s="2">
        <v>2009</v>
      </c>
      <c r="C591" s="2" t="s">
        <v>29</v>
      </c>
      <c r="D591" s="3" t="s">
        <v>17</v>
      </c>
      <c r="E591" s="2">
        <v>71.3</v>
      </c>
      <c r="F591" s="2">
        <v>60.3</v>
      </c>
      <c r="G591" s="2">
        <v>128.33416598575931</v>
      </c>
      <c r="I591" s="3" t="e">
        <v>#VALUE!</v>
      </c>
      <c r="J591" s="3">
        <v>237.8793594345</v>
      </c>
      <c r="K591" s="3">
        <v>182.81247924380003</v>
      </c>
      <c r="N591" s="4" t="s">
        <v>101</v>
      </c>
      <c r="O591" s="2" t="s">
        <v>17</v>
      </c>
      <c r="P591" s="2" t="e">
        <v>#VALUE!</v>
      </c>
      <c r="Q591" s="2">
        <v>35.933566476012608</v>
      </c>
    </row>
    <row r="592" spans="1:17" ht="14.25" customHeight="1">
      <c r="A592" s="2" t="s">
        <v>15</v>
      </c>
      <c r="B592" s="2">
        <v>2010</v>
      </c>
      <c r="C592" s="2" t="s">
        <v>29</v>
      </c>
      <c r="D592" s="3" t="s">
        <v>17</v>
      </c>
      <c r="E592" s="2">
        <v>82.3</v>
      </c>
      <c r="F592" s="2">
        <v>57.2</v>
      </c>
      <c r="G592" s="2">
        <v>137.17880238123033</v>
      </c>
      <c r="I592" s="3" t="e">
        <v>#VALUE!</v>
      </c>
      <c r="J592" s="3">
        <v>299.98280985112001</v>
      </c>
      <c r="K592" s="3">
        <v>193.56432702683998</v>
      </c>
      <c r="N592" s="4" t="s">
        <v>101</v>
      </c>
      <c r="O592" s="2" t="s">
        <v>17</v>
      </c>
      <c r="P592" s="2" t="e">
        <v>#VALUE!</v>
      </c>
      <c r="Q592" s="2">
        <v>38.410064666744496</v>
      </c>
    </row>
    <row r="593" spans="1:17" ht="14.25" customHeight="1">
      <c r="A593" s="2" t="s">
        <v>15</v>
      </c>
      <c r="B593" s="2">
        <v>2011</v>
      </c>
      <c r="C593" s="2" t="s">
        <v>29</v>
      </c>
      <c r="D593" s="3" t="s">
        <v>17</v>
      </c>
      <c r="E593" s="2">
        <v>95.3</v>
      </c>
      <c r="F593" s="2">
        <v>62.5</v>
      </c>
      <c r="G593" s="2">
        <v>140.44031749737366</v>
      </c>
      <c r="I593" s="3" t="e">
        <v>#VALUE!</v>
      </c>
      <c r="J593" s="3">
        <v>351.25046346852002</v>
      </c>
      <c r="K593" s="3">
        <v>199.70084070216001</v>
      </c>
      <c r="N593" s="4" t="s">
        <v>101</v>
      </c>
      <c r="O593" s="2" t="s">
        <v>17</v>
      </c>
      <c r="P593" s="2" t="e">
        <v>#VALUE!</v>
      </c>
      <c r="Q593" s="2">
        <v>39.323288899264625</v>
      </c>
    </row>
    <row r="594" spans="1:17" ht="14.25" customHeight="1">
      <c r="A594" s="2" t="s">
        <v>15</v>
      </c>
      <c r="B594" s="2">
        <v>2012</v>
      </c>
      <c r="C594" s="2" t="s">
        <v>29</v>
      </c>
      <c r="D594" s="3" t="s">
        <v>17</v>
      </c>
      <c r="E594" s="2">
        <v>100.9</v>
      </c>
      <c r="F594" s="2">
        <v>69.900000000000006</v>
      </c>
      <c r="G594" s="2">
        <v>144.19950974670246</v>
      </c>
      <c r="I594" s="3" t="e">
        <v>#VALUE!</v>
      </c>
      <c r="J594" s="3">
        <v>314.92378864145002</v>
      </c>
      <c r="K594" s="3">
        <v>205.41253133040001</v>
      </c>
      <c r="N594" s="4" t="s">
        <v>101</v>
      </c>
      <c r="O594" s="2" t="s">
        <v>17</v>
      </c>
      <c r="P594" s="2" t="e">
        <v>#VALUE!</v>
      </c>
      <c r="Q594" s="2">
        <v>40.375862729076694</v>
      </c>
    </row>
    <row r="595" spans="1:17" ht="14.25" customHeight="1">
      <c r="A595" s="2" t="s">
        <v>15</v>
      </c>
      <c r="B595" s="2">
        <v>2013</v>
      </c>
      <c r="C595" s="2" t="s">
        <v>29</v>
      </c>
      <c r="D595" s="3" t="s">
        <v>17</v>
      </c>
      <c r="E595" s="2">
        <v>112.1</v>
      </c>
      <c r="F595" s="2">
        <v>74.5</v>
      </c>
      <c r="G595" s="2">
        <v>145.06090813587022</v>
      </c>
      <c r="I595" s="3" t="e">
        <v>#VALUE!</v>
      </c>
      <c r="J595" s="3">
        <v>394.01100638055004</v>
      </c>
      <c r="K595" s="3">
        <v>258.04418769350002</v>
      </c>
      <c r="N595" s="4" t="s">
        <v>101</v>
      </c>
      <c r="O595" s="2" t="s">
        <v>17</v>
      </c>
      <c r="P595" s="2" t="e">
        <v>#VALUE!</v>
      </c>
      <c r="Q595" s="2">
        <v>40.617054278043668</v>
      </c>
    </row>
    <row r="596" spans="1:17" ht="14.25" customHeight="1">
      <c r="A596" s="2" t="s">
        <v>15</v>
      </c>
      <c r="B596" s="2">
        <v>2014</v>
      </c>
      <c r="C596" s="2" t="s">
        <v>29</v>
      </c>
      <c r="D596" s="3" t="s">
        <v>17</v>
      </c>
      <c r="E596" s="2">
        <v>124.8</v>
      </c>
      <c r="F596" s="2">
        <v>78.3</v>
      </c>
      <c r="G596" s="2">
        <v>159.14756624255867</v>
      </c>
      <c r="I596" s="3" t="e">
        <v>#VALUE!</v>
      </c>
      <c r="J596" s="3">
        <v>416.31645547591</v>
      </c>
      <c r="K596" s="3">
        <v>261.46988120719004</v>
      </c>
      <c r="N596" s="4" t="s">
        <v>101</v>
      </c>
      <c r="O596" s="2" t="s">
        <v>17</v>
      </c>
      <c r="P596" s="2" t="e">
        <v>#VALUE!</v>
      </c>
      <c r="Q596" s="2">
        <v>44.561318547916429</v>
      </c>
    </row>
    <row r="597" spans="1:17" ht="14.25" customHeight="1">
      <c r="A597" s="2" t="s">
        <v>15</v>
      </c>
      <c r="B597" s="2">
        <v>2015</v>
      </c>
      <c r="C597" s="2" t="s">
        <v>29</v>
      </c>
      <c r="D597" s="3" t="s">
        <v>17</v>
      </c>
      <c r="E597" s="2">
        <v>113.7</v>
      </c>
      <c r="F597" s="2">
        <v>71.8</v>
      </c>
      <c r="G597" s="2">
        <v>152.71525341426405</v>
      </c>
      <c r="I597" s="3" t="e">
        <v>#VALUE!</v>
      </c>
      <c r="J597" s="3">
        <v>325.0985098136</v>
      </c>
      <c r="K597" s="3">
        <v>227.75337255580001</v>
      </c>
      <c r="N597" s="4" t="s">
        <v>101</v>
      </c>
      <c r="O597" s="2" t="s">
        <v>17</v>
      </c>
      <c r="P597" s="2" t="e">
        <v>#VALUE!</v>
      </c>
      <c r="Q597" s="2">
        <v>42.760270955993938</v>
      </c>
    </row>
    <row r="598" spans="1:17" ht="14.25" customHeight="1">
      <c r="A598" s="2" t="s">
        <v>15</v>
      </c>
      <c r="B598" s="2">
        <v>2016</v>
      </c>
      <c r="C598" s="2" t="s">
        <v>29</v>
      </c>
      <c r="D598" s="3" t="s">
        <v>17</v>
      </c>
      <c r="E598" s="2">
        <v>105.3</v>
      </c>
      <c r="F598" s="2">
        <v>85.8</v>
      </c>
      <c r="G598" s="2">
        <v>144.72071343527489</v>
      </c>
      <c r="I598" s="3" t="e">
        <v>#VALUE!</v>
      </c>
      <c r="J598" s="3">
        <v>375.94127397952002</v>
      </c>
      <c r="K598" s="3">
        <v>316.38109280831998</v>
      </c>
      <c r="N598" s="4" t="s">
        <v>101</v>
      </c>
      <c r="O598" s="2" t="s">
        <v>17</v>
      </c>
      <c r="P598" s="2" t="e">
        <v>#VALUE!</v>
      </c>
      <c r="Q598" s="2">
        <v>40.52179976187697</v>
      </c>
    </row>
    <row r="599" spans="1:17" ht="14.25" customHeight="1">
      <c r="A599" s="2" t="s">
        <v>15</v>
      </c>
      <c r="B599" s="2">
        <v>2017</v>
      </c>
      <c r="C599" s="2" t="s">
        <v>29</v>
      </c>
      <c r="D599" s="3" t="s">
        <v>17</v>
      </c>
      <c r="E599" s="2">
        <v>116.1</v>
      </c>
      <c r="F599" s="2">
        <v>74</v>
      </c>
      <c r="G599" s="2">
        <v>168.29382514299056</v>
      </c>
      <c r="I599" s="3" t="e">
        <v>#VALUE!</v>
      </c>
      <c r="J599" s="3">
        <v>453.49156199760006</v>
      </c>
      <c r="K599" s="3">
        <v>305.93180760450002</v>
      </c>
      <c r="N599" s="4" t="s">
        <v>101</v>
      </c>
      <c r="O599" s="2" t="s">
        <v>17</v>
      </c>
      <c r="P599" s="2" t="e">
        <v>#VALUE!</v>
      </c>
      <c r="Q599" s="2">
        <v>47.122271040037361</v>
      </c>
    </row>
    <row r="600" spans="1:17" ht="14.25" customHeight="1">
      <c r="A600" s="2" t="s">
        <v>15</v>
      </c>
      <c r="B600" s="2">
        <v>2018</v>
      </c>
      <c r="C600" s="2" t="s">
        <v>29</v>
      </c>
      <c r="D600" s="3" t="s">
        <v>17</v>
      </c>
      <c r="E600" s="2">
        <v>100.4</v>
      </c>
      <c r="F600" s="2">
        <v>80.099999999999994</v>
      </c>
      <c r="G600" s="2">
        <v>138.4136804015408</v>
      </c>
      <c r="I600" s="3" t="e">
        <v>#VALUE!</v>
      </c>
      <c r="J600" s="3">
        <v>386.64182570129998</v>
      </c>
      <c r="K600" s="3">
        <v>328.40061216300001</v>
      </c>
      <c r="N600" s="4" t="s">
        <v>101</v>
      </c>
      <c r="O600" s="2" t="s">
        <v>17</v>
      </c>
      <c r="P600" s="2" t="e">
        <v>#VALUE!</v>
      </c>
      <c r="Q600" s="2">
        <v>38.75583051243143</v>
      </c>
    </row>
    <row r="601" spans="1:17" ht="14.25" customHeight="1">
      <c r="A601" s="2" t="s">
        <v>15</v>
      </c>
      <c r="B601" s="2">
        <v>2019</v>
      </c>
      <c r="C601" s="2" t="s">
        <v>29</v>
      </c>
      <c r="D601" s="3" t="s">
        <v>17</v>
      </c>
      <c r="E601" s="2">
        <v>125.249847</v>
      </c>
      <c r="F601" s="2">
        <v>90.794152999999994</v>
      </c>
      <c r="G601" s="2">
        <v>168.99731527956112</v>
      </c>
      <c r="I601" s="3" t="e">
        <v>#VALUE!</v>
      </c>
      <c r="J601" s="3">
        <v>491.30497670764009</v>
      </c>
      <c r="K601" s="3">
        <v>355.80103570018002</v>
      </c>
      <c r="N601" s="4" t="s">
        <v>101</v>
      </c>
      <c r="O601" s="2" t="s">
        <v>17</v>
      </c>
      <c r="P601" s="2" t="e">
        <v>#VALUE!</v>
      </c>
      <c r="Q601" s="2">
        <v>47.319248278277115</v>
      </c>
    </row>
    <row r="602" spans="1:17" ht="14.25" customHeight="1">
      <c r="A602" s="2" t="s">
        <v>15</v>
      </c>
      <c r="B602" s="2">
        <v>2020</v>
      </c>
      <c r="C602" s="2" t="s">
        <v>29</v>
      </c>
      <c r="D602" s="3" t="s">
        <v>17</v>
      </c>
      <c r="E602" s="2">
        <v>98.234696000000099</v>
      </c>
      <c r="F602" s="2">
        <v>84.284597000000005</v>
      </c>
      <c r="G602" s="2" t="s">
        <v>17</v>
      </c>
      <c r="I602" s="3" t="e">
        <v>#VALUE!</v>
      </c>
      <c r="J602" s="3">
        <v>360.5282420171738</v>
      </c>
      <c r="K602" s="3">
        <v>304.39805884444723</v>
      </c>
      <c r="N602" s="4" t="s">
        <v>101</v>
      </c>
      <c r="O602" s="2" t="s">
        <v>17</v>
      </c>
      <c r="P602" s="2" t="e">
        <v>#VALUE!</v>
      </c>
      <c r="Q602" s="2" t="e">
        <v>#VALUE!</v>
      </c>
    </row>
    <row r="603" spans="1:17" ht="14.25" customHeight="1">
      <c r="A603" s="2" t="s">
        <v>15</v>
      </c>
      <c r="B603" s="2">
        <v>1900</v>
      </c>
      <c r="C603" s="2" t="s">
        <v>28</v>
      </c>
      <c r="D603" s="3">
        <v>0</v>
      </c>
      <c r="E603" s="3" t="e">
        <v>#VALUE!</v>
      </c>
      <c r="F603" s="3" t="e">
        <v>#VALUE!</v>
      </c>
      <c r="G603" s="3"/>
      <c r="I603" s="3"/>
      <c r="J603" s="3"/>
      <c r="K603" s="3"/>
      <c r="N603" s="4" t="s">
        <v>99</v>
      </c>
      <c r="O603" s="2" t="s">
        <v>17</v>
      </c>
      <c r="P603" s="2">
        <v>0</v>
      </c>
    </row>
    <row r="604" spans="1:17" ht="14.25" customHeight="1">
      <c r="A604" s="2" t="s">
        <v>15</v>
      </c>
      <c r="B604" s="2">
        <v>1901</v>
      </c>
      <c r="C604" s="2" t="s">
        <v>28</v>
      </c>
      <c r="D604" s="3">
        <v>0</v>
      </c>
      <c r="E604" s="3" t="e">
        <v>#N/A</v>
      </c>
      <c r="F604" s="3" t="e">
        <v>#N/A</v>
      </c>
      <c r="G604" s="3"/>
      <c r="I604" s="3"/>
      <c r="J604" s="3"/>
      <c r="K604" s="3"/>
      <c r="N604" s="4" t="s">
        <v>99</v>
      </c>
      <c r="O604" s="2" t="s">
        <v>17</v>
      </c>
      <c r="P604" s="2">
        <v>0</v>
      </c>
    </row>
    <row r="605" spans="1:17" ht="14.25" customHeight="1">
      <c r="A605" s="2" t="s">
        <v>15</v>
      </c>
      <c r="B605" s="2">
        <v>1902</v>
      </c>
      <c r="C605" s="2" t="s">
        <v>28</v>
      </c>
      <c r="D605" s="3">
        <v>0</v>
      </c>
      <c r="E605" s="3" t="e">
        <v>#N/A</v>
      </c>
      <c r="F605" s="3" t="e">
        <v>#N/A</v>
      </c>
      <c r="G605" s="3"/>
      <c r="I605" s="3"/>
      <c r="J605" s="3"/>
      <c r="K605" s="3"/>
      <c r="N605" s="4" t="s">
        <v>99</v>
      </c>
      <c r="O605" s="2" t="s">
        <v>17</v>
      </c>
      <c r="P605" s="2">
        <v>0</v>
      </c>
    </row>
    <row r="606" spans="1:17" ht="14.25" customHeight="1">
      <c r="A606" s="2" t="s">
        <v>15</v>
      </c>
      <c r="B606" s="2">
        <v>1903</v>
      </c>
      <c r="C606" s="2" t="s">
        <v>28</v>
      </c>
      <c r="D606" s="3">
        <v>29.337</v>
      </c>
      <c r="E606" s="3" t="e">
        <v>#N/A</v>
      </c>
      <c r="F606" s="3" t="e">
        <v>#N/A</v>
      </c>
      <c r="G606" s="3"/>
      <c r="I606" s="3"/>
      <c r="J606" s="3"/>
      <c r="K606" s="3"/>
      <c r="N606" s="4" t="s">
        <v>99</v>
      </c>
      <c r="O606" s="2" t="s">
        <v>17</v>
      </c>
      <c r="P606" s="2">
        <v>8.214360000000001</v>
      </c>
    </row>
    <row r="607" spans="1:17" ht="14.25" customHeight="1">
      <c r="A607" s="2" t="s">
        <v>15</v>
      </c>
      <c r="B607" s="2">
        <v>1904</v>
      </c>
      <c r="C607" s="2" t="s">
        <v>28</v>
      </c>
      <c r="D607" s="3">
        <v>30.876999999999999</v>
      </c>
      <c r="E607" s="3" t="e">
        <v>#N/A</v>
      </c>
      <c r="F607" s="3" t="e">
        <v>#N/A</v>
      </c>
      <c r="G607" s="3"/>
      <c r="I607" s="3"/>
      <c r="J607" s="3"/>
      <c r="K607" s="3"/>
      <c r="N607" s="4" t="s">
        <v>99</v>
      </c>
      <c r="O607" s="2" t="s">
        <v>17</v>
      </c>
      <c r="P607" s="2">
        <v>8.6455599999999997</v>
      </c>
    </row>
    <row r="608" spans="1:17" ht="14.25" customHeight="1">
      <c r="A608" s="2" t="s">
        <v>15</v>
      </c>
      <c r="B608" s="2">
        <v>1905</v>
      </c>
      <c r="C608" s="2" t="s">
        <v>28</v>
      </c>
      <c r="D608" s="3">
        <v>14.48</v>
      </c>
      <c r="E608" s="3" t="e">
        <v>#VALUE!</v>
      </c>
      <c r="F608" s="3">
        <v>10.411603332655964</v>
      </c>
      <c r="G608" s="3"/>
      <c r="I608" s="3"/>
      <c r="J608" s="3"/>
      <c r="K608" s="3"/>
      <c r="N608" s="4" t="s">
        <v>99</v>
      </c>
      <c r="O608" s="2" t="s">
        <v>17</v>
      </c>
      <c r="P608" s="2">
        <v>4.0544000000000002</v>
      </c>
    </row>
    <row r="609" spans="1:16" ht="14.25" customHeight="1">
      <c r="A609" s="2" t="s">
        <v>15</v>
      </c>
      <c r="B609" s="2">
        <v>1906</v>
      </c>
      <c r="C609" s="2" t="s">
        <v>28</v>
      </c>
      <c r="D609" s="3">
        <v>40.414000000000001</v>
      </c>
      <c r="E609" s="3" t="e">
        <v>#N/A</v>
      </c>
      <c r="F609" s="3" t="e">
        <v>#N/A</v>
      </c>
      <c r="G609" s="3"/>
      <c r="I609" s="3"/>
      <c r="J609" s="3"/>
      <c r="K609" s="3"/>
      <c r="N609" s="4" t="s">
        <v>99</v>
      </c>
      <c r="O609" s="2" t="s">
        <v>17</v>
      </c>
      <c r="P609" s="2">
        <v>11.315920000000002</v>
      </c>
    </row>
    <row r="610" spans="1:16" ht="14.25" customHeight="1">
      <c r="A610" s="2" t="s">
        <v>15</v>
      </c>
      <c r="B610" s="2">
        <v>1907</v>
      </c>
      <c r="C610" s="2" t="s">
        <v>28</v>
      </c>
      <c r="D610" s="3">
        <v>40.834000000000003</v>
      </c>
      <c r="E610" s="3" t="e">
        <v>#N/A</v>
      </c>
      <c r="F610" s="3" t="e">
        <v>#N/A</v>
      </c>
      <c r="G610" s="3"/>
      <c r="I610" s="3"/>
      <c r="J610" s="3"/>
      <c r="K610" s="3"/>
      <c r="N610" s="4" t="s">
        <v>99</v>
      </c>
      <c r="O610" s="2" t="s">
        <v>17</v>
      </c>
      <c r="P610" s="2">
        <v>11.433520000000001</v>
      </c>
    </row>
    <row r="611" spans="1:16" ht="14.25" customHeight="1">
      <c r="A611" s="2" t="s">
        <v>15</v>
      </c>
      <c r="B611" s="2">
        <v>1908</v>
      </c>
      <c r="C611" s="2" t="s">
        <v>28</v>
      </c>
      <c r="D611" s="3">
        <v>39.07</v>
      </c>
      <c r="E611" s="3" t="e">
        <v>#N/A</v>
      </c>
      <c r="F611" s="3" t="e">
        <v>#N/A</v>
      </c>
      <c r="G611" s="3"/>
      <c r="I611" s="3"/>
      <c r="J611" s="3"/>
      <c r="K611" s="3"/>
      <c r="N611" s="4" t="s">
        <v>99</v>
      </c>
      <c r="O611" s="2" t="s">
        <v>17</v>
      </c>
      <c r="P611" s="2">
        <v>10.9396</v>
      </c>
    </row>
    <row r="612" spans="1:16" ht="14.25" customHeight="1">
      <c r="A612" s="2" t="s">
        <v>15</v>
      </c>
      <c r="B612" s="2">
        <v>1910</v>
      </c>
      <c r="C612" s="2" t="s">
        <v>28</v>
      </c>
      <c r="D612" s="3">
        <v>33.399000000000001</v>
      </c>
      <c r="E612" s="3">
        <v>0.87680349522454781</v>
      </c>
      <c r="F612" s="3">
        <v>12.466419426945743</v>
      </c>
      <c r="G612" s="3"/>
      <c r="I612" s="3"/>
      <c r="J612" s="3"/>
      <c r="K612" s="3"/>
      <c r="N612" s="4" t="s">
        <v>99</v>
      </c>
      <c r="O612" s="2" t="s">
        <v>17</v>
      </c>
      <c r="P612" s="2">
        <v>9.351720000000002</v>
      </c>
    </row>
    <row r="613" spans="1:16" ht="14.25" customHeight="1">
      <c r="A613" s="2" t="s">
        <v>15</v>
      </c>
      <c r="B613" s="2">
        <v>1911</v>
      </c>
      <c r="C613" s="2" t="s">
        <v>28</v>
      </c>
      <c r="D613" s="3">
        <v>33.384</v>
      </c>
      <c r="E613" s="3" t="e">
        <v>#N/A</v>
      </c>
      <c r="F613" s="3" t="e">
        <v>#N/A</v>
      </c>
      <c r="G613" s="3"/>
      <c r="I613" s="3"/>
      <c r="J613" s="3"/>
      <c r="K613" s="3"/>
      <c r="N613" s="4" t="s">
        <v>99</v>
      </c>
      <c r="O613" s="2" t="s">
        <v>17</v>
      </c>
      <c r="P613" s="2">
        <v>9.3475200000000012</v>
      </c>
    </row>
    <row r="614" spans="1:16" ht="14.25" customHeight="1">
      <c r="A614" s="2" t="s">
        <v>15</v>
      </c>
      <c r="B614" s="2">
        <v>1912</v>
      </c>
      <c r="C614" s="2" t="s">
        <v>28</v>
      </c>
      <c r="D614" s="3">
        <v>37.125999999999998</v>
      </c>
      <c r="E614" s="3" t="e">
        <v>#N/A</v>
      </c>
      <c r="F614" s="3" t="e">
        <v>#N/A</v>
      </c>
      <c r="G614" s="3"/>
      <c r="I614" s="3"/>
      <c r="J614" s="3"/>
      <c r="K614" s="3"/>
      <c r="N614" s="4" t="s">
        <v>99</v>
      </c>
      <c r="O614" s="2" t="s">
        <v>17</v>
      </c>
      <c r="P614" s="2">
        <v>10.39528</v>
      </c>
    </row>
    <row r="615" spans="1:16" ht="14.25" customHeight="1">
      <c r="A615" s="2" t="s">
        <v>15</v>
      </c>
      <c r="B615" s="2">
        <v>1913</v>
      </c>
      <c r="C615" s="2" t="s">
        <v>28</v>
      </c>
      <c r="D615" s="3">
        <v>38.905999999999999</v>
      </c>
      <c r="E615" s="3" t="e">
        <v>#N/A</v>
      </c>
      <c r="F615" s="3" t="e">
        <v>#N/A</v>
      </c>
      <c r="G615" s="3"/>
      <c r="I615" s="3"/>
      <c r="J615" s="3"/>
      <c r="K615" s="3"/>
      <c r="N615" s="4" t="s">
        <v>99</v>
      </c>
      <c r="O615" s="2" t="s">
        <v>17</v>
      </c>
      <c r="P615" s="2">
        <v>10.893680000000002</v>
      </c>
    </row>
    <row r="616" spans="1:16" ht="14.25" customHeight="1">
      <c r="A616" s="2" t="s">
        <v>15</v>
      </c>
      <c r="B616" s="2">
        <v>1914</v>
      </c>
      <c r="C616" s="2" t="s">
        <v>28</v>
      </c>
      <c r="D616" s="3">
        <v>39.68</v>
      </c>
      <c r="E616" s="3">
        <v>1.1353891485470433</v>
      </c>
      <c r="F616" s="3">
        <v>11.346779109937005</v>
      </c>
      <c r="G616" s="3"/>
      <c r="I616" s="3"/>
      <c r="J616" s="3"/>
      <c r="K616" s="3"/>
      <c r="N616" s="4" t="s">
        <v>100</v>
      </c>
      <c r="O616" s="2" t="s">
        <v>17</v>
      </c>
      <c r="P616" s="2">
        <v>11.1104</v>
      </c>
    </row>
    <row r="617" spans="1:16" ht="14.25" customHeight="1">
      <c r="A617" s="2" t="s">
        <v>15</v>
      </c>
      <c r="B617" s="2">
        <v>1915</v>
      </c>
      <c r="C617" s="2" t="s">
        <v>28</v>
      </c>
      <c r="D617" s="3">
        <v>38.908999999999999</v>
      </c>
      <c r="E617" s="3">
        <v>0.20046738467791098</v>
      </c>
      <c r="F617" s="3">
        <v>9.2446657183499283</v>
      </c>
      <c r="G617" s="3"/>
      <c r="I617" s="3"/>
      <c r="J617" s="3"/>
      <c r="K617" s="3"/>
      <c r="N617" s="4" t="s">
        <v>100</v>
      </c>
      <c r="O617" s="2" t="s">
        <v>17</v>
      </c>
      <c r="P617" s="2">
        <v>10.89452</v>
      </c>
    </row>
    <row r="618" spans="1:16" ht="14.25" customHeight="1">
      <c r="A618" s="2" t="s">
        <v>15</v>
      </c>
      <c r="B618" s="2">
        <v>1916</v>
      </c>
      <c r="C618" s="2" t="s">
        <v>28</v>
      </c>
      <c r="D618" s="3">
        <v>32.709000000000003</v>
      </c>
      <c r="E618" s="3">
        <v>0.34769355821987397</v>
      </c>
      <c r="F618" s="3">
        <v>8.2920138183296075</v>
      </c>
      <c r="G618" s="3"/>
      <c r="I618" s="3"/>
      <c r="J618" s="3"/>
      <c r="K618" s="3"/>
      <c r="N618" s="4" t="s">
        <v>100</v>
      </c>
      <c r="O618" s="2" t="s">
        <v>17</v>
      </c>
      <c r="P618" s="2">
        <v>9.1585200000000011</v>
      </c>
    </row>
    <row r="619" spans="1:16" ht="14.25" customHeight="1">
      <c r="A619" s="2" t="s">
        <v>15</v>
      </c>
      <c r="B619" s="2">
        <v>1917</v>
      </c>
      <c r="C619" s="2" t="s">
        <v>28</v>
      </c>
      <c r="D619" s="3">
        <v>35.098999999999997</v>
      </c>
      <c r="E619" s="3">
        <v>2.1387929282666127E-2</v>
      </c>
      <c r="F619" s="3">
        <v>2.0715809794757161</v>
      </c>
      <c r="G619" s="3"/>
      <c r="I619" s="3"/>
      <c r="J619" s="3"/>
      <c r="K619" s="3"/>
      <c r="N619" s="4" t="s">
        <v>100</v>
      </c>
      <c r="O619" s="2" t="s">
        <v>17</v>
      </c>
      <c r="P619" s="2">
        <v>9.8277199999999993</v>
      </c>
    </row>
    <row r="620" spans="1:16" ht="14.25" customHeight="1">
      <c r="A620" s="2" t="s">
        <v>15</v>
      </c>
      <c r="B620" s="2">
        <v>1918</v>
      </c>
      <c r="C620" s="2" t="s">
        <v>28</v>
      </c>
      <c r="D620" s="3">
        <v>32.72</v>
      </c>
      <c r="E620" s="3">
        <v>3.6577931314773419E-3</v>
      </c>
      <c r="F620" s="3">
        <v>1.1994513310302783</v>
      </c>
      <c r="G620" s="3"/>
      <c r="I620" s="3"/>
      <c r="J620" s="3"/>
      <c r="K620" s="3"/>
      <c r="N620" s="4" t="s">
        <v>100</v>
      </c>
      <c r="O620" s="2" t="s">
        <v>17</v>
      </c>
      <c r="P620" s="2">
        <v>9.1616</v>
      </c>
    </row>
    <row r="621" spans="1:16" ht="14.25" customHeight="1">
      <c r="A621" s="2" t="s">
        <v>15</v>
      </c>
      <c r="B621" s="2">
        <v>1919</v>
      </c>
      <c r="C621" s="2" t="s">
        <v>28</v>
      </c>
      <c r="D621" s="3">
        <v>34.753</v>
      </c>
      <c r="E621" s="3">
        <v>0.37314570209307052</v>
      </c>
      <c r="F621" s="3">
        <v>5.6368116236537293</v>
      </c>
      <c r="G621" s="3"/>
      <c r="I621" s="3"/>
      <c r="J621" s="3"/>
      <c r="K621" s="3"/>
      <c r="N621" s="4" t="s">
        <v>99</v>
      </c>
      <c r="O621" s="2" t="s">
        <v>17</v>
      </c>
      <c r="P621" s="2">
        <v>9.7308400000000006</v>
      </c>
    </row>
    <row r="622" spans="1:16" ht="14.25" customHeight="1">
      <c r="A622" s="2" t="s">
        <v>15</v>
      </c>
      <c r="B622" s="2">
        <v>1920</v>
      </c>
      <c r="C622" s="2" t="s">
        <v>28</v>
      </c>
      <c r="D622" s="3">
        <v>31.69</v>
      </c>
      <c r="E622" s="3">
        <v>0.15113798008534848</v>
      </c>
      <c r="F622" s="3">
        <v>9.0184413737045315</v>
      </c>
      <c r="G622" s="3"/>
      <c r="I622" s="3"/>
      <c r="J622" s="3"/>
      <c r="K622" s="3"/>
      <c r="N622" s="4" t="s">
        <v>99</v>
      </c>
      <c r="O622" s="2" t="s">
        <v>17</v>
      </c>
      <c r="P622" s="2">
        <v>8.8732000000000006</v>
      </c>
    </row>
    <row r="623" spans="1:16" ht="14.25" customHeight="1">
      <c r="A623" s="2" t="s">
        <v>15</v>
      </c>
      <c r="B623" s="2">
        <v>1921</v>
      </c>
      <c r="C623" s="2" t="s">
        <v>28</v>
      </c>
      <c r="D623" s="3">
        <v>28.878</v>
      </c>
      <c r="E623" s="3" t="e">
        <v>#N/A</v>
      </c>
      <c r="F623" s="3" t="e">
        <v>#N/A</v>
      </c>
      <c r="G623" s="3"/>
      <c r="I623" s="3"/>
      <c r="J623" s="3"/>
      <c r="K623" s="3"/>
      <c r="N623" s="4" t="s">
        <v>99</v>
      </c>
      <c r="O623" s="2" t="s">
        <v>17</v>
      </c>
      <c r="P623" s="2">
        <v>8.085840000000001</v>
      </c>
    </row>
    <row r="624" spans="1:16" ht="14.25" customHeight="1">
      <c r="A624" s="2" t="s">
        <v>15</v>
      </c>
      <c r="B624" s="2">
        <v>1922</v>
      </c>
      <c r="C624" s="2" t="s">
        <v>28</v>
      </c>
      <c r="D624" s="3">
        <v>30.129000000000001</v>
      </c>
      <c r="E624" s="3" t="e">
        <v>#N/A</v>
      </c>
      <c r="F624" s="3" t="e">
        <v>#N/A</v>
      </c>
      <c r="G624" s="3"/>
      <c r="I624" s="3"/>
      <c r="J624" s="3"/>
      <c r="K624" s="3"/>
      <c r="N624" s="4" t="s">
        <v>99</v>
      </c>
      <c r="O624" s="2" t="s">
        <v>17</v>
      </c>
      <c r="P624" s="2">
        <v>8.4361200000000007</v>
      </c>
    </row>
    <row r="625" spans="1:16" ht="14.25" customHeight="1">
      <c r="A625" s="2" t="s">
        <v>15</v>
      </c>
      <c r="B625" s="2">
        <v>1923</v>
      </c>
      <c r="C625" s="2" t="s">
        <v>28</v>
      </c>
      <c r="D625" s="3">
        <v>27.81</v>
      </c>
      <c r="E625" s="3" t="e">
        <v>#N/A</v>
      </c>
      <c r="F625" s="3" t="e">
        <v>#N/A</v>
      </c>
      <c r="G625" s="3"/>
      <c r="I625" s="3"/>
      <c r="J625" s="3"/>
      <c r="K625" s="3"/>
      <c r="N625" s="4" t="s">
        <v>99</v>
      </c>
      <c r="O625" s="2" t="s">
        <v>17</v>
      </c>
      <c r="P625" s="2">
        <v>7.7868000000000004</v>
      </c>
    </row>
    <row r="626" spans="1:16" ht="14.25" customHeight="1">
      <c r="A626" s="2" t="s">
        <v>15</v>
      </c>
      <c r="B626" s="2">
        <v>1924</v>
      </c>
      <c r="C626" s="2" t="s">
        <v>28</v>
      </c>
      <c r="D626" s="3">
        <v>30.731000000000002</v>
      </c>
      <c r="E626" s="3" t="e">
        <v>#N/A</v>
      </c>
      <c r="F626" s="3" t="e">
        <v>#N/A</v>
      </c>
      <c r="G626" s="3"/>
      <c r="I626" s="3"/>
      <c r="J626" s="3"/>
      <c r="K626" s="3"/>
      <c r="N626" s="4" t="s">
        <v>99</v>
      </c>
      <c r="O626" s="2" t="s">
        <v>17</v>
      </c>
      <c r="P626" s="2">
        <v>8.6046800000000019</v>
      </c>
    </row>
    <row r="627" spans="1:16" ht="14.25" customHeight="1">
      <c r="A627" s="2" t="s">
        <v>15</v>
      </c>
      <c r="B627" s="2">
        <v>1925</v>
      </c>
      <c r="C627" s="2" t="s">
        <v>28</v>
      </c>
      <c r="D627" s="3">
        <v>39.186999999999998</v>
      </c>
      <c r="E627" s="3">
        <v>0.2948587685429791</v>
      </c>
      <c r="F627" s="3">
        <v>13.350487705750863</v>
      </c>
      <c r="G627" s="3"/>
      <c r="I627" s="3"/>
      <c r="J627" s="3"/>
      <c r="K627" s="3"/>
      <c r="N627" s="4" t="s">
        <v>99</v>
      </c>
      <c r="O627" s="2" t="s">
        <v>17</v>
      </c>
      <c r="P627" s="2">
        <v>10.97236</v>
      </c>
    </row>
    <row r="628" spans="1:16" ht="14.25" customHeight="1">
      <c r="A628" s="2" t="s">
        <v>15</v>
      </c>
      <c r="B628" s="2">
        <v>1926</v>
      </c>
      <c r="C628" s="2" t="s">
        <v>28</v>
      </c>
      <c r="D628" s="3">
        <v>37.966000000000001</v>
      </c>
      <c r="E628" s="3" t="e">
        <v>#N/A</v>
      </c>
      <c r="F628" s="3" t="e">
        <v>#N/A</v>
      </c>
      <c r="G628" s="3"/>
      <c r="I628" s="3"/>
      <c r="J628" s="3"/>
      <c r="K628" s="3"/>
      <c r="N628" s="4" t="s">
        <v>99</v>
      </c>
      <c r="O628" s="2" t="s">
        <v>17</v>
      </c>
      <c r="P628" s="2">
        <v>10.630480000000002</v>
      </c>
    </row>
    <row r="629" spans="1:16" ht="14.25" customHeight="1">
      <c r="A629" s="2" t="s">
        <v>15</v>
      </c>
      <c r="B629" s="2">
        <v>1927</v>
      </c>
      <c r="C629" s="2" t="s">
        <v>28</v>
      </c>
      <c r="D629" s="3">
        <v>33.514000000000003</v>
      </c>
      <c r="E629" s="3" t="e">
        <v>#N/A</v>
      </c>
      <c r="F629" s="3" t="e">
        <v>#N/A</v>
      </c>
      <c r="G629" s="3"/>
      <c r="I629" s="3"/>
      <c r="J629" s="3"/>
      <c r="K629" s="3"/>
      <c r="N629" s="4" t="s">
        <v>99</v>
      </c>
      <c r="O629" s="2" t="s">
        <v>17</v>
      </c>
      <c r="P629" s="2">
        <v>9.3839200000000016</v>
      </c>
    </row>
    <row r="630" spans="1:16" ht="14.25" customHeight="1">
      <c r="A630" s="2" t="s">
        <v>15</v>
      </c>
      <c r="B630" s="2">
        <v>1928</v>
      </c>
      <c r="C630" s="2" t="s">
        <v>28</v>
      </c>
      <c r="D630" s="3">
        <v>35.326999999999998</v>
      </c>
      <c r="E630" s="3" t="e">
        <v>#N/A</v>
      </c>
      <c r="F630" s="3" t="e">
        <v>#N/A</v>
      </c>
      <c r="G630" s="3"/>
      <c r="I630" s="3"/>
      <c r="J630" s="3"/>
      <c r="K630" s="3"/>
      <c r="N630" s="4" t="s">
        <v>99</v>
      </c>
      <c r="O630" s="2" t="s">
        <v>17</v>
      </c>
      <c r="P630" s="2">
        <v>9.8915600000000001</v>
      </c>
    </row>
    <row r="631" spans="1:16" ht="14.25" customHeight="1">
      <c r="A631" s="2" t="s">
        <v>15</v>
      </c>
      <c r="B631" s="2">
        <v>1929</v>
      </c>
      <c r="C631" s="2" t="s">
        <v>28</v>
      </c>
      <c r="D631" s="3">
        <v>34.582999999999998</v>
      </c>
      <c r="E631" s="3" t="e">
        <v>#N/A</v>
      </c>
      <c r="F631" s="3" t="e">
        <v>#N/A</v>
      </c>
      <c r="G631" s="3"/>
      <c r="I631" s="3"/>
      <c r="J631" s="3"/>
      <c r="K631" s="3"/>
      <c r="N631" s="4" t="s">
        <v>99</v>
      </c>
      <c r="O631" s="2" t="s">
        <v>17</v>
      </c>
      <c r="P631" s="2">
        <v>9.6832399999999996</v>
      </c>
    </row>
    <row r="632" spans="1:16" ht="14.25" customHeight="1">
      <c r="A632" s="2" t="s">
        <v>15</v>
      </c>
      <c r="B632" s="2">
        <v>1930</v>
      </c>
      <c r="C632" s="2" t="s">
        <v>28</v>
      </c>
      <c r="D632" s="3">
        <v>34.780999999999999</v>
      </c>
      <c r="E632" s="3">
        <v>0.15281446860394229</v>
      </c>
      <c r="F632" s="3">
        <v>14.675015240804715</v>
      </c>
      <c r="G632" s="3"/>
      <c r="I632" s="3"/>
      <c r="J632" s="3"/>
      <c r="K632" s="3"/>
      <c r="N632" s="4" t="s">
        <v>99</v>
      </c>
      <c r="O632" s="2" t="s">
        <v>17</v>
      </c>
      <c r="P632" s="2">
        <v>9.7386800000000004</v>
      </c>
    </row>
    <row r="633" spans="1:16" ht="14.25" customHeight="1">
      <c r="A633" s="2" t="s">
        <v>15</v>
      </c>
      <c r="B633" s="2">
        <v>1931</v>
      </c>
      <c r="C633" s="2" t="s">
        <v>28</v>
      </c>
      <c r="D633" s="3">
        <v>28.916</v>
      </c>
      <c r="E633" s="3" t="e">
        <v>#N/A</v>
      </c>
      <c r="F633" s="3" t="e">
        <v>#N/A</v>
      </c>
      <c r="G633" s="3"/>
      <c r="I633" s="3"/>
      <c r="J633" s="3"/>
      <c r="K633" s="3"/>
      <c r="N633" s="4" t="s">
        <v>99</v>
      </c>
      <c r="O633" s="2" t="s">
        <v>17</v>
      </c>
      <c r="P633" s="2">
        <v>8.0964800000000015</v>
      </c>
    </row>
    <row r="634" spans="1:16" ht="14.25" customHeight="1">
      <c r="A634" s="2" t="s">
        <v>15</v>
      </c>
      <c r="B634" s="2">
        <v>1932</v>
      </c>
      <c r="C634" s="2" t="s">
        <v>28</v>
      </c>
      <c r="D634" s="3">
        <v>27.469000000000001</v>
      </c>
      <c r="E634" s="3" t="e">
        <v>#N/A</v>
      </c>
      <c r="F634" s="3" t="e">
        <v>#N/A</v>
      </c>
      <c r="G634" s="3"/>
      <c r="I634" s="3"/>
      <c r="J634" s="3"/>
      <c r="K634" s="3"/>
      <c r="N634" s="4" t="s">
        <v>99</v>
      </c>
      <c r="O634" s="2" t="s">
        <v>17</v>
      </c>
      <c r="P634" s="2">
        <v>7.691320000000001</v>
      </c>
    </row>
    <row r="635" spans="1:16" ht="14.25" customHeight="1">
      <c r="A635" s="2" t="s">
        <v>15</v>
      </c>
      <c r="B635" s="2">
        <v>1933</v>
      </c>
      <c r="C635" s="2" t="s">
        <v>28</v>
      </c>
      <c r="D635" s="3">
        <v>27.053000000000001</v>
      </c>
      <c r="E635" s="3" t="e">
        <v>#N/A</v>
      </c>
      <c r="F635" s="3" t="e">
        <v>#N/A</v>
      </c>
      <c r="G635" s="3"/>
      <c r="I635" s="3"/>
      <c r="J635" s="3"/>
      <c r="K635" s="3"/>
      <c r="N635" s="4" t="s">
        <v>99</v>
      </c>
      <c r="O635" s="2" t="s">
        <v>17</v>
      </c>
      <c r="P635" s="2">
        <v>7.5748400000000009</v>
      </c>
    </row>
    <row r="636" spans="1:16" ht="14.25" customHeight="1">
      <c r="A636" s="2" t="s">
        <v>15</v>
      </c>
      <c r="B636" s="2">
        <v>1934</v>
      </c>
      <c r="C636" s="2" t="s">
        <v>28</v>
      </c>
      <c r="D636" s="3">
        <v>28.494</v>
      </c>
      <c r="E636" s="3" t="e">
        <v>#N/A</v>
      </c>
      <c r="F636" s="3" t="e">
        <v>#N/A</v>
      </c>
      <c r="G636" s="3"/>
      <c r="I636" s="3"/>
      <c r="J636" s="3"/>
      <c r="K636" s="3"/>
      <c r="N636" s="4" t="s">
        <v>99</v>
      </c>
      <c r="O636" s="2" t="s">
        <v>17</v>
      </c>
      <c r="P636" s="2">
        <v>7.978320000000001</v>
      </c>
    </row>
    <row r="637" spans="1:16" ht="14.25" customHeight="1">
      <c r="A637" s="2" t="s">
        <v>15</v>
      </c>
      <c r="B637" s="2">
        <v>1935</v>
      </c>
      <c r="C637" s="2" t="s">
        <v>28</v>
      </c>
      <c r="D637" s="3">
        <v>27.363</v>
      </c>
      <c r="E637" s="3">
        <v>0.52286120707173334</v>
      </c>
      <c r="F637" s="3">
        <v>14.170188985978459</v>
      </c>
      <c r="G637" s="3"/>
      <c r="I637" s="3"/>
      <c r="J637" s="3"/>
      <c r="K637" s="3"/>
      <c r="N637" s="4" t="s">
        <v>99</v>
      </c>
      <c r="O637" s="2" t="s">
        <v>17</v>
      </c>
      <c r="P637" s="2">
        <v>7.6616400000000002</v>
      </c>
    </row>
    <row r="638" spans="1:16" ht="14.25" customHeight="1">
      <c r="A638" s="2" t="s">
        <v>15</v>
      </c>
      <c r="B638" s="2">
        <v>1936</v>
      </c>
      <c r="C638" s="2" t="s">
        <v>28</v>
      </c>
      <c r="D638" s="3">
        <v>26.366</v>
      </c>
      <c r="E638" s="3" t="e">
        <v>#N/A</v>
      </c>
      <c r="F638" s="3" t="e">
        <v>#N/A</v>
      </c>
      <c r="G638" s="3"/>
      <c r="I638" s="3"/>
      <c r="J638" s="3"/>
      <c r="K638" s="3"/>
      <c r="N638" s="4" t="s">
        <v>99</v>
      </c>
      <c r="O638" s="2" t="s">
        <v>17</v>
      </c>
      <c r="P638" s="2">
        <v>7.382480000000001</v>
      </c>
    </row>
    <row r="639" spans="1:16" ht="14.25" customHeight="1">
      <c r="A639" s="2" t="s">
        <v>15</v>
      </c>
      <c r="B639" s="2">
        <v>1937</v>
      </c>
      <c r="C639" s="2" t="s">
        <v>28</v>
      </c>
      <c r="D639" s="3">
        <v>29.516999999999999</v>
      </c>
      <c r="E639" s="3" t="e">
        <v>#N/A</v>
      </c>
      <c r="F639" s="3" t="e">
        <v>#N/A</v>
      </c>
      <c r="G639" s="3"/>
      <c r="I639" s="3"/>
      <c r="J639" s="3"/>
      <c r="K639" s="3"/>
      <c r="N639" s="4" t="s">
        <v>99</v>
      </c>
      <c r="O639" s="2" t="s">
        <v>17</v>
      </c>
      <c r="P639" s="2">
        <v>8.2647600000000008</v>
      </c>
    </row>
    <row r="640" spans="1:16" ht="14.25" customHeight="1">
      <c r="A640" s="2" t="s">
        <v>15</v>
      </c>
      <c r="B640" s="2">
        <v>1938</v>
      </c>
      <c r="C640" s="2" t="s">
        <v>28</v>
      </c>
      <c r="D640" s="3">
        <v>24.658000000000001</v>
      </c>
      <c r="E640" s="3" t="e">
        <v>#N/A</v>
      </c>
      <c r="F640" s="3" t="e">
        <v>#N/A</v>
      </c>
      <c r="G640" s="3"/>
      <c r="I640" s="3"/>
      <c r="J640" s="3"/>
      <c r="K640" s="3"/>
      <c r="N640" s="4" t="s">
        <v>99</v>
      </c>
      <c r="O640" s="2" t="s">
        <v>17</v>
      </c>
      <c r="P640" s="2">
        <v>6.9042400000000006</v>
      </c>
    </row>
    <row r="641" spans="1:17" ht="14.25" customHeight="1">
      <c r="A641" s="2" t="s">
        <v>15</v>
      </c>
      <c r="B641" s="2">
        <v>1939</v>
      </c>
      <c r="C641" s="2" t="s">
        <v>28</v>
      </c>
      <c r="D641" s="3">
        <v>26.271999999999998</v>
      </c>
      <c r="E641" s="3">
        <v>0.20351554562080879</v>
      </c>
      <c r="F641" s="3">
        <v>11.774588498272708</v>
      </c>
      <c r="G641" s="3"/>
      <c r="I641" s="3"/>
      <c r="J641" s="3"/>
      <c r="K641" s="3"/>
      <c r="N641" s="4" t="s">
        <v>100</v>
      </c>
      <c r="O641" s="2" t="s">
        <v>17</v>
      </c>
      <c r="P641" s="2">
        <v>7.35616</v>
      </c>
    </row>
    <row r="642" spans="1:17" ht="14.25" customHeight="1">
      <c r="A642" s="2" t="s">
        <v>15</v>
      </c>
      <c r="B642" s="2">
        <v>1940</v>
      </c>
      <c r="C642" s="2" t="s">
        <v>28</v>
      </c>
      <c r="D642" s="3">
        <v>21.114999999999998</v>
      </c>
      <c r="E642" s="3">
        <v>4.6230440967283071E-2</v>
      </c>
      <c r="F642" s="3">
        <v>4.0080776264986788</v>
      </c>
      <c r="G642" s="3"/>
      <c r="I642" s="3"/>
      <c r="J642" s="3"/>
      <c r="K642" s="3"/>
      <c r="N642" s="4" t="s">
        <v>100</v>
      </c>
      <c r="O642" s="2" t="s">
        <v>17</v>
      </c>
      <c r="P642" s="2">
        <v>5.9122000000000003</v>
      </c>
    </row>
    <row r="643" spans="1:17" ht="14.25" customHeight="1">
      <c r="A643" s="2" t="s">
        <v>15</v>
      </c>
      <c r="B643" s="2">
        <v>1941</v>
      </c>
      <c r="C643" s="2" t="s">
        <v>28</v>
      </c>
      <c r="D643" s="3">
        <v>22.495000000000001</v>
      </c>
      <c r="E643" s="3" t="e">
        <v>#N/A</v>
      </c>
      <c r="F643" s="3" t="e">
        <v>#N/A</v>
      </c>
      <c r="G643" s="3"/>
      <c r="I643" s="3"/>
      <c r="J643" s="3"/>
      <c r="K643" s="3"/>
      <c r="N643" s="4" t="s">
        <v>100</v>
      </c>
      <c r="O643" s="2" t="s">
        <v>17</v>
      </c>
      <c r="P643" s="2">
        <v>6.2986000000000013</v>
      </c>
    </row>
    <row r="644" spans="1:17" ht="14.25" customHeight="1">
      <c r="A644" s="2" t="s">
        <v>15</v>
      </c>
      <c r="B644" s="2">
        <v>1942</v>
      </c>
      <c r="C644" s="2" t="s">
        <v>28</v>
      </c>
      <c r="D644" s="3">
        <v>22.818000000000001</v>
      </c>
      <c r="E644" s="3">
        <v>3.0481609428977848E-4</v>
      </c>
      <c r="F644" s="3">
        <v>5.7681873602926235</v>
      </c>
      <c r="G644" s="3"/>
      <c r="I644" s="3"/>
      <c r="J644" s="3"/>
      <c r="K644" s="3"/>
      <c r="N644" s="4" t="s">
        <v>100</v>
      </c>
      <c r="O644" s="2" t="s">
        <v>17</v>
      </c>
      <c r="P644" s="2">
        <v>6.3890400000000014</v>
      </c>
    </row>
    <row r="645" spans="1:17" ht="14.25" customHeight="1">
      <c r="A645" s="2" t="s">
        <v>15</v>
      </c>
      <c r="B645" s="2">
        <v>1943</v>
      </c>
      <c r="C645" s="2" t="s">
        <v>28</v>
      </c>
      <c r="D645" s="3">
        <v>21.495999999999999</v>
      </c>
      <c r="E645" s="3" t="e">
        <v>#N/A</v>
      </c>
      <c r="F645" s="3" t="e">
        <v>#N/A</v>
      </c>
      <c r="G645" s="3"/>
      <c r="I645" s="3"/>
      <c r="J645" s="3"/>
      <c r="K645" s="3"/>
      <c r="N645" s="4" t="s">
        <v>100</v>
      </c>
      <c r="O645" s="2" t="s">
        <v>17</v>
      </c>
      <c r="P645" s="2">
        <v>6.0188800000000002</v>
      </c>
    </row>
    <row r="646" spans="1:17" ht="14.25" customHeight="1">
      <c r="A646" s="2" t="s">
        <v>15</v>
      </c>
      <c r="B646" s="2">
        <v>1944</v>
      </c>
      <c r="C646" s="2" t="s">
        <v>28</v>
      </c>
      <c r="D646" s="3">
        <v>19.895</v>
      </c>
      <c r="E646" s="3">
        <v>0</v>
      </c>
      <c r="F646" s="3">
        <v>4.3028855923592761</v>
      </c>
      <c r="G646" s="3"/>
      <c r="I646" s="3"/>
      <c r="J646" s="3"/>
      <c r="K646" s="3"/>
      <c r="N646" s="4" t="s">
        <v>100</v>
      </c>
      <c r="O646" s="2" t="s">
        <v>17</v>
      </c>
      <c r="P646" s="2">
        <v>5.5706000000000007</v>
      </c>
    </row>
    <row r="647" spans="1:17" ht="14.25" customHeight="1">
      <c r="A647" s="2" t="s">
        <v>15</v>
      </c>
      <c r="B647" s="2">
        <v>1945</v>
      </c>
      <c r="C647" s="2" t="s">
        <v>28</v>
      </c>
      <c r="D647" s="3">
        <v>20.87</v>
      </c>
      <c r="E647" s="3" t="e">
        <v>#N/A</v>
      </c>
      <c r="F647" s="3" t="e">
        <v>#N/A</v>
      </c>
      <c r="G647" s="3"/>
      <c r="I647" s="3"/>
      <c r="J647" s="3"/>
      <c r="K647" s="3"/>
      <c r="N647" s="4" t="s">
        <v>100</v>
      </c>
      <c r="O647" s="2" t="s">
        <v>17</v>
      </c>
      <c r="P647" s="2">
        <v>5.8436000000000012</v>
      </c>
    </row>
    <row r="648" spans="1:17" ht="14.25" customHeight="1">
      <c r="A648" s="2" t="s">
        <v>15</v>
      </c>
      <c r="B648" s="2">
        <v>1946</v>
      </c>
      <c r="C648" s="2" t="s">
        <v>28</v>
      </c>
      <c r="D648" s="3">
        <v>26.256</v>
      </c>
      <c r="E648" s="3">
        <v>1.98130461288356E-3</v>
      </c>
      <c r="F648" s="3">
        <v>4.0719365982523872</v>
      </c>
      <c r="G648" s="3"/>
      <c r="I648" s="3"/>
      <c r="J648" s="3"/>
      <c r="K648" s="3"/>
      <c r="N648" s="4" t="s">
        <v>99</v>
      </c>
      <c r="O648" s="2" t="s">
        <v>17</v>
      </c>
      <c r="P648" s="2">
        <v>7.3516800000000009</v>
      </c>
    </row>
    <row r="649" spans="1:17" ht="14.25" customHeight="1">
      <c r="A649" s="2" t="s">
        <v>15</v>
      </c>
      <c r="B649" s="2">
        <v>1947</v>
      </c>
      <c r="C649" s="2" t="s">
        <v>28</v>
      </c>
      <c r="D649" s="3">
        <v>26.664999999999999</v>
      </c>
      <c r="E649" s="3" t="e">
        <v>#N/A</v>
      </c>
      <c r="F649" s="3" t="e">
        <v>#N/A</v>
      </c>
      <c r="G649" s="3"/>
      <c r="I649" s="3"/>
      <c r="J649" s="3"/>
      <c r="K649" s="3"/>
      <c r="N649" s="4" t="s">
        <v>99</v>
      </c>
      <c r="O649" s="2" t="s">
        <v>17</v>
      </c>
      <c r="P649" s="2">
        <v>7.4662000000000006</v>
      </c>
    </row>
    <row r="650" spans="1:17" ht="14.25" customHeight="1">
      <c r="A650" s="2" t="s">
        <v>15</v>
      </c>
      <c r="B650" s="2">
        <v>1948</v>
      </c>
      <c r="C650" s="2" t="s">
        <v>28</v>
      </c>
      <c r="D650" s="3">
        <v>26.654</v>
      </c>
      <c r="E650" s="3" t="e">
        <v>#N/A</v>
      </c>
      <c r="F650" s="3" t="e">
        <v>#N/A</v>
      </c>
      <c r="G650" s="3"/>
      <c r="I650" s="3"/>
      <c r="J650" s="3"/>
      <c r="K650" s="3"/>
      <c r="N650" s="4" t="s">
        <v>99</v>
      </c>
      <c r="O650" s="2" t="s">
        <v>17</v>
      </c>
      <c r="P650" s="2">
        <v>7.4631200000000009</v>
      </c>
    </row>
    <row r="651" spans="1:17" ht="14.25" customHeight="1">
      <c r="A651" s="2" t="s">
        <v>15</v>
      </c>
      <c r="B651" s="2">
        <v>1949</v>
      </c>
      <c r="C651" s="2" t="s">
        <v>28</v>
      </c>
      <c r="D651" s="3">
        <v>22.547999999999998</v>
      </c>
      <c r="E651" s="3" t="e">
        <v>#N/A</v>
      </c>
      <c r="F651" s="3" t="e">
        <v>#N/A</v>
      </c>
      <c r="G651" s="3"/>
      <c r="I651" s="3"/>
      <c r="J651" s="3"/>
      <c r="K651" s="3"/>
      <c r="N651" s="4" t="s">
        <v>99</v>
      </c>
      <c r="O651" s="2" t="s">
        <v>17</v>
      </c>
      <c r="P651" s="2">
        <v>6.3134399999999999</v>
      </c>
    </row>
    <row r="652" spans="1:17" ht="14.25" customHeight="1">
      <c r="A652" s="2" t="s">
        <v>15</v>
      </c>
      <c r="B652" s="2">
        <v>1950</v>
      </c>
      <c r="C652" s="2" t="s">
        <v>28</v>
      </c>
      <c r="D652" s="3">
        <v>18.71</v>
      </c>
      <c r="E652" s="3">
        <v>0.17410079252184513</v>
      </c>
      <c r="F652" s="3">
        <v>5.5801666327982113</v>
      </c>
      <c r="G652" s="4">
        <v>0</v>
      </c>
      <c r="I652" s="3"/>
      <c r="J652" s="3"/>
      <c r="K652" s="3"/>
      <c r="N652" s="4" t="s">
        <v>99</v>
      </c>
      <c r="O652" s="2" t="s">
        <v>17</v>
      </c>
      <c r="P652" s="2">
        <v>5.2388000000000003</v>
      </c>
      <c r="Q652" s="2">
        <v>0</v>
      </c>
    </row>
    <row r="653" spans="1:17" ht="14.25" customHeight="1">
      <c r="A653" s="2" t="s">
        <v>15</v>
      </c>
      <c r="B653" s="2">
        <v>1951</v>
      </c>
      <c r="C653" s="2" t="s">
        <v>28</v>
      </c>
      <c r="D653" s="3">
        <v>26.286999999999999</v>
      </c>
      <c r="E653" s="3" t="e">
        <v>#N/A</v>
      </c>
      <c r="F653" s="3" t="e">
        <v>#N/A</v>
      </c>
      <c r="G653" s="4">
        <v>0</v>
      </c>
      <c r="I653" s="3"/>
      <c r="J653" s="3"/>
      <c r="K653" s="3"/>
      <c r="N653" s="4" t="s">
        <v>99</v>
      </c>
      <c r="O653" s="2" t="s">
        <v>17</v>
      </c>
      <c r="P653" s="2">
        <v>7.36036</v>
      </c>
      <c r="Q653" s="2">
        <v>0</v>
      </c>
    </row>
    <row r="654" spans="1:17" ht="14.25" customHeight="1">
      <c r="A654" s="2" t="s">
        <v>15</v>
      </c>
      <c r="B654" s="2">
        <v>1952</v>
      </c>
      <c r="C654" s="2" t="s">
        <v>28</v>
      </c>
      <c r="D654" s="3">
        <v>26.213000000000001</v>
      </c>
      <c r="E654" s="3" t="e">
        <v>#N/A</v>
      </c>
      <c r="F654" s="3" t="e">
        <v>#N/A</v>
      </c>
      <c r="G654" s="4">
        <v>0</v>
      </c>
      <c r="I654" s="3"/>
      <c r="J654" s="3"/>
      <c r="K654" s="3"/>
      <c r="N654" s="4" t="s">
        <v>99</v>
      </c>
      <c r="O654" s="2" t="s">
        <v>17</v>
      </c>
      <c r="P654" s="2">
        <v>7.3396400000000011</v>
      </c>
      <c r="Q654" s="2">
        <v>0</v>
      </c>
    </row>
    <row r="655" spans="1:17" ht="14.25" customHeight="1">
      <c r="A655" s="2" t="s">
        <v>15</v>
      </c>
      <c r="B655" s="2">
        <v>1953</v>
      </c>
      <c r="C655" s="2" t="s">
        <v>28</v>
      </c>
      <c r="D655" s="3">
        <v>26.064</v>
      </c>
      <c r="E655" s="3" t="e">
        <v>#N/A</v>
      </c>
      <c r="F655" s="3" t="e">
        <v>#N/A</v>
      </c>
      <c r="G655" s="4">
        <v>0</v>
      </c>
      <c r="I655" s="3"/>
      <c r="J655" s="3"/>
      <c r="K655" s="3"/>
      <c r="N655" s="4" t="s">
        <v>99</v>
      </c>
      <c r="O655" s="2" t="s">
        <v>17</v>
      </c>
      <c r="P655" s="2">
        <v>7.2979200000000004</v>
      </c>
      <c r="Q655" s="2">
        <v>0</v>
      </c>
    </row>
    <row r="656" spans="1:17" ht="14.25" customHeight="1">
      <c r="A656" s="2" t="s">
        <v>15</v>
      </c>
      <c r="B656" s="2">
        <v>1954</v>
      </c>
      <c r="C656" s="2" t="s">
        <v>28</v>
      </c>
      <c r="D656" s="3">
        <v>23.88</v>
      </c>
      <c r="E656" s="3" t="e">
        <v>#N/A</v>
      </c>
      <c r="F656" s="3" t="e">
        <v>#N/A</v>
      </c>
      <c r="G656" s="4">
        <v>0</v>
      </c>
      <c r="I656" s="3"/>
      <c r="J656" s="3"/>
      <c r="K656" s="3"/>
      <c r="N656" s="4" t="s">
        <v>99</v>
      </c>
      <c r="O656" s="2" t="s">
        <v>17</v>
      </c>
      <c r="P656" s="2">
        <v>6.6864000000000008</v>
      </c>
      <c r="Q656" s="2">
        <v>0</v>
      </c>
    </row>
    <row r="657" spans="1:17" ht="14.25" customHeight="1">
      <c r="A657" s="2" t="s">
        <v>15</v>
      </c>
      <c r="B657" s="2">
        <v>1955</v>
      </c>
      <c r="C657" s="2" t="s">
        <v>28</v>
      </c>
      <c r="D657" s="3">
        <v>26.561</v>
      </c>
      <c r="E657" s="3">
        <v>1.0547144889250151</v>
      </c>
      <c r="F657" s="3">
        <v>11.05578134525503</v>
      </c>
      <c r="G657" s="4">
        <v>0</v>
      </c>
      <c r="I657" s="3"/>
      <c r="J657" s="3"/>
      <c r="K657" s="3"/>
      <c r="N657" s="4" t="s">
        <v>99</v>
      </c>
      <c r="O657" s="2" t="s">
        <v>17</v>
      </c>
      <c r="P657" s="2">
        <v>7.4370800000000008</v>
      </c>
      <c r="Q657" s="2">
        <v>0</v>
      </c>
    </row>
    <row r="658" spans="1:17" ht="14.25" customHeight="1">
      <c r="A658" s="2" t="s">
        <v>15</v>
      </c>
      <c r="B658" s="2">
        <v>1956</v>
      </c>
      <c r="C658" s="2" t="s">
        <v>28</v>
      </c>
      <c r="D658" s="3">
        <v>24.399000000000001</v>
      </c>
      <c r="E658" s="3" t="e">
        <v>#N/A</v>
      </c>
      <c r="F658" s="3" t="e">
        <v>#N/A</v>
      </c>
      <c r="G658" s="4">
        <v>0</v>
      </c>
      <c r="I658" s="3"/>
      <c r="J658" s="3"/>
      <c r="K658" s="3"/>
      <c r="N658" s="4" t="s">
        <v>99</v>
      </c>
      <c r="O658" s="2" t="s">
        <v>17</v>
      </c>
      <c r="P658" s="2">
        <v>6.8317200000000007</v>
      </c>
      <c r="Q658" s="2">
        <v>0</v>
      </c>
    </row>
    <row r="659" spans="1:17" ht="14.25" customHeight="1">
      <c r="A659" s="2" t="s">
        <v>15</v>
      </c>
      <c r="B659" s="2">
        <v>1957</v>
      </c>
      <c r="C659" s="2" t="s">
        <v>28</v>
      </c>
      <c r="D659" s="3">
        <v>25.704000000000001</v>
      </c>
      <c r="E659" s="3" t="e">
        <v>#N/A</v>
      </c>
      <c r="F659" s="3" t="e">
        <v>#N/A</v>
      </c>
      <c r="G659" s="4">
        <v>0</v>
      </c>
      <c r="I659" s="3"/>
      <c r="J659" s="3"/>
      <c r="K659" s="3"/>
      <c r="N659" s="4" t="s">
        <v>99</v>
      </c>
      <c r="O659" s="2" t="s">
        <v>17</v>
      </c>
      <c r="P659" s="2">
        <v>7.1971200000000009</v>
      </c>
      <c r="Q659" s="2">
        <v>0</v>
      </c>
    </row>
    <row r="660" spans="1:17" ht="14.25" customHeight="1">
      <c r="A660" s="2" t="s">
        <v>15</v>
      </c>
      <c r="B660" s="2">
        <v>1958</v>
      </c>
      <c r="C660" s="2" t="s">
        <v>28</v>
      </c>
      <c r="D660" s="3">
        <v>23.577000000000002</v>
      </c>
      <c r="E660" s="3" t="e">
        <v>#N/A</v>
      </c>
      <c r="F660" s="3" t="e">
        <v>#N/A</v>
      </c>
      <c r="G660" s="4">
        <v>0</v>
      </c>
      <c r="I660" s="3"/>
      <c r="J660" s="3"/>
      <c r="K660" s="3"/>
      <c r="N660" s="4" t="s">
        <v>99</v>
      </c>
      <c r="O660" s="2" t="s">
        <v>17</v>
      </c>
      <c r="P660" s="2">
        <v>6.601560000000001</v>
      </c>
      <c r="Q660" s="2">
        <v>0</v>
      </c>
    </row>
    <row r="661" spans="1:17" ht="14.25" customHeight="1">
      <c r="A661" s="2" t="s">
        <v>15</v>
      </c>
      <c r="B661" s="2">
        <v>1959</v>
      </c>
      <c r="C661" s="2" t="s">
        <v>28</v>
      </c>
      <c r="D661" s="3">
        <v>25.123999999999999</v>
      </c>
      <c r="E661" s="3" t="e">
        <v>#N/A</v>
      </c>
      <c r="F661" s="3" t="e">
        <v>#N/A</v>
      </c>
      <c r="G661" s="4">
        <v>0</v>
      </c>
      <c r="I661" s="3"/>
      <c r="J661" s="3"/>
      <c r="K661" s="3"/>
      <c r="N661" s="4" t="s">
        <v>99</v>
      </c>
      <c r="O661" s="2" t="s">
        <v>17</v>
      </c>
      <c r="P661" s="2">
        <v>7.0347200000000001</v>
      </c>
      <c r="Q661" s="2">
        <v>0</v>
      </c>
    </row>
    <row r="662" spans="1:17" ht="14.25" customHeight="1">
      <c r="A662" s="2" t="s">
        <v>15</v>
      </c>
      <c r="B662" s="2">
        <v>1960</v>
      </c>
      <c r="C662" s="2" t="s">
        <v>28</v>
      </c>
      <c r="D662" s="3">
        <v>28.052</v>
      </c>
      <c r="E662" s="3">
        <v>1.0403881324933957</v>
      </c>
      <c r="F662" s="3">
        <v>7.5967791099370041</v>
      </c>
      <c r="G662" s="4">
        <v>0</v>
      </c>
      <c r="I662" s="3"/>
      <c r="J662" s="3"/>
      <c r="K662" s="3"/>
      <c r="N662" s="4" t="s">
        <v>99</v>
      </c>
      <c r="O662" s="2" t="s">
        <v>17</v>
      </c>
      <c r="P662" s="2">
        <v>7.8545600000000002</v>
      </c>
      <c r="Q662" s="2">
        <v>0</v>
      </c>
    </row>
    <row r="663" spans="1:17" ht="14.25" customHeight="1">
      <c r="A663" s="2" t="s">
        <v>15</v>
      </c>
      <c r="B663" s="2">
        <v>1961</v>
      </c>
      <c r="C663" s="2" t="s">
        <v>28</v>
      </c>
      <c r="D663" s="3">
        <v>29.067</v>
      </c>
      <c r="E663" s="3" t="e">
        <v>#N/A</v>
      </c>
      <c r="F663" s="3" t="e">
        <v>#N/A</v>
      </c>
      <c r="G663" s="4">
        <v>0.1</v>
      </c>
      <c r="I663" s="3"/>
      <c r="J663" s="3"/>
      <c r="K663" s="3"/>
      <c r="N663" s="4" t="s">
        <v>99</v>
      </c>
      <c r="O663" s="2" t="s">
        <v>17</v>
      </c>
      <c r="P663" s="2">
        <v>8.1387600000000013</v>
      </c>
      <c r="Q663" s="2">
        <v>2.8000000000000004E-2</v>
      </c>
    </row>
    <row r="664" spans="1:17" ht="14.25" customHeight="1">
      <c r="A664" s="2" t="s">
        <v>15</v>
      </c>
      <c r="B664" s="2">
        <v>1962</v>
      </c>
      <c r="C664" s="2" t="s">
        <v>28</v>
      </c>
      <c r="D664" s="3">
        <v>30.024385287543179</v>
      </c>
      <c r="E664" s="3" t="e">
        <v>#N/A</v>
      </c>
      <c r="F664" s="3" t="e">
        <v>#N/A</v>
      </c>
      <c r="G664" s="4">
        <v>0</v>
      </c>
      <c r="I664" s="3"/>
      <c r="J664" s="3"/>
      <c r="K664" s="3"/>
      <c r="N664" s="4" t="s">
        <v>99</v>
      </c>
      <c r="O664" s="2" t="s">
        <v>17</v>
      </c>
      <c r="P664" s="2">
        <v>8.4068278805120915</v>
      </c>
      <c r="Q664" s="2">
        <v>0</v>
      </c>
    </row>
    <row r="665" spans="1:17" ht="14.25" customHeight="1">
      <c r="A665" s="2" t="s">
        <v>15</v>
      </c>
      <c r="B665" s="2">
        <v>1963</v>
      </c>
      <c r="C665" s="2" t="s">
        <v>28</v>
      </c>
      <c r="D665" s="3">
        <v>28.246291404186142</v>
      </c>
      <c r="E665" s="3" t="e">
        <v>#N/A</v>
      </c>
      <c r="F665" s="3" t="e">
        <v>#N/A</v>
      </c>
      <c r="G665" s="4">
        <v>0</v>
      </c>
      <c r="I665" s="3"/>
      <c r="J665" s="3"/>
      <c r="K665" s="3"/>
      <c r="N665" s="4" t="s">
        <v>99</v>
      </c>
      <c r="O665" s="2" t="s">
        <v>17</v>
      </c>
      <c r="P665" s="2">
        <v>7.90896159317212</v>
      </c>
      <c r="Q665" s="2">
        <v>0</v>
      </c>
    </row>
    <row r="666" spans="1:17" ht="14.25" customHeight="1">
      <c r="A666" s="2" t="s">
        <v>15</v>
      </c>
      <c r="B666" s="2">
        <v>1964</v>
      </c>
      <c r="C666" s="2" t="s">
        <v>28</v>
      </c>
      <c r="D666" s="3">
        <v>28.398699451331026</v>
      </c>
      <c r="E666" s="3" t="e">
        <v>#N/A</v>
      </c>
      <c r="F666" s="3" t="e">
        <v>#N/A</v>
      </c>
      <c r="G666" s="4">
        <v>0.1</v>
      </c>
      <c r="I666" s="3"/>
      <c r="J666" s="3"/>
      <c r="K666" s="3"/>
      <c r="N666" s="4" t="s">
        <v>99</v>
      </c>
      <c r="O666" s="2" t="s">
        <v>17</v>
      </c>
      <c r="P666" s="2">
        <v>7.9516358463726879</v>
      </c>
      <c r="Q666" s="2">
        <v>2.8000000000000004E-2</v>
      </c>
    </row>
    <row r="667" spans="1:17" ht="14.25" customHeight="1">
      <c r="A667" s="2" t="s">
        <v>15</v>
      </c>
      <c r="B667" s="2">
        <v>1965</v>
      </c>
      <c r="C667" s="2" t="s">
        <v>28</v>
      </c>
      <c r="D667" s="3">
        <v>27.789067262751473</v>
      </c>
      <c r="E667" s="3">
        <v>1.9305019305019304</v>
      </c>
      <c r="F667" s="3">
        <v>15.698028855923592</v>
      </c>
      <c r="G667" s="4">
        <v>0.1</v>
      </c>
      <c r="I667" s="3"/>
      <c r="J667" s="3"/>
      <c r="K667" s="3"/>
      <c r="N667" s="4" t="s">
        <v>99</v>
      </c>
      <c r="O667" s="2" t="s">
        <v>17</v>
      </c>
      <c r="P667" s="2">
        <v>7.7809388335704135</v>
      </c>
      <c r="Q667" s="2">
        <v>2.8000000000000004E-2</v>
      </c>
    </row>
    <row r="668" spans="1:17" ht="14.25" customHeight="1">
      <c r="A668" s="2" t="s">
        <v>15</v>
      </c>
      <c r="B668" s="2">
        <v>1966</v>
      </c>
      <c r="C668" s="2" t="s">
        <v>28</v>
      </c>
      <c r="D668" s="3">
        <v>34.088599878073559</v>
      </c>
      <c r="E668" s="3">
        <v>1.625685836212152</v>
      </c>
      <c r="F668" s="3">
        <v>15.850436903068481</v>
      </c>
      <c r="G668" s="4">
        <v>0.1</v>
      </c>
      <c r="I668" s="3"/>
      <c r="J668" s="3"/>
      <c r="K668" s="3"/>
      <c r="N668" s="4" t="s">
        <v>99</v>
      </c>
      <c r="O668" s="2" t="s">
        <v>17</v>
      </c>
      <c r="P668" s="2">
        <v>9.5448079658605973</v>
      </c>
      <c r="Q668" s="2">
        <v>2.8000000000000004E-2</v>
      </c>
    </row>
    <row r="669" spans="1:17" ht="14.25" customHeight="1">
      <c r="A669" s="2" t="s">
        <v>15</v>
      </c>
      <c r="B669" s="2">
        <v>1967</v>
      </c>
      <c r="C669" s="2" t="s">
        <v>28</v>
      </c>
      <c r="D669" s="3">
        <v>42.166226376752689</v>
      </c>
      <c r="E669" s="3">
        <v>2.0829099776468198</v>
      </c>
      <c r="F669" s="3">
        <v>6.7567567567567561</v>
      </c>
      <c r="G669" s="4">
        <v>0.1</v>
      </c>
      <c r="I669" s="3"/>
      <c r="J669" s="3"/>
      <c r="K669" s="3"/>
      <c r="N669" s="4" t="s">
        <v>99</v>
      </c>
      <c r="O669" s="2" t="s">
        <v>17</v>
      </c>
      <c r="P669" s="2">
        <v>11.806543385490754</v>
      </c>
      <c r="Q669" s="2">
        <v>2.8000000000000004E-2</v>
      </c>
    </row>
    <row r="670" spans="1:17" ht="14.25" customHeight="1">
      <c r="A670" s="2" t="s">
        <v>15</v>
      </c>
      <c r="B670" s="2">
        <v>1968</v>
      </c>
      <c r="C670" s="2" t="s">
        <v>28</v>
      </c>
      <c r="D670" s="3">
        <v>41.810607600081283</v>
      </c>
      <c r="E670" s="3">
        <v>3.2005689900426741</v>
      </c>
      <c r="F670" s="3">
        <v>13.615118878276773</v>
      </c>
      <c r="G670" s="4">
        <v>0.1</v>
      </c>
      <c r="I670" s="3"/>
      <c r="J670" s="3"/>
      <c r="K670" s="3"/>
      <c r="N670" s="4" t="s">
        <v>99</v>
      </c>
      <c r="O670" s="2" t="s">
        <v>17</v>
      </c>
      <c r="P670" s="2">
        <v>11.70697012802276</v>
      </c>
      <c r="Q670" s="2">
        <v>2.8000000000000004E-2</v>
      </c>
    </row>
    <row r="671" spans="1:17" ht="14.25" customHeight="1">
      <c r="A671" s="2" t="s">
        <v>15</v>
      </c>
      <c r="B671" s="2">
        <v>1969</v>
      </c>
      <c r="C671" s="2" t="s">
        <v>28</v>
      </c>
      <c r="D671" s="3">
        <v>50.599471652103226</v>
      </c>
      <c r="E671" s="3">
        <v>4.6738467791099367</v>
      </c>
      <c r="F671" s="3">
        <v>13.462710831131883</v>
      </c>
      <c r="G671" s="4">
        <v>0.1</v>
      </c>
      <c r="I671" s="3"/>
      <c r="J671" s="3"/>
      <c r="K671" s="3"/>
      <c r="N671" s="4" t="s">
        <v>99</v>
      </c>
      <c r="O671" s="2" t="s">
        <v>17</v>
      </c>
      <c r="P671" s="2">
        <v>14.167852062588905</v>
      </c>
      <c r="Q671" s="2">
        <v>2.8000000000000004E-2</v>
      </c>
    </row>
    <row r="672" spans="1:17" ht="14.25" customHeight="1">
      <c r="A672" s="2" t="s">
        <v>15</v>
      </c>
      <c r="B672" s="2">
        <v>1970</v>
      </c>
      <c r="C672" s="2" t="s">
        <v>28</v>
      </c>
      <c r="D672" s="3">
        <v>56.441780125990647</v>
      </c>
      <c r="E672" s="3">
        <v>6.7567567567567561</v>
      </c>
      <c r="F672" s="3">
        <v>15.748831538305222</v>
      </c>
      <c r="G672" s="4">
        <v>0.1</v>
      </c>
      <c r="I672" s="3"/>
      <c r="J672" s="3"/>
      <c r="K672" s="3"/>
      <c r="N672" s="4" t="s">
        <v>99</v>
      </c>
      <c r="O672" s="2" t="s">
        <v>17</v>
      </c>
      <c r="P672" s="2">
        <v>15.803698435277383</v>
      </c>
      <c r="Q672" s="2">
        <v>2.8000000000000004E-2</v>
      </c>
    </row>
    <row r="673" spans="1:17" ht="14.25" customHeight="1">
      <c r="A673" s="2" t="s">
        <v>15</v>
      </c>
      <c r="B673" s="2">
        <v>1971</v>
      </c>
      <c r="C673" s="2" t="s">
        <v>28</v>
      </c>
      <c r="D673" s="3">
        <v>54.460475513107092</v>
      </c>
      <c r="E673" s="3">
        <v>8.890469416785205</v>
      </c>
      <c r="F673" s="3">
        <v>16.561674456411296</v>
      </c>
      <c r="G673" s="4">
        <v>0.1</v>
      </c>
      <c r="I673" s="3"/>
      <c r="J673" s="3"/>
      <c r="K673" s="3"/>
      <c r="N673" s="4" t="s">
        <v>99</v>
      </c>
      <c r="O673" s="2" t="s">
        <v>17</v>
      </c>
      <c r="P673" s="2">
        <v>15.248933143669987</v>
      </c>
      <c r="Q673" s="2">
        <v>2.8000000000000004E-2</v>
      </c>
    </row>
    <row r="674" spans="1:17" ht="14.25" customHeight="1">
      <c r="A674" s="2" t="s">
        <v>15</v>
      </c>
      <c r="B674" s="2">
        <v>1972</v>
      </c>
      <c r="C674" s="2" t="s">
        <v>28</v>
      </c>
      <c r="D674" s="3">
        <v>59.337533021743546</v>
      </c>
      <c r="E674" s="3">
        <v>10.211339158707579</v>
      </c>
      <c r="F674" s="3">
        <v>17.679333468807151</v>
      </c>
      <c r="G674" s="4">
        <v>0</v>
      </c>
      <c r="I674" s="3"/>
      <c r="J674" s="3"/>
      <c r="K674" s="3"/>
      <c r="N674" s="4" t="s">
        <v>99</v>
      </c>
      <c r="O674" s="2" t="s">
        <v>17</v>
      </c>
      <c r="P674" s="2">
        <v>16.614509246088193</v>
      </c>
      <c r="Q674" s="2">
        <v>0</v>
      </c>
    </row>
    <row r="675" spans="1:17" ht="14.25" customHeight="1">
      <c r="A675" s="2" t="s">
        <v>15</v>
      </c>
      <c r="B675" s="2">
        <v>1973</v>
      </c>
      <c r="C675" s="2" t="s">
        <v>28</v>
      </c>
      <c r="D675" s="3">
        <v>70.869741922373493</v>
      </c>
      <c r="E675" s="3">
        <v>12.294249136354399</v>
      </c>
      <c r="F675" s="3">
        <v>21.235521235521233</v>
      </c>
      <c r="G675" s="4">
        <v>0</v>
      </c>
      <c r="I675" s="3"/>
      <c r="J675" s="3"/>
      <c r="K675" s="3"/>
      <c r="N675" s="4" t="s">
        <v>99</v>
      </c>
      <c r="O675" s="2" t="s">
        <v>17</v>
      </c>
      <c r="P675" s="2">
        <v>19.84352773826458</v>
      </c>
      <c r="Q675" s="2">
        <v>0</v>
      </c>
    </row>
    <row r="676" spans="1:17" ht="14.25" customHeight="1">
      <c r="A676" s="2" t="s">
        <v>15</v>
      </c>
      <c r="B676" s="2">
        <v>1974</v>
      </c>
      <c r="C676" s="2" t="s">
        <v>28</v>
      </c>
      <c r="D676" s="3">
        <v>63.706563706563706</v>
      </c>
      <c r="E676" s="3">
        <v>11.227392806340173</v>
      </c>
      <c r="F676" s="3">
        <v>18.847795163584635</v>
      </c>
      <c r="G676" s="4">
        <v>1E-3</v>
      </c>
      <c r="I676" s="3"/>
      <c r="J676" s="3"/>
      <c r="K676" s="3"/>
      <c r="N676" s="4" t="s">
        <v>99</v>
      </c>
      <c r="O676" s="2" t="s">
        <v>17</v>
      </c>
      <c r="P676" s="2">
        <v>17.837837837837839</v>
      </c>
      <c r="Q676" s="2">
        <v>2.8000000000000003E-4</v>
      </c>
    </row>
    <row r="677" spans="1:17" ht="14.25" customHeight="1">
      <c r="A677" s="2" t="s">
        <v>15</v>
      </c>
      <c r="B677" s="2">
        <v>1975</v>
      </c>
      <c r="C677" s="2" t="s">
        <v>28</v>
      </c>
      <c r="D677" s="3">
        <v>67.406000000000006</v>
      </c>
      <c r="E677" s="3">
        <v>15.143000000000001</v>
      </c>
      <c r="F677" s="3">
        <v>18.213000000000001</v>
      </c>
      <c r="G677" s="4">
        <v>3.0000000000000001E-3</v>
      </c>
      <c r="I677" s="3"/>
      <c r="J677" s="3"/>
      <c r="K677" s="3"/>
      <c r="N677" s="4" t="s">
        <v>99</v>
      </c>
      <c r="O677" s="2" t="s">
        <v>17</v>
      </c>
      <c r="P677" s="2">
        <v>18.873680000000004</v>
      </c>
      <c r="Q677" s="2">
        <v>8.4000000000000014E-4</v>
      </c>
    </row>
    <row r="678" spans="1:17" ht="14.25" customHeight="1">
      <c r="A678" s="2" t="s">
        <v>15</v>
      </c>
      <c r="B678" s="2">
        <v>1976</v>
      </c>
      <c r="C678" s="2" t="s">
        <v>28</v>
      </c>
      <c r="D678" s="3">
        <v>82.027000000000001</v>
      </c>
      <c r="E678" s="3">
        <v>19.725999999999999</v>
      </c>
      <c r="F678" s="3">
        <v>20.936</v>
      </c>
      <c r="G678" s="4">
        <v>6.0000000000000001E-3</v>
      </c>
      <c r="I678" s="3"/>
      <c r="J678" s="3"/>
      <c r="K678" s="3"/>
      <c r="N678" s="4" t="s">
        <v>101</v>
      </c>
      <c r="O678" s="2" t="s">
        <v>17</v>
      </c>
      <c r="P678" s="2">
        <v>22.967560000000002</v>
      </c>
      <c r="Q678" s="2">
        <v>1.6800000000000003E-3</v>
      </c>
    </row>
    <row r="679" spans="1:17" ht="14.25" customHeight="1">
      <c r="A679" s="2" t="s">
        <v>15</v>
      </c>
      <c r="B679" s="2">
        <v>1977</v>
      </c>
      <c r="C679" s="2" t="s">
        <v>28</v>
      </c>
      <c r="D679" s="3">
        <v>77.632000000000005</v>
      </c>
      <c r="E679" s="3">
        <v>25.47</v>
      </c>
      <c r="F679" s="3">
        <v>19.864000000000001</v>
      </c>
      <c r="G679" s="4">
        <v>0</v>
      </c>
      <c r="I679" s="3"/>
      <c r="J679" s="3"/>
      <c r="K679" s="3"/>
      <c r="N679" s="4" t="s">
        <v>101</v>
      </c>
      <c r="O679" s="2" t="s">
        <v>17</v>
      </c>
      <c r="P679" s="2">
        <v>21.736960000000003</v>
      </c>
      <c r="Q679" s="2">
        <v>0</v>
      </c>
    </row>
    <row r="680" spans="1:17" ht="14.25" customHeight="1">
      <c r="A680" s="2" t="s">
        <v>15</v>
      </c>
      <c r="B680" s="2">
        <v>1978</v>
      </c>
      <c r="C680" s="2" t="s">
        <v>28</v>
      </c>
      <c r="D680" s="3">
        <v>69.034000000000006</v>
      </c>
      <c r="E680" s="3">
        <v>25.311</v>
      </c>
      <c r="F680" s="3">
        <v>28.033000000000001</v>
      </c>
      <c r="G680" s="4">
        <v>0.01</v>
      </c>
      <c r="I680" s="3"/>
      <c r="J680" s="3"/>
      <c r="K680" s="3"/>
      <c r="N680" s="4" t="s">
        <v>101</v>
      </c>
      <c r="O680" s="2" t="s">
        <v>17</v>
      </c>
      <c r="P680" s="2">
        <v>19.329520000000002</v>
      </c>
      <c r="Q680" s="2">
        <v>2.8000000000000004E-3</v>
      </c>
    </row>
    <row r="681" spans="1:17" ht="14.25" customHeight="1">
      <c r="A681" s="2" t="s">
        <v>15</v>
      </c>
      <c r="B681" s="2">
        <v>1979</v>
      </c>
      <c r="C681" s="2" t="s">
        <v>28</v>
      </c>
      <c r="D681" s="3">
        <v>64.381</v>
      </c>
      <c r="E681" s="3">
        <v>23.599</v>
      </c>
      <c r="F681" s="3">
        <v>29.3</v>
      </c>
      <c r="G681" s="4">
        <v>1.7000000000000001E-2</v>
      </c>
      <c r="I681" s="3"/>
      <c r="J681" s="3"/>
      <c r="K681" s="3"/>
      <c r="N681" s="4" t="s">
        <v>101</v>
      </c>
      <c r="O681" s="2" t="s">
        <v>17</v>
      </c>
      <c r="P681" s="2">
        <v>18.026680000000002</v>
      </c>
      <c r="Q681" s="2">
        <v>4.7600000000000012E-3</v>
      </c>
    </row>
    <row r="682" spans="1:17" ht="14.25" customHeight="1">
      <c r="A682" s="2" t="s">
        <v>15</v>
      </c>
      <c r="B682" s="2">
        <v>1980</v>
      </c>
      <c r="C682" s="2" t="s">
        <v>28</v>
      </c>
      <c r="D682" s="3">
        <v>69.977000000000004</v>
      </c>
      <c r="E682" s="3">
        <v>29.809000000000001</v>
      </c>
      <c r="F682" s="3">
        <v>33.527000000000001</v>
      </c>
      <c r="G682" s="4">
        <v>0.03</v>
      </c>
      <c r="I682" s="3"/>
      <c r="J682" s="3"/>
      <c r="K682" s="3"/>
      <c r="N682" s="4" t="s">
        <v>101</v>
      </c>
      <c r="O682" s="2" t="s">
        <v>17</v>
      </c>
      <c r="P682" s="2">
        <v>19.593560000000004</v>
      </c>
      <c r="Q682" s="2">
        <v>8.4000000000000012E-3</v>
      </c>
    </row>
    <row r="683" spans="1:17" ht="14.25" customHeight="1">
      <c r="A683" s="2" t="s">
        <v>15</v>
      </c>
      <c r="B683" s="2">
        <v>1981</v>
      </c>
      <c r="C683" s="2" t="s">
        <v>28</v>
      </c>
      <c r="D683" s="3">
        <v>64.412000000000006</v>
      </c>
      <c r="E683" s="3">
        <v>28.045999999999999</v>
      </c>
      <c r="F683" s="3">
        <v>28.908999999999999</v>
      </c>
      <c r="G683" s="4">
        <v>4.4999999999999998E-2</v>
      </c>
      <c r="I683" s="3"/>
      <c r="J683" s="3"/>
      <c r="K683" s="3"/>
      <c r="N683" s="4" t="s">
        <v>101</v>
      </c>
      <c r="O683" s="2" t="s">
        <v>17</v>
      </c>
      <c r="P683" s="2">
        <v>18.035360000000004</v>
      </c>
      <c r="Q683" s="2">
        <v>1.26E-2</v>
      </c>
    </row>
    <row r="684" spans="1:17" ht="14.25" customHeight="1">
      <c r="A684" s="2" t="s">
        <v>15</v>
      </c>
      <c r="B684" s="2">
        <v>1982</v>
      </c>
      <c r="C684" s="2" t="s">
        <v>28</v>
      </c>
      <c r="D684" s="3">
        <v>64.947000000000003</v>
      </c>
      <c r="E684" s="3">
        <v>29.88</v>
      </c>
      <c r="F684" s="3">
        <v>35.194000000000003</v>
      </c>
      <c r="G684" s="4">
        <v>3.9E-2</v>
      </c>
      <c r="I684" s="3"/>
      <c r="J684" s="3"/>
      <c r="K684" s="3"/>
      <c r="N684" s="4" t="s">
        <v>101</v>
      </c>
      <c r="O684" s="2" t="s">
        <v>17</v>
      </c>
      <c r="P684" s="2">
        <v>18.185160000000003</v>
      </c>
      <c r="Q684" s="2">
        <v>1.0920000000000001E-2</v>
      </c>
    </row>
    <row r="685" spans="1:17" ht="14.25" customHeight="1">
      <c r="A685" s="2" t="s">
        <v>15</v>
      </c>
      <c r="B685" s="2">
        <v>1983</v>
      </c>
      <c r="C685" s="2" t="s">
        <v>28</v>
      </c>
      <c r="D685" s="3">
        <v>72.179000000000002</v>
      </c>
      <c r="E685" s="3">
        <v>34.256999999999998</v>
      </c>
      <c r="F685" s="3">
        <v>39.185000000000002</v>
      </c>
      <c r="G685" s="4">
        <v>4.9000000000000002E-2</v>
      </c>
      <c r="I685" s="3"/>
      <c r="J685" s="3"/>
      <c r="K685" s="3"/>
      <c r="N685" s="4" t="s">
        <v>101</v>
      </c>
      <c r="O685" s="2" t="s">
        <v>17</v>
      </c>
      <c r="P685" s="2">
        <v>20.210120000000003</v>
      </c>
      <c r="Q685" s="2">
        <v>1.3720000000000001E-2</v>
      </c>
    </row>
    <row r="686" spans="1:17" ht="14.25" customHeight="1">
      <c r="A686" s="2" t="s">
        <v>15</v>
      </c>
      <c r="B686" s="2">
        <v>1984</v>
      </c>
      <c r="C686" s="2" t="s">
        <v>28</v>
      </c>
      <c r="D686" s="3">
        <v>72.605999999999995</v>
      </c>
      <c r="E686" s="3">
        <v>36.656999999999996</v>
      </c>
      <c r="F686" s="3">
        <v>42.973999999999997</v>
      </c>
      <c r="G686" s="4">
        <v>1.127</v>
      </c>
      <c r="I686" s="3"/>
      <c r="J686" s="3"/>
      <c r="K686" s="3"/>
      <c r="N686" s="4" t="s">
        <v>101</v>
      </c>
      <c r="O686" s="2" t="s">
        <v>17</v>
      </c>
      <c r="P686" s="2">
        <v>20.32968</v>
      </c>
      <c r="Q686" s="2">
        <v>0.31556000000000001</v>
      </c>
    </row>
    <row r="687" spans="1:17" ht="14.25" customHeight="1">
      <c r="A687" s="2" t="s">
        <v>15</v>
      </c>
      <c r="B687" s="2">
        <v>1985</v>
      </c>
      <c r="C687" s="2" t="s">
        <v>28</v>
      </c>
      <c r="D687" s="3">
        <v>74.83</v>
      </c>
      <c r="E687" s="3">
        <v>38.289000000000001</v>
      </c>
      <c r="F687" s="3">
        <v>45.628</v>
      </c>
      <c r="G687" s="4">
        <v>1.327</v>
      </c>
      <c r="I687" s="3"/>
      <c r="J687" s="3"/>
      <c r="K687" s="3"/>
      <c r="N687" s="4" t="s">
        <v>101</v>
      </c>
      <c r="O687" s="2" t="s">
        <v>17</v>
      </c>
      <c r="P687" s="2">
        <v>20.952400000000001</v>
      </c>
      <c r="Q687" s="2">
        <v>0.37156</v>
      </c>
    </row>
    <row r="688" spans="1:17" ht="14.25" customHeight="1">
      <c r="A688" s="2" t="s">
        <v>15</v>
      </c>
      <c r="B688" s="2">
        <v>1986</v>
      </c>
      <c r="C688" s="2" t="s">
        <v>28</v>
      </c>
      <c r="D688" s="3">
        <v>87.823999999999998</v>
      </c>
      <c r="E688" s="3">
        <v>44.301000000000002</v>
      </c>
      <c r="F688" s="3">
        <v>50.381999999999998</v>
      </c>
      <c r="G688" s="4">
        <v>1.806</v>
      </c>
      <c r="I688" s="3"/>
      <c r="J688" s="3"/>
      <c r="K688" s="3"/>
      <c r="N688" s="4" t="s">
        <v>101</v>
      </c>
      <c r="O688" s="2" t="s">
        <v>17</v>
      </c>
      <c r="P688" s="2">
        <v>24.590720000000001</v>
      </c>
      <c r="Q688" s="2">
        <v>0.50568000000000002</v>
      </c>
    </row>
    <row r="689" spans="1:18" ht="14.25" customHeight="1">
      <c r="A689" s="2" t="s">
        <v>15</v>
      </c>
      <c r="B689" s="2">
        <v>1987</v>
      </c>
      <c r="C689" s="2" t="s">
        <v>28</v>
      </c>
      <c r="D689" s="3">
        <v>111.072</v>
      </c>
      <c r="E689" s="3">
        <v>52.274999999999999</v>
      </c>
      <c r="F689" s="3">
        <v>51.140999999999998</v>
      </c>
      <c r="G689" s="4">
        <v>2.6379999999999999</v>
      </c>
      <c r="I689" s="3"/>
      <c r="J689" s="3"/>
      <c r="K689" s="3"/>
      <c r="N689" s="4" t="s">
        <v>101</v>
      </c>
      <c r="O689" s="2" t="s">
        <v>17</v>
      </c>
      <c r="P689" s="2">
        <v>31.100160000000002</v>
      </c>
      <c r="Q689" s="2">
        <v>0.73864000000000007</v>
      </c>
    </row>
    <row r="690" spans="1:18" ht="14.25" customHeight="1">
      <c r="A690" s="2" t="s">
        <v>15</v>
      </c>
      <c r="B690" s="2">
        <v>1988</v>
      </c>
      <c r="C690" s="2" t="s">
        <v>28</v>
      </c>
      <c r="D690" s="3">
        <v>96.483000000000004</v>
      </c>
      <c r="E690" s="3">
        <v>47.585000000000001</v>
      </c>
      <c r="F690" s="3">
        <v>61.021999999999998</v>
      </c>
      <c r="G690" s="4">
        <v>2.8860000000000001</v>
      </c>
      <c r="H690" s="2">
        <v>0.6</v>
      </c>
      <c r="I690" s="3"/>
      <c r="J690" s="3"/>
      <c r="K690" s="3"/>
      <c r="N690" s="4" t="s">
        <v>101</v>
      </c>
      <c r="O690" s="2" t="s">
        <v>17</v>
      </c>
      <c r="P690" s="2">
        <v>27.015240000000002</v>
      </c>
      <c r="Q690" s="2">
        <v>0.80808000000000013</v>
      </c>
      <c r="R690" s="2">
        <v>0.16800000000000001</v>
      </c>
    </row>
    <row r="691" spans="1:18" ht="14.25" customHeight="1">
      <c r="A691" s="2" t="s">
        <v>15</v>
      </c>
      <c r="B691" s="2">
        <v>1989</v>
      </c>
      <c r="C691" s="2" t="s">
        <v>28</v>
      </c>
      <c r="D691" s="3">
        <v>92.031000000000006</v>
      </c>
      <c r="E691" s="3">
        <v>57.424999999999997</v>
      </c>
      <c r="F691" s="3">
        <v>64.472999999999999</v>
      </c>
      <c r="G691" s="4">
        <v>2.9809999999999999</v>
      </c>
      <c r="H691" s="2">
        <v>0.7</v>
      </c>
      <c r="I691" s="3"/>
      <c r="J691" s="3"/>
      <c r="K691" s="3"/>
      <c r="N691" s="4" t="s">
        <v>101</v>
      </c>
      <c r="O691" s="2" t="s">
        <v>17</v>
      </c>
      <c r="P691" s="2">
        <v>25.768680000000003</v>
      </c>
      <c r="Q691" s="2">
        <v>0.83468000000000009</v>
      </c>
      <c r="R691" s="2">
        <v>0.19600000000000001</v>
      </c>
    </row>
    <row r="692" spans="1:18" ht="14.25" customHeight="1">
      <c r="A692" s="2" t="s">
        <v>15</v>
      </c>
      <c r="B692" s="2">
        <v>1990</v>
      </c>
      <c r="C692" s="2" t="s">
        <v>28</v>
      </c>
      <c r="D692" s="3">
        <v>93.143000000000001</v>
      </c>
      <c r="E692" s="3">
        <v>63.762</v>
      </c>
      <c r="F692" s="3">
        <v>64.459000000000003</v>
      </c>
      <c r="G692" s="4">
        <v>2.8410000000000002</v>
      </c>
      <c r="H692" s="2">
        <v>1.3</v>
      </c>
      <c r="I692" s="3"/>
      <c r="J692" s="3"/>
      <c r="K692" s="3"/>
      <c r="N692" s="4" t="s">
        <v>101</v>
      </c>
      <c r="O692" s="2" t="s">
        <v>17</v>
      </c>
      <c r="P692" s="2">
        <v>26.080040000000004</v>
      </c>
      <c r="Q692" s="2">
        <v>0.79548000000000008</v>
      </c>
      <c r="R692" s="2">
        <v>0.36400000000000005</v>
      </c>
    </row>
    <row r="693" spans="1:18" ht="14.25" customHeight="1">
      <c r="A693" s="2" t="s">
        <v>15</v>
      </c>
      <c r="B693" s="2">
        <v>1991</v>
      </c>
      <c r="C693" s="2" t="s">
        <v>28</v>
      </c>
      <c r="D693" s="3">
        <v>124.5</v>
      </c>
      <c r="E693" s="3">
        <v>76.102999999999994</v>
      </c>
      <c r="F693" s="3">
        <v>65.844999999999999</v>
      </c>
      <c r="G693" s="4">
        <v>5.6459999999999999</v>
      </c>
      <c r="H693" s="2">
        <v>1</v>
      </c>
      <c r="I693" s="3"/>
      <c r="J693" s="3"/>
      <c r="K693" s="3"/>
      <c r="N693" s="4" t="s">
        <v>101</v>
      </c>
      <c r="O693" s="2" t="s">
        <v>17</v>
      </c>
      <c r="P693" s="2">
        <v>34.860000000000007</v>
      </c>
      <c r="Q693" s="2">
        <v>1.5808800000000001</v>
      </c>
      <c r="R693" s="2">
        <v>0.28000000000000003</v>
      </c>
    </row>
    <row r="694" spans="1:18" ht="14.25" customHeight="1">
      <c r="A694" s="2" t="s">
        <v>15</v>
      </c>
      <c r="B694" s="2">
        <v>1992</v>
      </c>
      <c r="C694" s="2" t="s">
        <v>28</v>
      </c>
      <c r="D694" s="3">
        <v>108</v>
      </c>
      <c r="E694" s="3">
        <v>69.2</v>
      </c>
      <c r="F694" s="3">
        <v>66.438000000000002</v>
      </c>
      <c r="G694" s="4">
        <v>5.0270000000000001</v>
      </c>
      <c r="H694" s="2">
        <v>1.6</v>
      </c>
      <c r="I694" s="3"/>
      <c r="J694" s="3"/>
      <c r="K694" s="3"/>
      <c r="N694" s="4" t="s">
        <v>101</v>
      </c>
      <c r="O694" s="2" t="s">
        <v>17</v>
      </c>
      <c r="P694" s="2">
        <v>30.240000000000002</v>
      </c>
      <c r="Q694" s="2">
        <v>1.4075600000000001</v>
      </c>
      <c r="R694" s="2">
        <v>0.44800000000000006</v>
      </c>
    </row>
    <row r="695" spans="1:18" ht="14.25" customHeight="1">
      <c r="A695" s="2" t="s">
        <v>15</v>
      </c>
      <c r="B695" s="2">
        <v>1993</v>
      </c>
      <c r="C695" s="2" t="s">
        <v>28</v>
      </c>
      <c r="D695" s="3">
        <v>102.5</v>
      </c>
      <c r="E695" s="3">
        <v>61.322000000000003</v>
      </c>
      <c r="F695" s="3">
        <v>62.540999999999997</v>
      </c>
      <c r="G695" s="4">
        <v>5.4279999999999999</v>
      </c>
      <c r="H695" s="2">
        <v>2.2000000000000002</v>
      </c>
      <c r="I695" s="3"/>
      <c r="J695" s="3"/>
      <c r="K695" s="3"/>
      <c r="N695" s="4" t="s">
        <v>101</v>
      </c>
      <c r="O695" s="2" t="s">
        <v>17</v>
      </c>
      <c r="P695" s="2">
        <v>28.700000000000003</v>
      </c>
      <c r="Q695" s="2">
        <v>1.5198400000000001</v>
      </c>
      <c r="R695" s="2">
        <v>0.6160000000000001</v>
      </c>
    </row>
    <row r="696" spans="1:18" ht="14.25" customHeight="1">
      <c r="A696" s="2" t="s">
        <v>15</v>
      </c>
      <c r="B696" s="2">
        <v>1994</v>
      </c>
      <c r="C696" s="2" t="s">
        <v>28</v>
      </c>
      <c r="D696" s="3">
        <v>111.08</v>
      </c>
      <c r="E696" s="3">
        <v>65.805000000000007</v>
      </c>
      <c r="F696" s="3">
        <v>69.498999999999995</v>
      </c>
      <c r="G696" s="4">
        <v>5.0679999999999996</v>
      </c>
      <c r="H696" s="2">
        <v>3.3</v>
      </c>
      <c r="I696" s="3"/>
      <c r="J696" s="3"/>
      <c r="K696" s="3"/>
      <c r="N696" s="4" t="s">
        <v>101</v>
      </c>
      <c r="O696" s="2" t="s">
        <v>17</v>
      </c>
      <c r="P696" s="2">
        <v>31.102400000000003</v>
      </c>
      <c r="Q696" s="2">
        <v>1.4190400000000001</v>
      </c>
      <c r="R696" s="2">
        <v>0.92400000000000004</v>
      </c>
    </row>
    <row r="697" spans="1:18" ht="14.25" customHeight="1">
      <c r="A697" s="2" t="s">
        <v>15</v>
      </c>
      <c r="B697" s="2">
        <v>1995</v>
      </c>
      <c r="C697" s="2" t="s">
        <v>28</v>
      </c>
      <c r="D697" s="3">
        <v>124.646</v>
      </c>
      <c r="E697" s="3">
        <v>71.293999999999997</v>
      </c>
      <c r="F697" s="3">
        <v>70.442999999999998</v>
      </c>
      <c r="G697" s="4">
        <v>6.899</v>
      </c>
      <c r="H697" s="2">
        <v>4.8</v>
      </c>
      <c r="I697" s="3"/>
      <c r="J697" s="3"/>
      <c r="K697" s="3"/>
      <c r="N697" s="4" t="s">
        <v>101</v>
      </c>
      <c r="O697" s="2" t="s">
        <v>17</v>
      </c>
      <c r="P697" s="2">
        <v>34.900880000000001</v>
      </c>
      <c r="Q697" s="2">
        <v>1.9317200000000001</v>
      </c>
      <c r="R697" s="2">
        <v>1.3440000000000001</v>
      </c>
    </row>
    <row r="698" spans="1:18" ht="14.25" customHeight="1">
      <c r="A698" s="2" t="s">
        <v>15</v>
      </c>
      <c r="B698" s="2">
        <v>1996</v>
      </c>
      <c r="C698" s="2" t="s">
        <v>28</v>
      </c>
      <c r="D698" s="3">
        <v>131.58099999999999</v>
      </c>
      <c r="E698" s="3">
        <v>75.332999999999998</v>
      </c>
      <c r="F698" s="3">
        <v>74.900000000000006</v>
      </c>
      <c r="G698" s="4">
        <v>9.7460000000000004</v>
      </c>
      <c r="H698" s="2">
        <v>9</v>
      </c>
      <c r="I698" s="3"/>
      <c r="J698" s="3"/>
      <c r="K698" s="3"/>
      <c r="N698" s="4" t="s">
        <v>101</v>
      </c>
      <c r="O698" s="2" t="s">
        <v>17</v>
      </c>
      <c r="P698" s="2">
        <v>36.842680000000001</v>
      </c>
      <c r="Q698" s="2">
        <v>2.7288800000000002</v>
      </c>
      <c r="R698" s="2">
        <v>2.5200000000000005</v>
      </c>
    </row>
    <row r="699" spans="1:18" ht="14.25" customHeight="1">
      <c r="A699" s="2" t="s">
        <v>15</v>
      </c>
      <c r="B699" s="2">
        <v>1997</v>
      </c>
      <c r="C699" s="2" t="s">
        <v>28</v>
      </c>
      <c r="D699" s="3">
        <v>126.07299999999999</v>
      </c>
      <c r="E699" s="3">
        <v>65.561000000000007</v>
      </c>
      <c r="F699" s="3">
        <v>54.341000000000001</v>
      </c>
      <c r="G699" s="4">
        <v>14.343</v>
      </c>
      <c r="H699" s="2">
        <v>6.3</v>
      </c>
      <c r="I699" s="3"/>
      <c r="J699" s="3"/>
      <c r="K699" s="3"/>
      <c r="N699" s="4" t="s">
        <v>101</v>
      </c>
      <c r="O699" s="2" t="s">
        <v>17</v>
      </c>
      <c r="P699" s="2">
        <v>35.300440000000002</v>
      </c>
      <c r="Q699" s="2">
        <v>4.0160400000000003</v>
      </c>
      <c r="R699" s="2">
        <v>1.764</v>
      </c>
    </row>
    <row r="700" spans="1:18" ht="14.25" customHeight="1">
      <c r="A700" s="2" t="s">
        <v>15</v>
      </c>
      <c r="B700" s="2">
        <v>1998</v>
      </c>
      <c r="C700" s="2" t="s">
        <v>28</v>
      </c>
      <c r="D700" s="3">
        <v>124.212</v>
      </c>
      <c r="E700" s="3">
        <v>79.453999999999994</v>
      </c>
      <c r="F700" s="3">
        <v>89.194999999999993</v>
      </c>
      <c r="G700" s="4">
        <v>9.9410000000000007</v>
      </c>
      <c r="H700" s="2">
        <v>8.4</v>
      </c>
      <c r="I700" s="3"/>
      <c r="J700" s="3"/>
      <c r="K700" s="3"/>
      <c r="N700" s="4" t="s">
        <v>101</v>
      </c>
      <c r="O700" s="2" t="s">
        <v>17</v>
      </c>
      <c r="P700" s="2">
        <v>34.779360000000004</v>
      </c>
      <c r="Q700" s="2">
        <v>2.7834800000000004</v>
      </c>
      <c r="R700" s="2">
        <v>2.3520000000000003</v>
      </c>
    </row>
    <row r="701" spans="1:18" ht="14.25" customHeight="1">
      <c r="A701" s="2" t="s">
        <v>15</v>
      </c>
      <c r="B701" s="2">
        <v>1999</v>
      </c>
      <c r="C701" s="2" t="s">
        <v>28</v>
      </c>
      <c r="D701" s="3">
        <v>116.745</v>
      </c>
      <c r="E701" s="3">
        <v>83.433999999999997</v>
      </c>
      <c r="F701" s="3">
        <v>87.73</v>
      </c>
      <c r="G701" s="4">
        <v>10.901</v>
      </c>
      <c r="H701" s="2">
        <v>7.1</v>
      </c>
      <c r="I701" s="3"/>
      <c r="J701" s="3"/>
      <c r="K701" s="3"/>
      <c r="N701" s="4" t="s">
        <v>101</v>
      </c>
      <c r="O701" s="2" t="s">
        <v>17</v>
      </c>
      <c r="P701" s="2">
        <v>32.688600000000001</v>
      </c>
      <c r="Q701" s="2">
        <v>3.0522800000000001</v>
      </c>
      <c r="R701" s="2">
        <v>1.988</v>
      </c>
    </row>
    <row r="702" spans="1:18" ht="14.25" customHeight="1">
      <c r="A702" s="2" t="s">
        <v>15</v>
      </c>
      <c r="B702" s="2">
        <v>2000</v>
      </c>
      <c r="C702" s="2" t="s">
        <v>28</v>
      </c>
      <c r="D702" s="3">
        <v>127.023</v>
      </c>
      <c r="E702" s="3">
        <v>86.799000000000007</v>
      </c>
      <c r="F702" s="3">
        <v>93.417000000000002</v>
      </c>
      <c r="G702" s="4">
        <v>12.394</v>
      </c>
      <c r="H702" s="2">
        <v>8.4</v>
      </c>
      <c r="I702" s="3"/>
      <c r="J702" s="3"/>
      <c r="K702" s="3"/>
      <c r="N702" s="4" t="s">
        <v>101</v>
      </c>
      <c r="O702" s="2" t="s">
        <v>17</v>
      </c>
      <c r="P702" s="2">
        <v>35.56644</v>
      </c>
      <c r="Q702" s="2">
        <v>3.4703200000000005</v>
      </c>
      <c r="R702" s="2">
        <v>2.3520000000000003</v>
      </c>
    </row>
    <row r="703" spans="1:18" ht="14.25" customHeight="1">
      <c r="A703" s="2" t="s">
        <v>15</v>
      </c>
      <c r="B703" s="2">
        <v>2001</v>
      </c>
      <c r="C703" s="2" t="s">
        <v>28</v>
      </c>
      <c r="D703" s="3">
        <v>136.16300000000001</v>
      </c>
      <c r="E703" s="3">
        <v>97.25</v>
      </c>
      <c r="F703" s="3">
        <v>102.217</v>
      </c>
      <c r="G703" s="4">
        <v>18.518999999999998</v>
      </c>
      <c r="H703" s="2">
        <v>7.7</v>
      </c>
      <c r="I703" s="3"/>
      <c r="J703" s="3"/>
      <c r="K703" s="3"/>
      <c r="N703" s="4" t="s">
        <v>101</v>
      </c>
      <c r="O703" s="2" t="s">
        <v>17</v>
      </c>
      <c r="P703" s="2">
        <v>38.125640000000004</v>
      </c>
      <c r="Q703" s="2">
        <v>5.1853199999999999</v>
      </c>
      <c r="R703" s="2">
        <v>2.1560000000000001</v>
      </c>
    </row>
    <row r="704" spans="1:18" ht="14.25" customHeight="1">
      <c r="A704" s="2" t="s">
        <v>15</v>
      </c>
      <c r="B704" s="2">
        <v>2002</v>
      </c>
      <c r="C704" s="2" t="s">
        <v>28</v>
      </c>
      <c r="D704" s="3">
        <v>130.749</v>
      </c>
      <c r="E704" s="3">
        <v>93.623999999999995</v>
      </c>
      <c r="F704" s="3">
        <v>105.07899999999999</v>
      </c>
      <c r="G704" s="4">
        <v>18.707000000000001</v>
      </c>
      <c r="H704" s="2">
        <v>6.9</v>
      </c>
      <c r="I704" s="3"/>
      <c r="J704" s="3"/>
      <c r="K704" s="3"/>
      <c r="N704" s="4" t="s">
        <v>101</v>
      </c>
      <c r="O704" s="2" t="s">
        <v>17</v>
      </c>
      <c r="P704" s="2">
        <v>36.609720000000003</v>
      </c>
      <c r="Q704" s="2">
        <v>5.2379600000000011</v>
      </c>
      <c r="R704" s="2">
        <v>1.9320000000000004</v>
      </c>
    </row>
    <row r="705" spans="1:18" ht="14.25" customHeight="1">
      <c r="A705" s="2" t="s">
        <v>15</v>
      </c>
      <c r="B705" s="2">
        <v>2003</v>
      </c>
      <c r="C705" s="2" t="s">
        <v>28</v>
      </c>
      <c r="D705" s="3">
        <v>135.745</v>
      </c>
      <c r="E705" s="2">
        <v>108.5</v>
      </c>
      <c r="F705" s="2">
        <v>110.5</v>
      </c>
      <c r="G705" s="4">
        <v>20.492000000000001</v>
      </c>
      <c r="H705" s="2">
        <v>8.3000000000000007</v>
      </c>
      <c r="I705" s="3"/>
      <c r="J705" s="3"/>
      <c r="K705" s="3"/>
      <c r="N705" s="4" t="s">
        <v>101</v>
      </c>
      <c r="O705" s="2" t="s">
        <v>17</v>
      </c>
      <c r="P705" s="2">
        <v>38.008600000000008</v>
      </c>
      <c r="Q705" s="2">
        <v>5.7377600000000006</v>
      </c>
      <c r="R705" s="2">
        <v>2.3240000000000003</v>
      </c>
    </row>
    <row r="706" spans="1:18" ht="14.25" customHeight="1">
      <c r="A706" s="2" t="s">
        <v>15</v>
      </c>
      <c r="B706" s="2">
        <v>2004</v>
      </c>
      <c r="C706" s="2" t="s">
        <v>28</v>
      </c>
      <c r="D706" s="3">
        <v>126.09699999999999</v>
      </c>
      <c r="E706" s="2">
        <v>111.6</v>
      </c>
      <c r="F706" s="2">
        <v>113.7</v>
      </c>
      <c r="G706" s="4">
        <v>32.5</v>
      </c>
      <c r="H706" s="2">
        <v>5.6</v>
      </c>
      <c r="I706" s="3"/>
      <c r="J706" s="3"/>
      <c r="K706" s="3"/>
      <c r="N706" s="4" t="s">
        <v>101</v>
      </c>
      <c r="O706" s="2" t="s">
        <v>17</v>
      </c>
      <c r="P706" s="2">
        <v>35.307160000000003</v>
      </c>
      <c r="Q706" s="2">
        <v>9.1000000000000014</v>
      </c>
      <c r="R706" s="2">
        <v>1.5680000000000001</v>
      </c>
    </row>
    <row r="707" spans="1:18" ht="14.25" customHeight="1">
      <c r="A707" s="2" t="s">
        <v>15</v>
      </c>
      <c r="B707" s="2">
        <v>2005</v>
      </c>
      <c r="C707" s="2" t="s">
        <v>28</v>
      </c>
      <c r="D707" s="3">
        <v>131.47499999999999</v>
      </c>
      <c r="E707" s="2">
        <v>103.1</v>
      </c>
      <c r="F707" s="2">
        <v>115.4</v>
      </c>
      <c r="G707" s="4">
        <v>29.800999999999998</v>
      </c>
      <c r="H707" s="2">
        <v>8.4</v>
      </c>
      <c r="I707" s="3"/>
      <c r="J707" s="3"/>
      <c r="K707" s="3"/>
      <c r="N707" s="4" t="s">
        <v>101</v>
      </c>
      <c r="O707" s="2" t="s">
        <v>17</v>
      </c>
      <c r="P707" s="2">
        <v>36.813000000000002</v>
      </c>
      <c r="Q707" s="2">
        <v>8.3442799999999995</v>
      </c>
      <c r="R707" s="2">
        <v>2.3520000000000003</v>
      </c>
    </row>
    <row r="708" spans="1:18" ht="14.25" customHeight="1">
      <c r="A708" s="2" t="s">
        <v>15</v>
      </c>
      <c r="B708" s="2">
        <v>2006</v>
      </c>
      <c r="C708" s="2" t="s">
        <v>28</v>
      </c>
      <c r="D708" s="3">
        <v>134.04599999999999</v>
      </c>
      <c r="E708" s="2">
        <v>103.8</v>
      </c>
      <c r="F708" s="2">
        <v>116.3</v>
      </c>
      <c r="G708" s="4">
        <v>25.513999999999999</v>
      </c>
      <c r="H708" s="2">
        <v>7.4</v>
      </c>
      <c r="I708" s="3"/>
      <c r="J708" s="3"/>
      <c r="K708" s="3"/>
      <c r="N708" s="4" t="s">
        <v>101</v>
      </c>
      <c r="O708" s="2" t="s">
        <v>17</v>
      </c>
      <c r="P708" s="2">
        <v>37.532879999999999</v>
      </c>
      <c r="Q708" s="2">
        <v>7.1439200000000005</v>
      </c>
      <c r="R708" s="2">
        <v>2.0720000000000005</v>
      </c>
    </row>
    <row r="709" spans="1:18" ht="14.25" customHeight="1">
      <c r="A709" s="2" t="s">
        <v>15</v>
      </c>
      <c r="B709" s="2">
        <v>2007</v>
      </c>
      <c r="C709" s="2" t="s">
        <v>28</v>
      </c>
      <c r="D709" s="3">
        <v>140.40100000000001</v>
      </c>
      <c r="E709" s="2">
        <v>106.8</v>
      </c>
      <c r="F709" s="2">
        <v>119.2</v>
      </c>
      <c r="G709" s="4">
        <v>26.821000000000002</v>
      </c>
      <c r="H709" s="2">
        <v>7.3</v>
      </c>
      <c r="I709" s="3"/>
      <c r="J709" s="3"/>
      <c r="K709" s="3"/>
      <c r="N709" s="4" t="s">
        <v>101</v>
      </c>
      <c r="O709" s="2" t="s">
        <v>17</v>
      </c>
      <c r="P709" s="2">
        <v>39.312280000000008</v>
      </c>
      <c r="Q709" s="2">
        <v>7.5098800000000008</v>
      </c>
      <c r="R709" s="2">
        <v>2.044</v>
      </c>
    </row>
    <row r="710" spans="1:18" ht="14.25" customHeight="1">
      <c r="A710" s="2" t="s">
        <v>15</v>
      </c>
      <c r="B710" s="2">
        <v>2008</v>
      </c>
      <c r="C710" s="2" t="s">
        <v>28</v>
      </c>
      <c r="D710" s="3">
        <v>142.49799999999999</v>
      </c>
      <c r="E710" s="2">
        <v>92.2</v>
      </c>
      <c r="F710" s="2">
        <v>110.4</v>
      </c>
      <c r="G710" s="4">
        <v>31.388000000000002</v>
      </c>
      <c r="H710" s="2">
        <v>7.7</v>
      </c>
      <c r="I710" s="3"/>
      <c r="J710" s="3"/>
      <c r="K710" s="3"/>
      <c r="N710" s="4" t="s">
        <v>101</v>
      </c>
      <c r="O710" s="2" t="s">
        <v>17</v>
      </c>
      <c r="P710" s="2">
        <v>39.899439999999998</v>
      </c>
      <c r="Q710" s="2">
        <v>8.7886400000000009</v>
      </c>
      <c r="R710" s="2">
        <v>2.1560000000000001</v>
      </c>
    </row>
    <row r="711" spans="1:18" ht="14.25" customHeight="1">
      <c r="A711" s="2" t="s">
        <v>15</v>
      </c>
      <c r="B711" s="2">
        <v>2009</v>
      </c>
      <c r="C711" s="2" t="s">
        <v>28</v>
      </c>
      <c r="D711" s="3">
        <v>130.39400000000001</v>
      </c>
      <c r="E711" s="2">
        <v>95.8</v>
      </c>
      <c r="F711" s="2">
        <v>114.9</v>
      </c>
      <c r="G711" s="4">
        <v>35.610519999999994</v>
      </c>
      <c r="H711" s="2">
        <v>6.5</v>
      </c>
      <c r="I711" s="3"/>
      <c r="J711" s="3"/>
      <c r="K711" s="3"/>
      <c r="N711" s="4" t="s">
        <v>101</v>
      </c>
      <c r="O711" s="2" t="s">
        <v>17</v>
      </c>
      <c r="P711" s="2">
        <v>36.510320000000007</v>
      </c>
      <c r="Q711" s="2">
        <v>9.9709455999999985</v>
      </c>
      <c r="R711" s="2">
        <v>1.8200000000000003</v>
      </c>
    </row>
    <row r="712" spans="1:18" ht="14.25" customHeight="1">
      <c r="A712" s="2" t="s">
        <v>15</v>
      </c>
      <c r="B712" s="2">
        <v>2010</v>
      </c>
      <c r="C712" s="2" t="s">
        <v>28</v>
      </c>
      <c r="D712" s="3">
        <v>139.4</v>
      </c>
      <c r="E712" s="2">
        <v>98.4</v>
      </c>
      <c r="F712" s="2">
        <v>115.6</v>
      </c>
      <c r="G712" s="4">
        <v>31.519549999999999</v>
      </c>
      <c r="H712" s="2">
        <v>11.2</v>
      </c>
      <c r="I712" s="3"/>
      <c r="J712" s="3"/>
      <c r="K712" s="3"/>
      <c r="N712" s="4" t="s">
        <v>101</v>
      </c>
      <c r="O712" s="2" t="s">
        <v>17</v>
      </c>
      <c r="P712" s="2">
        <v>39.032000000000004</v>
      </c>
      <c r="Q712" s="2">
        <v>8.8254739999999998</v>
      </c>
      <c r="R712" s="2">
        <v>3.1360000000000001</v>
      </c>
    </row>
    <row r="713" spans="1:18" ht="14.25" customHeight="1">
      <c r="A713" s="2" t="s">
        <v>15</v>
      </c>
      <c r="B713" s="2">
        <v>2011</v>
      </c>
      <c r="C713" s="2" t="s">
        <v>28</v>
      </c>
      <c r="D713" s="3">
        <v>147.4</v>
      </c>
      <c r="E713" s="2">
        <v>96.2</v>
      </c>
      <c r="F713" s="2">
        <v>123.3</v>
      </c>
      <c r="G713" s="4">
        <v>27.0578</v>
      </c>
      <c r="H713" s="2">
        <v>6.6</v>
      </c>
      <c r="I713" s="3"/>
      <c r="J713" s="3"/>
      <c r="K713" s="3"/>
      <c r="N713" s="4" t="s">
        <v>101</v>
      </c>
      <c r="O713" s="2" t="s">
        <v>17</v>
      </c>
      <c r="P713" s="2">
        <v>41.272000000000006</v>
      </c>
      <c r="Q713" s="2">
        <v>7.5761840000000005</v>
      </c>
      <c r="R713" s="2">
        <v>1.8480000000000001</v>
      </c>
    </row>
    <row r="714" spans="1:18" ht="14.25" customHeight="1">
      <c r="A714" s="2" t="s">
        <v>15</v>
      </c>
      <c r="B714" s="2">
        <v>2012</v>
      </c>
      <c r="C714" s="2" t="s">
        <v>28</v>
      </c>
      <c r="D714" s="3">
        <v>148.80000000000001</v>
      </c>
      <c r="E714" s="2">
        <v>94.5</v>
      </c>
      <c r="F714" s="2">
        <v>116.2</v>
      </c>
      <c r="G714" s="4">
        <v>27.359400000000001</v>
      </c>
      <c r="H714" s="2">
        <v>14.8</v>
      </c>
      <c r="I714" s="3"/>
      <c r="J714" s="3"/>
      <c r="K714" s="3"/>
      <c r="N714" s="4" t="s">
        <v>101</v>
      </c>
      <c r="O714" s="2" t="s">
        <v>17</v>
      </c>
      <c r="P714" s="2">
        <v>41.664000000000009</v>
      </c>
      <c r="Q714" s="2">
        <v>7.6606320000000006</v>
      </c>
      <c r="R714" s="2">
        <v>4.144000000000001</v>
      </c>
    </row>
    <row r="715" spans="1:18" ht="14.25" customHeight="1">
      <c r="A715" s="2" t="s">
        <v>15</v>
      </c>
      <c r="B715" s="2">
        <v>2013</v>
      </c>
      <c r="C715" s="2" t="s">
        <v>28</v>
      </c>
      <c r="D715" s="3">
        <v>147.9</v>
      </c>
      <c r="E715" s="2">
        <v>88.3</v>
      </c>
      <c r="F715" s="2">
        <v>117.5</v>
      </c>
      <c r="G715" s="4">
        <v>26.318000000000001</v>
      </c>
      <c r="H715" s="2">
        <v>7.3</v>
      </c>
      <c r="I715" s="3"/>
      <c r="J715" s="3"/>
      <c r="K715" s="3"/>
      <c r="N715" s="4" t="s">
        <v>101</v>
      </c>
      <c r="O715" s="2" t="s">
        <v>17</v>
      </c>
      <c r="P715" s="2">
        <v>41.412000000000006</v>
      </c>
      <c r="Q715" s="2">
        <v>7.3690400000000009</v>
      </c>
      <c r="R715" s="2">
        <v>2.044</v>
      </c>
    </row>
    <row r="716" spans="1:18" ht="14.25" customHeight="1">
      <c r="A716" s="2" t="s">
        <v>15</v>
      </c>
      <c r="B716" s="2">
        <v>2014</v>
      </c>
      <c r="C716" s="2" t="s">
        <v>28</v>
      </c>
      <c r="D716" s="3">
        <v>142.5</v>
      </c>
      <c r="E716" s="2">
        <v>81.8</v>
      </c>
      <c r="F716" s="2">
        <v>118.8</v>
      </c>
      <c r="G716" s="4">
        <v>21.6187</v>
      </c>
      <c r="H716" s="2">
        <v>8.8000000000000007</v>
      </c>
      <c r="I716" s="3"/>
      <c r="J716" s="3"/>
      <c r="K716" s="3"/>
      <c r="N716" s="4" t="s">
        <v>101</v>
      </c>
      <c r="O716" s="2" t="s">
        <v>17</v>
      </c>
      <c r="P716" s="2">
        <v>39.900000000000006</v>
      </c>
      <c r="Q716" s="2">
        <v>6.0532360000000009</v>
      </c>
      <c r="R716" s="2">
        <v>2.4640000000000004</v>
      </c>
    </row>
    <row r="717" spans="1:18" ht="14.25" customHeight="1">
      <c r="A717" s="2" t="s">
        <v>15</v>
      </c>
      <c r="B717" s="2">
        <v>2015</v>
      </c>
      <c r="C717" s="2" t="s">
        <v>28</v>
      </c>
      <c r="D717" s="3">
        <v>141.19999999999999</v>
      </c>
      <c r="E717" s="2">
        <v>80.8</v>
      </c>
      <c r="F717" s="2">
        <v>110.3</v>
      </c>
      <c r="G717" s="4">
        <v>24.157091000000001</v>
      </c>
      <c r="H717" s="2">
        <v>8.6999999999999993</v>
      </c>
      <c r="I717" s="3"/>
      <c r="J717" s="3"/>
      <c r="K717" s="3"/>
      <c r="N717" s="4" t="s">
        <v>101</v>
      </c>
      <c r="O717" s="2" t="s">
        <v>17</v>
      </c>
      <c r="P717" s="2">
        <v>39.536000000000001</v>
      </c>
      <c r="Q717" s="2">
        <v>6.7639854800000005</v>
      </c>
      <c r="R717" s="2">
        <v>2.4359999999999999</v>
      </c>
    </row>
    <row r="718" spans="1:18" ht="14.25" customHeight="1">
      <c r="A718" s="2" t="s">
        <v>15</v>
      </c>
      <c r="B718" s="2">
        <v>2016</v>
      </c>
      <c r="C718" s="2" t="s">
        <v>28</v>
      </c>
      <c r="D718" s="3">
        <v>141.80000000000001</v>
      </c>
      <c r="E718" s="2">
        <v>89.4</v>
      </c>
      <c r="F718" s="2">
        <v>118.3</v>
      </c>
      <c r="G718" s="4">
        <v>16.88823</v>
      </c>
      <c r="H718" s="2">
        <v>8.6</v>
      </c>
      <c r="I718" s="3"/>
      <c r="J718" s="3"/>
      <c r="K718" s="3"/>
      <c r="N718" s="4" t="s">
        <v>101</v>
      </c>
      <c r="O718" s="2" t="s">
        <v>17</v>
      </c>
      <c r="P718" s="2">
        <v>39.704000000000008</v>
      </c>
      <c r="Q718" s="2">
        <v>4.7287044000000007</v>
      </c>
      <c r="R718" s="2">
        <v>2.4079999999999999</v>
      </c>
    </row>
    <row r="719" spans="1:18" ht="14.25" customHeight="1">
      <c r="A719" s="2" t="s">
        <v>15</v>
      </c>
      <c r="B719" s="2">
        <v>2017</v>
      </c>
      <c r="C719" s="2" t="s">
        <v>28</v>
      </c>
      <c r="D719" s="3">
        <v>137.69999999999999</v>
      </c>
      <c r="E719" s="2">
        <v>85.8</v>
      </c>
      <c r="F719" s="2">
        <v>113.6</v>
      </c>
      <c r="G719" s="4">
        <v>18.512080000000001</v>
      </c>
      <c r="H719" s="2">
        <v>11.9</v>
      </c>
      <c r="I719" s="3"/>
      <c r="J719" s="3"/>
      <c r="K719" s="3"/>
      <c r="N719" s="4" t="s">
        <v>101</v>
      </c>
      <c r="O719" s="2" t="s">
        <v>17</v>
      </c>
      <c r="P719" s="2">
        <v>38.555999999999997</v>
      </c>
      <c r="Q719" s="2">
        <v>5.1833824000000011</v>
      </c>
      <c r="R719" s="2">
        <v>3.3320000000000003</v>
      </c>
    </row>
    <row r="720" spans="1:18" ht="14.25" customHeight="1">
      <c r="A720" s="2" t="s">
        <v>15</v>
      </c>
      <c r="B720" s="2">
        <v>2018</v>
      </c>
      <c r="C720" s="2" t="s">
        <v>28</v>
      </c>
      <c r="D720" s="3">
        <v>124.2</v>
      </c>
      <c r="E720" s="2">
        <v>79.5</v>
      </c>
      <c r="F720" s="2">
        <v>114.5</v>
      </c>
      <c r="G720" s="4">
        <v>16.490749999999998</v>
      </c>
      <c r="H720" s="2">
        <v>14.1</v>
      </c>
      <c r="I720" s="3"/>
      <c r="J720" s="3"/>
      <c r="K720" s="3"/>
      <c r="N720" s="4" t="s">
        <v>101</v>
      </c>
      <c r="O720" s="2" t="s">
        <v>17</v>
      </c>
      <c r="P720" s="2">
        <v>34.776000000000003</v>
      </c>
      <c r="Q720" s="2">
        <v>4.6174099999999996</v>
      </c>
      <c r="R720" s="2">
        <v>3.9480000000000004</v>
      </c>
    </row>
    <row r="721" spans="1:18" ht="14.25" customHeight="1">
      <c r="A721" s="2" t="s">
        <v>15</v>
      </c>
      <c r="B721" s="2">
        <v>2019</v>
      </c>
      <c r="C721" s="2" t="s">
        <v>28</v>
      </c>
      <c r="D721" s="3">
        <v>135.6</v>
      </c>
      <c r="E721" s="2">
        <v>82.238076000000007</v>
      </c>
      <c r="F721" s="2">
        <v>130.82545500000001</v>
      </c>
      <c r="G721" s="4">
        <v>16.524999999999999</v>
      </c>
      <c r="H721" s="2">
        <v>11.2</v>
      </c>
      <c r="I721" s="3"/>
      <c r="J721" s="3"/>
      <c r="K721" s="3"/>
      <c r="N721" s="4" t="s">
        <v>101</v>
      </c>
      <c r="O721" s="2" t="s">
        <v>17</v>
      </c>
      <c r="P721" s="2">
        <v>37.968000000000004</v>
      </c>
      <c r="Q721" s="2">
        <v>4.6269999999999998</v>
      </c>
      <c r="R721" s="2">
        <v>3.1360000000000001</v>
      </c>
    </row>
    <row r="722" spans="1:18" ht="14.25" customHeight="1">
      <c r="A722" s="2" t="s">
        <v>15</v>
      </c>
      <c r="B722" s="2">
        <v>2020</v>
      </c>
      <c r="C722" s="2" t="s">
        <v>28</v>
      </c>
      <c r="D722" s="3">
        <v>112.5758659</v>
      </c>
      <c r="E722" s="2">
        <v>70.405557999999999</v>
      </c>
      <c r="F722" s="2">
        <v>103.163718</v>
      </c>
      <c r="G722" s="4" t="s">
        <v>17</v>
      </c>
      <c r="H722" s="2">
        <v>8.5027369000000004</v>
      </c>
      <c r="I722" s="3"/>
      <c r="J722" s="3"/>
      <c r="K722" s="3"/>
      <c r="N722" s="4" t="s">
        <v>101</v>
      </c>
      <c r="O722" s="2" t="s">
        <v>17</v>
      </c>
      <c r="P722" s="2">
        <v>31.521242452000003</v>
      </c>
      <c r="Q722" s="2" t="s">
        <v>17</v>
      </c>
      <c r="R722" s="2">
        <v>2.3807663320000003</v>
      </c>
    </row>
    <row r="723" spans="1:18" ht="14.25" customHeight="1">
      <c r="A723" s="2" t="s">
        <v>15</v>
      </c>
      <c r="B723" s="2">
        <v>1900</v>
      </c>
      <c r="C723" s="2" t="s">
        <v>30</v>
      </c>
      <c r="D723" s="3" t="e">
        <v>#N/A</v>
      </c>
      <c r="E723" s="3" t="e">
        <v>#VALUE!</v>
      </c>
      <c r="F723" s="3" t="e">
        <v>#VALUE!</v>
      </c>
      <c r="G723" s="3"/>
      <c r="I723" s="3"/>
      <c r="J723" s="3"/>
      <c r="K723" s="3"/>
      <c r="N723" s="4" t="s">
        <v>99</v>
      </c>
      <c r="O723" s="2" t="s">
        <v>17</v>
      </c>
      <c r="P723" s="2" t="s">
        <v>17</v>
      </c>
    </row>
    <row r="724" spans="1:18" ht="14.25" customHeight="1">
      <c r="A724" s="2" t="s">
        <v>15</v>
      </c>
      <c r="B724" s="2">
        <v>1901</v>
      </c>
      <c r="C724" s="2" t="s">
        <v>30</v>
      </c>
      <c r="D724" s="3" t="e">
        <v>#N/A</v>
      </c>
      <c r="E724" s="3" t="e">
        <v>#N/A</v>
      </c>
      <c r="F724" s="3" t="e">
        <v>#N/A</v>
      </c>
      <c r="G724" s="3"/>
      <c r="I724" s="3"/>
      <c r="J724" s="3"/>
      <c r="K724" s="3"/>
      <c r="N724" s="4" t="s">
        <v>99</v>
      </c>
      <c r="O724" s="2" t="s">
        <v>17</v>
      </c>
      <c r="P724" s="2" t="s">
        <v>17</v>
      </c>
    </row>
    <row r="725" spans="1:18" ht="14.25" customHeight="1">
      <c r="A725" s="2" t="s">
        <v>15</v>
      </c>
      <c r="B725" s="2">
        <v>1902</v>
      </c>
      <c r="C725" s="2" t="s">
        <v>30</v>
      </c>
      <c r="D725" s="3" t="e">
        <v>#N/A</v>
      </c>
      <c r="E725" s="3" t="e">
        <v>#N/A</v>
      </c>
      <c r="F725" s="3" t="e">
        <v>#N/A</v>
      </c>
      <c r="G725" s="3"/>
      <c r="I725" s="3"/>
      <c r="J725" s="3"/>
      <c r="K725" s="3"/>
      <c r="N725" s="4" t="s">
        <v>99</v>
      </c>
      <c r="O725" s="2" t="s">
        <v>17</v>
      </c>
      <c r="P725" s="2" t="s">
        <v>17</v>
      </c>
    </row>
    <row r="726" spans="1:18" ht="14.25" customHeight="1">
      <c r="A726" s="2" t="s">
        <v>15</v>
      </c>
      <c r="B726" s="2">
        <v>1903</v>
      </c>
      <c r="C726" s="2" t="s">
        <v>30</v>
      </c>
      <c r="D726" s="3" t="e">
        <v>#N/A</v>
      </c>
      <c r="E726" s="3" t="e">
        <v>#N/A</v>
      </c>
      <c r="F726" s="3" t="e">
        <v>#N/A</v>
      </c>
      <c r="G726" s="3"/>
      <c r="I726" s="3"/>
      <c r="J726" s="3"/>
      <c r="K726" s="3"/>
      <c r="N726" s="4" t="s">
        <v>99</v>
      </c>
      <c r="O726" s="2" t="s">
        <v>17</v>
      </c>
      <c r="P726" s="2" t="s">
        <v>17</v>
      </c>
    </row>
    <row r="727" spans="1:18" ht="14.25" customHeight="1">
      <c r="A727" s="2" t="s">
        <v>15</v>
      </c>
      <c r="B727" s="2">
        <v>1904</v>
      </c>
      <c r="C727" s="2" t="s">
        <v>30</v>
      </c>
      <c r="D727" s="3" t="e">
        <v>#N/A</v>
      </c>
      <c r="E727" s="3" t="e">
        <v>#N/A</v>
      </c>
      <c r="F727" s="3" t="e">
        <v>#N/A</v>
      </c>
      <c r="G727" s="3"/>
      <c r="I727" s="3"/>
      <c r="J727" s="3"/>
      <c r="K727" s="3"/>
      <c r="N727" s="4" t="s">
        <v>99</v>
      </c>
      <c r="O727" s="2" t="s">
        <v>17</v>
      </c>
      <c r="P727" s="2" t="s">
        <v>17</v>
      </c>
    </row>
    <row r="728" spans="1:18" ht="14.25" customHeight="1">
      <c r="A728" s="2" t="s">
        <v>15</v>
      </c>
      <c r="B728" s="2">
        <v>1905</v>
      </c>
      <c r="C728" s="2" t="s">
        <v>30</v>
      </c>
      <c r="D728" s="3" t="e">
        <v>#N/A</v>
      </c>
      <c r="E728" s="3" t="e">
        <v>#VALUE!</v>
      </c>
      <c r="F728" s="3" t="e">
        <v>#VALUE!</v>
      </c>
      <c r="G728" s="3"/>
      <c r="I728" s="3"/>
      <c r="J728" s="3"/>
      <c r="K728" s="3"/>
      <c r="N728" s="4" t="s">
        <v>99</v>
      </c>
      <c r="O728" s="2" t="s">
        <v>17</v>
      </c>
      <c r="P728" s="2" t="s">
        <v>17</v>
      </c>
    </row>
    <row r="729" spans="1:18" ht="14.25" customHeight="1">
      <c r="A729" s="2" t="s">
        <v>15</v>
      </c>
      <c r="B729" s="2">
        <v>1906</v>
      </c>
      <c r="C729" s="2" t="s">
        <v>30</v>
      </c>
      <c r="D729" s="3" t="e">
        <v>#N/A</v>
      </c>
      <c r="E729" s="3" t="e">
        <v>#N/A</v>
      </c>
      <c r="F729" s="3" t="e">
        <v>#N/A</v>
      </c>
      <c r="G729" s="3"/>
      <c r="I729" s="3"/>
      <c r="J729" s="3"/>
      <c r="K729" s="3"/>
      <c r="N729" s="4" t="s">
        <v>99</v>
      </c>
      <c r="O729" s="2" t="s">
        <v>17</v>
      </c>
      <c r="P729" s="2" t="s">
        <v>17</v>
      </c>
    </row>
    <row r="730" spans="1:18" ht="14.25" customHeight="1">
      <c r="A730" s="2" t="s">
        <v>15</v>
      </c>
      <c r="B730" s="2">
        <v>1907</v>
      </c>
      <c r="C730" s="2" t="s">
        <v>30</v>
      </c>
      <c r="D730" s="3" t="e">
        <v>#N/A</v>
      </c>
      <c r="E730" s="3" t="e">
        <v>#N/A</v>
      </c>
      <c r="F730" s="3" t="e">
        <v>#N/A</v>
      </c>
      <c r="G730" s="3"/>
      <c r="I730" s="3"/>
      <c r="J730" s="3"/>
      <c r="K730" s="3"/>
      <c r="N730" s="4" t="s">
        <v>99</v>
      </c>
      <c r="O730" s="2" t="s">
        <v>17</v>
      </c>
      <c r="P730" s="2" t="s">
        <v>17</v>
      </c>
    </row>
    <row r="731" spans="1:18" ht="14.25" customHeight="1">
      <c r="A731" s="2" t="s">
        <v>15</v>
      </c>
      <c r="B731" s="2">
        <v>1908</v>
      </c>
      <c r="C731" s="2" t="s">
        <v>30</v>
      </c>
      <c r="D731" s="3" t="e">
        <v>#N/A</v>
      </c>
      <c r="E731" s="3" t="e">
        <v>#N/A</v>
      </c>
      <c r="F731" s="3" t="e">
        <v>#N/A</v>
      </c>
      <c r="G731" s="3"/>
      <c r="I731" s="3"/>
      <c r="J731" s="3"/>
      <c r="K731" s="3"/>
      <c r="N731" s="4" t="s">
        <v>99</v>
      </c>
      <c r="O731" s="2" t="s">
        <v>17</v>
      </c>
      <c r="P731" s="2" t="s">
        <v>17</v>
      </c>
    </row>
    <row r="732" spans="1:18" ht="14.25" customHeight="1">
      <c r="A732" s="2" t="s">
        <v>15</v>
      </c>
      <c r="B732" s="2">
        <v>1909</v>
      </c>
      <c r="C732" s="2" t="s">
        <v>30</v>
      </c>
      <c r="D732" s="3" t="e">
        <v>#N/A</v>
      </c>
      <c r="E732" s="3" t="e">
        <v>#N/A</v>
      </c>
      <c r="F732" s="3" t="e">
        <v>#N/A</v>
      </c>
      <c r="G732" s="3"/>
      <c r="I732" s="3"/>
      <c r="J732" s="3"/>
      <c r="K732" s="3"/>
      <c r="N732" s="4" t="s">
        <v>99</v>
      </c>
      <c r="O732" s="2" t="s">
        <v>17</v>
      </c>
      <c r="P732" s="2" t="s">
        <v>17</v>
      </c>
    </row>
    <row r="733" spans="1:18" ht="14.25" customHeight="1">
      <c r="A733" s="2" t="s">
        <v>15</v>
      </c>
      <c r="B733" s="2">
        <v>1910</v>
      </c>
      <c r="C733" s="2" t="s">
        <v>30</v>
      </c>
      <c r="D733" s="3" t="e">
        <v>#N/A</v>
      </c>
      <c r="E733" s="3" t="e">
        <v>#VALUE!</v>
      </c>
      <c r="F733" s="3" t="e">
        <v>#VALUE!</v>
      </c>
      <c r="G733" s="3"/>
      <c r="I733" s="3"/>
      <c r="J733" s="3"/>
      <c r="K733" s="3"/>
      <c r="N733" s="4" t="s">
        <v>99</v>
      </c>
      <c r="O733" s="2" t="s">
        <v>17</v>
      </c>
      <c r="P733" s="2" t="s">
        <v>17</v>
      </c>
    </row>
    <row r="734" spans="1:18" ht="14.25" customHeight="1">
      <c r="A734" s="2" t="s">
        <v>15</v>
      </c>
      <c r="B734" s="2">
        <v>1911</v>
      </c>
      <c r="C734" s="2" t="s">
        <v>30</v>
      </c>
      <c r="D734" s="3" t="e">
        <v>#N/A</v>
      </c>
      <c r="E734" s="3" t="e">
        <v>#N/A</v>
      </c>
      <c r="F734" s="3" t="e">
        <v>#N/A</v>
      </c>
      <c r="G734" s="3"/>
      <c r="I734" s="3"/>
      <c r="J734" s="3"/>
      <c r="K734" s="3"/>
      <c r="N734" s="4" t="s">
        <v>99</v>
      </c>
      <c r="O734" s="2" t="s">
        <v>17</v>
      </c>
      <c r="P734" s="2" t="s">
        <v>17</v>
      </c>
    </row>
    <row r="735" spans="1:18" ht="14.25" customHeight="1">
      <c r="A735" s="2" t="s">
        <v>15</v>
      </c>
      <c r="B735" s="2">
        <v>1912</v>
      </c>
      <c r="C735" s="2" t="s">
        <v>30</v>
      </c>
      <c r="D735" s="3" t="e">
        <v>#N/A</v>
      </c>
      <c r="E735" s="3" t="e">
        <v>#N/A</v>
      </c>
      <c r="F735" s="3" t="e">
        <v>#N/A</v>
      </c>
      <c r="G735" s="3"/>
      <c r="I735" s="3"/>
      <c r="J735" s="3"/>
      <c r="K735" s="3"/>
      <c r="N735" s="4" t="s">
        <v>99</v>
      </c>
      <c r="O735" s="2" t="s">
        <v>17</v>
      </c>
      <c r="P735" s="2" t="s">
        <v>17</v>
      </c>
    </row>
    <row r="736" spans="1:18" ht="14.25" customHeight="1">
      <c r="A736" s="2" t="s">
        <v>15</v>
      </c>
      <c r="B736" s="2">
        <v>1913</v>
      </c>
      <c r="C736" s="2" t="s">
        <v>30</v>
      </c>
      <c r="D736" s="3" t="e">
        <v>#N/A</v>
      </c>
      <c r="E736" s="3" t="e">
        <v>#N/A</v>
      </c>
      <c r="F736" s="3" t="e">
        <v>#N/A</v>
      </c>
      <c r="G736" s="3"/>
      <c r="I736" s="3"/>
      <c r="J736" s="3"/>
      <c r="K736" s="3"/>
      <c r="N736" s="4" t="s">
        <v>99</v>
      </c>
      <c r="O736" s="2" t="s">
        <v>17</v>
      </c>
      <c r="P736" s="2" t="s">
        <v>17</v>
      </c>
    </row>
    <row r="737" spans="1:16" ht="14.25" customHeight="1">
      <c r="A737" s="2" t="s">
        <v>15</v>
      </c>
      <c r="B737" s="2">
        <v>1914</v>
      </c>
      <c r="C737" s="2" t="s">
        <v>30</v>
      </c>
      <c r="D737" s="3" t="e">
        <v>#N/A</v>
      </c>
      <c r="E737" s="3" t="e">
        <v>#VALUE!</v>
      </c>
      <c r="F737" s="3" t="e">
        <v>#VALUE!</v>
      </c>
      <c r="G737" s="3"/>
      <c r="I737" s="3"/>
      <c r="J737" s="3"/>
      <c r="K737" s="3"/>
      <c r="N737" s="4" t="s">
        <v>100</v>
      </c>
      <c r="O737" s="2" t="s">
        <v>17</v>
      </c>
      <c r="P737" s="2" t="s">
        <v>17</v>
      </c>
    </row>
    <row r="738" spans="1:16" ht="14.25" customHeight="1">
      <c r="A738" s="2" t="s">
        <v>15</v>
      </c>
      <c r="B738" s="2">
        <v>1915</v>
      </c>
      <c r="C738" s="2" t="s">
        <v>30</v>
      </c>
      <c r="D738" s="3" t="e">
        <v>#N/A</v>
      </c>
      <c r="E738" s="3" t="e">
        <v>#VALUE!</v>
      </c>
      <c r="F738" s="3" t="e">
        <v>#VALUE!</v>
      </c>
      <c r="G738" s="3"/>
      <c r="I738" s="3"/>
      <c r="J738" s="3"/>
      <c r="K738" s="3"/>
      <c r="N738" s="4" t="s">
        <v>100</v>
      </c>
      <c r="O738" s="2" t="s">
        <v>17</v>
      </c>
      <c r="P738" s="2" t="s">
        <v>17</v>
      </c>
    </row>
    <row r="739" spans="1:16" ht="14.25" customHeight="1">
      <c r="A739" s="2" t="s">
        <v>15</v>
      </c>
      <c r="B739" s="2">
        <v>1916</v>
      </c>
      <c r="C739" s="2" t="s">
        <v>30</v>
      </c>
      <c r="D739" s="3" t="e">
        <v>#N/A</v>
      </c>
      <c r="E739" s="3" t="e">
        <v>#VALUE!</v>
      </c>
      <c r="F739" s="3" t="e">
        <v>#VALUE!</v>
      </c>
      <c r="G739" s="3"/>
      <c r="I739" s="3"/>
      <c r="J739" s="3"/>
      <c r="K739" s="3"/>
      <c r="N739" s="4" t="s">
        <v>100</v>
      </c>
      <c r="O739" s="2" t="s">
        <v>17</v>
      </c>
      <c r="P739" s="2" t="s">
        <v>17</v>
      </c>
    </row>
    <row r="740" spans="1:16" ht="14.25" customHeight="1">
      <c r="A740" s="2" t="s">
        <v>15</v>
      </c>
      <c r="B740" s="2">
        <v>1917</v>
      </c>
      <c r="C740" s="2" t="s">
        <v>30</v>
      </c>
      <c r="D740" s="3" t="e">
        <v>#N/A</v>
      </c>
      <c r="E740" s="3" t="e">
        <v>#VALUE!</v>
      </c>
      <c r="F740" s="3" t="e">
        <v>#VALUE!</v>
      </c>
      <c r="G740" s="3"/>
      <c r="I740" s="3"/>
      <c r="J740" s="3"/>
      <c r="K740" s="3"/>
      <c r="N740" s="4" t="s">
        <v>100</v>
      </c>
      <c r="O740" s="2" t="s">
        <v>17</v>
      </c>
      <c r="P740" s="2" t="s">
        <v>17</v>
      </c>
    </row>
    <row r="741" spans="1:16" ht="14.25" customHeight="1">
      <c r="A741" s="2" t="s">
        <v>15</v>
      </c>
      <c r="B741" s="2">
        <v>1918</v>
      </c>
      <c r="C741" s="2" t="s">
        <v>30</v>
      </c>
      <c r="D741" s="3" t="e">
        <v>#N/A</v>
      </c>
      <c r="E741" s="3" t="e">
        <v>#VALUE!</v>
      </c>
      <c r="F741" s="3" t="e">
        <v>#VALUE!</v>
      </c>
      <c r="G741" s="3"/>
      <c r="I741" s="3"/>
      <c r="J741" s="3"/>
      <c r="K741" s="3"/>
      <c r="N741" s="4" t="s">
        <v>100</v>
      </c>
      <c r="O741" s="2" t="s">
        <v>17</v>
      </c>
      <c r="P741" s="2" t="s">
        <v>17</v>
      </c>
    </row>
    <row r="742" spans="1:16" ht="14.25" customHeight="1">
      <c r="A742" s="2" t="s">
        <v>15</v>
      </c>
      <c r="B742" s="2">
        <v>1919</v>
      </c>
      <c r="C742" s="2" t="s">
        <v>30</v>
      </c>
      <c r="D742" s="3" t="e">
        <v>#N/A</v>
      </c>
      <c r="E742" s="3" t="e">
        <v>#VALUE!</v>
      </c>
      <c r="F742" s="3" t="e">
        <v>#VALUE!</v>
      </c>
      <c r="G742" s="3"/>
      <c r="I742" s="3"/>
      <c r="J742" s="3"/>
      <c r="K742" s="3"/>
      <c r="N742" s="4" t="s">
        <v>99</v>
      </c>
      <c r="O742" s="2" t="s">
        <v>17</v>
      </c>
      <c r="P742" s="2" t="s">
        <v>17</v>
      </c>
    </row>
    <row r="743" spans="1:16" ht="14.25" customHeight="1">
      <c r="A743" s="2" t="s">
        <v>15</v>
      </c>
      <c r="B743" s="2">
        <v>1920</v>
      </c>
      <c r="C743" s="2" t="s">
        <v>30</v>
      </c>
      <c r="D743" s="3" t="e">
        <v>#N/A</v>
      </c>
      <c r="E743" s="3" t="e">
        <v>#VALUE!</v>
      </c>
      <c r="F743" s="3" t="e">
        <v>#VALUE!</v>
      </c>
      <c r="G743" s="3"/>
      <c r="I743" s="3"/>
      <c r="J743" s="3"/>
      <c r="K743" s="3"/>
      <c r="N743" s="4" t="s">
        <v>99</v>
      </c>
      <c r="O743" s="2" t="s">
        <v>17</v>
      </c>
      <c r="P743" s="2" t="s">
        <v>17</v>
      </c>
    </row>
    <row r="744" spans="1:16" ht="14.25" customHeight="1">
      <c r="A744" s="2" t="s">
        <v>15</v>
      </c>
      <c r="B744" s="2">
        <v>1921</v>
      </c>
      <c r="C744" s="2" t="s">
        <v>30</v>
      </c>
      <c r="D744" s="3" t="e">
        <v>#N/A</v>
      </c>
      <c r="E744" s="3" t="e">
        <v>#N/A</v>
      </c>
      <c r="F744" s="3" t="e">
        <v>#N/A</v>
      </c>
      <c r="G744" s="3"/>
      <c r="I744" s="3"/>
      <c r="J744" s="3"/>
      <c r="K744" s="3"/>
      <c r="N744" s="4" t="s">
        <v>99</v>
      </c>
      <c r="O744" s="2" t="s">
        <v>17</v>
      </c>
      <c r="P744" s="2" t="s">
        <v>17</v>
      </c>
    </row>
    <row r="745" spans="1:16" ht="14.25" customHeight="1">
      <c r="A745" s="2" t="s">
        <v>15</v>
      </c>
      <c r="B745" s="2">
        <v>1922</v>
      </c>
      <c r="C745" s="2" t="s">
        <v>30</v>
      </c>
      <c r="D745" s="3" t="e">
        <v>#N/A</v>
      </c>
      <c r="E745" s="3" t="e">
        <v>#N/A</v>
      </c>
      <c r="F745" s="3" t="e">
        <v>#N/A</v>
      </c>
      <c r="G745" s="3"/>
      <c r="I745" s="3"/>
      <c r="J745" s="3"/>
      <c r="K745" s="3"/>
      <c r="N745" s="4" t="s">
        <v>99</v>
      </c>
      <c r="O745" s="2" t="s">
        <v>17</v>
      </c>
      <c r="P745" s="2" t="s">
        <v>17</v>
      </c>
    </row>
    <row r="746" spans="1:16" ht="14.25" customHeight="1">
      <c r="A746" s="2" t="s">
        <v>15</v>
      </c>
      <c r="B746" s="2">
        <v>1923</v>
      </c>
      <c r="C746" s="2" t="s">
        <v>30</v>
      </c>
      <c r="D746" s="3" t="e">
        <v>#N/A</v>
      </c>
      <c r="E746" s="3" t="e">
        <v>#N/A</v>
      </c>
      <c r="F746" s="3" t="e">
        <v>#N/A</v>
      </c>
      <c r="G746" s="3"/>
      <c r="I746" s="3"/>
      <c r="J746" s="3"/>
      <c r="K746" s="3"/>
      <c r="N746" s="4" t="s">
        <v>99</v>
      </c>
      <c r="O746" s="2" t="s">
        <v>17</v>
      </c>
      <c r="P746" s="2" t="s">
        <v>17</v>
      </c>
    </row>
    <row r="747" spans="1:16" ht="14.25" customHeight="1">
      <c r="A747" s="2" t="s">
        <v>15</v>
      </c>
      <c r="B747" s="2">
        <v>1924</v>
      </c>
      <c r="C747" s="2" t="s">
        <v>30</v>
      </c>
      <c r="D747" s="3" t="e">
        <v>#N/A</v>
      </c>
      <c r="E747" s="3" t="e">
        <v>#N/A</v>
      </c>
      <c r="F747" s="3" t="e">
        <v>#N/A</v>
      </c>
      <c r="G747" s="3"/>
      <c r="I747" s="3"/>
      <c r="J747" s="3"/>
      <c r="K747" s="3"/>
      <c r="N747" s="4" t="s">
        <v>99</v>
      </c>
      <c r="O747" s="2" t="s">
        <v>17</v>
      </c>
      <c r="P747" s="2" t="s">
        <v>17</v>
      </c>
    </row>
    <row r="748" spans="1:16" ht="14.25" customHeight="1">
      <c r="A748" s="2" t="s">
        <v>15</v>
      </c>
      <c r="B748" s="2">
        <v>1925</v>
      </c>
      <c r="C748" s="2" t="s">
        <v>30</v>
      </c>
      <c r="D748" s="3" t="e">
        <v>#N/A</v>
      </c>
      <c r="E748" s="3" t="e">
        <v>#VALUE!</v>
      </c>
      <c r="F748" s="3" t="e">
        <v>#VALUE!</v>
      </c>
      <c r="G748" s="3"/>
      <c r="I748" s="3"/>
      <c r="J748" s="3"/>
      <c r="K748" s="3"/>
      <c r="N748" s="4" t="s">
        <v>99</v>
      </c>
      <c r="O748" s="2" t="s">
        <v>17</v>
      </c>
      <c r="P748" s="2" t="s">
        <v>17</v>
      </c>
    </row>
    <row r="749" spans="1:16" ht="14.25" customHeight="1">
      <c r="A749" s="2" t="s">
        <v>15</v>
      </c>
      <c r="B749" s="2">
        <v>1926</v>
      </c>
      <c r="C749" s="2" t="s">
        <v>30</v>
      </c>
      <c r="D749" s="3" t="e">
        <v>#N/A</v>
      </c>
      <c r="E749" s="3" t="e">
        <v>#N/A</v>
      </c>
      <c r="F749" s="3" t="e">
        <v>#N/A</v>
      </c>
      <c r="G749" s="3"/>
      <c r="I749" s="3"/>
      <c r="J749" s="3"/>
      <c r="K749" s="3"/>
      <c r="N749" s="4" t="s">
        <v>99</v>
      </c>
      <c r="O749" s="2" t="s">
        <v>17</v>
      </c>
      <c r="P749" s="2" t="s">
        <v>17</v>
      </c>
    </row>
    <row r="750" spans="1:16" ht="14.25" customHeight="1">
      <c r="A750" s="2" t="s">
        <v>15</v>
      </c>
      <c r="B750" s="2">
        <v>1927</v>
      </c>
      <c r="C750" s="2" t="s">
        <v>30</v>
      </c>
      <c r="D750" s="3" t="e">
        <v>#N/A</v>
      </c>
      <c r="E750" s="3" t="e">
        <v>#N/A</v>
      </c>
      <c r="F750" s="3" t="e">
        <v>#N/A</v>
      </c>
      <c r="G750" s="3"/>
      <c r="I750" s="3"/>
      <c r="J750" s="3"/>
      <c r="K750" s="3"/>
      <c r="N750" s="4" t="s">
        <v>99</v>
      </c>
      <c r="O750" s="2" t="s">
        <v>17</v>
      </c>
      <c r="P750" s="2" t="s">
        <v>17</v>
      </c>
    </row>
    <row r="751" spans="1:16" ht="14.25" customHeight="1">
      <c r="A751" s="2" t="s">
        <v>15</v>
      </c>
      <c r="B751" s="2">
        <v>1928</v>
      </c>
      <c r="C751" s="2" t="s">
        <v>30</v>
      </c>
      <c r="D751" s="3" t="e">
        <v>#N/A</v>
      </c>
      <c r="E751" s="3" t="e">
        <v>#N/A</v>
      </c>
      <c r="F751" s="3" t="e">
        <v>#N/A</v>
      </c>
      <c r="G751" s="3"/>
      <c r="I751" s="3"/>
      <c r="J751" s="3"/>
      <c r="K751" s="3"/>
      <c r="N751" s="4" t="s">
        <v>99</v>
      </c>
      <c r="O751" s="2" t="s">
        <v>17</v>
      </c>
      <c r="P751" s="2" t="s">
        <v>17</v>
      </c>
    </row>
    <row r="752" spans="1:16" ht="14.25" customHeight="1">
      <c r="A752" s="2" t="s">
        <v>15</v>
      </c>
      <c r="B752" s="2">
        <v>1929</v>
      </c>
      <c r="C752" s="2" t="s">
        <v>30</v>
      </c>
      <c r="D752" s="3" t="e">
        <v>#N/A</v>
      </c>
      <c r="E752" s="3" t="e">
        <v>#N/A</v>
      </c>
      <c r="F752" s="3" t="e">
        <v>#N/A</v>
      </c>
      <c r="G752" s="3"/>
      <c r="I752" s="3"/>
      <c r="J752" s="3"/>
      <c r="K752" s="3"/>
      <c r="N752" s="4" t="s">
        <v>99</v>
      </c>
      <c r="O752" s="2" t="s">
        <v>17</v>
      </c>
      <c r="P752" s="2" t="s">
        <v>17</v>
      </c>
    </row>
    <row r="753" spans="1:16" ht="14.25" customHeight="1">
      <c r="A753" s="2" t="s">
        <v>15</v>
      </c>
      <c r="B753" s="2">
        <v>1930</v>
      </c>
      <c r="C753" s="2" t="s">
        <v>30</v>
      </c>
      <c r="D753" s="3" t="e">
        <v>#N/A</v>
      </c>
      <c r="E753" s="3" t="e">
        <v>#VALUE!</v>
      </c>
      <c r="F753" s="3" t="e">
        <v>#VALUE!</v>
      </c>
      <c r="G753" s="3"/>
      <c r="I753" s="3"/>
      <c r="J753" s="3"/>
      <c r="K753" s="3"/>
      <c r="N753" s="4" t="s">
        <v>99</v>
      </c>
      <c r="O753" s="2" t="s">
        <v>17</v>
      </c>
      <c r="P753" s="2" t="s">
        <v>17</v>
      </c>
    </row>
    <row r="754" spans="1:16" ht="14.25" customHeight="1">
      <c r="A754" s="2" t="s">
        <v>15</v>
      </c>
      <c r="B754" s="2">
        <v>1931</v>
      </c>
      <c r="C754" s="2" t="s">
        <v>30</v>
      </c>
      <c r="D754" s="3" t="e">
        <v>#N/A</v>
      </c>
      <c r="E754" s="3" t="e">
        <v>#N/A</v>
      </c>
      <c r="F754" s="3" t="e">
        <v>#N/A</v>
      </c>
      <c r="G754" s="3"/>
      <c r="I754" s="3"/>
      <c r="J754" s="3"/>
      <c r="K754" s="3"/>
      <c r="N754" s="4" t="s">
        <v>99</v>
      </c>
      <c r="O754" s="2" t="s">
        <v>17</v>
      </c>
      <c r="P754" s="2" t="s">
        <v>17</v>
      </c>
    </row>
    <row r="755" spans="1:16" ht="14.25" customHeight="1">
      <c r="A755" s="2" t="s">
        <v>15</v>
      </c>
      <c r="B755" s="2">
        <v>1932</v>
      </c>
      <c r="C755" s="2" t="s">
        <v>30</v>
      </c>
      <c r="D755" s="3" t="e">
        <v>#N/A</v>
      </c>
      <c r="E755" s="3" t="e">
        <v>#N/A</v>
      </c>
      <c r="F755" s="3" t="e">
        <v>#N/A</v>
      </c>
      <c r="G755" s="3"/>
      <c r="I755" s="3"/>
      <c r="J755" s="3"/>
      <c r="K755" s="3"/>
      <c r="N755" s="4" t="s">
        <v>99</v>
      </c>
      <c r="O755" s="2" t="s">
        <v>17</v>
      </c>
      <c r="P755" s="2" t="s">
        <v>17</v>
      </c>
    </row>
    <row r="756" spans="1:16" ht="14.25" customHeight="1">
      <c r="A756" s="2" t="s">
        <v>15</v>
      </c>
      <c r="B756" s="2">
        <v>1933</v>
      </c>
      <c r="C756" s="2" t="s">
        <v>30</v>
      </c>
      <c r="D756" s="3" t="e">
        <v>#N/A</v>
      </c>
      <c r="E756" s="3" t="e">
        <v>#N/A</v>
      </c>
      <c r="F756" s="3" t="e">
        <v>#N/A</v>
      </c>
      <c r="G756" s="3"/>
      <c r="I756" s="3"/>
      <c r="J756" s="3"/>
      <c r="K756" s="3"/>
      <c r="N756" s="4" t="s">
        <v>99</v>
      </c>
      <c r="O756" s="2" t="s">
        <v>17</v>
      </c>
      <c r="P756" s="2" t="s">
        <v>17</v>
      </c>
    </row>
    <row r="757" spans="1:16" ht="14.25" customHeight="1">
      <c r="A757" s="2" t="s">
        <v>15</v>
      </c>
      <c r="B757" s="2">
        <v>1934</v>
      </c>
      <c r="C757" s="2" t="s">
        <v>30</v>
      </c>
      <c r="D757" s="3" t="e">
        <v>#N/A</v>
      </c>
      <c r="E757" s="3" t="e">
        <v>#N/A</v>
      </c>
      <c r="F757" s="3" t="e">
        <v>#N/A</v>
      </c>
      <c r="G757" s="3"/>
      <c r="I757" s="3"/>
      <c r="J757" s="3"/>
      <c r="K757" s="3"/>
      <c r="N757" s="4" t="s">
        <v>99</v>
      </c>
      <c r="O757" s="2" t="s">
        <v>17</v>
      </c>
      <c r="P757" s="2" t="s">
        <v>17</v>
      </c>
    </row>
    <row r="758" spans="1:16" ht="14.25" customHeight="1">
      <c r="A758" s="2" t="s">
        <v>15</v>
      </c>
      <c r="B758" s="2">
        <v>1935</v>
      </c>
      <c r="C758" s="2" t="s">
        <v>30</v>
      </c>
      <c r="D758" s="3" t="e">
        <v>#N/A</v>
      </c>
      <c r="E758" s="3" t="e">
        <v>#VALUE!</v>
      </c>
      <c r="F758" s="3">
        <v>1.640367811420443</v>
      </c>
      <c r="G758" s="3"/>
      <c r="I758" s="3"/>
      <c r="J758" s="3"/>
      <c r="K758" s="3"/>
      <c r="N758" s="4" t="s">
        <v>99</v>
      </c>
      <c r="O758" s="2" t="s">
        <v>17</v>
      </c>
      <c r="P758" s="2" t="s">
        <v>17</v>
      </c>
    </row>
    <row r="759" spans="1:16" ht="14.25" customHeight="1">
      <c r="A759" s="2" t="s">
        <v>15</v>
      </c>
      <c r="B759" s="2">
        <v>1936</v>
      </c>
      <c r="C759" s="2" t="s">
        <v>30</v>
      </c>
      <c r="D759" s="3" t="e">
        <v>#N/A</v>
      </c>
      <c r="E759" s="3" t="e">
        <v>#N/A</v>
      </c>
      <c r="F759" s="3" t="e">
        <v>#N/A</v>
      </c>
      <c r="G759" s="3"/>
      <c r="I759" s="3"/>
      <c r="J759" s="3"/>
      <c r="K759" s="3"/>
      <c r="N759" s="4" t="s">
        <v>99</v>
      </c>
      <c r="O759" s="2" t="s">
        <v>17</v>
      </c>
      <c r="P759" s="2" t="s">
        <v>17</v>
      </c>
    </row>
    <row r="760" spans="1:16" ht="14.25" customHeight="1">
      <c r="A760" s="2" t="s">
        <v>15</v>
      </c>
      <c r="B760" s="2">
        <v>1937</v>
      </c>
      <c r="C760" s="2" t="s">
        <v>30</v>
      </c>
      <c r="D760" s="3" t="e">
        <v>#N/A</v>
      </c>
      <c r="E760" s="3" t="e">
        <v>#N/A</v>
      </c>
      <c r="F760" s="3" t="e">
        <v>#N/A</v>
      </c>
      <c r="G760" s="3"/>
      <c r="I760" s="3"/>
      <c r="J760" s="3"/>
      <c r="K760" s="3"/>
      <c r="N760" s="4" t="s">
        <v>99</v>
      </c>
      <c r="O760" s="2" t="s">
        <v>17</v>
      </c>
      <c r="P760" s="2" t="s">
        <v>17</v>
      </c>
    </row>
    <row r="761" spans="1:16" ht="14.25" customHeight="1">
      <c r="A761" s="2" t="s">
        <v>15</v>
      </c>
      <c r="B761" s="2">
        <v>1938</v>
      </c>
      <c r="C761" s="2" t="s">
        <v>30</v>
      </c>
      <c r="D761" s="3" t="e">
        <v>#N/A</v>
      </c>
      <c r="E761" s="3" t="e">
        <v>#N/A</v>
      </c>
      <c r="F761" s="3" t="e">
        <v>#N/A</v>
      </c>
      <c r="G761" s="3"/>
      <c r="I761" s="3"/>
      <c r="J761" s="3"/>
      <c r="K761" s="3"/>
      <c r="N761" s="4" t="s">
        <v>99</v>
      </c>
      <c r="O761" s="2" t="s">
        <v>17</v>
      </c>
      <c r="P761" s="2" t="s">
        <v>17</v>
      </c>
    </row>
    <row r="762" spans="1:16" ht="14.25" customHeight="1">
      <c r="A762" s="2" t="s">
        <v>15</v>
      </c>
      <c r="B762" s="2">
        <v>1939</v>
      </c>
      <c r="C762" s="2" t="s">
        <v>30</v>
      </c>
      <c r="D762" s="3" t="e">
        <v>#N/A</v>
      </c>
      <c r="E762" s="3" t="e">
        <v>#N/A</v>
      </c>
      <c r="F762" s="3" t="e">
        <v>#N/A</v>
      </c>
      <c r="G762" s="3"/>
      <c r="I762" s="3"/>
      <c r="J762" s="3"/>
      <c r="K762" s="3"/>
      <c r="N762" s="4" t="s">
        <v>100</v>
      </c>
      <c r="O762" s="2" t="s">
        <v>17</v>
      </c>
      <c r="P762" s="2" t="s">
        <v>17</v>
      </c>
    </row>
    <row r="763" spans="1:16" ht="14.25" customHeight="1">
      <c r="A763" s="2" t="s">
        <v>15</v>
      </c>
      <c r="B763" s="2">
        <v>1940</v>
      </c>
      <c r="C763" s="2" t="s">
        <v>30</v>
      </c>
      <c r="D763" s="3" t="e">
        <v>#N/A</v>
      </c>
      <c r="E763" s="3" t="e">
        <v>#VALUE!</v>
      </c>
      <c r="F763" s="3">
        <v>0.17242430400325137</v>
      </c>
      <c r="G763" s="3"/>
      <c r="I763" s="3"/>
      <c r="J763" s="3"/>
      <c r="K763" s="3"/>
      <c r="N763" s="4" t="s">
        <v>100</v>
      </c>
      <c r="O763" s="2" t="s">
        <v>17</v>
      </c>
      <c r="P763" s="2" t="s">
        <v>17</v>
      </c>
    </row>
    <row r="764" spans="1:16" ht="14.25" customHeight="1">
      <c r="A764" s="2" t="s">
        <v>15</v>
      </c>
      <c r="B764" s="2">
        <v>1941</v>
      </c>
      <c r="C764" s="2" t="s">
        <v>30</v>
      </c>
      <c r="D764" s="3" t="e">
        <v>#N/A</v>
      </c>
      <c r="E764" s="3" t="e">
        <v>#N/A</v>
      </c>
      <c r="F764" s="3" t="e">
        <v>#N/A</v>
      </c>
      <c r="G764" s="3"/>
      <c r="I764" s="3"/>
      <c r="J764" s="3"/>
      <c r="K764" s="3"/>
      <c r="N764" s="4" t="s">
        <v>100</v>
      </c>
      <c r="O764" s="2" t="s">
        <v>17</v>
      </c>
      <c r="P764" s="2" t="s">
        <v>17</v>
      </c>
    </row>
    <row r="765" spans="1:16" ht="14.25" customHeight="1">
      <c r="A765" s="2" t="s">
        <v>15</v>
      </c>
      <c r="B765" s="2">
        <v>1942</v>
      </c>
      <c r="C765" s="2" t="s">
        <v>30</v>
      </c>
      <c r="D765" s="3" t="e">
        <v>#N/A</v>
      </c>
      <c r="E765" s="3" t="e">
        <v>#VALUE!</v>
      </c>
      <c r="F765" s="3">
        <v>1.1684616947774842E-3</v>
      </c>
      <c r="G765" s="3"/>
      <c r="I765" s="3"/>
      <c r="J765" s="3"/>
      <c r="K765" s="3"/>
      <c r="N765" s="4" t="s">
        <v>100</v>
      </c>
      <c r="O765" s="2" t="s">
        <v>17</v>
      </c>
      <c r="P765" s="2" t="s">
        <v>17</v>
      </c>
    </row>
    <row r="766" spans="1:16" ht="14.25" customHeight="1">
      <c r="A766" s="2" t="s">
        <v>15</v>
      </c>
      <c r="B766" s="2">
        <v>1943</v>
      </c>
      <c r="C766" s="2" t="s">
        <v>30</v>
      </c>
      <c r="D766" s="3" t="e">
        <v>#N/A</v>
      </c>
      <c r="E766" s="3" t="e">
        <v>#N/A</v>
      </c>
      <c r="F766" s="3" t="e">
        <v>#N/A</v>
      </c>
      <c r="G766" s="3"/>
      <c r="I766" s="3"/>
      <c r="J766" s="3"/>
      <c r="K766" s="3"/>
      <c r="N766" s="4" t="s">
        <v>100</v>
      </c>
      <c r="O766" s="2" t="s">
        <v>17</v>
      </c>
      <c r="P766" s="2" t="s">
        <v>17</v>
      </c>
    </row>
    <row r="767" spans="1:16" ht="14.25" customHeight="1">
      <c r="A767" s="2" t="s">
        <v>15</v>
      </c>
      <c r="B767" s="2">
        <v>1944</v>
      </c>
      <c r="C767" s="2" t="s">
        <v>30</v>
      </c>
      <c r="D767" s="3" t="e">
        <v>#N/A</v>
      </c>
      <c r="E767" s="3" t="e">
        <v>#VALUE!</v>
      </c>
      <c r="F767" s="3">
        <v>1.7272912009754114E-3</v>
      </c>
      <c r="G767" s="3"/>
      <c r="I767" s="3"/>
      <c r="J767" s="3"/>
      <c r="K767" s="3"/>
      <c r="N767" s="4" t="s">
        <v>100</v>
      </c>
      <c r="O767" s="2" t="s">
        <v>17</v>
      </c>
      <c r="P767" s="2" t="s">
        <v>17</v>
      </c>
    </row>
    <row r="768" spans="1:16" ht="14.25" customHeight="1">
      <c r="A768" s="2" t="s">
        <v>15</v>
      </c>
      <c r="B768" s="2">
        <v>1945</v>
      </c>
      <c r="C768" s="2" t="s">
        <v>30</v>
      </c>
      <c r="D768" s="3" t="e">
        <v>#N/A</v>
      </c>
      <c r="E768" s="3" t="e">
        <v>#N/A</v>
      </c>
      <c r="F768" s="3" t="e">
        <v>#N/A</v>
      </c>
      <c r="G768" s="3"/>
      <c r="I768" s="3"/>
      <c r="J768" s="3"/>
      <c r="K768" s="3"/>
      <c r="N768" s="4" t="s">
        <v>100</v>
      </c>
      <c r="O768" s="2" t="s">
        <v>17</v>
      </c>
      <c r="P768" s="2" t="s">
        <v>17</v>
      </c>
    </row>
    <row r="769" spans="1:16" ht="14.25" customHeight="1">
      <c r="A769" s="2" t="s">
        <v>15</v>
      </c>
      <c r="B769" s="2">
        <v>1946</v>
      </c>
      <c r="C769" s="2" t="s">
        <v>30</v>
      </c>
      <c r="D769" s="3" t="e">
        <v>#N/A</v>
      </c>
      <c r="E769" s="3" t="e">
        <v>#VALUE!</v>
      </c>
      <c r="F769" s="3">
        <v>0.42384677910993696</v>
      </c>
      <c r="G769" s="3"/>
      <c r="I769" s="3"/>
      <c r="J769" s="3"/>
      <c r="K769" s="3"/>
      <c r="N769" s="4" t="s">
        <v>99</v>
      </c>
      <c r="O769" s="2" t="s">
        <v>17</v>
      </c>
      <c r="P769" s="2" t="s">
        <v>17</v>
      </c>
    </row>
    <row r="770" spans="1:16" ht="14.25" customHeight="1">
      <c r="A770" s="2" t="s">
        <v>15</v>
      </c>
      <c r="B770" s="2">
        <v>1947</v>
      </c>
      <c r="C770" s="2" t="s">
        <v>30</v>
      </c>
      <c r="D770" s="3" t="e">
        <v>#N/A</v>
      </c>
      <c r="E770" s="3" t="e">
        <v>#N/A</v>
      </c>
      <c r="F770" s="3" t="e">
        <v>#N/A</v>
      </c>
      <c r="G770" s="3"/>
      <c r="I770" s="3"/>
      <c r="J770" s="3"/>
      <c r="K770" s="3"/>
      <c r="N770" s="4" t="s">
        <v>99</v>
      </c>
      <c r="O770" s="2" t="s">
        <v>17</v>
      </c>
      <c r="P770" s="2" t="s">
        <v>17</v>
      </c>
    </row>
    <row r="771" spans="1:16" ht="14.25" customHeight="1">
      <c r="A771" s="2" t="s">
        <v>15</v>
      </c>
      <c r="B771" s="2">
        <v>1948</v>
      </c>
      <c r="C771" s="2" t="s">
        <v>30</v>
      </c>
      <c r="D771" s="3" t="e">
        <v>#N/A</v>
      </c>
      <c r="E771" s="3" t="e">
        <v>#N/A</v>
      </c>
      <c r="F771" s="3" t="e">
        <v>#N/A</v>
      </c>
      <c r="G771" s="3"/>
      <c r="I771" s="3"/>
      <c r="J771" s="3"/>
      <c r="K771" s="3"/>
      <c r="N771" s="4" t="s">
        <v>99</v>
      </c>
      <c r="O771" s="2" t="s">
        <v>17</v>
      </c>
      <c r="P771" s="2" t="s">
        <v>17</v>
      </c>
    </row>
    <row r="772" spans="1:16" ht="14.25" customHeight="1">
      <c r="A772" s="2" t="s">
        <v>15</v>
      </c>
      <c r="B772" s="2">
        <v>1949</v>
      </c>
      <c r="C772" s="2" t="s">
        <v>30</v>
      </c>
      <c r="D772" s="3" t="e">
        <v>#N/A</v>
      </c>
      <c r="E772" s="3" t="e">
        <v>#N/A</v>
      </c>
      <c r="F772" s="3" t="e">
        <v>#N/A</v>
      </c>
      <c r="G772" s="3"/>
      <c r="I772" s="3"/>
      <c r="J772" s="3"/>
      <c r="K772" s="3"/>
      <c r="N772" s="4" t="s">
        <v>99</v>
      </c>
      <c r="O772" s="2" t="s">
        <v>17</v>
      </c>
      <c r="P772" s="2" t="s">
        <v>17</v>
      </c>
    </row>
    <row r="773" spans="1:16" ht="14.25" customHeight="1">
      <c r="A773" s="2" t="s">
        <v>15</v>
      </c>
      <c r="B773" s="2">
        <v>1950</v>
      </c>
      <c r="C773" s="2" t="s">
        <v>30</v>
      </c>
      <c r="D773" s="3" t="e">
        <v>#N/A</v>
      </c>
      <c r="E773" s="3" t="e">
        <v>#VALUE!</v>
      </c>
      <c r="F773" s="3">
        <v>1.0496850233692339</v>
      </c>
      <c r="G773" s="3"/>
      <c r="I773" s="3"/>
      <c r="J773" s="3"/>
      <c r="K773" s="3"/>
      <c r="N773" s="4" t="s">
        <v>99</v>
      </c>
      <c r="O773" s="2" t="s">
        <v>17</v>
      </c>
      <c r="P773" s="2" t="s">
        <v>17</v>
      </c>
    </row>
    <row r="774" spans="1:16" ht="14.25" customHeight="1">
      <c r="A774" s="2" t="s">
        <v>15</v>
      </c>
      <c r="B774" s="2">
        <v>1951</v>
      </c>
      <c r="C774" s="2" t="s">
        <v>30</v>
      </c>
      <c r="D774" s="3" t="e">
        <v>#N/A</v>
      </c>
      <c r="E774" s="3" t="e">
        <v>#N/A</v>
      </c>
      <c r="F774" s="3" t="e">
        <v>#N/A</v>
      </c>
      <c r="G774" s="3"/>
      <c r="I774" s="3"/>
      <c r="J774" s="3"/>
      <c r="K774" s="3"/>
      <c r="N774" s="4" t="s">
        <v>99</v>
      </c>
      <c r="O774" s="2" t="s">
        <v>17</v>
      </c>
      <c r="P774" s="2" t="s">
        <v>17</v>
      </c>
    </row>
    <row r="775" spans="1:16" ht="14.25" customHeight="1">
      <c r="A775" s="2" t="s">
        <v>15</v>
      </c>
      <c r="B775" s="2">
        <v>1952</v>
      </c>
      <c r="C775" s="2" t="s">
        <v>30</v>
      </c>
      <c r="D775" s="3" t="e">
        <v>#N/A</v>
      </c>
      <c r="E775" s="3" t="e">
        <v>#N/A</v>
      </c>
      <c r="F775" s="3" t="e">
        <v>#N/A</v>
      </c>
      <c r="G775" s="3"/>
      <c r="I775" s="3"/>
      <c r="J775" s="3"/>
      <c r="K775" s="3"/>
      <c r="N775" s="4" t="s">
        <v>99</v>
      </c>
      <c r="O775" s="2" t="s">
        <v>17</v>
      </c>
      <c r="P775" s="2" t="s">
        <v>17</v>
      </c>
    </row>
    <row r="776" spans="1:16" ht="14.25" customHeight="1">
      <c r="A776" s="2" t="s">
        <v>15</v>
      </c>
      <c r="B776" s="2">
        <v>1953</v>
      </c>
      <c r="C776" s="2" t="s">
        <v>30</v>
      </c>
      <c r="D776" s="3" t="e">
        <v>#N/A</v>
      </c>
      <c r="E776" s="3" t="e">
        <v>#N/A</v>
      </c>
      <c r="F776" s="3" t="e">
        <v>#N/A</v>
      </c>
      <c r="G776" s="3"/>
      <c r="I776" s="3"/>
      <c r="J776" s="3"/>
      <c r="K776" s="3"/>
      <c r="N776" s="4" t="s">
        <v>99</v>
      </c>
      <c r="O776" s="2" t="s">
        <v>17</v>
      </c>
      <c r="P776" s="2" t="s">
        <v>17</v>
      </c>
    </row>
    <row r="777" spans="1:16" ht="14.25" customHeight="1">
      <c r="A777" s="2" t="s">
        <v>15</v>
      </c>
      <c r="B777" s="2">
        <v>1954</v>
      </c>
      <c r="C777" s="2" t="s">
        <v>30</v>
      </c>
      <c r="D777" s="3" t="e">
        <v>#N/A</v>
      </c>
      <c r="E777" s="3" t="e">
        <v>#N/A</v>
      </c>
      <c r="F777" s="3" t="e">
        <v>#N/A</v>
      </c>
      <c r="G777" s="3"/>
      <c r="I777" s="3"/>
      <c r="J777" s="3"/>
      <c r="K777" s="3"/>
      <c r="N777" s="4" t="s">
        <v>99</v>
      </c>
      <c r="O777" s="2" t="s">
        <v>17</v>
      </c>
      <c r="P777" s="2" t="s">
        <v>17</v>
      </c>
    </row>
    <row r="778" spans="1:16" ht="14.25" customHeight="1">
      <c r="A778" s="2" t="s">
        <v>15</v>
      </c>
      <c r="B778" s="2">
        <v>1955</v>
      </c>
      <c r="C778" s="2" t="s">
        <v>30</v>
      </c>
      <c r="D778" s="3" t="e">
        <v>#N/A</v>
      </c>
      <c r="E778" s="3" t="e">
        <v>#VALUE!</v>
      </c>
      <c r="F778" s="3">
        <v>1.2066653119284696</v>
      </c>
      <c r="G778" s="3"/>
      <c r="I778" s="3"/>
      <c r="J778" s="3"/>
      <c r="K778" s="3"/>
      <c r="N778" s="4" t="s">
        <v>99</v>
      </c>
      <c r="O778" s="2" t="s">
        <v>17</v>
      </c>
      <c r="P778" s="2" t="s">
        <v>17</v>
      </c>
    </row>
    <row r="779" spans="1:16" ht="14.25" customHeight="1">
      <c r="A779" s="2" t="s">
        <v>15</v>
      </c>
      <c r="B779" s="2">
        <v>1956</v>
      </c>
      <c r="C779" s="2" t="s">
        <v>30</v>
      </c>
      <c r="D779" s="3" t="e">
        <v>#N/A</v>
      </c>
      <c r="E779" s="3" t="e">
        <v>#N/A</v>
      </c>
      <c r="F779" s="3" t="e">
        <v>#N/A</v>
      </c>
      <c r="G779" s="3"/>
      <c r="I779" s="3"/>
      <c r="J779" s="3"/>
      <c r="K779" s="3"/>
      <c r="N779" s="4" t="s">
        <v>99</v>
      </c>
      <c r="O779" s="2" t="s">
        <v>17</v>
      </c>
      <c r="P779" s="2" t="s">
        <v>17</v>
      </c>
    </row>
    <row r="780" spans="1:16" ht="14.25" customHeight="1">
      <c r="A780" s="2" t="s">
        <v>15</v>
      </c>
      <c r="B780" s="2">
        <v>1957</v>
      </c>
      <c r="C780" s="2" t="s">
        <v>30</v>
      </c>
      <c r="D780" s="3" t="e">
        <v>#N/A</v>
      </c>
      <c r="E780" s="3" t="e">
        <v>#N/A</v>
      </c>
      <c r="F780" s="3" t="e">
        <v>#N/A</v>
      </c>
      <c r="G780" s="3"/>
      <c r="I780" s="3"/>
      <c r="J780" s="3"/>
      <c r="K780" s="3"/>
      <c r="N780" s="4" t="s">
        <v>99</v>
      </c>
      <c r="O780" s="2" t="s">
        <v>17</v>
      </c>
      <c r="P780" s="2" t="s">
        <v>17</v>
      </c>
    </row>
    <row r="781" spans="1:16" ht="14.25" customHeight="1">
      <c r="A781" s="2" t="s">
        <v>15</v>
      </c>
      <c r="B781" s="2">
        <v>1958</v>
      </c>
      <c r="C781" s="2" t="s">
        <v>30</v>
      </c>
      <c r="D781" s="3" t="e">
        <v>#N/A</v>
      </c>
      <c r="E781" s="3" t="e">
        <v>#N/A</v>
      </c>
      <c r="F781" s="3" t="e">
        <v>#N/A</v>
      </c>
      <c r="G781" s="3"/>
      <c r="I781" s="3"/>
      <c r="J781" s="3"/>
      <c r="K781" s="3"/>
      <c r="N781" s="4" t="s">
        <v>99</v>
      </c>
      <c r="O781" s="2" t="s">
        <v>17</v>
      </c>
      <c r="P781" s="2" t="s">
        <v>17</v>
      </c>
    </row>
    <row r="782" spans="1:16" ht="14.25" customHeight="1">
      <c r="A782" s="2" t="s">
        <v>15</v>
      </c>
      <c r="B782" s="2">
        <v>1959</v>
      </c>
      <c r="C782" s="2" t="s">
        <v>30</v>
      </c>
      <c r="D782" s="3" t="e">
        <v>#N/A</v>
      </c>
      <c r="E782" s="3" t="e">
        <v>#N/A</v>
      </c>
      <c r="F782" s="3" t="e">
        <v>#N/A</v>
      </c>
      <c r="G782" s="3"/>
      <c r="I782" s="3"/>
      <c r="J782" s="3"/>
      <c r="K782" s="3"/>
      <c r="N782" s="4" t="s">
        <v>99</v>
      </c>
      <c r="O782" s="2" t="s">
        <v>17</v>
      </c>
      <c r="P782" s="2" t="s">
        <v>17</v>
      </c>
    </row>
    <row r="783" spans="1:16" ht="14.25" customHeight="1">
      <c r="A783" s="2" t="s">
        <v>15</v>
      </c>
      <c r="B783" s="2">
        <v>1960</v>
      </c>
      <c r="C783" s="2" t="s">
        <v>30</v>
      </c>
      <c r="D783" s="3" t="e">
        <v>#N/A</v>
      </c>
      <c r="E783" s="3" t="e">
        <v>#VALUE!</v>
      </c>
      <c r="F783" s="3">
        <v>0.909012395854501</v>
      </c>
      <c r="G783" s="3"/>
      <c r="I783" s="3"/>
      <c r="J783" s="3"/>
      <c r="K783" s="3"/>
      <c r="N783" s="4" t="s">
        <v>99</v>
      </c>
      <c r="O783" s="2" t="s">
        <v>17</v>
      </c>
      <c r="P783" s="2" t="s">
        <v>17</v>
      </c>
    </row>
    <row r="784" spans="1:16" ht="14.25" customHeight="1">
      <c r="A784" s="2" t="s">
        <v>15</v>
      </c>
      <c r="B784" s="2">
        <v>1961</v>
      </c>
      <c r="C784" s="2" t="s">
        <v>30</v>
      </c>
      <c r="D784" s="3" t="e">
        <v>#N/A</v>
      </c>
      <c r="E784" s="3" t="e">
        <v>#N/A</v>
      </c>
      <c r="F784" s="3" t="e">
        <v>#N/A</v>
      </c>
      <c r="G784" s="3"/>
      <c r="I784" s="3"/>
      <c r="J784" s="3"/>
      <c r="K784" s="3"/>
      <c r="N784" s="4" t="s">
        <v>99</v>
      </c>
      <c r="O784" s="2" t="s">
        <v>17</v>
      </c>
      <c r="P784" s="2" t="s">
        <v>17</v>
      </c>
    </row>
    <row r="785" spans="1:16" ht="14.25" customHeight="1">
      <c r="A785" s="2" t="s">
        <v>15</v>
      </c>
      <c r="B785" s="2">
        <v>1962</v>
      </c>
      <c r="C785" s="2" t="s">
        <v>30</v>
      </c>
      <c r="D785" s="3" t="e">
        <v>#N/A</v>
      </c>
      <c r="E785" s="3" t="e">
        <v>#N/A</v>
      </c>
      <c r="F785" s="3" t="e">
        <v>#N/A</v>
      </c>
      <c r="G785" s="3"/>
      <c r="I785" s="3"/>
      <c r="J785" s="3"/>
      <c r="K785" s="3"/>
      <c r="N785" s="4" t="s">
        <v>99</v>
      </c>
      <c r="O785" s="2" t="s">
        <v>17</v>
      </c>
      <c r="P785" s="2" t="s">
        <v>17</v>
      </c>
    </row>
    <row r="786" spans="1:16" ht="14.25" customHeight="1">
      <c r="A786" s="2" t="s">
        <v>15</v>
      </c>
      <c r="B786" s="2">
        <v>1963</v>
      </c>
      <c r="C786" s="2" t="s">
        <v>30</v>
      </c>
      <c r="D786" s="3" t="e">
        <v>#N/A</v>
      </c>
      <c r="E786" s="3" t="e">
        <v>#N/A</v>
      </c>
      <c r="F786" s="3" t="e">
        <v>#N/A</v>
      </c>
      <c r="G786" s="3"/>
      <c r="I786" s="3"/>
      <c r="J786" s="3"/>
      <c r="K786" s="3"/>
      <c r="N786" s="4" t="s">
        <v>99</v>
      </c>
      <c r="O786" s="2" t="s">
        <v>17</v>
      </c>
      <c r="P786" s="2" t="s">
        <v>17</v>
      </c>
    </row>
    <row r="787" spans="1:16" ht="14.25" customHeight="1">
      <c r="A787" s="2" t="s">
        <v>15</v>
      </c>
      <c r="B787" s="2">
        <v>1964</v>
      </c>
      <c r="C787" s="2" t="s">
        <v>30</v>
      </c>
      <c r="D787" s="3" t="e">
        <v>#N/A</v>
      </c>
      <c r="E787" s="3" t="e">
        <v>#N/A</v>
      </c>
      <c r="F787" s="3" t="e">
        <v>#N/A</v>
      </c>
      <c r="G787" s="3"/>
      <c r="I787" s="3"/>
      <c r="J787" s="3"/>
      <c r="K787" s="3"/>
      <c r="N787" s="4" t="s">
        <v>99</v>
      </c>
      <c r="O787" s="2" t="s">
        <v>17</v>
      </c>
      <c r="P787" s="2" t="s">
        <v>17</v>
      </c>
    </row>
    <row r="788" spans="1:16" ht="14.25" customHeight="1">
      <c r="A788" s="2" t="s">
        <v>15</v>
      </c>
      <c r="B788" s="2">
        <v>1965</v>
      </c>
      <c r="C788" s="2" t="s">
        <v>30</v>
      </c>
      <c r="D788" s="3">
        <v>1.4224751066856329</v>
      </c>
      <c r="E788" s="3" t="e">
        <v>#N/A</v>
      </c>
      <c r="F788" s="3">
        <v>3.2005689900426741</v>
      </c>
      <c r="G788" s="3"/>
      <c r="I788" s="3"/>
      <c r="J788" s="3"/>
      <c r="K788" s="3"/>
      <c r="N788" s="4" t="s">
        <v>99</v>
      </c>
      <c r="O788" s="2" t="s">
        <v>17</v>
      </c>
      <c r="P788" s="2" t="s">
        <v>17</v>
      </c>
    </row>
    <row r="789" spans="1:16" ht="14.25" customHeight="1">
      <c r="A789" s="2" t="s">
        <v>15</v>
      </c>
      <c r="B789" s="2">
        <v>1966</v>
      </c>
      <c r="C789" s="2" t="s">
        <v>30</v>
      </c>
      <c r="D789" s="3">
        <v>1.4732777890672626</v>
      </c>
      <c r="E789" s="3" t="e">
        <v>#N/A</v>
      </c>
      <c r="F789" s="3">
        <v>2.9465555781345252</v>
      </c>
      <c r="G789" s="3"/>
      <c r="I789" s="3"/>
      <c r="J789" s="3"/>
      <c r="K789" s="3"/>
      <c r="N789" s="4" t="s">
        <v>99</v>
      </c>
      <c r="O789" s="2" t="s">
        <v>17</v>
      </c>
      <c r="P789" s="2" t="s">
        <v>17</v>
      </c>
    </row>
    <row r="790" spans="1:16" ht="14.25" customHeight="1">
      <c r="A790" s="2" t="s">
        <v>15</v>
      </c>
      <c r="B790" s="2">
        <v>1967</v>
      </c>
      <c r="C790" s="2" t="s">
        <v>30</v>
      </c>
      <c r="D790" s="3">
        <v>1.5240804714488925</v>
      </c>
      <c r="E790" s="3" t="e">
        <v>#N/A</v>
      </c>
      <c r="F790" s="3">
        <v>2.794147530989636</v>
      </c>
      <c r="G790" s="3"/>
      <c r="I790" s="3"/>
      <c r="J790" s="3"/>
      <c r="K790" s="3"/>
      <c r="N790" s="4" t="s">
        <v>99</v>
      </c>
      <c r="O790" s="2" t="s">
        <v>17</v>
      </c>
      <c r="P790" s="2" t="s">
        <v>17</v>
      </c>
    </row>
    <row r="791" spans="1:16" ht="14.25" customHeight="1">
      <c r="A791" s="2" t="s">
        <v>15</v>
      </c>
      <c r="B791" s="2">
        <v>1968</v>
      </c>
      <c r="C791" s="2" t="s">
        <v>30</v>
      </c>
      <c r="D791" s="3">
        <v>1.3208697419223734</v>
      </c>
      <c r="E791" s="3" t="e">
        <v>#N/A</v>
      </c>
      <c r="F791" s="3">
        <v>4.9786628733997151</v>
      </c>
      <c r="G791" s="3"/>
      <c r="I791" s="3"/>
      <c r="J791" s="3"/>
      <c r="K791" s="3"/>
      <c r="N791" s="4" t="s">
        <v>99</v>
      </c>
      <c r="O791" s="2" t="s">
        <v>17</v>
      </c>
      <c r="P791" s="2" t="s">
        <v>17</v>
      </c>
    </row>
    <row r="792" spans="1:16" ht="14.25" customHeight="1">
      <c r="A792" s="2" t="s">
        <v>15</v>
      </c>
      <c r="B792" s="2">
        <v>1969</v>
      </c>
      <c r="C792" s="2" t="s">
        <v>30</v>
      </c>
      <c r="D792" s="3">
        <v>1.2700670595407437</v>
      </c>
      <c r="E792" s="3" t="e">
        <v>#N/A</v>
      </c>
      <c r="F792" s="3">
        <v>4.1150172729120094</v>
      </c>
      <c r="G792" s="3"/>
      <c r="I792" s="3"/>
      <c r="J792" s="3"/>
      <c r="K792" s="3"/>
      <c r="N792" s="4" t="s">
        <v>99</v>
      </c>
      <c r="O792" s="2" t="s">
        <v>17</v>
      </c>
      <c r="P792" s="2" t="s">
        <v>17</v>
      </c>
    </row>
    <row r="793" spans="1:16" ht="14.25" customHeight="1">
      <c r="A793" s="2" t="s">
        <v>15</v>
      </c>
      <c r="B793" s="2">
        <v>1970</v>
      </c>
      <c r="C793" s="2" t="s">
        <v>30</v>
      </c>
      <c r="D793" s="3">
        <v>1.3716724243040033</v>
      </c>
      <c r="E793" s="3" t="e">
        <v>#N/A</v>
      </c>
      <c r="F793" s="3">
        <v>4.5214387319650475</v>
      </c>
      <c r="G793" s="3"/>
      <c r="I793" s="3"/>
      <c r="J793" s="3"/>
      <c r="K793" s="3"/>
      <c r="N793" s="4" t="s">
        <v>99</v>
      </c>
      <c r="O793" s="2" t="s">
        <v>17</v>
      </c>
      <c r="P793" s="2" t="s">
        <v>17</v>
      </c>
    </row>
    <row r="794" spans="1:16" ht="14.25" customHeight="1">
      <c r="A794" s="2" t="s">
        <v>15</v>
      </c>
      <c r="B794" s="2">
        <v>1971</v>
      </c>
      <c r="C794" s="2" t="s">
        <v>30</v>
      </c>
      <c r="D794" s="3">
        <v>1.625685836212152</v>
      </c>
      <c r="E794" s="3" t="e">
        <v>#N/A</v>
      </c>
      <c r="F794" s="3">
        <v>4.8262548262548259</v>
      </c>
      <c r="G794" s="3"/>
      <c r="I794" s="3"/>
      <c r="J794" s="3"/>
      <c r="K794" s="3"/>
      <c r="N794" s="4" t="s">
        <v>99</v>
      </c>
      <c r="O794" s="2" t="s">
        <v>17</v>
      </c>
      <c r="P794" s="2" t="s">
        <v>17</v>
      </c>
    </row>
    <row r="795" spans="1:16" ht="14.25" customHeight="1">
      <c r="A795" s="2" t="s">
        <v>15</v>
      </c>
      <c r="B795" s="2">
        <v>1972</v>
      </c>
      <c r="C795" s="2" t="s">
        <v>30</v>
      </c>
      <c r="D795" s="3">
        <v>1.3716724243040033</v>
      </c>
      <c r="E795" s="3" t="e">
        <v>#N/A</v>
      </c>
      <c r="F795" s="3">
        <v>5.0294655557813446</v>
      </c>
      <c r="G795" s="3"/>
      <c r="I795" s="3"/>
      <c r="J795" s="3"/>
      <c r="K795" s="3"/>
      <c r="N795" s="4" t="s">
        <v>99</v>
      </c>
      <c r="O795" s="2" t="s">
        <v>17</v>
      </c>
      <c r="P795" s="2" t="s">
        <v>17</v>
      </c>
    </row>
    <row r="796" spans="1:16" ht="14.25" customHeight="1">
      <c r="A796" s="2" t="s">
        <v>15</v>
      </c>
      <c r="B796" s="2">
        <v>1973</v>
      </c>
      <c r="C796" s="2" t="s">
        <v>30</v>
      </c>
      <c r="D796" s="3">
        <v>1.4732777890672626</v>
      </c>
      <c r="E796" s="3" t="e">
        <v>#N/A</v>
      </c>
      <c r="F796" s="3">
        <v>7.3663889453363129</v>
      </c>
      <c r="G796" s="3"/>
      <c r="I796" s="3"/>
      <c r="J796" s="3"/>
      <c r="K796" s="3"/>
      <c r="N796" s="4" t="s">
        <v>99</v>
      </c>
      <c r="O796" s="2" t="s">
        <v>17</v>
      </c>
      <c r="P796" s="2" t="s">
        <v>17</v>
      </c>
    </row>
    <row r="797" spans="1:16" ht="14.25" customHeight="1">
      <c r="A797" s="2" t="s">
        <v>15</v>
      </c>
      <c r="B797" s="2">
        <v>1974</v>
      </c>
      <c r="C797" s="2" t="s">
        <v>30</v>
      </c>
      <c r="D797" s="3">
        <v>1.7272912009754113</v>
      </c>
      <c r="E797" s="3" t="e">
        <v>#N/A</v>
      </c>
      <c r="F797" s="3">
        <v>7.0615728510465345</v>
      </c>
      <c r="G797" s="3"/>
      <c r="I797" s="3"/>
      <c r="J797" s="3"/>
      <c r="K797" s="3"/>
      <c r="N797" s="4" t="s">
        <v>99</v>
      </c>
      <c r="O797" s="2" t="s">
        <v>17</v>
      </c>
      <c r="P797" s="2" t="s">
        <v>17</v>
      </c>
    </row>
    <row r="798" spans="1:16" ht="14.25" customHeight="1">
      <c r="A798" s="2" t="s">
        <v>15</v>
      </c>
      <c r="B798" s="2">
        <v>1975</v>
      </c>
      <c r="C798" s="2" t="s">
        <v>30</v>
      </c>
      <c r="D798" s="3">
        <v>2.069</v>
      </c>
      <c r="E798" s="3" t="e">
        <v>#N/A</v>
      </c>
      <c r="F798" s="3">
        <v>5.7329999999999997</v>
      </c>
      <c r="G798" s="3"/>
      <c r="I798" s="3"/>
      <c r="J798" s="3"/>
      <c r="K798" s="3"/>
      <c r="N798" s="4" t="s">
        <v>99</v>
      </c>
      <c r="O798" s="2" t="s">
        <v>17</v>
      </c>
      <c r="P798" s="2" t="s">
        <v>17</v>
      </c>
    </row>
    <row r="799" spans="1:16" ht="14.25" customHeight="1">
      <c r="A799" s="2" t="s">
        <v>15</v>
      </c>
      <c r="B799" s="2">
        <v>1976</v>
      </c>
      <c r="C799" s="2" t="s">
        <v>30</v>
      </c>
      <c r="D799" s="3">
        <v>3.2650000000000001</v>
      </c>
      <c r="E799" s="3" t="e">
        <v>#N/A</v>
      </c>
      <c r="F799" s="3">
        <v>7.6070000000000002</v>
      </c>
      <c r="G799" s="3"/>
      <c r="I799" s="3"/>
      <c r="J799" s="3"/>
      <c r="K799" s="3"/>
      <c r="N799" s="4" t="s">
        <v>101</v>
      </c>
      <c r="O799" s="2" t="s">
        <v>17</v>
      </c>
      <c r="P799" s="2" t="s">
        <v>17</v>
      </c>
    </row>
    <row r="800" spans="1:16" ht="14.25" customHeight="1">
      <c r="A800" s="2" t="s">
        <v>15</v>
      </c>
      <c r="B800" s="2">
        <v>1977</v>
      </c>
      <c r="C800" s="2" t="s">
        <v>30</v>
      </c>
      <c r="D800" s="3">
        <v>2.7109999999999999</v>
      </c>
      <c r="E800" s="3" t="e">
        <v>#N/A</v>
      </c>
      <c r="F800" s="3">
        <v>6.07</v>
      </c>
      <c r="G800" s="3"/>
      <c r="I800" s="3"/>
      <c r="J800" s="3"/>
      <c r="K800" s="3"/>
      <c r="N800" s="4" t="s">
        <v>101</v>
      </c>
      <c r="O800" s="2" t="s">
        <v>17</v>
      </c>
      <c r="P800" s="2" t="s">
        <v>17</v>
      </c>
    </row>
    <row r="801" spans="1:16" ht="14.25" customHeight="1">
      <c r="A801" s="2" t="s">
        <v>15</v>
      </c>
      <c r="B801" s="2">
        <v>1978</v>
      </c>
      <c r="C801" s="2" t="s">
        <v>30</v>
      </c>
      <c r="D801" s="3">
        <v>3.2109999999999999</v>
      </c>
      <c r="E801" s="3" t="e">
        <v>#N/A</v>
      </c>
      <c r="F801" s="3">
        <v>11.624000000000001</v>
      </c>
      <c r="G801" s="3"/>
      <c r="I801" s="3"/>
      <c r="J801" s="3"/>
      <c r="K801" s="3"/>
      <c r="N801" s="4" t="s">
        <v>101</v>
      </c>
      <c r="O801" s="2" t="s">
        <v>17</v>
      </c>
      <c r="P801" s="2" t="s">
        <v>17</v>
      </c>
    </row>
    <row r="802" spans="1:16" ht="14.25" customHeight="1">
      <c r="A802" s="2" t="s">
        <v>15</v>
      </c>
      <c r="B802" s="2">
        <v>1979</v>
      </c>
      <c r="C802" s="2" t="s">
        <v>30</v>
      </c>
      <c r="D802" s="3">
        <v>1.3979999999999999</v>
      </c>
      <c r="E802" s="3" t="e">
        <v>#N/A</v>
      </c>
      <c r="F802" s="3">
        <v>12.824999999999999</v>
      </c>
      <c r="G802" s="3"/>
      <c r="I802" s="3"/>
      <c r="J802" s="3"/>
      <c r="K802" s="3"/>
      <c r="N802" s="4" t="s">
        <v>101</v>
      </c>
      <c r="O802" s="2" t="s">
        <v>17</v>
      </c>
      <c r="P802" s="2" t="s">
        <v>17</v>
      </c>
    </row>
    <row r="803" spans="1:16" ht="14.25" customHeight="1">
      <c r="A803" s="2" t="s">
        <v>15</v>
      </c>
      <c r="B803" s="2">
        <v>1980</v>
      </c>
      <c r="C803" s="2" t="s">
        <v>30</v>
      </c>
      <c r="D803" s="3">
        <v>1.2490000000000001</v>
      </c>
      <c r="E803" s="3" t="e">
        <v>#N/A</v>
      </c>
      <c r="F803" s="3">
        <v>15.608000000000001</v>
      </c>
      <c r="G803" s="3"/>
      <c r="I803" s="3"/>
      <c r="J803" s="3"/>
      <c r="K803" s="3"/>
      <c r="N803" s="4" t="s">
        <v>101</v>
      </c>
      <c r="O803" s="2" t="s">
        <v>17</v>
      </c>
      <c r="P803" s="2" t="s">
        <v>17</v>
      </c>
    </row>
    <row r="804" spans="1:16" ht="14.25" customHeight="1">
      <c r="A804" s="2" t="s">
        <v>15</v>
      </c>
      <c r="B804" s="2">
        <v>1981</v>
      </c>
      <c r="C804" s="2" t="s">
        <v>30</v>
      </c>
      <c r="D804" s="3">
        <v>1.4159999999999999</v>
      </c>
      <c r="E804" s="3" t="e">
        <v>#N/A</v>
      </c>
      <c r="F804" s="3">
        <v>11.286</v>
      </c>
      <c r="G804" s="3"/>
      <c r="I804" s="3"/>
      <c r="J804" s="3"/>
      <c r="K804" s="3"/>
      <c r="N804" s="4" t="s">
        <v>101</v>
      </c>
      <c r="O804" s="2" t="s">
        <v>17</v>
      </c>
      <c r="P804" s="2" t="s">
        <v>17</v>
      </c>
    </row>
    <row r="805" spans="1:16" ht="14.25" customHeight="1">
      <c r="A805" s="2" t="s">
        <v>15</v>
      </c>
      <c r="B805" s="2">
        <v>1982</v>
      </c>
      <c r="C805" s="2" t="s">
        <v>30</v>
      </c>
      <c r="D805" s="3">
        <v>1.5820000000000001</v>
      </c>
      <c r="E805" s="3" t="e">
        <v>#N/A</v>
      </c>
      <c r="F805" s="3">
        <v>14.348000000000001</v>
      </c>
      <c r="G805" s="3"/>
      <c r="I805" s="3"/>
      <c r="J805" s="3"/>
      <c r="K805" s="3"/>
      <c r="N805" s="4" t="s">
        <v>101</v>
      </c>
      <c r="O805" s="2" t="s">
        <v>17</v>
      </c>
      <c r="P805" s="2" t="s">
        <v>17</v>
      </c>
    </row>
    <row r="806" spans="1:16" ht="14.25" customHeight="1">
      <c r="A806" s="2" t="s">
        <v>15</v>
      </c>
      <c r="B806" s="2">
        <v>1983</v>
      </c>
      <c r="C806" s="2" t="s">
        <v>30</v>
      </c>
      <c r="D806" s="3">
        <v>1.0720000000000001</v>
      </c>
      <c r="E806" s="3" t="e">
        <v>#N/A</v>
      </c>
      <c r="F806" s="3">
        <v>15.853</v>
      </c>
      <c r="G806" s="3"/>
      <c r="I806" s="3"/>
      <c r="J806" s="3"/>
      <c r="K806" s="3"/>
      <c r="N806" s="4" t="s">
        <v>101</v>
      </c>
      <c r="O806" s="2" t="s">
        <v>17</v>
      </c>
      <c r="P806" s="2" t="s">
        <v>17</v>
      </c>
    </row>
    <row r="807" spans="1:16" ht="14.25" customHeight="1">
      <c r="A807" s="2" t="s">
        <v>15</v>
      </c>
      <c r="B807" s="2">
        <v>1984</v>
      </c>
      <c r="C807" s="2" t="s">
        <v>30</v>
      </c>
      <c r="D807" s="3">
        <v>0.65500000000000003</v>
      </c>
      <c r="E807" s="3" t="e">
        <v>#N/A</v>
      </c>
      <c r="F807" s="3">
        <v>18.402999999999999</v>
      </c>
      <c r="G807" s="3"/>
      <c r="I807" s="3"/>
      <c r="J807" s="3"/>
      <c r="K807" s="3"/>
      <c r="N807" s="4" t="s">
        <v>101</v>
      </c>
      <c r="O807" s="2" t="s">
        <v>17</v>
      </c>
      <c r="P807" s="2" t="s">
        <v>17</v>
      </c>
    </row>
    <row r="808" spans="1:16" ht="14.25" customHeight="1">
      <c r="A808" s="2" t="s">
        <v>15</v>
      </c>
      <c r="B808" s="2">
        <v>1985</v>
      </c>
      <c r="C808" s="2" t="s">
        <v>30</v>
      </c>
      <c r="D808" s="3">
        <v>0.83099999999999996</v>
      </c>
      <c r="E808" s="3" t="e">
        <v>#N/A</v>
      </c>
      <c r="F808" s="3">
        <v>19.352</v>
      </c>
      <c r="G808" s="3"/>
      <c r="I808" s="3"/>
      <c r="J808" s="3"/>
      <c r="K808" s="3"/>
      <c r="N808" s="4" t="s">
        <v>101</v>
      </c>
      <c r="O808" s="2" t="s">
        <v>17</v>
      </c>
      <c r="P808" s="2" t="s">
        <v>17</v>
      </c>
    </row>
    <row r="809" spans="1:16" ht="14.25" customHeight="1">
      <c r="A809" s="2" t="s">
        <v>15</v>
      </c>
      <c r="B809" s="2">
        <v>1986</v>
      </c>
      <c r="C809" s="2" t="s">
        <v>30</v>
      </c>
      <c r="D809" s="3">
        <v>1.2929999999999999</v>
      </c>
      <c r="E809" s="3" t="e">
        <v>#N/A</v>
      </c>
      <c r="F809" s="3">
        <v>24.681999999999999</v>
      </c>
      <c r="G809" s="3"/>
      <c r="I809" s="3"/>
      <c r="J809" s="3"/>
      <c r="K809" s="3"/>
      <c r="N809" s="4" t="s">
        <v>101</v>
      </c>
      <c r="O809" s="2" t="s">
        <v>17</v>
      </c>
      <c r="P809" s="2" t="s">
        <v>17</v>
      </c>
    </row>
    <row r="810" spans="1:16" ht="14.25" customHeight="1">
      <c r="A810" s="2" t="s">
        <v>15</v>
      </c>
      <c r="B810" s="2">
        <v>1987</v>
      </c>
      <c r="C810" s="2" t="s">
        <v>30</v>
      </c>
      <c r="D810" s="3">
        <v>3.3330000000000002</v>
      </c>
      <c r="E810" s="3" t="e">
        <v>#N/A</v>
      </c>
      <c r="F810" s="3">
        <v>27.308</v>
      </c>
      <c r="G810" s="3"/>
      <c r="I810" s="3"/>
      <c r="J810" s="3"/>
      <c r="K810" s="3"/>
      <c r="N810" s="4" t="s">
        <v>101</v>
      </c>
      <c r="O810" s="2" t="s">
        <v>17</v>
      </c>
      <c r="P810" s="2" t="s">
        <v>17</v>
      </c>
    </row>
    <row r="811" spans="1:16" ht="14.25" customHeight="1">
      <c r="A811" s="2" t="s">
        <v>15</v>
      </c>
      <c r="B811" s="2">
        <v>1988</v>
      </c>
      <c r="C811" s="2" t="s">
        <v>30</v>
      </c>
      <c r="D811" s="3">
        <v>1.6779999999999999</v>
      </c>
      <c r="E811" s="3" t="e">
        <v>#N/A</v>
      </c>
      <c r="F811" s="3">
        <v>26.280999999999999</v>
      </c>
      <c r="G811" s="3"/>
      <c r="H811" s="2">
        <v>0</v>
      </c>
      <c r="I811" s="3"/>
      <c r="J811" s="3"/>
      <c r="K811" s="3"/>
      <c r="N811" s="4" t="s">
        <v>101</v>
      </c>
      <c r="O811" s="2" t="s">
        <v>17</v>
      </c>
      <c r="P811" s="2" t="s">
        <v>17</v>
      </c>
    </row>
    <row r="812" spans="1:16" ht="14.25" customHeight="1">
      <c r="A812" s="2" t="s">
        <v>15</v>
      </c>
      <c r="B812" s="2">
        <v>1989</v>
      </c>
      <c r="C812" s="2" t="s">
        <v>30</v>
      </c>
      <c r="D812" s="3">
        <v>1.8240000000000001</v>
      </c>
      <c r="E812" s="3" t="e">
        <v>#N/A</v>
      </c>
      <c r="F812" s="3">
        <v>26.863</v>
      </c>
      <c r="G812" s="3"/>
      <c r="H812" s="2">
        <v>0.1</v>
      </c>
      <c r="I812" s="3"/>
      <c r="J812" s="3"/>
      <c r="K812" s="3"/>
      <c r="N812" s="4" t="s">
        <v>101</v>
      </c>
      <c r="O812" s="2" t="s">
        <v>17</v>
      </c>
      <c r="P812" s="2" t="s">
        <v>17</v>
      </c>
    </row>
    <row r="813" spans="1:16" ht="14.25" customHeight="1">
      <c r="A813" s="2" t="s">
        <v>15</v>
      </c>
      <c r="B813" s="2">
        <v>1990</v>
      </c>
      <c r="C813" s="2" t="s">
        <v>30</v>
      </c>
      <c r="D813" s="3">
        <v>1.1890000000000001</v>
      </c>
      <c r="E813" s="3" t="e">
        <v>#N/A</v>
      </c>
      <c r="F813" s="3">
        <v>25.489000000000001</v>
      </c>
      <c r="G813" s="3"/>
      <c r="H813" s="2">
        <v>0</v>
      </c>
      <c r="I813" s="3"/>
      <c r="J813" s="3"/>
      <c r="K813" s="3"/>
      <c r="N813" s="4" t="s">
        <v>101</v>
      </c>
      <c r="O813" s="2" t="s">
        <v>17</v>
      </c>
      <c r="P813" s="2" t="s">
        <v>17</v>
      </c>
    </row>
    <row r="814" spans="1:16" ht="14.25" customHeight="1">
      <c r="A814" s="2" t="s">
        <v>15</v>
      </c>
      <c r="B814" s="2">
        <v>1991</v>
      </c>
      <c r="C814" s="2" t="s">
        <v>30</v>
      </c>
      <c r="D814" s="3">
        <v>0.8</v>
      </c>
      <c r="E814" s="3">
        <v>19.148</v>
      </c>
      <c r="F814" s="3">
        <v>23.326000000000001</v>
      </c>
      <c r="G814" s="3"/>
      <c r="H814" s="2">
        <v>0</v>
      </c>
      <c r="I814" s="3"/>
      <c r="J814" s="3"/>
      <c r="K814" s="3"/>
      <c r="N814" s="4" t="s">
        <v>101</v>
      </c>
      <c r="O814" s="2" t="s">
        <v>17</v>
      </c>
      <c r="P814" s="2" t="s">
        <v>17</v>
      </c>
    </row>
    <row r="815" spans="1:16" ht="14.25" customHeight="1">
      <c r="A815" s="2" t="s">
        <v>15</v>
      </c>
      <c r="B815" s="2">
        <v>1992</v>
      </c>
      <c r="C815" s="2" t="s">
        <v>30</v>
      </c>
      <c r="D815" s="3">
        <v>0.7</v>
      </c>
      <c r="E815" s="3">
        <v>18.311</v>
      </c>
      <c r="F815" s="3">
        <v>21.184999999999999</v>
      </c>
      <c r="G815" s="3"/>
      <c r="H815" s="2">
        <v>0</v>
      </c>
      <c r="I815" s="3"/>
      <c r="J815" s="3"/>
      <c r="K815" s="3"/>
      <c r="N815" s="4" t="s">
        <v>101</v>
      </c>
      <c r="O815" s="2" t="s">
        <v>17</v>
      </c>
      <c r="P815" s="2" t="s">
        <v>17</v>
      </c>
    </row>
    <row r="816" spans="1:16" ht="14.25" customHeight="1">
      <c r="A816" s="2" t="s">
        <v>15</v>
      </c>
      <c r="B816" s="2">
        <v>1993</v>
      </c>
      <c r="C816" s="2" t="s">
        <v>30</v>
      </c>
      <c r="D816" s="3">
        <v>1.5</v>
      </c>
      <c r="E816" s="3">
        <v>17.995999999999999</v>
      </c>
      <c r="F816" s="3">
        <v>51.783999999999999</v>
      </c>
      <c r="G816" s="3"/>
      <c r="H816" s="2">
        <v>0</v>
      </c>
      <c r="I816" s="3"/>
      <c r="J816" s="3"/>
      <c r="K816" s="3"/>
      <c r="N816" s="4" t="s">
        <v>101</v>
      </c>
      <c r="O816" s="2" t="s">
        <v>17</v>
      </c>
      <c r="P816" s="2" t="s">
        <v>17</v>
      </c>
    </row>
    <row r="817" spans="1:16" ht="14.25" customHeight="1">
      <c r="A817" s="2" t="s">
        <v>15</v>
      </c>
      <c r="B817" s="2">
        <v>1994</v>
      </c>
      <c r="C817" s="2" t="s">
        <v>30</v>
      </c>
      <c r="D817" s="3">
        <v>1.425</v>
      </c>
      <c r="E817" s="3">
        <v>20.234999999999999</v>
      </c>
      <c r="F817" s="3">
        <v>57.326000000000001</v>
      </c>
      <c r="G817" s="3"/>
      <c r="H817" s="2">
        <v>0</v>
      </c>
      <c r="I817" s="3"/>
      <c r="J817" s="3"/>
      <c r="K817" s="3"/>
      <c r="N817" s="4" t="s">
        <v>101</v>
      </c>
      <c r="O817" s="2" t="s">
        <v>17</v>
      </c>
      <c r="P817" s="2" t="s">
        <v>17</v>
      </c>
    </row>
    <row r="818" spans="1:16" ht="14.25" customHeight="1">
      <c r="A818" s="2" t="s">
        <v>15</v>
      </c>
      <c r="B818" s="2">
        <v>1995</v>
      </c>
      <c r="C818" s="2" t="s">
        <v>30</v>
      </c>
      <c r="D818" s="3">
        <v>2.702</v>
      </c>
      <c r="E818" s="3">
        <v>20.879000000000001</v>
      </c>
      <c r="F818" s="3">
        <v>58.414999999999999</v>
      </c>
      <c r="G818" s="3"/>
      <c r="H818" s="2">
        <v>0</v>
      </c>
      <c r="I818" s="3"/>
      <c r="J818" s="3"/>
      <c r="K818" s="3"/>
      <c r="N818" s="4" t="s">
        <v>101</v>
      </c>
      <c r="O818" s="2" t="s">
        <v>17</v>
      </c>
      <c r="P818" s="2" t="s">
        <v>17</v>
      </c>
    </row>
    <row r="819" spans="1:16" ht="14.25" customHeight="1">
      <c r="A819" s="2" t="s">
        <v>15</v>
      </c>
      <c r="B819" s="2">
        <v>1996</v>
      </c>
      <c r="C819" s="2" t="s">
        <v>30</v>
      </c>
      <c r="D819" s="3">
        <v>2.677</v>
      </c>
      <c r="E819" s="3">
        <v>22.021999999999998</v>
      </c>
      <c r="F819" s="3">
        <v>61.963999999999999</v>
      </c>
      <c r="G819" s="3"/>
      <c r="H819" s="2">
        <v>0.1</v>
      </c>
      <c r="I819" s="3"/>
      <c r="J819" s="3"/>
      <c r="K819" s="3"/>
      <c r="N819" s="4" t="s">
        <v>101</v>
      </c>
      <c r="O819" s="2" t="s">
        <v>17</v>
      </c>
      <c r="P819" s="2" t="s">
        <v>17</v>
      </c>
    </row>
    <row r="820" spans="1:16" ht="14.25" customHeight="1">
      <c r="A820" s="2" t="s">
        <v>15</v>
      </c>
      <c r="B820" s="2">
        <v>1997</v>
      </c>
      <c r="C820" s="2" t="s">
        <v>30</v>
      </c>
      <c r="D820" s="3">
        <v>1.0149999999999999</v>
      </c>
      <c r="E820" s="3">
        <v>8.5820000000000007</v>
      </c>
      <c r="F820" s="3">
        <v>39.450000000000003</v>
      </c>
      <c r="G820" s="3"/>
      <c r="H820" s="2">
        <v>0</v>
      </c>
      <c r="I820" s="3"/>
      <c r="J820" s="3"/>
      <c r="K820" s="3"/>
      <c r="N820" s="4" t="s">
        <v>101</v>
      </c>
      <c r="O820" s="2" t="s">
        <v>17</v>
      </c>
      <c r="P820" s="2" t="s">
        <v>17</v>
      </c>
    </row>
    <row r="821" spans="1:16" ht="14.25" customHeight="1">
      <c r="A821" s="2" t="s">
        <v>15</v>
      </c>
      <c r="B821" s="2">
        <v>1998</v>
      </c>
      <c r="C821" s="2" t="s">
        <v>30</v>
      </c>
      <c r="D821" s="3">
        <v>2.16</v>
      </c>
      <c r="E821" s="3">
        <v>24.059000000000001</v>
      </c>
      <c r="F821" s="3">
        <v>72.930999999999997</v>
      </c>
      <c r="G821" s="3"/>
      <c r="H821" s="2">
        <v>0.6</v>
      </c>
      <c r="I821" s="3"/>
      <c r="J821" s="3"/>
      <c r="K821" s="3"/>
      <c r="N821" s="4" t="s">
        <v>101</v>
      </c>
      <c r="O821" s="2" t="s">
        <v>17</v>
      </c>
      <c r="P821" s="2" t="s">
        <v>17</v>
      </c>
    </row>
    <row r="822" spans="1:16" ht="14.25" customHeight="1">
      <c r="A822" s="2" t="s">
        <v>15</v>
      </c>
      <c r="B822" s="2">
        <v>1999</v>
      </c>
      <c r="C822" s="2" t="s">
        <v>30</v>
      </c>
      <c r="D822" s="3">
        <v>1.956</v>
      </c>
      <c r="E822" s="3">
        <v>26.709</v>
      </c>
      <c r="F822" s="3">
        <v>68.152000000000001</v>
      </c>
      <c r="G822" s="3"/>
      <c r="H822" s="2">
        <v>1.4</v>
      </c>
      <c r="I822" s="3"/>
      <c r="J822" s="3"/>
      <c r="K822" s="3"/>
      <c r="N822" s="4" t="s">
        <v>101</v>
      </c>
      <c r="O822" s="2" t="s">
        <v>17</v>
      </c>
      <c r="P822" s="2" t="s">
        <v>17</v>
      </c>
    </row>
    <row r="823" spans="1:16" ht="14.25" customHeight="1">
      <c r="A823" s="2" t="s">
        <v>15</v>
      </c>
      <c r="B823" s="2">
        <v>2000</v>
      </c>
      <c r="C823" s="2" t="s">
        <v>30</v>
      </c>
      <c r="D823" s="3">
        <v>1.59</v>
      </c>
      <c r="E823" s="3">
        <v>27.523</v>
      </c>
      <c r="F823" s="3">
        <v>75.605999999999995</v>
      </c>
      <c r="G823" s="3"/>
      <c r="H823" s="2">
        <v>0.5</v>
      </c>
      <c r="I823" s="3"/>
      <c r="J823" s="3"/>
      <c r="K823" s="3"/>
      <c r="N823" s="4" t="s">
        <v>101</v>
      </c>
      <c r="O823" s="2" t="s">
        <v>17</v>
      </c>
      <c r="P823" s="2" t="s">
        <v>17</v>
      </c>
    </row>
    <row r="824" spans="1:16" ht="14.25" customHeight="1">
      <c r="A824" s="2" t="s">
        <v>15</v>
      </c>
      <c r="B824" s="2">
        <v>2001</v>
      </c>
      <c r="C824" s="2" t="s">
        <v>30</v>
      </c>
      <c r="D824" s="3">
        <v>2.5539999999999998</v>
      </c>
      <c r="E824" s="3">
        <v>29.132999999999999</v>
      </c>
      <c r="F824" s="3">
        <v>83.195999999999998</v>
      </c>
      <c r="G824" s="3"/>
      <c r="H824" s="2">
        <v>0.8</v>
      </c>
      <c r="I824" s="3"/>
      <c r="J824" s="3"/>
      <c r="K824" s="3"/>
      <c r="N824" s="4" t="s">
        <v>101</v>
      </c>
      <c r="O824" s="2" t="s">
        <v>17</v>
      </c>
      <c r="P824" s="2" t="s">
        <v>17</v>
      </c>
    </row>
    <row r="825" spans="1:16" ht="14.25" customHeight="1">
      <c r="A825" s="2" t="s">
        <v>15</v>
      </c>
      <c r="B825" s="2">
        <v>2002</v>
      </c>
      <c r="C825" s="2" t="s">
        <v>30</v>
      </c>
      <c r="D825" s="3">
        <v>1.5249999999999999</v>
      </c>
      <c r="E825" s="3">
        <v>30.925000000000001</v>
      </c>
      <c r="F825" s="3">
        <v>86.634</v>
      </c>
      <c r="G825" s="3"/>
      <c r="H825" s="2">
        <v>0.3</v>
      </c>
      <c r="I825" s="3"/>
      <c r="J825" s="3"/>
      <c r="K825" s="3"/>
      <c r="N825" s="4" t="s">
        <v>101</v>
      </c>
      <c r="O825" s="2" t="s">
        <v>17</v>
      </c>
      <c r="P825" s="2" t="s">
        <v>17</v>
      </c>
    </row>
    <row r="826" spans="1:16" ht="14.25" customHeight="1">
      <c r="A826" s="2" t="s">
        <v>15</v>
      </c>
      <c r="B826" s="2">
        <v>2003</v>
      </c>
      <c r="C826" s="2" t="s">
        <v>30</v>
      </c>
      <c r="D826" s="3">
        <v>0.65800000000000003</v>
      </c>
      <c r="E826" s="2">
        <v>29.4</v>
      </c>
      <c r="F826" s="2">
        <v>90.7</v>
      </c>
      <c r="H826" s="2">
        <v>0.5</v>
      </c>
      <c r="I826" s="3"/>
      <c r="J826" s="3"/>
      <c r="K826" s="3"/>
      <c r="N826" s="4" t="s">
        <v>101</v>
      </c>
      <c r="O826" s="2" t="s">
        <v>17</v>
      </c>
      <c r="P826" s="2" t="s">
        <v>17</v>
      </c>
    </row>
    <row r="827" spans="1:16" ht="14.25" customHeight="1">
      <c r="A827" s="2" t="s">
        <v>15</v>
      </c>
      <c r="B827" s="2">
        <v>2004</v>
      </c>
      <c r="C827" s="2" t="s">
        <v>30</v>
      </c>
      <c r="D827" s="3">
        <v>0.52800000000000002</v>
      </c>
      <c r="E827" s="2">
        <v>25.2</v>
      </c>
      <c r="F827" s="2">
        <v>91.6</v>
      </c>
      <c r="H827" s="2">
        <v>0</v>
      </c>
      <c r="I827" s="3"/>
      <c r="J827" s="3"/>
      <c r="K827" s="3"/>
      <c r="N827" s="4" t="s">
        <v>101</v>
      </c>
      <c r="O827" s="2" t="s">
        <v>17</v>
      </c>
      <c r="P827" s="2" t="s">
        <v>17</v>
      </c>
    </row>
    <row r="828" spans="1:16" ht="14.25" customHeight="1">
      <c r="A828" s="2" t="s">
        <v>15</v>
      </c>
      <c r="B828" s="2">
        <v>2005</v>
      </c>
      <c r="C828" s="2" t="s">
        <v>30</v>
      </c>
      <c r="D828" s="3">
        <v>0.54</v>
      </c>
      <c r="E828" s="2">
        <v>23</v>
      </c>
      <c r="F828" s="2">
        <v>90.5</v>
      </c>
      <c r="H828" s="2">
        <v>0</v>
      </c>
      <c r="I828" s="3"/>
      <c r="J828" s="3"/>
      <c r="K828" s="3"/>
      <c r="N828" s="4" t="s">
        <v>101</v>
      </c>
      <c r="O828" s="2" t="s">
        <v>17</v>
      </c>
      <c r="P828" s="2" t="s">
        <v>17</v>
      </c>
    </row>
    <row r="829" spans="1:16" ht="14.25" customHeight="1">
      <c r="A829" s="2" t="s">
        <v>15</v>
      </c>
      <c r="B829" s="2">
        <v>2006</v>
      </c>
      <c r="C829" s="2" t="s">
        <v>30</v>
      </c>
      <c r="D829" s="3">
        <v>0.47799999999999998</v>
      </c>
      <c r="E829" s="2">
        <v>22.8</v>
      </c>
      <c r="F829" s="2">
        <v>89.4</v>
      </c>
      <c r="H829" s="2">
        <v>0</v>
      </c>
      <c r="I829" s="3"/>
      <c r="J829" s="3"/>
      <c r="K829" s="3"/>
      <c r="N829" s="4" t="s">
        <v>101</v>
      </c>
      <c r="O829" s="2" t="s">
        <v>17</v>
      </c>
      <c r="P829" s="2" t="s">
        <v>17</v>
      </c>
    </row>
    <row r="830" spans="1:16" ht="14.25" customHeight="1">
      <c r="A830" s="2" t="s">
        <v>15</v>
      </c>
      <c r="B830" s="2">
        <v>2007</v>
      </c>
      <c r="C830" s="2" t="s">
        <v>30</v>
      </c>
      <c r="D830" s="3">
        <v>1.403</v>
      </c>
      <c r="E830" s="2">
        <v>22.900000000000002</v>
      </c>
      <c r="F830" s="2">
        <v>87.5</v>
      </c>
      <c r="H830" s="2">
        <v>0</v>
      </c>
      <c r="I830" s="3"/>
      <c r="J830" s="3"/>
      <c r="K830" s="3"/>
      <c r="N830" s="4" t="s">
        <v>101</v>
      </c>
      <c r="O830" s="2" t="s">
        <v>17</v>
      </c>
      <c r="P830" s="2" t="s">
        <v>17</v>
      </c>
    </row>
    <row r="831" spans="1:16" ht="14.25" customHeight="1">
      <c r="A831" s="2" t="s">
        <v>15</v>
      </c>
      <c r="B831" s="2">
        <v>2008</v>
      </c>
      <c r="C831" s="2" t="s">
        <v>30</v>
      </c>
      <c r="D831" s="3">
        <v>0.88900000000000001</v>
      </c>
      <c r="E831" s="2">
        <v>16.400000000000002</v>
      </c>
      <c r="F831" s="2">
        <v>80.100000000000009</v>
      </c>
      <c r="H831" s="2">
        <v>0</v>
      </c>
      <c r="I831" s="3"/>
      <c r="J831" s="3"/>
      <c r="K831" s="3"/>
      <c r="N831" s="4" t="s">
        <v>101</v>
      </c>
      <c r="O831" s="2" t="s">
        <v>17</v>
      </c>
      <c r="P831" s="2" t="s">
        <v>17</v>
      </c>
    </row>
    <row r="832" spans="1:16" ht="14.25" customHeight="1">
      <c r="A832" s="2" t="s">
        <v>15</v>
      </c>
      <c r="B832" s="2">
        <v>2009</v>
      </c>
      <c r="C832" s="2" t="s">
        <v>30</v>
      </c>
      <c r="D832" s="3">
        <v>1.0920000000000001</v>
      </c>
      <c r="E832" s="2">
        <v>17.2</v>
      </c>
      <c r="F832" s="2">
        <v>84.9</v>
      </c>
      <c r="H832" s="2">
        <v>0</v>
      </c>
      <c r="I832" s="3"/>
      <c r="J832" s="3"/>
      <c r="K832" s="3"/>
      <c r="N832" s="4" t="s">
        <v>101</v>
      </c>
      <c r="O832" s="2" t="s">
        <v>17</v>
      </c>
      <c r="P832" s="2" t="s">
        <v>17</v>
      </c>
    </row>
    <row r="833" spans="1:16" ht="14.25" customHeight="1">
      <c r="A833" s="2" t="s">
        <v>15</v>
      </c>
      <c r="B833" s="2">
        <v>2010</v>
      </c>
      <c r="C833" s="2" t="s">
        <v>30</v>
      </c>
      <c r="D833" s="3">
        <v>0.9</v>
      </c>
      <c r="E833" s="2">
        <v>16.5</v>
      </c>
      <c r="F833" s="2">
        <v>86</v>
      </c>
      <c r="H833" s="2">
        <v>2.8</v>
      </c>
      <c r="I833" s="3"/>
      <c r="J833" s="3"/>
      <c r="K833" s="3"/>
      <c r="N833" s="4" t="s">
        <v>101</v>
      </c>
      <c r="O833" s="2" t="s">
        <v>17</v>
      </c>
      <c r="P833" s="2" t="s">
        <v>17</v>
      </c>
    </row>
    <row r="834" spans="1:16" ht="14.25" customHeight="1">
      <c r="A834" s="2" t="s">
        <v>15</v>
      </c>
      <c r="B834" s="2">
        <v>2011</v>
      </c>
      <c r="C834" s="2" t="s">
        <v>30</v>
      </c>
      <c r="D834" s="3">
        <v>0.4</v>
      </c>
      <c r="E834" s="2">
        <v>14.7</v>
      </c>
      <c r="F834" s="2">
        <v>90.4</v>
      </c>
      <c r="H834" s="2">
        <v>0</v>
      </c>
      <c r="I834" s="3"/>
      <c r="J834" s="3"/>
      <c r="K834" s="3"/>
      <c r="N834" s="4" t="s">
        <v>101</v>
      </c>
      <c r="O834" s="2" t="s">
        <v>17</v>
      </c>
      <c r="P834" s="2" t="s">
        <v>17</v>
      </c>
    </row>
    <row r="835" spans="1:16" ht="14.25" customHeight="1">
      <c r="A835" s="2" t="s">
        <v>15</v>
      </c>
      <c r="B835" s="2">
        <v>2012</v>
      </c>
      <c r="C835" s="2" t="s">
        <v>30</v>
      </c>
      <c r="D835" s="3">
        <v>1</v>
      </c>
      <c r="E835" s="2">
        <v>13.7</v>
      </c>
      <c r="F835" s="2">
        <v>85.8</v>
      </c>
      <c r="H835" s="2">
        <v>1.3</v>
      </c>
      <c r="I835" s="3"/>
      <c r="J835" s="3"/>
      <c r="K835" s="3"/>
      <c r="N835" s="4" t="s">
        <v>101</v>
      </c>
      <c r="O835" s="2" t="s">
        <v>17</v>
      </c>
      <c r="P835" s="2" t="s">
        <v>17</v>
      </c>
    </row>
    <row r="836" spans="1:16" ht="14.25" customHeight="1">
      <c r="A836" s="2" t="s">
        <v>15</v>
      </c>
      <c r="B836" s="2">
        <v>2013</v>
      </c>
      <c r="C836" s="2" t="s">
        <v>30</v>
      </c>
      <c r="D836" s="3">
        <v>0.9</v>
      </c>
      <c r="E836" s="2">
        <v>16.100000000000001</v>
      </c>
      <c r="F836" s="2">
        <v>85.1</v>
      </c>
      <c r="H836" s="2">
        <v>0</v>
      </c>
      <c r="I836" s="3"/>
      <c r="J836" s="3"/>
      <c r="K836" s="3"/>
      <c r="N836" s="4" t="s">
        <v>101</v>
      </c>
      <c r="O836" s="2" t="s">
        <v>17</v>
      </c>
      <c r="P836" s="2" t="s">
        <v>17</v>
      </c>
    </row>
    <row r="837" spans="1:16" ht="14.25" customHeight="1">
      <c r="A837" s="2" t="s">
        <v>15</v>
      </c>
      <c r="B837" s="2">
        <v>2014</v>
      </c>
      <c r="C837" s="2" t="s">
        <v>30</v>
      </c>
      <c r="D837" s="3">
        <v>0.6</v>
      </c>
      <c r="E837" s="2">
        <v>13.5</v>
      </c>
      <c r="F837" s="2">
        <v>82.3</v>
      </c>
      <c r="H837" s="2">
        <v>0</v>
      </c>
      <c r="I837" s="3"/>
      <c r="J837" s="3"/>
      <c r="K837" s="3"/>
      <c r="N837" s="4" t="s">
        <v>101</v>
      </c>
      <c r="O837" s="2" t="s">
        <v>17</v>
      </c>
      <c r="P837" s="2" t="s">
        <v>17</v>
      </c>
    </row>
    <row r="838" spans="1:16" ht="14.25" customHeight="1">
      <c r="A838" s="2" t="s">
        <v>15</v>
      </c>
      <c r="B838" s="2">
        <v>2015</v>
      </c>
      <c r="C838" s="2" t="s">
        <v>30</v>
      </c>
      <c r="D838" s="3">
        <v>0.3</v>
      </c>
      <c r="E838" s="2">
        <v>11.7</v>
      </c>
      <c r="F838" s="2">
        <v>77.400000000000006</v>
      </c>
      <c r="H838" s="2">
        <v>0</v>
      </c>
      <c r="I838" s="3"/>
      <c r="J838" s="3"/>
      <c r="K838" s="3"/>
      <c r="N838" s="4" t="s">
        <v>101</v>
      </c>
      <c r="O838" s="2" t="s">
        <v>17</v>
      </c>
      <c r="P838" s="2" t="s">
        <v>17</v>
      </c>
    </row>
    <row r="839" spans="1:16" ht="14.25" customHeight="1">
      <c r="A839" s="2" t="s">
        <v>15</v>
      </c>
      <c r="B839" s="2">
        <v>2016</v>
      </c>
      <c r="C839" s="2" t="s">
        <v>30</v>
      </c>
      <c r="D839" s="3">
        <v>0.8</v>
      </c>
      <c r="E839" s="2">
        <v>12.6</v>
      </c>
      <c r="F839" s="2">
        <v>81.8</v>
      </c>
      <c r="H839" s="2">
        <v>0</v>
      </c>
      <c r="I839" s="3"/>
      <c r="J839" s="3"/>
      <c r="K839" s="3"/>
      <c r="N839" s="4" t="s">
        <v>101</v>
      </c>
      <c r="O839" s="2" t="s">
        <v>17</v>
      </c>
      <c r="P839" s="2" t="s">
        <v>17</v>
      </c>
    </row>
    <row r="840" spans="1:16" ht="14.25" customHeight="1">
      <c r="A840" s="2" t="s">
        <v>15</v>
      </c>
      <c r="B840" s="2">
        <v>2017</v>
      </c>
      <c r="C840" s="2" t="s">
        <v>30</v>
      </c>
      <c r="D840" s="3">
        <v>0.6</v>
      </c>
      <c r="E840" s="2">
        <v>14.2</v>
      </c>
      <c r="F840" s="2">
        <v>81</v>
      </c>
      <c r="H840" s="2">
        <v>0</v>
      </c>
      <c r="I840" s="3"/>
      <c r="J840" s="3"/>
      <c r="K840" s="3"/>
      <c r="N840" s="4" t="s">
        <v>101</v>
      </c>
      <c r="O840" s="2" t="s">
        <v>17</v>
      </c>
      <c r="P840" s="2" t="s">
        <v>17</v>
      </c>
    </row>
    <row r="841" spans="1:16" ht="14.25" customHeight="1">
      <c r="A841" s="2" t="s">
        <v>15</v>
      </c>
      <c r="B841" s="2">
        <v>2018</v>
      </c>
      <c r="C841" s="2" t="s">
        <v>30</v>
      </c>
      <c r="D841" s="3">
        <v>1.1000000000000001</v>
      </c>
      <c r="E841" s="2">
        <v>13.1</v>
      </c>
      <c r="F841" s="2">
        <v>80.2</v>
      </c>
      <c r="H841" s="2">
        <v>1.3</v>
      </c>
      <c r="I841" s="3"/>
      <c r="J841" s="3"/>
      <c r="K841" s="3"/>
      <c r="N841" s="4" t="s">
        <v>101</v>
      </c>
      <c r="O841" s="2" t="s">
        <v>17</v>
      </c>
      <c r="P841" s="2" t="s">
        <v>17</v>
      </c>
    </row>
    <row r="842" spans="1:16" ht="14.25" customHeight="1">
      <c r="A842" s="2" t="s">
        <v>15</v>
      </c>
      <c r="B842" s="2">
        <v>2019</v>
      </c>
      <c r="C842" s="2" t="s">
        <v>30</v>
      </c>
      <c r="D842" s="3">
        <v>0.4</v>
      </c>
      <c r="E842" s="2">
        <v>11.310750000000001</v>
      </c>
      <c r="F842" s="2">
        <v>78.440484999999995</v>
      </c>
      <c r="H842" s="2">
        <v>0.3</v>
      </c>
      <c r="I842" s="3"/>
      <c r="J842" s="3"/>
      <c r="K842" s="3"/>
      <c r="N842" s="4" t="s">
        <v>101</v>
      </c>
      <c r="O842" s="2" t="s">
        <v>17</v>
      </c>
      <c r="P842" s="2" t="s">
        <v>17</v>
      </c>
    </row>
    <row r="843" spans="1:16" ht="14.25" customHeight="1">
      <c r="A843" s="2" t="s">
        <v>15</v>
      </c>
      <c r="B843" s="2">
        <v>2020</v>
      </c>
      <c r="C843" s="2" t="s">
        <v>30</v>
      </c>
      <c r="D843" s="3">
        <v>1.1032090999999999</v>
      </c>
      <c r="E843" s="2">
        <v>12.163997999999999</v>
      </c>
      <c r="F843" s="2">
        <v>76.799329999999998</v>
      </c>
      <c r="H843" s="2">
        <v>0.1468257</v>
      </c>
      <c r="I843" s="3"/>
      <c r="J843" s="3"/>
      <c r="K843" s="3"/>
      <c r="N843" s="4" t="s">
        <v>101</v>
      </c>
      <c r="O843" s="2" t="s">
        <v>17</v>
      </c>
      <c r="P843" s="2" t="s">
        <v>17</v>
      </c>
    </row>
    <row r="844" spans="1:16" ht="14.25" customHeight="1">
      <c r="A844" s="2" t="s">
        <v>15</v>
      </c>
      <c r="B844" s="2">
        <v>1900</v>
      </c>
      <c r="C844" s="2" t="s">
        <v>16</v>
      </c>
      <c r="D844" s="3">
        <v>745.32970940865664</v>
      </c>
      <c r="E844" s="3" t="e">
        <v>#VALUE!</v>
      </c>
      <c r="F844" s="3">
        <v>113.1025706157285</v>
      </c>
      <c r="I844" s="3">
        <v>709.38465423490663</v>
      </c>
      <c r="J844" s="3">
        <v>219.12743191173877</v>
      </c>
      <c r="K844" s="3">
        <v>265.57444254189699</v>
      </c>
      <c r="N844" s="4" t="s">
        <v>99</v>
      </c>
      <c r="O844" s="2">
        <v>539.1147806974684</v>
      </c>
      <c r="P844" s="2">
        <v>365.21155761024175</v>
      </c>
    </row>
    <row r="845" spans="1:16" ht="14.25" customHeight="1">
      <c r="A845" s="2" t="s">
        <v>15</v>
      </c>
      <c r="B845" s="2">
        <v>1901</v>
      </c>
      <c r="C845" s="2" t="s">
        <v>16</v>
      </c>
      <c r="D845" s="3">
        <v>805.2727087990246</v>
      </c>
      <c r="E845" s="3" t="e">
        <v>#VALUE!</v>
      </c>
      <c r="F845" s="3">
        <v>116.94894330420647</v>
      </c>
      <c r="I845" s="3">
        <v>696.75152825672103</v>
      </c>
      <c r="J845" s="3">
        <v>224.23902667257789</v>
      </c>
      <c r="K845" s="3">
        <v>265.60080338972296</v>
      </c>
      <c r="N845" s="4" t="s">
        <v>99</v>
      </c>
      <c r="O845" s="2">
        <v>544.13984302040558</v>
      </c>
      <c r="P845" s="2">
        <v>394.58362731152204</v>
      </c>
    </row>
    <row r="846" spans="1:16" ht="14.25" customHeight="1">
      <c r="A846" s="2" t="s">
        <v>15</v>
      </c>
      <c r="B846" s="2">
        <v>1902</v>
      </c>
      <c r="C846" s="2" t="s">
        <v>16</v>
      </c>
      <c r="D846" s="3">
        <v>913.40444015444007</v>
      </c>
      <c r="E846" s="3" t="e">
        <v>#VALUE!</v>
      </c>
      <c r="F846" s="3">
        <v>131.22586872586874</v>
      </c>
      <c r="I846" s="3">
        <v>715.54053288704392</v>
      </c>
      <c r="J846" s="3">
        <v>270.66179408534498</v>
      </c>
      <c r="K846" s="3">
        <v>299.80608456343231</v>
      </c>
      <c r="N846" s="4" t="s">
        <v>99</v>
      </c>
      <c r="O846" s="2">
        <v>548.78370275315115</v>
      </c>
      <c r="P846" s="2">
        <v>447.5681756756756</v>
      </c>
    </row>
    <row r="847" spans="1:16" ht="14.25" customHeight="1">
      <c r="A847" s="2" t="s">
        <v>15</v>
      </c>
      <c r="B847" s="2">
        <v>1903</v>
      </c>
      <c r="C847" s="2" t="s">
        <v>16</v>
      </c>
      <c r="D847" s="3">
        <v>972.00414082503551</v>
      </c>
      <c r="E847" s="3" t="e">
        <v>#VALUE!</v>
      </c>
      <c r="F847" s="3">
        <v>106.7569091648039</v>
      </c>
      <c r="I847" s="3">
        <v>730.45962561507793</v>
      </c>
      <c r="J847" s="3">
        <v>238.2600101082362</v>
      </c>
      <c r="K847" s="3">
        <v>232.14901391466964</v>
      </c>
      <c r="N847" s="4" t="s">
        <v>99</v>
      </c>
      <c r="O847" s="2">
        <v>553.41970263867631</v>
      </c>
      <c r="P847" s="2">
        <v>470.12125900426742</v>
      </c>
    </row>
    <row r="848" spans="1:16" ht="14.25" customHeight="1">
      <c r="A848" s="2" t="s">
        <v>15</v>
      </c>
      <c r="B848" s="2">
        <v>1904</v>
      </c>
      <c r="C848" s="2" t="s">
        <v>16</v>
      </c>
      <c r="D848" s="3">
        <v>1060.380606990449</v>
      </c>
      <c r="E848" s="3" t="e">
        <v>#VALUE!</v>
      </c>
      <c r="F848" s="3">
        <v>107.50695996748628</v>
      </c>
      <c r="I848" s="3">
        <v>684.91230798053368</v>
      </c>
      <c r="J848" s="3">
        <v>256.80573535560319</v>
      </c>
      <c r="K848" s="3">
        <v>240.73960223727585</v>
      </c>
      <c r="N848" s="4" t="s">
        <v>99</v>
      </c>
      <c r="O848" s="2">
        <v>558.19848974870615</v>
      </c>
      <c r="P848" s="2">
        <v>513.10232742532003</v>
      </c>
    </row>
    <row r="849" spans="1:16" ht="14.25" customHeight="1">
      <c r="A849" s="2" t="s">
        <v>15</v>
      </c>
      <c r="B849" s="2">
        <v>1905</v>
      </c>
      <c r="C849" s="2" t="s">
        <v>16</v>
      </c>
      <c r="D849" s="3">
        <v>1038.8793090835195</v>
      </c>
      <c r="E849" s="3" t="e">
        <v>#VALUE!</v>
      </c>
      <c r="F849" s="3">
        <v>111.32915057915058</v>
      </c>
      <c r="I849" s="3">
        <v>768.37608985174984</v>
      </c>
      <c r="J849" s="3">
        <v>300.85580582885262</v>
      </c>
      <c r="K849" s="3">
        <v>232.91970576413428</v>
      </c>
      <c r="N849" s="4" t="s">
        <v>99</v>
      </c>
      <c r="O849" s="2">
        <v>563.03753568742616</v>
      </c>
      <c r="P849" s="2">
        <v>506.01006145092452</v>
      </c>
    </row>
    <row r="850" spans="1:16" ht="14.25" customHeight="1">
      <c r="A850" s="2" t="s">
        <v>15</v>
      </c>
      <c r="B850" s="2">
        <v>1906</v>
      </c>
      <c r="C850" s="2" t="s">
        <v>16</v>
      </c>
      <c r="D850" s="3">
        <v>1083.9701877667139</v>
      </c>
      <c r="E850" s="3">
        <v>379.42786019101811</v>
      </c>
      <c r="F850" s="3">
        <v>133.58992074781548</v>
      </c>
      <c r="I850" s="3">
        <v>822.67602241105135</v>
      </c>
      <c r="J850" s="3">
        <v>326.38507266763833</v>
      </c>
      <c r="K850" s="3">
        <v>270.96012793629052</v>
      </c>
      <c r="N850" s="4" t="s">
        <v>99</v>
      </c>
      <c r="O850" s="2">
        <v>568.01936885065095</v>
      </c>
      <c r="P850" s="2">
        <v>522.65845200568981</v>
      </c>
    </row>
    <row r="851" spans="1:16" ht="14.25" customHeight="1">
      <c r="A851" s="2" t="s">
        <v>15</v>
      </c>
      <c r="B851" s="2">
        <v>1907</v>
      </c>
      <c r="C851" s="2" t="s">
        <v>16</v>
      </c>
      <c r="D851" s="3">
        <v>1245.3841422475107</v>
      </c>
      <c r="E851" s="3">
        <v>486.3540438935176</v>
      </c>
      <c r="F851" s="3">
        <v>127.49644381223328</v>
      </c>
      <c r="I851" s="3">
        <v>837.44987119131986</v>
      </c>
      <c r="J851" s="3">
        <v>367.21895867815954</v>
      </c>
      <c r="K851" s="3">
        <v>204.42538101034606</v>
      </c>
      <c r="N851" s="4" t="s">
        <v>99</v>
      </c>
      <c r="O851" s="2">
        <v>572.95404293055299</v>
      </c>
      <c r="P851" s="2">
        <v>601.66308970128023</v>
      </c>
    </row>
    <row r="852" spans="1:16" ht="14.25" customHeight="1">
      <c r="A852" s="2" t="s">
        <v>15</v>
      </c>
      <c r="B852" s="2">
        <v>1908</v>
      </c>
      <c r="C852" s="2" t="s">
        <v>16</v>
      </c>
      <c r="D852" s="3">
        <v>1190.9825685836211</v>
      </c>
      <c r="E852" s="3">
        <v>456.16495630969308</v>
      </c>
      <c r="F852" s="3">
        <v>133.5533428165007</v>
      </c>
      <c r="I852" s="3">
        <v>783.73710274179291</v>
      </c>
      <c r="J852" s="3">
        <v>329.0424943145253</v>
      </c>
      <c r="K852" s="3">
        <v>229.04484990520908</v>
      </c>
      <c r="N852" s="4" t="s">
        <v>99</v>
      </c>
      <c r="O852" s="2">
        <v>578.01054464237177</v>
      </c>
      <c r="P852" s="2">
        <v>575.37675860597437</v>
      </c>
    </row>
    <row r="853" spans="1:16" ht="14.25" customHeight="1">
      <c r="A853" s="2" t="s">
        <v>15</v>
      </c>
      <c r="B853" s="2">
        <v>1910</v>
      </c>
      <c r="C853" s="2" t="s">
        <v>16</v>
      </c>
      <c r="D853" s="3">
        <v>1195.1896421459051</v>
      </c>
      <c r="E853" s="3">
        <v>453.21027230237758</v>
      </c>
      <c r="F853" s="3">
        <v>192.13132493395651</v>
      </c>
      <c r="I853" s="3">
        <v>821.55919558080018</v>
      </c>
      <c r="J853" s="3">
        <v>366.93904945497843</v>
      </c>
      <c r="K853" s="3">
        <v>262.10584909581826</v>
      </c>
      <c r="N853" s="4" t="s">
        <v>99</v>
      </c>
      <c r="O853" s="2">
        <v>588.38685294789457</v>
      </c>
      <c r="P853" s="2">
        <v>578.62913465149347</v>
      </c>
    </row>
    <row r="854" spans="1:16" ht="14.25" customHeight="1">
      <c r="A854" s="2" t="s">
        <v>15</v>
      </c>
      <c r="B854" s="2">
        <v>1911</v>
      </c>
      <c r="C854" s="2" t="s">
        <v>16</v>
      </c>
      <c r="D854" s="3">
        <v>1231.5205068075595</v>
      </c>
      <c r="E854" s="3">
        <v>498.01828896565735</v>
      </c>
      <c r="F854" s="3">
        <v>166.40002032107296</v>
      </c>
      <c r="I854" s="3">
        <v>821.83099466414649</v>
      </c>
      <c r="J854" s="3">
        <v>449.76450168809038</v>
      </c>
      <c r="K854" s="3">
        <v>273.74751328387276</v>
      </c>
      <c r="N854" s="4" t="s">
        <v>99</v>
      </c>
      <c r="O854" s="2">
        <v>552.67563710180764</v>
      </c>
      <c r="P854" s="2">
        <v>596.43440833570412</v>
      </c>
    </row>
    <row r="855" spans="1:16" ht="14.25" customHeight="1">
      <c r="A855" s="2" t="s">
        <v>15</v>
      </c>
      <c r="B855" s="2">
        <v>1912</v>
      </c>
      <c r="C855" s="2" t="s">
        <v>16</v>
      </c>
      <c r="D855" s="3">
        <v>1237.2673330623857</v>
      </c>
      <c r="E855" s="3">
        <v>535.1140520219468</v>
      </c>
      <c r="F855" s="3">
        <v>158.58545011176588</v>
      </c>
      <c r="I855" s="3">
        <v>888.7215735336722</v>
      </c>
      <c r="J855" s="3">
        <v>456.11141699940413</v>
      </c>
      <c r="K855" s="3">
        <v>265.72003978331526</v>
      </c>
      <c r="N855" s="4" t="s">
        <v>99</v>
      </c>
      <c r="O855" s="2">
        <v>579.60609362812193</v>
      </c>
      <c r="P855" s="2">
        <v>598.46453320056889</v>
      </c>
    </row>
    <row r="856" spans="1:16" ht="14.25" customHeight="1">
      <c r="A856" s="2" t="s">
        <v>15</v>
      </c>
      <c r="B856" s="2">
        <v>1913</v>
      </c>
      <c r="C856" s="2" t="s">
        <v>16</v>
      </c>
      <c r="D856" s="3">
        <v>1263.0522101198942</v>
      </c>
      <c r="E856" s="3">
        <v>558.76706970128021</v>
      </c>
      <c r="F856" s="3">
        <v>187.4095204226783</v>
      </c>
      <c r="I856" s="3">
        <v>994.05642753683856</v>
      </c>
      <c r="J856" s="3">
        <v>514.37038801378196</v>
      </c>
      <c r="K856" s="3">
        <v>335.00383251918009</v>
      </c>
      <c r="N856" s="4" t="s">
        <v>99</v>
      </c>
      <c r="O856" s="2">
        <v>582.18281354189082</v>
      </c>
      <c r="P856" s="2">
        <v>610.72532295874817</v>
      </c>
    </row>
    <row r="857" spans="1:16" ht="14.25" customHeight="1">
      <c r="A857" s="2" t="s">
        <v>15</v>
      </c>
      <c r="B857" s="2">
        <v>1914</v>
      </c>
      <c r="C857" s="2" t="s">
        <v>16</v>
      </c>
      <c r="D857" s="3">
        <v>935.8924568177199</v>
      </c>
      <c r="E857" s="3">
        <v>253.91886811623652</v>
      </c>
      <c r="F857" s="3">
        <v>181.52824629140417</v>
      </c>
      <c r="I857" s="3">
        <v>785.48158471492366</v>
      </c>
      <c r="J857" s="3">
        <v>257.60465770077974</v>
      </c>
      <c r="K857" s="3">
        <v>388.94416264307438</v>
      </c>
      <c r="N857" s="4" t="s">
        <v>100</v>
      </c>
      <c r="O857" s="2">
        <v>586.95898070284716</v>
      </c>
      <c r="P857" s="2">
        <v>450.25450384068279</v>
      </c>
    </row>
    <row r="858" spans="1:16" ht="14.25" customHeight="1">
      <c r="A858" s="2" t="s">
        <v>15</v>
      </c>
      <c r="B858" s="2">
        <v>1915</v>
      </c>
      <c r="C858" s="2" t="s">
        <v>16</v>
      </c>
      <c r="D858" s="3">
        <v>478.57756330014223</v>
      </c>
      <c r="E858" s="3">
        <v>66.943913838650687</v>
      </c>
      <c r="F858" s="3">
        <v>180.34520422678315</v>
      </c>
      <c r="I858" s="3">
        <v>620.83236615409419</v>
      </c>
      <c r="J858" s="3">
        <v>89.767809250536772</v>
      </c>
      <c r="K858" s="3">
        <v>473.98226056065198</v>
      </c>
      <c r="N858" s="4" t="s">
        <v>100</v>
      </c>
      <c r="O858" s="2">
        <v>566.16444490662604</v>
      </c>
      <c r="P858" s="2">
        <v>226.33211601706969</v>
      </c>
    </row>
    <row r="859" spans="1:16" ht="14.25" customHeight="1">
      <c r="A859" s="2" t="s">
        <v>15</v>
      </c>
      <c r="B859" s="2">
        <v>1916</v>
      </c>
      <c r="C859" s="2" t="s">
        <v>16</v>
      </c>
      <c r="D859" s="3">
        <v>450.42633387522858</v>
      </c>
      <c r="E859" s="3">
        <v>92.95483641536272</v>
      </c>
      <c r="F859" s="3">
        <v>191.89290794553952</v>
      </c>
      <c r="I859" s="3">
        <v>581.53969091154886</v>
      </c>
      <c r="J859" s="3">
        <v>121.76126951494217</v>
      </c>
      <c r="K859" s="3">
        <v>548.20750707879495</v>
      </c>
      <c r="N859" s="4" t="s">
        <v>100</v>
      </c>
      <c r="O859" s="2">
        <v>555.42003375627928</v>
      </c>
      <c r="P859" s="2">
        <v>213.84001359886201</v>
      </c>
    </row>
    <row r="860" spans="1:16" ht="14.25" customHeight="1">
      <c r="A860" s="2" t="s">
        <v>15</v>
      </c>
      <c r="B860" s="2">
        <v>1917</v>
      </c>
      <c r="C860" s="2" t="s">
        <v>16</v>
      </c>
      <c r="D860" s="3">
        <v>431.06201564722613</v>
      </c>
      <c r="E860" s="3">
        <v>28.098557203820359</v>
      </c>
      <c r="F860" s="3">
        <v>169.64336516968095</v>
      </c>
      <c r="I860" s="3">
        <v>572.74609872514736</v>
      </c>
      <c r="J860" s="3">
        <v>43.167065402564091</v>
      </c>
      <c r="K860" s="3">
        <v>399.06869459946495</v>
      </c>
      <c r="N860" s="4" t="s">
        <v>100</v>
      </c>
      <c r="O860" s="2">
        <v>545.44326768446251</v>
      </c>
      <c r="P860" s="2">
        <v>203.84959766714081</v>
      </c>
    </row>
    <row r="861" spans="1:16" ht="14.25" customHeight="1">
      <c r="A861" s="2" t="s">
        <v>15</v>
      </c>
      <c r="B861" s="2">
        <v>1918</v>
      </c>
      <c r="C861" s="2" t="s">
        <v>16</v>
      </c>
      <c r="D861" s="3">
        <v>477.50835602519817</v>
      </c>
      <c r="E861" s="3">
        <v>19.512954684007315</v>
      </c>
      <c r="F861" s="3">
        <v>161.66327982117454</v>
      </c>
      <c r="I861" s="3">
        <v>733.34683884749586</v>
      </c>
      <c r="J861" s="3">
        <v>33.183679155927081</v>
      </c>
      <c r="K861" s="3">
        <v>598.93488406297615</v>
      </c>
      <c r="N861" s="4" t="s">
        <v>100</v>
      </c>
      <c r="O861" s="2">
        <v>542.77484955312184</v>
      </c>
      <c r="P861" s="2">
        <v>227.10789445234707</v>
      </c>
    </row>
    <row r="862" spans="1:16" ht="14.25" customHeight="1">
      <c r="A862" s="2" t="s">
        <v>15</v>
      </c>
      <c r="B862" s="2">
        <v>1919</v>
      </c>
      <c r="C862" s="2" t="s">
        <v>16</v>
      </c>
      <c r="D862" s="3">
        <v>902.66866754724651</v>
      </c>
      <c r="E862" s="3">
        <v>138.04323308270676</v>
      </c>
      <c r="F862" s="3">
        <v>149.76407234301971</v>
      </c>
      <c r="I862" s="3">
        <v>796.61148275085748</v>
      </c>
      <c r="J862" s="3">
        <v>143.87054070926905</v>
      </c>
      <c r="K862" s="3">
        <v>440.13087437528293</v>
      </c>
      <c r="N862" s="4" t="s">
        <v>99</v>
      </c>
      <c r="O862" s="2">
        <v>586.81750345287924</v>
      </c>
      <c r="P862" s="2">
        <v>435.00951709815075</v>
      </c>
    </row>
    <row r="863" spans="1:16" ht="14.25" customHeight="1">
      <c r="A863" s="2" t="s">
        <v>15</v>
      </c>
      <c r="B863" s="2">
        <v>1920</v>
      </c>
      <c r="C863" s="2" t="s">
        <v>16</v>
      </c>
      <c r="D863" s="3">
        <v>1128.126090225564</v>
      </c>
      <c r="E863" s="3">
        <v>202.01026214184108</v>
      </c>
      <c r="F863" s="3">
        <v>139.00965250965251</v>
      </c>
      <c r="I863" s="3">
        <v>771.16660172379261</v>
      </c>
      <c r="J863" s="3">
        <v>189.09173184649666</v>
      </c>
      <c r="K863" s="3">
        <v>342.37824966648924</v>
      </c>
      <c r="N863" s="4" t="s">
        <v>99</v>
      </c>
      <c r="O863" s="2">
        <v>595.92575640683697</v>
      </c>
      <c r="P863" s="2">
        <v>546.12688421052633</v>
      </c>
    </row>
    <row r="864" spans="1:16" ht="14.25" customHeight="1">
      <c r="A864" s="2" t="s">
        <v>15</v>
      </c>
      <c r="B864" s="2">
        <v>1921</v>
      </c>
      <c r="C864" s="2" t="s">
        <v>16</v>
      </c>
      <c r="D864" s="3">
        <v>884.96959723633404</v>
      </c>
      <c r="E864" s="3">
        <v>292.95006096321885</v>
      </c>
      <c r="F864" s="3">
        <v>143.47038203617151</v>
      </c>
      <c r="I864" s="3">
        <v>639.26071259986929</v>
      </c>
      <c r="J864" s="3">
        <v>176.58009983048782</v>
      </c>
      <c r="K864" s="3">
        <v>276.77956422100038</v>
      </c>
      <c r="N864" s="4" t="s">
        <v>99</v>
      </c>
      <c r="O864" s="2">
        <v>599.82293065364036</v>
      </c>
      <c r="P864" s="2">
        <v>427.57072264580364</v>
      </c>
    </row>
    <row r="865" spans="1:16" ht="14.25" customHeight="1">
      <c r="A865" s="2" t="s">
        <v>15</v>
      </c>
      <c r="B865" s="2">
        <v>1922</v>
      </c>
      <c r="C865" s="2" t="s">
        <v>16</v>
      </c>
      <c r="D865" s="3">
        <v>938.89928707579759</v>
      </c>
      <c r="E865" s="3">
        <v>221.12477138792926</v>
      </c>
      <c r="F865" s="3">
        <v>151.96677504572241</v>
      </c>
      <c r="I865" s="3">
        <v>620.1045511384475</v>
      </c>
      <c r="J865" s="3">
        <v>146.64296839261465</v>
      </c>
      <c r="K865" s="3">
        <v>301.36039888576784</v>
      </c>
      <c r="N865" s="4" t="s">
        <v>99</v>
      </c>
      <c r="O865" s="2">
        <v>580.73136175518221</v>
      </c>
      <c r="P865" s="2">
        <v>453.73356066714081</v>
      </c>
    </row>
    <row r="866" spans="1:16" ht="14.25" customHeight="1">
      <c r="A866" s="2" t="s">
        <v>15</v>
      </c>
      <c r="B866" s="2">
        <v>1923</v>
      </c>
      <c r="C866" s="2" t="s">
        <v>16</v>
      </c>
      <c r="D866" s="3">
        <v>894.69939785612667</v>
      </c>
      <c r="E866" s="3">
        <v>270.13076610445029</v>
      </c>
      <c r="F866" s="3">
        <v>191.45234708392601</v>
      </c>
      <c r="I866" s="3">
        <v>639.76800120071789</v>
      </c>
      <c r="J866" s="3">
        <v>161.98606855687311</v>
      </c>
      <c r="K866" s="3">
        <v>296.74616677137868</v>
      </c>
      <c r="N866" s="4" t="s">
        <v>99</v>
      </c>
      <c r="O866" s="2">
        <v>583.76526278227357</v>
      </c>
      <c r="P866" s="2">
        <v>432.56260494950209</v>
      </c>
    </row>
    <row r="867" spans="1:16" ht="14.25" customHeight="1">
      <c r="A867" s="2" t="s">
        <v>15</v>
      </c>
      <c r="B867" s="2">
        <v>1924</v>
      </c>
      <c r="C867" s="2" t="s">
        <v>16</v>
      </c>
      <c r="D867" s="3">
        <v>1089.7498084942085</v>
      </c>
      <c r="E867" s="3">
        <v>413.67689494005282</v>
      </c>
      <c r="F867" s="3">
        <v>213.46494614915667</v>
      </c>
      <c r="I867" s="3">
        <v>734.99438396993014</v>
      </c>
      <c r="J867" s="3">
        <v>304.77481975359552</v>
      </c>
      <c r="K867" s="3">
        <v>399.67036217323283</v>
      </c>
      <c r="N867" s="4" t="s">
        <v>99</v>
      </c>
      <c r="O867" s="2">
        <v>587.98993066326204</v>
      </c>
      <c r="P867" s="2">
        <v>527.52389616216226</v>
      </c>
    </row>
    <row r="868" spans="1:16" ht="14.25" customHeight="1">
      <c r="A868" s="2" t="s">
        <v>15</v>
      </c>
      <c r="B868" s="2">
        <v>1925</v>
      </c>
      <c r="C868" s="2" t="s">
        <v>16</v>
      </c>
      <c r="D868" s="3">
        <v>1024.8260493802072</v>
      </c>
      <c r="E868" s="3">
        <v>343.28053241211137</v>
      </c>
      <c r="F868" s="3">
        <v>225.26966063808166</v>
      </c>
      <c r="I868" s="3">
        <v>695.79980217411446</v>
      </c>
      <c r="J868" s="3">
        <v>271.77632881801338</v>
      </c>
      <c r="K868" s="3">
        <v>388.93864611943746</v>
      </c>
      <c r="N868" s="4" t="s">
        <v>99</v>
      </c>
      <c r="O868" s="2">
        <v>590.01253134798958</v>
      </c>
      <c r="P868" s="2">
        <v>493.93549419630153</v>
      </c>
    </row>
    <row r="869" spans="1:16" ht="14.25" customHeight="1">
      <c r="A869" s="2" t="s">
        <v>15</v>
      </c>
      <c r="B869" s="2">
        <v>1926</v>
      </c>
      <c r="C869" s="2" t="s">
        <v>16</v>
      </c>
      <c r="D869" s="3">
        <v>1008.9511438223939</v>
      </c>
      <c r="E869" s="3">
        <v>369.58021743548056</v>
      </c>
      <c r="F869" s="3">
        <v>244.12507620402354</v>
      </c>
      <c r="I869" s="3">
        <v>640.92185681366323</v>
      </c>
      <c r="J869" s="3">
        <v>267.75525886057983</v>
      </c>
      <c r="K869" s="3">
        <v>408.38816411183774</v>
      </c>
      <c r="N869" s="4" t="s">
        <v>99</v>
      </c>
      <c r="O869" s="2">
        <v>592.339046125241</v>
      </c>
      <c r="P869" s="2">
        <v>486.41320047297296</v>
      </c>
    </row>
    <row r="870" spans="1:16" ht="14.25" customHeight="1">
      <c r="A870" s="2" t="s">
        <v>15</v>
      </c>
      <c r="B870" s="2">
        <v>1927</v>
      </c>
      <c r="C870" s="2" t="s">
        <v>16</v>
      </c>
      <c r="D870" s="3">
        <v>1057.4710041353383</v>
      </c>
      <c r="E870" s="3">
        <v>390.16460069091647</v>
      </c>
      <c r="F870" s="3">
        <v>245.93085754927858</v>
      </c>
      <c r="I870" s="3">
        <v>656.83181077200231</v>
      </c>
      <c r="J870" s="3">
        <v>261.32952818444005</v>
      </c>
      <c r="K870" s="3">
        <v>432.07541048538468</v>
      </c>
      <c r="N870" s="4" t="s">
        <v>99</v>
      </c>
      <c r="O870" s="2">
        <v>595.14763153201307</v>
      </c>
      <c r="P870" s="2">
        <v>511.12285202631574</v>
      </c>
    </row>
    <row r="871" spans="1:16" ht="14.25" customHeight="1">
      <c r="A871" s="2" t="s">
        <v>15</v>
      </c>
      <c r="B871" s="2">
        <v>1928</v>
      </c>
      <c r="C871" s="2" t="s">
        <v>16</v>
      </c>
      <c r="D871" s="3">
        <v>1061.7324912009753</v>
      </c>
      <c r="E871" s="3">
        <v>391.20168664905503</v>
      </c>
      <c r="F871" s="3">
        <v>277.7845966267019</v>
      </c>
      <c r="I871" s="3">
        <v>685.57996155917954</v>
      </c>
      <c r="J871" s="3">
        <v>281.56530117212407</v>
      </c>
      <c r="K871" s="3">
        <v>507.17354385869095</v>
      </c>
      <c r="N871" s="4" t="s">
        <v>99</v>
      </c>
      <c r="O871" s="2">
        <v>597.63920310089384</v>
      </c>
      <c r="P871" s="2">
        <v>512.83025068847792</v>
      </c>
    </row>
    <row r="872" spans="1:16" ht="14.25" customHeight="1">
      <c r="A872" s="2" t="s">
        <v>15</v>
      </c>
      <c r="B872" s="2">
        <v>1929</v>
      </c>
      <c r="C872" s="2" t="s">
        <v>16</v>
      </c>
      <c r="D872" s="3">
        <v>1112.9009429790694</v>
      </c>
      <c r="E872" s="3">
        <v>420.6102926234505</v>
      </c>
      <c r="F872" s="3">
        <v>266.95620808778705</v>
      </c>
      <c r="I872" s="3">
        <v>739.79612370260077</v>
      </c>
      <c r="J872" s="3">
        <v>298.35445666731783</v>
      </c>
      <c r="K872" s="3">
        <v>501.91113986080285</v>
      </c>
      <c r="N872" s="4" t="s">
        <v>99</v>
      </c>
      <c r="O872" s="2">
        <v>599.06445539686752</v>
      </c>
      <c r="P872" s="2">
        <v>538.05903205974391</v>
      </c>
    </row>
    <row r="873" spans="1:16" ht="14.25" customHeight="1">
      <c r="A873" s="2" t="s">
        <v>15</v>
      </c>
      <c r="B873" s="2">
        <v>1930</v>
      </c>
      <c r="C873" s="2" t="s">
        <v>16</v>
      </c>
      <c r="D873" s="3">
        <v>1154.8787654846574</v>
      </c>
      <c r="E873" s="3">
        <v>364.44172932330827</v>
      </c>
      <c r="F873" s="3">
        <v>266.52931314773423</v>
      </c>
      <c r="I873" s="3">
        <v>730.43260701070653</v>
      </c>
      <c r="J873" s="3">
        <v>273.37883590361162</v>
      </c>
      <c r="K873" s="3">
        <v>497.28954289672663</v>
      </c>
      <c r="N873" s="4" t="s">
        <v>99</v>
      </c>
      <c r="O873" s="2">
        <v>601.13290519038105</v>
      </c>
      <c r="P873" s="2">
        <v>558.58658508748215</v>
      </c>
    </row>
    <row r="874" spans="1:16" ht="14.25" customHeight="1">
      <c r="A874" s="2" t="s">
        <v>15</v>
      </c>
      <c r="B874" s="2">
        <v>1931</v>
      </c>
      <c r="C874" s="2" t="s">
        <v>16</v>
      </c>
      <c r="D874" s="3">
        <v>1042.1164645397275</v>
      </c>
      <c r="E874" s="3">
        <v>276.57889656573866</v>
      </c>
      <c r="F874" s="3">
        <v>232.1066856330014</v>
      </c>
      <c r="I874" s="3">
        <v>660.23726981458185</v>
      </c>
      <c r="J874" s="3">
        <v>206.49970515441453</v>
      </c>
      <c r="K874" s="3">
        <v>447.66518064782974</v>
      </c>
      <c r="N874" s="4" t="s">
        <v>99</v>
      </c>
      <c r="O874" s="2">
        <v>603.552428159741</v>
      </c>
      <c r="P874" s="2">
        <v>504.56470762446651</v>
      </c>
    </row>
    <row r="875" spans="1:16" ht="14.25" customHeight="1">
      <c r="A875" s="2" t="s">
        <v>15</v>
      </c>
      <c r="B875" s="2">
        <v>1932</v>
      </c>
      <c r="C875" s="2" t="s">
        <v>16</v>
      </c>
      <c r="D875" s="3">
        <v>1026.2087837939443</v>
      </c>
      <c r="E875" s="3">
        <v>262.23506401137979</v>
      </c>
      <c r="F875" s="3">
        <v>210.27423287949603</v>
      </c>
      <c r="I875" s="3">
        <v>641.53918365315985</v>
      </c>
      <c r="J875" s="3">
        <v>188.96846559368674</v>
      </c>
      <c r="K875" s="3">
        <v>372.28074840993258</v>
      </c>
      <c r="N875" s="4" t="s">
        <v>99</v>
      </c>
      <c r="O875" s="2">
        <v>606.97670159878123</v>
      </c>
      <c r="P875" s="2">
        <v>497.07381405903271</v>
      </c>
    </row>
    <row r="876" spans="1:16" ht="14.25" customHeight="1">
      <c r="A876" s="2" t="s">
        <v>15</v>
      </c>
      <c r="B876" s="2">
        <v>1933</v>
      </c>
      <c r="C876" s="2" t="s">
        <v>16</v>
      </c>
      <c r="D876" s="3">
        <v>984.04854455395241</v>
      </c>
      <c r="E876" s="3">
        <v>202.03495224547854</v>
      </c>
      <c r="F876" s="3">
        <v>186.51742532005687</v>
      </c>
      <c r="I876" s="3">
        <v>644.97676925159908</v>
      </c>
      <c r="J876" s="3">
        <v>158.9767929047664</v>
      </c>
      <c r="K876" s="3">
        <v>315.61865561975674</v>
      </c>
      <c r="N876" s="4" t="s">
        <v>99</v>
      </c>
      <c r="O876" s="2">
        <v>609.40015449175144</v>
      </c>
      <c r="P876" s="2">
        <v>476.5026568314367</v>
      </c>
    </row>
    <row r="877" spans="1:16" ht="14.25" customHeight="1">
      <c r="A877" s="2" t="s">
        <v>15</v>
      </c>
      <c r="B877" s="2">
        <v>1934</v>
      </c>
      <c r="C877" s="2" t="s">
        <v>16</v>
      </c>
      <c r="D877" s="3">
        <v>982.24941942694568</v>
      </c>
      <c r="E877" s="3">
        <v>214.52159114001216</v>
      </c>
      <c r="F877" s="3">
        <v>189.0212355212355</v>
      </c>
      <c r="I877" s="3">
        <v>680.03907422482121</v>
      </c>
      <c r="J877" s="3">
        <v>152.7768867657843</v>
      </c>
      <c r="K877" s="3">
        <v>400.17718619851087</v>
      </c>
      <c r="N877" s="4" t="s">
        <v>99</v>
      </c>
      <c r="O877" s="2">
        <v>611.31271731539266</v>
      </c>
      <c r="P877" s="2">
        <v>475.31847551920333</v>
      </c>
    </row>
    <row r="878" spans="1:16" ht="14.25" customHeight="1">
      <c r="A878" s="2" t="s">
        <v>15</v>
      </c>
      <c r="B878" s="2">
        <v>1935</v>
      </c>
      <c r="C878" s="2" t="s">
        <v>16</v>
      </c>
      <c r="D878" s="3">
        <v>1043.8591917191627</v>
      </c>
      <c r="E878" s="3">
        <v>233.08595813858972</v>
      </c>
      <c r="F878" s="3">
        <v>197.42994310099573</v>
      </c>
      <c r="I878" s="3">
        <v>688.81589126831625</v>
      </c>
      <c r="J878" s="3">
        <v>158.48252119347757</v>
      </c>
      <c r="K878" s="3">
        <v>388.78806767499884</v>
      </c>
      <c r="N878" s="4" t="s">
        <v>99</v>
      </c>
      <c r="O878" s="2">
        <v>613.96541575229253</v>
      </c>
      <c r="P878" s="2">
        <v>505.74477394238971</v>
      </c>
    </row>
    <row r="879" spans="1:16" ht="14.25" customHeight="1">
      <c r="A879" s="2" t="s">
        <v>15</v>
      </c>
      <c r="B879" s="2">
        <v>1936</v>
      </c>
      <c r="C879" s="2" t="s">
        <v>16</v>
      </c>
      <c r="D879" s="3">
        <v>1095.2708636557609</v>
      </c>
      <c r="E879" s="3">
        <v>230.89549888234097</v>
      </c>
      <c r="F879" s="3">
        <v>183.84114001219262</v>
      </c>
      <c r="I879" s="3">
        <v>724.40739837499996</v>
      </c>
      <c r="J879" s="3">
        <v>166.0522909625</v>
      </c>
      <c r="K879" s="3">
        <v>394.34517242499999</v>
      </c>
      <c r="N879" s="4" t="s">
        <v>99</v>
      </c>
      <c r="O879" s="2">
        <v>616.75304156647667</v>
      </c>
      <c r="P879" s="2">
        <v>531.14586319132286</v>
      </c>
    </row>
    <row r="880" spans="1:16" ht="14.25" customHeight="1">
      <c r="A880" s="2" t="s">
        <v>15</v>
      </c>
      <c r="B880" s="2">
        <v>1937</v>
      </c>
      <c r="C880" s="2" t="s">
        <v>16</v>
      </c>
      <c r="D880" s="3">
        <v>1142.396636059744</v>
      </c>
      <c r="E880" s="3">
        <v>204.16988416988417</v>
      </c>
      <c r="F880" s="3">
        <v>187.41780125990653</v>
      </c>
      <c r="I880" s="3">
        <v>643.0325932234008</v>
      </c>
      <c r="J880" s="3">
        <v>151.1630535132245</v>
      </c>
      <c r="K880" s="3">
        <v>412.22344083891267</v>
      </c>
      <c r="N880" s="4" t="s">
        <v>99</v>
      </c>
      <c r="O880" s="2">
        <v>619.46861878113998</v>
      </c>
      <c r="P880" s="2">
        <v>553.57578166927453</v>
      </c>
    </row>
    <row r="881" spans="1:17" ht="14.25" customHeight="1">
      <c r="A881" s="2" t="s">
        <v>15</v>
      </c>
      <c r="B881" s="2">
        <v>1938</v>
      </c>
      <c r="C881" s="2" t="s">
        <v>16</v>
      </c>
      <c r="D881" s="3">
        <v>1095.3945058524687</v>
      </c>
      <c r="E881" s="3">
        <v>222.59637268847794</v>
      </c>
      <c r="F881" s="3">
        <v>188.87578744157693</v>
      </c>
      <c r="I881" s="3">
        <v>661.73779562675873</v>
      </c>
      <c r="J881" s="3">
        <v>154.76440545975288</v>
      </c>
      <c r="K881" s="3">
        <v>405.36404004311834</v>
      </c>
      <c r="N881" s="4" t="s">
        <v>99</v>
      </c>
      <c r="O881" s="2">
        <v>622.16061645414209</v>
      </c>
      <c r="P881" s="2">
        <v>531.56512786770963</v>
      </c>
    </row>
    <row r="882" spans="1:17" ht="14.25" customHeight="1">
      <c r="A882" s="2" t="s">
        <v>15</v>
      </c>
      <c r="B882" s="2">
        <v>1939</v>
      </c>
      <c r="C882" s="2" t="s">
        <v>16</v>
      </c>
      <c r="D882" s="3">
        <v>829.71367055476537</v>
      </c>
      <c r="E882" s="3">
        <v>102.81792318634425</v>
      </c>
      <c r="F882" s="3">
        <v>203.39610851452957</v>
      </c>
      <c r="I882" s="3">
        <v>580.32215893827265</v>
      </c>
      <c r="J882" s="3">
        <v>86.499686526899097</v>
      </c>
      <c r="K882" s="3">
        <v>457.59536617064811</v>
      </c>
      <c r="N882" s="4" t="s">
        <v>100</v>
      </c>
      <c r="O882" s="2">
        <v>622.86276280583502</v>
      </c>
      <c r="P882" s="2">
        <v>401.04257857183501</v>
      </c>
    </row>
    <row r="883" spans="1:17" ht="14.25" customHeight="1">
      <c r="A883" s="2" t="s">
        <v>15</v>
      </c>
      <c r="B883" s="2">
        <v>1940</v>
      </c>
      <c r="C883" s="2" t="s">
        <v>16</v>
      </c>
      <c r="D883" s="3">
        <v>342.16319628124364</v>
      </c>
      <c r="E883" s="3">
        <v>24.789676894940051</v>
      </c>
      <c r="F883" s="3">
        <v>279.50762040235725</v>
      </c>
      <c r="I883" s="3">
        <v>451.46672753931216</v>
      </c>
      <c r="J883" s="3">
        <v>31.318983423318365</v>
      </c>
      <c r="K883" s="3">
        <v>541.60675631451318</v>
      </c>
      <c r="N883" s="4" t="s">
        <v>100</v>
      </c>
      <c r="O883" s="2">
        <v>602.97079946542817</v>
      </c>
      <c r="P883" s="2">
        <v>163.22581617780938</v>
      </c>
    </row>
    <row r="884" spans="1:17" ht="14.25" customHeight="1">
      <c r="A884" s="2" t="s">
        <v>15</v>
      </c>
      <c r="B884" s="2">
        <v>1941</v>
      </c>
      <c r="C884" s="2" t="s">
        <v>16</v>
      </c>
      <c r="D884" s="3">
        <v>273.7684571631782</v>
      </c>
      <c r="E884" s="3">
        <v>0.98572444625076194</v>
      </c>
      <c r="F884" s="3">
        <v>262.57600081284289</v>
      </c>
      <c r="I884" s="3">
        <v>515.86676254242957</v>
      </c>
      <c r="J884" s="3">
        <v>2.6856704554850701</v>
      </c>
      <c r="K884" s="3">
        <v>573.90797323269419</v>
      </c>
      <c r="N884" s="4" t="s">
        <v>100</v>
      </c>
      <c r="O884" s="2">
        <v>587.79081453367746</v>
      </c>
      <c r="P884" s="2">
        <v>129.42259400995732</v>
      </c>
    </row>
    <row r="885" spans="1:17" ht="14.25" customHeight="1">
      <c r="A885" s="2" t="s">
        <v>15</v>
      </c>
      <c r="B885" s="2">
        <v>1942</v>
      </c>
      <c r="C885" s="2" t="s">
        <v>16</v>
      </c>
      <c r="D885" s="3">
        <v>334.81683425116842</v>
      </c>
      <c r="E885" s="3">
        <v>4.0716825848404792</v>
      </c>
      <c r="F885" s="3">
        <v>315.77443609022555</v>
      </c>
      <c r="I885" s="3">
        <v>446.64418666152108</v>
      </c>
      <c r="J885" s="3">
        <v>8.6136796426924107</v>
      </c>
      <c r="K885" s="3">
        <v>661.89279752882021</v>
      </c>
      <c r="N885" s="4" t="s">
        <v>100</v>
      </c>
      <c r="O885" s="2">
        <v>580.62001391955926</v>
      </c>
      <c r="P885" s="2">
        <v>159.26846878307254</v>
      </c>
    </row>
    <row r="886" spans="1:17" ht="14.25" customHeight="1">
      <c r="A886" s="2" t="s">
        <v>15</v>
      </c>
      <c r="B886" s="2">
        <v>1943</v>
      </c>
      <c r="C886" s="2" t="s">
        <v>16</v>
      </c>
      <c r="D886" s="3">
        <v>337.931069091648</v>
      </c>
      <c r="E886" s="3">
        <v>0.2444117049380207</v>
      </c>
      <c r="F886" s="3">
        <v>351.7381121723227</v>
      </c>
      <c r="I886" s="3">
        <v>416.99400741069331</v>
      </c>
      <c r="J886" s="3">
        <v>0.74304330652240003</v>
      </c>
      <c r="K886" s="3">
        <v>720.61046881865002</v>
      </c>
      <c r="N886" s="4" t="s">
        <v>100</v>
      </c>
      <c r="O886" s="2">
        <v>632.21467102362647</v>
      </c>
      <c r="P886" s="2">
        <v>161.07206385490753</v>
      </c>
    </row>
    <row r="887" spans="1:17" ht="14.25" customHeight="1">
      <c r="A887" s="2" t="s">
        <v>15</v>
      </c>
      <c r="B887" s="2">
        <v>1944</v>
      </c>
      <c r="C887" s="2" t="s">
        <v>16</v>
      </c>
      <c r="D887" s="3">
        <v>351.58638141637874</v>
      </c>
      <c r="E887" s="3">
        <v>6.2741312741312741E-2</v>
      </c>
      <c r="F887" s="3">
        <v>288.93395651290388</v>
      </c>
      <c r="I887" s="3">
        <v>439.17557690719224</v>
      </c>
      <c r="J887" s="3">
        <v>0.14587280784748</v>
      </c>
      <c r="K887" s="3">
        <v>598.70428728841216</v>
      </c>
      <c r="N887" s="4" t="s">
        <v>100</v>
      </c>
      <c r="O887" s="2">
        <v>634.80842060637303</v>
      </c>
      <c r="P887" s="2">
        <v>168.0993768940256</v>
      </c>
    </row>
    <row r="888" spans="1:17" ht="14.25" customHeight="1">
      <c r="A888" s="2" t="s">
        <v>15</v>
      </c>
      <c r="B888" s="2">
        <v>1945</v>
      </c>
      <c r="C888" s="2" t="s">
        <v>16</v>
      </c>
      <c r="D888" s="3">
        <v>524.10820245884975</v>
      </c>
      <c r="E888" s="3">
        <v>10.361207071733386</v>
      </c>
      <c r="F888" s="3">
        <v>280.11293436293431</v>
      </c>
      <c r="I888" s="3">
        <v>663.94135016241557</v>
      </c>
      <c r="J888" s="3">
        <v>12.58245502091544</v>
      </c>
      <c r="K888" s="3">
        <v>594.72789875348906</v>
      </c>
      <c r="N888" s="4" t="s">
        <v>100</v>
      </c>
      <c r="O888" s="2">
        <v>637.55019731177129</v>
      </c>
      <c r="P888" s="2">
        <v>252.43031920483639</v>
      </c>
    </row>
    <row r="889" spans="1:17" ht="14.25" customHeight="1">
      <c r="A889" s="2" t="s">
        <v>15</v>
      </c>
      <c r="B889" s="2">
        <v>1946</v>
      </c>
      <c r="C889" s="2" t="s">
        <v>16</v>
      </c>
      <c r="D889" s="3">
        <v>948.19593526722201</v>
      </c>
      <c r="E889" s="3">
        <v>50.675472464946147</v>
      </c>
      <c r="F889" s="3">
        <v>295.44899410688885</v>
      </c>
      <c r="I889" s="3">
        <v>984.20163025251031</v>
      </c>
      <c r="J889" s="3">
        <v>67.142876825631845</v>
      </c>
      <c r="K889" s="3">
        <v>630.5154515772731</v>
      </c>
      <c r="N889" s="4" t="s">
        <v>99</v>
      </c>
      <c r="O889" s="2">
        <v>641.72770610943712</v>
      </c>
      <c r="P889" s="2">
        <v>459.1022482809388</v>
      </c>
    </row>
    <row r="890" spans="1:17" ht="14.25" customHeight="1">
      <c r="A890" s="2" t="s">
        <v>15</v>
      </c>
      <c r="B890" s="2">
        <v>1947</v>
      </c>
      <c r="C890" s="2" t="s">
        <v>16</v>
      </c>
      <c r="D890" s="3">
        <v>1044.258897063605</v>
      </c>
      <c r="E890" s="3">
        <v>61.036730339361917</v>
      </c>
      <c r="F890" s="3">
        <v>306.89204429993902</v>
      </c>
      <c r="I890" s="3">
        <v>994.09853726648066</v>
      </c>
      <c r="J890" s="3">
        <v>84.391051084746508</v>
      </c>
      <c r="K890" s="3">
        <v>662.01226916267444</v>
      </c>
      <c r="N890" s="4" t="s">
        <v>99</v>
      </c>
      <c r="O890" s="2">
        <v>648.94435583234133</v>
      </c>
      <c r="P890" s="2">
        <v>506.08720956116645</v>
      </c>
    </row>
    <row r="891" spans="1:17" ht="14.25" customHeight="1">
      <c r="A891" s="2" t="s">
        <v>15</v>
      </c>
      <c r="B891" s="2">
        <v>1948</v>
      </c>
      <c r="C891" s="2" t="s">
        <v>16</v>
      </c>
      <c r="D891" s="3">
        <v>1093.9791714590531</v>
      </c>
      <c r="E891" s="3">
        <v>91.719111969111964</v>
      </c>
      <c r="F891" s="3">
        <v>254.24588498272706</v>
      </c>
      <c r="I891" s="3">
        <v>1011.7176446465445</v>
      </c>
      <c r="J891" s="3">
        <v>111.34404557612672</v>
      </c>
      <c r="K891" s="3">
        <v>422.85077151086801</v>
      </c>
      <c r="N891" s="4" t="s">
        <v>99</v>
      </c>
      <c r="O891" s="2">
        <v>655.42217991652399</v>
      </c>
      <c r="P891" s="2">
        <v>530.45245401493605</v>
      </c>
    </row>
    <row r="892" spans="1:17" ht="14.25" customHeight="1">
      <c r="A892" s="2" t="s">
        <v>15</v>
      </c>
      <c r="B892" s="2">
        <v>1949</v>
      </c>
      <c r="C892" s="2" t="s">
        <v>16</v>
      </c>
      <c r="D892" s="3">
        <v>1048.2567247815484</v>
      </c>
      <c r="E892" s="3">
        <v>75.620148343832554</v>
      </c>
      <c r="F892" s="3">
        <v>244.5416581995529</v>
      </c>
      <c r="I892" s="3">
        <v>862.11455790000002</v>
      </c>
      <c r="J892" s="3">
        <v>100.16462422499998</v>
      </c>
      <c r="K892" s="3">
        <v>527.08628138124993</v>
      </c>
      <c r="N892" s="4" t="s">
        <v>99</v>
      </c>
      <c r="O892" s="2">
        <v>659.32328408693752</v>
      </c>
      <c r="P892" s="2">
        <v>508.91071514295874</v>
      </c>
    </row>
    <row r="893" spans="1:17" ht="14.25" customHeight="1">
      <c r="A893" s="2" t="s">
        <v>15</v>
      </c>
      <c r="B893" s="2">
        <v>1950</v>
      </c>
      <c r="C893" s="2" t="s">
        <v>16</v>
      </c>
      <c r="D893" s="3">
        <v>922.58577049380222</v>
      </c>
      <c r="E893" s="3">
        <v>69.19680959154644</v>
      </c>
      <c r="F893" s="3">
        <v>142.16134931924404</v>
      </c>
      <c r="G893" s="2">
        <v>2.6613750437726159E-2</v>
      </c>
      <c r="I893" s="3">
        <v>746.71870857983072</v>
      </c>
      <c r="J893" s="3">
        <v>115.93376782592696</v>
      </c>
      <c r="K893" s="3">
        <v>332.29530445775254</v>
      </c>
      <c r="L893" s="3">
        <v>0</v>
      </c>
      <c r="N893" s="4" t="s">
        <v>99</v>
      </c>
      <c r="O893" s="2">
        <v>659.98482122799157</v>
      </c>
      <c r="P893" s="2">
        <v>448.13792754196311</v>
      </c>
      <c r="Q893" s="2">
        <v>1.3040737714485818E-2</v>
      </c>
    </row>
    <row r="894" spans="1:17" ht="14.25" customHeight="1">
      <c r="A894" s="2" t="s">
        <v>15</v>
      </c>
      <c r="B894" s="2">
        <v>1951</v>
      </c>
      <c r="C894" s="2" t="s">
        <v>16</v>
      </c>
      <c r="D894" s="3">
        <v>993.16424780532418</v>
      </c>
      <c r="E894" s="3">
        <v>64.530634017476117</v>
      </c>
      <c r="F894" s="3">
        <v>194.21926437715911</v>
      </c>
      <c r="G894" s="2">
        <v>2.6613750437726159E-2</v>
      </c>
      <c r="I894" s="3">
        <v>867.93689915943276</v>
      </c>
      <c r="J894" s="3">
        <v>106.12924717145869</v>
      </c>
      <c r="K894" s="3">
        <v>370.0346245057454</v>
      </c>
      <c r="L894" s="3">
        <v>0</v>
      </c>
      <c r="N894" s="4" t="s">
        <v>99</v>
      </c>
      <c r="O894" s="2">
        <v>658.74558531623484</v>
      </c>
      <c r="P894" s="2">
        <v>481.13021142460883</v>
      </c>
      <c r="Q894" s="2">
        <v>1.3040737714485818E-2</v>
      </c>
    </row>
    <row r="895" spans="1:17" ht="14.25" customHeight="1">
      <c r="A895" s="2" t="s">
        <v>15</v>
      </c>
      <c r="B895" s="2">
        <v>1952</v>
      </c>
      <c r="C895" s="2" t="s">
        <v>16</v>
      </c>
      <c r="D895" s="3">
        <v>1039.852137085958</v>
      </c>
      <c r="E895" s="3">
        <v>65.790946961999595</v>
      </c>
      <c r="F895" s="3">
        <v>193.82808372282057</v>
      </c>
      <c r="G895" s="2">
        <v>2.6613750437726159E-2</v>
      </c>
      <c r="I895" s="3">
        <v>767.26192517155857</v>
      </c>
      <c r="J895" s="3">
        <v>99.82599277814208</v>
      </c>
      <c r="K895" s="3">
        <v>287.89083005635638</v>
      </c>
      <c r="L895" s="3">
        <v>0</v>
      </c>
      <c r="N895" s="4" t="s">
        <v>99</v>
      </c>
      <c r="O895" s="2">
        <v>660.60967908201701</v>
      </c>
      <c r="P895" s="2">
        <v>504.0228171721194</v>
      </c>
      <c r="Q895" s="2">
        <v>1.3040737714485818E-2</v>
      </c>
    </row>
    <row r="896" spans="1:17" ht="14.25" customHeight="1">
      <c r="A896" s="2" t="s">
        <v>15</v>
      </c>
      <c r="B896" s="2">
        <v>1953</v>
      </c>
      <c r="C896" s="2" t="s">
        <v>16</v>
      </c>
      <c r="D896" s="3">
        <v>1029.9094448181263</v>
      </c>
      <c r="E896" s="3">
        <v>58.68522657996342</v>
      </c>
      <c r="F896" s="3">
        <v>113.79983743141636</v>
      </c>
      <c r="G896" s="2">
        <v>2.6613750437726159E-2</v>
      </c>
      <c r="I896" s="3">
        <v>700.49737179039005</v>
      </c>
      <c r="J896" s="3">
        <v>87.154173234316872</v>
      </c>
      <c r="K896" s="3">
        <v>228.07732747283967</v>
      </c>
      <c r="L896" s="3">
        <v>0</v>
      </c>
      <c r="N896" s="4" t="s">
        <v>99</v>
      </c>
      <c r="O896" s="2">
        <v>654.52563321599996</v>
      </c>
      <c r="P896" s="2">
        <v>499.18218796088189</v>
      </c>
      <c r="Q896" s="2">
        <v>1.3040737714485818E-2</v>
      </c>
    </row>
    <row r="897" spans="1:17" ht="14.25" customHeight="1">
      <c r="A897" s="2" t="s">
        <v>15</v>
      </c>
      <c r="B897" s="2">
        <v>1954</v>
      </c>
      <c r="C897" s="2" t="s">
        <v>16</v>
      </c>
      <c r="D897" s="3">
        <v>978.1450025096525</v>
      </c>
      <c r="E897" s="3">
        <v>63.173186344238971</v>
      </c>
      <c r="F897" s="3">
        <v>127.83677098150781</v>
      </c>
      <c r="G897" s="2">
        <v>2.6613750437726159E-2</v>
      </c>
      <c r="I897" s="3">
        <v>724.77552931175933</v>
      </c>
      <c r="J897" s="3">
        <v>95.726148398387437</v>
      </c>
      <c r="K897" s="3">
        <v>359.5137863621357</v>
      </c>
      <c r="L897" s="3">
        <v>0</v>
      </c>
      <c r="N897" s="4" t="s">
        <v>99</v>
      </c>
      <c r="O897" s="2">
        <v>656.40830837400006</v>
      </c>
      <c r="P897" s="2">
        <v>474.27625122972972</v>
      </c>
      <c r="Q897" s="2">
        <v>1.3040737714485818E-2</v>
      </c>
    </row>
    <row r="898" spans="1:17" ht="14.25" customHeight="1">
      <c r="A898" s="2" t="s">
        <v>15</v>
      </c>
      <c r="B898" s="2">
        <v>1955</v>
      </c>
      <c r="C898" s="2" t="s">
        <v>16</v>
      </c>
      <c r="D898" s="3">
        <v>1002.1351563096932</v>
      </c>
      <c r="E898" s="3">
        <v>50.104399512294243</v>
      </c>
      <c r="F898" s="3">
        <v>140.7372485267222</v>
      </c>
      <c r="G898" s="2">
        <v>3.1049375510680523E-2</v>
      </c>
      <c r="I898" s="3">
        <v>717.2083024569763</v>
      </c>
      <c r="J898" s="3">
        <v>90.033731950379845</v>
      </c>
      <c r="K898" s="3">
        <v>349.45748511976632</v>
      </c>
      <c r="L898" s="3">
        <v>0</v>
      </c>
      <c r="N898" s="4" t="s">
        <v>99</v>
      </c>
      <c r="O898" s="2">
        <v>658.45085396999991</v>
      </c>
      <c r="P898" s="2">
        <v>485.46841659174964</v>
      </c>
      <c r="Q898" s="2">
        <v>1.5214194000233456E-2</v>
      </c>
    </row>
    <row r="899" spans="1:17" ht="14.25" customHeight="1">
      <c r="A899" s="2" t="s">
        <v>15</v>
      </c>
      <c r="B899" s="2">
        <v>1956</v>
      </c>
      <c r="C899" s="2" t="s">
        <v>16</v>
      </c>
      <c r="D899" s="3">
        <v>972.17384251168448</v>
      </c>
      <c r="E899" s="3">
        <v>47.552936395041662</v>
      </c>
      <c r="F899" s="3">
        <v>158.95940865677704</v>
      </c>
      <c r="G899" s="2">
        <v>3.1049375510680523E-2</v>
      </c>
      <c r="I899" s="3">
        <v>714.92570443264003</v>
      </c>
      <c r="J899" s="3">
        <v>85.989955128009612</v>
      </c>
      <c r="K899" s="3">
        <v>471.92870390128576</v>
      </c>
      <c r="L899" s="3">
        <v>0</v>
      </c>
      <c r="N899" s="4" t="s">
        <v>99</v>
      </c>
      <c r="O899" s="2">
        <v>660.78613036800004</v>
      </c>
      <c r="P899" s="2">
        <v>471.24139283072543</v>
      </c>
      <c r="Q899" s="2">
        <v>1.5214194000233456E-2</v>
      </c>
    </row>
    <row r="900" spans="1:17" ht="14.25" customHeight="1">
      <c r="A900" s="2" t="s">
        <v>15</v>
      </c>
      <c r="B900" s="2">
        <v>1957</v>
      </c>
      <c r="C900" s="2" t="s">
        <v>16</v>
      </c>
      <c r="D900" s="3">
        <v>912.26161024182068</v>
      </c>
      <c r="E900" s="3">
        <v>40.723938223938227</v>
      </c>
      <c r="F900" s="3">
        <v>176.07894736842104</v>
      </c>
      <c r="G900" s="2">
        <v>3.1049375510680523E-2</v>
      </c>
      <c r="I900" s="3">
        <v>706.82240954789995</v>
      </c>
      <c r="J900" s="3">
        <v>79.018347890652478</v>
      </c>
      <c r="K900" s="3">
        <v>478.48108457308786</v>
      </c>
      <c r="L900" s="3">
        <v>0</v>
      </c>
      <c r="N900" s="4" t="s">
        <v>99</v>
      </c>
      <c r="O900" s="2">
        <v>663.59663806800006</v>
      </c>
      <c r="P900" s="2">
        <v>441.61034901849212</v>
      </c>
      <c r="Q900" s="2">
        <v>1.5214194000233456E-2</v>
      </c>
    </row>
    <row r="901" spans="1:17" ht="14.25" customHeight="1">
      <c r="A901" s="2" t="s">
        <v>15</v>
      </c>
      <c r="B901" s="2">
        <v>1958</v>
      </c>
      <c r="C901" s="2" t="s">
        <v>16</v>
      </c>
      <c r="D901" s="3">
        <v>903.47945884982721</v>
      </c>
      <c r="E901" s="3">
        <v>44.34571225360699</v>
      </c>
      <c r="F901" s="3">
        <v>186.55181873602928</v>
      </c>
      <c r="G901" s="2">
        <v>3.1049375510680523E-2</v>
      </c>
      <c r="I901" s="3">
        <v>722.62916532797999</v>
      </c>
      <c r="J901" s="3">
        <v>82.50571510772707</v>
      </c>
      <c r="K901" s="3">
        <v>671.96796391617431</v>
      </c>
      <c r="L901" s="3">
        <v>0</v>
      </c>
      <c r="N901" s="4" t="s">
        <v>99</v>
      </c>
      <c r="O901" s="2">
        <v>666.234135294</v>
      </c>
      <c r="P901" s="2">
        <v>437.75376483641531</v>
      </c>
      <c r="Q901" s="2">
        <v>1.5214194000233456E-2</v>
      </c>
    </row>
    <row r="902" spans="1:17" ht="14.25" customHeight="1">
      <c r="A902" s="2" t="s">
        <v>15</v>
      </c>
      <c r="B902" s="2">
        <v>1959</v>
      </c>
      <c r="C902" s="2" t="s">
        <v>16</v>
      </c>
      <c r="D902" s="3">
        <v>898.52371550497867</v>
      </c>
      <c r="E902" s="3">
        <v>48.194980694980693</v>
      </c>
      <c r="F902" s="3">
        <v>196.76544401544399</v>
      </c>
      <c r="G902" s="2">
        <v>3.1049375510680523E-2</v>
      </c>
      <c r="I902" s="3">
        <v>725.15695486419997</v>
      </c>
      <c r="J902" s="3">
        <v>83.514817015166429</v>
      </c>
      <c r="K902" s="3">
        <v>729.19103092666103</v>
      </c>
      <c r="L902" s="3">
        <v>0</v>
      </c>
      <c r="N902" s="4" t="s">
        <v>99</v>
      </c>
      <c r="O902" s="2">
        <v>670.180526106</v>
      </c>
      <c r="P902" s="2">
        <v>435.00058059743952</v>
      </c>
      <c r="Q902" s="2">
        <v>1.5214194000233456E-2</v>
      </c>
    </row>
    <row r="903" spans="1:17" ht="14.25" customHeight="1">
      <c r="A903" s="2" t="s">
        <v>15</v>
      </c>
      <c r="B903" s="2">
        <v>1960</v>
      </c>
      <c r="C903" s="2" t="s">
        <v>16</v>
      </c>
      <c r="D903" s="3">
        <v>843.43505222515751</v>
      </c>
      <c r="E903" s="3">
        <v>45.919376143060347</v>
      </c>
      <c r="F903" s="3">
        <v>206.78012599065229</v>
      </c>
      <c r="G903" s="2">
        <v>3.1049375510680523E-2</v>
      </c>
      <c r="I903" s="3">
        <v>725.92710391935998</v>
      </c>
      <c r="J903" s="3">
        <v>86.633905048701919</v>
      </c>
      <c r="K903" s="3">
        <v>654.75767913240941</v>
      </c>
      <c r="L903" s="3">
        <v>0</v>
      </c>
      <c r="N903" s="4" t="s">
        <v>99</v>
      </c>
      <c r="O903" s="2">
        <v>675.42632047799998</v>
      </c>
      <c r="P903" s="2">
        <v>407.39225559032712</v>
      </c>
      <c r="Q903" s="2">
        <v>1.5214194000233456E-2</v>
      </c>
    </row>
    <row r="904" spans="1:17" ht="14.25" customHeight="1">
      <c r="A904" s="2" t="s">
        <v>15</v>
      </c>
      <c r="B904" s="2">
        <v>1961</v>
      </c>
      <c r="C904" s="2" t="s">
        <v>16</v>
      </c>
      <c r="D904" s="3">
        <v>786.73820503962611</v>
      </c>
      <c r="E904" s="3">
        <v>38.175574070310908</v>
      </c>
      <c r="F904" s="3">
        <v>204.30252997358261</v>
      </c>
      <c r="G904" s="2">
        <v>0.13104937551068052</v>
      </c>
      <c r="I904" s="3">
        <v>682.82915754129999</v>
      </c>
      <c r="J904" s="3">
        <v>84.195622830354353</v>
      </c>
      <c r="K904" s="3">
        <v>566.79791131440152</v>
      </c>
      <c r="L904" s="3">
        <v>0</v>
      </c>
      <c r="N904" s="4" t="s">
        <v>99</v>
      </c>
      <c r="O904" s="2">
        <v>680.76920511599997</v>
      </c>
      <c r="P904" s="2">
        <v>379.39765046941676</v>
      </c>
      <c r="Q904" s="2">
        <v>4.3214194000233463E-2</v>
      </c>
    </row>
    <row r="905" spans="1:17" ht="14.25" customHeight="1">
      <c r="A905" s="2" t="s">
        <v>15</v>
      </c>
      <c r="B905" s="2">
        <v>1962</v>
      </c>
      <c r="C905" s="2" t="s">
        <v>16</v>
      </c>
      <c r="D905" s="3">
        <v>828.54094696199957</v>
      </c>
      <c r="E905" s="3">
        <v>43.784850640113795</v>
      </c>
      <c r="F905" s="3">
        <v>218.25619792725055</v>
      </c>
      <c r="G905" s="2">
        <v>3.1049375510680523E-2</v>
      </c>
      <c r="I905" s="3">
        <v>650.54323405909997</v>
      </c>
      <c r="J905" s="3">
        <v>89.651088915231696</v>
      </c>
      <c r="K905" s="3">
        <v>764.30594747980751</v>
      </c>
      <c r="L905" s="3">
        <v>0</v>
      </c>
      <c r="N905" s="4" t="s">
        <v>99</v>
      </c>
      <c r="O905" s="2">
        <v>687.82540444799997</v>
      </c>
      <c r="P905" s="2">
        <v>399.67994310099573</v>
      </c>
      <c r="Q905" s="2">
        <v>1.5214194000233456E-2</v>
      </c>
    </row>
    <row r="906" spans="1:17" ht="14.25" customHeight="1">
      <c r="A906" s="2" t="s">
        <v>15</v>
      </c>
      <c r="B906" s="2">
        <v>1963</v>
      </c>
      <c r="C906" s="2" t="s">
        <v>16</v>
      </c>
      <c r="D906" s="3">
        <v>852.01178622231248</v>
      </c>
      <c r="E906" s="3">
        <v>44.908148750254014</v>
      </c>
      <c r="F906" s="3">
        <v>192.59047957732167</v>
      </c>
      <c r="G906" s="2">
        <v>3.1049375510680523E-2</v>
      </c>
      <c r="I906" s="3">
        <v>666.61221107142001</v>
      </c>
      <c r="J906" s="3">
        <v>95.512878857275979</v>
      </c>
      <c r="K906" s="3">
        <v>621.10590975931473</v>
      </c>
      <c r="L906" s="3">
        <v>0</v>
      </c>
      <c r="N906" s="4" t="s">
        <v>99</v>
      </c>
      <c r="O906" s="2">
        <v>692.24775656400004</v>
      </c>
      <c r="P906" s="2">
        <v>411.55405405405401</v>
      </c>
      <c r="Q906" s="2">
        <v>1.5214194000233456E-2</v>
      </c>
    </row>
    <row r="907" spans="1:17" ht="14.25" customHeight="1">
      <c r="A907" s="2" t="s">
        <v>15</v>
      </c>
      <c r="B907" s="2">
        <v>1964</v>
      </c>
      <c r="C907" s="2" t="s">
        <v>16</v>
      </c>
      <c r="D907" s="3">
        <v>858.56533224954273</v>
      </c>
      <c r="E907" s="3">
        <v>43.133204633204627</v>
      </c>
      <c r="F907" s="3">
        <v>228.55451127819549</v>
      </c>
      <c r="G907" s="2">
        <v>0.18871250145908722</v>
      </c>
      <c r="I907" s="3">
        <v>689.02841916611999</v>
      </c>
      <c r="J907" s="3">
        <v>98.445415460491873</v>
      </c>
      <c r="K907" s="3">
        <v>805.17332061817979</v>
      </c>
      <c r="L907" s="3">
        <v>0</v>
      </c>
      <c r="N907" s="4" t="s">
        <v>99</v>
      </c>
      <c r="O907" s="2">
        <v>696.68762872799994</v>
      </c>
      <c r="P907" s="2">
        <v>414.73328591749646</v>
      </c>
      <c r="Q907" s="2">
        <v>7.146912571495273E-2</v>
      </c>
    </row>
    <row r="908" spans="1:17" ht="14.25" customHeight="1">
      <c r="A908" s="2" t="s">
        <v>15</v>
      </c>
      <c r="B908" s="2">
        <v>1965</v>
      </c>
      <c r="C908" s="2" t="s">
        <v>16</v>
      </c>
      <c r="D908" s="3">
        <v>926.2345051818736</v>
      </c>
      <c r="E908" s="3">
        <v>53.850843324527531</v>
      </c>
      <c r="F908" s="3">
        <v>219.36598252387725</v>
      </c>
      <c r="G908" s="2">
        <v>0.2774250029181744</v>
      </c>
      <c r="I908" s="3">
        <v>701.20275357496007</v>
      </c>
      <c r="J908" s="3">
        <v>116.81727742229999</v>
      </c>
      <c r="K908" s="3">
        <v>775.12376044012012</v>
      </c>
      <c r="L908" s="3">
        <v>0</v>
      </c>
      <c r="N908" s="4" t="s">
        <v>99</v>
      </c>
      <c r="O908" s="2">
        <v>700.75665987599996</v>
      </c>
      <c r="P908" s="2">
        <v>448.01920341394026</v>
      </c>
      <c r="Q908" s="2">
        <v>0.11493825142990546</v>
      </c>
    </row>
    <row r="909" spans="1:17" ht="14.25" customHeight="1">
      <c r="A909" s="2" t="s">
        <v>15</v>
      </c>
      <c r="B909" s="2">
        <v>1966</v>
      </c>
      <c r="C909" s="2" t="s">
        <v>16</v>
      </c>
      <c r="D909" s="3">
        <v>950.01016053647629</v>
      </c>
      <c r="E909" s="3">
        <v>77.321682584840474</v>
      </c>
      <c r="F909" s="3">
        <v>205.95407437512699</v>
      </c>
      <c r="G909" s="2">
        <v>0.18871250145908722</v>
      </c>
      <c r="I909" s="3">
        <v>683.59800299979997</v>
      </c>
      <c r="J909" s="3">
        <v>109.4137528358</v>
      </c>
      <c r="K909" s="3">
        <v>683.01142309890008</v>
      </c>
      <c r="L909" s="3">
        <v>0</v>
      </c>
      <c r="N909" s="4" t="s">
        <v>99</v>
      </c>
      <c r="O909" s="2">
        <v>703.96574866799995</v>
      </c>
      <c r="P909" s="2">
        <v>458.34637268847791</v>
      </c>
      <c r="Q909" s="2">
        <v>7.146912571495273E-2</v>
      </c>
    </row>
    <row r="910" spans="1:17" ht="14.25" customHeight="1">
      <c r="A910" s="2" t="s">
        <v>15</v>
      </c>
      <c r="B910" s="2">
        <v>1967</v>
      </c>
      <c r="C910" s="2" t="s">
        <v>16</v>
      </c>
      <c r="D910" s="3">
        <v>904.33854907539114</v>
      </c>
      <c r="E910" s="3">
        <v>55.171713066449904</v>
      </c>
      <c r="F910" s="3">
        <v>202.49949197317616</v>
      </c>
      <c r="G910" s="2">
        <v>0.18871250145908722</v>
      </c>
      <c r="I910" s="3">
        <v>657.47976879576004</v>
      </c>
      <c r="J910" s="3">
        <v>102.6031621087</v>
      </c>
      <c r="K910" s="3">
        <v>617.35508501157994</v>
      </c>
      <c r="L910" s="3">
        <v>0</v>
      </c>
      <c r="N910" s="4" t="s">
        <v>99</v>
      </c>
      <c r="O910" s="2">
        <v>707.35806796199995</v>
      </c>
      <c r="P910" s="2">
        <v>434.27098150782359</v>
      </c>
      <c r="Q910" s="2">
        <v>7.146912571495273E-2</v>
      </c>
    </row>
    <row r="911" spans="1:17" ht="14.25" customHeight="1">
      <c r="A911" s="2" t="s">
        <v>15</v>
      </c>
      <c r="B911" s="2">
        <v>1968</v>
      </c>
      <c r="C911" s="2" t="s">
        <v>16</v>
      </c>
      <c r="D911" s="3">
        <v>912.21296484454376</v>
      </c>
      <c r="E911" s="3">
        <v>57.254623044096725</v>
      </c>
      <c r="F911" s="3">
        <v>239.73785815891077</v>
      </c>
      <c r="G911" s="2">
        <v>0.18871250145908722</v>
      </c>
      <c r="I911" s="3">
        <v>640.09557352053992</v>
      </c>
      <c r="J911" s="3">
        <v>113.23745397019999</v>
      </c>
      <c r="K911" s="3">
        <v>787.35578208670006</v>
      </c>
      <c r="L911" s="3">
        <v>0</v>
      </c>
      <c r="N911" s="4" t="s">
        <v>99</v>
      </c>
      <c r="O911" s="2">
        <v>709.8123346860001</v>
      </c>
      <c r="P911" s="2">
        <v>438.20412517780937</v>
      </c>
      <c r="Q911" s="2">
        <v>7.146912571495273E-2</v>
      </c>
    </row>
    <row r="912" spans="1:17" ht="14.25" customHeight="1">
      <c r="A912" s="2" t="s">
        <v>15</v>
      </c>
      <c r="B912" s="2">
        <v>1969</v>
      </c>
      <c r="C912" s="2" t="s">
        <v>16</v>
      </c>
      <c r="D912" s="3">
        <v>954.02357244462507</v>
      </c>
      <c r="E912" s="3">
        <v>78.845763056289371</v>
      </c>
      <c r="F912" s="3">
        <v>197.97805324121111</v>
      </c>
      <c r="G912" s="2">
        <v>0.18871250145908722</v>
      </c>
      <c r="I912" s="3">
        <v>645.32892864273992</v>
      </c>
      <c r="J912" s="3">
        <v>138.14437553886</v>
      </c>
      <c r="K912" s="3">
        <v>677.71614261490004</v>
      </c>
      <c r="L912" s="3">
        <v>0</v>
      </c>
      <c r="N912" s="4" t="s">
        <v>99</v>
      </c>
      <c r="O912" s="2">
        <v>712.46224194600006</v>
      </c>
      <c r="P912" s="2">
        <v>456.84566145092458</v>
      </c>
      <c r="Q912" s="2">
        <v>7.146912571495273E-2</v>
      </c>
    </row>
    <row r="913" spans="1:17" ht="14.25" customHeight="1">
      <c r="A913" s="2" t="s">
        <v>15</v>
      </c>
      <c r="B913" s="2">
        <v>1970</v>
      </c>
      <c r="C913" s="2" t="s">
        <v>16</v>
      </c>
      <c r="D913" s="3">
        <v>975.10668563300135</v>
      </c>
      <c r="E913" s="3">
        <v>112.93436293436292</v>
      </c>
      <c r="F913" s="3">
        <v>185.78540946961999</v>
      </c>
      <c r="G913" s="2">
        <v>0.40517100501925996</v>
      </c>
      <c r="I913" s="3">
        <v>700.85925582949801</v>
      </c>
      <c r="J913" s="3">
        <v>191.366503424217</v>
      </c>
      <c r="K913" s="3">
        <v>674.45595350333099</v>
      </c>
      <c r="L913" s="3">
        <v>0</v>
      </c>
      <c r="N913" s="4" t="s">
        <v>99</v>
      </c>
      <c r="O913" s="2">
        <v>714.37192717799996</v>
      </c>
      <c r="P913" s="2">
        <v>465.94950213371266</v>
      </c>
      <c r="Q913" s="2">
        <v>0.17753379245943735</v>
      </c>
    </row>
    <row r="914" spans="1:17" ht="14.25" customHeight="1">
      <c r="A914" s="2" t="s">
        <v>15</v>
      </c>
      <c r="B914" s="2">
        <v>1971</v>
      </c>
      <c r="C914" s="2" t="s">
        <v>16</v>
      </c>
      <c r="D914" s="3">
        <v>975.61471245681764</v>
      </c>
      <c r="E914" s="3">
        <v>121.36760820971347</v>
      </c>
      <c r="F914" s="3">
        <v>176.03129445234708</v>
      </c>
      <c r="G914" s="2">
        <v>0.46904400606980279</v>
      </c>
      <c r="I914" s="3">
        <v>777.89401500000008</v>
      </c>
      <c r="J914" s="3">
        <v>224.70870250000002</v>
      </c>
      <c r="K914" s="3">
        <v>690.92110750000006</v>
      </c>
      <c r="L914" s="3">
        <v>0</v>
      </c>
      <c r="N914" s="4" t="s">
        <v>99</v>
      </c>
      <c r="O914" s="2">
        <v>718.22969574720003</v>
      </c>
      <c r="P914" s="2">
        <v>466.61450924608818</v>
      </c>
      <c r="Q914" s="2">
        <v>0.20883156297420338</v>
      </c>
    </row>
    <row r="915" spans="1:17" ht="14.25" customHeight="1">
      <c r="A915" s="2" t="s">
        <v>15</v>
      </c>
      <c r="B915" s="2">
        <v>1972</v>
      </c>
      <c r="C915" s="2" t="s">
        <v>16</v>
      </c>
      <c r="D915" s="3">
        <v>954.88721804511272</v>
      </c>
      <c r="E915" s="3">
        <v>121.72322698638487</v>
      </c>
      <c r="F915" s="3">
        <v>196.25076204023571</v>
      </c>
      <c r="G915" s="2">
        <v>0.18895762810785574</v>
      </c>
      <c r="I915" s="3">
        <v>853.15464408626997</v>
      </c>
      <c r="J915" s="3">
        <v>229.45458342490201</v>
      </c>
      <c r="K915" s="3">
        <v>744.92194163853605</v>
      </c>
      <c r="L915" s="3">
        <v>0</v>
      </c>
      <c r="N915" s="4" t="s">
        <v>99</v>
      </c>
      <c r="O915" s="2">
        <v>720.50424327882001</v>
      </c>
      <c r="P915" s="2">
        <v>455.43385490753906</v>
      </c>
      <c r="Q915" s="2">
        <v>9.2589237772849317E-2</v>
      </c>
    </row>
    <row r="916" spans="1:17" ht="14.25" customHeight="1">
      <c r="A916" s="2" t="s">
        <v>15</v>
      </c>
      <c r="B916" s="2">
        <v>1973</v>
      </c>
      <c r="C916" s="2" t="s">
        <v>16</v>
      </c>
      <c r="D916" s="3">
        <v>1013.3611054663686</v>
      </c>
      <c r="E916" s="3">
        <v>169.12212964844542</v>
      </c>
      <c r="F916" s="3">
        <v>209.7134728713676</v>
      </c>
      <c r="G916" s="2">
        <v>0.35573713085093972</v>
      </c>
      <c r="I916" s="3">
        <v>1093.8053604326922</v>
      </c>
      <c r="J916" s="3">
        <v>309.83990802277401</v>
      </c>
      <c r="K916" s="3">
        <v>938.63752299884413</v>
      </c>
      <c r="L916" s="3">
        <v>0</v>
      </c>
      <c r="N916" s="4" t="s">
        <v>99</v>
      </c>
      <c r="O916" s="2">
        <v>722.64226583640004</v>
      </c>
      <c r="P916" s="2">
        <v>481.66429587482213</v>
      </c>
      <c r="Q916" s="2">
        <v>0.17431119411696047</v>
      </c>
    </row>
    <row r="917" spans="1:17" ht="14.25" customHeight="1">
      <c r="A917" s="2" t="s">
        <v>15</v>
      </c>
      <c r="B917" s="2">
        <v>1974</v>
      </c>
      <c r="C917" s="2" t="s">
        <v>16</v>
      </c>
      <c r="D917" s="3">
        <v>969.97561471245672</v>
      </c>
      <c r="E917" s="3">
        <v>158.55517171306644</v>
      </c>
      <c r="F917" s="3">
        <v>191.22129648445437</v>
      </c>
      <c r="G917" s="2">
        <v>0.493354383097934</v>
      </c>
      <c r="I917" s="3">
        <v>951.64030228502406</v>
      </c>
      <c r="J917" s="3">
        <v>311.925717966082</v>
      </c>
      <c r="K917" s="3">
        <v>745.50605712787603</v>
      </c>
      <c r="L917" s="3">
        <v>0</v>
      </c>
      <c r="N917" s="4" t="s">
        <v>99</v>
      </c>
      <c r="O917" s="2">
        <v>723.79461049350004</v>
      </c>
      <c r="P917" s="2">
        <v>461.90967283072541</v>
      </c>
      <c r="Q917" s="2">
        <v>0.24153364771798766</v>
      </c>
    </row>
    <row r="918" spans="1:17" ht="14.25" customHeight="1">
      <c r="A918" s="2" t="s">
        <v>15</v>
      </c>
      <c r="B918" s="2">
        <v>1975</v>
      </c>
      <c r="C918" s="2" t="s">
        <v>16</v>
      </c>
      <c r="D918" s="3">
        <v>869.13</v>
      </c>
      <c r="E918" s="3">
        <v>144.196</v>
      </c>
      <c r="F918" s="3">
        <v>194.46299999999999</v>
      </c>
      <c r="G918" s="2">
        <v>0.77746013773783129</v>
      </c>
      <c r="I918" s="3">
        <v>754.59386791882514</v>
      </c>
      <c r="J918" s="3">
        <v>287.97195399307503</v>
      </c>
      <c r="K918" s="3">
        <v>677.35181896084998</v>
      </c>
      <c r="L918" s="3">
        <v>0</v>
      </c>
      <c r="N918" s="4" t="s">
        <v>99</v>
      </c>
      <c r="O918" s="2">
        <v>724.99416437994</v>
      </c>
      <c r="P918" s="2">
        <v>411.71843999999999</v>
      </c>
      <c r="Q918" s="2">
        <v>0.38032546749153734</v>
      </c>
    </row>
    <row r="919" spans="1:17" ht="14.25" customHeight="1">
      <c r="A919" s="2" t="s">
        <v>15</v>
      </c>
      <c r="B919" s="2">
        <v>1976</v>
      </c>
      <c r="C919" s="2" t="s">
        <v>16</v>
      </c>
      <c r="D919" s="3">
        <v>932.77499999999998</v>
      </c>
      <c r="E919" s="3">
        <v>150.45599999999999</v>
      </c>
      <c r="F919" s="3">
        <v>200.011</v>
      </c>
      <c r="G919" s="2">
        <v>0.61279350998015636</v>
      </c>
      <c r="I919" s="3">
        <v>897.13309483483408</v>
      </c>
      <c r="J919" s="3">
        <v>346.543604070279</v>
      </c>
      <c r="K919" s="3">
        <v>804.73600635710704</v>
      </c>
      <c r="L919" s="3">
        <v>0</v>
      </c>
      <c r="N919" s="4" t="s">
        <v>101</v>
      </c>
      <c r="O919" s="2">
        <v>726.61000190687992</v>
      </c>
      <c r="P919" s="2">
        <v>439.83408000000003</v>
      </c>
      <c r="Q919" s="2">
        <v>0.29900881989027661</v>
      </c>
    </row>
    <row r="920" spans="1:17" ht="14.25" customHeight="1">
      <c r="A920" s="2" t="s">
        <v>15</v>
      </c>
      <c r="B920" s="2">
        <v>1977</v>
      </c>
      <c r="C920" s="2" t="s">
        <v>16</v>
      </c>
      <c r="D920" s="3">
        <v>916.32799999999997</v>
      </c>
      <c r="E920" s="3">
        <v>168.27199999999999</v>
      </c>
      <c r="F920" s="3">
        <v>201.82400000000001</v>
      </c>
      <c r="G920" s="2">
        <v>0.51896813353566007</v>
      </c>
      <c r="I920" s="3">
        <v>928.86316258482202</v>
      </c>
      <c r="J920" s="3">
        <v>395.96334942815207</v>
      </c>
      <c r="K920" s="3">
        <v>767.60901534119603</v>
      </c>
      <c r="L920" s="3">
        <v>0</v>
      </c>
      <c r="N920" s="4" t="s">
        <v>101</v>
      </c>
      <c r="O920" s="2">
        <v>728.34644306424002</v>
      </c>
      <c r="P920" s="2">
        <v>432.69800000000004</v>
      </c>
      <c r="Q920" s="2">
        <v>0.2542943854324734</v>
      </c>
    </row>
    <row r="921" spans="1:17" ht="14.25" customHeight="1">
      <c r="A921" s="2" t="s">
        <v>15</v>
      </c>
      <c r="B921" s="2">
        <v>1978</v>
      </c>
      <c r="C921" s="2" t="s">
        <v>16</v>
      </c>
      <c r="D921" s="3">
        <v>956.51199999999994</v>
      </c>
      <c r="E921" s="3">
        <v>357.60500000000002</v>
      </c>
      <c r="F921" s="3">
        <v>258.44</v>
      </c>
      <c r="G921" s="2">
        <v>0.78889576281078566</v>
      </c>
      <c r="I921" s="3">
        <v>868.30576059111297</v>
      </c>
      <c r="J921" s="3">
        <v>490.51625269947306</v>
      </c>
      <c r="K921" s="3">
        <v>873.87171391470611</v>
      </c>
      <c r="L921" s="3">
        <v>0</v>
      </c>
      <c r="N921" s="4" t="s">
        <v>101</v>
      </c>
      <c r="O921" s="2">
        <v>730.24287875994003</v>
      </c>
      <c r="P921" s="2">
        <v>454.19373999999999</v>
      </c>
      <c r="Q921" s="2">
        <v>0.38445892377728497</v>
      </c>
    </row>
    <row r="922" spans="1:17" ht="14.25" customHeight="1">
      <c r="A922" s="2" t="s">
        <v>15</v>
      </c>
      <c r="B922" s="2">
        <v>1979</v>
      </c>
      <c r="C922" s="2" t="s">
        <v>16</v>
      </c>
      <c r="D922" s="3">
        <v>836.22500000000002</v>
      </c>
      <c r="E922" s="3">
        <v>369.49099999999999</v>
      </c>
      <c r="F922" s="3">
        <v>313.72899999999998</v>
      </c>
      <c r="G922" s="2">
        <v>2.0875497840550952</v>
      </c>
      <c r="I922" s="3">
        <v>763.98839378434991</v>
      </c>
      <c r="J922" s="3">
        <v>421.15698078727002</v>
      </c>
      <c r="K922" s="3">
        <v>965.50134144810499</v>
      </c>
      <c r="L922" s="3">
        <v>0</v>
      </c>
      <c r="N922" s="4" t="s">
        <v>101</v>
      </c>
      <c r="O922" s="2">
        <v>733.00876873770005</v>
      </c>
      <c r="P922" s="2">
        <v>396.23024000000004</v>
      </c>
      <c r="Q922" s="2">
        <v>1.0193293941869968</v>
      </c>
    </row>
    <row r="923" spans="1:17" ht="14.25" customHeight="1">
      <c r="A923" s="2" t="s">
        <v>15</v>
      </c>
      <c r="B923" s="2">
        <v>1980</v>
      </c>
      <c r="C923" s="2" t="s">
        <v>16</v>
      </c>
      <c r="D923" s="3">
        <v>759.07100000000003</v>
      </c>
      <c r="E923" s="3">
        <v>366.81900000000002</v>
      </c>
      <c r="F923" s="3">
        <v>340.90100000000001</v>
      </c>
      <c r="G923" s="2">
        <v>2.5361281662192132</v>
      </c>
      <c r="I923" s="3">
        <v>564.83935163311503</v>
      </c>
      <c r="J923" s="3">
        <v>417.39746689024003</v>
      </c>
      <c r="K923" s="3">
        <v>880.13442791039699</v>
      </c>
      <c r="L923" s="3">
        <v>0</v>
      </c>
      <c r="N923" s="4" t="s">
        <v>101</v>
      </c>
      <c r="O923" s="2">
        <v>736.07238273114001</v>
      </c>
      <c r="P923" s="2">
        <v>357.25060000000002</v>
      </c>
      <c r="Q923" s="2">
        <v>1.2364028014474144</v>
      </c>
    </row>
    <row r="924" spans="1:17" ht="14.25" customHeight="1">
      <c r="A924" s="2" t="s">
        <v>15</v>
      </c>
      <c r="B924" s="2">
        <v>1981</v>
      </c>
      <c r="C924" s="2" t="s">
        <v>16</v>
      </c>
      <c r="D924" s="3">
        <v>745.42200000000003</v>
      </c>
      <c r="E924" s="3">
        <v>329.59</v>
      </c>
      <c r="F924" s="3">
        <v>344.58600000000001</v>
      </c>
      <c r="G924" s="2">
        <v>3.5970485584218519</v>
      </c>
      <c r="I924" s="3">
        <v>521.65611602538399</v>
      </c>
      <c r="J924" s="3">
        <v>353.03431599526402</v>
      </c>
      <c r="K924" s="3">
        <v>919.35716152015209</v>
      </c>
      <c r="L924" s="3">
        <v>0</v>
      </c>
      <c r="N924" s="4" t="s">
        <v>101</v>
      </c>
      <c r="O924" s="2">
        <v>738.11608173030004</v>
      </c>
      <c r="P924" s="2">
        <v>351.73025999999999</v>
      </c>
      <c r="Q924" s="2">
        <v>1.7531037936267073</v>
      </c>
    </row>
    <row r="925" spans="1:17" ht="14.25" customHeight="1">
      <c r="A925" s="2" t="s">
        <v>15</v>
      </c>
      <c r="B925" s="2">
        <v>1982</v>
      </c>
      <c r="C925" s="2" t="s">
        <v>16</v>
      </c>
      <c r="D925" s="3">
        <v>774.63499999999999</v>
      </c>
      <c r="E925" s="3">
        <v>269.45400000000001</v>
      </c>
      <c r="F925" s="3">
        <v>325.2</v>
      </c>
      <c r="G925" s="2">
        <v>10.638369674331738</v>
      </c>
      <c r="I925" s="3">
        <v>546.46442935156801</v>
      </c>
      <c r="J925" s="3">
        <v>340.26753863213099</v>
      </c>
      <c r="K925" s="3">
        <v>846.28767897822604</v>
      </c>
      <c r="L925" s="3">
        <v>0</v>
      </c>
      <c r="N925" s="4" t="s">
        <v>101</v>
      </c>
      <c r="O925" s="2">
        <v>738.93652367807999</v>
      </c>
      <c r="P925" s="2">
        <v>365.93227999999999</v>
      </c>
      <c r="Q925" s="2">
        <v>5.2046111404225517</v>
      </c>
    </row>
    <row r="926" spans="1:17" ht="14.25" customHeight="1">
      <c r="A926" s="2" t="s">
        <v>15</v>
      </c>
      <c r="B926" s="2">
        <v>1983</v>
      </c>
      <c r="C926" s="2" t="s">
        <v>16</v>
      </c>
      <c r="D926" s="3">
        <v>748.42100000000005</v>
      </c>
      <c r="E926" s="3">
        <v>359.11700000000002</v>
      </c>
      <c r="F926" s="3">
        <v>345.26</v>
      </c>
      <c r="G926" s="2">
        <v>10.370699544764795</v>
      </c>
      <c r="I926" s="3">
        <v>561.864170064522</v>
      </c>
      <c r="J926" s="3">
        <v>407.96764067961197</v>
      </c>
      <c r="K926" s="3">
        <v>1010.0375672323039</v>
      </c>
      <c r="L926" s="3">
        <v>0</v>
      </c>
      <c r="N926" s="4" t="s">
        <v>101</v>
      </c>
      <c r="O926" s="2">
        <v>740.77961082761999</v>
      </c>
      <c r="P926" s="2">
        <v>351.56869999999998</v>
      </c>
      <c r="Q926" s="2">
        <v>5.0713527769347504</v>
      </c>
    </row>
    <row r="927" spans="1:17" ht="14.25" customHeight="1">
      <c r="A927" s="2" t="s">
        <v>15</v>
      </c>
      <c r="B927" s="2">
        <v>1984</v>
      </c>
      <c r="C927" s="2" t="s">
        <v>16</v>
      </c>
      <c r="D927" s="3">
        <v>733.65300000000002</v>
      </c>
      <c r="E927" s="3">
        <v>291.45600000000002</v>
      </c>
      <c r="F927" s="3">
        <v>360.351</v>
      </c>
      <c r="G927" s="2">
        <v>15.751255865530526</v>
      </c>
      <c r="I927" s="3">
        <v>568.80148787671601</v>
      </c>
      <c r="J927" s="3">
        <v>428.50833662987196</v>
      </c>
      <c r="K927" s="3">
        <v>1023.6032133684961</v>
      </c>
      <c r="L927" s="3">
        <v>91.961643004938338</v>
      </c>
      <c r="N927" s="4" t="s">
        <v>101</v>
      </c>
      <c r="O927" s="2">
        <v>743.44973914302011</v>
      </c>
      <c r="P927" s="2">
        <v>344.24270999999999</v>
      </c>
      <c r="Q927" s="2">
        <v>7.4814453741099571</v>
      </c>
    </row>
    <row r="928" spans="1:17" ht="14.25" customHeight="1">
      <c r="A928" s="2" t="s">
        <v>15</v>
      </c>
      <c r="B928" s="2">
        <v>1985</v>
      </c>
      <c r="C928" s="2" t="s">
        <v>16</v>
      </c>
      <c r="D928" s="3">
        <v>762.053</v>
      </c>
      <c r="E928" s="3">
        <v>296.779</v>
      </c>
      <c r="F928" s="3">
        <v>383.15800000000002</v>
      </c>
      <c r="G928" s="2">
        <v>17.984546398972803</v>
      </c>
      <c r="I928" s="3">
        <v>582.91970788732499</v>
      </c>
      <c r="J928" s="3">
        <v>468.63990350153995</v>
      </c>
      <c r="K928" s="3">
        <v>1076.566700347317</v>
      </c>
      <c r="L928" s="3">
        <v>114.35195458971309</v>
      </c>
      <c r="N928" s="4" t="s">
        <v>101</v>
      </c>
      <c r="O928" s="2">
        <v>746.31751549991998</v>
      </c>
      <c r="P928" s="2">
        <v>357.69166999999999</v>
      </c>
      <c r="Q928" s="2">
        <v>8.5337577354966747</v>
      </c>
    </row>
    <row r="929" spans="1:18" ht="14.25" customHeight="1">
      <c r="A929" s="2" t="s">
        <v>15</v>
      </c>
      <c r="B929" s="2">
        <v>1986</v>
      </c>
      <c r="C929" s="2" t="s">
        <v>16</v>
      </c>
      <c r="D929" s="3">
        <v>717.70600000000002</v>
      </c>
      <c r="E929" s="3">
        <v>339.01299999999998</v>
      </c>
      <c r="F929" s="3">
        <v>411.24799999999999</v>
      </c>
      <c r="G929" s="2">
        <v>21.506385199019498</v>
      </c>
      <c r="I929" s="3">
        <v>630.861806613456</v>
      </c>
      <c r="J929" s="3">
        <v>562.88449021802398</v>
      </c>
      <c r="K929" s="3">
        <v>1294.8592473252181</v>
      </c>
      <c r="L929" s="3">
        <v>124.04805350784238</v>
      </c>
      <c r="N929" s="4" t="s">
        <v>101</v>
      </c>
      <c r="O929" s="2">
        <v>748.90915400028007</v>
      </c>
      <c r="P929" s="2">
        <v>333.23289999999997</v>
      </c>
      <c r="Q929" s="2">
        <v>10.158868747519554</v>
      </c>
    </row>
    <row r="930" spans="1:18" ht="14.25" customHeight="1">
      <c r="A930" s="2" t="s">
        <v>15</v>
      </c>
      <c r="B930" s="2">
        <v>1987</v>
      </c>
      <c r="C930" s="2" t="s">
        <v>16</v>
      </c>
      <c r="D930" s="3">
        <v>790.36900000000003</v>
      </c>
      <c r="E930" s="3">
        <v>344.14499999999998</v>
      </c>
      <c r="F930" s="3">
        <v>415.85500000000002</v>
      </c>
      <c r="G930" s="2">
        <v>26.410289015991594</v>
      </c>
      <c r="I930" s="3">
        <v>727.21848673819795</v>
      </c>
      <c r="J930" s="3">
        <v>680.42978921475594</v>
      </c>
      <c r="K930" s="3">
        <v>1251.6068500456079</v>
      </c>
      <c r="L930" s="3">
        <v>130.80144779003669</v>
      </c>
      <c r="N930" s="4" t="s">
        <v>101</v>
      </c>
      <c r="O930" s="2">
        <v>751.06106119590004</v>
      </c>
      <c r="P930" s="2">
        <v>363.95569</v>
      </c>
      <c r="Q930" s="2">
        <v>12.387061617835883</v>
      </c>
    </row>
    <row r="931" spans="1:18" ht="14.25" customHeight="1">
      <c r="A931" s="2" t="s">
        <v>15</v>
      </c>
      <c r="B931" s="2">
        <v>1988</v>
      </c>
      <c r="C931" s="2" t="s">
        <v>16</v>
      </c>
      <c r="D931" s="3">
        <v>742.00800000000004</v>
      </c>
      <c r="E931" s="3">
        <v>321.32900000000001</v>
      </c>
      <c r="F931" s="3">
        <v>440.80099999999999</v>
      </c>
      <c r="G931" s="2">
        <v>32.610010738881762</v>
      </c>
      <c r="H931" s="2">
        <v>90.37705147659625</v>
      </c>
      <c r="I931" s="3">
        <v>641.83902624387792</v>
      </c>
      <c r="J931" s="3">
        <v>612.42288444048802</v>
      </c>
      <c r="K931" s="3">
        <v>1251.7591888444999</v>
      </c>
      <c r="L931" s="3">
        <v>141.8744184844561</v>
      </c>
      <c r="M931" s="2">
        <v>74.253000000000014</v>
      </c>
      <c r="N931" s="4" t="s">
        <v>101</v>
      </c>
      <c r="O931" s="2">
        <v>752.64956744796007</v>
      </c>
      <c r="P931" s="2">
        <v>343.32249000000002</v>
      </c>
      <c r="Q931" s="2">
        <v>15.372845262052062</v>
      </c>
      <c r="R931" s="2">
        <v>44.158755223532161</v>
      </c>
    </row>
    <row r="932" spans="1:18" ht="14.25" customHeight="1">
      <c r="A932" s="2" t="s">
        <v>15</v>
      </c>
      <c r="B932" s="2">
        <v>1989</v>
      </c>
      <c r="C932" s="2" t="s">
        <v>16</v>
      </c>
      <c r="D932" s="3">
        <v>672.87699999999995</v>
      </c>
      <c r="E932" s="3">
        <v>375.005</v>
      </c>
      <c r="F932" s="3">
        <v>482.74400000000003</v>
      </c>
      <c r="G932" s="2">
        <v>44.085937551068056</v>
      </c>
      <c r="H932" s="2">
        <v>82.492926345278406</v>
      </c>
      <c r="I932" s="3">
        <v>585.44746367306902</v>
      </c>
      <c r="J932" s="3">
        <v>665.08643442193807</v>
      </c>
      <c r="K932" s="3">
        <v>1308.128368950622</v>
      </c>
      <c r="L932" s="3">
        <v>183.25451306344539</v>
      </c>
      <c r="M932" s="2">
        <v>47.656000000000006</v>
      </c>
      <c r="N932" s="4" t="s">
        <v>101</v>
      </c>
      <c r="O932" s="2">
        <v>754.55328856362007</v>
      </c>
      <c r="P932" s="2">
        <v>310.38321999999999</v>
      </c>
      <c r="Q932" s="2">
        <v>20.976099400023344</v>
      </c>
      <c r="R932" s="2">
        <v>40.274533909186417</v>
      </c>
    </row>
    <row r="933" spans="1:18" ht="14.25" customHeight="1">
      <c r="A933" s="2" t="s">
        <v>15</v>
      </c>
      <c r="B933" s="2">
        <v>1990</v>
      </c>
      <c r="C933" s="2" t="s">
        <v>16</v>
      </c>
      <c r="D933" s="3">
        <v>621.51</v>
      </c>
      <c r="E933" s="3">
        <v>351.35700000000003</v>
      </c>
      <c r="F933" s="3">
        <v>497.35300000000001</v>
      </c>
      <c r="G933" s="2">
        <v>44.715962063732931</v>
      </c>
      <c r="H933" s="2">
        <v>89.83507645616902</v>
      </c>
      <c r="I933" s="3">
        <v>581.33048330477698</v>
      </c>
      <c r="J933" s="3">
        <v>683.84648814453897</v>
      </c>
      <c r="K933" s="3">
        <v>943.84996758119405</v>
      </c>
      <c r="L933" s="3">
        <v>152.05246122163157</v>
      </c>
      <c r="M933" s="2">
        <v>50.89500000000001</v>
      </c>
      <c r="N933" s="4" t="s">
        <v>101</v>
      </c>
      <c r="O933" s="2">
        <v>756.27328277592005</v>
      </c>
      <c r="P933" s="2">
        <v>284.97986999999995</v>
      </c>
      <c r="Q933" s="2">
        <v>21.314211411229138</v>
      </c>
      <c r="R933" s="2">
        <v>43.746187463522816</v>
      </c>
    </row>
    <row r="934" spans="1:18" ht="14.25" customHeight="1">
      <c r="A934" s="2" t="s">
        <v>15</v>
      </c>
      <c r="B934" s="2">
        <v>1991</v>
      </c>
      <c r="C934" s="2" t="s">
        <v>16</v>
      </c>
      <c r="D934" s="2">
        <v>592.01488268938954</v>
      </c>
      <c r="E934" s="3">
        <v>408.43</v>
      </c>
      <c r="F934" s="3">
        <v>481.23</v>
      </c>
      <c r="G934" s="2">
        <v>54.65167293101436</v>
      </c>
      <c r="H934" s="2">
        <v>120.49573946539044</v>
      </c>
      <c r="I934" s="3">
        <v>551.39384844389997</v>
      </c>
      <c r="J934" s="3">
        <v>727.23912467734488</v>
      </c>
      <c r="K934" s="3">
        <v>1231.605697636335</v>
      </c>
      <c r="L934" s="3">
        <v>164.81771073895464</v>
      </c>
      <c r="M934" s="2">
        <v>81.536000000000001</v>
      </c>
      <c r="N934" s="4" t="s">
        <v>101</v>
      </c>
      <c r="O934" s="2">
        <v>758.2473833844</v>
      </c>
      <c r="P934" s="2">
        <v>263.94229251780087</v>
      </c>
      <c r="Q934" s="2">
        <v>25.593659736197036</v>
      </c>
      <c r="R934" s="2">
        <v>58.832912338041318</v>
      </c>
    </row>
    <row r="935" spans="1:18" ht="14.25" customHeight="1">
      <c r="A935" s="2" t="s">
        <v>15</v>
      </c>
      <c r="B935" s="2">
        <v>1992</v>
      </c>
      <c r="C935" s="2" t="s">
        <v>16</v>
      </c>
      <c r="D935" s="2">
        <v>587.93463289366173</v>
      </c>
      <c r="E935" s="3">
        <v>412.197</v>
      </c>
      <c r="F935" s="3">
        <v>485.01799999999997</v>
      </c>
      <c r="G935" s="2">
        <v>50.977414380763399</v>
      </c>
      <c r="H935" s="2">
        <v>144.24970234621222</v>
      </c>
      <c r="I935" s="3">
        <v>498.31724003880004</v>
      </c>
      <c r="J935" s="3">
        <v>694.23226746042008</v>
      </c>
      <c r="K935" s="3">
        <v>1209.440408667868</v>
      </c>
      <c r="L935" s="3">
        <v>159.44911642211784</v>
      </c>
      <c r="M935" s="2">
        <v>98.768999999999991</v>
      </c>
      <c r="N935" s="4" t="s">
        <v>101</v>
      </c>
      <c r="O935" s="2">
        <v>759.37844118318003</v>
      </c>
      <c r="P935" s="2">
        <v>265.40797011789425</v>
      </c>
      <c r="Q935" s="2">
        <v>23.923263046574064</v>
      </c>
      <c r="R935" s="2">
        <v>70.346354149643986</v>
      </c>
    </row>
    <row r="936" spans="1:18" ht="14.25" customHeight="1">
      <c r="A936" s="2" t="s">
        <v>15</v>
      </c>
      <c r="B936" s="2">
        <v>1993</v>
      </c>
      <c r="C936" s="2" t="s">
        <v>16</v>
      </c>
      <c r="D936" s="2">
        <v>613.21787089996508</v>
      </c>
      <c r="E936" s="3">
        <v>375.99200000000002</v>
      </c>
      <c r="F936" s="3">
        <v>442.26600000000002</v>
      </c>
      <c r="G936" s="2">
        <v>61.623821174273381</v>
      </c>
      <c r="H936" s="2">
        <v>159.39855258550253</v>
      </c>
      <c r="I936" s="3">
        <v>515.07490560960002</v>
      </c>
      <c r="J936" s="3">
        <v>660.27737764938888</v>
      </c>
      <c r="K936" s="3">
        <v>1171.7276372479439</v>
      </c>
      <c r="L936" s="3">
        <v>231.34169749475927</v>
      </c>
      <c r="M936" s="2">
        <v>121.48400000000001</v>
      </c>
      <c r="N936" s="4" t="s">
        <v>101</v>
      </c>
      <c r="O936" s="2">
        <v>760.54715978513991</v>
      </c>
      <c r="P936" s="2">
        <v>278.95175674098289</v>
      </c>
      <c r="Q936" s="2">
        <v>29.055792375393956</v>
      </c>
      <c r="R936" s="2">
        <v>77.643290766896243</v>
      </c>
    </row>
    <row r="937" spans="1:18" ht="14.25" customHeight="1">
      <c r="A937" s="2" t="s">
        <v>15</v>
      </c>
      <c r="B937" s="2">
        <v>1994</v>
      </c>
      <c r="C937" s="2" t="s">
        <v>16</v>
      </c>
      <c r="D937" s="2">
        <v>622.48273141122911</v>
      </c>
      <c r="E937" s="3">
        <v>372.16199999999998</v>
      </c>
      <c r="F937" s="3">
        <v>457.64100000000002</v>
      </c>
      <c r="G937" s="2">
        <v>76.59955130150577</v>
      </c>
      <c r="H937" s="2">
        <v>166.50314695926232</v>
      </c>
      <c r="I937" s="3">
        <v>537.04531034016998</v>
      </c>
      <c r="J937" s="3">
        <v>752.68897445899506</v>
      </c>
      <c r="K937" s="3">
        <v>1195.4542154543301</v>
      </c>
      <c r="L937" s="3">
        <v>288.82721613489417</v>
      </c>
      <c r="M937" s="2">
        <v>126.25999999999999</v>
      </c>
      <c r="N937" s="4" t="s">
        <v>101</v>
      </c>
      <c r="O937" s="2">
        <v>762.35795164620004</v>
      </c>
      <c r="P937" s="2">
        <v>281.68973839150226</v>
      </c>
      <c r="Q937" s="2">
        <v>36.469500137737832</v>
      </c>
      <c r="R937" s="2">
        <v>80.893542010038544</v>
      </c>
    </row>
    <row r="938" spans="1:18" ht="14.25" customHeight="1">
      <c r="A938" s="2" t="s">
        <v>15</v>
      </c>
      <c r="B938" s="2">
        <v>1995</v>
      </c>
      <c r="C938" s="2" t="s">
        <v>16</v>
      </c>
      <c r="D938" s="2">
        <v>657.80369814404105</v>
      </c>
      <c r="E938" s="3">
        <v>362.11900000000003</v>
      </c>
      <c r="F938" s="3">
        <v>484.69</v>
      </c>
      <c r="G938" s="2">
        <v>84.024761643515816</v>
      </c>
      <c r="H938" s="2">
        <v>165.59795215127818</v>
      </c>
      <c r="I938" s="3">
        <v>546.17614124635202</v>
      </c>
      <c r="J938" s="3">
        <v>789.40611682628798</v>
      </c>
      <c r="K938" s="3">
        <v>1283.7775922996159</v>
      </c>
      <c r="L938" s="3">
        <v>192.04960765368639</v>
      </c>
      <c r="M938" s="2">
        <v>127.45199999999998</v>
      </c>
      <c r="N938" s="4" t="s">
        <v>101</v>
      </c>
      <c r="O938" s="2">
        <v>764.73883856916007</v>
      </c>
      <c r="P938" s="2">
        <v>296.14815209058008</v>
      </c>
      <c r="Q938" s="2">
        <v>39.723343205322749</v>
      </c>
      <c r="R938" s="2">
        <v>80.134996554126289</v>
      </c>
    </row>
    <row r="939" spans="1:18" ht="14.25" customHeight="1">
      <c r="A939" s="2" t="s">
        <v>15</v>
      </c>
      <c r="B939" s="2">
        <v>1996</v>
      </c>
      <c r="C939" s="2" t="s">
        <v>16</v>
      </c>
      <c r="D939" s="2">
        <v>578.95637060814761</v>
      </c>
      <c r="E939" s="3">
        <v>310.36500000000001</v>
      </c>
      <c r="F939" s="3">
        <v>533.16899999999998</v>
      </c>
      <c r="G939" s="2">
        <v>98.59600583634878</v>
      </c>
      <c r="H939" s="2">
        <v>228.41686463873003</v>
      </c>
      <c r="I939" s="3">
        <v>547.61625317593507</v>
      </c>
      <c r="J939" s="3">
        <v>781.49610736405202</v>
      </c>
      <c r="K939" s="3">
        <v>1353.1405856332651</v>
      </c>
      <c r="L939" s="3">
        <v>192.01779790537569</v>
      </c>
      <c r="M939" s="2">
        <v>162.84800000000001</v>
      </c>
      <c r="N939" s="4" t="s">
        <v>101</v>
      </c>
      <c r="O939" s="2">
        <v>766.84383583626004</v>
      </c>
      <c r="P939" s="2">
        <v>256.05661159799229</v>
      </c>
      <c r="Q939" s="2">
        <v>46.265382859810899</v>
      </c>
      <c r="R939" s="2">
        <v>110.03426367297772</v>
      </c>
    </row>
    <row r="940" spans="1:18" ht="14.25" customHeight="1">
      <c r="A940" s="2" t="s">
        <v>15</v>
      </c>
      <c r="B940" s="2">
        <v>1997</v>
      </c>
      <c r="C940" s="2" t="s">
        <v>16</v>
      </c>
      <c r="D940" s="2">
        <v>540.53248406676789</v>
      </c>
      <c r="E940" s="3">
        <v>299.779</v>
      </c>
      <c r="F940" s="3">
        <v>503.17099999999999</v>
      </c>
      <c r="G940" s="2">
        <v>116.69238718337809</v>
      </c>
      <c r="H940" s="2">
        <v>256.46466599276295</v>
      </c>
      <c r="I940" s="3">
        <v>505.65898360287997</v>
      </c>
      <c r="J940" s="3">
        <v>654.38380419370492</v>
      </c>
      <c r="K940" s="3">
        <v>1140.9419556635598</v>
      </c>
      <c r="L940" s="3">
        <v>281.91620112876905</v>
      </c>
      <c r="M940" s="2">
        <v>166.428</v>
      </c>
      <c r="N940" s="4" t="s">
        <v>101</v>
      </c>
      <c r="O940" s="2">
        <v>768.93800717370004</v>
      </c>
      <c r="P940" s="2">
        <v>238.38558719271626</v>
      </c>
      <c r="Q940" s="2">
        <v>54.16723971985526</v>
      </c>
      <c r="R940" s="2">
        <v>124.34468633645385</v>
      </c>
    </row>
    <row r="941" spans="1:18" ht="14.25" customHeight="1">
      <c r="A941" s="2" t="s">
        <v>15</v>
      </c>
      <c r="B941" s="2">
        <v>1998</v>
      </c>
      <c r="C941" s="2" t="s">
        <v>16</v>
      </c>
      <c r="D941" s="2">
        <v>504.0975608731178</v>
      </c>
      <c r="E941" s="3">
        <v>346.108</v>
      </c>
      <c r="F941" s="3">
        <v>532.78800000000001</v>
      </c>
      <c r="G941" s="2">
        <v>123.03169686004436</v>
      </c>
      <c r="H941" s="2">
        <v>330.26337329286798</v>
      </c>
      <c r="I941" s="3">
        <v>505.95238045647801</v>
      </c>
      <c r="J941" s="3">
        <v>777.48879679061008</v>
      </c>
      <c r="K941" s="3">
        <v>1354.521715347506</v>
      </c>
      <c r="L941" s="3">
        <v>270.09893515961778</v>
      </c>
      <c r="M941" s="2">
        <v>186.375</v>
      </c>
      <c r="N941" s="4" t="s">
        <v>101</v>
      </c>
      <c r="O941" s="2">
        <v>771.31081297451999</v>
      </c>
      <c r="P941" s="2">
        <v>220.92328482782773</v>
      </c>
      <c r="Q941" s="2">
        <v>58.197921461421736</v>
      </c>
      <c r="R941" s="2">
        <v>160.06505291350533</v>
      </c>
    </row>
    <row r="942" spans="1:18" ht="14.25" customHeight="1">
      <c r="A942" s="2" t="s">
        <v>15</v>
      </c>
      <c r="B942" s="2">
        <v>1999</v>
      </c>
      <c r="C942" s="2" t="s">
        <v>16</v>
      </c>
      <c r="D942" s="2">
        <v>462.5277010622155</v>
      </c>
      <c r="E942" s="3">
        <v>354.67399999999998</v>
      </c>
      <c r="F942" s="3">
        <v>552.00800000000004</v>
      </c>
      <c r="G942" s="2">
        <v>138.55740247461191</v>
      </c>
      <c r="H942" s="2">
        <v>293.31598935449989</v>
      </c>
      <c r="I942" s="3">
        <v>477.859319205264</v>
      </c>
      <c r="J942" s="3">
        <v>768.40741390060805</v>
      </c>
      <c r="K942" s="3">
        <v>1340.0531018359202</v>
      </c>
      <c r="L942" s="3">
        <v>304.50915771900316</v>
      </c>
      <c r="M942" s="2">
        <v>127.72</v>
      </c>
      <c r="N942" s="4" t="s">
        <v>101</v>
      </c>
      <c r="O942" s="2">
        <v>774.41573048112002</v>
      </c>
      <c r="P942" s="2">
        <v>202.12212352048559</v>
      </c>
      <c r="Q942" s="2">
        <v>65.603917212559821</v>
      </c>
      <c r="R942" s="2">
        <v>142.23383478370494</v>
      </c>
    </row>
    <row r="943" spans="1:18" ht="14.25" customHeight="1">
      <c r="A943" s="2" t="s">
        <v>15</v>
      </c>
      <c r="B943" s="2">
        <v>2000</v>
      </c>
      <c r="C943" s="2" t="s">
        <v>16</v>
      </c>
      <c r="D943" s="2">
        <v>426.52882467608265</v>
      </c>
      <c r="E943" s="3">
        <v>364.86799999999999</v>
      </c>
      <c r="F943" s="3">
        <v>549.69899999999996</v>
      </c>
      <c r="G943" s="2">
        <v>136.67223041904987</v>
      </c>
      <c r="H943" s="2">
        <v>252.53897924594375</v>
      </c>
      <c r="I943" s="3">
        <v>422.04199999999997</v>
      </c>
      <c r="J943" s="3">
        <v>696.02499999999998</v>
      </c>
      <c r="K943" s="3">
        <v>1324.7170000000001</v>
      </c>
      <c r="L943" s="3">
        <v>304.77402240000004</v>
      </c>
      <c r="M943" s="2">
        <v>128.69999999999999</v>
      </c>
      <c r="N943" s="4" t="s">
        <v>101</v>
      </c>
      <c r="O943" s="2">
        <v>777.95265587130007</v>
      </c>
      <c r="P943" s="2">
        <v>182.32429409128051</v>
      </c>
      <c r="Q943" s="2">
        <v>64.366652905334433</v>
      </c>
      <c r="R943" s="2">
        <v>121.98009983051243</v>
      </c>
    </row>
    <row r="944" spans="1:18" ht="14.25" customHeight="1">
      <c r="A944" s="2" t="s">
        <v>15</v>
      </c>
      <c r="B944" s="2">
        <v>2001</v>
      </c>
      <c r="C944" s="2" t="s">
        <v>16</v>
      </c>
      <c r="D944" s="2">
        <v>421.98314707598928</v>
      </c>
      <c r="E944" s="3">
        <v>390.96600000000001</v>
      </c>
      <c r="F944" s="3">
        <v>626.57000000000005</v>
      </c>
      <c r="G944" s="2">
        <v>153.35934084276877</v>
      </c>
      <c r="H944" s="2">
        <v>248.82079719855261</v>
      </c>
      <c r="I944" s="3">
        <v>416.31260290444112</v>
      </c>
      <c r="J944" s="3">
        <v>731.68521692282377</v>
      </c>
      <c r="K944" s="3">
        <v>1410.163913148358</v>
      </c>
      <c r="L944" s="3">
        <v>349.96222883681054</v>
      </c>
      <c r="M944" s="2">
        <v>147.68599999999998</v>
      </c>
      <c r="N944" s="4" t="s">
        <v>101</v>
      </c>
      <c r="O944" s="2">
        <v>781.97369668782005</v>
      </c>
      <c r="P944" s="2">
        <v>178.17751206723474</v>
      </c>
      <c r="Q944" s="2">
        <v>71.257087012956703</v>
      </c>
      <c r="R944" s="2">
        <v>120.30519062729078</v>
      </c>
    </row>
    <row r="945" spans="1:18" ht="14.25" customHeight="1">
      <c r="A945" s="2" t="s">
        <v>15</v>
      </c>
      <c r="B945" s="2">
        <v>2002</v>
      </c>
      <c r="C945" s="2" t="s">
        <v>16</v>
      </c>
      <c r="D945" s="2">
        <v>427.82498926111828</v>
      </c>
      <c r="E945" s="3">
        <v>388.28300000000002</v>
      </c>
      <c r="F945" s="3">
        <v>619.65200000000004</v>
      </c>
      <c r="G945" s="2">
        <v>160.93886646433992</v>
      </c>
      <c r="H945" s="2">
        <v>195.82580524804484</v>
      </c>
      <c r="I945" s="3">
        <v>400.7884767589648</v>
      </c>
      <c r="J945" s="3">
        <v>733.38988173088319</v>
      </c>
      <c r="K945" s="3">
        <v>1375.0917726706689</v>
      </c>
      <c r="L945" s="3">
        <v>350.96711029112146</v>
      </c>
      <c r="M945" s="2">
        <v>126.973</v>
      </c>
      <c r="N945" s="4" t="s">
        <v>101</v>
      </c>
      <c r="O945" s="2">
        <v>786.17703360378005</v>
      </c>
      <c r="P945" s="2">
        <v>182.17695473794794</v>
      </c>
      <c r="Q945" s="2">
        <v>74.931574567526567</v>
      </c>
      <c r="R945" s="2">
        <v>94.505644571541978</v>
      </c>
    </row>
    <row r="946" spans="1:18" ht="14.25" customHeight="1">
      <c r="A946" s="2" t="s">
        <v>15</v>
      </c>
      <c r="B946" s="2">
        <v>2003</v>
      </c>
      <c r="C946" s="2" t="s">
        <v>16</v>
      </c>
      <c r="D946" s="2">
        <v>415.90883798295789</v>
      </c>
      <c r="E946" s="2">
        <v>479.5</v>
      </c>
      <c r="F946" s="2">
        <v>631.5</v>
      </c>
      <c r="G946" s="2">
        <v>163.62607260417883</v>
      </c>
      <c r="H946" s="2">
        <v>167.83656497256919</v>
      </c>
      <c r="I946" s="3">
        <v>372.81706320780683</v>
      </c>
      <c r="J946" s="3">
        <v>837.30777406876007</v>
      </c>
      <c r="K946" s="3">
        <v>1351.3963367205802</v>
      </c>
      <c r="L946" s="3">
        <v>297.64094238354102</v>
      </c>
      <c r="M946" s="2">
        <v>123.51600000000001</v>
      </c>
      <c r="N946" s="4" t="s">
        <v>101</v>
      </c>
      <c r="O946" s="2">
        <v>790.56982793880002</v>
      </c>
      <c r="P946" s="2">
        <v>175.28888061164938</v>
      </c>
      <c r="Q946" s="2">
        <v>75.873455576047618</v>
      </c>
      <c r="R946" s="2">
        <v>80.496916836558896</v>
      </c>
    </row>
    <row r="947" spans="1:18" ht="14.25" customHeight="1">
      <c r="A947" s="2" t="s">
        <v>15</v>
      </c>
      <c r="B947" s="2">
        <v>2004</v>
      </c>
      <c r="C947" s="2" t="s">
        <v>16</v>
      </c>
      <c r="D947" s="2">
        <v>423.64493976888059</v>
      </c>
      <c r="E947" s="2">
        <v>477.8</v>
      </c>
      <c r="F947" s="2">
        <v>671.3</v>
      </c>
      <c r="G947" s="2">
        <v>187.48340142406911</v>
      </c>
      <c r="H947" s="2">
        <v>171.14108376327769</v>
      </c>
      <c r="I947" s="3">
        <v>370.00171730990161</v>
      </c>
      <c r="J947" s="3">
        <v>807.89308893042005</v>
      </c>
      <c r="K947" s="3">
        <v>1344.4209368573402</v>
      </c>
      <c r="L947" s="3">
        <v>295.58149437837807</v>
      </c>
      <c r="M947" s="2">
        <v>97.734000000000009</v>
      </c>
      <c r="N947" s="4" t="s">
        <v>101</v>
      </c>
      <c r="O947" s="2">
        <v>795.42713714646004</v>
      </c>
      <c r="P947" s="2">
        <v>181.1056504867515</v>
      </c>
      <c r="Q947" s="2">
        <v>85.041866697793864</v>
      </c>
      <c r="R947" s="2">
        <v>82.683131044006075</v>
      </c>
    </row>
    <row r="948" spans="1:18" ht="14.25" customHeight="1">
      <c r="A948" s="2" t="s">
        <v>15</v>
      </c>
      <c r="B948" s="2">
        <v>2005</v>
      </c>
      <c r="C948" s="2" t="s">
        <v>16</v>
      </c>
      <c r="D948" s="2">
        <v>457.66820649001988</v>
      </c>
      <c r="E948" s="2">
        <v>460.6</v>
      </c>
      <c r="F948" s="2">
        <v>719.7</v>
      </c>
      <c r="G948" s="2">
        <v>156.67052258666979</v>
      </c>
      <c r="H948" s="2">
        <v>193.08167418232756</v>
      </c>
      <c r="I948" s="3">
        <v>406.44565324129599</v>
      </c>
      <c r="J948" s="3">
        <v>830.94554337680006</v>
      </c>
      <c r="K948" s="3">
        <v>1503.5439323896001</v>
      </c>
      <c r="L948" s="3">
        <v>302.17858250670474</v>
      </c>
      <c r="M948" s="2">
        <v>103.596</v>
      </c>
      <c r="N948" s="4" t="s">
        <v>101</v>
      </c>
      <c r="O948" s="2">
        <v>802.41914010258006</v>
      </c>
      <c r="P948" s="2">
        <v>196.64767118010974</v>
      </c>
      <c r="Q948" s="2">
        <v>70.510346067468191</v>
      </c>
      <c r="R948" s="2">
        <v>92.846020349340506</v>
      </c>
    </row>
    <row r="949" spans="1:18" ht="14.25" customHeight="1">
      <c r="A949" s="2" t="s">
        <v>15</v>
      </c>
      <c r="B949" s="2">
        <v>2006</v>
      </c>
      <c r="C949" s="2" t="s">
        <v>16</v>
      </c>
      <c r="D949" s="2">
        <v>385.04471600326838</v>
      </c>
      <c r="E949" s="2">
        <v>415.6</v>
      </c>
      <c r="F949" s="2">
        <v>753.3</v>
      </c>
      <c r="G949" s="2">
        <v>155.33055188514066</v>
      </c>
      <c r="H949" s="2">
        <v>180.50816956227385</v>
      </c>
      <c r="I949" s="3">
        <v>423.28901622814828</v>
      </c>
      <c r="J949" s="3">
        <v>809.94236719914011</v>
      </c>
      <c r="K949" s="3">
        <v>1651.0033012552199</v>
      </c>
      <c r="L949" s="3">
        <v>359.14830923344891</v>
      </c>
      <c r="M949" s="2">
        <v>105.60799999999999</v>
      </c>
      <c r="N949" s="4" t="s">
        <v>101</v>
      </c>
      <c r="O949" s="2">
        <v>808.7323871991</v>
      </c>
      <c r="P949" s="2">
        <v>160.5222508416015</v>
      </c>
      <c r="Q949" s="2">
        <v>70.754030423718916</v>
      </c>
      <c r="R949" s="2">
        <v>86.89500308551419</v>
      </c>
    </row>
    <row r="950" spans="1:18" ht="14.25" customHeight="1">
      <c r="A950" s="2" t="s">
        <v>15</v>
      </c>
      <c r="B950" s="2">
        <v>2007</v>
      </c>
      <c r="C950" s="2" t="s">
        <v>16</v>
      </c>
      <c r="D950" s="2">
        <v>406.25018874751959</v>
      </c>
      <c r="E950" s="2">
        <v>466.9</v>
      </c>
      <c r="F950" s="2">
        <v>747.9</v>
      </c>
      <c r="G950" s="2">
        <v>157.56459752538811</v>
      </c>
      <c r="H950" s="2">
        <v>155.01400931948174</v>
      </c>
      <c r="I950" s="3">
        <v>439.14123483191804</v>
      </c>
      <c r="J950" s="3">
        <v>809.45717788700006</v>
      </c>
      <c r="K950" s="3">
        <v>1643.5607606811502</v>
      </c>
      <c r="L950" s="3">
        <v>384.83488251143012</v>
      </c>
      <c r="M950" s="2">
        <v>93.561999999999983</v>
      </c>
      <c r="N950" s="4" t="s">
        <v>101</v>
      </c>
      <c r="O950" s="2">
        <v>815.80107686532006</v>
      </c>
      <c r="P950" s="2">
        <v>169.5783824862846</v>
      </c>
      <c r="Q950" s="2">
        <v>71.57424278744017</v>
      </c>
      <c r="R950" s="2">
        <v>74.423864566546044</v>
      </c>
    </row>
    <row r="951" spans="1:18" ht="14.25" customHeight="1">
      <c r="A951" s="2" t="s">
        <v>15</v>
      </c>
      <c r="B951" s="2">
        <v>2008</v>
      </c>
      <c r="C951" s="2" t="s">
        <v>16</v>
      </c>
      <c r="D951" s="2">
        <v>379.19271226800515</v>
      </c>
      <c r="E951" s="2">
        <v>415.8</v>
      </c>
      <c r="F951" s="2">
        <v>781.7</v>
      </c>
      <c r="G951" s="2">
        <v>159.4125593556671</v>
      </c>
      <c r="H951" s="2">
        <v>159.39837749503911</v>
      </c>
      <c r="I951" s="3">
        <v>410.90300201538025</v>
      </c>
      <c r="J951" s="3">
        <v>800.13559883851997</v>
      </c>
      <c r="K951" s="3">
        <v>1751.9117168545799</v>
      </c>
      <c r="L951" s="3">
        <v>417.01141473821139</v>
      </c>
      <c r="M951" s="2">
        <v>92.509</v>
      </c>
      <c r="N951" s="4" t="s">
        <v>101</v>
      </c>
      <c r="O951" s="2">
        <v>822.78820340807999</v>
      </c>
      <c r="P951" s="2">
        <v>155.87984901132253</v>
      </c>
      <c r="Q951" s="2">
        <v>71.520674084276877</v>
      </c>
      <c r="R951" s="2">
        <v>76.488204972569179</v>
      </c>
    </row>
    <row r="952" spans="1:18" ht="14.25" customHeight="1">
      <c r="A952" s="2" t="s">
        <v>15</v>
      </c>
      <c r="B952" s="2">
        <v>2009</v>
      </c>
      <c r="C952" s="2" t="s">
        <v>16</v>
      </c>
      <c r="D952" s="2">
        <v>364.49564585035603</v>
      </c>
      <c r="E952" s="2">
        <v>479.2</v>
      </c>
      <c r="F952" s="2">
        <v>720.2</v>
      </c>
      <c r="G952" s="2">
        <v>178.42638086144507</v>
      </c>
      <c r="H952" s="2">
        <v>168.79389420800749</v>
      </c>
      <c r="I952" s="3">
        <v>414.129237254705</v>
      </c>
      <c r="J952" s="3">
        <v>927.92873073880014</v>
      </c>
      <c r="K952" s="3">
        <v>1732.7339739311003</v>
      </c>
      <c r="L952" s="3">
        <v>399.38745042993219</v>
      </c>
      <c r="M952" s="2">
        <v>127.36</v>
      </c>
      <c r="N952" s="4" t="s">
        <v>101</v>
      </c>
      <c r="O952" s="2">
        <v>828.83504357471998</v>
      </c>
      <c r="P952" s="2">
        <v>151.22012646667446</v>
      </c>
      <c r="Q952" s="2">
        <v>79.950717422108085</v>
      </c>
      <c r="R952" s="2">
        <v>81.344008161923654</v>
      </c>
    </row>
    <row r="953" spans="1:18" ht="14.25" customHeight="1">
      <c r="A953" s="2" t="s">
        <v>15</v>
      </c>
      <c r="B953" s="2">
        <v>2010</v>
      </c>
      <c r="C953" s="2" t="s">
        <v>16</v>
      </c>
      <c r="D953" s="2">
        <v>377.94791642348548</v>
      </c>
      <c r="E953" s="2">
        <v>516.70000000000005</v>
      </c>
      <c r="F953" s="2">
        <v>703.8</v>
      </c>
      <c r="G953" s="2">
        <v>182.19267711567645</v>
      </c>
      <c r="H953" s="2">
        <v>176.06006512431424</v>
      </c>
      <c r="I953" s="3">
        <v>417.37069963795994</v>
      </c>
      <c r="J953" s="3">
        <v>1025.1063159386799</v>
      </c>
      <c r="K953" s="3">
        <v>1717.5501304502798</v>
      </c>
      <c r="L953" s="3">
        <v>394.26672330380279</v>
      </c>
      <c r="M953" s="2">
        <v>131.024</v>
      </c>
      <c r="N953" s="4" t="s">
        <v>101</v>
      </c>
      <c r="O953" s="2">
        <v>835.60193581409999</v>
      </c>
      <c r="P953" s="2">
        <v>155.92047904750788</v>
      </c>
      <c r="Q953" s="2">
        <v>82.655306286681451</v>
      </c>
      <c r="R953" s="2">
        <v>83.917431910913976</v>
      </c>
    </row>
    <row r="954" spans="1:18" ht="14.25" customHeight="1">
      <c r="A954" s="2" t="s">
        <v>15</v>
      </c>
      <c r="B954" s="2">
        <v>2011</v>
      </c>
      <c r="C954" s="2" t="s">
        <v>16</v>
      </c>
      <c r="D954" s="2">
        <v>371.66520368857243</v>
      </c>
      <c r="E954" s="2">
        <v>436.1</v>
      </c>
      <c r="F954" s="2">
        <v>720.2</v>
      </c>
      <c r="G954" s="2">
        <v>179.5632838333139</v>
      </c>
      <c r="H954" s="2">
        <v>174.41010674448466</v>
      </c>
      <c r="I954" s="3">
        <v>449.50791119615997</v>
      </c>
      <c r="J954" s="3">
        <v>1059.9784652062799</v>
      </c>
      <c r="K954" s="3">
        <v>1852.6271610607198</v>
      </c>
      <c r="L954" s="3">
        <v>476.81395257461833</v>
      </c>
      <c r="M954" s="2">
        <v>152.06399999999999</v>
      </c>
      <c r="N954" s="4" t="s">
        <v>101</v>
      </c>
      <c r="O954" s="2">
        <v>842.8171441817401</v>
      </c>
      <c r="P954" s="2">
        <v>151.1619498074005</v>
      </c>
      <c r="Q954" s="2">
        <v>82.303871078323823</v>
      </c>
      <c r="R954" s="2">
        <v>84.074952304797492</v>
      </c>
    </row>
    <row r="955" spans="1:18" ht="14.25" customHeight="1">
      <c r="A955" s="2" t="s">
        <v>15</v>
      </c>
      <c r="B955" s="2">
        <v>2012</v>
      </c>
      <c r="C955" s="2" t="s">
        <v>16</v>
      </c>
      <c r="D955" s="2">
        <v>366.323053577682</v>
      </c>
      <c r="E955" s="2">
        <v>465.9</v>
      </c>
      <c r="F955" s="2">
        <v>754.5</v>
      </c>
      <c r="G955" s="2">
        <v>185.47639311310846</v>
      </c>
      <c r="H955" s="2">
        <v>209.3440450566126</v>
      </c>
      <c r="I955" s="3">
        <v>398.89878864230002</v>
      </c>
      <c r="J955" s="3">
        <v>942.80703843895003</v>
      </c>
      <c r="K955" s="3">
        <v>1802.9720133850001</v>
      </c>
      <c r="L955" s="3">
        <v>419.22169835679148</v>
      </c>
      <c r="M955" s="2">
        <v>153.79</v>
      </c>
      <c r="N955" s="4" t="s">
        <v>101</v>
      </c>
      <c r="O955" s="2">
        <v>848.23560592679996</v>
      </c>
      <c r="P955" s="2">
        <v>148.25029625306411</v>
      </c>
      <c r="Q955" s="2">
        <v>85.137958625423153</v>
      </c>
      <c r="R955" s="2">
        <v>99.470582077740175</v>
      </c>
    </row>
    <row r="956" spans="1:18" ht="14.25" customHeight="1">
      <c r="A956" s="2" t="s">
        <v>15</v>
      </c>
      <c r="B956" s="2">
        <v>2013</v>
      </c>
      <c r="C956" s="2" t="s">
        <v>16</v>
      </c>
      <c r="D956" s="2">
        <v>376.33469125714953</v>
      </c>
      <c r="E956" s="2">
        <v>452.1</v>
      </c>
      <c r="F956" s="2">
        <v>739.4</v>
      </c>
      <c r="G956" s="2">
        <v>183.29033570678186</v>
      </c>
      <c r="H956" s="2">
        <v>197.19958108556088</v>
      </c>
      <c r="I956" s="3">
        <v>373.78960169850001</v>
      </c>
      <c r="J956" s="3">
        <v>994.25310630295007</v>
      </c>
      <c r="K956" s="3">
        <v>1877.1182730105002</v>
      </c>
      <c r="L956" s="3">
        <v>518.48914940247971</v>
      </c>
      <c r="M956" s="2">
        <v>130.56</v>
      </c>
      <c r="N956" s="4" t="s">
        <v>101</v>
      </c>
      <c r="O956" s="2">
        <v>853.40222428187997</v>
      </c>
      <c r="P956" s="2">
        <v>153.34499871600329</v>
      </c>
      <c r="Q956" s="2">
        <v>84.285484496323107</v>
      </c>
      <c r="R956" s="2">
        <v>95.094794731924821</v>
      </c>
    </row>
    <row r="957" spans="1:18" ht="14.25" customHeight="1">
      <c r="A957" s="2" t="s">
        <v>15</v>
      </c>
      <c r="B957" s="2">
        <v>2014</v>
      </c>
      <c r="C957" s="2" t="s">
        <v>16</v>
      </c>
      <c r="D957" s="2">
        <v>416.00064199836584</v>
      </c>
      <c r="E957" s="2">
        <v>499.1</v>
      </c>
      <c r="F957" s="2">
        <v>720.6</v>
      </c>
      <c r="G957" s="2">
        <v>192.91247144858178</v>
      </c>
      <c r="H957" s="2">
        <v>274.91853720088716</v>
      </c>
      <c r="I957" s="3">
        <v>409.33239606946</v>
      </c>
      <c r="J957" s="3">
        <v>1037.8312277984701</v>
      </c>
      <c r="K957" s="3">
        <v>1820.0458813208702</v>
      </c>
      <c r="L957" s="3">
        <v>532.23118736478057</v>
      </c>
      <c r="M957" s="2">
        <v>167.03100000000001</v>
      </c>
      <c r="N957" s="4" t="s">
        <v>101</v>
      </c>
      <c r="O957" s="2">
        <v>859.84000971959995</v>
      </c>
      <c r="P957" s="2">
        <v>173.91531457919928</v>
      </c>
      <c r="Q957" s="2">
        <v>89.987184009805077</v>
      </c>
      <c r="R957" s="2">
        <v>132.8620832284347</v>
      </c>
    </row>
    <row r="958" spans="1:18" ht="14.25" customHeight="1">
      <c r="A958" s="2" t="s">
        <v>15</v>
      </c>
      <c r="B958" s="2">
        <v>2015</v>
      </c>
      <c r="C958" s="2" t="s">
        <v>16</v>
      </c>
      <c r="D958" s="2">
        <v>384.98195400957161</v>
      </c>
      <c r="E958" s="2">
        <v>442</v>
      </c>
      <c r="F958" s="2">
        <v>680.4</v>
      </c>
      <c r="G958" s="2">
        <v>190.57493682701062</v>
      </c>
      <c r="H958" s="2">
        <v>260.73221664526676</v>
      </c>
      <c r="I958" s="3">
        <v>364.220980403</v>
      </c>
      <c r="J958" s="3">
        <v>880.38731375170005</v>
      </c>
      <c r="K958" s="3">
        <v>1759.5890980915999</v>
      </c>
      <c r="L958" s="3">
        <v>477.29809032087621</v>
      </c>
      <c r="M958" s="2">
        <v>147.44400000000002</v>
      </c>
      <c r="N958" s="4" t="s">
        <v>101</v>
      </c>
      <c r="O958" s="2">
        <v>866.43411048558005</v>
      </c>
      <c r="P958" s="2">
        <v>158.98915746469009</v>
      </c>
      <c r="Q958" s="2">
        <v>88.308729935235206</v>
      </c>
      <c r="R958" s="2">
        <v>125.93178615618072</v>
      </c>
    </row>
    <row r="959" spans="1:18" ht="14.25" customHeight="1">
      <c r="A959" s="2" t="s">
        <v>15</v>
      </c>
      <c r="B959" s="2">
        <v>2016</v>
      </c>
      <c r="C959" s="2" t="s">
        <v>16</v>
      </c>
      <c r="D959" s="2">
        <v>410.24402941519793</v>
      </c>
      <c r="E959" s="2">
        <v>439.9</v>
      </c>
      <c r="F959" s="2">
        <v>729.2</v>
      </c>
      <c r="G959" s="2">
        <v>174.44513318664644</v>
      </c>
      <c r="H959" s="2">
        <v>228.25215361269989</v>
      </c>
      <c r="I959" s="3">
        <v>448.90249591423998</v>
      </c>
      <c r="J959" s="3">
        <v>1060.68913946624</v>
      </c>
      <c r="K959" s="3">
        <v>1987.0441746604802</v>
      </c>
      <c r="L959" s="3">
        <v>542.61069687674421</v>
      </c>
      <c r="M959" s="2">
        <v>164.64500000000001</v>
      </c>
      <c r="N959" s="4" t="s">
        <v>101</v>
      </c>
      <c r="O959" s="2">
        <v>873.22310718552001</v>
      </c>
      <c r="P959" s="2">
        <v>171.24157441344698</v>
      </c>
      <c r="Q959" s="2">
        <v>81.931586961456759</v>
      </c>
      <c r="R959" s="2">
        <v>110.03755527022295</v>
      </c>
    </row>
    <row r="960" spans="1:18" ht="14.25" customHeight="1">
      <c r="A960" s="2" t="s">
        <v>15</v>
      </c>
      <c r="B960" s="2">
        <v>2017</v>
      </c>
      <c r="C960" s="2" t="s">
        <v>16</v>
      </c>
      <c r="D960" s="2">
        <v>401.79711684370261</v>
      </c>
      <c r="E960" s="2">
        <v>459.5</v>
      </c>
      <c r="F960" s="2">
        <v>704.2</v>
      </c>
      <c r="G960" s="2">
        <v>199.57343496673283</v>
      </c>
      <c r="H960" s="2">
        <v>259.7627290766896</v>
      </c>
      <c r="I960" s="3">
        <v>455.24152943640001</v>
      </c>
      <c r="J960" s="3">
        <v>1189.8528607098001</v>
      </c>
      <c r="K960" s="3">
        <v>1998.2128197612001</v>
      </c>
      <c r="L960" s="3">
        <v>706.26167751821242</v>
      </c>
      <c r="M960" s="2">
        <v>160.70399999999998</v>
      </c>
      <c r="N960" s="4" t="s">
        <v>101</v>
      </c>
      <c r="O960" s="2">
        <v>877.99446595769996</v>
      </c>
      <c r="P960" s="2">
        <v>167.96358725341429</v>
      </c>
      <c r="Q960" s="2">
        <v>93.903446333699094</v>
      </c>
      <c r="R960" s="2">
        <v>124.78473724757791</v>
      </c>
    </row>
    <row r="961" spans="1:18" ht="14.25" customHeight="1">
      <c r="A961" s="2" t="s">
        <v>15</v>
      </c>
      <c r="B961" s="2">
        <v>2018</v>
      </c>
      <c r="C961" s="2" t="s">
        <v>16</v>
      </c>
      <c r="D961" s="2">
        <v>394.24085444146141</v>
      </c>
      <c r="E961" s="2">
        <v>447.6</v>
      </c>
      <c r="F961" s="2">
        <v>674</v>
      </c>
      <c r="G961" s="2">
        <v>165.91919813820476</v>
      </c>
      <c r="H961" s="2">
        <v>242.35726625423138</v>
      </c>
      <c r="I961" s="3">
        <v>447.7255491423</v>
      </c>
      <c r="J961" s="3">
        <v>1082.1496621984372</v>
      </c>
      <c r="K961" s="3">
        <v>1930.9714079448001</v>
      </c>
      <c r="L961" s="3">
        <v>576.31776681513304</v>
      </c>
      <c r="M961" s="2">
        <v>157.43999999999997</v>
      </c>
      <c r="N961" s="4" t="s">
        <v>101</v>
      </c>
      <c r="O961" s="2">
        <v>883.00789339308005</v>
      </c>
      <c r="P961" s="2">
        <v>167.09601867631611</v>
      </c>
      <c r="Q961" s="2">
        <v>77.837349587720325</v>
      </c>
      <c r="R961" s="2">
        <v>115.79406046457336</v>
      </c>
    </row>
    <row r="962" spans="1:18" ht="14.25" customHeight="1">
      <c r="A962" s="2" t="s">
        <v>15</v>
      </c>
      <c r="B962" s="2">
        <v>2019</v>
      </c>
      <c r="C962" s="2" t="s">
        <v>16</v>
      </c>
      <c r="D962" s="2">
        <v>362.34915372942692</v>
      </c>
      <c r="E962" s="2">
        <v>454.29908799999998</v>
      </c>
      <c r="F962" s="2">
        <v>726.17981199999997</v>
      </c>
      <c r="G962" s="2">
        <v>180.06419983658225</v>
      </c>
      <c r="H962" s="2">
        <v>205.9239407026964</v>
      </c>
      <c r="I962" s="3">
        <v>449.49806018270999</v>
      </c>
      <c r="J962" s="3">
        <v>1187.31163713861</v>
      </c>
      <c r="K962" s="3">
        <v>2048.2722323049284</v>
      </c>
      <c r="L962" s="3">
        <v>676.62150554802383</v>
      </c>
      <c r="M962" s="2">
        <v>132.4842422258854</v>
      </c>
      <c r="N962" s="4" t="s">
        <v>101</v>
      </c>
      <c r="O962" s="2">
        <v>887.92065355265993</v>
      </c>
      <c r="P962" s="2">
        <v>149.07508532741917</v>
      </c>
      <c r="Q962" s="2">
        <v>92.8584579199253</v>
      </c>
      <c r="R962" s="2">
        <v>98.550730944321231</v>
      </c>
    </row>
    <row r="963" spans="1:18" ht="14.25" customHeight="1">
      <c r="A963" s="2" t="s">
        <v>15</v>
      </c>
      <c r="B963" s="2">
        <v>2020</v>
      </c>
      <c r="C963" s="2" t="s">
        <v>16</v>
      </c>
      <c r="D963" s="2">
        <v>348.74941821469594</v>
      </c>
      <c r="E963" s="2">
        <v>423.48595599999999</v>
      </c>
      <c r="F963" s="2">
        <v>671.8</v>
      </c>
      <c r="G963" s="2" t="s">
        <v>17</v>
      </c>
      <c r="H963" s="2">
        <v>217.7755278419867</v>
      </c>
      <c r="I963" s="3">
        <v>349.42657932812739</v>
      </c>
      <c r="J963" s="3">
        <v>945.19714779236972</v>
      </c>
      <c r="K963" s="3">
        <v>1862.273935028644</v>
      </c>
      <c r="L963" s="2" t="s">
        <v>17</v>
      </c>
      <c r="M963" s="2">
        <v>133.36874535769419</v>
      </c>
      <c r="N963" s="4" t="s">
        <v>101</v>
      </c>
      <c r="O963" s="2">
        <v>891.97200405221997</v>
      </c>
      <c r="P963" s="2">
        <v>147.246283086201</v>
      </c>
      <c r="Q963" s="2" t="s">
        <v>17</v>
      </c>
      <c r="R963" s="2">
        <v>104.92443389357348</v>
      </c>
    </row>
    <row r="964" spans="1:18" ht="14.25" customHeight="1">
      <c r="A964" s="2" t="s">
        <v>15</v>
      </c>
      <c r="B964" s="2">
        <v>1965</v>
      </c>
      <c r="C964" s="2" t="s">
        <v>43</v>
      </c>
      <c r="D964" s="3" t="e">
        <v>#N/A</v>
      </c>
      <c r="E964" s="3" t="e">
        <v>#N/A</v>
      </c>
      <c r="F964" s="3">
        <v>2.4385287543182277</v>
      </c>
      <c r="G964" s="3"/>
      <c r="I964" s="3"/>
      <c r="J964" s="3"/>
      <c r="K964" s="3"/>
      <c r="N964" s="4" t="s">
        <v>99</v>
      </c>
      <c r="O964" s="2" t="s">
        <v>17</v>
      </c>
      <c r="P964" s="2" t="s">
        <v>17</v>
      </c>
    </row>
    <row r="965" spans="1:18" ht="14.25" customHeight="1">
      <c r="A965" s="2" t="s">
        <v>15</v>
      </c>
      <c r="B965" s="2">
        <v>1966</v>
      </c>
      <c r="C965" s="2" t="s">
        <v>43</v>
      </c>
      <c r="D965" s="3" t="e">
        <v>#N/A</v>
      </c>
      <c r="E965" s="3" t="e">
        <v>#N/A</v>
      </c>
      <c r="F965" s="3">
        <v>3.1497663076610443</v>
      </c>
      <c r="G965" s="3"/>
      <c r="I965" s="3"/>
      <c r="J965" s="3"/>
      <c r="K965" s="3"/>
      <c r="N965" s="4" t="s">
        <v>99</v>
      </c>
      <c r="O965" s="2" t="s">
        <v>17</v>
      </c>
      <c r="P965" s="2" t="s">
        <v>17</v>
      </c>
    </row>
    <row r="966" spans="1:18" ht="14.25" customHeight="1">
      <c r="A966" s="2" t="s">
        <v>15</v>
      </c>
      <c r="B966" s="2">
        <v>1967</v>
      </c>
      <c r="C966" s="2" t="s">
        <v>43</v>
      </c>
      <c r="D966" s="3" t="e">
        <v>#N/A</v>
      </c>
      <c r="E966" s="3" t="e">
        <v>#N/A</v>
      </c>
      <c r="F966" s="3">
        <v>3.6577931314773418</v>
      </c>
      <c r="G966" s="3"/>
      <c r="I966" s="3"/>
      <c r="J966" s="3"/>
      <c r="K966" s="3"/>
      <c r="N966" s="4" t="s">
        <v>99</v>
      </c>
      <c r="O966" s="2" t="s">
        <v>17</v>
      </c>
      <c r="P966" s="2" t="s">
        <v>17</v>
      </c>
    </row>
    <row r="967" spans="1:18" ht="14.25" customHeight="1">
      <c r="A967" s="2" t="s">
        <v>15</v>
      </c>
      <c r="B967" s="2">
        <v>1968</v>
      </c>
      <c r="C967" s="2" t="s">
        <v>43</v>
      </c>
      <c r="D967" s="3" t="e">
        <v>#N/A</v>
      </c>
      <c r="E967" s="3" t="e">
        <v>#N/A</v>
      </c>
      <c r="F967" s="3">
        <v>4.2674253200568986</v>
      </c>
      <c r="G967" s="3"/>
      <c r="I967" s="3"/>
      <c r="J967" s="3"/>
      <c r="K967" s="3"/>
      <c r="N967" s="4" t="s">
        <v>99</v>
      </c>
      <c r="O967" s="2" t="s">
        <v>17</v>
      </c>
      <c r="P967" s="2" t="s">
        <v>17</v>
      </c>
    </row>
    <row r="968" spans="1:18" ht="14.25" customHeight="1">
      <c r="A968" s="2" t="s">
        <v>15</v>
      </c>
      <c r="B968" s="2">
        <v>1969</v>
      </c>
      <c r="C968" s="2" t="s">
        <v>43</v>
      </c>
      <c r="D968" s="3" t="e">
        <v>#N/A</v>
      </c>
      <c r="E968" s="3" t="e">
        <v>#N/A</v>
      </c>
      <c r="F968" s="3">
        <v>4.9278601910180857</v>
      </c>
      <c r="G968" s="3"/>
      <c r="I968" s="3"/>
      <c r="J968" s="3"/>
      <c r="K968" s="3"/>
      <c r="N968" s="4" t="s">
        <v>99</v>
      </c>
      <c r="O968" s="2" t="s">
        <v>17</v>
      </c>
      <c r="P968" s="2" t="s">
        <v>17</v>
      </c>
    </row>
    <row r="969" spans="1:18" ht="14.25" customHeight="1">
      <c r="A969" s="2" t="s">
        <v>15</v>
      </c>
      <c r="B969" s="2">
        <v>1970</v>
      </c>
      <c r="C969" s="2" t="s">
        <v>43</v>
      </c>
      <c r="D969" s="3" t="e">
        <v>#N/A</v>
      </c>
      <c r="E969" s="3" t="e">
        <v>#N/A</v>
      </c>
      <c r="F969" s="3">
        <v>5.1310709205446043</v>
      </c>
      <c r="G969" s="3"/>
      <c r="I969" s="3"/>
      <c r="J969" s="3"/>
      <c r="K969" s="3"/>
      <c r="N969" s="4" t="s">
        <v>99</v>
      </c>
      <c r="O969" s="2" t="s">
        <v>17</v>
      </c>
      <c r="P969" s="2" t="s">
        <v>17</v>
      </c>
    </row>
    <row r="970" spans="1:18" ht="14.25" customHeight="1">
      <c r="A970" s="2" t="s">
        <v>15</v>
      </c>
      <c r="B970" s="2">
        <v>1971</v>
      </c>
      <c r="C970" s="2" t="s">
        <v>43</v>
      </c>
      <c r="D970" s="3" t="e">
        <v>#N/A</v>
      </c>
      <c r="E970" s="3" t="e">
        <v>#N/A</v>
      </c>
      <c r="F970" s="3">
        <v>2.3369233895549684</v>
      </c>
      <c r="G970" s="3"/>
      <c r="I970" s="3"/>
      <c r="J970" s="3"/>
      <c r="K970" s="3"/>
      <c r="N970" s="4" t="s">
        <v>99</v>
      </c>
      <c r="O970" s="2" t="s">
        <v>17</v>
      </c>
      <c r="P970" s="2" t="s">
        <v>17</v>
      </c>
    </row>
    <row r="971" spans="1:18" ht="14.25" customHeight="1">
      <c r="A971" s="2" t="s">
        <v>15</v>
      </c>
      <c r="B971" s="2">
        <v>1972</v>
      </c>
      <c r="C971" s="2" t="s">
        <v>43</v>
      </c>
      <c r="D971" s="3" t="e">
        <v>#N/A</v>
      </c>
      <c r="E971" s="3" t="e">
        <v>#N/A</v>
      </c>
      <c r="F971" s="3">
        <v>3.3021743548059335</v>
      </c>
      <c r="G971" s="3"/>
      <c r="I971" s="3"/>
      <c r="J971" s="3"/>
      <c r="K971" s="3"/>
      <c r="N971" s="4" t="s">
        <v>99</v>
      </c>
      <c r="O971" s="2" t="s">
        <v>17</v>
      </c>
      <c r="P971" s="2" t="s">
        <v>17</v>
      </c>
    </row>
    <row r="972" spans="1:18" ht="14.25" customHeight="1">
      <c r="A972" s="2" t="s">
        <v>15</v>
      </c>
      <c r="B972" s="2">
        <v>1973</v>
      </c>
      <c r="C972" s="2" t="s">
        <v>43</v>
      </c>
      <c r="D972" s="3" t="e">
        <v>#N/A</v>
      </c>
      <c r="E972" s="3" t="e">
        <v>#N/A</v>
      </c>
      <c r="F972" s="3">
        <v>8.1284291810607598</v>
      </c>
      <c r="G972" s="3"/>
      <c r="I972" s="3"/>
      <c r="J972" s="3"/>
      <c r="K972" s="3"/>
      <c r="N972" s="4" t="s">
        <v>99</v>
      </c>
      <c r="O972" s="2" t="s">
        <v>17</v>
      </c>
      <c r="P972" s="2" t="s">
        <v>17</v>
      </c>
    </row>
    <row r="973" spans="1:18" ht="14.25" customHeight="1">
      <c r="A973" s="2" t="s">
        <v>15</v>
      </c>
      <c r="B973" s="2">
        <v>1974</v>
      </c>
      <c r="C973" s="2" t="s">
        <v>43</v>
      </c>
      <c r="D973" s="3" t="e">
        <v>#N/A</v>
      </c>
      <c r="E973" s="3" t="e">
        <v>#N/A</v>
      </c>
      <c r="F973" s="3">
        <v>5.4358870148343827</v>
      </c>
      <c r="G973" s="3"/>
      <c r="I973" s="3"/>
      <c r="J973" s="3"/>
      <c r="K973" s="3"/>
      <c r="N973" s="4" t="s">
        <v>99</v>
      </c>
      <c r="O973" s="2" t="s">
        <v>17</v>
      </c>
      <c r="P973" s="2" t="s">
        <v>17</v>
      </c>
    </row>
    <row r="974" spans="1:18" ht="14.25" customHeight="1">
      <c r="A974" s="2" t="s">
        <v>15</v>
      </c>
      <c r="B974" s="2">
        <v>1975</v>
      </c>
      <c r="C974" s="2" t="s">
        <v>43</v>
      </c>
      <c r="D974" s="3" t="e">
        <v>#N/A</v>
      </c>
      <c r="E974" s="3" t="e">
        <v>#N/A</v>
      </c>
      <c r="F974" s="3">
        <v>5.8920000000000003</v>
      </c>
      <c r="G974" s="3"/>
      <c r="I974" s="3"/>
      <c r="J974" s="3"/>
      <c r="K974" s="3"/>
      <c r="N974" s="4" t="s">
        <v>99</v>
      </c>
      <c r="O974" s="2" t="s">
        <v>17</v>
      </c>
      <c r="P974" s="2" t="s">
        <v>17</v>
      </c>
    </row>
    <row r="975" spans="1:18" ht="14.25" customHeight="1">
      <c r="A975" s="2" t="s">
        <v>15</v>
      </c>
      <c r="B975" s="2">
        <v>1976</v>
      </c>
      <c r="C975" s="2" t="s">
        <v>43</v>
      </c>
      <c r="D975" s="3" t="e">
        <v>#N/A</v>
      </c>
      <c r="E975" s="3" t="e">
        <v>#N/A</v>
      </c>
      <c r="F975" s="3">
        <v>8.0350000000000001</v>
      </c>
      <c r="G975" s="3"/>
      <c r="I975" s="3"/>
      <c r="J975" s="3"/>
      <c r="K975" s="3"/>
      <c r="N975" s="4" t="s">
        <v>101</v>
      </c>
      <c r="O975" s="2" t="s">
        <v>17</v>
      </c>
      <c r="P975" s="2" t="s">
        <v>17</v>
      </c>
    </row>
    <row r="976" spans="1:18" ht="14.25" customHeight="1">
      <c r="A976" s="2" t="s">
        <v>15</v>
      </c>
      <c r="B976" s="2">
        <v>1977</v>
      </c>
      <c r="C976" s="2" t="s">
        <v>43</v>
      </c>
      <c r="D976" s="3" t="e">
        <v>#N/A</v>
      </c>
      <c r="E976" s="3" t="e">
        <v>#N/A</v>
      </c>
      <c r="F976" s="3">
        <v>7.556</v>
      </c>
      <c r="G976" s="3"/>
      <c r="I976" s="3"/>
      <c r="J976" s="3"/>
      <c r="K976" s="3"/>
      <c r="N976" s="4" t="s">
        <v>101</v>
      </c>
      <c r="O976" s="2" t="s">
        <v>17</v>
      </c>
      <c r="P976" s="2" t="s">
        <v>17</v>
      </c>
    </row>
    <row r="977" spans="1:16" ht="14.25" customHeight="1">
      <c r="A977" s="2" t="s">
        <v>15</v>
      </c>
      <c r="B977" s="2">
        <v>1978</v>
      </c>
      <c r="C977" s="2" t="s">
        <v>43</v>
      </c>
      <c r="D977" s="3" t="e">
        <v>#N/A</v>
      </c>
      <c r="E977" s="3" t="e">
        <v>#N/A</v>
      </c>
      <c r="F977" s="3">
        <v>7.2519999999999998</v>
      </c>
      <c r="G977" s="3"/>
      <c r="I977" s="3"/>
      <c r="J977" s="3"/>
      <c r="K977" s="3"/>
      <c r="N977" s="4" t="s">
        <v>101</v>
      </c>
      <c r="O977" s="2" t="s">
        <v>17</v>
      </c>
      <c r="P977" s="2" t="s">
        <v>17</v>
      </c>
    </row>
    <row r="978" spans="1:16" ht="14.25" customHeight="1">
      <c r="A978" s="2" t="s">
        <v>15</v>
      </c>
      <c r="B978" s="2">
        <v>1979</v>
      </c>
      <c r="C978" s="2" t="s">
        <v>43</v>
      </c>
      <c r="D978" s="3" t="e">
        <v>#N/A</v>
      </c>
      <c r="E978" s="3" t="e">
        <v>#N/A</v>
      </c>
      <c r="F978" s="3">
        <v>10.487</v>
      </c>
      <c r="G978" s="3"/>
      <c r="I978" s="3"/>
      <c r="J978" s="3"/>
      <c r="K978" s="3"/>
      <c r="N978" s="4" t="s">
        <v>101</v>
      </c>
      <c r="O978" s="2" t="s">
        <v>17</v>
      </c>
      <c r="P978" s="2" t="s">
        <v>17</v>
      </c>
    </row>
    <row r="979" spans="1:16" ht="14.25" customHeight="1">
      <c r="A979" s="2" t="s">
        <v>15</v>
      </c>
      <c r="B979" s="2">
        <v>1980</v>
      </c>
      <c r="C979" s="2" t="s">
        <v>43</v>
      </c>
      <c r="D979" s="3" t="e">
        <v>#N/A</v>
      </c>
      <c r="E979" s="3" t="e">
        <v>#N/A</v>
      </c>
      <c r="F979" s="3">
        <v>11.015000000000001</v>
      </c>
      <c r="G979" s="3"/>
      <c r="I979" s="3"/>
      <c r="J979" s="3"/>
      <c r="K979" s="3"/>
      <c r="N979" s="4" t="s">
        <v>101</v>
      </c>
      <c r="O979" s="2" t="s">
        <v>17</v>
      </c>
      <c r="P979" s="2" t="s">
        <v>17</v>
      </c>
    </row>
    <row r="980" spans="1:16" ht="14.25" customHeight="1">
      <c r="A980" s="2" t="s">
        <v>15</v>
      </c>
      <c r="B980" s="2">
        <v>1981</v>
      </c>
      <c r="C980" s="2" t="s">
        <v>43</v>
      </c>
      <c r="D980" s="3" t="e">
        <v>#N/A</v>
      </c>
      <c r="E980" s="3" t="e">
        <v>#N/A</v>
      </c>
      <c r="F980" s="3">
        <v>19.201000000000001</v>
      </c>
      <c r="G980" s="3"/>
      <c r="I980" s="3"/>
      <c r="J980" s="3"/>
      <c r="K980" s="3"/>
      <c r="N980" s="4" t="s">
        <v>101</v>
      </c>
      <c r="O980" s="2" t="s">
        <v>17</v>
      </c>
      <c r="P980" s="2" t="s">
        <v>17</v>
      </c>
    </row>
    <row r="981" spans="1:16" ht="14.25" customHeight="1">
      <c r="A981" s="2" t="s">
        <v>15</v>
      </c>
      <c r="B981" s="2">
        <v>1982</v>
      </c>
      <c r="C981" s="2" t="s">
        <v>43</v>
      </c>
      <c r="D981" s="3" t="e">
        <v>#N/A</v>
      </c>
      <c r="E981" s="3" t="e">
        <v>#N/A</v>
      </c>
      <c r="F981" s="3">
        <v>13.308</v>
      </c>
      <c r="G981" s="3"/>
      <c r="I981" s="3"/>
      <c r="J981" s="3"/>
      <c r="K981" s="3"/>
      <c r="N981" s="4" t="s">
        <v>101</v>
      </c>
      <c r="O981" s="2" t="s">
        <v>17</v>
      </c>
      <c r="P981" s="2" t="s">
        <v>17</v>
      </c>
    </row>
    <row r="982" spans="1:16" ht="14.25" customHeight="1">
      <c r="A982" s="2" t="s">
        <v>15</v>
      </c>
      <c r="B982" s="2">
        <v>1983</v>
      </c>
      <c r="C982" s="2" t="s">
        <v>43</v>
      </c>
      <c r="D982" s="3" t="e">
        <v>#N/A</v>
      </c>
      <c r="E982" s="3" t="e">
        <v>#N/A</v>
      </c>
      <c r="F982" s="3">
        <v>17.584</v>
      </c>
      <c r="G982" s="3"/>
      <c r="I982" s="3"/>
      <c r="J982" s="3"/>
      <c r="K982" s="3"/>
      <c r="N982" s="4" t="s">
        <v>101</v>
      </c>
      <c r="O982" s="2" t="s">
        <v>17</v>
      </c>
      <c r="P982" s="2" t="s">
        <v>17</v>
      </c>
    </row>
    <row r="983" spans="1:16" ht="14.25" customHeight="1">
      <c r="A983" s="2" t="s">
        <v>15</v>
      </c>
      <c r="B983" s="2">
        <v>1984</v>
      </c>
      <c r="C983" s="2" t="s">
        <v>43</v>
      </c>
      <c r="D983" s="3" t="e">
        <v>#N/A</v>
      </c>
      <c r="E983" s="3" t="e">
        <v>#N/A</v>
      </c>
      <c r="F983" s="3">
        <v>24.045999999999999</v>
      </c>
      <c r="G983" s="3"/>
      <c r="I983" s="3"/>
      <c r="J983" s="3"/>
      <c r="K983" s="3"/>
      <c r="N983" s="4" t="s">
        <v>101</v>
      </c>
      <c r="O983" s="2" t="s">
        <v>17</v>
      </c>
      <c r="P983" s="2" t="s">
        <v>17</v>
      </c>
    </row>
    <row r="984" spans="1:16" ht="14.25" customHeight="1">
      <c r="A984" s="2" t="s">
        <v>15</v>
      </c>
      <c r="B984" s="2">
        <v>1985</v>
      </c>
      <c r="C984" s="2" t="s">
        <v>43</v>
      </c>
      <c r="D984" s="3" t="e">
        <v>#N/A</v>
      </c>
      <c r="E984" s="3" t="e">
        <v>#N/A</v>
      </c>
      <c r="F984" s="3">
        <v>23.981999999999999</v>
      </c>
      <c r="G984" s="3"/>
      <c r="I984" s="3"/>
      <c r="J984" s="3"/>
      <c r="K984" s="3"/>
      <c r="N984" s="4" t="s">
        <v>101</v>
      </c>
      <c r="O984" s="2" t="s">
        <v>17</v>
      </c>
      <c r="P984" s="2" t="s">
        <v>17</v>
      </c>
    </row>
    <row r="985" spans="1:16" ht="14.25" customHeight="1">
      <c r="A985" s="2" t="s">
        <v>15</v>
      </c>
      <c r="B985" s="2">
        <v>1986</v>
      </c>
      <c r="C985" s="2" t="s">
        <v>43</v>
      </c>
      <c r="D985" s="3" t="e">
        <v>#N/A</v>
      </c>
      <c r="E985" s="3" t="e">
        <v>#N/A</v>
      </c>
      <c r="F985" s="3">
        <v>36.517000000000003</v>
      </c>
      <c r="G985" s="3"/>
      <c r="I985" s="3"/>
      <c r="J985" s="3"/>
      <c r="K985" s="3"/>
      <c r="N985" s="4" t="s">
        <v>101</v>
      </c>
      <c r="O985" s="2" t="s">
        <v>17</v>
      </c>
      <c r="P985" s="2" t="s">
        <v>17</v>
      </c>
    </row>
    <row r="986" spans="1:16" ht="14.25" customHeight="1">
      <c r="A986" s="2" t="s">
        <v>15</v>
      </c>
      <c r="B986" s="2">
        <v>1987</v>
      </c>
      <c r="C986" s="2" t="s">
        <v>43</v>
      </c>
      <c r="D986" s="3" t="e">
        <v>#N/A</v>
      </c>
      <c r="E986" s="3" t="e">
        <v>#N/A</v>
      </c>
      <c r="F986" s="3">
        <v>34.697000000000003</v>
      </c>
      <c r="G986" s="3"/>
      <c r="I986" s="3"/>
      <c r="J986" s="3"/>
      <c r="K986" s="3"/>
      <c r="N986" s="4" t="s">
        <v>101</v>
      </c>
      <c r="O986" s="2" t="s">
        <v>17</v>
      </c>
      <c r="P986" s="2" t="s">
        <v>17</v>
      </c>
    </row>
    <row r="987" spans="1:16" ht="14.25" customHeight="1">
      <c r="A987" s="2" t="s">
        <v>15</v>
      </c>
      <c r="B987" s="2">
        <v>1988</v>
      </c>
      <c r="C987" s="2" t="s">
        <v>43</v>
      </c>
      <c r="D987" s="3" t="e">
        <v>#N/A</v>
      </c>
      <c r="E987" s="3" t="e">
        <v>#N/A</v>
      </c>
      <c r="F987" s="3">
        <v>47.619</v>
      </c>
      <c r="G987" s="3"/>
      <c r="I987" s="3"/>
      <c r="J987" s="3"/>
      <c r="K987" s="3"/>
      <c r="N987" s="4" t="s">
        <v>101</v>
      </c>
      <c r="O987" s="2" t="s">
        <v>17</v>
      </c>
      <c r="P987" s="2" t="s">
        <v>17</v>
      </c>
    </row>
    <row r="988" spans="1:16" ht="14.25" customHeight="1">
      <c r="A988" s="2" t="s">
        <v>15</v>
      </c>
      <c r="B988" s="2">
        <v>1989</v>
      </c>
      <c r="C988" s="2" t="s">
        <v>43</v>
      </c>
      <c r="D988" s="3" t="e">
        <v>#N/A</v>
      </c>
      <c r="E988" s="3" t="e">
        <v>#N/A</v>
      </c>
      <c r="F988" s="3">
        <v>66.063000000000002</v>
      </c>
      <c r="G988" s="3"/>
      <c r="I988" s="3"/>
      <c r="J988" s="3"/>
      <c r="K988" s="3"/>
      <c r="N988" s="4" t="s">
        <v>101</v>
      </c>
      <c r="O988" s="2" t="s">
        <v>17</v>
      </c>
      <c r="P988" s="2" t="s">
        <v>17</v>
      </c>
    </row>
    <row r="989" spans="1:16" ht="14.25" customHeight="1">
      <c r="A989" s="2" t="s">
        <v>15</v>
      </c>
      <c r="B989" s="2">
        <v>1990</v>
      </c>
      <c r="C989" s="2" t="s">
        <v>43</v>
      </c>
      <c r="D989" s="3" t="e">
        <v>#N/A</v>
      </c>
      <c r="E989" s="3" t="e">
        <v>#N/A</v>
      </c>
      <c r="F989" s="3">
        <v>48.948</v>
      </c>
      <c r="G989" s="3"/>
      <c r="I989" s="3"/>
      <c r="J989" s="3"/>
      <c r="K989" s="3"/>
      <c r="N989" s="4" t="s">
        <v>101</v>
      </c>
      <c r="O989" s="2" t="s">
        <v>17</v>
      </c>
      <c r="P989" s="2" t="s">
        <v>17</v>
      </c>
    </row>
    <row r="990" spans="1:16" ht="14.25" customHeight="1">
      <c r="A990" s="2" t="s">
        <v>15</v>
      </c>
      <c r="B990" s="2">
        <v>1991</v>
      </c>
      <c r="C990" s="2" t="s">
        <v>43</v>
      </c>
      <c r="D990" s="3" t="e">
        <v>#N/A</v>
      </c>
      <c r="E990" s="3">
        <v>1.6339999999999999</v>
      </c>
      <c r="F990" s="3">
        <v>71.584000000000003</v>
      </c>
      <c r="G990" s="3"/>
      <c r="I990" s="3"/>
      <c r="J990" s="3"/>
      <c r="K990" s="3"/>
      <c r="N990" s="4" t="s">
        <v>101</v>
      </c>
      <c r="O990" s="2" t="s">
        <v>17</v>
      </c>
      <c r="P990" s="2" t="s">
        <v>17</v>
      </c>
    </row>
    <row r="991" spans="1:16" ht="14.25" customHeight="1">
      <c r="A991" s="2" t="s">
        <v>15</v>
      </c>
      <c r="B991" s="2">
        <v>1992</v>
      </c>
      <c r="C991" s="2" t="s">
        <v>43</v>
      </c>
      <c r="D991" s="3" t="e">
        <v>#N/A</v>
      </c>
      <c r="E991" s="3">
        <v>1.363</v>
      </c>
      <c r="F991" s="3">
        <v>72.372</v>
      </c>
      <c r="G991" s="3"/>
      <c r="I991" s="3"/>
      <c r="J991" s="3"/>
      <c r="K991" s="3"/>
      <c r="N991" s="4" t="s">
        <v>101</v>
      </c>
      <c r="O991" s="2" t="s">
        <v>17</v>
      </c>
      <c r="P991" s="2" t="s">
        <v>17</v>
      </c>
    </row>
    <row r="992" spans="1:16" ht="14.25" customHeight="1">
      <c r="A992" s="2" t="s">
        <v>15</v>
      </c>
      <c r="B992" s="2">
        <v>1993</v>
      </c>
      <c r="C992" s="2" t="s">
        <v>43</v>
      </c>
      <c r="D992" s="3" t="e">
        <v>#N/A</v>
      </c>
      <c r="E992" s="3">
        <v>1.802</v>
      </c>
      <c r="F992" s="3">
        <v>48.005000000000003</v>
      </c>
      <c r="G992" s="3"/>
      <c r="I992" s="3"/>
      <c r="J992" s="3"/>
      <c r="K992" s="3"/>
      <c r="N992" s="4" t="s">
        <v>101</v>
      </c>
      <c r="O992" s="2" t="s">
        <v>17</v>
      </c>
      <c r="P992" s="2" t="s">
        <v>17</v>
      </c>
    </row>
    <row r="993" spans="1:16" ht="14.25" customHeight="1">
      <c r="A993" s="2" t="s">
        <v>15</v>
      </c>
      <c r="B993" s="2">
        <v>1994</v>
      </c>
      <c r="C993" s="2" t="s">
        <v>43</v>
      </c>
      <c r="D993" s="3" t="e">
        <v>#N/A</v>
      </c>
      <c r="E993" s="3">
        <v>3.15</v>
      </c>
      <c r="F993" s="3">
        <v>63.320999999999998</v>
      </c>
      <c r="G993" s="3"/>
      <c r="I993" s="3"/>
      <c r="J993" s="3"/>
      <c r="K993" s="3"/>
      <c r="N993" s="4" t="s">
        <v>101</v>
      </c>
      <c r="O993" s="2" t="s">
        <v>17</v>
      </c>
      <c r="P993" s="2" t="s">
        <v>17</v>
      </c>
    </row>
    <row r="994" spans="1:16" ht="14.25" customHeight="1">
      <c r="A994" s="2" t="s">
        <v>15</v>
      </c>
      <c r="B994" s="2">
        <v>1995</v>
      </c>
      <c r="C994" s="2" t="s">
        <v>43</v>
      </c>
      <c r="D994" s="3" t="e">
        <v>#N/A</v>
      </c>
      <c r="E994" s="3">
        <v>2.7189999999999999</v>
      </c>
      <c r="F994" s="3">
        <v>87.418000000000006</v>
      </c>
      <c r="G994" s="3"/>
      <c r="I994" s="3"/>
      <c r="J994" s="3"/>
      <c r="K994" s="3"/>
      <c r="N994" s="4" t="s">
        <v>101</v>
      </c>
      <c r="O994" s="2" t="s">
        <v>17</v>
      </c>
      <c r="P994" s="2" t="s">
        <v>17</v>
      </c>
    </row>
    <row r="995" spans="1:16" ht="14.25" customHeight="1">
      <c r="A995" s="2" t="s">
        <v>15</v>
      </c>
      <c r="B995" s="2">
        <v>1996</v>
      </c>
      <c r="C995" s="2" t="s">
        <v>43</v>
      </c>
      <c r="D995" s="3" t="e">
        <v>#N/A</v>
      </c>
      <c r="E995" s="3">
        <v>2.92</v>
      </c>
      <c r="F995" s="3">
        <v>91.659000000000006</v>
      </c>
      <c r="G995" s="3"/>
      <c r="I995" s="3"/>
      <c r="J995" s="3"/>
      <c r="K995" s="3"/>
      <c r="N995" s="4" t="s">
        <v>101</v>
      </c>
      <c r="O995" s="2" t="s">
        <v>17</v>
      </c>
      <c r="P995" s="2" t="s">
        <v>17</v>
      </c>
    </row>
    <row r="996" spans="1:16" ht="14.25" customHeight="1">
      <c r="A996" s="2" t="s">
        <v>15</v>
      </c>
      <c r="B996" s="2">
        <v>1997</v>
      </c>
      <c r="C996" s="2" t="s">
        <v>43</v>
      </c>
      <c r="D996" s="3" t="e">
        <v>#N/A</v>
      </c>
      <c r="E996" s="3">
        <v>2.403</v>
      </c>
      <c r="F996" s="3">
        <v>74.918000000000006</v>
      </c>
      <c r="G996" s="3"/>
      <c r="I996" s="3"/>
      <c r="J996" s="3"/>
      <c r="K996" s="3"/>
      <c r="N996" s="4" t="s">
        <v>101</v>
      </c>
      <c r="O996" s="2" t="s">
        <v>17</v>
      </c>
      <c r="P996" s="2" t="s">
        <v>17</v>
      </c>
    </row>
    <row r="997" spans="1:16" ht="14.25" customHeight="1">
      <c r="A997" s="2" t="s">
        <v>15</v>
      </c>
      <c r="B997" s="2">
        <v>1998</v>
      </c>
      <c r="C997" s="2" t="s">
        <v>43</v>
      </c>
      <c r="D997" s="3" t="e">
        <v>#N/A</v>
      </c>
      <c r="E997" s="3">
        <v>16.503</v>
      </c>
      <c r="F997" s="3">
        <v>85.941000000000003</v>
      </c>
      <c r="G997" s="3"/>
      <c r="I997" s="3"/>
      <c r="J997" s="3"/>
      <c r="K997" s="3"/>
      <c r="N997" s="4" t="s">
        <v>101</v>
      </c>
      <c r="O997" s="2" t="s">
        <v>17</v>
      </c>
      <c r="P997" s="2" t="s">
        <v>17</v>
      </c>
    </row>
    <row r="998" spans="1:16" ht="14.25" customHeight="1">
      <c r="A998" s="2" t="s">
        <v>15</v>
      </c>
      <c r="B998" s="2">
        <v>1999</v>
      </c>
      <c r="C998" s="2" t="s">
        <v>43</v>
      </c>
      <c r="D998" s="3" t="e">
        <v>#N/A</v>
      </c>
      <c r="E998" s="3">
        <v>8.2010000000000005</v>
      </c>
      <c r="F998" s="3">
        <v>92.042000000000002</v>
      </c>
      <c r="G998" s="3"/>
      <c r="I998" s="3"/>
      <c r="J998" s="3"/>
      <c r="K998" s="3"/>
      <c r="N998" s="4" t="s">
        <v>101</v>
      </c>
      <c r="O998" s="2" t="s">
        <v>17</v>
      </c>
      <c r="P998" s="2" t="s">
        <v>17</v>
      </c>
    </row>
    <row r="999" spans="1:16" ht="14.25" customHeight="1">
      <c r="A999" s="2" t="s">
        <v>15</v>
      </c>
      <c r="B999" s="2">
        <v>2000</v>
      </c>
      <c r="C999" s="2" t="s">
        <v>43</v>
      </c>
      <c r="D999" s="3" t="e">
        <v>#N/A</v>
      </c>
      <c r="E999" s="3">
        <v>2.15</v>
      </c>
      <c r="F999" s="3">
        <v>81.411000000000001</v>
      </c>
      <c r="G999" s="3"/>
      <c r="I999" s="3"/>
      <c r="J999" s="3"/>
      <c r="K999" s="3"/>
      <c r="N999" s="4" t="s">
        <v>101</v>
      </c>
      <c r="O999" s="2" t="s">
        <v>17</v>
      </c>
      <c r="P999" s="2" t="s">
        <v>17</v>
      </c>
    </row>
    <row r="1000" spans="1:16" ht="14.25" customHeight="1">
      <c r="A1000" s="2" t="s">
        <v>15</v>
      </c>
      <c r="B1000" s="2">
        <v>2001</v>
      </c>
      <c r="C1000" s="2" t="s">
        <v>43</v>
      </c>
      <c r="D1000" s="3" t="e">
        <v>#N/A</v>
      </c>
      <c r="E1000" s="3">
        <v>2.806</v>
      </c>
      <c r="F1000" s="3">
        <v>101.22499999999999</v>
      </c>
      <c r="G1000" s="3"/>
      <c r="I1000" s="3"/>
      <c r="J1000" s="3"/>
      <c r="K1000" s="3"/>
      <c r="N1000" s="4" t="s">
        <v>101</v>
      </c>
      <c r="O1000" s="2" t="s">
        <v>17</v>
      </c>
      <c r="P1000" s="2" t="s">
        <v>17</v>
      </c>
    </row>
    <row r="1001" spans="1:16" ht="14.25" customHeight="1">
      <c r="A1001" s="2" t="s">
        <v>15</v>
      </c>
      <c r="B1001" s="2">
        <v>2002</v>
      </c>
      <c r="C1001" s="2" t="s">
        <v>43</v>
      </c>
      <c r="D1001" s="3" t="e">
        <v>#N/A</v>
      </c>
      <c r="E1001" s="3">
        <v>3.5059999999999998</v>
      </c>
      <c r="F1001" s="3">
        <v>112.401</v>
      </c>
      <c r="G1001" s="3"/>
      <c r="I1001" s="3"/>
      <c r="J1001" s="3"/>
      <c r="K1001" s="3"/>
      <c r="N1001" s="4" t="s">
        <v>101</v>
      </c>
      <c r="O1001" s="2" t="s">
        <v>17</v>
      </c>
      <c r="P1001" s="2" t="s">
        <v>17</v>
      </c>
    </row>
    <row r="1002" spans="1:16" ht="14.25" customHeight="1">
      <c r="A1002" s="2" t="s">
        <v>15</v>
      </c>
      <c r="B1002" s="2">
        <v>2003</v>
      </c>
      <c r="C1002" s="2" t="s">
        <v>43</v>
      </c>
      <c r="D1002" s="3" t="s">
        <v>17</v>
      </c>
      <c r="E1002" s="2">
        <v>3.2</v>
      </c>
      <c r="F1002" s="2">
        <v>109.1</v>
      </c>
      <c r="I1002" s="3"/>
      <c r="J1002" s="3"/>
      <c r="K1002" s="3"/>
      <c r="N1002" s="4" t="s">
        <v>101</v>
      </c>
      <c r="O1002" s="2" t="s">
        <v>17</v>
      </c>
      <c r="P1002" s="2" t="s">
        <v>17</v>
      </c>
    </row>
    <row r="1003" spans="1:16" ht="14.25" customHeight="1">
      <c r="A1003" s="2" t="s">
        <v>15</v>
      </c>
      <c r="B1003" s="2">
        <v>2004</v>
      </c>
      <c r="C1003" s="2" t="s">
        <v>43</v>
      </c>
      <c r="D1003" s="3" t="s">
        <v>17</v>
      </c>
      <c r="E1003" s="2">
        <v>3.2</v>
      </c>
      <c r="F1003" s="2">
        <v>107.5</v>
      </c>
      <c r="I1003" s="3"/>
      <c r="J1003" s="3"/>
      <c r="K1003" s="3"/>
      <c r="N1003" s="4" t="s">
        <v>101</v>
      </c>
      <c r="O1003" s="2" t="s">
        <v>17</v>
      </c>
      <c r="P1003" s="2" t="s">
        <v>17</v>
      </c>
    </row>
    <row r="1004" spans="1:16" ht="14.25" customHeight="1">
      <c r="A1004" s="2" t="s">
        <v>15</v>
      </c>
      <c r="B1004" s="2">
        <v>2005</v>
      </c>
      <c r="C1004" s="2" t="s">
        <v>43</v>
      </c>
      <c r="D1004" s="3" t="s">
        <v>17</v>
      </c>
      <c r="E1004" s="2">
        <v>3.6</v>
      </c>
      <c r="F1004" s="2">
        <v>103.2</v>
      </c>
      <c r="I1004" s="3"/>
      <c r="J1004" s="3"/>
      <c r="K1004" s="3"/>
      <c r="N1004" s="4" t="s">
        <v>101</v>
      </c>
      <c r="O1004" s="2" t="s">
        <v>17</v>
      </c>
      <c r="P1004" s="2" t="s">
        <v>17</v>
      </c>
    </row>
    <row r="1005" spans="1:16" ht="14.25" customHeight="1">
      <c r="A1005" s="2" t="s">
        <v>15</v>
      </c>
      <c r="B1005" s="2">
        <v>2006</v>
      </c>
      <c r="C1005" s="2" t="s">
        <v>43</v>
      </c>
      <c r="D1005" s="3" t="s">
        <v>17</v>
      </c>
      <c r="E1005" s="2">
        <v>2</v>
      </c>
      <c r="F1005" s="2">
        <v>101.4</v>
      </c>
      <c r="I1005" s="3"/>
      <c r="J1005" s="3"/>
      <c r="K1005" s="3"/>
      <c r="N1005" s="4" t="s">
        <v>101</v>
      </c>
      <c r="O1005" s="2" t="s">
        <v>17</v>
      </c>
      <c r="P1005" s="2" t="s">
        <v>17</v>
      </c>
    </row>
    <row r="1006" spans="1:16" ht="14.25" customHeight="1">
      <c r="A1006" s="2" t="s">
        <v>15</v>
      </c>
      <c r="B1006" s="2">
        <v>2007</v>
      </c>
      <c r="C1006" s="2" t="s">
        <v>43</v>
      </c>
      <c r="D1006" s="3" t="s">
        <v>17</v>
      </c>
      <c r="E1006" s="2">
        <v>4.0999999999999996</v>
      </c>
      <c r="F1006" s="2">
        <v>101.6</v>
      </c>
      <c r="I1006" s="3"/>
      <c r="J1006" s="3"/>
      <c r="K1006" s="3"/>
      <c r="N1006" s="4" t="s">
        <v>101</v>
      </c>
      <c r="O1006" s="2" t="s">
        <v>17</v>
      </c>
      <c r="P1006" s="2" t="s">
        <v>17</v>
      </c>
    </row>
    <row r="1007" spans="1:16" ht="14.25" customHeight="1">
      <c r="A1007" s="2" t="s">
        <v>15</v>
      </c>
      <c r="B1007" s="2">
        <v>2008</v>
      </c>
      <c r="C1007" s="2" t="s">
        <v>43</v>
      </c>
      <c r="D1007" s="3" t="s">
        <v>17</v>
      </c>
      <c r="E1007" s="2">
        <v>4.4000000000000004</v>
      </c>
      <c r="F1007" s="2">
        <v>111.2</v>
      </c>
      <c r="I1007" s="3"/>
      <c r="J1007" s="3"/>
      <c r="K1007" s="3"/>
      <c r="N1007" s="4" t="s">
        <v>101</v>
      </c>
      <c r="O1007" s="2" t="s">
        <v>17</v>
      </c>
      <c r="P1007" s="2" t="s">
        <v>17</v>
      </c>
    </row>
    <row r="1008" spans="1:16" ht="14.25" customHeight="1">
      <c r="A1008" s="2" t="s">
        <v>15</v>
      </c>
      <c r="B1008" s="2">
        <v>2009</v>
      </c>
      <c r="C1008" s="2" t="s">
        <v>43</v>
      </c>
      <c r="D1008" s="3" t="s">
        <v>17</v>
      </c>
      <c r="E1008" s="2">
        <v>6.7</v>
      </c>
      <c r="F1008" s="2">
        <v>97.7</v>
      </c>
      <c r="I1008" s="3"/>
      <c r="J1008" s="3"/>
      <c r="K1008" s="3"/>
      <c r="N1008" s="4" t="s">
        <v>101</v>
      </c>
      <c r="O1008" s="2" t="s">
        <v>17</v>
      </c>
      <c r="P1008" s="2" t="s">
        <v>17</v>
      </c>
    </row>
    <row r="1009" spans="1:16" ht="14.25" customHeight="1">
      <c r="A1009" s="2" t="s">
        <v>15</v>
      </c>
      <c r="B1009" s="2">
        <v>2010</v>
      </c>
      <c r="C1009" s="2" t="s">
        <v>43</v>
      </c>
      <c r="D1009" s="3" t="s">
        <v>17</v>
      </c>
      <c r="E1009" s="2">
        <v>4.5999999999999996</v>
      </c>
      <c r="F1009" s="2">
        <v>91.5</v>
      </c>
      <c r="I1009" s="3"/>
      <c r="J1009" s="3"/>
      <c r="K1009" s="3"/>
      <c r="N1009" s="4" t="s">
        <v>101</v>
      </c>
      <c r="O1009" s="2" t="s">
        <v>17</v>
      </c>
      <c r="P1009" s="2" t="s">
        <v>17</v>
      </c>
    </row>
    <row r="1010" spans="1:16" ht="14.25" customHeight="1">
      <c r="A1010" s="2" t="s">
        <v>15</v>
      </c>
      <c r="B1010" s="2">
        <v>2011</v>
      </c>
      <c r="C1010" s="2" t="s">
        <v>43</v>
      </c>
      <c r="D1010" s="3" t="s">
        <v>17</v>
      </c>
      <c r="E1010" s="2">
        <v>3.2</v>
      </c>
      <c r="F1010" s="2">
        <v>98</v>
      </c>
      <c r="I1010" s="3"/>
      <c r="J1010" s="3"/>
      <c r="K1010" s="3"/>
      <c r="N1010" s="4" t="s">
        <v>101</v>
      </c>
      <c r="O1010" s="2" t="s">
        <v>17</v>
      </c>
      <c r="P1010" s="2" t="s">
        <v>17</v>
      </c>
    </row>
    <row r="1011" spans="1:16" ht="14.25" customHeight="1">
      <c r="A1011" s="2" t="s">
        <v>15</v>
      </c>
      <c r="B1011" s="2">
        <v>2012</v>
      </c>
      <c r="C1011" s="2" t="s">
        <v>43</v>
      </c>
      <c r="D1011" s="3" t="s">
        <v>17</v>
      </c>
      <c r="E1011" s="2">
        <v>6.7</v>
      </c>
      <c r="F1011" s="2">
        <v>89.7</v>
      </c>
      <c r="I1011" s="3"/>
      <c r="J1011" s="3"/>
      <c r="K1011" s="3"/>
      <c r="N1011" s="4" t="s">
        <v>101</v>
      </c>
      <c r="O1011" s="2" t="s">
        <v>17</v>
      </c>
      <c r="P1011" s="2" t="s">
        <v>17</v>
      </c>
    </row>
    <row r="1012" spans="1:16" ht="14.25" customHeight="1">
      <c r="A1012" s="2" t="s">
        <v>15</v>
      </c>
      <c r="B1012" s="2">
        <v>2013</v>
      </c>
      <c r="C1012" s="2" t="s">
        <v>43</v>
      </c>
      <c r="D1012" s="3" t="s">
        <v>17</v>
      </c>
      <c r="E1012" s="2">
        <v>5.4</v>
      </c>
      <c r="F1012" s="2">
        <v>97</v>
      </c>
      <c r="I1012" s="3"/>
      <c r="J1012" s="3"/>
      <c r="K1012" s="3"/>
      <c r="N1012" s="4" t="s">
        <v>101</v>
      </c>
      <c r="O1012" s="2" t="s">
        <v>17</v>
      </c>
      <c r="P1012" s="2" t="s">
        <v>17</v>
      </c>
    </row>
    <row r="1013" spans="1:16" ht="14.25" customHeight="1">
      <c r="A1013" s="2" t="s">
        <v>15</v>
      </c>
      <c r="B1013" s="2">
        <v>2014</v>
      </c>
      <c r="C1013" s="2" t="s">
        <v>43</v>
      </c>
      <c r="D1013" s="3" t="s">
        <v>17</v>
      </c>
      <c r="E1013" s="2">
        <v>4.9000000000000004</v>
      </c>
      <c r="F1013" s="2">
        <v>91.8</v>
      </c>
      <c r="I1013" s="3"/>
      <c r="J1013" s="3"/>
      <c r="K1013" s="3"/>
      <c r="N1013" s="4" t="s">
        <v>101</v>
      </c>
      <c r="O1013" s="2" t="s">
        <v>17</v>
      </c>
      <c r="P1013" s="2" t="s">
        <v>17</v>
      </c>
    </row>
    <row r="1014" spans="1:16" ht="14.25" customHeight="1">
      <c r="A1014" s="2" t="s">
        <v>15</v>
      </c>
      <c r="B1014" s="2">
        <v>2015</v>
      </c>
      <c r="C1014" s="2" t="s">
        <v>43</v>
      </c>
      <c r="D1014" s="3" t="s">
        <v>17</v>
      </c>
      <c r="E1014" s="2">
        <v>5.3</v>
      </c>
      <c r="F1014" s="2">
        <v>119</v>
      </c>
      <c r="I1014" s="3"/>
      <c r="J1014" s="3"/>
      <c r="K1014" s="3"/>
      <c r="N1014" s="4" t="s">
        <v>101</v>
      </c>
      <c r="O1014" s="2" t="s">
        <v>17</v>
      </c>
      <c r="P1014" s="2" t="s">
        <v>17</v>
      </c>
    </row>
    <row r="1015" spans="1:16" ht="14.25" customHeight="1">
      <c r="A1015" s="2" t="s">
        <v>15</v>
      </c>
      <c r="B1015" s="2">
        <v>2016</v>
      </c>
      <c r="C1015" s="2" t="s">
        <v>43</v>
      </c>
      <c r="D1015" s="3" t="s">
        <v>17</v>
      </c>
      <c r="E1015" s="2">
        <v>5.9</v>
      </c>
      <c r="F1015" s="2">
        <v>122.7</v>
      </c>
      <c r="I1015" s="3"/>
      <c r="J1015" s="3"/>
      <c r="K1015" s="3"/>
      <c r="N1015" s="4" t="s">
        <v>101</v>
      </c>
      <c r="O1015" s="2" t="s">
        <v>17</v>
      </c>
      <c r="P1015" s="2" t="s">
        <v>17</v>
      </c>
    </row>
    <row r="1016" spans="1:16" ht="14.25" customHeight="1">
      <c r="A1016" s="2" t="s">
        <v>15</v>
      </c>
      <c r="B1016" s="2">
        <v>2017</v>
      </c>
      <c r="C1016" s="2" t="s">
        <v>43</v>
      </c>
      <c r="D1016" s="3" t="s">
        <v>17</v>
      </c>
      <c r="E1016" s="2">
        <v>4.8</v>
      </c>
      <c r="F1016" s="2">
        <v>114.1</v>
      </c>
      <c r="I1016" s="3"/>
      <c r="J1016" s="3"/>
      <c r="K1016" s="3"/>
      <c r="N1016" s="4" t="s">
        <v>101</v>
      </c>
      <c r="O1016" s="2" t="s">
        <v>17</v>
      </c>
      <c r="P1016" s="2" t="s">
        <v>17</v>
      </c>
    </row>
    <row r="1017" spans="1:16" ht="14.25" customHeight="1">
      <c r="A1017" s="2" t="s">
        <v>15</v>
      </c>
      <c r="B1017" s="2">
        <v>2018</v>
      </c>
      <c r="C1017" s="2" t="s">
        <v>43</v>
      </c>
      <c r="D1017" s="3" t="s">
        <v>17</v>
      </c>
      <c r="E1017" s="2">
        <v>8.1999999999999993</v>
      </c>
      <c r="F1017" s="2">
        <v>109.5</v>
      </c>
      <c r="I1017" s="3"/>
      <c r="J1017" s="3"/>
      <c r="K1017" s="3"/>
      <c r="N1017" s="4" t="s">
        <v>101</v>
      </c>
      <c r="O1017" s="2" t="s">
        <v>17</v>
      </c>
      <c r="P1017" s="2" t="s">
        <v>17</v>
      </c>
    </row>
    <row r="1018" spans="1:16" ht="14.25" customHeight="1">
      <c r="A1018" s="2" t="s">
        <v>15</v>
      </c>
      <c r="B1018" s="2">
        <v>2019</v>
      </c>
      <c r="C1018" s="2" t="s">
        <v>43</v>
      </c>
      <c r="D1018" s="3" t="s">
        <v>17</v>
      </c>
      <c r="E1018" s="2">
        <v>4.8464200000000002</v>
      </c>
      <c r="F1018" s="2">
        <v>110.56885699999999</v>
      </c>
      <c r="I1018" s="3"/>
      <c r="J1018" s="3"/>
      <c r="K1018" s="3"/>
      <c r="N1018" s="4" t="s">
        <v>101</v>
      </c>
      <c r="O1018" s="2" t="s">
        <v>17</v>
      </c>
      <c r="P1018" s="2" t="s">
        <v>17</v>
      </c>
    </row>
    <row r="1019" spans="1:16" ht="14.25" customHeight="1">
      <c r="A1019" s="2" t="s">
        <v>15</v>
      </c>
      <c r="B1019" s="2">
        <v>2020</v>
      </c>
      <c r="C1019" s="2" t="s">
        <v>43</v>
      </c>
      <c r="D1019" s="3" t="s">
        <v>17</v>
      </c>
      <c r="E1019" s="2">
        <v>4.9376629999999997</v>
      </c>
      <c r="F1019" s="2">
        <v>105.575129</v>
      </c>
      <c r="I1019" s="3"/>
      <c r="J1019" s="3"/>
      <c r="K1019" s="3"/>
      <c r="N1019" s="4" t="s">
        <v>101</v>
      </c>
      <c r="O1019" s="2" t="s">
        <v>17</v>
      </c>
      <c r="P1019" s="2" t="s">
        <v>17</v>
      </c>
    </row>
    <row r="1020" spans="1:16" ht="14.25" customHeight="1">
      <c r="A1020" s="2" t="s">
        <v>15</v>
      </c>
      <c r="B1020" s="2">
        <v>1900</v>
      </c>
      <c r="C1020" s="2" t="s">
        <v>37</v>
      </c>
      <c r="D1020" s="3">
        <v>745.32970940865664</v>
      </c>
      <c r="N1020" s="4"/>
      <c r="P1020" s="2">
        <v>365.21155761024175</v>
      </c>
    </row>
    <row r="1021" spans="1:16" ht="14.25" customHeight="1">
      <c r="A1021" s="2" t="s">
        <v>15</v>
      </c>
      <c r="B1021" s="2">
        <v>1901</v>
      </c>
      <c r="C1021" s="2" t="s">
        <v>37</v>
      </c>
      <c r="D1021" s="3">
        <v>805.2727087990246</v>
      </c>
      <c r="N1021" s="4"/>
      <c r="P1021" s="2">
        <v>394.58362731152204</v>
      </c>
    </row>
    <row r="1022" spans="1:16" ht="14.25" customHeight="1">
      <c r="A1022" s="2" t="s">
        <v>15</v>
      </c>
      <c r="B1022" s="2">
        <v>1902</v>
      </c>
      <c r="C1022" s="2" t="s">
        <v>37</v>
      </c>
      <c r="D1022" s="3">
        <v>913.40444015444007</v>
      </c>
      <c r="N1022" s="4"/>
      <c r="P1022" s="2">
        <v>447.5681756756756</v>
      </c>
    </row>
    <row r="1023" spans="1:16" ht="14.25" customHeight="1">
      <c r="A1023" s="2" t="s">
        <v>15</v>
      </c>
      <c r="B1023" s="2">
        <v>1903</v>
      </c>
      <c r="C1023" s="2" t="s">
        <v>37</v>
      </c>
      <c r="D1023" s="3">
        <v>942.66714082503552</v>
      </c>
      <c r="N1023" s="4"/>
      <c r="P1023" s="2">
        <v>461.90689900426742</v>
      </c>
    </row>
    <row r="1024" spans="1:16" ht="14.25" customHeight="1">
      <c r="A1024" s="2" t="s">
        <v>15</v>
      </c>
      <c r="B1024" s="2">
        <v>1904</v>
      </c>
      <c r="C1024" s="2" t="s">
        <v>37</v>
      </c>
      <c r="D1024" s="3">
        <v>1029.503606990449</v>
      </c>
      <c r="N1024" s="4"/>
      <c r="P1024" s="2">
        <v>504.45676742532004</v>
      </c>
    </row>
    <row r="1025" spans="1:16" ht="14.25" customHeight="1">
      <c r="A1025" s="2" t="s">
        <v>15</v>
      </c>
      <c r="B1025" s="2">
        <v>1905</v>
      </c>
      <c r="C1025" s="2" t="s">
        <v>37</v>
      </c>
      <c r="D1025" s="3">
        <v>1024.3993090835195</v>
      </c>
      <c r="N1025" s="4"/>
      <c r="P1025" s="2">
        <v>501.95566145092454</v>
      </c>
    </row>
    <row r="1026" spans="1:16" ht="14.25" customHeight="1">
      <c r="A1026" s="2" t="s">
        <v>15</v>
      </c>
      <c r="B1026" s="2">
        <v>1906</v>
      </c>
      <c r="C1026" s="2" t="s">
        <v>37</v>
      </c>
      <c r="D1026" s="3">
        <v>1043.5561877667139</v>
      </c>
      <c r="N1026" s="4"/>
      <c r="P1026" s="2">
        <v>511.3425320056898</v>
      </c>
    </row>
    <row r="1027" spans="1:16" ht="14.25" customHeight="1">
      <c r="A1027" s="2" t="s">
        <v>15</v>
      </c>
      <c r="B1027" s="2">
        <v>1907</v>
      </c>
      <c r="C1027" s="2" t="s">
        <v>37</v>
      </c>
      <c r="D1027" s="3">
        <v>1204.5501422475106</v>
      </c>
      <c r="N1027" s="4"/>
      <c r="P1027" s="2">
        <v>590.22956970128018</v>
      </c>
    </row>
    <row r="1028" spans="1:16" ht="14.25" customHeight="1">
      <c r="A1028" s="2" t="s">
        <v>15</v>
      </c>
      <c r="B1028" s="2">
        <v>1908</v>
      </c>
      <c r="C1028" s="2" t="s">
        <v>37</v>
      </c>
      <c r="D1028" s="3">
        <v>1151.9125685836211</v>
      </c>
      <c r="N1028" s="4"/>
      <c r="P1028" s="2">
        <v>564.43715860597433</v>
      </c>
    </row>
    <row r="1029" spans="1:16" ht="14.25" customHeight="1">
      <c r="A1029" s="2" t="s">
        <v>15</v>
      </c>
      <c r="B1029" s="2">
        <v>1910</v>
      </c>
      <c r="C1029" s="2" t="s">
        <v>37</v>
      </c>
      <c r="D1029" s="3">
        <v>1161.7906421459052</v>
      </c>
      <c r="N1029" s="4"/>
      <c r="P1029" s="2">
        <v>569.27741465149347</v>
      </c>
    </row>
    <row r="1030" spans="1:16" ht="14.25" customHeight="1">
      <c r="A1030" s="2" t="s">
        <v>15</v>
      </c>
      <c r="B1030" s="2">
        <v>1911</v>
      </c>
      <c r="C1030" s="2" t="s">
        <v>37</v>
      </c>
      <c r="D1030" s="3">
        <v>1198.1365068075595</v>
      </c>
      <c r="N1030" s="4"/>
      <c r="P1030" s="2">
        <v>587.08688833570409</v>
      </c>
    </row>
    <row r="1031" spans="1:16" ht="14.25" customHeight="1">
      <c r="A1031" s="2" t="s">
        <v>15</v>
      </c>
      <c r="B1031" s="2">
        <v>1912</v>
      </c>
      <c r="C1031" s="2" t="s">
        <v>37</v>
      </c>
      <c r="D1031" s="3">
        <v>1200.1413330623857</v>
      </c>
      <c r="N1031" s="4"/>
      <c r="P1031" s="2">
        <v>588.06925320056894</v>
      </c>
    </row>
    <row r="1032" spans="1:16" ht="14.25" customHeight="1">
      <c r="A1032" s="2" t="s">
        <v>15</v>
      </c>
      <c r="B1032" s="2">
        <v>1913</v>
      </c>
      <c r="C1032" s="2" t="s">
        <v>37</v>
      </c>
      <c r="D1032" s="3">
        <v>1224.1462101198942</v>
      </c>
      <c r="N1032" s="4"/>
      <c r="P1032" s="2">
        <v>599.83164295874815</v>
      </c>
    </row>
    <row r="1033" spans="1:16" ht="14.25" customHeight="1">
      <c r="A1033" s="2" t="s">
        <v>15</v>
      </c>
      <c r="B1033" s="2">
        <v>1914</v>
      </c>
      <c r="C1033" s="2" t="s">
        <v>37</v>
      </c>
      <c r="D1033" s="3">
        <v>896.21245681771995</v>
      </c>
      <c r="N1033" s="4"/>
      <c r="P1033" s="2">
        <v>439.14410384068276</v>
      </c>
    </row>
    <row r="1034" spans="1:16" ht="14.25" customHeight="1">
      <c r="A1034" s="2" t="s">
        <v>15</v>
      </c>
      <c r="B1034" s="2">
        <v>1915</v>
      </c>
      <c r="C1034" s="2" t="s">
        <v>37</v>
      </c>
      <c r="D1034" s="3">
        <v>439.66856330014224</v>
      </c>
      <c r="N1034" s="4"/>
      <c r="P1034" s="2">
        <v>215.43759601706969</v>
      </c>
    </row>
    <row r="1035" spans="1:16" ht="14.25" customHeight="1">
      <c r="A1035" s="2" t="s">
        <v>15</v>
      </c>
      <c r="B1035" s="2">
        <v>1916</v>
      </c>
      <c r="C1035" s="2" t="s">
        <v>37</v>
      </c>
      <c r="D1035" s="3">
        <v>417.71733387522858</v>
      </c>
      <c r="N1035" s="4"/>
      <c r="P1035" s="2">
        <v>204.68149359886201</v>
      </c>
    </row>
    <row r="1036" spans="1:16" ht="14.25" customHeight="1">
      <c r="A1036" s="2" t="s">
        <v>15</v>
      </c>
      <c r="B1036" s="2">
        <v>1917</v>
      </c>
      <c r="C1036" s="2" t="s">
        <v>37</v>
      </c>
      <c r="D1036" s="3">
        <v>395.96301564722614</v>
      </c>
      <c r="N1036" s="4"/>
      <c r="P1036" s="2">
        <v>194.02187766714081</v>
      </c>
    </row>
    <row r="1037" spans="1:16" ht="14.25" customHeight="1">
      <c r="A1037" s="2" t="s">
        <v>15</v>
      </c>
      <c r="B1037" s="2">
        <v>1918</v>
      </c>
      <c r="C1037" s="2" t="s">
        <v>37</v>
      </c>
      <c r="D1037" s="3">
        <v>444.78835602519814</v>
      </c>
      <c r="N1037" s="4"/>
      <c r="P1037" s="2">
        <v>217.94629445234708</v>
      </c>
    </row>
    <row r="1038" spans="1:16" ht="14.25" customHeight="1">
      <c r="A1038" s="2" t="s">
        <v>15</v>
      </c>
      <c r="B1038" s="2">
        <v>1919</v>
      </c>
      <c r="C1038" s="2" t="s">
        <v>37</v>
      </c>
      <c r="D1038" s="3">
        <v>867.91566754724647</v>
      </c>
      <c r="N1038" s="4"/>
      <c r="P1038" s="2">
        <v>425.27867709815075</v>
      </c>
    </row>
    <row r="1039" spans="1:16" ht="14.25" customHeight="1">
      <c r="A1039" s="2" t="s">
        <v>15</v>
      </c>
      <c r="B1039" s="2">
        <v>1920</v>
      </c>
      <c r="C1039" s="2" t="s">
        <v>37</v>
      </c>
      <c r="D1039" s="3">
        <v>1096.4360902255639</v>
      </c>
      <c r="N1039" s="4"/>
      <c r="P1039" s="2">
        <v>537.25368421052633</v>
      </c>
    </row>
    <row r="1040" spans="1:16" ht="14.25" customHeight="1">
      <c r="A1040" s="2" t="s">
        <v>15</v>
      </c>
      <c r="B1040" s="2">
        <v>1921</v>
      </c>
      <c r="C1040" s="2" t="s">
        <v>37</v>
      </c>
      <c r="D1040" s="3">
        <v>856.091597236334</v>
      </c>
      <c r="N1040" s="4"/>
      <c r="P1040" s="2">
        <v>419.48488264580362</v>
      </c>
    </row>
    <row r="1041" spans="1:16" ht="14.25" customHeight="1">
      <c r="A1041" s="2" t="s">
        <v>15</v>
      </c>
      <c r="B1041" s="2">
        <v>1922</v>
      </c>
      <c r="C1041" s="2" t="s">
        <v>37</v>
      </c>
      <c r="D1041" s="3">
        <v>908.77028707579757</v>
      </c>
      <c r="N1041" s="4"/>
      <c r="P1041" s="2">
        <v>445.29744066714079</v>
      </c>
    </row>
    <row r="1042" spans="1:16" ht="14.25" customHeight="1">
      <c r="A1042" s="2" t="s">
        <v>15</v>
      </c>
      <c r="B1042" s="2">
        <v>1923</v>
      </c>
      <c r="C1042" s="2" t="s">
        <v>37</v>
      </c>
      <c r="D1042" s="3">
        <v>866.88939785612672</v>
      </c>
      <c r="N1042" s="4"/>
      <c r="P1042" s="2">
        <v>424.77580494950206</v>
      </c>
    </row>
    <row r="1043" spans="1:16" ht="14.25" customHeight="1">
      <c r="A1043" s="2" t="s">
        <v>15</v>
      </c>
      <c r="B1043" s="2">
        <v>1924</v>
      </c>
      <c r="C1043" s="2" t="s">
        <v>37</v>
      </c>
      <c r="D1043" s="3">
        <v>1059.0188084942085</v>
      </c>
      <c r="N1043" s="4"/>
      <c r="P1043" s="2">
        <v>518.91921616216223</v>
      </c>
    </row>
    <row r="1044" spans="1:16" ht="14.25" customHeight="1">
      <c r="A1044" s="2" t="s">
        <v>15</v>
      </c>
      <c r="B1044" s="2">
        <v>1925</v>
      </c>
      <c r="C1044" s="2" t="s">
        <v>37</v>
      </c>
      <c r="D1044" s="3">
        <v>985.63904938020721</v>
      </c>
      <c r="N1044" s="4"/>
      <c r="P1044" s="2">
        <v>482.96313419630155</v>
      </c>
    </row>
    <row r="1045" spans="1:16" ht="14.25" customHeight="1">
      <c r="A1045" s="2" t="s">
        <v>15</v>
      </c>
      <c r="B1045" s="2">
        <v>1926</v>
      </c>
      <c r="C1045" s="2" t="s">
        <v>37</v>
      </c>
      <c r="D1045" s="3">
        <v>970.98514382239387</v>
      </c>
      <c r="N1045" s="4"/>
      <c r="P1045" s="2">
        <v>475.78272047297298</v>
      </c>
    </row>
    <row r="1046" spans="1:16" ht="14.25" customHeight="1">
      <c r="A1046" s="2" t="s">
        <v>15</v>
      </c>
      <c r="B1046" s="2">
        <v>1927</v>
      </c>
      <c r="C1046" s="2" t="s">
        <v>37</v>
      </c>
      <c r="D1046" s="3">
        <v>1023.9570041353383</v>
      </c>
      <c r="N1046" s="4"/>
      <c r="P1046" s="2">
        <v>501.73893202631575</v>
      </c>
    </row>
    <row r="1047" spans="1:16" ht="14.25" customHeight="1">
      <c r="A1047" s="2" t="s">
        <v>15</v>
      </c>
      <c r="B1047" s="2">
        <v>1928</v>
      </c>
      <c r="C1047" s="2" t="s">
        <v>37</v>
      </c>
      <c r="D1047" s="3">
        <v>1026.4054912009753</v>
      </c>
      <c r="N1047" s="4"/>
      <c r="P1047" s="2">
        <v>502.93869068847789</v>
      </c>
    </row>
    <row r="1048" spans="1:16" ht="14.25" customHeight="1">
      <c r="A1048" s="2" t="s">
        <v>15</v>
      </c>
      <c r="B1048" s="2">
        <v>1929</v>
      </c>
      <c r="C1048" s="2" t="s">
        <v>37</v>
      </c>
      <c r="D1048" s="3">
        <v>1078.3179429790694</v>
      </c>
      <c r="N1048" s="4"/>
      <c r="P1048" s="2">
        <v>528.37579205974396</v>
      </c>
    </row>
    <row r="1049" spans="1:16" ht="14.25" customHeight="1">
      <c r="A1049" s="2" t="s">
        <v>15</v>
      </c>
      <c r="B1049" s="2">
        <v>1930</v>
      </c>
      <c r="C1049" s="2" t="s">
        <v>37</v>
      </c>
      <c r="D1049" s="3">
        <v>1120.0977654846574</v>
      </c>
      <c r="N1049" s="4"/>
      <c r="P1049" s="2">
        <v>548.8479050874821</v>
      </c>
    </row>
    <row r="1050" spans="1:16" ht="14.25" customHeight="1">
      <c r="A1050" s="2" t="s">
        <v>15</v>
      </c>
      <c r="B1050" s="2">
        <v>1931</v>
      </c>
      <c r="C1050" s="2" t="s">
        <v>37</v>
      </c>
      <c r="D1050" s="3">
        <v>1013.2004645397276</v>
      </c>
      <c r="N1050" s="4"/>
      <c r="P1050" s="2">
        <v>496.46822762446652</v>
      </c>
    </row>
    <row r="1051" spans="1:16" ht="14.25" customHeight="1">
      <c r="A1051" s="2" t="s">
        <v>15</v>
      </c>
      <c r="B1051" s="2">
        <v>1932</v>
      </c>
      <c r="C1051" s="2" t="s">
        <v>37</v>
      </c>
      <c r="D1051" s="3">
        <v>998.7397837939443</v>
      </c>
      <c r="N1051" s="4"/>
      <c r="P1051" s="2">
        <v>489.38249405903269</v>
      </c>
    </row>
    <row r="1052" spans="1:16" ht="14.25" customHeight="1">
      <c r="A1052" s="2" t="s">
        <v>15</v>
      </c>
      <c r="B1052" s="2">
        <v>1933</v>
      </c>
      <c r="C1052" s="2" t="s">
        <v>37</v>
      </c>
      <c r="D1052" s="3">
        <v>956.99554455395241</v>
      </c>
      <c r="N1052" s="4"/>
      <c r="P1052" s="2">
        <v>468.9278168314367</v>
      </c>
    </row>
    <row r="1053" spans="1:16" ht="14.25" customHeight="1">
      <c r="A1053" s="2" t="s">
        <v>15</v>
      </c>
      <c r="B1053" s="2">
        <v>1934</v>
      </c>
      <c r="C1053" s="2" t="s">
        <v>37</v>
      </c>
      <c r="D1053" s="3">
        <v>953.75541942694565</v>
      </c>
      <c r="N1053" s="4"/>
      <c r="P1053" s="2">
        <v>467.34015551920334</v>
      </c>
    </row>
    <row r="1054" spans="1:16" ht="14.25" customHeight="1">
      <c r="A1054" s="2" t="s">
        <v>15</v>
      </c>
      <c r="B1054" s="2">
        <v>1935</v>
      </c>
      <c r="C1054" s="2" t="s">
        <v>37</v>
      </c>
      <c r="D1054" s="3">
        <v>1016.4961917191628</v>
      </c>
      <c r="N1054" s="4"/>
      <c r="P1054" s="2">
        <v>498.08313394238974</v>
      </c>
    </row>
    <row r="1055" spans="1:16" ht="14.25" customHeight="1">
      <c r="A1055" s="2" t="s">
        <v>15</v>
      </c>
      <c r="B1055" s="2">
        <v>1936</v>
      </c>
      <c r="C1055" s="2" t="s">
        <v>37</v>
      </c>
      <c r="D1055" s="3">
        <v>1068.9048636557609</v>
      </c>
      <c r="N1055" s="4"/>
      <c r="P1055" s="2">
        <v>523.76338319132287</v>
      </c>
    </row>
    <row r="1056" spans="1:16" ht="14.25" customHeight="1">
      <c r="A1056" s="2" t="s">
        <v>15</v>
      </c>
      <c r="B1056" s="2">
        <v>1937</v>
      </c>
      <c r="C1056" s="2" t="s">
        <v>37</v>
      </c>
      <c r="D1056" s="3">
        <v>1112.8796360597439</v>
      </c>
      <c r="N1056" s="4"/>
      <c r="P1056" s="2">
        <v>545.31102166927451</v>
      </c>
    </row>
    <row r="1057" spans="1:17" ht="14.25" customHeight="1">
      <c r="A1057" s="2" t="s">
        <v>15</v>
      </c>
      <c r="B1057" s="2">
        <v>1938</v>
      </c>
      <c r="C1057" s="2" t="s">
        <v>37</v>
      </c>
      <c r="D1057" s="3">
        <v>1070.7365058524688</v>
      </c>
      <c r="N1057" s="4"/>
      <c r="P1057" s="2">
        <v>524.66088786770968</v>
      </c>
    </row>
    <row r="1058" spans="1:17" ht="14.25" customHeight="1">
      <c r="A1058" s="2" t="s">
        <v>15</v>
      </c>
      <c r="B1058" s="2">
        <v>1939</v>
      </c>
      <c r="C1058" s="2" t="s">
        <v>37</v>
      </c>
      <c r="D1058" s="3">
        <v>803.44167055476532</v>
      </c>
      <c r="N1058" s="4"/>
      <c r="P1058" s="2">
        <v>393.68641857183502</v>
      </c>
    </row>
    <row r="1059" spans="1:17" ht="14.25" customHeight="1">
      <c r="A1059" s="2" t="s">
        <v>15</v>
      </c>
      <c r="B1059" s="2">
        <v>1940</v>
      </c>
      <c r="C1059" s="2" t="s">
        <v>37</v>
      </c>
      <c r="D1059" s="3">
        <v>321.04819628124363</v>
      </c>
      <c r="N1059" s="4"/>
      <c r="P1059" s="2">
        <v>157.31361617780937</v>
      </c>
    </row>
    <row r="1060" spans="1:17" ht="14.25" customHeight="1">
      <c r="A1060" s="2" t="s">
        <v>15</v>
      </c>
      <c r="B1060" s="2">
        <v>1941</v>
      </c>
      <c r="C1060" s="2" t="s">
        <v>37</v>
      </c>
      <c r="D1060" s="3">
        <v>251.27345716317822</v>
      </c>
      <c r="N1060" s="4"/>
      <c r="P1060" s="2">
        <v>123.12399400995733</v>
      </c>
    </row>
    <row r="1061" spans="1:17" ht="14.25" customHeight="1">
      <c r="A1061" s="2" t="s">
        <v>15</v>
      </c>
      <c r="B1061" s="2">
        <v>1942</v>
      </c>
      <c r="C1061" s="2" t="s">
        <v>37</v>
      </c>
      <c r="D1061" s="3">
        <v>311.99883425116843</v>
      </c>
      <c r="N1061" s="4"/>
      <c r="P1061" s="2">
        <v>152.87942878307254</v>
      </c>
    </row>
    <row r="1062" spans="1:17" ht="14.25" customHeight="1">
      <c r="A1062" s="2" t="s">
        <v>15</v>
      </c>
      <c r="B1062" s="2">
        <v>1943</v>
      </c>
      <c r="C1062" s="2" t="s">
        <v>37</v>
      </c>
      <c r="D1062" s="3">
        <v>316.43506909164802</v>
      </c>
      <c r="N1062" s="4"/>
      <c r="P1062" s="2">
        <v>155.05318385490753</v>
      </c>
    </row>
    <row r="1063" spans="1:17" ht="14.25" customHeight="1">
      <c r="A1063" s="2" t="s">
        <v>15</v>
      </c>
      <c r="B1063" s="2">
        <v>1944</v>
      </c>
      <c r="C1063" s="2" t="s">
        <v>37</v>
      </c>
      <c r="D1063" s="3">
        <v>331.69138141637876</v>
      </c>
      <c r="N1063" s="4"/>
      <c r="P1063" s="2">
        <v>162.52877689402558</v>
      </c>
    </row>
    <row r="1064" spans="1:17" ht="14.25" customHeight="1">
      <c r="A1064" s="2" t="s">
        <v>15</v>
      </c>
      <c r="B1064" s="2">
        <v>1945</v>
      </c>
      <c r="C1064" s="2" t="s">
        <v>37</v>
      </c>
      <c r="D1064" s="3">
        <v>503.2382024588498</v>
      </c>
      <c r="N1064" s="4"/>
      <c r="P1064" s="2">
        <v>246.58671920483638</v>
      </c>
    </row>
    <row r="1065" spans="1:17" ht="14.25" customHeight="1">
      <c r="A1065" s="2" t="s">
        <v>15</v>
      </c>
      <c r="B1065" s="2">
        <v>1946</v>
      </c>
      <c r="C1065" s="2" t="s">
        <v>37</v>
      </c>
      <c r="D1065" s="3">
        <v>921.93993526722204</v>
      </c>
      <c r="N1065" s="4"/>
      <c r="P1065" s="2">
        <v>451.75056828093881</v>
      </c>
    </row>
    <row r="1066" spans="1:17" ht="14.25" customHeight="1">
      <c r="A1066" s="2" t="s">
        <v>15</v>
      </c>
      <c r="B1066" s="2">
        <v>1947</v>
      </c>
      <c r="C1066" s="2" t="s">
        <v>37</v>
      </c>
      <c r="D1066" s="3">
        <v>1017.593897063605</v>
      </c>
      <c r="N1066" s="4"/>
      <c r="P1066" s="2">
        <v>498.62100956116643</v>
      </c>
    </row>
    <row r="1067" spans="1:17" ht="14.25" customHeight="1">
      <c r="A1067" s="2" t="s">
        <v>15</v>
      </c>
      <c r="B1067" s="2">
        <v>1948</v>
      </c>
      <c r="C1067" s="2" t="s">
        <v>37</v>
      </c>
      <c r="D1067" s="3">
        <v>1067.3251714590531</v>
      </c>
      <c r="N1067" s="4"/>
      <c r="P1067" s="2">
        <v>522.98933401493605</v>
      </c>
    </row>
    <row r="1068" spans="1:17" ht="14.25" customHeight="1">
      <c r="A1068" s="2" t="s">
        <v>15</v>
      </c>
      <c r="B1068" s="2">
        <v>1949</v>
      </c>
      <c r="C1068" s="2" t="s">
        <v>37</v>
      </c>
      <c r="D1068" s="3">
        <v>1025.7087247815484</v>
      </c>
      <c r="N1068" s="4"/>
      <c r="P1068" s="2">
        <v>502.59727514295872</v>
      </c>
    </row>
    <row r="1069" spans="1:17" ht="14.25" customHeight="1">
      <c r="A1069" s="2" t="s">
        <v>15</v>
      </c>
      <c r="B1069" s="2">
        <v>1950</v>
      </c>
      <c r="C1069" s="2" t="s">
        <v>37</v>
      </c>
      <c r="D1069" s="3">
        <v>903.87577049380218</v>
      </c>
      <c r="G1069" s="2">
        <v>2.6613750437726159E-2</v>
      </c>
      <c r="N1069" s="4"/>
      <c r="P1069" s="2">
        <v>442.89912754196308</v>
      </c>
      <c r="Q1069" s="2">
        <v>1.3040737714485818E-2</v>
      </c>
    </row>
    <row r="1070" spans="1:17" ht="14.25" customHeight="1">
      <c r="A1070" s="2" t="s">
        <v>15</v>
      </c>
      <c r="B1070" s="2">
        <v>1951</v>
      </c>
      <c r="C1070" s="2" t="s">
        <v>37</v>
      </c>
      <c r="D1070" s="3">
        <v>966.87724780532415</v>
      </c>
      <c r="G1070" s="2">
        <v>2.6613750437726159E-2</v>
      </c>
      <c r="N1070" s="4"/>
      <c r="P1070" s="2">
        <v>473.76985142460882</v>
      </c>
      <c r="Q1070" s="2">
        <v>1.3040737714485818E-2</v>
      </c>
    </row>
    <row r="1071" spans="1:17" ht="14.25" customHeight="1">
      <c r="A1071" s="2" t="s">
        <v>15</v>
      </c>
      <c r="B1071" s="2">
        <v>1952</v>
      </c>
      <c r="C1071" s="2" t="s">
        <v>37</v>
      </c>
      <c r="D1071" s="3">
        <v>1013.6391370859581</v>
      </c>
      <c r="G1071" s="2">
        <v>2.6613750437726159E-2</v>
      </c>
      <c r="N1071" s="4"/>
      <c r="P1071" s="2">
        <v>496.68317717211943</v>
      </c>
      <c r="Q1071" s="2">
        <v>1.3040737714485818E-2</v>
      </c>
    </row>
    <row r="1072" spans="1:17" ht="14.25" customHeight="1">
      <c r="A1072" s="2" t="s">
        <v>15</v>
      </c>
      <c r="B1072" s="2">
        <v>1953</v>
      </c>
      <c r="C1072" s="2" t="s">
        <v>37</v>
      </c>
      <c r="D1072" s="3">
        <v>1003.8454448181263</v>
      </c>
      <c r="G1072" s="2">
        <v>2.6613750437726159E-2</v>
      </c>
      <c r="N1072" s="4"/>
      <c r="P1072" s="2">
        <v>491.88426796088191</v>
      </c>
      <c r="Q1072" s="2">
        <v>1.3040737714485818E-2</v>
      </c>
    </row>
    <row r="1073" spans="1:17" ht="14.25" customHeight="1">
      <c r="A1073" s="2" t="s">
        <v>15</v>
      </c>
      <c r="B1073" s="2">
        <v>1954</v>
      </c>
      <c r="C1073" s="2" t="s">
        <v>37</v>
      </c>
      <c r="D1073" s="3">
        <v>954.2650025096525</v>
      </c>
      <c r="G1073" s="2">
        <v>2.6613750437726159E-2</v>
      </c>
      <c r="N1073" s="4"/>
      <c r="P1073" s="2">
        <v>467.58985122972973</v>
      </c>
      <c r="Q1073" s="2">
        <v>1.3040737714485818E-2</v>
      </c>
    </row>
    <row r="1074" spans="1:17" ht="14.25" customHeight="1">
      <c r="A1074" s="2" t="s">
        <v>15</v>
      </c>
      <c r="B1074" s="2">
        <v>1955</v>
      </c>
      <c r="C1074" s="2" t="s">
        <v>37</v>
      </c>
      <c r="D1074" s="3">
        <v>975.57415630969319</v>
      </c>
      <c r="G1074" s="2">
        <v>3.1049375510680523E-2</v>
      </c>
      <c r="N1074" s="4"/>
      <c r="P1074" s="2">
        <v>478.03133659174966</v>
      </c>
      <c r="Q1074" s="2">
        <v>1.5214194000233456E-2</v>
      </c>
    </row>
    <row r="1075" spans="1:17" ht="14.25" customHeight="1">
      <c r="A1075" s="2" t="s">
        <v>15</v>
      </c>
      <c r="B1075" s="2">
        <v>1956</v>
      </c>
      <c r="C1075" s="2" t="s">
        <v>37</v>
      </c>
      <c r="D1075" s="3">
        <v>947.77484251168448</v>
      </c>
      <c r="G1075" s="2">
        <v>3.1049375510680523E-2</v>
      </c>
      <c r="N1075" s="4"/>
      <c r="P1075" s="2">
        <v>464.40967283072541</v>
      </c>
      <c r="Q1075" s="2">
        <v>1.5214194000233456E-2</v>
      </c>
    </row>
    <row r="1076" spans="1:17" ht="14.25" customHeight="1">
      <c r="A1076" s="2" t="s">
        <v>15</v>
      </c>
      <c r="B1076" s="2">
        <v>1957</v>
      </c>
      <c r="C1076" s="2" t="s">
        <v>37</v>
      </c>
      <c r="D1076" s="3">
        <v>886.55761024182073</v>
      </c>
      <c r="G1076" s="2">
        <v>3.1049375510680523E-2</v>
      </c>
      <c r="N1076" s="4"/>
      <c r="P1076" s="2">
        <v>434.41322901849213</v>
      </c>
      <c r="Q1076" s="2">
        <v>1.5214194000233456E-2</v>
      </c>
    </row>
    <row r="1077" spans="1:17" ht="14.25" customHeight="1">
      <c r="A1077" s="2" t="s">
        <v>15</v>
      </c>
      <c r="B1077" s="2">
        <v>1958</v>
      </c>
      <c r="C1077" s="2" t="s">
        <v>37</v>
      </c>
      <c r="D1077" s="3">
        <v>879.90245884982721</v>
      </c>
      <c r="G1077" s="2">
        <v>3.1049375510680523E-2</v>
      </c>
      <c r="N1077" s="4"/>
      <c r="P1077" s="2">
        <v>431.15220483641531</v>
      </c>
      <c r="Q1077" s="2">
        <v>1.5214194000233456E-2</v>
      </c>
    </row>
    <row r="1078" spans="1:17" ht="14.25" customHeight="1">
      <c r="A1078" s="2" t="s">
        <v>15</v>
      </c>
      <c r="B1078" s="2">
        <v>1959</v>
      </c>
      <c r="C1078" s="2" t="s">
        <v>37</v>
      </c>
      <c r="D1078" s="3">
        <v>873.39971550497864</v>
      </c>
      <c r="G1078" s="2">
        <v>3.1049375510680523E-2</v>
      </c>
      <c r="N1078" s="4"/>
      <c r="P1078" s="2">
        <v>427.96586059743953</v>
      </c>
      <c r="Q1078" s="2">
        <v>1.5214194000233456E-2</v>
      </c>
    </row>
    <row r="1079" spans="1:17" ht="14.25" customHeight="1">
      <c r="A1079" s="2" t="s">
        <v>15</v>
      </c>
      <c r="B1079" s="2">
        <v>1960</v>
      </c>
      <c r="C1079" s="2" t="s">
        <v>37</v>
      </c>
      <c r="D1079" s="3">
        <v>815.38305222515748</v>
      </c>
      <c r="G1079" s="2">
        <v>3.1049375510680523E-2</v>
      </c>
      <c r="N1079" s="4"/>
      <c r="P1079" s="2">
        <v>399.53769559032713</v>
      </c>
      <c r="Q1079" s="2">
        <v>1.5214194000233456E-2</v>
      </c>
    </row>
    <row r="1080" spans="1:17" ht="14.25" customHeight="1">
      <c r="A1080" s="2" t="s">
        <v>15</v>
      </c>
      <c r="B1080" s="2">
        <v>1961</v>
      </c>
      <c r="C1080" s="2" t="s">
        <v>37</v>
      </c>
      <c r="D1080" s="3">
        <v>757.6712050396261</v>
      </c>
      <c r="G1080" s="2">
        <v>3.1049375510680523E-2</v>
      </c>
      <c r="N1080" s="4"/>
      <c r="P1080" s="2">
        <v>371.25889046941677</v>
      </c>
      <c r="Q1080" s="2">
        <v>1.5214194000233456E-2</v>
      </c>
    </row>
    <row r="1081" spans="1:17" ht="14.25" customHeight="1">
      <c r="A1081" s="4" t="s">
        <v>15</v>
      </c>
      <c r="B1081" s="4">
        <v>1962</v>
      </c>
      <c r="C1081" s="2" t="s">
        <v>37</v>
      </c>
      <c r="D1081" s="3">
        <v>798.5165616744564</v>
      </c>
      <c r="G1081" s="2">
        <v>3.1049375510680523E-2</v>
      </c>
      <c r="I1081" s="3"/>
      <c r="J1081" s="3"/>
      <c r="K1081" s="3"/>
      <c r="N1081" s="4" t="s">
        <v>99</v>
      </c>
      <c r="O1081" s="2" t="s">
        <v>17</v>
      </c>
      <c r="P1081" s="2">
        <v>391.27311522048365</v>
      </c>
      <c r="Q1081" s="2">
        <v>1.5214194000233456E-2</v>
      </c>
    </row>
    <row r="1082" spans="1:17" ht="14.25" customHeight="1">
      <c r="A1082" s="4" t="s">
        <v>15</v>
      </c>
      <c r="B1082" s="4">
        <v>1963</v>
      </c>
      <c r="C1082" s="2" t="s">
        <v>37</v>
      </c>
      <c r="D1082" s="3">
        <v>823.76549481812629</v>
      </c>
      <c r="G1082" s="2">
        <v>3.1049375510680523E-2</v>
      </c>
      <c r="I1082" s="3"/>
      <c r="J1082" s="3"/>
      <c r="K1082" s="3"/>
      <c r="N1082" s="4" t="s">
        <v>99</v>
      </c>
      <c r="O1082" s="2" t="s">
        <v>17</v>
      </c>
      <c r="P1082" s="2">
        <v>403.64509246088187</v>
      </c>
      <c r="Q1082" s="2">
        <v>1.5214194000233456E-2</v>
      </c>
    </row>
    <row r="1083" spans="1:17" ht="14.25" customHeight="1">
      <c r="A1083" s="4" t="s">
        <v>15</v>
      </c>
      <c r="B1083" s="4">
        <v>1964</v>
      </c>
      <c r="C1083" s="2" t="s">
        <v>37</v>
      </c>
      <c r="D1083" s="3">
        <v>830.16663279821171</v>
      </c>
      <c r="G1083" s="2">
        <v>8.8712501459087212E-2</v>
      </c>
      <c r="I1083" s="3"/>
      <c r="J1083" s="3"/>
      <c r="K1083" s="3"/>
      <c r="N1083" s="4" t="s">
        <v>99</v>
      </c>
      <c r="O1083" s="2" t="s">
        <v>17</v>
      </c>
      <c r="P1083" s="2">
        <v>406.78165007112375</v>
      </c>
      <c r="Q1083" s="2">
        <v>4.3469125714952733E-2</v>
      </c>
    </row>
    <row r="1084" spans="1:17" ht="14.25" customHeight="1">
      <c r="A1084" s="2" t="s">
        <v>15</v>
      </c>
      <c r="B1084" s="2">
        <v>1965</v>
      </c>
      <c r="C1084" s="2" t="s">
        <v>37</v>
      </c>
      <c r="D1084" s="3">
        <v>898.44543791912213</v>
      </c>
      <c r="E1084" s="3">
        <v>51.920341394025598</v>
      </c>
      <c r="F1084" s="3">
        <v>203.66795366795367</v>
      </c>
      <c r="G1084" s="3">
        <v>0.1774250029181744</v>
      </c>
      <c r="I1084" s="3"/>
      <c r="J1084" s="3"/>
      <c r="K1084" s="3"/>
      <c r="N1084" s="4" t="s">
        <v>99</v>
      </c>
      <c r="O1084" s="2" t="s">
        <v>17</v>
      </c>
      <c r="P1084" s="2">
        <v>440.23826458036984</v>
      </c>
      <c r="Q1084" s="2">
        <v>8.6938251429905453E-2</v>
      </c>
    </row>
    <row r="1085" spans="1:17" ht="14.25" customHeight="1">
      <c r="A1085" s="2" t="s">
        <v>15</v>
      </c>
      <c r="B1085" s="2">
        <v>1966</v>
      </c>
      <c r="C1085" s="2" t="s">
        <v>37</v>
      </c>
      <c r="D1085" s="3">
        <v>915.92156065840277</v>
      </c>
      <c r="E1085" s="3">
        <v>75.695996748628318</v>
      </c>
      <c r="F1085" s="3">
        <v>190.10363747205852</v>
      </c>
      <c r="G1085" s="3">
        <v>8.8712501459087212E-2</v>
      </c>
      <c r="I1085" s="3"/>
      <c r="J1085" s="3"/>
      <c r="K1085" s="3"/>
      <c r="N1085" s="4" t="s">
        <v>99</v>
      </c>
      <c r="O1085" s="2" t="s">
        <v>17</v>
      </c>
      <c r="P1085" s="2">
        <v>448.80156472261734</v>
      </c>
      <c r="Q1085" s="2">
        <v>4.3469125714952733E-2</v>
      </c>
    </row>
    <row r="1086" spans="1:17" ht="14.25" customHeight="1">
      <c r="A1086" s="2" t="s">
        <v>15</v>
      </c>
      <c r="B1086" s="2">
        <v>1967</v>
      </c>
      <c r="C1086" s="2" t="s">
        <v>37</v>
      </c>
      <c r="D1086" s="3">
        <v>862.17232269863848</v>
      </c>
      <c r="E1086" s="3">
        <v>53.088803088803083</v>
      </c>
      <c r="F1086" s="3">
        <v>216.5718349928876</v>
      </c>
      <c r="G1086" s="3">
        <v>8.8712501459087212E-2</v>
      </c>
      <c r="I1086" s="3"/>
      <c r="J1086" s="3"/>
      <c r="K1086" s="3"/>
      <c r="N1086" s="4" t="s">
        <v>99</v>
      </c>
      <c r="O1086" s="2" t="s">
        <v>17</v>
      </c>
      <c r="P1086" s="2">
        <v>422.46443812233287</v>
      </c>
      <c r="Q1086" s="2">
        <v>4.3469125714952733E-2</v>
      </c>
    </row>
    <row r="1087" spans="1:17" ht="14.25" customHeight="1">
      <c r="A1087" s="2" t="s">
        <v>15</v>
      </c>
      <c r="B1087" s="2">
        <v>1968</v>
      </c>
      <c r="C1087" s="2" t="s">
        <v>37</v>
      </c>
      <c r="D1087" s="3">
        <v>870.40235724446245</v>
      </c>
      <c r="E1087" s="3">
        <v>54.054054054054049</v>
      </c>
      <c r="F1087" s="3">
        <v>226.12273928063399</v>
      </c>
      <c r="G1087" s="3">
        <v>8.8712501459087212E-2</v>
      </c>
      <c r="I1087" s="3"/>
      <c r="J1087" s="3"/>
      <c r="K1087" s="3"/>
      <c r="N1087" s="4" t="s">
        <v>99</v>
      </c>
      <c r="O1087" s="2" t="s">
        <v>17</v>
      </c>
      <c r="P1087" s="2">
        <v>426.49715504978661</v>
      </c>
      <c r="Q1087" s="2">
        <v>4.3469125714952733E-2</v>
      </c>
    </row>
    <row r="1088" spans="1:17" ht="14.25" customHeight="1">
      <c r="A1088" s="2" t="s">
        <v>15</v>
      </c>
      <c r="B1088" s="2">
        <v>1969</v>
      </c>
      <c r="C1088" s="2" t="s">
        <v>37</v>
      </c>
      <c r="D1088" s="3">
        <v>903.42410079252181</v>
      </c>
      <c r="E1088" s="3">
        <v>74.222718959561064</v>
      </c>
      <c r="F1088" s="3">
        <v>184.4645397276976</v>
      </c>
      <c r="G1088" s="3">
        <v>8.8712501459087212E-2</v>
      </c>
      <c r="I1088" s="3"/>
      <c r="J1088" s="3"/>
      <c r="K1088" s="3"/>
      <c r="N1088" s="4" t="s">
        <v>99</v>
      </c>
      <c r="O1088" s="2" t="s">
        <v>17</v>
      </c>
      <c r="P1088" s="2">
        <v>442.67780938833567</v>
      </c>
      <c r="Q1088" s="2">
        <v>4.3469125714952733E-2</v>
      </c>
    </row>
    <row r="1089" spans="1:17" ht="14.25" customHeight="1">
      <c r="A1089" s="2" t="s">
        <v>15</v>
      </c>
      <c r="B1089" s="2">
        <v>1970</v>
      </c>
      <c r="C1089" s="2" t="s">
        <v>37</v>
      </c>
      <c r="D1089" s="3">
        <v>918.66490550701076</v>
      </c>
      <c r="E1089" s="3">
        <v>106.17760617760617</v>
      </c>
      <c r="F1089" s="3">
        <v>170.03657793131475</v>
      </c>
      <c r="G1089" s="3">
        <v>0.30517100501925992</v>
      </c>
      <c r="I1089" s="3"/>
      <c r="J1089" s="3"/>
      <c r="K1089" s="3"/>
      <c r="N1089" s="4" t="s">
        <v>99</v>
      </c>
      <c r="O1089" s="2" t="s">
        <v>17</v>
      </c>
      <c r="P1089" s="2">
        <v>450.14580369843526</v>
      </c>
      <c r="Q1089" s="2">
        <v>0.14953379245943735</v>
      </c>
    </row>
    <row r="1090" spans="1:17" ht="14.25" customHeight="1">
      <c r="A1090" s="2" t="s">
        <v>15</v>
      </c>
      <c r="B1090" s="2">
        <v>1971</v>
      </c>
      <c r="C1090" s="2" t="s">
        <v>37</v>
      </c>
      <c r="D1090" s="3">
        <v>921.15423694371054</v>
      </c>
      <c r="E1090" s="3">
        <v>112.52794147530989</v>
      </c>
      <c r="F1090" s="3">
        <v>159.46961999593577</v>
      </c>
      <c r="G1090" s="3">
        <v>0.36904400606980281</v>
      </c>
      <c r="I1090" s="3"/>
      <c r="J1090" s="3"/>
      <c r="K1090" s="3"/>
      <c r="N1090" s="4" t="s">
        <v>99</v>
      </c>
      <c r="O1090" s="2" t="s">
        <v>17</v>
      </c>
      <c r="P1090" s="2">
        <v>451.36557610241817</v>
      </c>
      <c r="Q1090" s="2">
        <v>0.18083156297420339</v>
      </c>
    </row>
    <row r="1091" spans="1:17" ht="14.25" customHeight="1">
      <c r="A1091" s="2" t="s">
        <v>15</v>
      </c>
      <c r="B1091" s="2">
        <v>1972</v>
      </c>
      <c r="C1091" s="2" t="s">
        <v>37</v>
      </c>
      <c r="D1091" s="3">
        <v>895.54968502336919</v>
      </c>
      <c r="E1091" s="3">
        <v>111.5118878276773</v>
      </c>
      <c r="F1091" s="3">
        <v>178.57142857142856</v>
      </c>
      <c r="G1091" s="3">
        <v>0.18895762810785574</v>
      </c>
      <c r="I1091" s="3"/>
      <c r="J1091" s="3"/>
      <c r="K1091" s="3"/>
      <c r="N1091" s="4" t="s">
        <v>99</v>
      </c>
      <c r="O1091" s="2" t="s">
        <v>17</v>
      </c>
      <c r="P1091" s="2">
        <v>438.81934566145088</v>
      </c>
      <c r="Q1091" s="2">
        <v>9.2589237772849317E-2</v>
      </c>
    </row>
    <row r="1092" spans="1:17" ht="14.25" customHeight="1">
      <c r="A1092" s="2" t="s">
        <v>15</v>
      </c>
      <c r="B1092" s="2">
        <v>1973</v>
      </c>
      <c r="C1092" s="2" t="s">
        <v>37</v>
      </c>
      <c r="D1092" s="3">
        <v>942.49136354399502</v>
      </c>
      <c r="E1092" s="3">
        <v>156.77707782970941</v>
      </c>
      <c r="F1092" s="3">
        <v>188.47795163584635</v>
      </c>
      <c r="G1092" s="3">
        <v>0.35573713085093972</v>
      </c>
      <c r="I1092" s="3"/>
      <c r="J1092" s="3"/>
      <c r="K1092" s="3"/>
      <c r="N1092" s="4" t="s">
        <v>99</v>
      </c>
      <c r="O1092" s="2" t="s">
        <v>17</v>
      </c>
      <c r="P1092" s="2">
        <v>461.82076813655755</v>
      </c>
      <c r="Q1092" s="2">
        <v>0.17431119411696047</v>
      </c>
    </row>
    <row r="1093" spans="1:17" ht="14.25" customHeight="1">
      <c r="A1093" s="2" t="s">
        <v>15</v>
      </c>
      <c r="B1093" s="2">
        <v>1974</v>
      </c>
      <c r="C1093" s="2" t="s">
        <v>37</v>
      </c>
      <c r="D1093" s="3">
        <v>906.26905100589306</v>
      </c>
      <c r="E1093" s="3">
        <v>147.37858158910791</v>
      </c>
      <c r="F1093" s="3">
        <v>172.32269863848811</v>
      </c>
      <c r="G1093" s="3">
        <v>0.492354383097934</v>
      </c>
      <c r="I1093" s="3"/>
      <c r="J1093" s="3"/>
      <c r="K1093" s="3"/>
      <c r="N1093" s="4" t="s">
        <v>99</v>
      </c>
      <c r="O1093" s="2" t="s">
        <v>17</v>
      </c>
      <c r="P1093" s="2">
        <v>444.0718349928876</v>
      </c>
      <c r="Q1093" s="2">
        <v>0.24125364771798766</v>
      </c>
    </row>
    <row r="1094" spans="1:17" ht="14.25" customHeight="1">
      <c r="A1094" s="2" t="s">
        <v>15</v>
      </c>
      <c r="B1094" s="2">
        <v>1975</v>
      </c>
      <c r="C1094" s="2" t="s">
        <v>37</v>
      </c>
      <c r="D1094" s="3">
        <v>801.72400000000005</v>
      </c>
      <c r="E1094" s="3">
        <v>129.053</v>
      </c>
      <c r="F1094" s="3">
        <v>176.239</v>
      </c>
      <c r="G1094" s="3">
        <v>0.77446013773783129</v>
      </c>
      <c r="I1094" s="3"/>
      <c r="J1094" s="3"/>
      <c r="K1094" s="3"/>
      <c r="N1094" s="4" t="s">
        <v>99</v>
      </c>
      <c r="O1094" s="2" t="s">
        <v>17</v>
      </c>
      <c r="P1094" s="2">
        <v>392.84476000000001</v>
      </c>
      <c r="Q1094" s="2">
        <v>0.37948546749153733</v>
      </c>
    </row>
    <row r="1095" spans="1:17" ht="14.25" customHeight="1">
      <c r="A1095" s="2" t="s">
        <v>15</v>
      </c>
      <c r="B1095" s="2">
        <v>1976</v>
      </c>
      <c r="C1095" s="2" t="s">
        <v>37</v>
      </c>
      <c r="D1095" s="3">
        <v>850.74800000000005</v>
      </c>
      <c r="E1095" s="3">
        <v>130.72999999999999</v>
      </c>
      <c r="F1095" s="3">
        <v>179.07499999999999</v>
      </c>
      <c r="G1095" s="3">
        <v>0.60679350998015635</v>
      </c>
      <c r="I1095" s="3"/>
      <c r="J1095" s="3"/>
      <c r="K1095" s="3"/>
      <c r="N1095" s="4" t="s">
        <v>101</v>
      </c>
      <c r="O1095" s="2" t="s">
        <v>17</v>
      </c>
      <c r="P1095" s="2">
        <v>416.86652000000004</v>
      </c>
      <c r="Q1095" s="2">
        <v>0.2973288198902766</v>
      </c>
    </row>
    <row r="1096" spans="1:17" ht="14.25" customHeight="1">
      <c r="A1096" s="2" t="s">
        <v>15</v>
      </c>
      <c r="B1096" s="2">
        <v>1977</v>
      </c>
      <c r="C1096" s="2" t="s">
        <v>37</v>
      </c>
      <c r="D1096" s="3">
        <v>838.69600000000003</v>
      </c>
      <c r="E1096" s="3">
        <v>142.80199999999999</v>
      </c>
      <c r="F1096" s="3">
        <v>181.96</v>
      </c>
      <c r="G1096" s="3">
        <v>0.51896813353566007</v>
      </c>
      <c r="I1096" s="3"/>
      <c r="J1096" s="3"/>
      <c r="K1096" s="3"/>
      <c r="N1096" s="4" t="s">
        <v>101</v>
      </c>
      <c r="O1096" s="2" t="s">
        <v>17</v>
      </c>
      <c r="P1096" s="2">
        <v>410.96104000000003</v>
      </c>
      <c r="Q1096" s="2">
        <v>0.2542943854324734</v>
      </c>
    </row>
    <row r="1097" spans="1:17" ht="14.25" customHeight="1">
      <c r="A1097" s="2" t="s">
        <v>15</v>
      </c>
      <c r="B1097" s="2">
        <v>1978</v>
      </c>
      <c r="C1097" s="2" t="s">
        <v>37</v>
      </c>
      <c r="D1097" s="3">
        <v>887.47799999999995</v>
      </c>
      <c r="E1097" s="3">
        <v>332.29399999999998</v>
      </c>
      <c r="F1097" s="3">
        <v>230.40700000000001</v>
      </c>
      <c r="G1097" s="3">
        <v>0.77889576281078565</v>
      </c>
      <c r="I1097" s="3"/>
      <c r="J1097" s="3"/>
      <c r="K1097" s="3"/>
      <c r="N1097" s="4" t="s">
        <v>101</v>
      </c>
      <c r="O1097" s="2" t="s">
        <v>17</v>
      </c>
      <c r="P1097" s="2">
        <v>434.86421999999999</v>
      </c>
      <c r="Q1097" s="2">
        <v>0.38165892377728494</v>
      </c>
    </row>
    <row r="1098" spans="1:17" ht="14.25" customHeight="1">
      <c r="A1098" s="2" t="s">
        <v>15</v>
      </c>
      <c r="B1098" s="2">
        <v>1979</v>
      </c>
      <c r="C1098" s="2" t="s">
        <v>37</v>
      </c>
      <c r="D1098" s="3">
        <v>771.84400000000005</v>
      </c>
      <c r="E1098" s="3">
        <v>345.892</v>
      </c>
      <c r="F1098" s="3">
        <v>284.42899999999997</v>
      </c>
      <c r="G1098" s="3">
        <v>2.0705497840550953</v>
      </c>
      <c r="I1098" s="3"/>
      <c r="J1098" s="3"/>
      <c r="K1098" s="3"/>
      <c r="N1098" s="4" t="s">
        <v>101</v>
      </c>
      <c r="O1098" s="2" t="s">
        <v>17</v>
      </c>
      <c r="P1098" s="2">
        <v>378.20356000000004</v>
      </c>
      <c r="Q1098" s="2">
        <v>1.0145693941869967</v>
      </c>
    </row>
    <row r="1099" spans="1:17" ht="14.25" customHeight="1">
      <c r="A1099" s="2" t="s">
        <v>15</v>
      </c>
      <c r="B1099" s="2">
        <v>1980</v>
      </c>
      <c r="C1099" s="2" t="s">
        <v>37</v>
      </c>
      <c r="D1099" s="3">
        <v>689.096</v>
      </c>
      <c r="E1099" s="3">
        <v>337.01</v>
      </c>
      <c r="F1099" s="3">
        <v>307.37400000000002</v>
      </c>
      <c r="G1099" s="3">
        <v>2.5061281662192134</v>
      </c>
      <c r="I1099" s="3"/>
      <c r="J1099" s="3"/>
      <c r="K1099" s="3"/>
      <c r="N1099" s="4" t="s">
        <v>101</v>
      </c>
      <c r="O1099" s="2" t="s">
        <v>17</v>
      </c>
      <c r="P1099" s="2">
        <v>337.65703999999999</v>
      </c>
      <c r="Q1099" s="2">
        <v>1.2280028014474145</v>
      </c>
    </row>
    <row r="1100" spans="1:17" ht="14.25" customHeight="1">
      <c r="A1100" s="2" t="s">
        <v>15</v>
      </c>
      <c r="B1100" s="2">
        <v>1981</v>
      </c>
      <c r="C1100" s="2" t="s">
        <v>37</v>
      </c>
      <c r="D1100" s="3">
        <v>681.01</v>
      </c>
      <c r="E1100" s="3">
        <v>301.54399999999998</v>
      </c>
      <c r="F1100" s="3">
        <v>315.67700000000002</v>
      </c>
      <c r="G1100" s="3">
        <v>3.552048558421852</v>
      </c>
      <c r="I1100" s="3"/>
      <c r="J1100" s="3"/>
      <c r="K1100" s="3"/>
      <c r="N1100" s="4" t="s">
        <v>101</v>
      </c>
      <c r="O1100" s="2" t="s">
        <v>17</v>
      </c>
      <c r="P1100" s="2">
        <v>333.69489999999996</v>
      </c>
      <c r="Q1100" s="2">
        <v>1.7405037936267074</v>
      </c>
    </row>
    <row r="1101" spans="1:17" ht="14.25" customHeight="1">
      <c r="A1101" s="2" t="s">
        <v>15</v>
      </c>
      <c r="B1101" s="2">
        <v>1982</v>
      </c>
      <c r="C1101" s="2" t="s">
        <v>37</v>
      </c>
      <c r="D1101" s="3">
        <v>709.68799999999999</v>
      </c>
      <c r="E1101" s="3">
        <v>239.57400000000001</v>
      </c>
      <c r="F1101" s="3">
        <v>290.00599999999997</v>
      </c>
      <c r="G1101" s="3">
        <v>10.599369674331738</v>
      </c>
      <c r="I1101" s="3"/>
      <c r="J1101" s="3"/>
      <c r="K1101" s="3"/>
      <c r="N1101" s="4" t="s">
        <v>101</v>
      </c>
      <c r="O1101" s="2" t="s">
        <v>17</v>
      </c>
      <c r="P1101" s="2">
        <v>347.74712</v>
      </c>
      <c r="Q1101" s="2">
        <v>5.1936911404225521</v>
      </c>
    </row>
    <row r="1102" spans="1:17" ht="14.25" customHeight="1">
      <c r="A1102" s="2" t="s">
        <v>15</v>
      </c>
      <c r="B1102" s="2">
        <v>1983</v>
      </c>
      <c r="C1102" s="2" t="s">
        <v>37</v>
      </c>
      <c r="D1102" s="3">
        <v>676.24199999999996</v>
      </c>
      <c r="E1102" s="3">
        <v>324.86</v>
      </c>
      <c r="F1102" s="3">
        <v>306.07499999999999</v>
      </c>
      <c r="G1102" s="3">
        <v>10.321699544764796</v>
      </c>
      <c r="I1102" s="3"/>
      <c r="J1102" s="3"/>
      <c r="K1102" s="3"/>
      <c r="N1102" s="4" t="s">
        <v>101</v>
      </c>
      <c r="O1102" s="2" t="s">
        <v>17</v>
      </c>
      <c r="P1102" s="2">
        <v>331.35857999999996</v>
      </c>
      <c r="Q1102" s="2">
        <v>5.0576327769347502</v>
      </c>
    </row>
    <row r="1103" spans="1:17" ht="14.25" customHeight="1">
      <c r="A1103" s="2" t="s">
        <v>15</v>
      </c>
      <c r="B1103" s="2">
        <v>1984</v>
      </c>
      <c r="C1103" s="2" t="s">
        <v>37</v>
      </c>
      <c r="D1103" s="3">
        <v>661.04700000000003</v>
      </c>
      <c r="E1103" s="3">
        <v>254.79900000000001</v>
      </c>
      <c r="F1103" s="3">
        <v>317.37700000000001</v>
      </c>
      <c r="G1103" s="3">
        <v>14.624255865530525</v>
      </c>
      <c r="I1103" s="3"/>
      <c r="J1103" s="3"/>
      <c r="K1103" s="3"/>
      <c r="N1103" s="4" t="s">
        <v>101</v>
      </c>
      <c r="O1103" s="2" t="s">
        <v>17</v>
      </c>
      <c r="P1103" s="2">
        <v>323.91302999999999</v>
      </c>
      <c r="Q1103" s="2">
        <v>7.1658853741099575</v>
      </c>
    </row>
    <row r="1104" spans="1:17" ht="14.25" customHeight="1">
      <c r="A1104" s="2" t="s">
        <v>15</v>
      </c>
      <c r="B1104" s="2">
        <v>1985</v>
      </c>
      <c r="C1104" s="2" t="s">
        <v>37</v>
      </c>
      <c r="D1104" s="3">
        <v>687.22299999999996</v>
      </c>
      <c r="E1104" s="3">
        <v>258.49</v>
      </c>
      <c r="F1104" s="3">
        <v>337.53</v>
      </c>
      <c r="G1104" s="3">
        <v>16.657546398972805</v>
      </c>
      <c r="I1104" s="3"/>
      <c r="J1104" s="3"/>
      <c r="K1104" s="3"/>
      <c r="N1104" s="4" t="s">
        <v>101</v>
      </c>
      <c r="O1104" s="2" t="s">
        <v>17</v>
      </c>
      <c r="P1104" s="2">
        <v>336.73926999999998</v>
      </c>
      <c r="Q1104" s="2">
        <v>8.1621977354966742</v>
      </c>
    </row>
    <row r="1105" spans="1:18" ht="14.25" customHeight="1">
      <c r="A1105" s="2" t="s">
        <v>15</v>
      </c>
      <c r="B1105" s="2">
        <v>1986</v>
      </c>
      <c r="C1105" s="2" t="s">
        <v>37</v>
      </c>
      <c r="D1105" s="3">
        <v>629.88199999999995</v>
      </c>
      <c r="E1105" s="3">
        <v>294.70999999999998</v>
      </c>
      <c r="F1105" s="3">
        <v>360.86599999999999</v>
      </c>
      <c r="G1105" s="3">
        <v>19.700385199019497</v>
      </c>
      <c r="I1105" s="3"/>
      <c r="J1105" s="3"/>
      <c r="K1105" s="3"/>
      <c r="N1105" s="4" t="s">
        <v>101</v>
      </c>
      <c r="O1105" s="2" t="s">
        <v>17</v>
      </c>
      <c r="P1105" s="2">
        <v>308.64218</v>
      </c>
      <c r="Q1105" s="2">
        <v>9.6531887475195539</v>
      </c>
    </row>
    <row r="1106" spans="1:18" ht="14.25" customHeight="1">
      <c r="A1106" s="2" t="s">
        <v>15</v>
      </c>
      <c r="B1106" s="2">
        <v>1987</v>
      </c>
      <c r="C1106" s="2" t="s">
        <v>37</v>
      </c>
      <c r="D1106" s="3">
        <v>679.29700000000003</v>
      </c>
      <c r="E1106" s="3">
        <v>291.87</v>
      </c>
      <c r="F1106" s="3">
        <v>364.714</v>
      </c>
      <c r="G1106" s="3">
        <v>23.772289015991596</v>
      </c>
      <c r="I1106" s="3"/>
      <c r="J1106" s="3"/>
      <c r="K1106" s="3"/>
      <c r="N1106" s="4" t="s">
        <v>101</v>
      </c>
      <c r="O1106" s="2" t="s">
        <v>17</v>
      </c>
      <c r="P1106" s="2">
        <v>332.85552999999999</v>
      </c>
      <c r="Q1106" s="2">
        <v>11.648421617835883</v>
      </c>
    </row>
    <row r="1107" spans="1:18" ht="14.25" customHeight="1">
      <c r="A1107" s="2" t="s">
        <v>15</v>
      </c>
      <c r="B1107" s="2">
        <v>1988</v>
      </c>
      <c r="C1107" s="2" t="s">
        <v>37</v>
      </c>
      <c r="D1107" s="3">
        <v>645.52499999999998</v>
      </c>
      <c r="E1107" s="3">
        <v>273.74400000000003</v>
      </c>
      <c r="F1107" s="3">
        <v>379.779</v>
      </c>
      <c r="G1107" s="3">
        <v>29.724010738881759</v>
      </c>
      <c r="H1107" s="2">
        <v>89.777051476596256</v>
      </c>
      <c r="I1107" s="3"/>
      <c r="J1107" s="3"/>
      <c r="K1107" s="3"/>
      <c r="N1107" s="4" t="s">
        <v>101</v>
      </c>
      <c r="O1107" s="2" t="s">
        <v>17</v>
      </c>
      <c r="P1107" s="2">
        <v>316.30725000000001</v>
      </c>
      <c r="Q1107" s="2">
        <v>14.564765262052061</v>
      </c>
      <c r="R1107" s="2">
        <v>43.990755223532162</v>
      </c>
    </row>
    <row r="1108" spans="1:18" ht="14.25" customHeight="1">
      <c r="A1108" s="2" t="s">
        <v>15</v>
      </c>
      <c r="B1108" s="2">
        <v>1989</v>
      </c>
      <c r="C1108" s="2" t="s">
        <v>37</v>
      </c>
      <c r="D1108" s="3">
        <v>580.846</v>
      </c>
      <c r="E1108" s="3">
        <v>317.58</v>
      </c>
      <c r="F1108" s="3">
        <v>418.27100000000002</v>
      </c>
      <c r="G1108" s="3">
        <v>41.104937551068055</v>
      </c>
      <c r="H1108" s="2">
        <v>81.792926345278403</v>
      </c>
      <c r="I1108" s="3"/>
      <c r="J1108" s="3"/>
      <c r="K1108" s="3"/>
      <c r="N1108" s="4" t="s">
        <v>101</v>
      </c>
      <c r="O1108" s="2" t="s">
        <v>17</v>
      </c>
      <c r="P1108" s="2">
        <v>284.61453999999998</v>
      </c>
      <c r="Q1108" s="2">
        <v>20.141419400023345</v>
      </c>
      <c r="R1108" s="2">
        <v>40.078533909186419</v>
      </c>
    </row>
    <row r="1109" spans="1:18" ht="14.25" customHeight="1">
      <c r="A1109" s="2" t="s">
        <v>15</v>
      </c>
      <c r="B1109" s="2">
        <v>1990</v>
      </c>
      <c r="C1109" s="2" t="s">
        <v>37</v>
      </c>
      <c r="D1109" s="3">
        <v>528.36699999999996</v>
      </c>
      <c r="E1109" s="3">
        <v>287.59500000000003</v>
      </c>
      <c r="F1109" s="3">
        <v>432.89400000000001</v>
      </c>
      <c r="G1109" s="3">
        <v>41.87496206373293</v>
      </c>
      <c r="H1109" s="2">
        <v>88.535076456169023</v>
      </c>
      <c r="I1109" s="3"/>
      <c r="J1109" s="3"/>
      <c r="K1109" s="3"/>
      <c r="N1109" s="4" t="s">
        <v>101</v>
      </c>
      <c r="O1109" s="2" t="s">
        <v>17</v>
      </c>
      <c r="P1109" s="2">
        <v>258.89982999999995</v>
      </c>
      <c r="Q1109" s="2">
        <v>20.518731411229137</v>
      </c>
      <c r="R1109" s="2">
        <v>43.382187463522818</v>
      </c>
    </row>
    <row r="1110" spans="1:18" ht="14.25" customHeight="1">
      <c r="A1110" s="2" t="s">
        <v>15</v>
      </c>
      <c r="B1110" s="2">
        <v>1991</v>
      </c>
      <c r="C1110" s="2" t="s">
        <v>37</v>
      </c>
      <c r="D1110" s="3">
        <v>467.51488268938954</v>
      </c>
      <c r="E1110" s="3">
        <v>332.327</v>
      </c>
      <c r="F1110" s="3">
        <v>415.38499999999999</v>
      </c>
      <c r="G1110" s="3">
        <v>49.00567293101436</v>
      </c>
      <c r="H1110" s="2">
        <v>119.49573946539044</v>
      </c>
      <c r="I1110" s="3"/>
      <c r="J1110" s="3"/>
      <c r="K1110" s="3"/>
      <c r="N1110" s="4" t="s">
        <v>101</v>
      </c>
      <c r="O1110" s="2" t="s">
        <v>17</v>
      </c>
      <c r="P1110" s="2">
        <v>229.08229251780088</v>
      </c>
      <c r="Q1110" s="2">
        <v>24.012779736197036</v>
      </c>
      <c r="R1110" s="2">
        <v>58.552912338041317</v>
      </c>
    </row>
    <row r="1111" spans="1:18" ht="14.25" customHeight="1">
      <c r="A1111" s="2" t="s">
        <v>15</v>
      </c>
      <c r="B1111" s="2">
        <v>1992</v>
      </c>
      <c r="C1111" s="2" t="s">
        <v>37</v>
      </c>
      <c r="D1111" s="3">
        <v>479.93463289366173</v>
      </c>
      <c r="E1111" s="3">
        <v>342.99799999999999</v>
      </c>
      <c r="F1111" s="3">
        <v>418.58</v>
      </c>
      <c r="G1111" s="3">
        <v>45.950414380763398</v>
      </c>
      <c r="H1111" s="2">
        <v>142.64970234621222</v>
      </c>
      <c r="I1111" s="3"/>
      <c r="J1111" s="3"/>
      <c r="K1111" s="3"/>
      <c r="N1111" s="4" t="s">
        <v>101</v>
      </c>
      <c r="O1111" s="2" t="s">
        <v>17</v>
      </c>
      <c r="P1111" s="2">
        <v>235.16797011789424</v>
      </c>
      <c r="Q1111" s="2">
        <v>22.515703046574064</v>
      </c>
      <c r="R1111" s="2">
        <v>69.898354149643993</v>
      </c>
    </row>
    <row r="1112" spans="1:18" ht="14.25" customHeight="1">
      <c r="A1112" s="2" t="s">
        <v>15</v>
      </c>
      <c r="B1112" s="2">
        <v>1993</v>
      </c>
      <c r="C1112" s="2" t="s">
        <v>37</v>
      </c>
      <c r="D1112" s="3">
        <v>510.71787089996508</v>
      </c>
      <c r="E1112" s="3">
        <v>314.67099999999999</v>
      </c>
      <c r="F1112" s="3">
        <v>379.72500000000002</v>
      </c>
      <c r="G1112" s="3">
        <v>56.195821174273384</v>
      </c>
      <c r="H1112" s="2">
        <v>157.19855258550254</v>
      </c>
      <c r="I1112" s="3"/>
      <c r="J1112" s="3"/>
      <c r="K1112" s="3"/>
      <c r="N1112" s="4" t="s">
        <v>101</v>
      </c>
      <c r="O1112" s="2" t="s">
        <v>17</v>
      </c>
      <c r="P1112" s="2">
        <v>250.25175674098287</v>
      </c>
      <c r="Q1112" s="2">
        <v>27.535952375393958</v>
      </c>
      <c r="R1112" s="2">
        <v>77.027290766896243</v>
      </c>
    </row>
    <row r="1113" spans="1:18" ht="14.25" customHeight="1">
      <c r="A1113" s="2" t="s">
        <v>15</v>
      </c>
      <c r="B1113" s="2">
        <v>1994</v>
      </c>
      <c r="C1113" s="2" t="s">
        <v>37</v>
      </c>
      <c r="D1113" s="3">
        <v>511.40273141122913</v>
      </c>
      <c r="E1113" s="3">
        <v>306.35700000000003</v>
      </c>
      <c r="F1113" s="3">
        <v>388.14299999999997</v>
      </c>
      <c r="G1113" s="3">
        <v>71.531551301505772</v>
      </c>
      <c r="H1113" s="2">
        <v>163.20314695926231</v>
      </c>
      <c r="I1113" s="3"/>
      <c r="J1113" s="3"/>
      <c r="K1113" s="3"/>
      <c r="N1113" s="4" t="s">
        <v>101</v>
      </c>
      <c r="O1113" s="2" t="s">
        <v>17</v>
      </c>
      <c r="P1113" s="2">
        <v>250.58733839150227</v>
      </c>
      <c r="Q1113" s="2">
        <v>35.050460137737829</v>
      </c>
      <c r="R1113" s="2">
        <v>79.969542010038538</v>
      </c>
    </row>
    <row r="1114" spans="1:18" ht="14.25" customHeight="1">
      <c r="A1114" s="2" t="s">
        <v>15</v>
      </c>
      <c r="B1114" s="2">
        <v>1995</v>
      </c>
      <c r="C1114" s="2" t="s">
        <v>37</v>
      </c>
      <c r="D1114" s="3">
        <v>533.15769814404109</v>
      </c>
      <c r="E1114" s="3">
        <v>290.82499999999999</v>
      </c>
      <c r="F1114" s="3">
        <v>414.24700000000001</v>
      </c>
      <c r="G1114" s="3">
        <v>77.125761643515816</v>
      </c>
      <c r="H1114" s="2">
        <v>160.79795215127817</v>
      </c>
      <c r="I1114" s="3"/>
      <c r="J1114" s="3"/>
      <c r="K1114" s="3"/>
      <c r="N1114" s="4" t="s">
        <v>101</v>
      </c>
      <c r="O1114" s="2" t="s">
        <v>17</v>
      </c>
      <c r="P1114" s="2">
        <v>261.24727209058011</v>
      </c>
      <c r="Q1114" s="2">
        <v>37.79162320532275</v>
      </c>
      <c r="R1114" s="2">
        <v>78.790996554126295</v>
      </c>
    </row>
    <row r="1115" spans="1:18" ht="14.25" customHeight="1">
      <c r="A1115" s="2" t="s">
        <v>15</v>
      </c>
      <c r="B1115" s="2">
        <v>1996</v>
      </c>
      <c r="C1115" s="2" t="s">
        <v>37</v>
      </c>
      <c r="D1115" s="3">
        <v>447.37537060814759</v>
      </c>
      <c r="E1115" s="3">
        <v>235.03200000000001</v>
      </c>
      <c r="F1115" s="3">
        <v>458.26900000000001</v>
      </c>
      <c r="G1115" s="3">
        <v>88.850005836348785</v>
      </c>
      <c r="H1115" s="2">
        <v>219.41686463873003</v>
      </c>
      <c r="I1115" s="3"/>
      <c r="J1115" s="3"/>
      <c r="K1115" s="3"/>
      <c r="N1115" s="4" t="s">
        <v>101</v>
      </c>
      <c r="O1115" s="2" t="s">
        <v>17</v>
      </c>
      <c r="P1115" s="2">
        <v>219.21393159799231</v>
      </c>
      <c r="Q1115" s="2">
        <v>43.536502859810902</v>
      </c>
      <c r="R1115" s="2">
        <v>107.51426367297772</v>
      </c>
    </row>
    <row r="1116" spans="1:18" ht="14.25" customHeight="1">
      <c r="A1116" s="2" t="s">
        <v>15</v>
      </c>
      <c r="B1116" s="2">
        <v>1997</v>
      </c>
      <c r="C1116" s="2" t="s">
        <v>37</v>
      </c>
      <c r="D1116" s="3">
        <v>414.45948406676786</v>
      </c>
      <c r="E1116" s="3">
        <v>234.21799999999999</v>
      </c>
      <c r="F1116" s="3">
        <v>448.83</v>
      </c>
      <c r="G1116" s="3">
        <v>102.34938718337808</v>
      </c>
      <c r="H1116" s="2">
        <v>250.16466599276296</v>
      </c>
      <c r="I1116" s="3"/>
      <c r="J1116" s="3"/>
      <c r="K1116" s="3"/>
      <c r="N1116" s="4" t="s">
        <v>101</v>
      </c>
      <c r="O1116" s="2" t="s">
        <v>17</v>
      </c>
      <c r="P1116" s="2">
        <v>203.08514719271625</v>
      </c>
      <c r="Q1116" s="2">
        <v>50.151199719855263</v>
      </c>
      <c r="R1116" s="2">
        <v>122.58068633645385</v>
      </c>
    </row>
    <row r="1117" spans="1:18" ht="14.25" customHeight="1">
      <c r="A1117" s="2" t="s">
        <v>15</v>
      </c>
      <c r="B1117" s="2">
        <v>1998</v>
      </c>
      <c r="C1117" s="2" t="s">
        <v>37</v>
      </c>
      <c r="D1117" s="3">
        <v>379.88556087311781</v>
      </c>
      <c r="E1117" s="3">
        <v>266.65300000000002</v>
      </c>
      <c r="F1117" s="3">
        <v>443.59300000000002</v>
      </c>
      <c r="G1117" s="3">
        <v>113.09069686004436</v>
      </c>
      <c r="H1117" s="2">
        <v>321.863373292868</v>
      </c>
      <c r="I1117" s="3"/>
      <c r="J1117" s="3"/>
      <c r="K1117" s="3"/>
      <c r="N1117" s="4" t="s">
        <v>101</v>
      </c>
      <c r="O1117" s="2" t="s">
        <v>17</v>
      </c>
      <c r="P1117" s="2">
        <v>186.14392482782773</v>
      </c>
      <c r="Q1117" s="2">
        <v>55.414441461421738</v>
      </c>
      <c r="R1117" s="2">
        <v>157.71305291350532</v>
      </c>
    </row>
    <row r="1118" spans="1:18" ht="14.25" customHeight="1">
      <c r="A1118" s="2" t="s">
        <v>15</v>
      </c>
      <c r="B1118" s="2">
        <v>1999</v>
      </c>
      <c r="C1118" s="2" t="s">
        <v>37</v>
      </c>
      <c r="D1118" s="3">
        <v>345.78270106221549</v>
      </c>
      <c r="E1118" s="3">
        <v>271.24</v>
      </c>
      <c r="F1118" s="3">
        <v>464.27800000000002</v>
      </c>
      <c r="G1118" s="3">
        <v>127.65640247461189</v>
      </c>
      <c r="H1118" s="2">
        <v>286.21598935449987</v>
      </c>
      <c r="I1118" s="3"/>
      <c r="J1118" s="3"/>
      <c r="K1118" s="3"/>
      <c r="N1118" s="4" t="s">
        <v>101</v>
      </c>
      <c r="O1118" s="2" t="s">
        <v>17</v>
      </c>
      <c r="P1118" s="2">
        <v>169.43352352048558</v>
      </c>
      <c r="Q1118" s="2">
        <v>62.551637212559825</v>
      </c>
      <c r="R1118" s="2">
        <v>140.24583478370494</v>
      </c>
    </row>
    <row r="1119" spans="1:18" ht="14.25" customHeight="1">
      <c r="A1119" s="2" t="s">
        <v>15</v>
      </c>
      <c r="B1119" s="2">
        <v>2000</v>
      </c>
      <c r="C1119" s="2" t="s">
        <v>37</v>
      </c>
      <c r="D1119" s="3">
        <v>299.50582467608268</v>
      </c>
      <c r="E1119" s="3">
        <v>278.06900000000002</v>
      </c>
      <c r="F1119" s="3">
        <v>456.28100000000001</v>
      </c>
      <c r="G1119" s="3">
        <v>124.27823041904986</v>
      </c>
      <c r="H1119" s="2">
        <v>244.13897924594374</v>
      </c>
      <c r="I1119" s="3"/>
      <c r="J1119" s="3"/>
      <c r="K1119" s="3"/>
      <c r="N1119" s="4" t="s">
        <v>101</v>
      </c>
      <c r="O1119" s="2" t="s">
        <v>17</v>
      </c>
      <c r="P1119" s="2">
        <v>146.75785409128051</v>
      </c>
      <c r="Q1119" s="2">
        <v>60.896332905334432</v>
      </c>
      <c r="R1119" s="2">
        <v>119.62809983051243</v>
      </c>
    </row>
    <row r="1120" spans="1:18" ht="14.25" customHeight="1">
      <c r="A1120" s="2" t="s">
        <v>15</v>
      </c>
      <c r="B1120" s="2">
        <v>2001</v>
      </c>
      <c r="C1120" s="2" t="s">
        <v>37</v>
      </c>
      <c r="D1120" s="3">
        <v>285.82014707598927</v>
      </c>
      <c r="E1120" s="3">
        <v>293.71699999999998</v>
      </c>
      <c r="F1120" s="3">
        <v>524.35299999999995</v>
      </c>
      <c r="G1120" s="3">
        <v>134.84034084276877</v>
      </c>
      <c r="H1120" s="2">
        <v>241.12079719855262</v>
      </c>
      <c r="I1120" s="3"/>
      <c r="J1120" s="3"/>
      <c r="K1120" s="3"/>
      <c r="N1120" s="4" t="s">
        <v>101</v>
      </c>
      <c r="O1120" s="2" t="s">
        <v>17</v>
      </c>
      <c r="P1120" s="2">
        <v>140.05187206723474</v>
      </c>
      <c r="Q1120" s="2">
        <v>66.071767012956698</v>
      </c>
      <c r="R1120" s="2">
        <v>118.14919062729078</v>
      </c>
    </row>
    <row r="1121" spans="1:18" ht="14.25" customHeight="1">
      <c r="A1121" s="2" t="s">
        <v>15</v>
      </c>
      <c r="B1121" s="2">
        <v>2002</v>
      </c>
      <c r="C1121" s="2" t="s">
        <v>37</v>
      </c>
      <c r="D1121" s="3">
        <v>297.07598926111825</v>
      </c>
      <c r="E1121" s="3">
        <v>294.66000000000003</v>
      </c>
      <c r="F1121" s="3">
        <v>514.57299999999998</v>
      </c>
      <c r="G1121" s="3">
        <v>142.23186646433993</v>
      </c>
      <c r="H1121" s="2">
        <v>188.92580524804484</v>
      </c>
      <c r="I1121" s="3"/>
      <c r="J1121" s="3"/>
      <c r="K1121" s="3"/>
      <c r="N1121" s="4" t="s">
        <v>101</v>
      </c>
      <c r="O1121" s="2" t="s">
        <v>17</v>
      </c>
      <c r="P1121" s="2">
        <v>145.56723473794793</v>
      </c>
      <c r="Q1121" s="2">
        <v>69.693614567526566</v>
      </c>
      <c r="R1121" s="2">
        <v>92.573644571541976</v>
      </c>
    </row>
    <row r="1122" spans="1:18" ht="14.25" customHeight="1">
      <c r="A1122" s="2" t="s">
        <v>15</v>
      </c>
      <c r="B1122" s="2">
        <v>2003</v>
      </c>
      <c r="C1122" s="2" t="s">
        <v>37</v>
      </c>
      <c r="D1122" s="3">
        <v>280.16383798295789</v>
      </c>
      <c r="E1122" s="3">
        <v>371</v>
      </c>
      <c r="F1122" s="3">
        <v>521</v>
      </c>
      <c r="G1122" s="3">
        <v>143.13407260417884</v>
      </c>
      <c r="H1122" s="2">
        <v>159.53656497256918</v>
      </c>
      <c r="I1122" s="3"/>
      <c r="J1122" s="3"/>
      <c r="K1122" s="3"/>
      <c r="N1122" s="4" t="s">
        <v>101</v>
      </c>
      <c r="O1122" s="2" t="s">
        <v>17</v>
      </c>
      <c r="P1122" s="2">
        <v>137.28028061164937</v>
      </c>
      <c r="Q1122" s="2">
        <v>70.135695576047624</v>
      </c>
      <c r="R1122" s="2">
        <v>78.172916836558898</v>
      </c>
    </row>
    <row r="1123" spans="1:18" ht="14.25" customHeight="1">
      <c r="A1123" s="2" t="s">
        <v>15</v>
      </c>
      <c r="B1123" s="2">
        <v>2004</v>
      </c>
      <c r="C1123" s="2" t="s">
        <v>37</v>
      </c>
      <c r="D1123" s="3">
        <v>297.54793976888061</v>
      </c>
      <c r="E1123" s="3">
        <v>366.2</v>
      </c>
      <c r="F1123" s="3">
        <v>557.6</v>
      </c>
      <c r="G1123" s="3">
        <v>154.98340142406911</v>
      </c>
      <c r="H1123" s="2">
        <v>165.5410837632777</v>
      </c>
      <c r="I1123" s="3"/>
      <c r="J1123" s="3"/>
      <c r="K1123" s="3"/>
      <c r="N1123" s="4" t="s">
        <v>101</v>
      </c>
      <c r="O1123" s="2" t="s">
        <v>17</v>
      </c>
      <c r="P1123" s="2">
        <v>145.79849048675149</v>
      </c>
      <c r="Q1123" s="2">
        <v>75.94186669779387</v>
      </c>
      <c r="R1123" s="2">
        <v>81.115131044006077</v>
      </c>
    </row>
    <row r="1124" spans="1:18" ht="14.25" customHeight="1">
      <c r="A1124" s="2" t="s">
        <v>15</v>
      </c>
      <c r="B1124" s="2">
        <v>2005</v>
      </c>
      <c r="C1124" s="2" t="s">
        <v>37</v>
      </c>
      <c r="D1124" s="3">
        <v>326.19320649001986</v>
      </c>
      <c r="E1124" s="3">
        <v>357.5</v>
      </c>
      <c r="F1124" s="3">
        <v>604.29999999999995</v>
      </c>
      <c r="G1124" s="3">
        <v>126.86952258666979</v>
      </c>
      <c r="H1124" s="2">
        <v>184.68167418232755</v>
      </c>
      <c r="I1124" s="3"/>
      <c r="J1124" s="3"/>
      <c r="K1124" s="3"/>
      <c r="N1124" s="4" t="s">
        <v>101</v>
      </c>
      <c r="O1124" s="2" t="s">
        <v>17</v>
      </c>
      <c r="P1124" s="2">
        <v>159.83467118010972</v>
      </c>
      <c r="Q1124" s="2">
        <v>62.166066067468194</v>
      </c>
      <c r="R1124" s="2">
        <v>90.494020349340502</v>
      </c>
    </row>
    <row r="1125" spans="1:18" ht="14.25" customHeight="1">
      <c r="A1125" s="2" t="s">
        <v>15</v>
      </c>
      <c r="B1125" s="2">
        <v>2006</v>
      </c>
      <c r="C1125" s="2" t="s">
        <v>37</v>
      </c>
      <c r="D1125" s="3">
        <v>250.99871600326838</v>
      </c>
      <c r="E1125" s="3">
        <v>311.7</v>
      </c>
      <c r="F1125" s="3">
        <v>637</v>
      </c>
      <c r="G1125" s="3">
        <v>129.81655188514065</v>
      </c>
      <c r="H1125" s="2">
        <v>173.10816956227384</v>
      </c>
      <c r="I1125" s="3"/>
      <c r="J1125" s="3"/>
      <c r="K1125" s="3"/>
      <c r="N1125" s="4" t="s">
        <v>101</v>
      </c>
      <c r="O1125" s="2" t="s">
        <v>17</v>
      </c>
      <c r="P1125" s="2">
        <v>122.98937084160151</v>
      </c>
      <c r="Q1125" s="2">
        <v>63.610110423718922</v>
      </c>
      <c r="R1125" s="2">
        <v>84.823003085514188</v>
      </c>
    </row>
    <row r="1126" spans="1:18" ht="14.25" customHeight="1">
      <c r="A1126" s="2" t="s">
        <v>15</v>
      </c>
      <c r="B1126" s="2">
        <v>2007</v>
      </c>
      <c r="C1126" s="2" t="s">
        <v>37</v>
      </c>
      <c r="D1126" s="3">
        <v>265.84918874751958</v>
      </c>
      <c r="E1126" s="3">
        <v>360.1</v>
      </c>
      <c r="F1126" s="3">
        <v>628.70000000000005</v>
      </c>
      <c r="G1126" s="3">
        <v>130.74359752538811</v>
      </c>
      <c r="H1126" s="2">
        <v>147.71400931948173</v>
      </c>
      <c r="I1126" s="3"/>
      <c r="J1126" s="3"/>
      <c r="K1126" s="3"/>
      <c r="N1126" s="4" t="s">
        <v>101</v>
      </c>
      <c r="O1126" s="2" t="s">
        <v>17</v>
      </c>
      <c r="P1126" s="2">
        <v>130.26610248628458</v>
      </c>
      <c r="Q1126" s="2">
        <v>64.064362787440174</v>
      </c>
      <c r="R1126" s="2">
        <v>72.379864566546047</v>
      </c>
    </row>
    <row r="1127" spans="1:18" ht="14.25" customHeight="1">
      <c r="A1127" s="2" t="s">
        <v>15</v>
      </c>
      <c r="B1127" s="2">
        <v>2008</v>
      </c>
      <c r="C1127" s="2" t="s">
        <v>37</v>
      </c>
      <c r="D1127" s="3">
        <v>236.69471226800519</v>
      </c>
      <c r="E1127" s="3">
        <v>323.60000000000002</v>
      </c>
      <c r="F1127" s="3">
        <v>671.3</v>
      </c>
      <c r="G1127" s="3">
        <v>128.02455935566709</v>
      </c>
      <c r="H1127" s="2">
        <v>151.69837749503913</v>
      </c>
      <c r="I1127" s="3"/>
      <c r="J1127" s="3"/>
      <c r="K1127" s="3"/>
      <c r="N1127" s="4" t="s">
        <v>101</v>
      </c>
      <c r="O1127" s="2" t="s">
        <v>17</v>
      </c>
      <c r="P1127" s="2">
        <v>115.98040901132254</v>
      </c>
      <c r="Q1127" s="2">
        <v>62.732034084276876</v>
      </c>
      <c r="R1127" s="2">
        <v>74.332204972569173</v>
      </c>
    </row>
    <row r="1128" spans="1:18" ht="14.25" customHeight="1">
      <c r="A1128" s="2" t="s">
        <v>15</v>
      </c>
      <c r="B1128" s="2">
        <v>2009</v>
      </c>
      <c r="C1128" s="2" t="s">
        <v>37</v>
      </c>
      <c r="D1128" s="3">
        <v>234.10164585035605</v>
      </c>
      <c r="E1128" s="3">
        <v>383.4</v>
      </c>
      <c r="F1128" s="3">
        <v>605.29999999999995</v>
      </c>
      <c r="G1128" s="3">
        <v>142.81586086144509</v>
      </c>
      <c r="H1128" s="2">
        <v>162.29389420800749</v>
      </c>
      <c r="I1128" s="3"/>
      <c r="J1128" s="3"/>
      <c r="K1128" s="3"/>
      <c r="N1128" s="4" t="s">
        <v>101</v>
      </c>
      <c r="O1128" s="2" t="s">
        <v>17</v>
      </c>
      <c r="P1128" s="2">
        <v>114.70980646667446</v>
      </c>
      <c r="Q1128" s="2">
        <v>69.979771822108091</v>
      </c>
      <c r="R1128" s="2">
        <v>79.524008161923661</v>
      </c>
    </row>
    <row r="1129" spans="1:18" ht="14.25" customHeight="1">
      <c r="A1129" s="2" t="s">
        <v>15</v>
      </c>
      <c r="B1129" s="2">
        <v>2010</v>
      </c>
      <c r="C1129" s="2" t="s">
        <v>37</v>
      </c>
      <c r="D1129" s="3">
        <v>238.54791642348547</v>
      </c>
      <c r="E1129" s="2">
        <v>418.3</v>
      </c>
      <c r="F1129" s="2">
        <v>588.29999999999995</v>
      </c>
      <c r="G1129" s="2">
        <v>150.67312711567644</v>
      </c>
      <c r="H1129" s="2">
        <v>164.86006512431425</v>
      </c>
      <c r="I1129" s="3"/>
      <c r="J1129" s="3"/>
      <c r="K1129" s="3"/>
      <c r="N1129" s="4" t="s">
        <v>101</v>
      </c>
      <c r="O1129" s="2" t="s">
        <v>17</v>
      </c>
      <c r="P1129" s="2">
        <v>116.88847904750789</v>
      </c>
      <c r="Q1129" s="2">
        <v>73.829832286681452</v>
      </c>
      <c r="R1129" s="2">
        <v>80.78143191091398</v>
      </c>
    </row>
    <row r="1130" spans="1:18" ht="14.25" customHeight="1">
      <c r="A1130" s="2" t="s">
        <v>15</v>
      </c>
      <c r="B1130" s="2">
        <v>2011</v>
      </c>
      <c r="C1130" s="2" t="s">
        <v>37</v>
      </c>
      <c r="D1130" s="3">
        <v>224.26520368857246</v>
      </c>
      <c r="E1130" s="2">
        <v>340</v>
      </c>
      <c r="F1130" s="2">
        <v>596.9</v>
      </c>
      <c r="G1130" s="2">
        <v>152.50548383331392</v>
      </c>
      <c r="H1130" s="2">
        <v>167.81010674448467</v>
      </c>
      <c r="I1130" s="3"/>
      <c r="J1130" s="3"/>
      <c r="K1130" s="3"/>
      <c r="N1130" s="4" t="s">
        <v>101</v>
      </c>
      <c r="O1130" s="2" t="s">
        <v>17</v>
      </c>
      <c r="P1130" s="2">
        <v>109.8899498074005</v>
      </c>
      <c r="Q1130" s="2">
        <v>74.727687078323825</v>
      </c>
      <c r="R1130" s="2">
        <v>82.226952304797493</v>
      </c>
    </row>
    <row r="1131" spans="1:18" ht="14.25" customHeight="1">
      <c r="A1131" s="2" t="s">
        <v>15</v>
      </c>
      <c r="B1131" s="2">
        <v>2012</v>
      </c>
      <c r="C1131" s="2" t="s">
        <v>37</v>
      </c>
      <c r="D1131" s="3">
        <v>217.52305357768182</v>
      </c>
      <c r="E1131" s="2">
        <v>371.4</v>
      </c>
      <c r="F1131" s="2">
        <v>638.4</v>
      </c>
      <c r="G1131" s="2">
        <v>158.11699311310846</v>
      </c>
      <c r="H1131" s="2">
        <v>194.54404505661259</v>
      </c>
      <c r="I1131" s="3"/>
      <c r="J1131" s="3"/>
      <c r="K1131" s="3"/>
      <c r="N1131" s="4" t="s">
        <v>101</v>
      </c>
      <c r="O1131" s="2" t="s">
        <v>17</v>
      </c>
      <c r="P1131" s="2">
        <v>106.58629625306409</v>
      </c>
      <c r="Q1131" s="2">
        <v>77.477326625423146</v>
      </c>
      <c r="R1131" s="2">
        <v>95.32658207774017</v>
      </c>
    </row>
    <row r="1132" spans="1:18" ht="14.25" customHeight="1">
      <c r="A1132" s="2" t="s">
        <v>15</v>
      </c>
      <c r="B1132" s="2">
        <v>2013</v>
      </c>
      <c r="C1132" s="2" t="s">
        <v>37</v>
      </c>
      <c r="D1132" s="3">
        <v>228.43469125714955</v>
      </c>
      <c r="E1132" s="2">
        <v>363.8</v>
      </c>
      <c r="F1132" s="2">
        <v>621.9</v>
      </c>
      <c r="G1132" s="2">
        <v>156.97233570678185</v>
      </c>
      <c r="H1132" s="2">
        <v>189.89958108556087</v>
      </c>
      <c r="I1132" s="3"/>
      <c r="J1132" s="3"/>
      <c r="K1132" s="3"/>
      <c r="N1132" s="4" t="s">
        <v>101</v>
      </c>
      <c r="O1132" s="2" t="s">
        <v>17</v>
      </c>
      <c r="P1132" s="2">
        <v>111.93299871600328</v>
      </c>
      <c r="Q1132" s="2">
        <v>76.916444496323109</v>
      </c>
      <c r="R1132" s="2">
        <v>93.050794731924825</v>
      </c>
    </row>
    <row r="1133" spans="1:18" ht="14.25" customHeight="1">
      <c r="A1133" s="2" t="s">
        <v>15</v>
      </c>
      <c r="B1133" s="2">
        <v>2014</v>
      </c>
      <c r="C1133" s="2" t="s">
        <v>37</v>
      </c>
      <c r="D1133" s="3">
        <v>273.50064199836584</v>
      </c>
      <c r="E1133" s="2">
        <v>417.4</v>
      </c>
      <c r="F1133" s="2">
        <v>601.9</v>
      </c>
      <c r="G1133" s="2">
        <v>171.29377144858179</v>
      </c>
      <c r="H1133" s="2">
        <v>266.11853720088715</v>
      </c>
      <c r="I1133" s="3"/>
      <c r="J1133" s="3"/>
      <c r="K1133" s="3"/>
      <c r="N1133" s="4" t="s">
        <v>101</v>
      </c>
      <c r="O1133" s="2" t="s">
        <v>17</v>
      </c>
      <c r="P1133" s="2">
        <v>134.01531457919927</v>
      </c>
      <c r="Q1133" s="2">
        <v>83.933948009805079</v>
      </c>
      <c r="R1133" s="2">
        <v>130.3980832284347</v>
      </c>
    </row>
    <row r="1134" spans="1:18" ht="14.25" customHeight="1">
      <c r="A1134" s="2" t="s">
        <v>15</v>
      </c>
      <c r="B1134" s="2">
        <v>2015</v>
      </c>
      <c r="C1134" s="2" t="s">
        <v>37</v>
      </c>
      <c r="D1134" s="3">
        <v>243.78195400957165</v>
      </c>
      <c r="E1134" s="2">
        <v>361.2</v>
      </c>
      <c r="F1134" s="2">
        <v>570.20000000000005</v>
      </c>
      <c r="G1134" s="2">
        <v>166.41784582701061</v>
      </c>
      <c r="H1134" s="2">
        <v>252.03221664526677</v>
      </c>
      <c r="I1134" s="3"/>
      <c r="J1134" s="3"/>
      <c r="K1134" s="3"/>
      <c r="N1134" s="4" t="s">
        <v>101</v>
      </c>
      <c r="O1134" s="2" t="s">
        <v>17</v>
      </c>
      <c r="P1134" s="2">
        <v>119.45315746469011</v>
      </c>
      <c r="Q1134" s="2">
        <v>81.544744455235204</v>
      </c>
      <c r="R1134" s="2">
        <v>123.49578615618071</v>
      </c>
    </row>
    <row r="1135" spans="1:18" ht="14.25" customHeight="1">
      <c r="A1135" s="2" t="s">
        <v>15</v>
      </c>
      <c r="B1135" s="2">
        <v>2016</v>
      </c>
      <c r="C1135" s="2" t="s">
        <v>37</v>
      </c>
      <c r="D1135" s="3">
        <v>268.44402941519792</v>
      </c>
      <c r="E1135" s="2">
        <v>350.5</v>
      </c>
      <c r="F1135" s="2">
        <v>610.9</v>
      </c>
      <c r="G1135" s="2">
        <v>157.55690318664645</v>
      </c>
      <c r="H1135" s="2">
        <v>219.65215361269989</v>
      </c>
      <c r="I1135" s="3"/>
      <c r="J1135" s="3"/>
      <c r="K1135" s="3"/>
      <c r="N1135" s="4" t="s">
        <v>101</v>
      </c>
      <c r="O1135" s="2" t="s">
        <v>17</v>
      </c>
      <c r="P1135" s="2">
        <v>131.53757441344698</v>
      </c>
      <c r="Q1135" s="2">
        <v>77.202882561456761</v>
      </c>
      <c r="R1135" s="2">
        <v>107.62955527022295</v>
      </c>
    </row>
    <row r="1136" spans="1:18" ht="14.25" customHeight="1">
      <c r="A1136" s="2" t="s">
        <v>15</v>
      </c>
      <c r="B1136" s="2">
        <v>2017</v>
      </c>
      <c r="C1136" s="2" t="s">
        <v>37</v>
      </c>
      <c r="D1136" s="3">
        <v>264.09711684370262</v>
      </c>
      <c r="E1136" s="2">
        <v>373.7</v>
      </c>
      <c r="F1136" s="2">
        <v>590.5</v>
      </c>
      <c r="G1136" s="2">
        <v>181.06135496673284</v>
      </c>
      <c r="H1136" s="2">
        <v>247.86272907668962</v>
      </c>
      <c r="I1136" s="3"/>
      <c r="J1136" s="3"/>
      <c r="K1136" s="3"/>
      <c r="N1136" s="4" t="s">
        <v>101</v>
      </c>
      <c r="O1136" s="2" t="s">
        <v>17</v>
      </c>
      <c r="P1136" s="2">
        <v>129.40758725341428</v>
      </c>
      <c r="Q1136" s="2">
        <v>88.720063933699095</v>
      </c>
      <c r="R1136" s="2">
        <v>121.45273724757791</v>
      </c>
    </row>
    <row r="1137" spans="1:18" ht="14.25" customHeight="1">
      <c r="A1137" s="2" t="s">
        <v>15</v>
      </c>
      <c r="B1137" s="2">
        <v>2018</v>
      </c>
      <c r="C1137" s="2" t="s">
        <v>37</v>
      </c>
      <c r="D1137" s="3">
        <v>270.04085444146142</v>
      </c>
      <c r="E1137" s="2">
        <v>368.1</v>
      </c>
      <c r="F1137" s="2">
        <v>559.5</v>
      </c>
      <c r="G1137" s="2">
        <v>149.42844813820477</v>
      </c>
      <c r="H1137" s="2">
        <v>228.25726625423138</v>
      </c>
      <c r="I1137" s="3"/>
      <c r="J1137" s="3"/>
      <c r="K1137" s="3"/>
      <c r="N1137" s="4" t="s">
        <v>101</v>
      </c>
      <c r="O1137" s="2" t="s">
        <v>17</v>
      </c>
      <c r="P1137" s="2">
        <v>132.3200186763161</v>
      </c>
      <c r="Q1137" s="2">
        <v>73.219939587720333</v>
      </c>
      <c r="R1137" s="2">
        <v>111.84606046457337</v>
      </c>
    </row>
    <row r="1138" spans="1:18" ht="14.25" customHeight="1">
      <c r="A1138" s="2" t="s">
        <v>15</v>
      </c>
      <c r="B1138" s="2">
        <v>2019</v>
      </c>
      <c r="C1138" s="2" t="s">
        <v>37</v>
      </c>
      <c r="D1138" s="3">
        <v>226.74915372942689</v>
      </c>
      <c r="E1138" s="2">
        <v>372.06101200000001</v>
      </c>
      <c r="F1138" s="2">
        <v>595.35435700000005</v>
      </c>
      <c r="G1138" s="2">
        <v>180.06419983658225</v>
      </c>
      <c r="H1138" s="2">
        <v>194.72394070269641</v>
      </c>
      <c r="I1138" s="3"/>
      <c r="J1138" s="3"/>
      <c r="K1138" s="3"/>
      <c r="N1138" s="4" t="s">
        <v>101</v>
      </c>
      <c r="O1138" s="2" t="s">
        <v>17</v>
      </c>
      <c r="P1138" s="2">
        <v>111.10708532741917</v>
      </c>
      <c r="Q1138" s="2">
        <v>88.231457919925305</v>
      </c>
      <c r="R1138" s="2">
        <v>95.414730944321235</v>
      </c>
    </row>
    <row r="1139" spans="1:18" ht="14.25" customHeight="1">
      <c r="A1139" s="2" t="s">
        <v>15</v>
      </c>
      <c r="B1139" s="2">
        <v>2020</v>
      </c>
      <c r="C1139" s="2" t="s">
        <v>37</v>
      </c>
      <c r="D1139" s="3">
        <v>236.17355231469594</v>
      </c>
      <c r="E1139" s="2">
        <v>353.080398</v>
      </c>
      <c r="F1139" s="2">
        <v>568.62173099999995</v>
      </c>
      <c r="G1139" s="2" t="s">
        <v>17</v>
      </c>
      <c r="H1139" s="2">
        <v>209.2727909419867</v>
      </c>
      <c r="I1139" s="3"/>
      <c r="J1139" s="3"/>
      <c r="K1139" s="3"/>
      <c r="N1139" s="4" t="s">
        <v>101</v>
      </c>
      <c r="O1139" s="2" t="s">
        <v>17</v>
      </c>
      <c r="P1139" s="2">
        <v>115.72504063420101</v>
      </c>
      <c r="Q1139" s="2" t="s">
        <v>17</v>
      </c>
      <c r="R1139" s="2">
        <v>102.54366756157349</v>
      </c>
    </row>
  </sheetData>
  <autoFilter ref="A1:R1139" xr:uid="{00000000-0001-0000-05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391"/>
  <sheetViews>
    <sheetView workbookViewId="0">
      <pane ySplit="1" topLeftCell="A2" activePane="bottomLeft" state="frozen"/>
      <selection pane="bottomLeft"/>
    </sheetView>
  </sheetViews>
  <sheetFormatPr defaultColWidth="14.42578125" defaultRowHeight="15" customHeight="1"/>
  <cols>
    <col min="1" max="1" width="7.28515625" customWidth="1"/>
    <col min="2" max="2" width="5.85546875" customWidth="1"/>
    <col min="3" max="5" width="14.28515625" customWidth="1"/>
    <col min="6" max="7" width="8.7109375" customWidth="1"/>
    <col min="8" max="9" width="11.85546875" customWidth="1"/>
  </cols>
  <sheetData>
    <row r="1" spans="1:9" ht="14.25" customHeight="1">
      <c r="A1" s="1" t="s">
        <v>0</v>
      </c>
      <c r="B1" s="1" t="s">
        <v>1</v>
      </c>
      <c r="C1" s="1" t="s">
        <v>2</v>
      </c>
      <c r="D1" s="1" t="s">
        <v>348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</row>
    <row r="2" spans="1:9" ht="14.25" customHeight="1">
      <c r="A2" s="2" t="s">
        <v>15</v>
      </c>
      <c r="B2" s="2">
        <v>1950</v>
      </c>
      <c r="C2" s="2" t="s">
        <v>50</v>
      </c>
      <c r="D2" s="2">
        <v>0</v>
      </c>
      <c r="E2" s="3">
        <f t="shared" ref="E2:E256" si="0">D2/1000</f>
        <v>0</v>
      </c>
      <c r="G2" s="2">
        <f t="shared" ref="G2:G256" si="1">E2+F2</f>
        <v>0</v>
      </c>
    </row>
    <row r="3" spans="1:9" ht="14.25" customHeight="1">
      <c r="A3" s="2" t="s">
        <v>15</v>
      </c>
      <c r="B3" s="2">
        <v>1951</v>
      </c>
      <c r="C3" s="2" t="s">
        <v>50</v>
      </c>
      <c r="D3" s="2">
        <v>0</v>
      </c>
      <c r="E3" s="3">
        <f t="shared" si="0"/>
        <v>0</v>
      </c>
      <c r="G3" s="2">
        <f t="shared" si="1"/>
        <v>0</v>
      </c>
    </row>
    <row r="4" spans="1:9" ht="14.25" customHeight="1">
      <c r="A4" s="2" t="s">
        <v>15</v>
      </c>
      <c r="B4" s="2">
        <v>1952</v>
      </c>
      <c r="C4" s="2" t="s">
        <v>50</v>
      </c>
      <c r="D4" s="2">
        <v>0</v>
      </c>
      <c r="E4" s="3">
        <f t="shared" si="0"/>
        <v>0</v>
      </c>
      <c r="G4" s="2">
        <f t="shared" si="1"/>
        <v>0</v>
      </c>
    </row>
    <row r="5" spans="1:9" ht="14.25" customHeight="1">
      <c r="A5" s="2" t="s">
        <v>15</v>
      </c>
      <c r="B5" s="2">
        <v>1953</v>
      </c>
      <c r="C5" s="2" t="s">
        <v>50</v>
      </c>
      <c r="D5" s="2">
        <v>0</v>
      </c>
      <c r="E5" s="3">
        <f t="shared" si="0"/>
        <v>0</v>
      </c>
      <c r="G5" s="2">
        <f t="shared" si="1"/>
        <v>0</v>
      </c>
    </row>
    <row r="6" spans="1:9" ht="14.25" customHeight="1">
      <c r="A6" s="2" t="s">
        <v>15</v>
      </c>
      <c r="B6" s="2">
        <v>1954</v>
      </c>
      <c r="C6" s="2" t="s">
        <v>50</v>
      </c>
      <c r="D6" s="2">
        <v>0</v>
      </c>
      <c r="E6" s="3">
        <f t="shared" si="0"/>
        <v>0</v>
      </c>
      <c r="G6" s="2">
        <f t="shared" si="1"/>
        <v>0</v>
      </c>
    </row>
    <row r="7" spans="1:9" ht="14.25" customHeight="1">
      <c r="A7" s="2" t="s">
        <v>15</v>
      </c>
      <c r="B7" s="2">
        <v>1955</v>
      </c>
      <c r="C7" s="2" t="s">
        <v>50</v>
      </c>
      <c r="D7" s="2">
        <v>0</v>
      </c>
      <c r="E7" s="3">
        <f t="shared" si="0"/>
        <v>0</v>
      </c>
      <c r="G7" s="2">
        <f t="shared" si="1"/>
        <v>0</v>
      </c>
    </row>
    <row r="8" spans="1:9" ht="14.25" customHeight="1">
      <c r="A8" s="2" t="s">
        <v>15</v>
      </c>
      <c r="B8" s="2">
        <v>1956</v>
      </c>
      <c r="C8" s="2" t="s">
        <v>50</v>
      </c>
      <c r="D8" s="2">
        <v>0</v>
      </c>
      <c r="E8" s="3">
        <f t="shared" si="0"/>
        <v>0</v>
      </c>
      <c r="G8" s="2">
        <f t="shared" si="1"/>
        <v>0</v>
      </c>
    </row>
    <row r="9" spans="1:9" ht="14.25" customHeight="1">
      <c r="A9" s="2" t="s">
        <v>15</v>
      </c>
      <c r="B9" s="2">
        <v>1957</v>
      </c>
      <c r="C9" s="2" t="s">
        <v>50</v>
      </c>
      <c r="D9" s="2">
        <v>0</v>
      </c>
      <c r="E9" s="3">
        <f t="shared" si="0"/>
        <v>0</v>
      </c>
      <c r="G9" s="2">
        <f t="shared" si="1"/>
        <v>0</v>
      </c>
    </row>
    <row r="10" spans="1:9" ht="14.25" customHeight="1">
      <c r="A10" s="2" t="s">
        <v>15</v>
      </c>
      <c r="B10" s="2">
        <v>1958</v>
      </c>
      <c r="C10" s="2" t="s">
        <v>50</v>
      </c>
      <c r="D10" s="2">
        <v>0</v>
      </c>
      <c r="E10" s="3">
        <f t="shared" si="0"/>
        <v>0</v>
      </c>
      <c r="G10" s="2">
        <f t="shared" si="1"/>
        <v>0</v>
      </c>
    </row>
    <row r="11" spans="1:9" ht="14.25" customHeight="1">
      <c r="A11" s="2" t="s">
        <v>15</v>
      </c>
      <c r="B11" s="2">
        <v>1959</v>
      </c>
      <c r="C11" s="2" t="s">
        <v>50</v>
      </c>
      <c r="D11" s="2">
        <v>0</v>
      </c>
      <c r="E11" s="3">
        <f t="shared" si="0"/>
        <v>0</v>
      </c>
      <c r="G11" s="2">
        <f t="shared" si="1"/>
        <v>0</v>
      </c>
    </row>
    <row r="12" spans="1:9" ht="14.25" customHeight="1">
      <c r="A12" s="2" t="s">
        <v>15</v>
      </c>
      <c r="B12" s="2">
        <v>1960</v>
      </c>
      <c r="C12" s="2" t="s">
        <v>50</v>
      </c>
      <c r="D12" s="2">
        <v>0</v>
      </c>
      <c r="E12" s="3">
        <f t="shared" si="0"/>
        <v>0</v>
      </c>
      <c r="G12" s="2">
        <f t="shared" si="1"/>
        <v>0</v>
      </c>
    </row>
    <row r="13" spans="1:9" ht="14.25" customHeight="1">
      <c r="A13" s="2" t="s">
        <v>15</v>
      </c>
      <c r="B13" s="2">
        <v>1961</v>
      </c>
      <c r="C13" s="2" t="s">
        <v>50</v>
      </c>
      <c r="D13" s="2">
        <v>0</v>
      </c>
      <c r="E13" s="3">
        <f t="shared" si="0"/>
        <v>0</v>
      </c>
      <c r="G13" s="2">
        <f t="shared" si="1"/>
        <v>0</v>
      </c>
    </row>
    <row r="14" spans="1:9" ht="14.25" customHeight="1">
      <c r="A14" s="2" t="s">
        <v>15</v>
      </c>
      <c r="B14" s="2">
        <v>1962</v>
      </c>
      <c r="C14" s="2" t="s">
        <v>50</v>
      </c>
      <c r="D14" s="2">
        <v>0</v>
      </c>
      <c r="E14" s="3">
        <f t="shared" si="0"/>
        <v>0</v>
      </c>
      <c r="G14" s="2">
        <f t="shared" si="1"/>
        <v>0</v>
      </c>
    </row>
    <row r="15" spans="1:9" ht="14.25" customHeight="1">
      <c r="A15" s="2" t="s">
        <v>15</v>
      </c>
      <c r="B15" s="2">
        <v>1963</v>
      </c>
      <c r="C15" s="2" t="s">
        <v>50</v>
      </c>
      <c r="D15" s="2">
        <v>0</v>
      </c>
      <c r="E15" s="3">
        <f t="shared" si="0"/>
        <v>0</v>
      </c>
      <c r="G15" s="2">
        <f t="shared" si="1"/>
        <v>0</v>
      </c>
    </row>
    <row r="16" spans="1:9" ht="14.25" customHeight="1">
      <c r="A16" s="2" t="s">
        <v>15</v>
      </c>
      <c r="B16" s="2">
        <v>1964</v>
      </c>
      <c r="C16" s="2" t="s">
        <v>50</v>
      </c>
      <c r="D16" s="2">
        <v>0</v>
      </c>
      <c r="E16" s="3">
        <f t="shared" si="0"/>
        <v>0</v>
      </c>
      <c r="G16" s="2">
        <f t="shared" si="1"/>
        <v>0</v>
      </c>
    </row>
    <row r="17" spans="1:7" ht="14.25" customHeight="1">
      <c r="A17" s="2" t="s">
        <v>15</v>
      </c>
      <c r="B17" s="2">
        <v>1965</v>
      </c>
      <c r="C17" s="2" t="s">
        <v>50</v>
      </c>
      <c r="D17" s="2">
        <v>0</v>
      </c>
      <c r="E17" s="3">
        <f t="shared" si="0"/>
        <v>0</v>
      </c>
      <c r="G17" s="2">
        <f t="shared" si="1"/>
        <v>0</v>
      </c>
    </row>
    <row r="18" spans="1:7" ht="14.25" customHeight="1">
      <c r="A18" s="2" t="s">
        <v>15</v>
      </c>
      <c r="B18" s="2">
        <v>1966</v>
      </c>
      <c r="C18" s="2" t="s">
        <v>50</v>
      </c>
      <c r="D18" s="2">
        <v>0</v>
      </c>
      <c r="E18" s="3">
        <f t="shared" si="0"/>
        <v>0</v>
      </c>
      <c r="G18" s="2">
        <f t="shared" si="1"/>
        <v>0</v>
      </c>
    </row>
    <row r="19" spans="1:7" ht="14.25" customHeight="1">
      <c r="A19" s="2" t="s">
        <v>15</v>
      </c>
      <c r="B19" s="2">
        <v>1967</v>
      </c>
      <c r="C19" s="2" t="s">
        <v>50</v>
      </c>
      <c r="D19" s="2">
        <v>0</v>
      </c>
      <c r="E19" s="3">
        <f t="shared" si="0"/>
        <v>0</v>
      </c>
      <c r="G19" s="2">
        <f t="shared" si="1"/>
        <v>0</v>
      </c>
    </row>
    <row r="20" spans="1:7" ht="14.25" customHeight="1">
      <c r="A20" s="2" t="s">
        <v>15</v>
      </c>
      <c r="B20" s="2">
        <v>1968</v>
      </c>
      <c r="C20" s="2" t="s">
        <v>50</v>
      </c>
      <c r="D20" s="2">
        <v>0</v>
      </c>
      <c r="E20" s="3">
        <f t="shared" si="0"/>
        <v>0</v>
      </c>
      <c r="G20" s="2">
        <f t="shared" si="1"/>
        <v>0</v>
      </c>
    </row>
    <row r="21" spans="1:7" ht="14.25" customHeight="1">
      <c r="A21" s="2" t="s">
        <v>15</v>
      </c>
      <c r="B21" s="2">
        <v>1969</v>
      </c>
      <c r="C21" s="2" t="s">
        <v>50</v>
      </c>
      <c r="D21" s="2">
        <v>0</v>
      </c>
      <c r="E21" s="3">
        <f t="shared" si="0"/>
        <v>0</v>
      </c>
      <c r="G21" s="2">
        <f t="shared" si="1"/>
        <v>0</v>
      </c>
    </row>
    <row r="22" spans="1:7" ht="14.25" customHeight="1">
      <c r="A22" s="2" t="s">
        <v>15</v>
      </c>
      <c r="B22" s="2">
        <v>1970</v>
      </c>
      <c r="C22" s="2" t="s">
        <v>50</v>
      </c>
      <c r="D22" s="2">
        <v>0</v>
      </c>
      <c r="E22" s="3">
        <f t="shared" si="0"/>
        <v>0</v>
      </c>
      <c r="G22" s="2">
        <f t="shared" si="1"/>
        <v>0</v>
      </c>
    </row>
    <row r="23" spans="1:7" ht="14.25" customHeight="1">
      <c r="A23" s="2" t="s">
        <v>15</v>
      </c>
      <c r="B23" s="2">
        <v>1971</v>
      </c>
      <c r="C23" s="2" t="s">
        <v>50</v>
      </c>
      <c r="D23" s="2">
        <v>0</v>
      </c>
      <c r="E23" s="3">
        <f t="shared" si="0"/>
        <v>0</v>
      </c>
      <c r="G23" s="2">
        <f t="shared" si="1"/>
        <v>0</v>
      </c>
    </row>
    <row r="24" spans="1:7" ht="14.25" customHeight="1">
      <c r="A24" s="2" t="s">
        <v>15</v>
      </c>
      <c r="B24" s="2">
        <v>1972</v>
      </c>
      <c r="C24" s="2" t="s">
        <v>50</v>
      </c>
      <c r="D24" s="2">
        <v>0</v>
      </c>
      <c r="E24" s="3">
        <f t="shared" si="0"/>
        <v>0</v>
      </c>
      <c r="G24" s="2">
        <f t="shared" si="1"/>
        <v>0</v>
      </c>
    </row>
    <row r="25" spans="1:7" ht="14.25" customHeight="1">
      <c r="A25" s="2" t="s">
        <v>15</v>
      </c>
      <c r="B25" s="2">
        <v>1973</v>
      </c>
      <c r="C25" s="2" t="s">
        <v>50</v>
      </c>
      <c r="D25" s="2">
        <v>0</v>
      </c>
      <c r="E25" s="3">
        <f t="shared" si="0"/>
        <v>0</v>
      </c>
      <c r="G25" s="2">
        <f t="shared" si="1"/>
        <v>0</v>
      </c>
    </row>
    <row r="26" spans="1:7" ht="14.25" customHeight="1">
      <c r="A26" s="2" t="s">
        <v>15</v>
      </c>
      <c r="B26" s="2">
        <v>1974</v>
      </c>
      <c r="C26" s="2" t="s">
        <v>50</v>
      </c>
      <c r="D26" s="2">
        <v>0</v>
      </c>
      <c r="E26" s="3">
        <f t="shared" si="0"/>
        <v>0</v>
      </c>
      <c r="G26" s="2">
        <f t="shared" si="1"/>
        <v>0</v>
      </c>
    </row>
    <row r="27" spans="1:7" ht="14.25" customHeight="1">
      <c r="A27" s="2" t="s">
        <v>15</v>
      </c>
      <c r="B27" s="2">
        <v>1975</v>
      </c>
      <c r="C27" s="2" t="s">
        <v>50</v>
      </c>
      <c r="D27" s="2">
        <v>734</v>
      </c>
      <c r="E27" s="3">
        <f t="shared" si="0"/>
        <v>0.73399999999999999</v>
      </c>
      <c r="G27" s="2">
        <f t="shared" si="1"/>
        <v>0.73399999999999999</v>
      </c>
    </row>
    <row r="28" spans="1:7" ht="14.25" customHeight="1">
      <c r="A28" s="2" t="s">
        <v>15</v>
      </c>
      <c r="B28" s="2">
        <v>1976</v>
      </c>
      <c r="C28" s="2" t="s">
        <v>50</v>
      </c>
      <c r="D28" s="2">
        <v>1974</v>
      </c>
      <c r="E28" s="3">
        <f t="shared" si="0"/>
        <v>1.974</v>
      </c>
      <c r="G28" s="2">
        <f t="shared" si="1"/>
        <v>1.974</v>
      </c>
    </row>
    <row r="29" spans="1:7" ht="14.25" customHeight="1">
      <c r="A29" s="2" t="s">
        <v>15</v>
      </c>
      <c r="B29" s="2">
        <v>1977</v>
      </c>
      <c r="C29" s="2" t="s">
        <v>50</v>
      </c>
      <c r="D29" s="2">
        <v>4643</v>
      </c>
      <c r="E29" s="3">
        <f t="shared" si="0"/>
        <v>4.6429999999999998</v>
      </c>
      <c r="G29" s="2">
        <f t="shared" si="1"/>
        <v>4.6429999999999998</v>
      </c>
    </row>
    <row r="30" spans="1:7" ht="14.25" customHeight="1">
      <c r="A30" s="2" t="s">
        <v>15</v>
      </c>
      <c r="B30" s="2">
        <v>1978</v>
      </c>
      <c r="C30" s="2" t="s">
        <v>50</v>
      </c>
      <c r="D30" s="2">
        <v>6897</v>
      </c>
      <c r="E30" s="3">
        <f t="shared" si="0"/>
        <v>6.8970000000000002</v>
      </c>
      <c r="G30" s="2">
        <f t="shared" si="1"/>
        <v>6.8970000000000002</v>
      </c>
    </row>
    <row r="31" spans="1:7" ht="14.25" customHeight="1">
      <c r="A31" s="2" t="s">
        <v>15</v>
      </c>
      <c r="B31" s="2">
        <v>1979</v>
      </c>
      <c r="C31" s="2" t="s">
        <v>50</v>
      </c>
      <c r="D31" s="2">
        <v>4437</v>
      </c>
      <c r="E31" s="3">
        <f t="shared" si="0"/>
        <v>4.4370000000000003</v>
      </c>
      <c r="G31" s="2">
        <f t="shared" si="1"/>
        <v>4.4370000000000003</v>
      </c>
    </row>
    <row r="32" spans="1:7" ht="14.25" customHeight="1">
      <c r="A32" s="2" t="s">
        <v>15</v>
      </c>
      <c r="B32" s="2">
        <v>1980</v>
      </c>
      <c r="C32" s="2" t="s">
        <v>50</v>
      </c>
      <c r="D32" s="2">
        <v>10835</v>
      </c>
      <c r="E32" s="3">
        <f t="shared" si="0"/>
        <v>10.835000000000001</v>
      </c>
      <c r="G32" s="2">
        <f t="shared" si="1"/>
        <v>10.835000000000001</v>
      </c>
    </row>
    <row r="33" spans="1:7" ht="14.25" customHeight="1">
      <c r="A33" s="2" t="s">
        <v>15</v>
      </c>
      <c r="B33" s="2">
        <v>1981</v>
      </c>
      <c r="C33" s="2" t="s">
        <v>50</v>
      </c>
      <c r="D33" s="2">
        <v>8451</v>
      </c>
      <c r="E33" s="3">
        <f t="shared" si="0"/>
        <v>8.4510000000000005</v>
      </c>
      <c r="G33" s="2">
        <f t="shared" si="1"/>
        <v>8.4510000000000005</v>
      </c>
    </row>
    <row r="34" spans="1:7" ht="14.25" customHeight="1">
      <c r="A34" s="2" t="s">
        <v>15</v>
      </c>
      <c r="B34" s="2">
        <v>1982</v>
      </c>
      <c r="C34" s="2" t="s">
        <v>50</v>
      </c>
      <c r="D34" s="2">
        <v>4689</v>
      </c>
      <c r="E34" s="3">
        <f t="shared" si="0"/>
        <v>4.6890000000000001</v>
      </c>
      <c r="G34" s="2">
        <f t="shared" si="1"/>
        <v>4.6890000000000001</v>
      </c>
    </row>
    <row r="35" spans="1:7" ht="14.25" customHeight="1">
      <c r="A35" s="2" t="s">
        <v>15</v>
      </c>
      <c r="B35" s="2">
        <v>1983</v>
      </c>
      <c r="C35" s="2" t="s">
        <v>50</v>
      </c>
      <c r="D35" s="2">
        <v>0</v>
      </c>
      <c r="E35" s="3">
        <f t="shared" si="0"/>
        <v>0</v>
      </c>
      <c r="G35" s="2">
        <f t="shared" si="1"/>
        <v>0</v>
      </c>
    </row>
    <row r="36" spans="1:7" ht="14.25" customHeight="1">
      <c r="A36" s="2" t="s">
        <v>15</v>
      </c>
      <c r="B36" s="2">
        <v>1984</v>
      </c>
      <c r="C36" s="2" t="s">
        <v>50</v>
      </c>
      <c r="D36" s="2">
        <v>33</v>
      </c>
      <c r="E36" s="3">
        <f t="shared" si="0"/>
        <v>3.3000000000000002E-2</v>
      </c>
      <c r="G36" s="2">
        <f t="shared" si="1"/>
        <v>3.3000000000000002E-2</v>
      </c>
    </row>
    <row r="37" spans="1:7" ht="14.25" customHeight="1">
      <c r="A37" s="2" t="s">
        <v>15</v>
      </c>
      <c r="B37" s="2">
        <v>1985</v>
      </c>
      <c r="C37" s="2" t="s">
        <v>50</v>
      </c>
      <c r="D37" s="2">
        <v>5</v>
      </c>
      <c r="E37" s="3">
        <f t="shared" si="0"/>
        <v>5.0000000000000001E-3</v>
      </c>
      <c r="G37" s="2">
        <f t="shared" si="1"/>
        <v>5.0000000000000001E-3</v>
      </c>
    </row>
    <row r="38" spans="1:7" ht="14.25" customHeight="1">
      <c r="A38" s="2" t="s">
        <v>15</v>
      </c>
      <c r="B38" s="2">
        <v>1986</v>
      </c>
      <c r="C38" s="2" t="s">
        <v>50</v>
      </c>
      <c r="D38" s="2">
        <v>4990</v>
      </c>
      <c r="E38" s="3">
        <f t="shared" si="0"/>
        <v>4.99</v>
      </c>
      <c r="G38" s="2">
        <f t="shared" si="1"/>
        <v>4.99</v>
      </c>
    </row>
    <row r="39" spans="1:7" ht="14.25" customHeight="1">
      <c r="A39" s="2" t="s">
        <v>15</v>
      </c>
      <c r="B39" s="2">
        <v>1987</v>
      </c>
      <c r="C39" s="2" t="s">
        <v>50</v>
      </c>
      <c r="D39" s="2">
        <v>3341</v>
      </c>
      <c r="E39" s="3">
        <f t="shared" si="0"/>
        <v>3.3410000000000002</v>
      </c>
      <c r="G39" s="2">
        <f t="shared" si="1"/>
        <v>3.3410000000000002</v>
      </c>
    </row>
    <row r="40" spans="1:7" ht="14.25" customHeight="1">
      <c r="A40" s="2" t="s">
        <v>15</v>
      </c>
      <c r="B40" s="2">
        <v>1988</v>
      </c>
      <c r="C40" s="2" t="s">
        <v>50</v>
      </c>
      <c r="D40" s="2">
        <v>5201</v>
      </c>
      <c r="E40" s="3">
        <f t="shared" si="0"/>
        <v>5.2009999999999996</v>
      </c>
      <c r="G40" s="2">
        <f t="shared" si="1"/>
        <v>5.2009999999999996</v>
      </c>
    </row>
    <row r="41" spans="1:7" ht="14.25" customHeight="1">
      <c r="A41" s="2" t="s">
        <v>15</v>
      </c>
      <c r="B41" s="2">
        <v>1989</v>
      </c>
      <c r="C41" s="2" t="s">
        <v>50</v>
      </c>
      <c r="D41" s="2">
        <v>12721</v>
      </c>
      <c r="E41" s="3">
        <f t="shared" si="0"/>
        <v>12.721</v>
      </c>
      <c r="G41" s="2">
        <f t="shared" si="1"/>
        <v>12.721</v>
      </c>
    </row>
    <row r="42" spans="1:7" ht="14.25" customHeight="1">
      <c r="A42" s="2" t="s">
        <v>15</v>
      </c>
      <c r="B42" s="2">
        <v>1990</v>
      </c>
      <c r="C42" s="2" t="s">
        <v>50</v>
      </c>
      <c r="D42" s="2">
        <v>8252</v>
      </c>
      <c r="E42" s="3">
        <f t="shared" si="0"/>
        <v>8.2520000000000007</v>
      </c>
      <c r="G42" s="2">
        <f t="shared" si="1"/>
        <v>8.2520000000000007</v>
      </c>
    </row>
    <row r="43" spans="1:7" ht="14.25" customHeight="1">
      <c r="A43" s="2" t="s">
        <v>15</v>
      </c>
      <c r="B43" s="2">
        <v>1991</v>
      </c>
      <c r="C43" s="2" t="s">
        <v>50</v>
      </c>
      <c r="D43" s="2">
        <v>4122</v>
      </c>
      <c r="E43" s="3">
        <f t="shared" si="0"/>
        <v>4.1219999999999999</v>
      </c>
      <c r="G43" s="2">
        <f t="shared" si="1"/>
        <v>4.1219999999999999</v>
      </c>
    </row>
    <row r="44" spans="1:7" ht="14.25" customHeight="1">
      <c r="A44" s="2" t="s">
        <v>15</v>
      </c>
      <c r="B44" s="2">
        <v>1992</v>
      </c>
      <c r="C44" s="2" t="s">
        <v>50</v>
      </c>
      <c r="D44" s="2">
        <v>7472</v>
      </c>
      <c r="E44" s="3">
        <f t="shared" si="0"/>
        <v>7.4720000000000004</v>
      </c>
      <c r="G44" s="2">
        <f t="shared" si="1"/>
        <v>7.4720000000000004</v>
      </c>
    </row>
    <row r="45" spans="1:7" ht="14.25" customHeight="1">
      <c r="A45" s="2" t="s">
        <v>15</v>
      </c>
      <c r="B45" s="2">
        <v>1993</v>
      </c>
      <c r="C45" s="2" t="s">
        <v>50</v>
      </c>
      <c r="D45" s="2">
        <v>2294</v>
      </c>
      <c r="E45" s="3">
        <f t="shared" si="0"/>
        <v>2.294</v>
      </c>
      <c r="G45" s="2">
        <f t="shared" si="1"/>
        <v>2.294</v>
      </c>
    </row>
    <row r="46" spans="1:7" ht="14.25" customHeight="1">
      <c r="A46" s="2" t="s">
        <v>15</v>
      </c>
      <c r="B46" s="2">
        <v>1994</v>
      </c>
      <c r="C46" s="2" t="s">
        <v>50</v>
      </c>
      <c r="D46" s="2">
        <v>4470</v>
      </c>
      <c r="E46" s="3">
        <f t="shared" si="0"/>
        <v>4.47</v>
      </c>
      <c r="G46" s="2">
        <f t="shared" si="1"/>
        <v>4.47</v>
      </c>
    </row>
    <row r="47" spans="1:7" ht="14.25" customHeight="1">
      <c r="A47" s="2" t="s">
        <v>15</v>
      </c>
      <c r="B47" s="2">
        <v>1995</v>
      </c>
      <c r="C47" s="2" t="s">
        <v>50</v>
      </c>
      <c r="D47" s="2">
        <v>5495</v>
      </c>
      <c r="E47" s="3">
        <f t="shared" si="0"/>
        <v>5.4950000000000001</v>
      </c>
      <c r="G47" s="2">
        <f t="shared" si="1"/>
        <v>5.4950000000000001</v>
      </c>
    </row>
    <row r="48" spans="1:7" ht="14.25" customHeight="1">
      <c r="A48" s="2" t="s">
        <v>15</v>
      </c>
      <c r="B48" s="2">
        <v>1996</v>
      </c>
      <c r="C48" s="2" t="s">
        <v>50</v>
      </c>
      <c r="D48" s="2">
        <v>14326</v>
      </c>
      <c r="E48" s="3">
        <f t="shared" si="0"/>
        <v>14.326000000000001</v>
      </c>
      <c r="G48" s="2">
        <f t="shared" si="1"/>
        <v>14.326000000000001</v>
      </c>
    </row>
    <row r="49" spans="1:7" ht="14.25" customHeight="1">
      <c r="A49" s="2" t="s">
        <v>15</v>
      </c>
      <c r="B49" s="2">
        <v>1997</v>
      </c>
      <c r="C49" s="2" t="s">
        <v>50</v>
      </c>
      <c r="D49" s="2">
        <v>33701</v>
      </c>
      <c r="E49" s="3">
        <f t="shared" si="0"/>
        <v>33.701000000000001</v>
      </c>
      <c r="G49" s="2">
        <f t="shared" si="1"/>
        <v>33.701000000000001</v>
      </c>
    </row>
    <row r="50" spans="1:7" ht="14.25" customHeight="1">
      <c r="A50" s="2" t="s">
        <v>15</v>
      </c>
      <c r="B50" s="2">
        <v>1998</v>
      </c>
      <c r="C50" s="2" t="s">
        <v>50</v>
      </c>
      <c r="D50" s="2">
        <v>98936</v>
      </c>
      <c r="E50" s="3">
        <f t="shared" si="0"/>
        <v>98.936000000000007</v>
      </c>
      <c r="G50" s="2">
        <f t="shared" si="1"/>
        <v>98.936000000000007</v>
      </c>
    </row>
    <row r="51" spans="1:7" ht="14.25" customHeight="1">
      <c r="A51" s="2" t="s">
        <v>15</v>
      </c>
      <c r="B51" s="2">
        <v>1999</v>
      </c>
      <c r="C51" s="2" t="s">
        <v>50</v>
      </c>
      <c r="D51" s="2">
        <v>106491</v>
      </c>
      <c r="E51" s="3">
        <f t="shared" si="0"/>
        <v>106.491</v>
      </c>
      <c r="G51" s="2">
        <f t="shared" si="1"/>
        <v>106.491</v>
      </c>
    </row>
    <row r="52" spans="1:7" ht="14.25" customHeight="1">
      <c r="A52" s="2" t="s">
        <v>15</v>
      </c>
      <c r="B52" s="2">
        <v>2000</v>
      </c>
      <c r="C52" s="2" t="s">
        <v>50</v>
      </c>
      <c r="D52" s="2">
        <v>45048</v>
      </c>
      <c r="E52" s="3">
        <f t="shared" si="0"/>
        <v>45.048000000000002</v>
      </c>
      <c r="G52" s="2">
        <f t="shared" si="1"/>
        <v>45.048000000000002</v>
      </c>
    </row>
    <row r="53" spans="1:7" ht="14.25" customHeight="1">
      <c r="A53" s="2" t="s">
        <v>15</v>
      </c>
      <c r="B53" s="2">
        <v>2001</v>
      </c>
      <c r="C53" s="2" t="s">
        <v>50</v>
      </c>
      <c r="D53" s="2">
        <v>51889</v>
      </c>
      <c r="E53" s="3">
        <f t="shared" si="0"/>
        <v>51.889000000000003</v>
      </c>
      <c r="G53" s="2">
        <f t="shared" si="1"/>
        <v>51.889000000000003</v>
      </c>
    </row>
    <row r="54" spans="1:7" ht="14.25" customHeight="1">
      <c r="A54" s="2" t="s">
        <v>15</v>
      </c>
      <c r="B54" s="2">
        <v>2002</v>
      </c>
      <c r="C54" s="2" t="s">
        <v>50</v>
      </c>
      <c r="D54" s="2">
        <v>28679</v>
      </c>
      <c r="E54" s="3">
        <f t="shared" si="0"/>
        <v>28.678999999999998</v>
      </c>
      <c r="G54" s="2">
        <f t="shared" si="1"/>
        <v>28.678999999999998</v>
      </c>
    </row>
    <row r="55" spans="1:7" ht="14.25" customHeight="1">
      <c r="A55" s="2" t="s">
        <v>15</v>
      </c>
      <c r="B55" s="2">
        <v>2003</v>
      </c>
      <c r="C55" s="2" t="s">
        <v>50</v>
      </c>
      <c r="D55" s="2">
        <v>29385</v>
      </c>
      <c r="E55" s="3">
        <f t="shared" si="0"/>
        <v>29.385000000000002</v>
      </c>
      <c r="G55" s="2">
        <f t="shared" si="1"/>
        <v>29.385000000000002</v>
      </c>
    </row>
    <row r="56" spans="1:7" ht="14.25" customHeight="1">
      <c r="A56" s="2" t="s">
        <v>15</v>
      </c>
      <c r="B56" s="2">
        <v>2004</v>
      </c>
      <c r="C56" s="2" t="s">
        <v>50</v>
      </c>
      <c r="D56" s="2">
        <v>59843</v>
      </c>
      <c r="E56" s="3">
        <f t="shared" si="0"/>
        <v>59.843000000000004</v>
      </c>
      <c r="G56" s="2">
        <f t="shared" si="1"/>
        <v>59.843000000000004</v>
      </c>
    </row>
    <row r="57" spans="1:7" ht="14.25" customHeight="1">
      <c r="A57" s="2" t="s">
        <v>15</v>
      </c>
      <c r="B57" s="2">
        <v>2005</v>
      </c>
      <c r="C57" s="2" t="s">
        <v>50</v>
      </c>
      <c r="D57" s="2">
        <v>126130</v>
      </c>
      <c r="E57" s="3">
        <f t="shared" si="0"/>
        <v>126.13</v>
      </c>
      <c r="G57" s="2">
        <f t="shared" si="1"/>
        <v>126.13</v>
      </c>
    </row>
    <row r="58" spans="1:7" ht="14.25" customHeight="1">
      <c r="A58" s="2" t="s">
        <v>15</v>
      </c>
      <c r="B58" s="2">
        <v>2006</v>
      </c>
      <c r="C58" s="2" t="s">
        <v>50</v>
      </c>
      <c r="D58" s="2">
        <v>82141.009999999995</v>
      </c>
      <c r="E58" s="3">
        <f t="shared" si="0"/>
        <v>82.141009999999994</v>
      </c>
      <c r="G58" s="2">
        <f t="shared" si="1"/>
        <v>82.141009999999994</v>
      </c>
    </row>
    <row r="59" spans="1:7" ht="14.25" customHeight="1">
      <c r="A59" s="2" t="s">
        <v>15</v>
      </c>
      <c r="B59" s="2">
        <v>2007</v>
      </c>
      <c r="C59" s="2" t="s">
        <v>50</v>
      </c>
      <c r="D59" s="2">
        <v>56465.7</v>
      </c>
      <c r="E59" s="3">
        <f t="shared" si="0"/>
        <v>56.465699999999998</v>
      </c>
      <c r="G59" s="2">
        <f t="shared" si="1"/>
        <v>56.465699999999998</v>
      </c>
    </row>
    <row r="60" spans="1:7" ht="14.25" customHeight="1">
      <c r="A60" s="2" t="s">
        <v>15</v>
      </c>
      <c r="B60" s="2">
        <v>2008</v>
      </c>
      <c r="C60" s="2" t="s">
        <v>50</v>
      </c>
      <c r="D60" s="2">
        <v>38151.01</v>
      </c>
      <c r="E60" s="3">
        <f t="shared" si="0"/>
        <v>38.151009999999999</v>
      </c>
      <c r="G60" s="2">
        <f t="shared" si="1"/>
        <v>38.151009999999999</v>
      </c>
    </row>
    <row r="61" spans="1:7" ht="14.25" customHeight="1">
      <c r="A61" s="2" t="s">
        <v>15</v>
      </c>
      <c r="B61" s="2">
        <v>2009</v>
      </c>
      <c r="C61" s="2" t="s">
        <v>50</v>
      </c>
      <c r="D61" s="2">
        <v>6349.5</v>
      </c>
      <c r="E61" s="3">
        <f t="shared" si="0"/>
        <v>6.3494999999999999</v>
      </c>
      <c r="G61" s="2">
        <f t="shared" si="1"/>
        <v>6.3494999999999999</v>
      </c>
    </row>
    <row r="62" spans="1:7" ht="14.25" customHeight="1">
      <c r="A62" s="2" t="s">
        <v>15</v>
      </c>
      <c r="B62" s="2">
        <v>2010</v>
      </c>
      <c r="C62" s="2" t="s">
        <v>50</v>
      </c>
      <c r="D62" s="2">
        <v>7971</v>
      </c>
      <c r="E62" s="3">
        <f t="shared" si="0"/>
        <v>7.9710000000000001</v>
      </c>
      <c r="G62" s="2">
        <f t="shared" si="1"/>
        <v>7.9710000000000001</v>
      </c>
    </row>
    <row r="63" spans="1:7" ht="14.25" customHeight="1">
      <c r="A63" s="2" t="s">
        <v>15</v>
      </c>
      <c r="B63" s="2">
        <v>2011</v>
      </c>
      <c r="C63" s="2" t="s">
        <v>50</v>
      </c>
      <c r="D63" s="2">
        <v>1358.2</v>
      </c>
      <c r="E63" s="3">
        <f t="shared" si="0"/>
        <v>1.3582000000000001</v>
      </c>
      <c r="G63" s="2">
        <f t="shared" si="1"/>
        <v>1.3582000000000001</v>
      </c>
    </row>
    <row r="64" spans="1:7" ht="14.25" customHeight="1">
      <c r="A64" s="2" t="s">
        <v>15</v>
      </c>
      <c r="B64" s="2">
        <v>2012</v>
      </c>
      <c r="C64" s="2" t="s">
        <v>50</v>
      </c>
      <c r="D64" s="2">
        <v>9170.7999999999993</v>
      </c>
      <c r="E64" s="3">
        <f t="shared" si="0"/>
        <v>9.1707999999999998</v>
      </c>
      <c r="G64" s="2">
        <f t="shared" si="1"/>
        <v>9.1707999999999998</v>
      </c>
    </row>
    <row r="65" spans="1:7" ht="14.25" customHeight="1">
      <c r="A65" s="2" t="s">
        <v>15</v>
      </c>
      <c r="B65" s="2">
        <v>2013</v>
      </c>
      <c r="C65" s="2" t="s">
        <v>50</v>
      </c>
      <c r="D65" s="2">
        <v>13498.58</v>
      </c>
      <c r="E65" s="3">
        <f t="shared" si="0"/>
        <v>13.49858</v>
      </c>
      <c r="G65" s="2">
        <f t="shared" si="1"/>
        <v>13.49858</v>
      </c>
    </row>
    <row r="66" spans="1:7" ht="14.25" customHeight="1">
      <c r="A66" s="2" t="s">
        <v>15</v>
      </c>
      <c r="B66" s="2">
        <v>2014</v>
      </c>
      <c r="C66" s="2" t="s">
        <v>50</v>
      </c>
      <c r="D66" s="2">
        <v>27833.08</v>
      </c>
      <c r="E66" s="3">
        <f t="shared" si="0"/>
        <v>27.833080000000002</v>
      </c>
      <c r="G66" s="2">
        <f t="shared" si="1"/>
        <v>27.833080000000002</v>
      </c>
    </row>
    <row r="67" spans="1:7" ht="14.25" customHeight="1">
      <c r="A67" s="2" t="s">
        <v>15</v>
      </c>
      <c r="B67" s="2">
        <v>2015</v>
      </c>
      <c r="C67" s="2" t="s">
        <v>50</v>
      </c>
      <c r="D67" s="2">
        <v>31777.69</v>
      </c>
      <c r="E67" s="3">
        <f t="shared" si="0"/>
        <v>31.77769</v>
      </c>
      <c r="G67" s="2">
        <f t="shared" si="1"/>
        <v>31.77769</v>
      </c>
    </row>
    <row r="68" spans="1:7" ht="14.25" customHeight="1">
      <c r="A68" s="2" t="s">
        <v>15</v>
      </c>
      <c r="B68" s="2">
        <v>2016</v>
      </c>
      <c r="C68" s="2" t="s">
        <v>50</v>
      </c>
      <c r="D68" s="2">
        <v>38270.22</v>
      </c>
      <c r="E68" s="3">
        <f t="shared" si="0"/>
        <v>38.270220000000002</v>
      </c>
      <c r="G68" s="2">
        <f t="shared" si="1"/>
        <v>38.270220000000002</v>
      </c>
    </row>
    <row r="69" spans="1:7" ht="14.25" customHeight="1">
      <c r="A69" s="2" t="s">
        <v>15</v>
      </c>
      <c r="B69" s="2">
        <v>2017</v>
      </c>
      <c r="C69" s="2" t="s">
        <v>50</v>
      </c>
      <c r="D69" s="2">
        <v>66385.83</v>
      </c>
      <c r="E69" s="3">
        <f t="shared" si="0"/>
        <v>66.385829999999999</v>
      </c>
      <c r="G69" s="2">
        <f t="shared" si="1"/>
        <v>66.385829999999999</v>
      </c>
    </row>
    <row r="70" spans="1:7" ht="14.25" customHeight="1">
      <c r="A70" s="2" t="s">
        <v>15</v>
      </c>
      <c r="B70" s="2">
        <v>2018</v>
      </c>
      <c r="C70" s="2" t="s">
        <v>50</v>
      </c>
      <c r="D70" s="2">
        <v>72884.194000000003</v>
      </c>
      <c r="E70" s="3">
        <f t="shared" si="0"/>
        <v>72.884194000000008</v>
      </c>
      <c r="G70" s="2">
        <f t="shared" si="1"/>
        <v>72.884194000000008</v>
      </c>
    </row>
    <row r="71" spans="1:7" ht="14.25" customHeight="1">
      <c r="A71" s="2" t="s">
        <v>15</v>
      </c>
      <c r="B71" s="2">
        <v>1903</v>
      </c>
      <c r="C71" s="2" t="s">
        <v>22</v>
      </c>
      <c r="D71" s="2">
        <v>96852</v>
      </c>
      <c r="E71" s="3">
        <f t="shared" si="0"/>
        <v>96.852000000000004</v>
      </c>
      <c r="G71" s="2">
        <f t="shared" si="1"/>
        <v>96.852000000000004</v>
      </c>
    </row>
    <row r="72" spans="1:7" ht="14.25" customHeight="1">
      <c r="A72" s="2" t="s">
        <v>15</v>
      </c>
      <c r="B72" s="2">
        <v>1904</v>
      </c>
      <c r="C72" s="2" t="s">
        <v>22</v>
      </c>
      <c r="D72" s="2">
        <v>95904</v>
      </c>
      <c r="E72" s="3">
        <f t="shared" si="0"/>
        <v>95.903999999999996</v>
      </c>
      <c r="G72" s="2">
        <f t="shared" si="1"/>
        <v>95.903999999999996</v>
      </c>
    </row>
    <row r="73" spans="1:7" ht="14.25" customHeight="1">
      <c r="A73" s="2" t="s">
        <v>15</v>
      </c>
      <c r="B73" s="2">
        <v>1905</v>
      </c>
      <c r="C73" s="2" t="s">
        <v>22</v>
      </c>
      <c r="D73" s="2">
        <v>103688</v>
      </c>
      <c r="E73" s="3">
        <f t="shared" si="0"/>
        <v>103.688</v>
      </c>
      <c r="G73" s="2">
        <f t="shared" si="1"/>
        <v>103.688</v>
      </c>
    </row>
    <row r="74" spans="1:7" ht="14.25" customHeight="1">
      <c r="A74" s="2" t="s">
        <v>15</v>
      </c>
      <c r="B74" s="2">
        <v>1906</v>
      </c>
      <c r="C74" s="2" t="s">
        <v>22</v>
      </c>
      <c r="D74" s="2">
        <v>132571</v>
      </c>
      <c r="E74" s="3">
        <f t="shared" si="0"/>
        <v>132.571</v>
      </c>
      <c r="G74" s="2">
        <f t="shared" si="1"/>
        <v>132.571</v>
      </c>
    </row>
    <row r="75" spans="1:7" ht="14.25" customHeight="1">
      <c r="A75" s="2" t="s">
        <v>15</v>
      </c>
      <c r="B75" s="2">
        <v>1907</v>
      </c>
      <c r="C75" s="2" t="s">
        <v>22</v>
      </c>
      <c r="D75" s="2">
        <v>193933</v>
      </c>
      <c r="E75" s="3">
        <f t="shared" si="0"/>
        <v>193.93299999999999</v>
      </c>
      <c r="G75" s="2">
        <f t="shared" si="1"/>
        <v>193.93299999999999</v>
      </c>
    </row>
    <row r="76" spans="1:7" ht="14.25" customHeight="1">
      <c r="A76" s="2" t="s">
        <v>15</v>
      </c>
      <c r="B76" s="2">
        <v>1908</v>
      </c>
      <c r="C76" s="2" t="s">
        <v>22</v>
      </c>
      <c r="D76" s="2">
        <v>138692</v>
      </c>
      <c r="E76" s="3">
        <f t="shared" si="0"/>
        <v>138.69200000000001</v>
      </c>
      <c r="G76" s="2">
        <f t="shared" si="1"/>
        <v>138.69200000000001</v>
      </c>
    </row>
    <row r="77" spans="1:7" ht="14.25" customHeight="1">
      <c r="A77" s="2" t="s">
        <v>15</v>
      </c>
      <c r="B77" s="2">
        <v>1909</v>
      </c>
      <c r="C77" s="2" t="s">
        <v>22</v>
      </c>
      <c r="D77" s="2">
        <v>154052</v>
      </c>
      <c r="E77" s="3">
        <f t="shared" si="0"/>
        <v>154.05199999999999</v>
      </c>
      <c r="G77" s="2">
        <f t="shared" si="1"/>
        <v>154.05199999999999</v>
      </c>
    </row>
    <row r="78" spans="1:7" ht="14.25" customHeight="1">
      <c r="A78" s="2" t="s">
        <v>15</v>
      </c>
      <c r="B78" s="2">
        <v>1910</v>
      </c>
      <c r="C78" s="2" t="s">
        <v>22</v>
      </c>
      <c r="D78" s="2">
        <v>164226</v>
      </c>
      <c r="E78" s="3">
        <f t="shared" si="0"/>
        <v>164.226</v>
      </c>
      <c r="G78" s="2">
        <f t="shared" si="1"/>
        <v>164.226</v>
      </c>
    </row>
    <row r="79" spans="1:7" ht="14.25" customHeight="1">
      <c r="A79" s="2" t="s">
        <v>15</v>
      </c>
      <c r="B79" s="2">
        <v>1911</v>
      </c>
      <c r="C79" s="2" t="s">
        <v>22</v>
      </c>
      <c r="D79" s="2">
        <v>188232</v>
      </c>
      <c r="E79" s="3">
        <f t="shared" si="0"/>
        <v>188.232</v>
      </c>
      <c r="G79" s="2">
        <f t="shared" si="1"/>
        <v>188.232</v>
      </c>
    </row>
    <row r="80" spans="1:7" ht="14.25" customHeight="1">
      <c r="A80" s="2" t="s">
        <v>15</v>
      </c>
      <c r="B80" s="2">
        <v>1912</v>
      </c>
      <c r="C80" s="2" t="s">
        <v>22</v>
      </c>
      <c r="D80" s="2">
        <v>185524</v>
      </c>
      <c r="E80" s="3">
        <f t="shared" si="0"/>
        <v>185.524</v>
      </c>
      <c r="G80" s="2">
        <f t="shared" si="1"/>
        <v>185.524</v>
      </c>
    </row>
    <row r="81" spans="1:7" ht="14.25" customHeight="1">
      <c r="A81" s="2" t="s">
        <v>15</v>
      </c>
      <c r="B81" s="2">
        <v>1913</v>
      </c>
      <c r="C81" s="2" t="s">
        <v>22</v>
      </c>
      <c r="D81" s="2">
        <v>192651</v>
      </c>
      <c r="E81" s="3">
        <f t="shared" si="0"/>
        <v>192.65100000000001</v>
      </c>
      <c r="G81" s="2">
        <f t="shared" si="1"/>
        <v>192.65100000000001</v>
      </c>
    </row>
    <row r="82" spans="1:7" ht="14.25" customHeight="1">
      <c r="A82" s="2" t="s">
        <v>15</v>
      </c>
      <c r="B82" s="2">
        <v>1914</v>
      </c>
      <c r="C82" s="2" t="s">
        <v>22</v>
      </c>
      <c r="D82" s="2">
        <v>213434</v>
      </c>
      <c r="E82" s="3">
        <f t="shared" si="0"/>
        <v>213.434</v>
      </c>
      <c r="G82" s="2">
        <f t="shared" si="1"/>
        <v>213.434</v>
      </c>
    </row>
    <row r="83" spans="1:7" ht="14.25" customHeight="1">
      <c r="A83" s="2" t="s">
        <v>15</v>
      </c>
      <c r="B83" s="2">
        <v>1915</v>
      </c>
      <c r="C83" s="2" t="s">
        <v>22</v>
      </c>
      <c r="D83" s="2">
        <v>90603</v>
      </c>
      <c r="E83" s="3">
        <f t="shared" si="0"/>
        <v>90.602999999999994</v>
      </c>
      <c r="G83" s="2">
        <f t="shared" si="1"/>
        <v>90.602999999999994</v>
      </c>
    </row>
    <row r="84" spans="1:7" ht="14.25" customHeight="1">
      <c r="A84" s="2" t="s">
        <v>15</v>
      </c>
      <c r="B84" s="2">
        <v>1916</v>
      </c>
      <c r="C84" s="2" t="s">
        <v>22</v>
      </c>
      <c r="D84" s="2">
        <v>76301</v>
      </c>
      <c r="E84" s="3">
        <f t="shared" si="0"/>
        <v>76.301000000000002</v>
      </c>
      <c r="G84" s="2">
        <f t="shared" si="1"/>
        <v>76.301000000000002</v>
      </c>
    </row>
    <row r="85" spans="1:7" ht="14.25" customHeight="1">
      <c r="A85" s="2" t="s">
        <v>15</v>
      </c>
      <c r="B85" s="2">
        <v>1917</v>
      </c>
      <c r="C85" s="2" t="s">
        <v>22</v>
      </c>
      <c r="D85" s="2">
        <v>60850</v>
      </c>
      <c r="E85" s="3">
        <f t="shared" si="0"/>
        <v>60.85</v>
      </c>
      <c r="G85" s="2">
        <f t="shared" si="1"/>
        <v>60.85</v>
      </c>
    </row>
    <row r="86" spans="1:7" ht="14.25" customHeight="1">
      <c r="A86" s="2" t="s">
        <v>15</v>
      </c>
      <c r="B86" s="2">
        <v>1918</v>
      </c>
      <c r="C86" s="2" t="s">
        <v>22</v>
      </c>
      <c r="D86" s="2">
        <v>47779</v>
      </c>
      <c r="E86" s="3">
        <f t="shared" si="0"/>
        <v>47.779000000000003</v>
      </c>
      <c r="G86" s="2">
        <f t="shared" si="1"/>
        <v>47.779000000000003</v>
      </c>
    </row>
    <row r="87" spans="1:7" ht="14.25" customHeight="1">
      <c r="A87" s="2" t="s">
        <v>15</v>
      </c>
      <c r="B87" s="2">
        <v>1919</v>
      </c>
      <c r="C87" s="2" t="s">
        <v>22</v>
      </c>
      <c r="D87" s="2">
        <v>113376</v>
      </c>
      <c r="E87" s="3">
        <f t="shared" si="0"/>
        <v>113.376</v>
      </c>
      <c r="G87" s="2">
        <f t="shared" si="1"/>
        <v>113.376</v>
      </c>
    </row>
    <row r="88" spans="1:7" ht="14.25" customHeight="1">
      <c r="A88" s="2" t="s">
        <v>15</v>
      </c>
      <c r="B88" s="2">
        <v>1920</v>
      </c>
      <c r="C88" s="2" t="s">
        <v>22</v>
      </c>
      <c r="D88" s="2">
        <v>177316</v>
      </c>
      <c r="E88" s="3">
        <f t="shared" si="0"/>
        <v>177.316</v>
      </c>
      <c r="G88" s="2">
        <f t="shared" si="1"/>
        <v>177.316</v>
      </c>
    </row>
    <row r="89" spans="1:7" ht="14.25" customHeight="1">
      <c r="A89" s="2" t="s">
        <v>15</v>
      </c>
      <c r="B89" s="2">
        <v>1921</v>
      </c>
      <c r="C89" s="2" t="s">
        <v>22</v>
      </c>
      <c r="D89" s="2">
        <v>144819</v>
      </c>
      <c r="E89" s="3">
        <f t="shared" si="0"/>
        <v>144.81899999999999</v>
      </c>
      <c r="G89" s="2">
        <f t="shared" si="1"/>
        <v>144.81899999999999</v>
      </c>
    </row>
    <row r="90" spans="1:7" ht="14.25" customHeight="1">
      <c r="A90" s="2" t="s">
        <v>15</v>
      </c>
      <c r="B90" s="2">
        <v>1922</v>
      </c>
      <c r="C90" s="2" t="s">
        <v>22</v>
      </c>
      <c r="D90" s="2">
        <v>168372</v>
      </c>
      <c r="E90" s="3">
        <f t="shared" si="0"/>
        <v>168.37200000000001</v>
      </c>
      <c r="G90" s="2">
        <f t="shared" si="1"/>
        <v>168.37200000000001</v>
      </c>
    </row>
    <row r="91" spans="1:7" ht="14.25" customHeight="1">
      <c r="A91" s="2" t="s">
        <v>15</v>
      </c>
      <c r="B91" s="2">
        <v>1923</v>
      </c>
      <c r="C91" s="2" t="s">
        <v>22</v>
      </c>
      <c r="D91" s="2">
        <v>152359</v>
      </c>
      <c r="E91" s="3">
        <f t="shared" si="0"/>
        <v>152.35900000000001</v>
      </c>
      <c r="G91" s="2">
        <f t="shared" si="1"/>
        <v>152.35900000000001</v>
      </c>
    </row>
    <row r="92" spans="1:7" ht="14.25" customHeight="1">
      <c r="A92" s="2" t="s">
        <v>15</v>
      </c>
      <c r="B92" s="2">
        <v>1924</v>
      </c>
      <c r="C92" s="2" t="s">
        <v>22</v>
      </c>
      <c r="D92" s="2">
        <v>190650</v>
      </c>
      <c r="E92" s="3">
        <f t="shared" si="0"/>
        <v>190.65</v>
      </c>
      <c r="G92" s="2">
        <f t="shared" si="1"/>
        <v>190.65</v>
      </c>
    </row>
    <row r="93" spans="1:7" ht="14.25" customHeight="1">
      <c r="A93" s="2" t="s">
        <v>15</v>
      </c>
      <c r="B93" s="2">
        <v>1925</v>
      </c>
      <c r="C93" s="2" t="s">
        <v>22</v>
      </c>
      <c r="D93" s="2">
        <v>201670</v>
      </c>
      <c r="E93" s="3">
        <f t="shared" si="0"/>
        <v>201.67</v>
      </c>
      <c r="G93" s="2">
        <f t="shared" si="1"/>
        <v>201.67</v>
      </c>
    </row>
    <row r="94" spans="1:7" ht="14.25" customHeight="1">
      <c r="A94" s="2" t="s">
        <v>15</v>
      </c>
      <c r="B94" s="2">
        <v>1926</v>
      </c>
      <c r="C94" s="2" t="s">
        <v>22</v>
      </c>
      <c r="D94" s="2">
        <v>201587</v>
      </c>
      <c r="E94" s="3">
        <f t="shared" si="0"/>
        <v>201.58699999999999</v>
      </c>
      <c r="G94" s="2">
        <f t="shared" si="1"/>
        <v>201.58699999999999</v>
      </c>
    </row>
    <row r="95" spans="1:7" ht="14.25" customHeight="1">
      <c r="A95" s="2" t="s">
        <v>15</v>
      </c>
      <c r="B95" s="2">
        <v>1927</v>
      </c>
      <c r="C95" s="2" t="s">
        <v>22</v>
      </c>
      <c r="D95" s="2">
        <v>206869</v>
      </c>
      <c r="E95" s="3">
        <f t="shared" si="0"/>
        <v>206.869</v>
      </c>
      <c r="G95" s="2">
        <f t="shared" si="1"/>
        <v>206.869</v>
      </c>
    </row>
    <row r="96" spans="1:7" ht="14.25" customHeight="1">
      <c r="A96" s="2" t="s">
        <v>15</v>
      </c>
      <c r="B96" s="2">
        <v>1928</v>
      </c>
      <c r="C96" s="2" t="s">
        <v>22</v>
      </c>
      <c r="D96" s="2">
        <v>166857</v>
      </c>
      <c r="E96" s="3">
        <f t="shared" si="0"/>
        <v>166.857</v>
      </c>
      <c r="G96" s="2">
        <f t="shared" si="1"/>
        <v>166.857</v>
      </c>
    </row>
    <row r="97" spans="1:7" ht="14.25" customHeight="1">
      <c r="A97" s="2" t="s">
        <v>15</v>
      </c>
      <c r="B97" s="2">
        <v>1929</v>
      </c>
      <c r="C97" s="2" t="s">
        <v>22</v>
      </c>
      <c r="D97" s="2">
        <v>181273</v>
      </c>
      <c r="E97" s="3">
        <f t="shared" si="0"/>
        <v>181.273</v>
      </c>
      <c r="G97" s="2">
        <f t="shared" si="1"/>
        <v>181.273</v>
      </c>
    </row>
    <row r="98" spans="1:7" ht="14.25" customHeight="1">
      <c r="A98" s="2" t="s">
        <v>15</v>
      </c>
      <c r="B98" s="2">
        <v>1930</v>
      </c>
      <c r="C98" s="2" t="s">
        <v>22</v>
      </c>
      <c r="D98" s="2">
        <v>245732</v>
      </c>
      <c r="E98" s="3">
        <f t="shared" si="0"/>
        <v>245.732</v>
      </c>
      <c r="G98" s="2">
        <f t="shared" si="1"/>
        <v>245.732</v>
      </c>
    </row>
    <row r="99" spans="1:7" ht="14.25" customHeight="1">
      <c r="A99" s="2" t="s">
        <v>15</v>
      </c>
      <c r="B99" s="2">
        <v>1931</v>
      </c>
      <c r="C99" s="2" t="s">
        <v>22</v>
      </c>
      <c r="D99" s="2">
        <v>258970</v>
      </c>
      <c r="E99" s="3">
        <f t="shared" si="0"/>
        <v>258.97000000000003</v>
      </c>
      <c r="G99" s="2">
        <f t="shared" si="1"/>
        <v>258.97000000000003</v>
      </c>
    </row>
    <row r="100" spans="1:7" ht="14.25" customHeight="1">
      <c r="A100" s="2" t="s">
        <v>15</v>
      </c>
      <c r="B100" s="2">
        <v>1932</v>
      </c>
      <c r="C100" s="2" t="s">
        <v>22</v>
      </c>
      <c r="D100" s="2">
        <v>281113</v>
      </c>
      <c r="E100" s="3">
        <f t="shared" si="0"/>
        <v>281.113</v>
      </c>
      <c r="G100" s="2">
        <f t="shared" si="1"/>
        <v>281.113</v>
      </c>
    </row>
    <row r="101" spans="1:7" ht="14.25" customHeight="1">
      <c r="A101" s="2" t="s">
        <v>15</v>
      </c>
      <c r="B101" s="2">
        <v>1933</v>
      </c>
      <c r="C101" s="2" t="s">
        <v>22</v>
      </c>
      <c r="D101" s="2">
        <v>281845</v>
      </c>
      <c r="E101" s="3">
        <f t="shared" si="0"/>
        <v>281.84500000000003</v>
      </c>
      <c r="G101" s="2">
        <f t="shared" si="1"/>
        <v>281.84500000000003</v>
      </c>
    </row>
    <row r="102" spans="1:7" ht="14.25" customHeight="1">
      <c r="A102" s="2" t="s">
        <v>15</v>
      </c>
      <c r="B102" s="2">
        <v>1934</v>
      </c>
      <c r="C102" s="2" t="s">
        <v>22</v>
      </c>
      <c r="D102" s="2">
        <v>283117</v>
      </c>
      <c r="E102" s="3">
        <f t="shared" si="0"/>
        <v>283.11700000000002</v>
      </c>
      <c r="G102" s="2">
        <f t="shared" si="1"/>
        <v>283.11700000000002</v>
      </c>
    </row>
    <row r="103" spans="1:7" ht="14.25" customHeight="1">
      <c r="A103" s="2" t="s">
        <v>15</v>
      </c>
      <c r="B103" s="2">
        <v>1935</v>
      </c>
      <c r="C103" s="2" t="s">
        <v>22</v>
      </c>
      <c r="D103" s="2">
        <v>308360</v>
      </c>
      <c r="E103" s="3">
        <f t="shared" si="0"/>
        <v>308.36</v>
      </c>
      <c r="G103" s="2">
        <f t="shared" si="1"/>
        <v>308.36</v>
      </c>
    </row>
    <row r="104" spans="1:7" ht="14.25" customHeight="1">
      <c r="A104" s="2" t="s">
        <v>15</v>
      </c>
      <c r="B104" s="2">
        <v>1936</v>
      </c>
      <c r="C104" s="2" t="s">
        <v>22</v>
      </c>
      <c r="D104" s="2">
        <v>355380</v>
      </c>
      <c r="E104" s="3">
        <f t="shared" si="0"/>
        <v>355.38</v>
      </c>
      <c r="G104" s="2">
        <f t="shared" si="1"/>
        <v>355.38</v>
      </c>
    </row>
    <row r="105" spans="1:7" ht="14.25" customHeight="1">
      <c r="A105" s="2" t="s">
        <v>15</v>
      </c>
      <c r="B105" s="2">
        <v>1937</v>
      </c>
      <c r="C105" s="2" t="s">
        <v>22</v>
      </c>
      <c r="D105" s="2">
        <v>381318</v>
      </c>
      <c r="E105" s="3">
        <f t="shared" si="0"/>
        <v>381.31799999999998</v>
      </c>
      <c r="G105" s="2">
        <f t="shared" si="1"/>
        <v>381.31799999999998</v>
      </c>
    </row>
    <row r="106" spans="1:7" ht="14.25" customHeight="1">
      <c r="A106" s="2" t="s">
        <v>15</v>
      </c>
      <c r="B106" s="2">
        <v>1938</v>
      </c>
      <c r="C106" s="2" t="s">
        <v>22</v>
      </c>
      <c r="D106" s="2">
        <v>355391</v>
      </c>
      <c r="E106" s="3">
        <f t="shared" si="0"/>
        <v>355.39100000000002</v>
      </c>
      <c r="G106" s="2">
        <f t="shared" si="1"/>
        <v>355.39100000000002</v>
      </c>
    </row>
    <row r="107" spans="1:7" ht="14.25" customHeight="1">
      <c r="A107" s="2" t="s">
        <v>15</v>
      </c>
      <c r="B107" s="2">
        <v>1939</v>
      </c>
      <c r="C107" s="2" t="s">
        <v>22</v>
      </c>
      <c r="D107" s="2">
        <v>265635</v>
      </c>
      <c r="E107" s="3">
        <f t="shared" si="0"/>
        <v>265.63499999999999</v>
      </c>
      <c r="G107" s="2">
        <f t="shared" si="1"/>
        <v>265.63499999999999</v>
      </c>
    </row>
    <row r="108" spans="1:7" ht="14.25" customHeight="1">
      <c r="A108" s="2" t="s">
        <v>15</v>
      </c>
      <c r="B108" s="2">
        <v>1940</v>
      </c>
      <c r="C108" s="2" t="s">
        <v>22</v>
      </c>
      <c r="D108" s="2">
        <v>64650</v>
      </c>
      <c r="E108" s="3">
        <f t="shared" si="0"/>
        <v>64.650000000000006</v>
      </c>
      <c r="G108" s="2">
        <f t="shared" si="1"/>
        <v>64.650000000000006</v>
      </c>
    </row>
    <row r="109" spans="1:7" ht="14.25" customHeight="1">
      <c r="A109" s="2" t="s">
        <v>15</v>
      </c>
      <c r="B109" s="2">
        <v>1941</v>
      </c>
      <c r="C109" s="2" t="s">
        <v>22</v>
      </c>
      <c r="D109" s="2">
        <v>44891</v>
      </c>
      <c r="E109" s="3">
        <f t="shared" si="0"/>
        <v>44.890999999999998</v>
      </c>
      <c r="G109" s="2">
        <f t="shared" si="1"/>
        <v>44.890999999999998</v>
      </c>
    </row>
    <row r="110" spans="1:7" ht="14.25" customHeight="1">
      <c r="A110" s="2" t="s">
        <v>15</v>
      </c>
      <c r="B110" s="2">
        <v>1942</v>
      </c>
      <c r="C110" s="2" t="s">
        <v>22</v>
      </c>
      <c r="D110" s="2">
        <v>55644</v>
      </c>
      <c r="E110" s="3">
        <f t="shared" si="0"/>
        <v>55.643999999999998</v>
      </c>
      <c r="G110" s="2">
        <f t="shared" si="1"/>
        <v>55.643999999999998</v>
      </c>
    </row>
    <row r="111" spans="1:7" ht="14.25" customHeight="1">
      <c r="A111" s="2" t="s">
        <v>15</v>
      </c>
      <c r="B111" s="2">
        <v>1943</v>
      </c>
      <c r="C111" s="2" t="s">
        <v>22</v>
      </c>
      <c r="D111" s="2">
        <v>72726</v>
      </c>
      <c r="E111" s="3">
        <f t="shared" si="0"/>
        <v>72.725999999999999</v>
      </c>
      <c r="G111" s="2">
        <f t="shared" si="1"/>
        <v>72.725999999999999</v>
      </c>
    </row>
    <row r="112" spans="1:7" ht="14.25" customHeight="1">
      <c r="A112" s="2" t="s">
        <v>15</v>
      </c>
      <c r="B112" s="2">
        <v>1944</v>
      </c>
      <c r="C112" s="2" t="s">
        <v>22</v>
      </c>
      <c r="D112" s="2">
        <v>77785</v>
      </c>
      <c r="E112" s="3">
        <f t="shared" si="0"/>
        <v>77.784999999999997</v>
      </c>
      <c r="G112" s="2">
        <f t="shared" si="1"/>
        <v>77.784999999999997</v>
      </c>
    </row>
    <row r="113" spans="1:7" ht="14.25" customHeight="1">
      <c r="A113" s="2" t="s">
        <v>15</v>
      </c>
      <c r="B113" s="2">
        <v>1945</v>
      </c>
      <c r="C113" s="2" t="s">
        <v>22</v>
      </c>
      <c r="D113" s="2">
        <v>121893</v>
      </c>
      <c r="E113" s="3">
        <f t="shared" si="0"/>
        <v>121.893</v>
      </c>
      <c r="G113" s="2">
        <f t="shared" si="1"/>
        <v>121.893</v>
      </c>
    </row>
    <row r="114" spans="1:7" ht="14.25" customHeight="1">
      <c r="A114" s="2" t="s">
        <v>15</v>
      </c>
      <c r="B114" s="2">
        <v>1946</v>
      </c>
      <c r="C114" s="2" t="s">
        <v>22</v>
      </c>
      <c r="D114" s="2">
        <v>287715</v>
      </c>
      <c r="E114" s="3">
        <f t="shared" si="0"/>
        <v>287.71499999999997</v>
      </c>
      <c r="G114" s="2">
        <f t="shared" si="1"/>
        <v>287.71499999999997</v>
      </c>
    </row>
    <row r="115" spans="1:7" ht="14.25" customHeight="1">
      <c r="A115" s="2" t="s">
        <v>15</v>
      </c>
      <c r="B115" s="2">
        <v>1947</v>
      </c>
      <c r="C115" s="2" t="s">
        <v>22</v>
      </c>
      <c r="D115" s="2">
        <v>320756</v>
      </c>
      <c r="E115" s="3">
        <f t="shared" si="0"/>
        <v>320.75599999999997</v>
      </c>
      <c r="G115" s="2">
        <f t="shared" si="1"/>
        <v>320.75599999999997</v>
      </c>
    </row>
    <row r="116" spans="1:7" ht="14.25" customHeight="1">
      <c r="A116" s="2" t="s">
        <v>15</v>
      </c>
      <c r="B116" s="2">
        <v>1948</v>
      </c>
      <c r="C116" s="2" t="s">
        <v>22</v>
      </c>
      <c r="D116" s="2">
        <v>335419</v>
      </c>
      <c r="E116" s="3">
        <f t="shared" si="0"/>
        <v>335.41899999999998</v>
      </c>
      <c r="G116" s="2">
        <f t="shared" si="1"/>
        <v>335.41899999999998</v>
      </c>
    </row>
    <row r="117" spans="1:7" ht="14.25" customHeight="1">
      <c r="A117" s="2" t="s">
        <v>15</v>
      </c>
      <c r="B117" s="2">
        <v>1949</v>
      </c>
      <c r="C117" s="2" t="s">
        <v>22</v>
      </c>
      <c r="D117" s="2">
        <v>375864</v>
      </c>
      <c r="E117" s="3">
        <f t="shared" si="0"/>
        <v>375.86399999999998</v>
      </c>
      <c r="G117" s="2">
        <f t="shared" si="1"/>
        <v>375.86399999999998</v>
      </c>
    </row>
    <row r="118" spans="1:7" ht="14.25" customHeight="1">
      <c r="A118" s="2" t="s">
        <v>15</v>
      </c>
      <c r="B118" s="2">
        <v>1950</v>
      </c>
      <c r="C118" s="2" t="s">
        <v>22</v>
      </c>
      <c r="D118" s="2">
        <v>325614</v>
      </c>
      <c r="E118" s="3">
        <f t="shared" si="0"/>
        <v>325.61399999999998</v>
      </c>
      <c r="F118" s="2">
        <v>0</v>
      </c>
      <c r="G118" s="2">
        <f t="shared" si="1"/>
        <v>325.61399999999998</v>
      </c>
    </row>
    <row r="119" spans="1:7" ht="14.25" customHeight="1">
      <c r="A119" s="2" t="s">
        <v>15</v>
      </c>
      <c r="B119" s="2">
        <v>1951</v>
      </c>
      <c r="C119" s="2" t="s">
        <v>22</v>
      </c>
      <c r="D119" s="2">
        <v>440627</v>
      </c>
      <c r="E119" s="3">
        <f t="shared" si="0"/>
        <v>440.62700000000001</v>
      </c>
      <c r="F119" s="2">
        <v>0</v>
      </c>
      <c r="G119" s="2">
        <f t="shared" si="1"/>
        <v>440.62700000000001</v>
      </c>
    </row>
    <row r="120" spans="1:7" ht="14.25" customHeight="1">
      <c r="A120" s="2" t="s">
        <v>15</v>
      </c>
      <c r="B120" s="2">
        <v>1952</v>
      </c>
      <c r="C120" s="2" t="s">
        <v>22</v>
      </c>
      <c r="D120" s="2">
        <v>409320</v>
      </c>
      <c r="E120" s="3">
        <f t="shared" si="0"/>
        <v>409.32</v>
      </c>
      <c r="F120" s="2">
        <v>0</v>
      </c>
      <c r="G120" s="2">
        <f t="shared" si="1"/>
        <v>409.32</v>
      </c>
    </row>
    <row r="121" spans="1:7" ht="14.25" customHeight="1">
      <c r="A121" s="2" t="s">
        <v>15</v>
      </c>
      <c r="B121" s="2">
        <v>1953</v>
      </c>
      <c r="C121" s="2" t="s">
        <v>22</v>
      </c>
      <c r="D121" s="2">
        <v>401466</v>
      </c>
      <c r="E121" s="3">
        <f t="shared" si="0"/>
        <v>401.46600000000001</v>
      </c>
      <c r="F121" s="2">
        <v>0</v>
      </c>
      <c r="G121" s="2">
        <f t="shared" si="1"/>
        <v>401.46600000000001</v>
      </c>
    </row>
    <row r="122" spans="1:7" ht="14.25" customHeight="1">
      <c r="A122" s="2" t="s">
        <v>15</v>
      </c>
      <c r="B122" s="2">
        <v>1954</v>
      </c>
      <c r="C122" s="2" t="s">
        <v>22</v>
      </c>
      <c r="D122" s="2">
        <v>414874</v>
      </c>
      <c r="E122" s="3">
        <f t="shared" si="0"/>
        <v>414.87400000000002</v>
      </c>
      <c r="F122" s="2">
        <v>0</v>
      </c>
      <c r="G122" s="2">
        <f t="shared" si="1"/>
        <v>414.87400000000002</v>
      </c>
    </row>
    <row r="123" spans="1:7" ht="14.25" customHeight="1">
      <c r="A123" s="2" t="s">
        <v>15</v>
      </c>
      <c r="B123" s="2">
        <v>1955</v>
      </c>
      <c r="C123" s="2" t="s">
        <v>22</v>
      </c>
      <c r="D123" s="2">
        <v>450043</v>
      </c>
      <c r="E123" s="3">
        <f t="shared" si="0"/>
        <v>450.04300000000001</v>
      </c>
      <c r="F123" s="2">
        <v>0</v>
      </c>
      <c r="G123" s="2">
        <f t="shared" si="1"/>
        <v>450.04300000000001</v>
      </c>
    </row>
    <row r="124" spans="1:7" ht="14.25" customHeight="1">
      <c r="A124" s="2" t="s">
        <v>15</v>
      </c>
      <c r="B124" s="2">
        <v>1956</v>
      </c>
      <c r="C124" s="2" t="s">
        <v>22</v>
      </c>
      <c r="D124" s="2">
        <v>472364</v>
      </c>
      <c r="E124" s="3">
        <f t="shared" si="0"/>
        <v>472.36399999999998</v>
      </c>
      <c r="F124" s="2">
        <v>0</v>
      </c>
      <c r="G124" s="2">
        <f t="shared" si="1"/>
        <v>472.36399999999998</v>
      </c>
    </row>
    <row r="125" spans="1:7" ht="14.25" customHeight="1">
      <c r="A125" s="2" t="s">
        <v>15</v>
      </c>
      <c r="B125" s="2">
        <v>1957</v>
      </c>
      <c r="C125" s="2" t="s">
        <v>22</v>
      </c>
      <c r="D125" s="2">
        <v>403592</v>
      </c>
      <c r="E125" s="3">
        <f t="shared" si="0"/>
        <v>403.59199999999998</v>
      </c>
      <c r="F125" s="2">
        <v>0</v>
      </c>
      <c r="G125" s="2">
        <f t="shared" si="1"/>
        <v>403.59199999999998</v>
      </c>
    </row>
    <row r="126" spans="1:7" ht="14.25" customHeight="1">
      <c r="A126" s="2" t="s">
        <v>15</v>
      </c>
      <c r="B126" s="2">
        <v>1958</v>
      </c>
      <c r="C126" s="2" t="s">
        <v>22</v>
      </c>
      <c r="D126" s="2">
        <v>399040</v>
      </c>
      <c r="E126" s="3">
        <f t="shared" si="0"/>
        <v>399.04</v>
      </c>
      <c r="F126" s="2">
        <v>0</v>
      </c>
      <c r="G126" s="2">
        <f t="shared" si="1"/>
        <v>399.04</v>
      </c>
    </row>
    <row r="127" spans="1:7" ht="14.25" customHeight="1">
      <c r="A127" s="2" t="s">
        <v>15</v>
      </c>
      <c r="B127" s="2">
        <v>1959</v>
      </c>
      <c r="C127" s="2" t="s">
        <v>22</v>
      </c>
      <c r="D127" s="2">
        <v>388328</v>
      </c>
      <c r="E127" s="3">
        <f t="shared" si="0"/>
        <v>388.32799999999997</v>
      </c>
      <c r="F127" s="2">
        <v>0</v>
      </c>
      <c r="G127" s="2">
        <f t="shared" si="1"/>
        <v>388.32799999999997</v>
      </c>
    </row>
    <row r="128" spans="1:7" ht="14.25" customHeight="1">
      <c r="A128" s="2" t="s">
        <v>15</v>
      </c>
      <c r="B128" s="2">
        <v>1960</v>
      </c>
      <c r="C128" s="2" t="s">
        <v>22</v>
      </c>
      <c r="D128" s="2">
        <v>352838</v>
      </c>
      <c r="E128" s="3">
        <f t="shared" si="0"/>
        <v>352.83800000000002</v>
      </c>
      <c r="F128" s="2">
        <v>0</v>
      </c>
      <c r="G128" s="2">
        <f t="shared" si="1"/>
        <v>352.83800000000002</v>
      </c>
    </row>
    <row r="129" spans="1:7" ht="14.25" customHeight="1">
      <c r="A129" s="2" t="s">
        <v>15</v>
      </c>
      <c r="B129" s="2">
        <v>1961</v>
      </c>
      <c r="C129" s="2" t="s">
        <v>22</v>
      </c>
      <c r="D129" s="2">
        <v>330337</v>
      </c>
      <c r="E129" s="3">
        <f t="shared" si="0"/>
        <v>330.33699999999999</v>
      </c>
      <c r="F129" s="2">
        <v>0</v>
      </c>
      <c r="G129" s="2">
        <f t="shared" si="1"/>
        <v>330.33699999999999</v>
      </c>
    </row>
    <row r="130" spans="1:7" ht="14.25" customHeight="1">
      <c r="A130" s="2" t="s">
        <v>15</v>
      </c>
      <c r="B130" s="2">
        <v>1962</v>
      </c>
      <c r="C130" s="2" t="s">
        <v>22</v>
      </c>
      <c r="D130" s="2">
        <v>360541</v>
      </c>
      <c r="E130" s="3">
        <f t="shared" si="0"/>
        <v>360.541</v>
      </c>
      <c r="F130" s="2">
        <v>0</v>
      </c>
      <c r="G130" s="2">
        <f t="shared" si="1"/>
        <v>360.541</v>
      </c>
    </row>
    <row r="131" spans="1:7" ht="14.25" customHeight="1">
      <c r="A131" s="2" t="s">
        <v>15</v>
      </c>
      <c r="B131" s="2">
        <v>1963</v>
      </c>
      <c r="C131" s="2" t="s">
        <v>22</v>
      </c>
      <c r="D131" s="2">
        <v>346284</v>
      </c>
      <c r="E131" s="3">
        <f t="shared" si="0"/>
        <v>346.28399999999999</v>
      </c>
      <c r="F131" s="2">
        <v>0</v>
      </c>
      <c r="G131" s="2">
        <f t="shared" si="1"/>
        <v>346.28399999999999</v>
      </c>
    </row>
    <row r="132" spans="1:7" ht="14.25" customHeight="1">
      <c r="A132" s="2" t="s">
        <v>15</v>
      </c>
      <c r="B132" s="2">
        <v>1964</v>
      </c>
      <c r="C132" s="2" t="s">
        <v>22</v>
      </c>
      <c r="D132" s="2">
        <v>314850</v>
      </c>
      <c r="E132" s="3">
        <f t="shared" si="0"/>
        <v>314.85000000000002</v>
      </c>
      <c r="F132" s="2">
        <v>0</v>
      </c>
      <c r="G132" s="2">
        <f t="shared" si="1"/>
        <v>314.85000000000002</v>
      </c>
    </row>
    <row r="133" spans="1:7" ht="14.25" customHeight="1">
      <c r="A133" s="2" t="s">
        <v>15</v>
      </c>
      <c r="B133" s="2">
        <v>1965</v>
      </c>
      <c r="C133" s="2" t="s">
        <v>22</v>
      </c>
      <c r="D133" s="2">
        <v>328467</v>
      </c>
      <c r="E133" s="3">
        <f t="shared" si="0"/>
        <v>328.46699999999998</v>
      </c>
      <c r="F133" s="2">
        <v>0</v>
      </c>
      <c r="G133" s="2">
        <f t="shared" si="1"/>
        <v>328.46699999999998</v>
      </c>
    </row>
    <row r="134" spans="1:7" ht="14.25" customHeight="1">
      <c r="A134" s="2" t="s">
        <v>15</v>
      </c>
      <c r="B134" s="2">
        <v>1966</v>
      </c>
      <c r="C134" s="2" t="s">
        <v>22</v>
      </c>
      <c r="D134" s="2">
        <v>332915</v>
      </c>
      <c r="E134" s="3">
        <f t="shared" si="0"/>
        <v>332.91500000000002</v>
      </c>
      <c r="F134" s="2">
        <v>0</v>
      </c>
      <c r="G134" s="2">
        <f t="shared" si="1"/>
        <v>332.91500000000002</v>
      </c>
    </row>
    <row r="135" spans="1:7" ht="14.25" customHeight="1">
      <c r="A135" s="2" t="s">
        <v>15</v>
      </c>
      <c r="B135" s="2">
        <v>1967</v>
      </c>
      <c r="C135" s="2" t="s">
        <v>22</v>
      </c>
      <c r="D135" s="2">
        <v>343849</v>
      </c>
      <c r="E135" s="3">
        <f t="shared" si="0"/>
        <v>343.84899999999999</v>
      </c>
      <c r="F135" s="2">
        <v>0</v>
      </c>
      <c r="G135" s="2">
        <f t="shared" si="1"/>
        <v>343.84899999999999</v>
      </c>
    </row>
    <row r="136" spans="1:7" ht="14.25" customHeight="1">
      <c r="A136" s="2" t="s">
        <v>15</v>
      </c>
      <c r="B136" s="2">
        <v>1968</v>
      </c>
      <c r="C136" s="2" t="s">
        <v>22</v>
      </c>
      <c r="D136" s="2">
        <v>401229</v>
      </c>
      <c r="E136" s="3">
        <f t="shared" si="0"/>
        <v>401.22899999999998</v>
      </c>
      <c r="F136" s="2">
        <v>0</v>
      </c>
      <c r="G136" s="2">
        <f t="shared" si="1"/>
        <v>401.22899999999998</v>
      </c>
    </row>
    <row r="137" spans="1:7" ht="14.25" customHeight="1">
      <c r="A137" s="2" t="s">
        <v>15</v>
      </c>
      <c r="B137" s="2">
        <v>1969</v>
      </c>
      <c r="C137" s="2" t="s">
        <v>22</v>
      </c>
      <c r="D137" s="2">
        <v>450869</v>
      </c>
      <c r="E137" s="3">
        <f t="shared" si="0"/>
        <v>450.86900000000003</v>
      </c>
      <c r="F137" s="2">
        <v>0</v>
      </c>
      <c r="G137" s="2">
        <f t="shared" si="1"/>
        <v>450.86900000000003</v>
      </c>
    </row>
    <row r="138" spans="1:7" ht="14.25" customHeight="1">
      <c r="A138" s="2" t="s">
        <v>15</v>
      </c>
      <c r="B138" s="2">
        <v>1970</v>
      </c>
      <c r="C138" s="2" t="s">
        <v>22</v>
      </c>
      <c r="D138" s="2">
        <v>408002</v>
      </c>
      <c r="E138" s="3">
        <f t="shared" si="0"/>
        <v>408.00200000000001</v>
      </c>
      <c r="F138" s="2">
        <v>0</v>
      </c>
      <c r="G138" s="2">
        <f t="shared" si="1"/>
        <v>408.00200000000001</v>
      </c>
    </row>
    <row r="139" spans="1:7" ht="14.25" customHeight="1">
      <c r="A139" s="2" t="s">
        <v>15</v>
      </c>
      <c r="B139" s="2">
        <v>1971</v>
      </c>
      <c r="C139" s="2" t="s">
        <v>22</v>
      </c>
      <c r="D139" s="2">
        <v>360183</v>
      </c>
      <c r="E139" s="3">
        <f t="shared" si="0"/>
        <v>360.18299999999999</v>
      </c>
      <c r="F139" s="2">
        <v>0</v>
      </c>
      <c r="G139" s="2">
        <f t="shared" si="1"/>
        <v>360.18299999999999</v>
      </c>
    </row>
    <row r="140" spans="1:7" ht="14.25" customHeight="1">
      <c r="A140" s="2" t="s">
        <v>15</v>
      </c>
      <c r="B140" s="2">
        <v>1972</v>
      </c>
      <c r="C140" s="2" t="s">
        <v>22</v>
      </c>
      <c r="D140" s="2">
        <v>349064</v>
      </c>
      <c r="E140" s="3">
        <f t="shared" si="0"/>
        <v>349.06400000000002</v>
      </c>
      <c r="F140" s="2">
        <v>0</v>
      </c>
      <c r="G140" s="2">
        <f t="shared" si="1"/>
        <v>349.06400000000002</v>
      </c>
    </row>
    <row r="141" spans="1:7" ht="14.25" customHeight="1">
      <c r="A141" s="2" t="s">
        <v>15</v>
      </c>
      <c r="B141" s="2">
        <v>1973</v>
      </c>
      <c r="C141" s="2" t="s">
        <v>22</v>
      </c>
      <c r="D141" s="2">
        <v>323179</v>
      </c>
      <c r="E141" s="3">
        <f t="shared" si="0"/>
        <v>323.17899999999997</v>
      </c>
      <c r="F141" s="2">
        <v>0</v>
      </c>
      <c r="G141" s="2">
        <f t="shared" si="1"/>
        <v>323.17899999999997</v>
      </c>
    </row>
    <row r="142" spans="1:7" ht="14.25" customHeight="1">
      <c r="A142" s="2" t="s">
        <v>15</v>
      </c>
      <c r="B142" s="2">
        <v>1974</v>
      </c>
      <c r="C142" s="2" t="s">
        <v>22</v>
      </c>
      <c r="D142" s="2">
        <v>315686</v>
      </c>
      <c r="E142" s="3">
        <f t="shared" si="0"/>
        <v>315.68599999999998</v>
      </c>
      <c r="F142" s="2">
        <v>0</v>
      </c>
      <c r="G142" s="2">
        <f t="shared" si="1"/>
        <v>315.68599999999998</v>
      </c>
    </row>
    <row r="143" spans="1:7" ht="14.25" customHeight="1">
      <c r="A143" s="2" t="s">
        <v>15</v>
      </c>
      <c r="B143" s="2">
        <v>1975</v>
      </c>
      <c r="C143" s="2" t="s">
        <v>22</v>
      </c>
      <c r="D143" s="2">
        <v>289973</v>
      </c>
      <c r="E143" s="3">
        <f t="shared" si="0"/>
        <v>289.97300000000001</v>
      </c>
      <c r="F143" s="2">
        <v>0</v>
      </c>
      <c r="G143" s="2">
        <f t="shared" si="1"/>
        <v>289.97300000000001</v>
      </c>
    </row>
    <row r="144" spans="1:7" ht="14.25" customHeight="1">
      <c r="A144" s="2" t="s">
        <v>15</v>
      </c>
      <c r="B144" s="2">
        <v>1976</v>
      </c>
      <c r="C144" s="2" t="s">
        <v>22</v>
      </c>
      <c r="D144" s="2">
        <v>254144</v>
      </c>
      <c r="E144" s="3">
        <f t="shared" si="0"/>
        <v>254.14400000000001</v>
      </c>
      <c r="F144" s="2">
        <v>0</v>
      </c>
      <c r="G144" s="2">
        <f t="shared" si="1"/>
        <v>254.14400000000001</v>
      </c>
    </row>
    <row r="145" spans="1:7" ht="14.25" customHeight="1">
      <c r="A145" s="2" t="s">
        <v>15</v>
      </c>
      <c r="B145" s="2">
        <v>1977</v>
      </c>
      <c r="C145" s="2" t="s">
        <v>22</v>
      </c>
      <c r="D145" s="2">
        <v>174265</v>
      </c>
      <c r="E145" s="3">
        <f t="shared" si="0"/>
        <v>174.26499999999999</v>
      </c>
      <c r="F145" s="2">
        <v>0</v>
      </c>
      <c r="G145" s="2">
        <f t="shared" si="1"/>
        <v>174.26499999999999</v>
      </c>
    </row>
    <row r="146" spans="1:7" ht="14.25" customHeight="1">
      <c r="A146" s="2" t="s">
        <v>15</v>
      </c>
      <c r="B146" s="2">
        <v>1978</v>
      </c>
      <c r="C146" s="2" t="s">
        <v>22</v>
      </c>
      <c r="D146" s="2">
        <v>150689</v>
      </c>
      <c r="E146" s="3">
        <f t="shared" si="0"/>
        <v>150.68899999999999</v>
      </c>
      <c r="F146" s="2">
        <v>0</v>
      </c>
      <c r="G146" s="2">
        <f t="shared" si="1"/>
        <v>150.68899999999999</v>
      </c>
    </row>
    <row r="147" spans="1:7" ht="14.25" customHeight="1">
      <c r="A147" s="2" t="s">
        <v>15</v>
      </c>
      <c r="B147" s="2">
        <v>1979</v>
      </c>
      <c r="C147" s="2" t="s">
        <v>22</v>
      </c>
      <c r="D147" s="2">
        <v>130497</v>
      </c>
      <c r="E147" s="3">
        <f t="shared" si="0"/>
        <v>130.49700000000001</v>
      </c>
      <c r="F147" s="2">
        <v>0</v>
      </c>
      <c r="G147" s="2">
        <f t="shared" si="1"/>
        <v>130.49700000000001</v>
      </c>
    </row>
    <row r="148" spans="1:7" ht="14.25" customHeight="1">
      <c r="A148" s="2" t="s">
        <v>15</v>
      </c>
      <c r="B148" s="2">
        <v>1980</v>
      </c>
      <c r="C148" s="2" t="s">
        <v>22</v>
      </c>
      <c r="D148" s="2">
        <v>124717</v>
      </c>
      <c r="E148" s="3">
        <f t="shared" si="0"/>
        <v>124.717</v>
      </c>
      <c r="F148" s="2">
        <v>0</v>
      </c>
      <c r="G148" s="2">
        <f t="shared" si="1"/>
        <v>124.717</v>
      </c>
    </row>
    <row r="149" spans="1:7" ht="14.25" customHeight="1">
      <c r="A149" s="2" t="s">
        <v>15</v>
      </c>
      <c r="B149" s="2">
        <v>1981</v>
      </c>
      <c r="C149" s="2" t="s">
        <v>22</v>
      </c>
      <c r="D149" s="2">
        <v>140323</v>
      </c>
      <c r="E149" s="3">
        <f t="shared" si="0"/>
        <v>140.32300000000001</v>
      </c>
      <c r="F149" s="2">
        <v>0</v>
      </c>
      <c r="G149" s="2">
        <f t="shared" si="1"/>
        <v>140.32300000000001</v>
      </c>
    </row>
    <row r="150" spans="1:7" ht="14.25" customHeight="1">
      <c r="A150" s="2" t="s">
        <v>15</v>
      </c>
      <c r="B150" s="2">
        <v>1982</v>
      </c>
      <c r="C150" s="2" t="s">
        <v>22</v>
      </c>
      <c r="D150" s="2">
        <v>137601</v>
      </c>
      <c r="E150" s="3">
        <f t="shared" si="0"/>
        <v>137.601</v>
      </c>
      <c r="F150" s="2">
        <v>0</v>
      </c>
      <c r="G150" s="2">
        <f t="shared" si="1"/>
        <v>137.601</v>
      </c>
    </row>
    <row r="151" spans="1:7" ht="14.25" customHeight="1">
      <c r="A151" s="2" t="s">
        <v>15</v>
      </c>
      <c r="B151" s="2">
        <v>1983</v>
      </c>
      <c r="C151" s="2" t="s">
        <v>22</v>
      </c>
      <c r="D151" s="2">
        <v>134737</v>
      </c>
      <c r="E151" s="3">
        <f t="shared" si="0"/>
        <v>134.73699999999999</v>
      </c>
      <c r="F151" s="2">
        <v>0</v>
      </c>
      <c r="G151" s="2">
        <f t="shared" si="1"/>
        <v>134.73699999999999</v>
      </c>
    </row>
    <row r="152" spans="1:7" ht="14.25" customHeight="1">
      <c r="A152" s="2" t="s">
        <v>15</v>
      </c>
      <c r="B152" s="2">
        <v>1984</v>
      </c>
      <c r="C152" s="2" t="s">
        <v>22</v>
      </c>
      <c r="D152" s="2">
        <v>110069</v>
      </c>
      <c r="E152" s="3">
        <f t="shared" si="0"/>
        <v>110.069</v>
      </c>
      <c r="F152" s="2">
        <v>0</v>
      </c>
      <c r="G152" s="2">
        <f t="shared" si="1"/>
        <v>110.069</v>
      </c>
    </row>
    <row r="153" spans="1:7" ht="14.25" customHeight="1">
      <c r="A153" s="2" t="s">
        <v>15</v>
      </c>
      <c r="B153" s="2">
        <v>1985</v>
      </c>
      <c r="C153" s="2" t="s">
        <v>22</v>
      </c>
      <c r="D153" s="2">
        <v>109023</v>
      </c>
      <c r="E153" s="3">
        <f t="shared" si="0"/>
        <v>109.023</v>
      </c>
      <c r="F153" s="2">
        <v>0</v>
      </c>
      <c r="G153" s="2">
        <f t="shared" si="1"/>
        <v>109.023</v>
      </c>
    </row>
    <row r="154" spans="1:7" ht="14.25" customHeight="1">
      <c r="A154" s="2" t="s">
        <v>15</v>
      </c>
      <c r="B154" s="2">
        <v>1986</v>
      </c>
      <c r="C154" s="2" t="s">
        <v>22</v>
      </c>
      <c r="D154" s="2">
        <v>89727</v>
      </c>
      <c r="E154" s="3">
        <f t="shared" si="0"/>
        <v>89.727000000000004</v>
      </c>
      <c r="F154" s="2">
        <v>0</v>
      </c>
      <c r="G154" s="2">
        <f t="shared" si="1"/>
        <v>89.727000000000004</v>
      </c>
    </row>
    <row r="155" spans="1:7" ht="14.25" customHeight="1">
      <c r="A155" s="2" t="s">
        <v>15</v>
      </c>
      <c r="B155" s="2">
        <v>1987</v>
      </c>
      <c r="C155" s="2" t="s">
        <v>22</v>
      </c>
      <c r="D155" s="2">
        <v>110850</v>
      </c>
      <c r="E155" s="3">
        <f t="shared" si="0"/>
        <v>110.85</v>
      </c>
      <c r="F155" s="2">
        <v>0</v>
      </c>
      <c r="G155" s="2">
        <f t="shared" si="1"/>
        <v>110.85</v>
      </c>
    </row>
    <row r="156" spans="1:7" ht="14.25" customHeight="1">
      <c r="A156" s="2" t="s">
        <v>15</v>
      </c>
      <c r="B156" s="2">
        <v>1988</v>
      </c>
      <c r="C156" s="2" t="s">
        <v>22</v>
      </c>
      <c r="D156" s="2">
        <v>91456</v>
      </c>
      <c r="E156" s="3">
        <f t="shared" si="0"/>
        <v>91.456000000000003</v>
      </c>
      <c r="F156" s="2">
        <v>0</v>
      </c>
      <c r="G156" s="2">
        <f t="shared" si="1"/>
        <v>91.456000000000003</v>
      </c>
    </row>
    <row r="157" spans="1:7" ht="14.25" customHeight="1">
      <c r="A157" s="2" t="s">
        <v>15</v>
      </c>
      <c r="B157" s="2">
        <v>1989</v>
      </c>
      <c r="C157" s="2" t="s">
        <v>22</v>
      </c>
      <c r="D157" s="2">
        <v>77365</v>
      </c>
      <c r="E157" s="3">
        <f t="shared" si="0"/>
        <v>77.364999999999995</v>
      </c>
      <c r="F157" s="2">
        <v>0</v>
      </c>
      <c r="G157" s="2">
        <f t="shared" si="1"/>
        <v>77.364999999999995</v>
      </c>
    </row>
    <row r="158" spans="1:7" ht="14.25" customHeight="1">
      <c r="A158" s="2" t="s">
        <v>15</v>
      </c>
      <c r="B158" s="2">
        <v>1990</v>
      </c>
      <c r="C158" s="2" t="s">
        <v>22</v>
      </c>
      <c r="D158" s="2">
        <v>70004</v>
      </c>
      <c r="E158" s="3">
        <f t="shared" si="0"/>
        <v>70.004000000000005</v>
      </c>
      <c r="F158" s="2">
        <v>0</v>
      </c>
      <c r="G158" s="2">
        <f t="shared" si="1"/>
        <v>70.004000000000005</v>
      </c>
    </row>
    <row r="159" spans="1:7" ht="14.25" customHeight="1">
      <c r="A159" s="2" t="s">
        <v>15</v>
      </c>
      <c r="B159" s="2">
        <v>1991</v>
      </c>
      <c r="C159" s="2" t="s">
        <v>22</v>
      </c>
      <c r="D159" s="2">
        <v>67117</v>
      </c>
      <c r="E159" s="3">
        <f t="shared" si="0"/>
        <v>67.117000000000004</v>
      </c>
      <c r="F159" s="2">
        <v>0</v>
      </c>
      <c r="G159" s="2">
        <f t="shared" si="1"/>
        <v>67.117000000000004</v>
      </c>
    </row>
    <row r="160" spans="1:7" ht="14.25" customHeight="1">
      <c r="A160" s="2" t="s">
        <v>15</v>
      </c>
      <c r="B160" s="2">
        <v>1992</v>
      </c>
      <c r="C160" s="2" t="s">
        <v>22</v>
      </c>
      <c r="D160" s="2">
        <v>65207</v>
      </c>
      <c r="E160" s="3">
        <f t="shared" si="0"/>
        <v>65.206999999999994</v>
      </c>
      <c r="F160" s="2">
        <v>0</v>
      </c>
      <c r="G160" s="2">
        <f t="shared" si="1"/>
        <v>65.206999999999994</v>
      </c>
    </row>
    <row r="161" spans="1:7" ht="14.25" customHeight="1">
      <c r="A161" s="2" t="s">
        <v>15</v>
      </c>
      <c r="B161" s="2">
        <v>1993</v>
      </c>
      <c r="C161" s="2" t="s">
        <v>22</v>
      </c>
      <c r="D161" s="2">
        <v>67289</v>
      </c>
      <c r="E161" s="3">
        <f t="shared" si="0"/>
        <v>67.289000000000001</v>
      </c>
      <c r="F161" s="2">
        <v>0</v>
      </c>
      <c r="G161" s="2">
        <f t="shared" si="1"/>
        <v>67.289000000000001</v>
      </c>
    </row>
    <row r="162" spans="1:7" ht="14.25" customHeight="1">
      <c r="A162" s="2" t="s">
        <v>15</v>
      </c>
      <c r="B162" s="2">
        <v>1994</v>
      </c>
      <c r="C162" s="2" t="s">
        <v>22</v>
      </c>
      <c r="D162" s="2">
        <v>68855</v>
      </c>
      <c r="E162" s="3">
        <f t="shared" si="0"/>
        <v>68.855000000000004</v>
      </c>
      <c r="F162" s="2">
        <v>0</v>
      </c>
      <c r="G162" s="2">
        <f t="shared" si="1"/>
        <v>68.855000000000004</v>
      </c>
    </row>
    <row r="163" spans="1:7" ht="14.25" customHeight="1">
      <c r="A163" s="2" t="s">
        <v>15</v>
      </c>
      <c r="B163" s="2">
        <v>1995</v>
      </c>
      <c r="C163" s="2" t="s">
        <v>22</v>
      </c>
      <c r="D163" s="2">
        <v>78650</v>
      </c>
      <c r="E163" s="3">
        <f t="shared" si="0"/>
        <v>78.650000000000006</v>
      </c>
      <c r="F163" s="2">
        <v>0</v>
      </c>
      <c r="G163" s="2">
        <f t="shared" si="1"/>
        <v>78.650000000000006</v>
      </c>
    </row>
    <row r="164" spans="1:7" ht="14.25" customHeight="1">
      <c r="A164" s="2" t="s">
        <v>15</v>
      </c>
      <c r="B164" s="2">
        <v>1996</v>
      </c>
      <c r="C164" s="2" t="s">
        <v>22</v>
      </c>
      <c r="D164" s="2">
        <v>78233</v>
      </c>
      <c r="E164" s="3">
        <f t="shared" si="0"/>
        <v>78.233000000000004</v>
      </c>
      <c r="F164" s="2">
        <v>0</v>
      </c>
      <c r="G164" s="2">
        <f t="shared" si="1"/>
        <v>78.233000000000004</v>
      </c>
    </row>
    <row r="165" spans="1:7" ht="14.25" customHeight="1">
      <c r="A165" s="2" t="s">
        <v>15</v>
      </c>
      <c r="B165" s="2">
        <v>1997</v>
      </c>
      <c r="C165" s="2" t="s">
        <v>22</v>
      </c>
      <c r="D165" s="2">
        <v>74613</v>
      </c>
      <c r="E165" s="3">
        <f t="shared" si="0"/>
        <v>74.613</v>
      </c>
      <c r="F165" s="2">
        <v>0</v>
      </c>
      <c r="G165" s="2">
        <f t="shared" si="1"/>
        <v>74.613</v>
      </c>
    </row>
    <row r="166" spans="1:7" ht="14.25" customHeight="1">
      <c r="A166" s="2" t="s">
        <v>15</v>
      </c>
      <c r="B166" s="2">
        <v>1998</v>
      </c>
      <c r="C166" s="2" t="s">
        <v>22</v>
      </c>
      <c r="D166" s="2">
        <v>77182</v>
      </c>
      <c r="E166" s="3">
        <f t="shared" si="0"/>
        <v>77.182000000000002</v>
      </c>
      <c r="F166" s="2">
        <v>0</v>
      </c>
      <c r="G166" s="2">
        <f t="shared" si="1"/>
        <v>77.182000000000002</v>
      </c>
    </row>
    <row r="167" spans="1:7" ht="14.25" customHeight="1">
      <c r="A167" s="2" t="s">
        <v>15</v>
      </c>
      <c r="B167" s="2">
        <v>1999</v>
      </c>
      <c r="C167" s="2" t="s">
        <v>22</v>
      </c>
      <c r="D167" s="2">
        <v>51695</v>
      </c>
      <c r="E167" s="3">
        <f t="shared" si="0"/>
        <v>51.695</v>
      </c>
      <c r="F167" s="2">
        <v>0</v>
      </c>
      <c r="G167" s="2">
        <f t="shared" si="1"/>
        <v>51.695</v>
      </c>
    </row>
    <row r="168" spans="1:7" ht="14.25" customHeight="1">
      <c r="A168" s="2" t="s">
        <v>15</v>
      </c>
      <c r="B168" s="2">
        <v>2000</v>
      </c>
      <c r="C168" s="2" t="s">
        <v>22</v>
      </c>
      <c r="D168" s="2">
        <v>41750</v>
      </c>
      <c r="E168" s="3">
        <f t="shared" si="0"/>
        <v>41.75</v>
      </c>
      <c r="F168" s="2">
        <v>0</v>
      </c>
      <c r="G168" s="2">
        <f t="shared" si="1"/>
        <v>41.75</v>
      </c>
    </row>
    <row r="169" spans="1:7" ht="14.25" customHeight="1">
      <c r="A169" s="2" t="s">
        <v>15</v>
      </c>
      <c r="B169" s="2">
        <v>2001</v>
      </c>
      <c r="C169" s="2" t="s">
        <v>22</v>
      </c>
      <c r="D169" s="2">
        <v>32843</v>
      </c>
      <c r="E169" s="3">
        <f t="shared" si="0"/>
        <v>32.843000000000004</v>
      </c>
      <c r="F169" s="2">
        <v>1.4999999999999999E-2</v>
      </c>
      <c r="G169" s="2">
        <f t="shared" si="1"/>
        <v>32.858000000000004</v>
      </c>
    </row>
    <row r="170" spans="1:7" ht="14.25" customHeight="1">
      <c r="A170" s="2" t="s">
        <v>15</v>
      </c>
      <c r="B170" s="2">
        <v>2002</v>
      </c>
      <c r="C170" s="2" t="s">
        <v>22</v>
      </c>
      <c r="D170" s="2">
        <v>31549</v>
      </c>
      <c r="E170" s="3">
        <f t="shared" si="0"/>
        <v>31.548999999999999</v>
      </c>
      <c r="F170" s="2">
        <v>0</v>
      </c>
      <c r="G170" s="2">
        <f t="shared" si="1"/>
        <v>31.548999999999999</v>
      </c>
    </row>
    <row r="171" spans="1:7" ht="14.25" customHeight="1">
      <c r="A171" s="2" t="s">
        <v>15</v>
      </c>
      <c r="B171" s="2">
        <v>2003</v>
      </c>
      <c r="C171" s="2" t="s">
        <v>22</v>
      </c>
      <c r="D171" s="2">
        <v>21544</v>
      </c>
      <c r="E171" s="3">
        <f t="shared" si="0"/>
        <v>21.544</v>
      </c>
      <c r="F171" s="2">
        <v>0</v>
      </c>
      <c r="G171" s="2">
        <f t="shared" si="1"/>
        <v>21.544</v>
      </c>
    </row>
    <row r="172" spans="1:7" ht="14.25" customHeight="1">
      <c r="A172" s="2" t="s">
        <v>15</v>
      </c>
      <c r="B172" s="2">
        <v>2004</v>
      </c>
      <c r="C172" s="2" t="s">
        <v>22</v>
      </c>
      <c r="D172" s="2">
        <v>21271</v>
      </c>
      <c r="E172" s="3">
        <f t="shared" si="0"/>
        <v>21.271000000000001</v>
      </c>
      <c r="F172" s="2">
        <v>8.0000000000000002E-3</v>
      </c>
      <c r="G172" s="2">
        <f t="shared" si="1"/>
        <v>21.279</v>
      </c>
    </row>
    <row r="173" spans="1:7" ht="14.25" customHeight="1">
      <c r="A173" s="2" t="s">
        <v>15</v>
      </c>
      <c r="B173" s="2">
        <v>2005</v>
      </c>
      <c r="C173" s="2" t="s">
        <v>22</v>
      </c>
      <c r="D173" s="2">
        <v>20003</v>
      </c>
      <c r="E173" s="3">
        <f t="shared" si="0"/>
        <v>20.003</v>
      </c>
      <c r="F173" s="2">
        <v>6.9000000000000006E-2</v>
      </c>
      <c r="G173" s="2">
        <f t="shared" si="1"/>
        <v>20.071999999999999</v>
      </c>
    </row>
    <row r="174" spans="1:7" ht="14.25" customHeight="1">
      <c r="A174" s="2" t="s">
        <v>15</v>
      </c>
      <c r="B174" s="2">
        <v>2006</v>
      </c>
      <c r="C174" s="2" t="s">
        <v>22</v>
      </c>
      <c r="D174" s="2">
        <v>20841.07</v>
      </c>
      <c r="E174" s="3">
        <f t="shared" si="0"/>
        <v>20.841069999999998</v>
      </c>
      <c r="F174" s="2">
        <v>0.54300000000000004</v>
      </c>
      <c r="G174" s="2">
        <f t="shared" si="1"/>
        <v>21.384069999999998</v>
      </c>
    </row>
    <row r="175" spans="1:7" ht="14.25" customHeight="1">
      <c r="A175" s="2" t="s">
        <v>15</v>
      </c>
      <c r="B175" s="2">
        <v>2007</v>
      </c>
      <c r="C175" s="2" t="s">
        <v>22</v>
      </c>
      <c r="D175" s="2">
        <v>19331.5</v>
      </c>
      <c r="E175" s="3">
        <f t="shared" si="0"/>
        <v>19.331499999999998</v>
      </c>
      <c r="F175" s="2">
        <v>1.111</v>
      </c>
      <c r="G175" s="2">
        <f t="shared" si="1"/>
        <v>20.442499999999999</v>
      </c>
    </row>
    <row r="176" spans="1:7" ht="14.25" customHeight="1">
      <c r="A176" s="2" t="s">
        <v>15</v>
      </c>
      <c r="B176" s="2">
        <v>2008</v>
      </c>
      <c r="C176" s="2" t="s">
        <v>22</v>
      </c>
      <c r="D176" s="2">
        <v>19038.060000000001</v>
      </c>
      <c r="E176" s="3">
        <f t="shared" si="0"/>
        <v>19.038060000000002</v>
      </c>
      <c r="F176" s="2">
        <v>1.8220000000000001</v>
      </c>
      <c r="G176" s="2">
        <f t="shared" si="1"/>
        <v>20.860060000000001</v>
      </c>
    </row>
    <row r="177" spans="1:7" ht="14.25" customHeight="1">
      <c r="A177" s="2" t="s">
        <v>15</v>
      </c>
      <c r="B177" s="2">
        <v>2009</v>
      </c>
      <c r="C177" s="2" t="s">
        <v>22</v>
      </c>
      <c r="D177" s="2">
        <v>21919.51</v>
      </c>
      <c r="E177" s="3">
        <f t="shared" si="0"/>
        <v>21.919509999999999</v>
      </c>
      <c r="F177" s="2">
        <v>0</v>
      </c>
      <c r="G177" s="2">
        <f t="shared" si="1"/>
        <v>21.919509999999999</v>
      </c>
    </row>
    <row r="178" spans="1:7" ht="14.25" customHeight="1">
      <c r="A178" s="2" t="s">
        <v>15</v>
      </c>
      <c r="B178" s="2">
        <v>2010</v>
      </c>
      <c r="C178" s="2" t="s">
        <v>22</v>
      </c>
      <c r="D178" s="2">
        <v>24992.400000000001</v>
      </c>
      <c r="E178" s="3">
        <f t="shared" si="0"/>
        <v>24.9924</v>
      </c>
      <c r="F178" s="2">
        <v>6.9999999999999999E-4</v>
      </c>
      <c r="G178" s="2">
        <f t="shared" si="1"/>
        <v>24.993099999999998</v>
      </c>
    </row>
    <row r="179" spans="1:7" ht="14.25" customHeight="1">
      <c r="A179" s="2" t="s">
        <v>15</v>
      </c>
      <c r="B179" s="2">
        <v>2011</v>
      </c>
      <c r="C179" s="2" t="s">
        <v>22</v>
      </c>
      <c r="D179" s="2">
        <v>22104.9</v>
      </c>
      <c r="E179" s="3">
        <f t="shared" si="0"/>
        <v>22.104900000000001</v>
      </c>
      <c r="F179" s="2">
        <v>0</v>
      </c>
      <c r="G179" s="2">
        <f t="shared" si="1"/>
        <v>22.104900000000001</v>
      </c>
    </row>
    <row r="180" spans="1:7" ht="14.25" customHeight="1">
      <c r="A180" s="2" t="s">
        <v>15</v>
      </c>
      <c r="B180" s="2">
        <v>2012</v>
      </c>
      <c r="C180" s="2" t="s">
        <v>22</v>
      </c>
      <c r="D180" s="2">
        <v>25479.5</v>
      </c>
      <c r="E180" s="3">
        <f t="shared" si="0"/>
        <v>25.479500000000002</v>
      </c>
      <c r="F180" s="2">
        <v>0</v>
      </c>
      <c r="G180" s="2">
        <f t="shared" si="1"/>
        <v>25.479500000000002</v>
      </c>
    </row>
    <row r="181" spans="1:7" ht="14.25" customHeight="1">
      <c r="A181" s="2" t="s">
        <v>15</v>
      </c>
      <c r="B181" s="2">
        <v>2013</v>
      </c>
      <c r="C181" s="2" t="s">
        <v>22</v>
      </c>
      <c r="D181" s="2">
        <v>28133.19</v>
      </c>
      <c r="E181" s="3">
        <f t="shared" si="0"/>
        <v>28.133189999999999</v>
      </c>
      <c r="F181" s="2">
        <v>0</v>
      </c>
      <c r="G181" s="2">
        <f t="shared" si="1"/>
        <v>28.133189999999999</v>
      </c>
    </row>
    <row r="182" spans="1:7" ht="14.25" customHeight="1">
      <c r="A182" s="2" t="s">
        <v>15</v>
      </c>
      <c r="B182" s="2">
        <v>2014</v>
      </c>
      <c r="C182" s="2" t="s">
        <v>22</v>
      </c>
      <c r="D182" s="2">
        <v>30607.919999999998</v>
      </c>
      <c r="E182" s="3">
        <f t="shared" si="0"/>
        <v>30.60792</v>
      </c>
      <c r="F182" s="2">
        <v>0</v>
      </c>
      <c r="G182" s="2">
        <f t="shared" si="1"/>
        <v>30.60792</v>
      </c>
    </row>
    <row r="183" spans="1:7" ht="14.25" customHeight="1">
      <c r="A183" s="2" t="s">
        <v>15</v>
      </c>
      <c r="B183" s="2">
        <v>2015</v>
      </c>
      <c r="C183" s="2" t="s">
        <v>22</v>
      </c>
      <c r="D183" s="2">
        <v>28783.75</v>
      </c>
      <c r="E183" s="3">
        <f t="shared" si="0"/>
        <v>28.783750000000001</v>
      </c>
      <c r="F183" s="2">
        <v>0</v>
      </c>
      <c r="G183" s="2">
        <f t="shared" si="1"/>
        <v>28.783750000000001</v>
      </c>
    </row>
    <row r="184" spans="1:7" ht="14.25" customHeight="1">
      <c r="A184" s="2" t="s">
        <v>15</v>
      </c>
      <c r="B184" s="2">
        <v>2016</v>
      </c>
      <c r="C184" s="2" t="s">
        <v>22</v>
      </c>
      <c r="D184" s="2">
        <v>31798.36</v>
      </c>
      <c r="E184" s="3">
        <f t="shared" si="0"/>
        <v>31.798359999999999</v>
      </c>
      <c r="F184" s="2">
        <v>0</v>
      </c>
      <c r="G184" s="2">
        <f t="shared" si="1"/>
        <v>31.798359999999999</v>
      </c>
    </row>
    <row r="185" spans="1:7" ht="14.25" customHeight="1">
      <c r="A185" s="2" t="s">
        <v>15</v>
      </c>
      <c r="B185" s="2">
        <v>2017</v>
      </c>
      <c r="C185" s="2" t="s">
        <v>22</v>
      </c>
      <c r="D185" s="2">
        <v>37698.300000000003</v>
      </c>
      <c r="E185" s="3">
        <f t="shared" si="0"/>
        <v>37.698300000000003</v>
      </c>
      <c r="F185" s="2">
        <v>0</v>
      </c>
      <c r="G185" s="2">
        <f t="shared" si="1"/>
        <v>37.698300000000003</v>
      </c>
    </row>
    <row r="186" spans="1:7" ht="14.25" customHeight="1">
      <c r="A186" s="2" t="s">
        <v>15</v>
      </c>
      <c r="B186" s="2">
        <v>2018</v>
      </c>
      <c r="C186" s="2" t="s">
        <v>22</v>
      </c>
      <c r="D186" s="2">
        <v>34680.305</v>
      </c>
      <c r="E186" s="3">
        <f t="shared" si="0"/>
        <v>34.680304999999997</v>
      </c>
      <c r="F186" s="2">
        <v>0</v>
      </c>
      <c r="G186" s="2">
        <f t="shared" si="1"/>
        <v>34.680304999999997</v>
      </c>
    </row>
    <row r="187" spans="1:7" ht="14.25" customHeight="1">
      <c r="A187" s="2" t="s">
        <v>15</v>
      </c>
      <c r="B187" s="2">
        <v>1947</v>
      </c>
      <c r="C187" s="2" t="s">
        <v>36</v>
      </c>
      <c r="D187" s="2">
        <v>990</v>
      </c>
      <c r="E187" s="3">
        <f t="shared" si="0"/>
        <v>0.99</v>
      </c>
      <c r="G187" s="2">
        <f t="shared" si="1"/>
        <v>0.99</v>
      </c>
    </row>
    <row r="188" spans="1:7" ht="14.25" customHeight="1">
      <c r="A188" s="2" t="s">
        <v>15</v>
      </c>
      <c r="B188" s="2">
        <v>1948</v>
      </c>
      <c r="C188" s="2" t="s">
        <v>36</v>
      </c>
      <c r="D188" s="2">
        <v>1076</v>
      </c>
      <c r="E188" s="3">
        <f t="shared" si="0"/>
        <v>1.0760000000000001</v>
      </c>
      <c r="G188" s="2">
        <f t="shared" si="1"/>
        <v>1.0760000000000001</v>
      </c>
    </row>
    <row r="189" spans="1:7" ht="14.25" customHeight="1">
      <c r="A189" s="2" t="s">
        <v>15</v>
      </c>
      <c r="B189" s="2">
        <v>1949</v>
      </c>
      <c r="C189" s="2" t="s">
        <v>36</v>
      </c>
      <c r="D189" s="2">
        <v>985</v>
      </c>
      <c r="E189" s="3">
        <f t="shared" si="0"/>
        <v>0.98499999999999999</v>
      </c>
      <c r="G189" s="2">
        <f t="shared" si="1"/>
        <v>0.98499999999999999</v>
      </c>
    </row>
    <row r="190" spans="1:7" ht="14.25" customHeight="1">
      <c r="A190" s="2" t="s">
        <v>15</v>
      </c>
      <c r="B190" s="2">
        <v>1950</v>
      </c>
      <c r="C190" s="2" t="s">
        <v>36</v>
      </c>
      <c r="D190" s="2">
        <v>729</v>
      </c>
      <c r="E190" s="3">
        <f t="shared" si="0"/>
        <v>0.72899999999999998</v>
      </c>
      <c r="G190" s="2">
        <f t="shared" si="1"/>
        <v>0.72899999999999998</v>
      </c>
    </row>
    <row r="191" spans="1:7" ht="14.25" customHeight="1">
      <c r="A191" s="2" t="s">
        <v>15</v>
      </c>
      <c r="B191" s="2">
        <v>1951</v>
      </c>
      <c r="C191" s="2" t="s">
        <v>36</v>
      </c>
      <c r="D191" s="2">
        <v>4254</v>
      </c>
      <c r="E191" s="3">
        <f t="shared" si="0"/>
        <v>4.2539999999999996</v>
      </c>
      <c r="G191" s="2">
        <f t="shared" si="1"/>
        <v>4.2539999999999996</v>
      </c>
    </row>
    <row r="192" spans="1:7" ht="14.25" customHeight="1">
      <c r="A192" s="2" t="s">
        <v>15</v>
      </c>
      <c r="B192" s="2">
        <v>1952</v>
      </c>
      <c r="C192" s="2" t="s">
        <v>36</v>
      </c>
      <c r="D192" s="2">
        <v>4467</v>
      </c>
      <c r="E192" s="3">
        <f t="shared" si="0"/>
        <v>4.4669999999999996</v>
      </c>
      <c r="G192" s="2">
        <f t="shared" si="1"/>
        <v>4.4669999999999996</v>
      </c>
    </row>
    <row r="193" spans="1:7" ht="14.25" customHeight="1">
      <c r="A193" s="2" t="s">
        <v>15</v>
      </c>
      <c r="B193" s="2">
        <v>1953</v>
      </c>
      <c r="C193" s="2" t="s">
        <v>36</v>
      </c>
      <c r="D193" s="2">
        <v>4805</v>
      </c>
      <c r="E193" s="3">
        <f t="shared" si="0"/>
        <v>4.8049999999999997</v>
      </c>
      <c r="G193" s="2">
        <f t="shared" si="1"/>
        <v>4.8049999999999997</v>
      </c>
    </row>
    <row r="194" spans="1:7" ht="14.25" customHeight="1">
      <c r="A194" s="2" t="s">
        <v>15</v>
      </c>
      <c r="B194" s="2">
        <v>1954</v>
      </c>
      <c r="C194" s="2" t="s">
        <v>36</v>
      </c>
      <c r="D194" s="2">
        <v>4589</v>
      </c>
      <c r="E194" s="3">
        <f t="shared" si="0"/>
        <v>4.5890000000000004</v>
      </c>
      <c r="G194" s="2">
        <f t="shared" si="1"/>
        <v>4.5890000000000004</v>
      </c>
    </row>
    <row r="195" spans="1:7" ht="14.25" customHeight="1">
      <c r="A195" s="2" t="s">
        <v>15</v>
      </c>
      <c r="B195" s="2">
        <v>1955</v>
      </c>
      <c r="C195" s="2" t="s">
        <v>36</v>
      </c>
      <c r="D195" s="2">
        <v>4967</v>
      </c>
      <c r="E195" s="3">
        <f t="shared" si="0"/>
        <v>4.9669999999999996</v>
      </c>
      <c r="G195" s="2">
        <f t="shared" si="1"/>
        <v>4.9669999999999996</v>
      </c>
    </row>
    <row r="196" spans="1:7" ht="14.25" customHeight="1">
      <c r="A196" s="2" t="s">
        <v>15</v>
      </c>
      <c r="B196" s="2">
        <v>1956</v>
      </c>
      <c r="C196" s="2" t="s">
        <v>36</v>
      </c>
      <c r="D196" s="2">
        <v>5013</v>
      </c>
      <c r="E196" s="3">
        <f t="shared" si="0"/>
        <v>5.0129999999999999</v>
      </c>
      <c r="G196" s="2">
        <f t="shared" si="1"/>
        <v>5.0129999999999999</v>
      </c>
    </row>
    <row r="197" spans="1:7" ht="14.25" customHeight="1">
      <c r="A197" s="2" t="s">
        <v>15</v>
      </c>
      <c r="B197" s="2">
        <v>1957</v>
      </c>
      <c r="C197" s="2" t="s">
        <v>36</v>
      </c>
      <c r="D197" s="2">
        <v>4858</v>
      </c>
      <c r="E197" s="3">
        <f t="shared" si="0"/>
        <v>4.8579999999999997</v>
      </c>
      <c r="G197" s="2">
        <f t="shared" si="1"/>
        <v>4.8579999999999997</v>
      </c>
    </row>
    <row r="198" spans="1:7" ht="14.25" customHeight="1">
      <c r="A198" s="2" t="s">
        <v>15</v>
      </c>
      <c r="B198" s="2">
        <v>1958</v>
      </c>
      <c r="C198" s="2" t="s">
        <v>36</v>
      </c>
      <c r="D198" s="2">
        <v>5944</v>
      </c>
      <c r="E198" s="3">
        <f t="shared" si="0"/>
        <v>5.944</v>
      </c>
      <c r="G198" s="2">
        <f t="shared" si="1"/>
        <v>5.944</v>
      </c>
    </row>
    <row r="199" spans="1:7" ht="14.25" customHeight="1">
      <c r="A199" s="2" t="s">
        <v>15</v>
      </c>
      <c r="B199" s="2">
        <v>1959</v>
      </c>
      <c r="C199" s="2" t="s">
        <v>36</v>
      </c>
      <c r="D199" s="2">
        <v>5466</v>
      </c>
      <c r="E199" s="3">
        <f t="shared" si="0"/>
        <v>5.4660000000000002</v>
      </c>
      <c r="G199" s="2">
        <f t="shared" si="1"/>
        <v>5.4660000000000002</v>
      </c>
    </row>
    <row r="200" spans="1:7" ht="14.25" customHeight="1">
      <c r="A200" s="2" t="s">
        <v>15</v>
      </c>
      <c r="B200" s="2">
        <v>1960</v>
      </c>
      <c r="C200" s="2" t="s">
        <v>36</v>
      </c>
      <c r="D200" s="2">
        <v>4988</v>
      </c>
      <c r="E200" s="3">
        <f t="shared" si="0"/>
        <v>4.9880000000000004</v>
      </c>
      <c r="G200" s="2">
        <f t="shared" si="1"/>
        <v>4.9880000000000004</v>
      </c>
    </row>
    <row r="201" spans="1:7" ht="14.25" customHeight="1">
      <c r="A201" s="2" t="s">
        <v>15</v>
      </c>
      <c r="B201" s="2">
        <v>1961</v>
      </c>
      <c r="C201" s="2" t="s">
        <v>36</v>
      </c>
      <c r="D201" s="2">
        <v>5310</v>
      </c>
      <c r="E201" s="3">
        <f t="shared" si="0"/>
        <v>5.31</v>
      </c>
      <c r="G201" s="2">
        <f t="shared" si="1"/>
        <v>5.31</v>
      </c>
    </row>
    <row r="202" spans="1:7" ht="14.25" customHeight="1">
      <c r="A202" s="2" t="s">
        <v>15</v>
      </c>
      <c r="B202" s="2">
        <v>1962</v>
      </c>
      <c r="C202" s="2" t="s">
        <v>36</v>
      </c>
      <c r="D202" s="2">
        <v>4915</v>
      </c>
      <c r="E202" s="3">
        <f t="shared" si="0"/>
        <v>4.915</v>
      </c>
      <c r="G202" s="2">
        <f t="shared" si="1"/>
        <v>4.915</v>
      </c>
    </row>
    <row r="203" spans="1:7" ht="14.25" customHeight="1">
      <c r="A203" s="2" t="s">
        <v>15</v>
      </c>
      <c r="B203" s="2">
        <v>1963</v>
      </c>
      <c r="C203" s="2" t="s">
        <v>36</v>
      </c>
      <c r="D203" s="2">
        <v>5513</v>
      </c>
      <c r="E203" s="3">
        <f t="shared" si="0"/>
        <v>5.5129999999999999</v>
      </c>
      <c r="G203" s="2">
        <f t="shared" si="1"/>
        <v>5.5129999999999999</v>
      </c>
    </row>
    <row r="204" spans="1:7" ht="14.25" customHeight="1">
      <c r="A204" s="2" t="s">
        <v>15</v>
      </c>
      <c r="B204" s="2">
        <v>1964</v>
      </c>
      <c r="C204" s="2" t="s">
        <v>36</v>
      </c>
      <c r="D204" s="2">
        <v>5280</v>
      </c>
      <c r="E204" s="3">
        <f t="shared" si="0"/>
        <v>5.28</v>
      </c>
      <c r="G204" s="2">
        <f t="shared" si="1"/>
        <v>5.28</v>
      </c>
    </row>
    <row r="205" spans="1:7" ht="14.25" customHeight="1">
      <c r="A205" s="2" t="s">
        <v>15</v>
      </c>
      <c r="B205" s="2">
        <v>1965</v>
      </c>
      <c r="C205" s="2" t="s">
        <v>36</v>
      </c>
      <c r="D205" s="2">
        <v>4372</v>
      </c>
      <c r="E205" s="3">
        <f t="shared" si="0"/>
        <v>4.3719999999999999</v>
      </c>
      <c r="G205" s="2">
        <f t="shared" si="1"/>
        <v>4.3719999999999999</v>
      </c>
    </row>
    <row r="206" spans="1:7" ht="14.25" customHeight="1">
      <c r="A206" s="2" t="s">
        <v>15</v>
      </c>
      <c r="B206" s="2">
        <v>1966</v>
      </c>
      <c r="C206" s="2" t="s">
        <v>36</v>
      </c>
      <c r="D206" s="2">
        <v>4750</v>
      </c>
      <c r="E206" s="3">
        <f t="shared" si="0"/>
        <v>4.75</v>
      </c>
      <c r="G206" s="2">
        <f t="shared" si="1"/>
        <v>4.75</v>
      </c>
    </row>
    <row r="207" spans="1:7" ht="14.25" customHeight="1">
      <c r="A207" s="2" t="s">
        <v>15</v>
      </c>
      <c r="B207" s="2">
        <v>1967</v>
      </c>
      <c r="C207" s="2" t="s">
        <v>36</v>
      </c>
      <c r="D207" s="2">
        <v>4541</v>
      </c>
      <c r="E207" s="3">
        <f t="shared" si="0"/>
        <v>4.5410000000000004</v>
      </c>
      <c r="G207" s="2">
        <f t="shared" si="1"/>
        <v>4.5410000000000004</v>
      </c>
    </row>
    <row r="208" spans="1:7" ht="14.25" customHeight="1">
      <c r="A208" s="2" t="s">
        <v>15</v>
      </c>
      <c r="B208" s="2">
        <v>1968</v>
      </c>
      <c r="C208" s="2" t="s">
        <v>36</v>
      </c>
      <c r="D208" s="2">
        <v>5019</v>
      </c>
      <c r="E208" s="3">
        <f t="shared" si="0"/>
        <v>5.0190000000000001</v>
      </c>
      <c r="G208" s="2">
        <f t="shared" si="1"/>
        <v>5.0190000000000001</v>
      </c>
    </row>
    <row r="209" spans="1:7" ht="14.25" customHeight="1">
      <c r="A209" s="2" t="s">
        <v>15</v>
      </c>
      <c r="B209" s="2">
        <v>1969</v>
      </c>
      <c r="C209" s="2" t="s">
        <v>36</v>
      </c>
      <c r="D209" s="2">
        <v>6581</v>
      </c>
      <c r="E209" s="3">
        <f t="shared" si="0"/>
        <v>6.5810000000000004</v>
      </c>
      <c r="G209" s="2">
        <f t="shared" si="1"/>
        <v>6.5810000000000004</v>
      </c>
    </row>
    <row r="210" spans="1:7" ht="14.25" customHeight="1">
      <c r="A210" s="2" t="s">
        <v>15</v>
      </c>
      <c r="B210" s="2">
        <v>1970</v>
      </c>
      <c r="C210" s="2" t="s">
        <v>36</v>
      </c>
      <c r="D210" s="2">
        <v>5979</v>
      </c>
      <c r="E210" s="3">
        <f t="shared" si="0"/>
        <v>5.9790000000000001</v>
      </c>
      <c r="G210" s="2">
        <f t="shared" si="1"/>
        <v>5.9790000000000001</v>
      </c>
    </row>
    <row r="211" spans="1:7" ht="14.25" customHeight="1">
      <c r="A211" s="2" t="s">
        <v>15</v>
      </c>
      <c r="B211" s="2">
        <v>1971</v>
      </c>
      <c r="C211" s="2" t="s">
        <v>36</v>
      </c>
      <c r="D211" s="2">
        <v>5847</v>
      </c>
      <c r="E211" s="3">
        <f t="shared" si="0"/>
        <v>5.8470000000000004</v>
      </c>
      <c r="G211" s="2">
        <f t="shared" si="1"/>
        <v>5.8470000000000004</v>
      </c>
    </row>
    <row r="212" spans="1:7" ht="14.25" customHeight="1">
      <c r="A212" s="2" t="s">
        <v>15</v>
      </c>
      <c r="B212" s="2">
        <v>1972</v>
      </c>
      <c r="C212" s="2" t="s">
        <v>36</v>
      </c>
      <c r="D212" s="2">
        <v>6420</v>
      </c>
      <c r="E212" s="3">
        <f t="shared" si="0"/>
        <v>6.42</v>
      </c>
      <c r="G212" s="2">
        <f t="shared" si="1"/>
        <v>6.42</v>
      </c>
    </row>
    <row r="213" spans="1:7" ht="14.25" customHeight="1">
      <c r="A213" s="2" t="s">
        <v>15</v>
      </c>
      <c r="B213" s="2">
        <v>1973</v>
      </c>
      <c r="C213" s="2" t="s">
        <v>36</v>
      </c>
      <c r="D213" s="2">
        <v>7023</v>
      </c>
      <c r="E213" s="3">
        <f t="shared" si="0"/>
        <v>7.0229999999999997</v>
      </c>
      <c r="G213" s="2">
        <f t="shared" si="1"/>
        <v>7.0229999999999997</v>
      </c>
    </row>
    <row r="214" spans="1:7" ht="14.25" customHeight="1">
      <c r="A214" s="2" t="s">
        <v>15</v>
      </c>
      <c r="B214" s="2">
        <v>1974</v>
      </c>
      <c r="C214" s="2" t="s">
        <v>36</v>
      </c>
      <c r="D214" s="2">
        <v>5967</v>
      </c>
      <c r="E214" s="3">
        <f t="shared" si="0"/>
        <v>5.9669999999999996</v>
      </c>
      <c r="G214" s="2">
        <f t="shared" si="1"/>
        <v>5.9669999999999996</v>
      </c>
    </row>
    <row r="215" spans="1:7" ht="14.25" customHeight="1">
      <c r="A215" s="2" t="s">
        <v>15</v>
      </c>
      <c r="B215" s="2">
        <v>1975</v>
      </c>
      <c r="C215" s="2" t="s">
        <v>36</v>
      </c>
      <c r="D215" s="2">
        <v>6585</v>
      </c>
      <c r="E215" s="3">
        <f t="shared" si="0"/>
        <v>6.585</v>
      </c>
      <c r="G215" s="2">
        <f t="shared" si="1"/>
        <v>6.585</v>
      </c>
    </row>
    <row r="216" spans="1:7" ht="14.25" customHeight="1">
      <c r="A216" s="2" t="s">
        <v>15</v>
      </c>
      <c r="B216" s="2">
        <v>1976</v>
      </c>
      <c r="C216" s="2" t="s">
        <v>36</v>
      </c>
      <c r="D216" s="2">
        <v>7718</v>
      </c>
      <c r="E216" s="3">
        <f t="shared" si="0"/>
        <v>7.718</v>
      </c>
      <c r="G216" s="2">
        <f t="shared" si="1"/>
        <v>7.718</v>
      </c>
    </row>
    <row r="217" spans="1:7" ht="14.25" customHeight="1">
      <c r="A217" s="2" t="s">
        <v>15</v>
      </c>
      <c r="B217" s="2">
        <v>1977</v>
      </c>
      <c r="C217" s="2" t="s">
        <v>36</v>
      </c>
      <c r="D217" s="2">
        <v>8627</v>
      </c>
      <c r="E217" s="3">
        <f t="shared" si="0"/>
        <v>8.6270000000000007</v>
      </c>
      <c r="G217" s="2">
        <f t="shared" si="1"/>
        <v>8.6270000000000007</v>
      </c>
    </row>
    <row r="218" spans="1:7" ht="14.25" customHeight="1">
      <c r="A218" s="2" t="s">
        <v>15</v>
      </c>
      <c r="B218" s="2">
        <v>1978</v>
      </c>
      <c r="C218" s="2" t="s">
        <v>36</v>
      </c>
      <c r="D218" s="2">
        <v>9577</v>
      </c>
      <c r="E218" s="3">
        <f t="shared" si="0"/>
        <v>9.577</v>
      </c>
      <c r="G218" s="2">
        <f t="shared" si="1"/>
        <v>9.577</v>
      </c>
    </row>
    <row r="219" spans="1:7" ht="14.25" customHeight="1">
      <c r="A219" s="2" t="s">
        <v>15</v>
      </c>
      <c r="B219" s="2">
        <v>1979</v>
      </c>
      <c r="C219" s="2" t="s">
        <v>36</v>
      </c>
      <c r="D219" s="2">
        <v>10413</v>
      </c>
      <c r="E219" s="3">
        <f t="shared" si="0"/>
        <v>10.413</v>
      </c>
      <c r="G219" s="2">
        <f t="shared" si="1"/>
        <v>10.413</v>
      </c>
    </row>
    <row r="220" spans="1:7" ht="14.25" customHeight="1">
      <c r="A220" s="2" t="s">
        <v>15</v>
      </c>
      <c r="B220" s="2">
        <v>1980</v>
      </c>
      <c r="C220" s="2" t="s">
        <v>36</v>
      </c>
      <c r="D220" s="2">
        <v>9684</v>
      </c>
      <c r="E220" s="3">
        <f t="shared" si="0"/>
        <v>9.6839999999999993</v>
      </c>
      <c r="G220" s="2">
        <f t="shared" si="1"/>
        <v>9.6839999999999993</v>
      </c>
    </row>
    <row r="221" spans="1:7" ht="14.25" customHeight="1">
      <c r="A221" s="2" t="s">
        <v>15</v>
      </c>
      <c r="B221" s="2">
        <v>1981</v>
      </c>
      <c r="C221" s="2" t="s">
        <v>36</v>
      </c>
      <c r="D221" s="2">
        <v>9745</v>
      </c>
      <c r="E221" s="3">
        <f t="shared" si="0"/>
        <v>9.7449999999999992</v>
      </c>
      <c r="G221" s="2">
        <f t="shared" si="1"/>
        <v>9.7449999999999992</v>
      </c>
    </row>
    <row r="222" spans="1:7" ht="14.25" customHeight="1">
      <c r="A222" s="2" t="s">
        <v>15</v>
      </c>
      <c r="B222" s="2">
        <v>1982</v>
      </c>
      <c r="C222" s="2" t="s">
        <v>36</v>
      </c>
      <c r="D222" s="2">
        <v>8566</v>
      </c>
      <c r="E222" s="3">
        <f t="shared" si="0"/>
        <v>8.5660000000000007</v>
      </c>
      <c r="G222" s="2">
        <f t="shared" si="1"/>
        <v>8.5660000000000007</v>
      </c>
    </row>
    <row r="223" spans="1:7" ht="14.25" customHeight="1">
      <c r="A223" s="2" t="s">
        <v>15</v>
      </c>
      <c r="B223" s="2">
        <v>1983</v>
      </c>
      <c r="C223" s="2" t="s">
        <v>36</v>
      </c>
      <c r="D223" s="2">
        <v>10649</v>
      </c>
      <c r="E223" s="3">
        <f t="shared" si="0"/>
        <v>10.648999999999999</v>
      </c>
      <c r="G223" s="2">
        <f t="shared" si="1"/>
        <v>10.648999999999999</v>
      </c>
    </row>
    <row r="224" spans="1:7" ht="14.25" customHeight="1">
      <c r="A224" s="2" t="s">
        <v>15</v>
      </c>
      <c r="B224" s="2">
        <v>1984</v>
      </c>
      <c r="C224" s="2" t="s">
        <v>36</v>
      </c>
      <c r="D224" s="2">
        <v>11424</v>
      </c>
      <c r="E224" s="3">
        <f t="shared" si="0"/>
        <v>11.423999999999999</v>
      </c>
      <c r="G224" s="2">
        <f t="shared" si="1"/>
        <v>11.423999999999999</v>
      </c>
    </row>
    <row r="225" spans="1:7" ht="14.25" customHeight="1">
      <c r="A225" s="2" t="s">
        <v>15</v>
      </c>
      <c r="B225" s="2">
        <v>1985</v>
      </c>
      <c r="C225" s="2" t="s">
        <v>36</v>
      </c>
      <c r="D225" s="2">
        <v>10410</v>
      </c>
      <c r="E225" s="3">
        <f t="shared" si="0"/>
        <v>10.41</v>
      </c>
      <c r="G225" s="2">
        <f t="shared" si="1"/>
        <v>10.41</v>
      </c>
    </row>
    <row r="226" spans="1:7" ht="14.25" customHeight="1">
      <c r="A226" s="2" t="s">
        <v>15</v>
      </c>
      <c r="B226" s="2">
        <v>1986</v>
      </c>
      <c r="C226" s="2" t="s">
        <v>36</v>
      </c>
      <c r="D226" s="2">
        <v>10133</v>
      </c>
      <c r="E226" s="3">
        <f t="shared" si="0"/>
        <v>10.132999999999999</v>
      </c>
      <c r="G226" s="2">
        <f t="shared" si="1"/>
        <v>10.132999999999999</v>
      </c>
    </row>
    <row r="227" spans="1:7" ht="14.25" customHeight="1">
      <c r="A227" s="2" t="s">
        <v>15</v>
      </c>
      <c r="B227" s="2">
        <v>1987</v>
      </c>
      <c r="C227" s="2" t="s">
        <v>36</v>
      </c>
      <c r="D227" s="2">
        <v>11344</v>
      </c>
      <c r="E227" s="3">
        <f t="shared" si="0"/>
        <v>11.343999999999999</v>
      </c>
      <c r="G227" s="2">
        <f t="shared" si="1"/>
        <v>11.343999999999999</v>
      </c>
    </row>
    <row r="228" spans="1:7" ht="14.25" customHeight="1">
      <c r="A228" s="2" t="s">
        <v>15</v>
      </c>
      <c r="B228" s="2">
        <v>1988</v>
      </c>
      <c r="C228" s="2" t="s">
        <v>36</v>
      </c>
      <c r="D228" s="2">
        <v>13002</v>
      </c>
      <c r="E228" s="3">
        <f t="shared" si="0"/>
        <v>13.002000000000001</v>
      </c>
      <c r="G228" s="2">
        <f t="shared" si="1"/>
        <v>13.002000000000001</v>
      </c>
    </row>
    <row r="229" spans="1:7" ht="14.25" customHeight="1">
      <c r="A229" s="2" t="s">
        <v>15</v>
      </c>
      <c r="B229" s="2">
        <v>1989</v>
      </c>
      <c r="C229" s="2" t="s">
        <v>36</v>
      </c>
      <c r="D229" s="2">
        <v>11664</v>
      </c>
      <c r="E229" s="3">
        <f t="shared" si="0"/>
        <v>11.664</v>
      </c>
      <c r="G229" s="2">
        <f t="shared" si="1"/>
        <v>11.664</v>
      </c>
    </row>
    <row r="230" spans="1:7" ht="14.25" customHeight="1">
      <c r="A230" s="2" t="s">
        <v>15</v>
      </c>
      <c r="B230" s="2">
        <v>1990</v>
      </c>
      <c r="C230" s="2" t="s">
        <v>36</v>
      </c>
      <c r="D230" s="2">
        <v>15287</v>
      </c>
      <c r="E230" s="3">
        <f t="shared" si="0"/>
        <v>15.287000000000001</v>
      </c>
      <c r="G230" s="2">
        <f t="shared" si="1"/>
        <v>15.287000000000001</v>
      </c>
    </row>
    <row r="231" spans="1:7" ht="14.25" customHeight="1">
      <c r="A231" s="2" t="s">
        <v>15</v>
      </c>
      <c r="B231" s="2">
        <v>1991</v>
      </c>
      <c r="C231" s="2" t="s">
        <v>36</v>
      </c>
      <c r="D231" s="2">
        <v>14524</v>
      </c>
      <c r="E231" s="3">
        <f t="shared" si="0"/>
        <v>14.523999999999999</v>
      </c>
      <c r="G231" s="2">
        <f t="shared" si="1"/>
        <v>14.523999999999999</v>
      </c>
    </row>
    <row r="232" spans="1:7" ht="14.25" customHeight="1">
      <c r="A232" s="2" t="s">
        <v>15</v>
      </c>
      <c r="B232" s="2">
        <v>1992</v>
      </c>
      <c r="C232" s="2" t="s">
        <v>36</v>
      </c>
      <c r="D232" s="2">
        <v>13392</v>
      </c>
      <c r="E232" s="3">
        <f t="shared" si="0"/>
        <v>13.391999999999999</v>
      </c>
      <c r="G232" s="2">
        <f t="shared" si="1"/>
        <v>13.391999999999999</v>
      </c>
    </row>
    <row r="233" spans="1:7" ht="14.25" customHeight="1">
      <c r="A233" s="2" t="s">
        <v>15</v>
      </c>
      <c r="B233" s="2">
        <v>1993</v>
      </c>
      <c r="C233" s="2" t="s">
        <v>36</v>
      </c>
      <c r="D233" s="2">
        <v>11289</v>
      </c>
      <c r="E233" s="3">
        <f t="shared" si="0"/>
        <v>11.289</v>
      </c>
      <c r="G233" s="2">
        <f t="shared" si="1"/>
        <v>11.289</v>
      </c>
    </row>
    <row r="234" spans="1:7" ht="14.25" customHeight="1">
      <c r="A234" s="2" t="s">
        <v>15</v>
      </c>
      <c r="B234" s="2">
        <v>1994</v>
      </c>
      <c r="C234" s="2" t="s">
        <v>36</v>
      </c>
      <c r="D234" s="2">
        <v>14241</v>
      </c>
      <c r="E234" s="3">
        <f t="shared" si="0"/>
        <v>14.241</v>
      </c>
      <c r="G234" s="2">
        <f t="shared" si="1"/>
        <v>14.241</v>
      </c>
    </row>
    <row r="235" spans="1:7" ht="14.25" customHeight="1">
      <c r="A235" s="2" t="s">
        <v>15</v>
      </c>
      <c r="B235" s="2">
        <v>1995</v>
      </c>
      <c r="C235" s="2" t="s">
        <v>36</v>
      </c>
      <c r="D235" s="2">
        <v>16166</v>
      </c>
      <c r="E235" s="3">
        <f t="shared" si="0"/>
        <v>16.166</v>
      </c>
      <c r="G235" s="2">
        <f t="shared" si="1"/>
        <v>16.166</v>
      </c>
    </row>
    <row r="236" spans="1:7" ht="14.25" customHeight="1">
      <c r="A236" s="2" t="s">
        <v>15</v>
      </c>
      <c r="B236" s="2">
        <v>1996</v>
      </c>
      <c r="C236" s="2" t="s">
        <v>36</v>
      </c>
      <c r="D236" s="2">
        <v>13182</v>
      </c>
      <c r="E236" s="3">
        <f t="shared" si="0"/>
        <v>13.182</v>
      </c>
      <c r="G236" s="2">
        <f t="shared" si="1"/>
        <v>13.182</v>
      </c>
    </row>
    <row r="237" spans="1:7" ht="14.25" customHeight="1">
      <c r="A237" s="2" t="s">
        <v>15</v>
      </c>
      <c r="B237" s="2">
        <v>1997</v>
      </c>
      <c r="C237" s="2" t="s">
        <v>36</v>
      </c>
      <c r="D237" s="2">
        <v>18515</v>
      </c>
      <c r="E237" s="3">
        <f t="shared" si="0"/>
        <v>18.515000000000001</v>
      </c>
      <c r="G237" s="2">
        <f t="shared" si="1"/>
        <v>18.515000000000001</v>
      </c>
    </row>
    <row r="238" spans="1:7" ht="14.25" customHeight="1">
      <c r="A238" s="2" t="s">
        <v>15</v>
      </c>
      <c r="B238" s="2">
        <v>1998</v>
      </c>
      <c r="C238" s="2" t="s">
        <v>36</v>
      </c>
      <c r="D238" s="2">
        <v>21799</v>
      </c>
      <c r="E238" s="3">
        <f t="shared" si="0"/>
        <v>21.798999999999999</v>
      </c>
      <c r="G238" s="2">
        <f t="shared" si="1"/>
        <v>21.798999999999999</v>
      </c>
    </row>
    <row r="239" spans="1:7" ht="14.25" customHeight="1">
      <c r="A239" s="2" t="s">
        <v>15</v>
      </c>
      <c r="B239" s="2">
        <v>1999</v>
      </c>
      <c r="C239" s="2" t="s">
        <v>36</v>
      </c>
      <c r="D239" s="2">
        <v>19988</v>
      </c>
      <c r="E239" s="3">
        <f t="shared" si="0"/>
        <v>19.988</v>
      </c>
      <c r="G239" s="2">
        <f t="shared" si="1"/>
        <v>19.988</v>
      </c>
    </row>
    <row r="240" spans="1:7" ht="14.25" customHeight="1">
      <c r="A240" s="2" t="s">
        <v>15</v>
      </c>
      <c r="B240" s="2">
        <v>2000</v>
      </c>
      <c r="C240" s="2" t="s">
        <v>36</v>
      </c>
      <c r="D240" s="2">
        <v>21607</v>
      </c>
      <c r="E240" s="3">
        <f t="shared" si="0"/>
        <v>21.606999999999999</v>
      </c>
      <c r="G240" s="2">
        <f t="shared" si="1"/>
        <v>21.606999999999999</v>
      </c>
    </row>
    <row r="241" spans="1:7" ht="14.25" customHeight="1">
      <c r="A241" s="2" t="s">
        <v>15</v>
      </c>
      <c r="B241" s="2">
        <v>2001</v>
      </c>
      <c r="C241" s="2" t="s">
        <v>36</v>
      </c>
      <c r="D241" s="2">
        <v>21908</v>
      </c>
      <c r="E241" s="3">
        <f t="shared" si="0"/>
        <v>21.908000000000001</v>
      </c>
      <c r="G241" s="2">
        <f t="shared" si="1"/>
        <v>21.908000000000001</v>
      </c>
    </row>
    <row r="242" spans="1:7" ht="14.25" customHeight="1">
      <c r="A242" s="2" t="s">
        <v>15</v>
      </c>
      <c r="B242" s="2">
        <v>2002</v>
      </c>
      <c r="C242" s="2" t="s">
        <v>36</v>
      </c>
      <c r="D242" s="2">
        <v>20761</v>
      </c>
      <c r="E242" s="3">
        <f t="shared" si="0"/>
        <v>20.760999999999999</v>
      </c>
      <c r="G242" s="2">
        <f t="shared" si="1"/>
        <v>20.760999999999999</v>
      </c>
    </row>
    <row r="243" spans="1:7" ht="14.25" customHeight="1">
      <c r="A243" s="2" t="s">
        <v>15</v>
      </c>
      <c r="B243" s="2">
        <v>2003</v>
      </c>
      <c r="C243" s="2" t="s">
        <v>36</v>
      </c>
      <c r="D243" s="2">
        <v>21590</v>
      </c>
      <c r="E243" s="3">
        <f t="shared" si="0"/>
        <v>21.59</v>
      </c>
      <c r="G243" s="2">
        <f t="shared" si="1"/>
        <v>21.59</v>
      </c>
    </row>
    <row r="244" spans="1:7" ht="14.25" customHeight="1">
      <c r="A244" s="2" t="s">
        <v>15</v>
      </c>
      <c r="B244" s="2">
        <v>2004</v>
      </c>
      <c r="C244" s="2" t="s">
        <v>36</v>
      </c>
      <c r="D244" s="2">
        <v>19230</v>
      </c>
      <c r="E244" s="3">
        <f t="shared" si="0"/>
        <v>19.23</v>
      </c>
      <c r="G244" s="2">
        <f t="shared" si="1"/>
        <v>19.23</v>
      </c>
    </row>
    <row r="245" spans="1:7" ht="14.25" customHeight="1">
      <c r="A245" s="2" t="s">
        <v>15</v>
      </c>
      <c r="B245" s="2">
        <v>2005</v>
      </c>
      <c r="C245" s="2" t="s">
        <v>36</v>
      </c>
      <c r="D245" s="2">
        <v>14592</v>
      </c>
      <c r="E245" s="3">
        <f t="shared" si="0"/>
        <v>14.592000000000001</v>
      </c>
      <c r="G245" s="2">
        <f t="shared" si="1"/>
        <v>14.592000000000001</v>
      </c>
    </row>
    <row r="246" spans="1:7" ht="14.25" customHeight="1">
      <c r="A246" s="2" t="s">
        <v>15</v>
      </c>
      <c r="B246" s="2">
        <v>2006</v>
      </c>
      <c r="C246" s="2" t="s">
        <v>36</v>
      </c>
      <c r="D246" s="2">
        <v>22897.03</v>
      </c>
      <c r="E246" s="3">
        <f t="shared" si="0"/>
        <v>22.897029999999997</v>
      </c>
      <c r="G246" s="2">
        <f t="shared" si="1"/>
        <v>22.897029999999997</v>
      </c>
    </row>
    <row r="247" spans="1:7" ht="14.25" customHeight="1">
      <c r="A247" s="2" t="s">
        <v>15</v>
      </c>
      <c r="B247" s="2">
        <v>2007</v>
      </c>
      <c r="C247" s="2" t="s">
        <v>36</v>
      </c>
      <c r="D247" s="2">
        <v>31078.61</v>
      </c>
      <c r="E247" s="3">
        <f t="shared" si="0"/>
        <v>31.078610000000001</v>
      </c>
      <c r="G247" s="2">
        <f t="shared" si="1"/>
        <v>31.078610000000001</v>
      </c>
    </row>
    <row r="248" spans="1:7" ht="14.25" customHeight="1">
      <c r="A248" s="2" t="s">
        <v>15</v>
      </c>
      <c r="B248" s="2">
        <v>2008</v>
      </c>
      <c r="C248" s="2" t="s">
        <v>36</v>
      </c>
      <c r="D248" s="2">
        <v>22742.05</v>
      </c>
      <c r="E248" s="3">
        <f t="shared" si="0"/>
        <v>22.742049999999999</v>
      </c>
      <c r="G248" s="2">
        <f t="shared" si="1"/>
        <v>22.742049999999999</v>
      </c>
    </row>
    <row r="249" spans="1:7" ht="14.25" customHeight="1">
      <c r="A249" s="2" t="s">
        <v>15</v>
      </c>
      <c r="B249" s="2">
        <v>2009</v>
      </c>
      <c r="C249" s="2" t="s">
        <v>36</v>
      </c>
      <c r="D249" s="2">
        <v>22255.53</v>
      </c>
      <c r="E249" s="3">
        <f t="shared" si="0"/>
        <v>22.25553</v>
      </c>
      <c r="G249" s="2">
        <f t="shared" si="1"/>
        <v>22.25553</v>
      </c>
    </row>
    <row r="250" spans="1:7" ht="14.25" customHeight="1">
      <c r="A250" s="2" t="s">
        <v>15</v>
      </c>
      <c r="B250" s="2">
        <v>2010</v>
      </c>
      <c r="C250" s="2" t="s">
        <v>36</v>
      </c>
      <c r="D250" s="2">
        <v>24456.7</v>
      </c>
      <c r="E250" s="3">
        <f t="shared" si="0"/>
        <v>24.456700000000001</v>
      </c>
      <c r="G250" s="2">
        <f t="shared" si="1"/>
        <v>24.456700000000001</v>
      </c>
    </row>
    <row r="251" spans="1:7" ht="14.25" customHeight="1">
      <c r="A251" s="2" t="s">
        <v>15</v>
      </c>
      <c r="B251" s="2">
        <v>2011</v>
      </c>
      <c r="C251" s="2" t="s">
        <v>36</v>
      </c>
      <c r="D251" s="2">
        <v>25763.1</v>
      </c>
      <c r="E251" s="3">
        <f t="shared" si="0"/>
        <v>25.763099999999998</v>
      </c>
      <c r="G251" s="2">
        <f t="shared" si="1"/>
        <v>25.763099999999998</v>
      </c>
    </row>
    <row r="252" spans="1:7" ht="14.25" customHeight="1">
      <c r="A252" s="2" t="s">
        <v>15</v>
      </c>
      <c r="B252" s="2">
        <v>2012</v>
      </c>
      <c r="C252" s="2" t="s">
        <v>36</v>
      </c>
      <c r="D252" s="2">
        <v>27273.200000000001</v>
      </c>
      <c r="E252" s="3">
        <f t="shared" si="0"/>
        <v>27.273199999999999</v>
      </c>
      <c r="G252" s="2">
        <f t="shared" si="1"/>
        <v>27.273199999999999</v>
      </c>
    </row>
    <row r="253" spans="1:7" ht="14.25" customHeight="1">
      <c r="A253" s="2" t="s">
        <v>15</v>
      </c>
      <c r="B253" s="2">
        <v>2013</v>
      </c>
      <c r="C253" s="2" t="s">
        <v>36</v>
      </c>
      <c r="D253" s="2">
        <v>28041.16</v>
      </c>
      <c r="E253" s="3">
        <f t="shared" si="0"/>
        <v>28.041160000000001</v>
      </c>
      <c r="G253" s="2">
        <f t="shared" si="1"/>
        <v>28.041160000000001</v>
      </c>
    </row>
    <row r="254" spans="1:7" ht="14.25" customHeight="1">
      <c r="A254" s="2" t="s">
        <v>15</v>
      </c>
      <c r="B254" s="2">
        <v>2014</v>
      </c>
      <c r="C254" s="2" t="s">
        <v>36</v>
      </c>
      <c r="D254" s="2">
        <v>32062.86</v>
      </c>
      <c r="E254" s="3">
        <f t="shared" si="0"/>
        <v>32.062860000000001</v>
      </c>
      <c r="G254" s="2">
        <f t="shared" si="1"/>
        <v>32.062860000000001</v>
      </c>
    </row>
    <row r="255" spans="1:7" ht="14.25" customHeight="1">
      <c r="A255" s="2" t="s">
        <v>15</v>
      </c>
      <c r="B255" s="2">
        <v>2015</v>
      </c>
      <c r="C255" s="2" t="s">
        <v>36</v>
      </c>
      <c r="D255" s="2">
        <v>28985.71</v>
      </c>
      <c r="E255" s="3">
        <f t="shared" si="0"/>
        <v>28.985709999999997</v>
      </c>
      <c r="G255" s="2">
        <f t="shared" si="1"/>
        <v>28.985709999999997</v>
      </c>
    </row>
    <row r="256" spans="1:7" ht="14.25" customHeight="1">
      <c r="A256" s="2" t="s">
        <v>15</v>
      </c>
      <c r="B256" s="2">
        <v>2016</v>
      </c>
      <c r="C256" s="2" t="s">
        <v>36</v>
      </c>
      <c r="D256" s="2">
        <v>33760.949999999997</v>
      </c>
      <c r="E256" s="3">
        <f t="shared" si="0"/>
        <v>33.760949999999994</v>
      </c>
      <c r="G256" s="2">
        <f t="shared" si="1"/>
        <v>33.760949999999994</v>
      </c>
    </row>
    <row r="257" spans="1:7" ht="14.25" customHeight="1">
      <c r="A257" s="2" t="s">
        <v>15</v>
      </c>
      <c r="B257" s="2">
        <v>2017</v>
      </c>
      <c r="C257" s="2" t="s">
        <v>36</v>
      </c>
      <c r="D257" s="2">
        <v>32410.3</v>
      </c>
      <c r="E257" s="3">
        <f t="shared" ref="E257:E511" si="2">D257/1000</f>
        <v>32.410299999999999</v>
      </c>
      <c r="G257" s="2">
        <f t="shared" ref="G257:G511" si="3">E257+F257</f>
        <v>32.410299999999999</v>
      </c>
    </row>
    <row r="258" spans="1:7" ht="14.25" customHeight="1">
      <c r="A258" s="2" t="s">
        <v>15</v>
      </c>
      <c r="B258" s="2">
        <v>2018</v>
      </c>
      <c r="C258" s="2" t="s">
        <v>36</v>
      </c>
      <c r="D258" s="2">
        <v>32017.544000000002</v>
      </c>
      <c r="E258" s="3">
        <f t="shared" si="2"/>
        <v>32.017544000000001</v>
      </c>
      <c r="G258" s="2">
        <f t="shared" si="3"/>
        <v>32.017544000000001</v>
      </c>
    </row>
    <row r="259" spans="1:7" ht="14.25" customHeight="1">
      <c r="A259" s="2" t="s">
        <v>15</v>
      </c>
      <c r="B259" s="2">
        <v>1903</v>
      </c>
      <c r="C259" s="2" t="s">
        <v>51</v>
      </c>
      <c r="D259" s="2">
        <v>8510</v>
      </c>
      <c r="E259" s="3">
        <f t="shared" si="2"/>
        <v>8.51</v>
      </c>
      <c r="G259" s="2">
        <f t="shared" si="3"/>
        <v>8.51</v>
      </c>
    </row>
    <row r="260" spans="1:7" ht="14.25" customHeight="1">
      <c r="A260" s="2" t="s">
        <v>15</v>
      </c>
      <c r="B260" s="2">
        <v>1904</v>
      </c>
      <c r="C260" s="2" t="s">
        <v>51</v>
      </c>
      <c r="D260" s="2">
        <v>7789</v>
      </c>
      <c r="E260" s="3">
        <f t="shared" si="2"/>
        <v>7.7889999999999997</v>
      </c>
      <c r="G260" s="2">
        <f t="shared" si="3"/>
        <v>7.7889999999999997</v>
      </c>
    </row>
    <row r="261" spans="1:7" ht="14.25" customHeight="1">
      <c r="A261" s="2" t="s">
        <v>15</v>
      </c>
      <c r="B261" s="2">
        <v>1905</v>
      </c>
      <c r="C261" s="2" t="s">
        <v>51</v>
      </c>
      <c r="D261" s="2">
        <v>6349</v>
      </c>
      <c r="E261" s="3">
        <f t="shared" si="2"/>
        <v>6.3490000000000002</v>
      </c>
      <c r="G261" s="2">
        <f t="shared" si="3"/>
        <v>6.3490000000000002</v>
      </c>
    </row>
    <row r="262" spans="1:7" ht="14.25" customHeight="1">
      <c r="A262" s="2" t="s">
        <v>15</v>
      </c>
      <c r="B262" s="2">
        <v>1906</v>
      </c>
      <c r="C262" s="2" t="s">
        <v>51</v>
      </c>
      <c r="D262" s="2">
        <v>6165</v>
      </c>
      <c r="E262" s="3">
        <f t="shared" si="2"/>
        <v>6.165</v>
      </c>
      <c r="G262" s="2">
        <f t="shared" si="3"/>
        <v>6.165</v>
      </c>
    </row>
    <row r="263" spans="1:7" ht="14.25" customHeight="1">
      <c r="A263" s="2" t="s">
        <v>15</v>
      </c>
      <c r="B263" s="2">
        <v>1907</v>
      </c>
      <c r="C263" s="2" t="s">
        <v>51</v>
      </c>
      <c r="D263" s="2">
        <v>6145</v>
      </c>
      <c r="E263" s="3">
        <f t="shared" si="2"/>
        <v>6.1449999999999996</v>
      </c>
      <c r="G263" s="2">
        <f t="shared" si="3"/>
        <v>6.1449999999999996</v>
      </c>
    </row>
    <row r="264" spans="1:7" ht="14.25" customHeight="1">
      <c r="A264" s="2" t="s">
        <v>15</v>
      </c>
      <c r="B264" s="2">
        <v>1908</v>
      </c>
      <c r="C264" s="2" t="s">
        <v>51</v>
      </c>
      <c r="D264" s="2">
        <v>5942</v>
      </c>
      <c r="E264" s="3">
        <f t="shared" si="2"/>
        <v>5.9420000000000002</v>
      </c>
      <c r="G264" s="2">
        <f t="shared" si="3"/>
        <v>5.9420000000000002</v>
      </c>
    </row>
    <row r="265" spans="1:7" ht="14.25" customHeight="1">
      <c r="A265" s="2" t="s">
        <v>15</v>
      </c>
      <c r="B265" s="2">
        <v>1909</v>
      </c>
      <c r="C265" s="2" t="s">
        <v>51</v>
      </c>
      <c r="D265" s="2">
        <v>6569</v>
      </c>
      <c r="E265" s="3">
        <f t="shared" si="2"/>
        <v>6.569</v>
      </c>
      <c r="G265" s="2">
        <f t="shared" si="3"/>
        <v>6.569</v>
      </c>
    </row>
    <row r="266" spans="1:7" ht="14.25" customHeight="1">
      <c r="A266" s="2" t="s">
        <v>15</v>
      </c>
      <c r="B266" s="2">
        <v>1910</v>
      </c>
      <c r="C266" s="2" t="s">
        <v>51</v>
      </c>
      <c r="D266" s="2">
        <v>6331</v>
      </c>
      <c r="E266" s="3">
        <f t="shared" si="2"/>
        <v>6.3310000000000004</v>
      </c>
      <c r="G266" s="2">
        <f t="shared" si="3"/>
        <v>6.3310000000000004</v>
      </c>
    </row>
    <row r="267" spans="1:7" ht="14.25" customHeight="1">
      <c r="A267" s="2" t="s">
        <v>15</v>
      </c>
      <c r="B267" s="2">
        <v>1911</v>
      </c>
      <c r="C267" s="2" t="s">
        <v>51</v>
      </c>
      <c r="D267" s="2">
        <v>4898</v>
      </c>
      <c r="E267" s="3">
        <f t="shared" si="2"/>
        <v>4.8979999999999997</v>
      </c>
      <c r="G267" s="2">
        <f t="shared" si="3"/>
        <v>4.8979999999999997</v>
      </c>
    </row>
    <row r="268" spans="1:7" ht="14.25" customHeight="1">
      <c r="A268" s="2" t="s">
        <v>15</v>
      </c>
      <c r="B268" s="2">
        <v>1912</v>
      </c>
      <c r="C268" s="2" t="s">
        <v>51</v>
      </c>
      <c r="D268" s="2">
        <v>5541</v>
      </c>
      <c r="E268" s="3">
        <f t="shared" si="2"/>
        <v>5.5410000000000004</v>
      </c>
      <c r="G268" s="2">
        <f t="shared" si="3"/>
        <v>5.5410000000000004</v>
      </c>
    </row>
    <row r="269" spans="1:7" ht="14.25" customHeight="1">
      <c r="A269" s="2" t="s">
        <v>15</v>
      </c>
      <c r="B269" s="2">
        <v>1913</v>
      </c>
      <c r="C269" s="2" t="s">
        <v>51</v>
      </c>
      <c r="D269" s="2">
        <v>5943</v>
      </c>
      <c r="E269" s="3">
        <f t="shared" si="2"/>
        <v>5.9429999999999996</v>
      </c>
      <c r="G269" s="2">
        <f t="shared" si="3"/>
        <v>5.9429999999999996</v>
      </c>
    </row>
    <row r="270" spans="1:7" ht="14.25" customHeight="1">
      <c r="A270" s="2" t="s">
        <v>15</v>
      </c>
      <c r="B270" s="2">
        <v>1914</v>
      </c>
      <c r="C270" s="2" t="s">
        <v>51</v>
      </c>
      <c r="D270" s="2">
        <v>5965</v>
      </c>
      <c r="E270" s="3">
        <f t="shared" si="2"/>
        <v>5.9649999999999999</v>
      </c>
      <c r="G270" s="2">
        <f t="shared" si="3"/>
        <v>5.9649999999999999</v>
      </c>
    </row>
    <row r="271" spans="1:7" ht="14.25" customHeight="1">
      <c r="A271" s="2" t="s">
        <v>15</v>
      </c>
      <c r="B271" s="2">
        <v>1915</v>
      </c>
      <c r="C271" s="2" t="s">
        <v>51</v>
      </c>
      <c r="D271" s="2">
        <v>4764</v>
      </c>
      <c r="E271" s="3">
        <f t="shared" si="2"/>
        <v>4.7640000000000002</v>
      </c>
      <c r="G271" s="2">
        <f t="shared" si="3"/>
        <v>4.7640000000000002</v>
      </c>
    </row>
    <row r="272" spans="1:7" ht="14.25" customHeight="1">
      <c r="A272" s="2" t="s">
        <v>15</v>
      </c>
      <c r="B272" s="2">
        <v>1916</v>
      </c>
      <c r="C272" s="2" t="s">
        <v>51</v>
      </c>
      <c r="D272" s="2">
        <v>3920</v>
      </c>
      <c r="E272" s="3">
        <f t="shared" si="2"/>
        <v>3.92</v>
      </c>
      <c r="G272" s="2">
        <f t="shared" si="3"/>
        <v>3.92</v>
      </c>
    </row>
    <row r="273" spans="1:7" ht="14.25" customHeight="1">
      <c r="A273" s="2" t="s">
        <v>15</v>
      </c>
      <c r="B273" s="2">
        <v>1917</v>
      </c>
      <c r="C273" s="2" t="s">
        <v>51</v>
      </c>
      <c r="D273" s="2">
        <v>3618</v>
      </c>
      <c r="E273" s="3">
        <f t="shared" si="2"/>
        <v>3.6179999999999999</v>
      </c>
      <c r="G273" s="2">
        <f t="shared" si="3"/>
        <v>3.6179999999999999</v>
      </c>
    </row>
    <row r="274" spans="1:7" ht="14.25" customHeight="1">
      <c r="A274" s="2" t="s">
        <v>15</v>
      </c>
      <c r="B274" s="2">
        <v>1918</v>
      </c>
      <c r="C274" s="2" t="s">
        <v>51</v>
      </c>
      <c r="D274" s="2">
        <v>3907</v>
      </c>
      <c r="E274" s="3">
        <f t="shared" si="2"/>
        <v>3.907</v>
      </c>
      <c r="G274" s="2">
        <f t="shared" si="3"/>
        <v>3.907</v>
      </c>
    </row>
    <row r="275" spans="1:7" ht="14.25" customHeight="1">
      <c r="A275" s="2" t="s">
        <v>15</v>
      </c>
      <c r="B275" s="2">
        <v>1919</v>
      </c>
      <c r="C275" s="2" t="s">
        <v>51</v>
      </c>
      <c r="D275" s="2">
        <v>3637</v>
      </c>
      <c r="E275" s="3">
        <f t="shared" si="2"/>
        <v>3.637</v>
      </c>
      <c r="G275" s="2">
        <f t="shared" si="3"/>
        <v>3.637</v>
      </c>
    </row>
    <row r="276" spans="1:7" ht="14.25" customHeight="1">
      <c r="A276" s="2" t="s">
        <v>15</v>
      </c>
      <c r="B276" s="2">
        <v>1920</v>
      </c>
      <c r="C276" s="2" t="s">
        <v>51</v>
      </c>
      <c r="D276" s="2">
        <v>5414</v>
      </c>
      <c r="E276" s="3">
        <f t="shared" si="2"/>
        <v>5.4139999999999997</v>
      </c>
      <c r="G276" s="2">
        <f t="shared" si="3"/>
        <v>5.4139999999999997</v>
      </c>
    </row>
    <row r="277" spans="1:7" ht="14.25" customHeight="1">
      <c r="A277" s="2" t="s">
        <v>15</v>
      </c>
      <c r="B277" s="2">
        <v>1921</v>
      </c>
      <c r="C277" s="2" t="s">
        <v>51</v>
      </c>
      <c r="D277" s="2">
        <v>5411</v>
      </c>
      <c r="E277" s="3">
        <f t="shared" si="2"/>
        <v>5.4109999999999996</v>
      </c>
      <c r="G277" s="2">
        <f t="shared" si="3"/>
        <v>5.4109999999999996</v>
      </c>
    </row>
    <row r="278" spans="1:7" ht="14.25" customHeight="1">
      <c r="A278" s="2" t="s">
        <v>15</v>
      </c>
      <c r="B278" s="2">
        <v>1922</v>
      </c>
      <c r="C278" s="2" t="s">
        <v>51</v>
      </c>
      <c r="D278" s="2">
        <v>6509</v>
      </c>
      <c r="E278" s="3">
        <f t="shared" si="2"/>
        <v>6.5090000000000003</v>
      </c>
      <c r="G278" s="2">
        <f t="shared" si="3"/>
        <v>6.5090000000000003</v>
      </c>
    </row>
    <row r="279" spans="1:7" ht="14.25" customHeight="1">
      <c r="A279" s="2" t="s">
        <v>15</v>
      </c>
      <c r="B279" s="2">
        <v>1923</v>
      </c>
      <c r="C279" s="2" t="s">
        <v>51</v>
      </c>
      <c r="D279" s="2">
        <v>6542</v>
      </c>
      <c r="E279" s="3">
        <f t="shared" si="2"/>
        <v>6.5419999999999998</v>
      </c>
      <c r="G279" s="2">
        <f t="shared" si="3"/>
        <v>6.5419999999999998</v>
      </c>
    </row>
    <row r="280" spans="1:7" ht="14.25" customHeight="1">
      <c r="A280" s="2" t="s">
        <v>15</v>
      </c>
      <c r="B280" s="2">
        <v>1924</v>
      </c>
      <c r="C280" s="2" t="s">
        <v>51</v>
      </c>
      <c r="D280" s="2">
        <v>6347</v>
      </c>
      <c r="E280" s="3">
        <f t="shared" si="2"/>
        <v>6.3470000000000004</v>
      </c>
      <c r="G280" s="2">
        <f t="shared" si="3"/>
        <v>6.3470000000000004</v>
      </c>
    </row>
    <row r="281" spans="1:7" ht="14.25" customHeight="1">
      <c r="A281" s="2" t="s">
        <v>15</v>
      </c>
      <c r="B281" s="2">
        <v>1925</v>
      </c>
      <c r="C281" s="2" t="s">
        <v>51</v>
      </c>
      <c r="D281" s="2">
        <v>6093</v>
      </c>
      <c r="E281" s="3">
        <f t="shared" si="2"/>
        <v>6.093</v>
      </c>
      <c r="G281" s="2">
        <f t="shared" si="3"/>
        <v>6.093</v>
      </c>
    </row>
    <row r="282" spans="1:7" ht="14.25" customHeight="1">
      <c r="A282" s="2" t="s">
        <v>15</v>
      </c>
      <c r="B282" s="2">
        <v>1926</v>
      </c>
      <c r="C282" s="2" t="s">
        <v>51</v>
      </c>
      <c r="D282" s="2">
        <v>5551</v>
      </c>
      <c r="E282" s="3">
        <f t="shared" si="2"/>
        <v>5.5510000000000002</v>
      </c>
      <c r="G282" s="2">
        <f t="shared" si="3"/>
        <v>5.5510000000000002</v>
      </c>
    </row>
    <row r="283" spans="1:7" ht="14.25" customHeight="1">
      <c r="A283" s="2" t="s">
        <v>15</v>
      </c>
      <c r="B283" s="2">
        <v>1927</v>
      </c>
      <c r="C283" s="2" t="s">
        <v>51</v>
      </c>
      <c r="D283" s="2">
        <v>5395</v>
      </c>
      <c r="E283" s="3">
        <f t="shared" si="2"/>
        <v>5.3949999999999996</v>
      </c>
      <c r="G283" s="2">
        <f t="shared" si="3"/>
        <v>5.3949999999999996</v>
      </c>
    </row>
    <row r="284" spans="1:7" ht="14.25" customHeight="1">
      <c r="A284" s="2" t="s">
        <v>15</v>
      </c>
      <c r="B284" s="2">
        <v>1928</v>
      </c>
      <c r="C284" s="2" t="s">
        <v>51</v>
      </c>
      <c r="D284" s="2">
        <v>4644</v>
      </c>
      <c r="E284" s="3">
        <f t="shared" si="2"/>
        <v>4.6440000000000001</v>
      </c>
      <c r="G284" s="2">
        <f t="shared" si="3"/>
        <v>4.6440000000000001</v>
      </c>
    </row>
    <row r="285" spans="1:7" ht="14.25" customHeight="1">
      <c r="A285" s="2" t="s">
        <v>15</v>
      </c>
      <c r="B285" s="2">
        <v>1929</v>
      </c>
      <c r="C285" s="2" t="s">
        <v>51</v>
      </c>
      <c r="D285" s="2">
        <v>5214</v>
      </c>
      <c r="E285" s="3">
        <f t="shared" si="2"/>
        <v>5.2140000000000004</v>
      </c>
      <c r="G285" s="2">
        <f t="shared" si="3"/>
        <v>5.2140000000000004</v>
      </c>
    </row>
    <row r="286" spans="1:7" ht="14.25" customHeight="1">
      <c r="A286" s="2" t="s">
        <v>15</v>
      </c>
      <c r="B286" s="2">
        <v>1930</v>
      </c>
      <c r="C286" s="2" t="s">
        <v>51</v>
      </c>
      <c r="D286" s="2">
        <v>4529</v>
      </c>
      <c r="E286" s="3">
        <f t="shared" si="2"/>
        <v>4.5289999999999999</v>
      </c>
      <c r="G286" s="2">
        <f t="shared" si="3"/>
        <v>4.5289999999999999</v>
      </c>
    </row>
    <row r="287" spans="1:7" ht="14.25" customHeight="1">
      <c r="A287" s="2" t="s">
        <v>15</v>
      </c>
      <c r="B287" s="2">
        <v>1931</v>
      </c>
      <c r="C287" s="2" t="s">
        <v>51</v>
      </c>
      <c r="D287" s="2">
        <v>4629</v>
      </c>
      <c r="E287" s="3">
        <f t="shared" si="2"/>
        <v>4.6289999999999996</v>
      </c>
      <c r="G287" s="2">
        <f t="shared" si="3"/>
        <v>4.6289999999999996</v>
      </c>
    </row>
    <row r="288" spans="1:7" ht="14.25" customHeight="1">
      <c r="A288" s="2" t="s">
        <v>15</v>
      </c>
      <c r="B288" s="2">
        <v>1932</v>
      </c>
      <c r="C288" s="2" t="s">
        <v>51</v>
      </c>
      <c r="D288" s="2">
        <v>4721</v>
      </c>
      <c r="E288" s="3">
        <f t="shared" si="2"/>
        <v>4.7210000000000001</v>
      </c>
      <c r="G288" s="2">
        <f t="shared" si="3"/>
        <v>4.7210000000000001</v>
      </c>
    </row>
    <row r="289" spans="1:7" ht="14.25" customHeight="1">
      <c r="A289" s="2" t="s">
        <v>15</v>
      </c>
      <c r="B289" s="2">
        <v>1933</v>
      </c>
      <c r="C289" s="2" t="s">
        <v>51</v>
      </c>
      <c r="D289" s="2">
        <v>4651</v>
      </c>
      <c r="E289" s="3">
        <f t="shared" si="2"/>
        <v>4.6509999999999998</v>
      </c>
      <c r="G289" s="2">
        <f t="shared" si="3"/>
        <v>4.6509999999999998</v>
      </c>
    </row>
    <row r="290" spans="1:7" ht="14.25" customHeight="1">
      <c r="A290" s="2" t="s">
        <v>15</v>
      </c>
      <c r="B290" s="2">
        <v>1934</v>
      </c>
      <c r="C290" s="2" t="s">
        <v>51</v>
      </c>
      <c r="D290" s="2">
        <v>4833</v>
      </c>
      <c r="E290" s="3">
        <f t="shared" si="2"/>
        <v>4.8330000000000002</v>
      </c>
      <c r="G290" s="2">
        <f t="shared" si="3"/>
        <v>4.8330000000000002</v>
      </c>
    </row>
    <row r="291" spans="1:7" ht="14.25" customHeight="1">
      <c r="A291" s="2" t="s">
        <v>15</v>
      </c>
      <c r="B291" s="2">
        <v>1935</v>
      </c>
      <c r="C291" s="2" t="s">
        <v>51</v>
      </c>
      <c r="D291" s="2">
        <v>4520</v>
      </c>
      <c r="E291" s="3">
        <f t="shared" si="2"/>
        <v>4.5199999999999996</v>
      </c>
      <c r="G291" s="2">
        <f t="shared" si="3"/>
        <v>4.5199999999999996</v>
      </c>
    </row>
    <row r="292" spans="1:7" ht="14.25" customHeight="1">
      <c r="A292" s="2" t="s">
        <v>15</v>
      </c>
      <c r="B292" s="2">
        <v>1936</v>
      </c>
      <c r="C292" s="2" t="s">
        <v>51</v>
      </c>
      <c r="D292" s="2">
        <v>5002</v>
      </c>
      <c r="E292" s="3">
        <f t="shared" si="2"/>
        <v>5.0019999999999998</v>
      </c>
      <c r="G292" s="2">
        <f t="shared" si="3"/>
        <v>5.0019999999999998</v>
      </c>
    </row>
    <row r="293" spans="1:7" ht="14.25" customHeight="1">
      <c r="A293" s="2" t="s">
        <v>15</v>
      </c>
      <c r="B293" s="2">
        <v>1937</v>
      </c>
      <c r="C293" s="2" t="s">
        <v>51</v>
      </c>
      <c r="D293" s="2">
        <v>4683</v>
      </c>
      <c r="E293" s="3">
        <f t="shared" si="2"/>
        <v>4.6829999999999998</v>
      </c>
      <c r="G293" s="2">
        <f t="shared" si="3"/>
        <v>4.6829999999999998</v>
      </c>
    </row>
    <row r="294" spans="1:7" ht="14.25" customHeight="1">
      <c r="A294" s="2" t="s">
        <v>15</v>
      </c>
      <c r="B294" s="2">
        <v>1938</v>
      </c>
      <c r="C294" s="2" t="s">
        <v>51</v>
      </c>
      <c r="D294" s="2">
        <v>4135</v>
      </c>
      <c r="E294" s="3">
        <f t="shared" si="2"/>
        <v>4.1349999999999998</v>
      </c>
      <c r="G294" s="2">
        <f t="shared" si="3"/>
        <v>4.1349999999999998</v>
      </c>
    </row>
    <row r="295" spans="1:7" ht="14.25" customHeight="1">
      <c r="A295" s="2" t="s">
        <v>15</v>
      </c>
      <c r="B295" s="2">
        <v>1939</v>
      </c>
      <c r="C295" s="2" t="s">
        <v>51</v>
      </c>
      <c r="D295" s="2">
        <v>4121</v>
      </c>
      <c r="E295" s="3">
        <f t="shared" si="2"/>
        <v>4.1210000000000004</v>
      </c>
      <c r="G295" s="2">
        <f t="shared" si="3"/>
        <v>4.1210000000000004</v>
      </c>
    </row>
    <row r="296" spans="1:7" ht="14.25" customHeight="1">
      <c r="A296" s="2" t="s">
        <v>15</v>
      </c>
      <c r="B296" s="2">
        <v>1940</v>
      </c>
      <c r="C296" s="2" t="s">
        <v>51</v>
      </c>
      <c r="D296" s="2">
        <v>2976</v>
      </c>
      <c r="E296" s="3">
        <f t="shared" si="2"/>
        <v>2.976</v>
      </c>
      <c r="G296" s="2">
        <f t="shared" si="3"/>
        <v>2.976</v>
      </c>
    </row>
    <row r="297" spans="1:7" ht="14.25" customHeight="1">
      <c r="A297" s="2" t="s">
        <v>15</v>
      </c>
      <c r="B297" s="2">
        <v>1941</v>
      </c>
      <c r="C297" s="2" t="s">
        <v>51</v>
      </c>
      <c r="D297" s="2">
        <v>2778</v>
      </c>
      <c r="E297" s="3">
        <f t="shared" si="2"/>
        <v>2.778</v>
      </c>
      <c r="G297" s="2">
        <f t="shared" si="3"/>
        <v>2.778</v>
      </c>
    </row>
    <row r="298" spans="1:7" ht="14.25" customHeight="1">
      <c r="A298" s="2" t="s">
        <v>15</v>
      </c>
      <c r="B298" s="2">
        <v>1942</v>
      </c>
      <c r="C298" s="2" t="s">
        <v>51</v>
      </c>
      <c r="D298" s="2">
        <v>2671</v>
      </c>
      <c r="E298" s="3">
        <f t="shared" si="2"/>
        <v>2.6709999999999998</v>
      </c>
      <c r="G298" s="2">
        <f t="shared" si="3"/>
        <v>2.6709999999999998</v>
      </c>
    </row>
    <row r="299" spans="1:7" ht="14.25" customHeight="1">
      <c r="A299" s="2" t="s">
        <v>15</v>
      </c>
      <c r="B299" s="2">
        <v>1943</v>
      </c>
      <c r="C299" s="2" t="s">
        <v>51</v>
      </c>
      <c r="D299" s="2">
        <v>1406</v>
      </c>
      <c r="E299" s="3">
        <f t="shared" si="2"/>
        <v>1.4059999999999999</v>
      </c>
      <c r="G299" s="2">
        <f t="shared" si="3"/>
        <v>1.4059999999999999</v>
      </c>
    </row>
    <row r="300" spans="1:7" ht="14.25" customHeight="1">
      <c r="A300" s="2" t="s">
        <v>15</v>
      </c>
      <c r="B300" s="2">
        <v>1944</v>
      </c>
      <c r="C300" s="2" t="s">
        <v>51</v>
      </c>
      <c r="D300" s="2">
        <v>1089</v>
      </c>
      <c r="E300" s="3">
        <f t="shared" si="2"/>
        <v>1.089</v>
      </c>
      <c r="G300" s="2">
        <f t="shared" si="3"/>
        <v>1.089</v>
      </c>
    </row>
    <row r="301" spans="1:7" ht="14.25" customHeight="1">
      <c r="A301" s="2" t="s">
        <v>15</v>
      </c>
      <c r="B301" s="2">
        <v>1945</v>
      </c>
      <c r="C301" s="2" t="s">
        <v>51</v>
      </c>
      <c r="D301" s="2">
        <v>1329</v>
      </c>
      <c r="E301" s="3">
        <f t="shared" si="2"/>
        <v>1.329</v>
      </c>
      <c r="G301" s="2">
        <f t="shared" si="3"/>
        <v>1.329</v>
      </c>
    </row>
    <row r="302" spans="1:7" ht="14.25" customHeight="1">
      <c r="A302" s="2" t="s">
        <v>15</v>
      </c>
      <c r="B302" s="2">
        <v>1946</v>
      </c>
      <c r="C302" s="2" t="s">
        <v>51</v>
      </c>
      <c r="D302" s="2">
        <v>2433</v>
      </c>
      <c r="E302" s="3">
        <f t="shared" si="2"/>
        <v>2.4329999999999998</v>
      </c>
      <c r="G302" s="2">
        <f t="shared" si="3"/>
        <v>2.4329999999999998</v>
      </c>
    </row>
    <row r="303" spans="1:7" ht="14.25" customHeight="1">
      <c r="A303" s="2" t="s">
        <v>15</v>
      </c>
      <c r="B303" s="2">
        <v>1947</v>
      </c>
      <c r="C303" s="2" t="s">
        <v>51</v>
      </c>
      <c r="D303" s="2">
        <v>5487</v>
      </c>
      <c r="E303" s="3">
        <f t="shared" si="2"/>
        <v>5.4870000000000001</v>
      </c>
      <c r="G303" s="2">
        <f t="shared" si="3"/>
        <v>5.4870000000000001</v>
      </c>
    </row>
    <row r="304" spans="1:7" ht="14.25" customHeight="1">
      <c r="A304" s="2" t="s">
        <v>15</v>
      </c>
      <c r="B304" s="2">
        <v>1948</v>
      </c>
      <c r="C304" s="2" t="s">
        <v>51</v>
      </c>
      <c r="D304" s="2">
        <v>5564</v>
      </c>
      <c r="E304" s="3">
        <f t="shared" si="2"/>
        <v>5.5640000000000001</v>
      </c>
      <c r="G304" s="2">
        <f t="shared" si="3"/>
        <v>5.5640000000000001</v>
      </c>
    </row>
    <row r="305" spans="1:7" ht="14.25" customHeight="1">
      <c r="A305" s="2" t="s">
        <v>15</v>
      </c>
      <c r="B305" s="2">
        <v>1949</v>
      </c>
      <c r="C305" s="2" t="s">
        <v>51</v>
      </c>
      <c r="D305" s="2">
        <v>5355</v>
      </c>
      <c r="E305" s="3">
        <f t="shared" si="2"/>
        <v>5.3550000000000004</v>
      </c>
      <c r="G305" s="2">
        <f t="shared" si="3"/>
        <v>5.3550000000000004</v>
      </c>
    </row>
    <row r="306" spans="1:7" ht="14.25" customHeight="1">
      <c r="A306" s="2" t="s">
        <v>15</v>
      </c>
      <c r="B306" s="2">
        <v>1950</v>
      </c>
      <c r="C306" s="2" t="s">
        <v>51</v>
      </c>
      <c r="D306" s="2">
        <v>4093</v>
      </c>
      <c r="E306" s="3">
        <f t="shared" si="2"/>
        <v>4.093</v>
      </c>
      <c r="G306" s="2">
        <f t="shared" si="3"/>
        <v>4.093</v>
      </c>
    </row>
    <row r="307" spans="1:7" ht="14.25" customHeight="1">
      <c r="A307" s="2" t="s">
        <v>15</v>
      </c>
      <c r="B307" s="2">
        <v>1951</v>
      </c>
      <c r="C307" s="2" t="s">
        <v>51</v>
      </c>
      <c r="D307" s="2">
        <v>4724</v>
      </c>
      <c r="E307" s="3">
        <f t="shared" si="2"/>
        <v>4.7240000000000002</v>
      </c>
      <c r="G307" s="2">
        <f t="shared" si="3"/>
        <v>4.7240000000000002</v>
      </c>
    </row>
    <row r="308" spans="1:7" ht="14.25" customHeight="1">
      <c r="A308" s="2" t="s">
        <v>15</v>
      </c>
      <c r="B308" s="2">
        <v>1952</v>
      </c>
      <c r="C308" s="2" t="s">
        <v>51</v>
      </c>
      <c r="D308" s="2">
        <v>4005</v>
      </c>
      <c r="E308" s="3">
        <f t="shared" si="2"/>
        <v>4.0049999999999999</v>
      </c>
      <c r="G308" s="2">
        <f t="shared" si="3"/>
        <v>4.0049999999999999</v>
      </c>
    </row>
    <row r="309" spans="1:7" ht="14.25" customHeight="1">
      <c r="A309" s="2" t="s">
        <v>15</v>
      </c>
      <c r="B309" s="2">
        <v>1953</v>
      </c>
      <c r="C309" s="2" t="s">
        <v>51</v>
      </c>
      <c r="D309" s="2">
        <v>3708</v>
      </c>
      <c r="E309" s="3">
        <f t="shared" si="2"/>
        <v>3.7080000000000002</v>
      </c>
      <c r="G309" s="2">
        <f t="shared" si="3"/>
        <v>3.7080000000000002</v>
      </c>
    </row>
    <row r="310" spans="1:7" ht="14.25" customHeight="1">
      <c r="A310" s="2" t="s">
        <v>15</v>
      </c>
      <c r="B310" s="2">
        <v>1954</v>
      </c>
      <c r="C310" s="2" t="s">
        <v>51</v>
      </c>
      <c r="D310" s="2">
        <v>3656</v>
      </c>
      <c r="E310" s="3">
        <f t="shared" si="2"/>
        <v>3.6560000000000001</v>
      </c>
      <c r="G310" s="2">
        <f t="shared" si="3"/>
        <v>3.6560000000000001</v>
      </c>
    </row>
    <row r="311" spans="1:7" ht="14.25" customHeight="1">
      <c r="A311" s="2" t="s">
        <v>15</v>
      </c>
      <c r="B311" s="2">
        <v>1955</v>
      </c>
      <c r="C311" s="2" t="s">
        <v>51</v>
      </c>
      <c r="D311" s="2">
        <v>3161</v>
      </c>
      <c r="E311" s="3">
        <f t="shared" si="2"/>
        <v>3.161</v>
      </c>
      <c r="G311" s="2">
        <f t="shared" si="3"/>
        <v>3.161</v>
      </c>
    </row>
    <row r="312" spans="1:7" ht="14.25" customHeight="1">
      <c r="A312" s="2" t="s">
        <v>15</v>
      </c>
      <c r="B312" s="2">
        <v>1956</v>
      </c>
      <c r="C312" s="2" t="s">
        <v>51</v>
      </c>
      <c r="D312" s="2">
        <v>2601</v>
      </c>
      <c r="E312" s="3">
        <f t="shared" si="2"/>
        <v>2.601</v>
      </c>
      <c r="G312" s="2">
        <f t="shared" si="3"/>
        <v>2.601</v>
      </c>
    </row>
    <row r="313" spans="1:7" ht="14.25" customHeight="1">
      <c r="A313" s="2" t="s">
        <v>15</v>
      </c>
      <c r="B313" s="2">
        <v>1957</v>
      </c>
      <c r="C313" s="2" t="s">
        <v>51</v>
      </c>
      <c r="D313" s="2">
        <v>2809</v>
      </c>
      <c r="E313" s="3">
        <f t="shared" si="2"/>
        <v>2.8090000000000002</v>
      </c>
      <c r="G313" s="2">
        <f t="shared" si="3"/>
        <v>2.8090000000000002</v>
      </c>
    </row>
    <row r="314" spans="1:7" ht="14.25" customHeight="1">
      <c r="A314" s="2" t="s">
        <v>15</v>
      </c>
      <c r="B314" s="2">
        <v>1958</v>
      </c>
      <c r="C314" s="2" t="s">
        <v>51</v>
      </c>
      <c r="D314" s="2">
        <v>2787</v>
      </c>
      <c r="E314" s="3">
        <f t="shared" si="2"/>
        <v>2.7869999999999999</v>
      </c>
      <c r="G314" s="2">
        <f t="shared" si="3"/>
        <v>2.7869999999999999</v>
      </c>
    </row>
    <row r="315" spans="1:7" ht="14.25" customHeight="1">
      <c r="A315" s="2" t="s">
        <v>15</v>
      </c>
      <c r="B315" s="2">
        <v>1959</v>
      </c>
      <c r="C315" s="2" t="s">
        <v>51</v>
      </c>
      <c r="D315" s="2">
        <v>2799</v>
      </c>
      <c r="E315" s="3">
        <f t="shared" si="2"/>
        <v>2.7989999999999999</v>
      </c>
      <c r="G315" s="2">
        <f t="shared" si="3"/>
        <v>2.7989999999999999</v>
      </c>
    </row>
    <row r="316" spans="1:7" ht="14.25" customHeight="1">
      <c r="A316" s="2" t="s">
        <v>15</v>
      </c>
      <c r="B316" s="2">
        <v>1960</v>
      </c>
      <c r="C316" s="2" t="s">
        <v>51</v>
      </c>
      <c r="D316" s="2">
        <v>2817</v>
      </c>
      <c r="E316" s="3">
        <f t="shared" si="2"/>
        <v>2.8170000000000002</v>
      </c>
      <c r="G316" s="2">
        <f t="shared" si="3"/>
        <v>2.8170000000000002</v>
      </c>
    </row>
    <row r="317" spans="1:7" ht="14.25" customHeight="1">
      <c r="A317" s="2" t="s">
        <v>15</v>
      </c>
      <c r="B317" s="2">
        <v>1961</v>
      </c>
      <c r="C317" s="2" t="s">
        <v>51</v>
      </c>
      <c r="D317" s="2">
        <v>2342</v>
      </c>
      <c r="E317" s="3">
        <f t="shared" si="2"/>
        <v>2.3420000000000001</v>
      </c>
      <c r="G317" s="2">
        <f t="shared" si="3"/>
        <v>2.3420000000000001</v>
      </c>
    </row>
    <row r="318" spans="1:7" ht="14.25" customHeight="1">
      <c r="A318" s="2" t="s">
        <v>15</v>
      </c>
      <c r="B318" s="2">
        <v>1962</v>
      </c>
      <c r="C318" s="2" t="s">
        <v>51</v>
      </c>
      <c r="D318" s="2">
        <v>2134</v>
      </c>
      <c r="E318" s="3">
        <f t="shared" si="2"/>
        <v>2.1339999999999999</v>
      </c>
      <c r="G318" s="2">
        <f t="shared" si="3"/>
        <v>2.1339999999999999</v>
      </c>
    </row>
    <row r="319" spans="1:7" ht="14.25" customHeight="1">
      <c r="A319" s="2" t="s">
        <v>15</v>
      </c>
      <c r="B319" s="2">
        <v>1963</v>
      </c>
      <c r="C319" s="2" t="s">
        <v>51</v>
      </c>
      <c r="D319" s="2">
        <v>2146</v>
      </c>
      <c r="E319" s="3">
        <f t="shared" si="2"/>
        <v>2.1459999999999999</v>
      </c>
      <c r="G319" s="2">
        <f t="shared" si="3"/>
        <v>2.1459999999999999</v>
      </c>
    </row>
    <row r="320" spans="1:7" ht="14.25" customHeight="1">
      <c r="A320" s="2" t="s">
        <v>15</v>
      </c>
      <c r="B320" s="2">
        <v>1964</v>
      </c>
      <c r="C320" s="2" t="s">
        <v>51</v>
      </c>
      <c r="D320" s="2">
        <v>1891</v>
      </c>
      <c r="E320" s="3">
        <f t="shared" si="2"/>
        <v>1.891</v>
      </c>
      <c r="G320" s="2">
        <f t="shared" si="3"/>
        <v>1.891</v>
      </c>
    </row>
    <row r="321" spans="1:7" ht="14.25" customHeight="1">
      <c r="A321" s="2" t="s">
        <v>15</v>
      </c>
      <c r="B321" s="2">
        <v>1965</v>
      </c>
      <c r="C321" s="2" t="s">
        <v>51</v>
      </c>
      <c r="D321" s="2">
        <v>1761</v>
      </c>
      <c r="E321" s="3">
        <f t="shared" si="2"/>
        <v>1.7609999999999999</v>
      </c>
      <c r="G321" s="2">
        <f t="shared" si="3"/>
        <v>1.7609999999999999</v>
      </c>
    </row>
    <row r="322" spans="1:7" ht="14.25" customHeight="1">
      <c r="A322" s="2" t="s">
        <v>15</v>
      </c>
      <c r="B322" s="2">
        <v>1966</v>
      </c>
      <c r="C322" s="2" t="s">
        <v>51</v>
      </c>
      <c r="D322" s="2">
        <v>1877</v>
      </c>
      <c r="E322" s="3">
        <f t="shared" si="2"/>
        <v>1.877</v>
      </c>
      <c r="G322" s="2">
        <f t="shared" si="3"/>
        <v>1.877</v>
      </c>
    </row>
    <row r="323" spans="1:7" ht="14.25" customHeight="1">
      <c r="A323" s="2" t="s">
        <v>15</v>
      </c>
      <c r="B323" s="2">
        <v>1967</v>
      </c>
      <c r="C323" s="2" t="s">
        <v>51</v>
      </c>
      <c r="D323" s="2">
        <v>1762</v>
      </c>
      <c r="E323" s="3">
        <f t="shared" si="2"/>
        <v>1.762</v>
      </c>
      <c r="G323" s="2">
        <f t="shared" si="3"/>
        <v>1.762</v>
      </c>
    </row>
    <row r="324" spans="1:7" ht="14.25" customHeight="1">
      <c r="A324" s="2" t="s">
        <v>15</v>
      </c>
      <c r="B324" s="2">
        <v>1968</v>
      </c>
      <c r="C324" s="2" t="s">
        <v>51</v>
      </c>
      <c r="D324" s="2">
        <v>1494</v>
      </c>
      <c r="E324" s="3">
        <f t="shared" si="2"/>
        <v>1.494</v>
      </c>
      <c r="G324" s="2">
        <f t="shared" si="3"/>
        <v>1.494</v>
      </c>
    </row>
    <row r="325" spans="1:7" ht="14.25" customHeight="1">
      <c r="A325" s="2" t="s">
        <v>15</v>
      </c>
      <c r="B325" s="2">
        <v>1969</v>
      </c>
      <c r="C325" s="2" t="s">
        <v>51</v>
      </c>
      <c r="D325" s="2">
        <v>1431</v>
      </c>
      <c r="E325" s="3">
        <f t="shared" si="2"/>
        <v>1.431</v>
      </c>
      <c r="G325" s="2">
        <f t="shared" si="3"/>
        <v>1.431</v>
      </c>
    </row>
    <row r="326" spans="1:7" ht="14.25" customHeight="1">
      <c r="A326" s="2" t="s">
        <v>15</v>
      </c>
      <c r="B326" s="2">
        <v>1970</v>
      </c>
      <c r="C326" s="2" t="s">
        <v>51</v>
      </c>
      <c r="D326" s="2">
        <v>1320</v>
      </c>
      <c r="E326" s="3">
        <f t="shared" si="2"/>
        <v>1.32</v>
      </c>
      <c r="G326" s="2">
        <f t="shared" si="3"/>
        <v>1.32</v>
      </c>
    </row>
    <row r="327" spans="1:7" ht="14.25" customHeight="1">
      <c r="A327" s="2" t="s">
        <v>15</v>
      </c>
      <c r="B327" s="2">
        <v>1971</v>
      </c>
      <c r="C327" s="2" t="s">
        <v>51</v>
      </c>
      <c r="D327" s="2">
        <v>1674</v>
      </c>
      <c r="E327" s="3">
        <f t="shared" si="2"/>
        <v>1.6739999999999999</v>
      </c>
      <c r="G327" s="2">
        <f t="shared" si="3"/>
        <v>1.6739999999999999</v>
      </c>
    </row>
    <row r="328" spans="1:7" ht="14.25" customHeight="1">
      <c r="A328" s="2" t="s">
        <v>15</v>
      </c>
      <c r="B328" s="2">
        <v>1972</v>
      </c>
      <c r="C328" s="2" t="s">
        <v>51</v>
      </c>
      <c r="D328" s="2">
        <v>1727</v>
      </c>
      <c r="E328" s="3">
        <f t="shared" si="2"/>
        <v>1.7270000000000001</v>
      </c>
      <c r="G328" s="2">
        <f t="shared" si="3"/>
        <v>1.7270000000000001</v>
      </c>
    </row>
    <row r="329" spans="1:7" ht="14.25" customHeight="1">
      <c r="A329" s="2" t="s">
        <v>15</v>
      </c>
      <c r="B329" s="2">
        <v>1973</v>
      </c>
      <c r="C329" s="2" t="s">
        <v>51</v>
      </c>
      <c r="D329" s="2">
        <v>2083</v>
      </c>
      <c r="E329" s="3">
        <f t="shared" si="2"/>
        <v>2.0830000000000002</v>
      </c>
      <c r="G329" s="2">
        <f t="shared" si="3"/>
        <v>2.0830000000000002</v>
      </c>
    </row>
    <row r="330" spans="1:7" ht="14.25" customHeight="1">
      <c r="A330" s="2" t="s">
        <v>15</v>
      </c>
      <c r="B330" s="2">
        <v>1974</v>
      </c>
      <c r="C330" s="2" t="s">
        <v>51</v>
      </c>
      <c r="D330" s="2">
        <v>1954</v>
      </c>
      <c r="E330" s="3">
        <f t="shared" si="2"/>
        <v>1.954</v>
      </c>
      <c r="G330" s="2">
        <f t="shared" si="3"/>
        <v>1.954</v>
      </c>
    </row>
    <row r="331" spans="1:7" ht="14.25" customHeight="1">
      <c r="A331" s="2" t="s">
        <v>15</v>
      </c>
      <c r="B331" s="2">
        <v>1975</v>
      </c>
      <c r="C331" s="2" t="s">
        <v>51</v>
      </c>
      <c r="D331" s="2">
        <v>1779</v>
      </c>
      <c r="E331" s="3">
        <f t="shared" si="2"/>
        <v>1.7789999999999999</v>
      </c>
      <c r="G331" s="2">
        <f t="shared" si="3"/>
        <v>1.7789999999999999</v>
      </c>
    </row>
    <row r="332" spans="1:7" ht="14.25" customHeight="1">
      <c r="A332" s="2" t="s">
        <v>15</v>
      </c>
      <c r="B332" s="2">
        <v>1976</v>
      </c>
      <c r="C332" s="2" t="s">
        <v>51</v>
      </c>
      <c r="D332" s="2">
        <v>1696</v>
      </c>
      <c r="E332" s="3">
        <f t="shared" si="2"/>
        <v>1.696</v>
      </c>
      <c r="G332" s="2">
        <f t="shared" si="3"/>
        <v>1.696</v>
      </c>
    </row>
    <row r="333" spans="1:7" ht="14.25" customHeight="1">
      <c r="A333" s="2" t="s">
        <v>15</v>
      </c>
      <c r="B333" s="2">
        <v>1977</v>
      </c>
      <c r="C333" s="2" t="s">
        <v>51</v>
      </c>
      <c r="D333" s="2">
        <v>1729</v>
      </c>
      <c r="E333" s="3">
        <f t="shared" si="2"/>
        <v>1.7290000000000001</v>
      </c>
      <c r="G333" s="2">
        <f t="shared" si="3"/>
        <v>1.7290000000000001</v>
      </c>
    </row>
    <row r="334" spans="1:7" ht="14.25" customHeight="1">
      <c r="A334" s="2" t="s">
        <v>15</v>
      </c>
      <c r="B334" s="2">
        <v>1978</v>
      </c>
      <c r="C334" s="2" t="s">
        <v>51</v>
      </c>
      <c r="D334" s="2">
        <v>1718</v>
      </c>
      <c r="E334" s="3">
        <f t="shared" si="2"/>
        <v>1.718</v>
      </c>
      <c r="G334" s="2">
        <f t="shared" si="3"/>
        <v>1.718</v>
      </c>
    </row>
    <row r="335" spans="1:7" ht="14.25" customHeight="1">
      <c r="A335" s="2" t="s">
        <v>15</v>
      </c>
      <c r="B335" s="2">
        <v>1979</v>
      </c>
      <c r="C335" s="2" t="s">
        <v>51</v>
      </c>
      <c r="D335" s="2">
        <v>1584</v>
      </c>
      <c r="E335" s="3">
        <f t="shared" si="2"/>
        <v>1.5840000000000001</v>
      </c>
      <c r="G335" s="2">
        <f t="shared" si="3"/>
        <v>1.5840000000000001</v>
      </c>
    </row>
    <row r="336" spans="1:7" ht="14.25" customHeight="1">
      <c r="A336" s="2" t="s">
        <v>15</v>
      </c>
      <c r="B336" s="2">
        <v>1980</v>
      </c>
      <c r="C336" s="2" t="s">
        <v>51</v>
      </c>
      <c r="D336" s="2">
        <v>1367</v>
      </c>
      <c r="E336" s="3">
        <f t="shared" si="2"/>
        <v>1.367</v>
      </c>
      <c r="G336" s="2">
        <f t="shared" si="3"/>
        <v>1.367</v>
      </c>
    </row>
    <row r="337" spans="1:7" ht="14.25" customHeight="1">
      <c r="A337" s="2" t="s">
        <v>15</v>
      </c>
      <c r="B337" s="2">
        <v>1981</v>
      </c>
      <c r="C337" s="2" t="s">
        <v>51</v>
      </c>
      <c r="D337" s="2">
        <v>1301</v>
      </c>
      <c r="E337" s="3">
        <f t="shared" si="2"/>
        <v>1.3009999999999999</v>
      </c>
      <c r="G337" s="2">
        <f t="shared" si="3"/>
        <v>1.3009999999999999</v>
      </c>
    </row>
    <row r="338" spans="1:7" ht="14.25" customHeight="1">
      <c r="A338" s="2" t="s">
        <v>15</v>
      </c>
      <c r="B338" s="2">
        <v>1982</v>
      </c>
      <c r="C338" s="2" t="s">
        <v>51</v>
      </c>
      <c r="D338" s="2">
        <v>1593</v>
      </c>
      <c r="E338" s="3">
        <f t="shared" si="2"/>
        <v>1.593</v>
      </c>
      <c r="G338" s="2">
        <f t="shared" si="3"/>
        <v>1.593</v>
      </c>
    </row>
    <row r="339" spans="1:7" ht="14.25" customHeight="1">
      <c r="A339" s="2" t="s">
        <v>15</v>
      </c>
      <c r="B339" s="2">
        <v>1983</v>
      </c>
      <c r="C339" s="2" t="s">
        <v>51</v>
      </c>
      <c r="D339" s="2">
        <v>1576</v>
      </c>
      <c r="E339" s="3">
        <f t="shared" si="2"/>
        <v>1.5760000000000001</v>
      </c>
      <c r="G339" s="2">
        <f t="shared" si="3"/>
        <v>1.5760000000000001</v>
      </c>
    </row>
    <row r="340" spans="1:7" ht="14.25" customHeight="1">
      <c r="A340" s="2" t="s">
        <v>15</v>
      </c>
      <c r="B340" s="2">
        <v>1984</v>
      </c>
      <c r="C340" s="2" t="s">
        <v>51</v>
      </c>
      <c r="D340" s="2">
        <v>1490</v>
      </c>
      <c r="E340" s="3">
        <f t="shared" si="2"/>
        <v>1.49</v>
      </c>
      <c r="G340" s="2">
        <f t="shared" si="3"/>
        <v>1.49</v>
      </c>
    </row>
    <row r="341" spans="1:7" ht="14.25" customHeight="1">
      <c r="A341" s="2" t="s">
        <v>15</v>
      </c>
      <c r="B341" s="2">
        <v>1985</v>
      </c>
      <c r="C341" s="2" t="s">
        <v>51</v>
      </c>
      <c r="D341" s="2">
        <v>1644</v>
      </c>
      <c r="E341" s="3">
        <f t="shared" si="2"/>
        <v>1.6439999999999999</v>
      </c>
      <c r="G341" s="2">
        <f t="shared" si="3"/>
        <v>1.6439999999999999</v>
      </c>
    </row>
    <row r="342" spans="1:7" ht="14.25" customHeight="1">
      <c r="A342" s="2" t="s">
        <v>15</v>
      </c>
      <c r="B342" s="2">
        <v>1986</v>
      </c>
      <c r="C342" s="2" t="s">
        <v>51</v>
      </c>
      <c r="D342" s="2">
        <v>1678</v>
      </c>
      <c r="E342" s="3">
        <f t="shared" si="2"/>
        <v>1.6779999999999999</v>
      </c>
      <c r="G342" s="2">
        <f t="shared" si="3"/>
        <v>1.6779999999999999</v>
      </c>
    </row>
    <row r="343" spans="1:7" ht="14.25" customHeight="1">
      <c r="A343" s="2" t="s">
        <v>15</v>
      </c>
      <c r="B343" s="2">
        <v>1987</v>
      </c>
      <c r="C343" s="2" t="s">
        <v>51</v>
      </c>
      <c r="D343" s="2">
        <v>2078</v>
      </c>
      <c r="E343" s="3">
        <f t="shared" si="2"/>
        <v>2.0779999999999998</v>
      </c>
      <c r="G343" s="2">
        <f t="shared" si="3"/>
        <v>2.0779999999999998</v>
      </c>
    </row>
    <row r="344" spans="1:7" ht="14.25" customHeight="1">
      <c r="A344" s="2" t="s">
        <v>15</v>
      </c>
      <c r="B344" s="2">
        <v>1988</v>
      </c>
      <c r="C344" s="2" t="s">
        <v>51</v>
      </c>
      <c r="D344" s="2">
        <v>1875</v>
      </c>
      <c r="E344" s="3">
        <f t="shared" si="2"/>
        <v>1.875</v>
      </c>
      <c r="G344" s="2">
        <f t="shared" si="3"/>
        <v>1.875</v>
      </c>
    </row>
    <row r="345" spans="1:7" ht="14.25" customHeight="1">
      <c r="A345" s="2" t="s">
        <v>15</v>
      </c>
      <c r="B345" s="2">
        <v>1989</v>
      </c>
      <c r="C345" s="2" t="s">
        <v>51</v>
      </c>
      <c r="D345" s="2">
        <v>1720</v>
      </c>
      <c r="E345" s="3">
        <f t="shared" si="2"/>
        <v>1.72</v>
      </c>
      <c r="G345" s="2">
        <f t="shared" si="3"/>
        <v>1.72</v>
      </c>
    </row>
    <row r="346" spans="1:7" ht="14.25" customHeight="1">
      <c r="A346" s="2" t="s">
        <v>15</v>
      </c>
      <c r="B346" s="2">
        <v>1990</v>
      </c>
      <c r="C346" s="2" t="s">
        <v>51</v>
      </c>
      <c r="D346" s="2">
        <v>1218</v>
      </c>
      <c r="E346" s="3">
        <f t="shared" si="2"/>
        <v>1.218</v>
      </c>
      <c r="G346" s="2">
        <f t="shared" si="3"/>
        <v>1.218</v>
      </c>
    </row>
    <row r="347" spans="1:7" ht="14.25" customHeight="1">
      <c r="A347" s="2" t="s">
        <v>15</v>
      </c>
      <c r="B347" s="2">
        <v>1991</v>
      </c>
      <c r="C347" s="2" t="s">
        <v>51</v>
      </c>
      <c r="D347" s="2">
        <v>1747</v>
      </c>
      <c r="E347" s="3">
        <f t="shared" si="2"/>
        <v>1.7470000000000001</v>
      </c>
      <c r="G347" s="2">
        <f t="shared" si="3"/>
        <v>1.7470000000000001</v>
      </c>
    </row>
    <row r="348" spans="1:7" ht="14.25" customHeight="1">
      <c r="A348" s="2" t="s">
        <v>15</v>
      </c>
      <c r="B348" s="2">
        <v>1992</v>
      </c>
      <c r="C348" s="2" t="s">
        <v>51</v>
      </c>
      <c r="D348" s="2">
        <v>1476</v>
      </c>
      <c r="E348" s="3">
        <f t="shared" si="2"/>
        <v>1.476</v>
      </c>
      <c r="G348" s="2">
        <f t="shared" si="3"/>
        <v>1.476</v>
      </c>
    </row>
    <row r="349" spans="1:7" ht="14.25" customHeight="1">
      <c r="A349" s="2" t="s">
        <v>15</v>
      </c>
      <c r="B349" s="2">
        <v>1993</v>
      </c>
      <c r="C349" s="2" t="s">
        <v>51</v>
      </c>
      <c r="D349" s="2">
        <v>1360</v>
      </c>
      <c r="E349" s="3">
        <f t="shared" si="2"/>
        <v>1.36</v>
      </c>
      <c r="G349" s="2">
        <f t="shared" si="3"/>
        <v>1.36</v>
      </c>
    </row>
    <row r="350" spans="1:7" ht="14.25" customHeight="1">
      <c r="A350" s="2" t="s">
        <v>15</v>
      </c>
      <c r="B350" s="2">
        <v>1994</v>
      </c>
      <c r="C350" s="2" t="s">
        <v>51</v>
      </c>
      <c r="D350" s="2">
        <v>1706</v>
      </c>
      <c r="E350" s="3">
        <f t="shared" si="2"/>
        <v>1.706</v>
      </c>
      <c r="G350" s="2">
        <f t="shared" si="3"/>
        <v>1.706</v>
      </c>
    </row>
    <row r="351" spans="1:7" ht="14.25" customHeight="1">
      <c r="A351" s="2" t="s">
        <v>15</v>
      </c>
      <c r="B351" s="2">
        <v>1995</v>
      </c>
      <c r="C351" s="2" t="s">
        <v>51</v>
      </c>
      <c r="D351" s="2">
        <v>2225</v>
      </c>
      <c r="E351" s="3">
        <f t="shared" si="2"/>
        <v>2.2250000000000001</v>
      </c>
      <c r="G351" s="2">
        <f t="shared" si="3"/>
        <v>2.2250000000000001</v>
      </c>
    </row>
    <row r="352" spans="1:7" ht="14.25" customHeight="1">
      <c r="A352" s="2" t="s">
        <v>15</v>
      </c>
      <c r="B352" s="2">
        <v>1996</v>
      </c>
      <c r="C352" s="2" t="s">
        <v>51</v>
      </c>
      <c r="D352" s="2">
        <v>2222</v>
      </c>
      <c r="E352" s="3">
        <f t="shared" si="2"/>
        <v>2.222</v>
      </c>
      <c r="G352" s="2">
        <f t="shared" si="3"/>
        <v>2.222</v>
      </c>
    </row>
    <row r="353" spans="1:7" ht="14.25" customHeight="1">
      <c r="A353" s="2" t="s">
        <v>15</v>
      </c>
      <c r="B353" s="2">
        <v>1997</v>
      </c>
      <c r="C353" s="2" t="s">
        <v>51</v>
      </c>
      <c r="D353" s="2">
        <v>2589</v>
      </c>
      <c r="E353" s="3">
        <f t="shared" si="2"/>
        <v>2.589</v>
      </c>
      <c r="G353" s="2">
        <f t="shared" si="3"/>
        <v>2.589</v>
      </c>
    </row>
    <row r="354" spans="1:7" ht="14.25" customHeight="1">
      <c r="A354" s="2" t="s">
        <v>15</v>
      </c>
      <c r="B354" s="2">
        <v>1998</v>
      </c>
      <c r="C354" s="2" t="s">
        <v>51</v>
      </c>
      <c r="D354" s="2">
        <v>2467</v>
      </c>
      <c r="E354" s="3">
        <f t="shared" si="2"/>
        <v>2.4670000000000001</v>
      </c>
      <c r="G354" s="2">
        <f t="shared" si="3"/>
        <v>2.4670000000000001</v>
      </c>
    </row>
    <row r="355" spans="1:7" ht="14.25" customHeight="1">
      <c r="A355" s="2" t="s">
        <v>15</v>
      </c>
      <c r="B355" s="2">
        <v>1999</v>
      </c>
      <c r="C355" s="2" t="s">
        <v>51</v>
      </c>
      <c r="D355" s="2">
        <v>2248</v>
      </c>
      <c r="E355" s="3">
        <f t="shared" si="2"/>
        <v>2.2480000000000002</v>
      </c>
      <c r="G355" s="2">
        <f t="shared" si="3"/>
        <v>2.2480000000000002</v>
      </c>
    </row>
    <row r="356" spans="1:7" ht="14.25" customHeight="1">
      <c r="A356" s="2" t="s">
        <v>15</v>
      </c>
      <c r="B356" s="2">
        <v>2000</v>
      </c>
      <c r="C356" s="2" t="s">
        <v>51</v>
      </c>
      <c r="D356" s="2">
        <v>1705</v>
      </c>
      <c r="E356" s="3">
        <f t="shared" si="2"/>
        <v>1.7050000000000001</v>
      </c>
      <c r="G356" s="2">
        <f t="shared" si="3"/>
        <v>1.7050000000000001</v>
      </c>
    </row>
    <row r="357" spans="1:7" ht="14.25" customHeight="1">
      <c r="A357" s="2" t="s">
        <v>15</v>
      </c>
      <c r="B357" s="2">
        <v>2001</v>
      </c>
      <c r="C357" s="2" t="s">
        <v>51</v>
      </c>
      <c r="D357" s="2">
        <v>1529</v>
      </c>
      <c r="E357" s="3">
        <f t="shared" si="2"/>
        <v>1.5289999999999999</v>
      </c>
      <c r="G357" s="2">
        <f t="shared" si="3"/>
        <v>1.5289999999999999</v>
      </c>
    </row>
    <row r="358" spans="1:7" ht="14.25" customHeight="1">
      <c r="A358" s="2" t="s">
        <v>15</v>
      </c>
      <c r="B358" s="2">
        <v>2002</v>
      </c>
      <c r="C358" s="2" t="s">
        <v>51</v>
      </c>
      <c r="D358" s="2">
        <v>1356</v>
      </c>
      <c r="E358" s="3">
        <f t="shared" si="2"/>
        <v>1.3560000000000001</v>
      </c>
      <c r="G358" s="2">
        <f t="shared" si="3"/>
        <v>1.3560000000000001</v>
      </c>
    </row>
    <row r="359" spans="1:7" ht="14.25" customHeight="1">
      <c r="A359" s="2" t="s">
        <v>15</v>
      </c>
      <c r="B359" s="2">
        <v>2003</v>
      </c>
      <c r="C359" s="2" t="s">
        <v>51</v>
      </c>
      <c r="D359" s="2">
        <v>1379</v>
      </c>
      <c r="E359" s="3">
        <f t="shared" si="2"/>
        <v>1.379</v>
      </c>
      <c r="G359" s="2">
        <f t="shared" si="3"/>
        <v>1.379</v>
      </c>
    </row>
    <row r="360" spans="1:7" ht="14.25" customHeight="1">
      <c r="A360" s="2" t="s">
        <v>15</v>
      </c>
      <c r="B360" s="2">
        <v>2004</v>
      </c>
      <c r="C360" s="2" t="s">
        <v>51</v>
      </c>
      <c r="D360" s="2">
        <v>1322</v>
      </c>
      <c r="E360" s="3">
        <f t="shared" si="2"/>
        <v>1.3220000000000001</v>
      </c>
      <c r="G360" s="2">
        <f t="shared" si="3"/>
        <v>1.3220000000000001</v>
      </c>
    </row>
    <row r="361" spans="1:7" ht="14.25" customHeight="1">
      <c r="A361" s="2" t="s">
        <v>15</v>
      </c>
      <c r="B361" s="2">
        <v>2005</v>
      </c>
      <c r="C361" s="2" t="s">
        <v>51</v>
      </c>
      <c r="D361" s="2">
        <v>1303</v>
      </c>
      <c r="E361" s="3">
        <f t="shared" si="2"/>
        <v>1.3029999999999999</v>
      </c>
      <c r="G361" s="2">
        <f t="shared" si="3"/>
        <v>1.3029999999999999</v>
      </c>
    </row>
    <row r="362" spans="1:7" ht="14.25" customHeight="1">
      <c r="A362" s="2" t="s">
        <v>15</v>
      </c>
      <c r="B362" s="2">
        <v>2006</v>
      </c>
      <c r="C362" s="2" t="s">
        <v>51</v>
      </c>
      <c r="D362" s="2">
        <v>1537.03</v>
      </c>
      <c r="E362" s="3">
        <f t="shared" si="2"/>
        <v>1.5370299999999999</v>
      </c>
      <c r="G362" s="2">
        <f t="shared" si="3"/>
        <v>1.5370299999999999</v>
      </c>
    </row>
    <row r="363" spans="1:7" ht="14.25" customHeight="1">
      <c r="A363" s="2" t="s">
        <v>15</v>
      </c>
      <c r="B363" s="2">
        <v>2007</v>
      </c>
      <c r="C363" s="2" t="s">
        <v>51</v>
      </c>
      <c r="D363" s="2">
        <v>1296.02</v>
      </c>
      <c r="E363" s="3">
        <f t="shared" si="2"/>
        <v>1.2960199999999999</v>
      </c>
      <c r="G363" s="2">
        <f t="shared" si="3"/>
        <v>1.2960199999999999</v>
      </c>
    </row>
    <row r="364" spans="1:7" ht="14.25" customHeight="1">
      <c r="A364" s="2" t="s">
        <v>15</v>
      </c>
      <c r="B364" s="2">
        <v>2008</v>
      </c>
      <c r="C364" s="2" t="s">
        <v>51</v>
      </c>
      <c r="D364" s="2">
        <v>964.02</v>
      </c>
      <c r="E364" s="3">
        <f t="shared" si="2"/>
        <v>0.96401999999999999</v>
      </c>
      <c r="G364" s="2">
        <f t="shared" si="3"/>
        <v>0.96401999999999999</v>
      </c>
    </row>
    <row r="365" spans="1:7" ht="14.25" customHeight="1">
      <c r="A365" s="2" t="s">
        <v>15</v>
      </c>
      <c r="B365" s="2">
        <v>2009</v>
      </c>
      <c r="C365" s="2" t="s">
        <v>51</v>
      </c>
      <c r="D365" s="2">
        <v>800.25</v>
      </c>
      <c r="E365" s="3">
        <f t="shared" si="2"/>
        <v>0.80025000000000002</v>
      </c>
      <c r="G365" s="2">
        <f t="shared" si="3"/>
        <v>0.80025000000000002</v>
      </c>
    </row>
    <row r="366" spans="1:7" ht="14.25" customHeight="1">
      <c r="A366" s="2" t="s">
        <v>15</v>
      </c>
      <c r="B366" s="2">
        <v>2010</v>
      </c>
      <c r="C366" s="2" t="s">
        <v>51</v>
      </c>
      <c r="D366" s="2">
        <v>874.6</v>
      </c>
      <c r="E366" s="3">
        <f t="shared" si="2"/>
        <v>0.87460000000000004</v>
      </c>
      <c r="G366" s="2">
        <f t="shared" si="3"/>
        <v>0.87460000000000004</v>
      </c>
    </row>
    <row r="367" spans="1:7" ht="14.25" customHeight="1">
      <c r="A367" s="2" t="s">
        <v>15</v>
      </c>
      <c r="B367" s="2">
        <v>2011</v>
      </c>
      <c r="C367" s="2" t="s">
        <v>51</v>
      </c>
      <c r="D367" s="2">
        <v>802</v>
      </c>
      <c r="E367" s="3">
        <f t="shared" si="2"/>
        <v>0.80200000000000005</v>
      </c>
      <c r="G367" s="2">
        <f t="shared" si="3"/>
        <v>0.80200000000000005</v>
      </c>
    </row>
    <row r="368" spans="1:7" ht="14.25" customHeight="1">
      <c r="A368" s="2" t="s">
        <v>15</v>
      </c>
      <c r="B368" s="2">
        <v>2012</v>
      </c>
      <c r="C368" s="2" t="s">
        <v>51</v>
      </c>
      <c r="D368" s="2">
        <v>825.8</v>
      </c>
      <c r="E368" s="3">
        <f t="shared" si="2"/>
        <v>0.82579999999999998</v>
      </c>
      <c r="G368" s="2">
        <f t="shared" si="3"/>
        <v>0.82579999999999998</v>
      </c>
    </row>
    <row r="369" spans="1:7" ht="14.25" customHeight="1">
      <c r="A369" s="2" t="s">
        <v>15</v>
      </c>
      <c r="B369" s="2">
        <v>2013</v>
      </c>
      <c r="C369" s="2" t="s">
        <v>51</v>
      </c>
      <c r="D369" s="2">
        <v>898.52</v>
      </c>
      <c r="E369" s="3">
        <f t="shared" si="2"/>
        <v>0.89851999999999999</v>
      </c>
      <c r="G369" s="2">
        <f t="shared" si="3"/>
        <v>0.89851999999999999</v>
      </c>
    </row>
    <row r="370" spans="1:7" ht="14.25" customHeight="1">
      <c r="A370" s="2" t="s">
        <v>15</v>
      </c>
      <c r="B370" s="2">
        <v>2014</v>
      </c>
      <c r="C370" s="2" t="s">
        <v>51</v>
      </c>
      <c r="D370" s="2">
        <v>652.59</v>
      </c>
      <c r="E370" s="3">
        <f t="shared" si="2"/>
        <v>0.65259</v>
      </c>
      <c r="G370" s="2">
        <f t="shared" si="3"/>
        <v>0.65259</v>
      </c>
    </row>
    <row r="371" spans="1:7" ht="14.25" customHeight="1">
      <c r="A371" s="2" t="s">
        <v>15</v>
      </c>
      <c r="B371" s="2">
        <v>2015</v>
      </c>
      <c r="C371" s="2" t="s">
        <v>51</v>
      </c>
      <c r="D371" s="2">
        <v>444.84</v>
      </c>
      <c r="E371" s="3">
        <f t="shared" si="2"/>
        <v>0.44483999999999996</v>
      </c>
      <c r="G371" s="2">
        <f t="shared" si="3"/>
        <v>0.44483999999999996</v>
      </c>
    </row>
    <row r="372" spans="1:7" ht="14.25" customHeight="1">
      <c r="A372" s="2" t="s">
        <v>15</v>
      </c>
      <c r="B372" s="2">
        <v>2016</v>
      </c>
      <c r="C372" s="2" t="s">
        <v>51</v>
      </c>
      <c r="D372" s="2">
        <v>463.24</v>
      </c>
      <c r="E372" s="3">
        <f t="shared" si="2"/>
        <v>0.46323999999999999</v>
      </c>
      <c r="G372" s="2">
        <f t="shared" si="3"/>
        <v>0.46323999999999999</v>
      </c>
    </row>
    <row r="373" spans="1:7" ht="14.25" customHeight="1">
      <c r="A373" s="2" t="s">
        <v>15</v>
      </c>
      <c r="B373" s="2">
        <v>2017</v>
      </c>
      <c r="C373" s="2" t="s">
        <v>51</v>
      </c>
      <c r="D373" s="2">
        <v>469.92</v>
      </c>
      <c r="E373" s="3">
        <f t="shared" si="2"/>
        <v>0.46992</v>
      </c>
      <c r="G373" s="2">
        <f t="shared" si="3"/>
        <v>0.46992</v>
      </c>
    </row>
    <row r="374" spans="1:7" ht="14.25" customHeight="1">
      <c r="A374" s="2" t="s">
        <v>15</v>
      </c>
      <c r="B374" s="2">
        <v>2018</v>
      </c>
      <c r="C374" s="2" t="s">
        <v>51</v>
      </c>
      <c r="D374" s="2">
        <v>473.005</v>
      </c>
      <c r="E374" s="3">
        <f t="shared" si="2"/>
        <v>0.47300500000000001</v>
      </c>
      <c r="G374" s="2">
        <f t="shared" si="3"/>
        <v>0.47300500000000001</v>
      </c>
    </row>
    <row r="375" spans="1:7" ht="14.25" customHeight="1">
      <c r="A375" s="2" t="s">
        <v>15</v>
      </c>
      <c r="B375" s="2">
        <v>1911</v>
      </c>
      <c r="C375" s="2" t="s">
        <v>52</v>
      </c>
      <c r="D375" s="2">
        <v>521</v>
      </c>
      <c r="E375" s="3">
        <f t="shared" si="2"/>
        <v>0.52100000000000002</v>
      </c>
      <c r="G375" s="2">
        <f t="shared" si="3"/>
        <v>0.52100000000000002</v>
      </c>
    </row>
    <row r="376" spans="1:7" ht="14.25" customHeight="1">
      <c r="A376" s="2" t="s">
        <v>15</v>
      </c>
      <c r="B376" s="2">
        <v>1912</v>
      </c>
      <c r="C376" s="2" t="s">
        <v>52</v>
      </c>
      <c r="D376" s="2">
        <v>422</v>
      </c>
      <c r="E376" s="3">
        <f t="shared" si="2"/>
        <v>0.42199999999999999</v>
      </c>
      <c r="G376" s="2">
        <f t="shared" si="3"/>
        <v>0.42199999999999999</v>
      </c>
    </row>
    <row r="377" spans="1:7" ht="14.25" customHeight="1">
      <c r="A377" s="2" t="s">
        <v>15</v>
      </c>
      <c r="B377" s="2">
        <v>1913</v>
      </c>
      <c r="C377" s="2" t="s">
        <v>52</v>
      </c>
      <c r="D377" s="2">
        <v>348</v>
      </c>
      <c r="E377" s="3">
        <f t="shared" si="2"/>
        <v>0.34799999999999998</v>
      </c>
      <c r="G377" s="2">
        <f t="shared" si="3"/>
        <v>0.34799999999999998</v>
      </c>
    </row>
    <row r="378" spans="1:7" ht="14.25" customHeight="1">
      <c r="A378" s="2" t="s">
        <v>15</v>
      </c>
      <c r="B378" s="2">
        <v>1914</v>
      </c>
      <c r="C378" s="2" t="s">
        <v>52</v>
      </c>
      <c r="D378" s="2">
        <v>373</v>
      </c>
      <c r="E378" s="3">
        <f t="shared" si="2"/>
        <v>0.373</v>
      </c>
      <c r="G378" s="2">
        <f t="shared" si="3"/>
        <v>0.373</v>
      </c>
    </row>
    <row r="379" spans="1:7" ht="14.25" customHeight="1">
      <c r="A379" s="2" t="s">
        <v>15</v>
      </c>
      <c r="B379" s="2">
        <v>1915</v>
      </c>
      <c r="C379" s="2" t="s">
        <v>52</v>
      </c>
      <c r="D379" s="2">
        <v>470</v>
      </c>
      <c r="E379" s="3">
        <f t="shared" si="2"/>
        <v>0.47</v>
      </c>
      <c r="G379" s="2">
        <f t="shared" si="3"/>
        <v>0.47</v>
      </c>
    </row>
    <row r="380" spans="1:7" ht="14.25" customHeight="1">
      <c r="A380" s="2" t="s">
        <v>15</v>
      </c>
      <c r="B380" s="2">
        <v>1916</v>
      </c>
      <c r="C380" s="2" t="s">
        <v>52</v>
      </c>
      <c r="D380" s="2">
        <v>190</v>
      </c>
      <c r="E380" s="3">
        <f t="shared" si="2"/>
        <v>0.19</v>
      </c>
      <c r="G380" s="2">
        <f t="shared" si="3"/>
        <v>0.19</v>
      </c>
    </row>
    <row r="381" spans="1:7" ht="14.25" customHeight="1">
      <c r="A381" s="2" t="s">
        <v>15</v>
      </c>
      <c r="B381" s="2">
        <v>1917</v>
      </c>
      <c r="C381" s="2" t="s">
        <v>52</v>
      </c>
      <c r="D381" s="2">
        <v>379</v>
      </c>
      <c r="E381" s="3">
        <f t="shared" si="2"/>
        <v>0.379</v>
      </c>
      <c r="G381" s="2">
        <f t="shared" si="3"/>
        <v>0.379</v>
      </c>
    </row>
    <row r="382" spans="1:7" ht="14.25" customHeight="1">
      <c r="A382" s="2" t="s">
        <v>15</v>
      </c>
      <c r="B382" s="2">
        <v>1918</v>
      </c>
      <c r="C382" s="2" t="s">
        <v>52</v>
      </c>
      <c r="D382" s="2">
        <v>490</v>
      </c>
      <c r="E382" s="3">
        <f t="shared" si="2"/>
        <v>0.49</v>
      </c>
      <c r="G382" s="2">
        <f t="shared" si="3"/>
        <v>0.49</v>
      </c>
    </row>
    <row r="383" spans="1:7" ht="14.25" customHeight="1">
      <c r="A383" s="2" t="s">
        <v>15</v>
      </c>
      <c r="B383" s="2">
        <v>1919</v>
      </c>
      <c r="C383" s="2" t="s">
        <v>52</v>
      </c>
      <c r="D383" s="2">
        <v>338</v>
      </c>
      <c r="E383" s="3">
        <f t="shared" si="2"/>
        <v>0.33800000000000002</v>
      </c>
      <c r="G383" s="2">
        <f t="shared" si="3"/>
        <v>0.33800000000000002</v>
      </c>
    </row>
    <row r="384" spans="1:7" ht="14.25" customHeight="1">
      <c r="A384" s="2" t="s">
        <v>15</v>
      </c>
      <c r="B384" s="2">
        <v>1920</v>
      </c>
      <c r="C384" s="2" t="s">
        <v>52</v>
      </c>
      <c r="D384" s="2">
        <v>353</v>
      </c>
      <c r="E384" s="3">
        <f t="shared" si="2"/>
        <v>0.35299999999999998</v>
      </c>
      <c r="G384" s="2">
        <f t="shared" si="3"/>
        <v>0.35299999999999998</v>
      </c>
    </row>
    <row r="385" spans="1:7" ht="14.25" customHeight="1">
      <c r="A385" s="2" t="s">
        <v>15</v>
      </c>
      <c r="B385" s="2">
        <v>1921</v>
      </c>
      <c r="C385" s="2" t="s">
        <v>52</v>
      </c>
      <c r="D385" s="2">
        <v>369</v>
      </c>
      <c r="E385" s="3">
        <f t="shared" si="2"/>
        <v>0.36899999999999999</v>
      </c>
      <c r="G385" s="2">
        <f t="shared" si="3"/>
        <v>0.36899999999999999</v>
      </c>
    </row>
    <row r="386" spans="1:7" ht="14.25" customHeight="1">
      <c r="A386" s="2" t="s">
        <v>15</v>
      </c>
      <c r="B386" s="2">
        <v>1922</v>
      </c>
      <c r="C386" s="2" t="s">
        <v>52</v>
      </c>
      <c r="D386" s="2">
        <v>580</v>
      </c>
      <c r="E386" s="3">
        <f t="shared" si="2"/>
        <v>0.57999999999999996</v>
      </c>
      <c r="G386" s="2">
        <f t="shared" si="3"/>
        <v>0.57999999999999996</v>
      </c>
    </row>
    <row r="387" spans="1:7" ht="14.25" customHeight="1">
      <c r="A387" s="2" t="s">
        <v>15</v>
      </c>
      <c r="B387" s="2">
        <v>1923</v>
      </c>
      <c r="C387" s="2" t="s">
        <v>52</v>
      </c>
      <c r="D387" s="2">
        <v>325</v>
      </c>
      <c r="E387" s="3">
        <f t="shared" si="2"/>
        <v>0.32500000000000001</v>
      </c>
      <c r="G387" s="2">
        <f t="shared" si="3"/>
        <v>0.32500000000000001</v>
      </c>
    </row>
    <row r="388" spans="1:7" ht="14.25" customHeight="1">
      <c r="A388" s="2" t="s">
        <v>15</v>
      </c>
      <c r="B388" s="2">
        <v>1924</v>
      </c>
      <c r="C388" s="2" t="s">
        <v>52</v>
      </c>
      <c r="D388" s="2">
        <v>221</v>
      </c>
      <c r="E388" s="3">
        <f t="shared" si="2"/>
        <v>0.221</v>
      </c>
      <c r="G388" s="2">
        <f t="shared" si="3"/>
        <v>0.221</v>
      </c>
    </row>
    <row r="389" spans="1:7" ht="14.25" customHeight="1">
      <c r="A389" s="2" t="s">
        <v>15</v>
      </c>
      <c r="B389" s="2">
        <v>1925</v>
      </c>
      <c r="C389" s="2" t="s">
        <v>52</v>
      </c>
      <c r="D389" s="2">
        <v>96</v>
      </c>
      <c r="E389" s="3">
        <f t="shared" si="2"/>
        <v>9.6000000000000002E-2</v>
      </c>
      <c r="G389" s="2">
        <f t="shared" si="3"/>
        <v>9.6000000000000002E-2</v>
      </c>
    </row>
    <row r="390" spans="1:7" ht="14.25" customHeight="1">
      <c r="A390" s="2" t="s">
        <v>15</v>
      </c>
      <c r="B390" s="2">
        <v>1929</v>
      </c>
      <c r="C390" s="2" t="s">
        <v>52</v>
      </c>
      <c r="D390" s="2">
        <v>1</v>
      </c>
      <c r="E390" s="3">
        <f t="shared" si="2"/>
        <v>1E-3</v>
      </c>
      <c r="G390" s="2">
        <f t="shared" si="3"/>
        <v>1E-3</v>
      </c>
    </row>
    <row r="391" spans="1:7" ht="14.25" customHeight="1">
      <c r="A391" s="2" t="s">
        <v>15</v>
      </c>
      <c r="B391" s="2">
        <v>1930</v>
      </c>
      <c r="C391" s="2" t="s">
        <v>52</v>
      </c>
      <c r="D391" s="2">
        <v>1</v>
      </c>
      <c r="E391" s="3">
        <f t="shared" si="2"/>
        <v>1E-3</v>
      </c>
      <c r="G391" s="2">
        <f t="shared" si="3"/>
        <v>1E-3</v>
      </c>
    </row>
    <row r="392" spans="1:7" ht="14.25" customHeight="1">
      <c r="A392" s="2" t="s">
        <v>15</v>
      </c>
      <c r="B392" s="2">
        <v>1931</v>
      </c>
      <c r="C392" s="2" t="s">
        <v>52</v>
      </c>
      <c r="D392" s="2">
        <v>1</v>
      </c>
      <c r="E392" s="3">
        <f t="shared" si="2"/>
        <v>1E-3</v>
      </c>
      <c r="G392" s="2">
        <f t="shared" si="3"/>
        <v>1E-3</v>
      </c>
    </row>
    <row r="393" spans="1:7" ht="14.25" customHeight="1">
      <c r="A393" s="2" t="s">
        <v>15</v>
      </c>
      <c r="B393" s="2">
        <v>1932</v>
      </c>
      <c r="C393" s="2" t="s">
        <v>52</v>
      </c>
      <c r="D393" s="2">
        <v>1</v>
      </c>
      <c r="E393" s="3">
        <f t="shared" si="2"/>
        <v>1E-3</v>
      </c>
      <c r="G393" s="2">
        <f t="shared" si="3"/>
        <v>1E-3</v>
      </c>
    </row>
    <row r="394" spans="1:7" ht="14.25" customHeight="1">
      <c r="A394" s="2" t="s">
        <v>15</v>
      </c>
      <c r="B394" s="2">
        <v>1935</v>
      </c>
      <c r="C394" s="2" t="s">
        <v>52</v>
      </c>
      <c r="D394" s="2">
        <v>4</v>
      </c>
      <c r="E394" s="3">
        <f t="shared" si="2"/>
        <v>4.0000000000000001E-3</v>
      </c>
      <c r="G394" s="2">
        <f t="shared" si="3"/>
        <v>4.0000000000000001E-3</v>
      </c>
    </row>
    <row r="395" spans="1:7" ht="14.25" customHeight="1">
      <c r="A395" s="2" t="s">
        <v>15</v>
      </c>
      <c r="B395" s="2">
        <v>1936</v>
      </c>
      <c r="C395" s="2" t="s">
        <v>52</v>
      </c>
      <c r="D395" s="2">
        <v>312</v>
      </c>
      <c r="E395" s="3">
        <f t="shared" si="2"/>
        <v>0.312</v>
      </c>
      <c r="G395" s="2">
        <f t="shared" si="3"/>
        <v>0.312</v>
      </c>
    </row>
    <row r="396" spans="1:7" ht="14.25" customHeight="1">
      <c r="A396" s="2" t="s">
        <v>15</v>
      </c>
      <c r="B396" s="2">
        <v>1937</v>
      </c>
      <c r="C396" s="2" t="s">
        <v>52</v>
      </c>
      <c r="D396" s="2">
        <v>818</v>
      </c>
      <c r="E396" s="3">
        <f t="shared" si="2"/>
        <v>0.81799999999999995</v>
      </c>
      <c r="G396" s="2">
        <f t="shared" si="3"/>
        <v>0.81799999999999995</v>
      </c>
    </row>
    <row r="397" spans="1:7" ht="14.25" customHeight="1">
      <c r="A397" s="2" t="s">
        <v>15</v>
      </c>
      <c r="B397" s="2">
        <v>1938</v>
      </c>
      <c r="C397" s="2" t="s">
        <v>52</v>
      </c>
      <c r="D397" s="2">
        <v>465</v>
      </c>
      <c r="E397" s="3">
        <f t="shared" si="2"/>
        <v>0.46500000000000002</v>
      </c>
      <c r="G397" s="2">
        <f t="shared" si="3"/>
        <v>0.46500000000000002</v>
      </c>
    </row>
    <row r="398" spans="1:7" ht="14.25" customHeight="1">
      <c r="A398" s="2" t="s">
        <v>15</v>
      </c>
      <c r="B398" s="2">
        <v>1939</v>
      </c>
      <c r="C398" s="2" t="s">
        <v>52</v>
      </c>
      <c r="D398" s="2">
        <v>560</v>
      </c>
      <c r="E398" s="3">
        <f t="shared" si="2"/>
        <v>0.56000000000000005</v>
      </c>
      <c r="G398" s="2">
        <f t="shared" si="3"/>
        <v>0.56000000000000005</v>
      </c>
    </row>
    <row r="399" spans="1:7" ht="14.25" customHeight="1">
      <c r="A399" s="2" t="s">
        <v>15</v>
      </c>
      <c r="B399" s="2">
        <v>1940</v>
      </c>
      <c r="C399" s="2" t="s">
        <v>52</v>
      </c>
      <c r="D399" s="2">
        <v>431</v>
      </c>
      <c r="E399" s="3">
        <f t="shared" si="2"/>
        <v>0.43099999999999999</v>
      </c>
      <c r="G399" s="2">
        <f t="shared" si="3"/>
        <v>0.43099999999999999</v>
      </c>
    </row>
    <row r="400" spans="1:7" ht="14.25" customHeight="1">
      <c r="A400" s="2" t="s">
        <v>15</v>
      </c>
      <c r="B400" s="2">
        <v>1941</v>
      </c>
      <c r="C400" s="2" t="s">
        <v>52</v>
      </c>
      <c r="D400" s="2">
        <v>181</v>
      </c>
      <c r="E400" s="3">
        <f t="shared" si="2"/>
        <v>0.18099999999999999</v>
      </c>
      <c r="G400" s="2">
        <f t="shared" si="3"/>
        <v>0.18099999999999999</v>
      </c>
    </row>
    <row r="401" spans="1:7" ht="14.25" customHeight="1">
      <c r="A401" s="2" t="s">
        <v>15</v>
      </c>
      <c r="B401" s="2">
        <v>1942</v>
      </c>
      <c r="C401" s="2" t="s">
        <v>52</v>
      </c>
      <c r="D401" s="2">
        <v>163</v>
      </c>
      <c r="E401" s="3">
        <f t="shared" si="2"/>
        <v>0.16300000000000001</v>
      </c>
      <c r="G401" s="2">
        <f t="shared" si="3"/>
        <v>0.16300000000000001</v>
      </c>
    </row>
    <row r="402" spans="1:7" ht="14.25" customHeight="1">
      <c r="A402" s="2" t="s">
        <v>15</v>
      </c>
      <c r="B402" s="2">
        <v>1943</v>
      </c>
      <c r="C402" s="2" t="s">
        <v>52</v>
      </c>
      <c r="D402" s="2">
        <v>181</v>
      </c>
      <c r="E402" s="3">
        <f t="shared" si="2"/>
        <v>0.18099999999999999</v>
      </c>
      <c r="G402" s="2">
        <f t="shared" si="3"/>
        <v>0.18099999999999999</v>
      </c>
    </row>
    <row r="403" spans="1:7" ht="14.25" customHeight="1">
      <c r="A403" s="2" t="s">
        <v>15</v>
      </c>
      <c r="B403" s="2">
        <v>1944</v>
      </c>
      <c r="C403" s="2" t="s">
        <v>52</v>
      </c>
      <c r="D403" s="2">
        <v>350</v>
      </c>
      <c r="E403" s="3">
        <f t="shared" si="2"/>
        <v>0.35</v>
      </c>
      <c r="G403" s="2">
        <f t="shared" si="3"/>
        <v>0.35</v>
      </c>
    </row>
    <row r="404" spans="1:7" ht="14.25" customHeight="1">
      <c r="A404" s="2" t="s">
        <v>15</v>
      </c>
      <c r="B404" s="2">
        <v>1945</v>
      </c>
      <c r="C404" s="2" t="s">
        <v>52</v>
      </c>
      <c r="D404" s="2">
        <v>412</v>
      </c>
      <c r="E404" s="3">
        <f t="shared" si="2"/>
        <v>0.41199999999999998</v>
      </c>
      <c r="G404" s="2">
        <f t="shared" si="3"/>
        <v>0.41199999999999998</v>
      </c>
    </row>
    <row r="405" spans="1:7" ht="14.25" customHeight="1">
      <c r="A405" s="2" t="s">
        <v>15</v>
      </c>
      <c r="B405" s="2">
        <v>1946</v>
      </c>
      <c r="C405" s="2" t="s">
        <v>52</v>
      </c>
      <c r="D405" s="2">
        <v>483</v>
      </c>
      <c r="E405" s="3">
        <f t="shared" si="2"/>
        <v>0.48299999999999998</v>
      </c>
      <c r="G405" s="2">
        <f t="shared" si="3"/>
        <v>0.48299999999999998</v>
      </c>
    </row>
    <row r="406" spans="1:7" ht="14.25" customHeight="1">
      <c r="A406" s="2" t="s">
        <v>15</v>
      </c>
      <c r="B406" s="2">
        <v>1947</v>
      </c>
      <c r="C406" s="2" t="s">
        <v>52</v>
      </c>
      <c r="D406" s="2">
        <v>709</v>
      </c>
      <c r="E406" s="3">
        <f t="shared" si="2"/>
        <v>0.70899999999999996</v>
      </c>
      <c r="G406" s="2">
        <f t="shared" si="3"/>
        <v>0.70899999999999996</v>
      </c>
    </row>
    <row r="407" spans="1:7" ht="14.25" customHeight="1">
      <c r="A407" s="2" t="s">
        <v>15</v>
      </c>
      <c r="B407" s="2">
        <v>1948</v>
      </c>
      <c r="C407" s="2" t="s">
        <v>52</v>
      </c>
      <c r="D407" s="2">
        <v>601</v>
      </c>
      <c r="E407" s="3">
        <f t="shared" si="2"/>
        <v>0.60099999999999998</v>
      </c>
      <c r="G407" s="2">
        <f t="shared" si="3"/>
        <v>0.60099999999999998</v>
      </c>
    </row>
    <row r="408" spans="1:7" ht="14.25" customHeight="1">
      <c r="A408" s="2" t="s">
        <v>15</v>
      </c>
      <c r="B408" s="2">
        <v>1949</v>
      </c>
      <c r="C408" s="2" t="s">
        <v>52</v>
      </c>
      <c r="D408" s="2">
        <v>419</v>
      </c>
      <c r="E408" s="3">
        <f t="shared" si="2"/>
        <v>0.41899999999999998</v>
      </c>
      <c r="G408" s="2">
        <f t="shared" si="3"/>
        <v>0.41899999999999998</v>
      </c>
    </row>
    <row r="409" spans="1:7" ht="14.25" customHeight="1">
      <c r="A409" s="2" t="s">
        <v>15</v>
      </c>
      <c r="B409" s="2">
        <v>1950</v>
      </c>
      <c r="C409" s="2" t="s">
        <v>52</v>
      </c>
      <c r="D409" s="2">
        <v>224</v>
      </c>
      <c r="E409" s="3">
        <f t="shared" si="2"/>
        <v>0.224</v>
      </c>
      <c r="G409" s="2">
        <f t="shared" si="3"/>
        <v>0.224</v>
      </c>
    </row>
    <row r="410" spans="1:7" ht="14.25" customHeight="1">
      <c r="A410" s="2" t="s">
        <v>15</v>
      </c>
      <c r="B410" s="2">
        <v>1951</v>
      </c>
      <c r="C410" s="2" t="s">
        <v>52</v>
      </c>
      <c r="D410" s="2">
        <v>239</v>
      </c>
      <c r="E410" s="3">
        <f t="shared" si="2"/>
        <v>0.23899999999999999</v>
      </c>
      <c r="G410" s="2">
        <f t="shared" si="3"/>
        <v>0.23899999999999999</v>
      </c>
    </row>
    <row r="411" spans="1:7" ht="14.25" customHeight="1">
      <c r="A411" s="2" t="s">
        <v>15</v>
      </c>
      <c r="B411" s="2">
        <v>1952</v>
      </c>
      <c r="C411" s="2" t="s">
        <v>52</v>
      </c>
      <c r="D411" s="2">
        <v>210</v>
      </c>
      <c r="E411" s="3">
        <f t="shared" si="2"/>
        <v>0.21</v>
      </c>
      <c r="G411" s="2">
        <f t="shared" si="3"/>
        <v>0.21</v>
      </c>
    </row>
    <row r="412" spans="1:7" ht="14.25" customHeight="1">
      <c r="A412" s="2" t="s">
        <v>15</v>
      </c>
      <c r="B412" s="2">
        <v>1953</v>
      </c>
      <c r="C412" s="2" t="s">
        <v>52</v>
      </c>
      <c r="D412" s="2">
        <v>195</v>
      </c>
      <c r="E412" s="3">
        <f t="shared" si="2"/>
        <v>0.19500000000000001</v>
      </c>
      <c r="G412" s="2">
        <f t="shared" si="3"/>
        <v>0.19500000000000001</v>
      </c>
    </row>
    <row r="413" spans="1:7" ht="14.25" customHeight="1">
      <c r="A413" s="2" t="s">
        <v>15</v>
      </c>
      <c r="B413" s="2">
        <v>1954</v>
      </c>
      <c r="C413" s="2" t="s">
        <v>52</v>
      </c>
      <c r="D413" s="2">
        <v>189</v>
      </c>
      <c r="E413" s="3">
        <f t="shared" si="2"/>
        <v>0.189</v>
      </c>
      <c r="G413" s="2">
        <f t="shared" si="3"/>
        <v>0.189</v>
      </c>
    </row>
    <row r="414" spans="1:7" ht="14.25" customHeight="1">
      <c r="A414" s="2" t="s">
        <v>15</v>
      </c>
      <c r="B414" s="2">
        <v>1955</v>
      </c>
      <c r="C414" s="2" t="s">
        <v>52</v>
      </c>
      <c r="D414" s="2">
        <v>155</v>
      </c>
      <c r="E414" s="3">
        <f t="shared" si="2"/>
        <v>0.155</v>
      </c>
      <c r="G414" s="2">
        <f t="shared" si="3"/>
        <v>0.155</v>
      </c>
    </row>
    <row r="415" spans="1:7" ht="14.25" customHeight="1">
      <c r="A415" s="2" t="s">
        <v>15</v>
      </c>
      <c r="B415" s="2">
        <v>1956</v>
      </c>
      <c r="C415" s="2" t="s">
        <v>52</v>
      </c>
      <c r="D415" s="2">
        <v>257</v>
      </c>
      <c r="E415" s="3">
        <f t="shared" si="2"/>
        <v>0.25700000000000001</v>
      </c>
      <c r="G415" s="2">
        <f t="shared" si="3"/>
        <v>0.25700000000000001</v>
      </c>
    </row>
    <row r="416" spans="1:7" ht="14.25" customHeight="1">
      <c r="A416" s="2" t="s">
        <v>15</v>
      </c>
      <c r="B416" s="2">
        <v>1957</v>
      </c>
      <c r="C416" s="2" t="s">
        <v>52</v>
      </c>
      <c r="D416" s="2">
        <v>198</v>
      </c>
      <c r="E416" s="3">
        <f t="shared" si="2"/>
        <v>0.19800000000000001</v>
      </c>
      <c r="G416" s="2">
        <f t="shared" si="3"/>
        <v>0.19800000000000001</v>
      </c>
    </row>
    <row r="417" spans="1:7" ht="14.25" customHeight="1">
      <c r="A417" s="2" t="s">
        <v>15</v>
      </c>
      <c r="B417" s="2">
        <v>1958</v>
      </c>
      <c r="C417" s="2" t="s">
        <v>52</v>
      </c>
      <c r="D417" s="2">
        <v>187</v>
      </c>
      <c r="E417" s="3">
        <f t="shared" si="2"/>
        <v>0.187</v>
      </c>
      <c r="G417" s="2">
        <f t="shared" si="3"/>
        <v>0.187</v>
      </c>
    </row>
    <row r="418" spans="1:7" ht="14.25" customHeight="1">
      <c r="A418" s="2" t="s">
        <v>15</v>
      </c>
      <c r="B418" s="2">
        <v>1959</v>
      </c>
      <c r="C418" s="2" t="s">
        <v>52</v>
      </c>
      <c r="D418" s="2">
        <v>587</v>
      </c>
      <c r="E418" s="3">
        <f t="shared" si="2"/>
        <v>0.58699999999999997</v>
      </c>
      <c r="G418" s="2">
        <f t="shared" si="3"/>
        <v>0.58699999999999997</v>
      </c>
    </row>
    <row r="419" spans="1:7" ht="14.25" customHeight="1">
      <c r="A419" s="2" t="s">
        <v>15</v>
      </c>
      <c r="B419" s="2">
        <v>1960</v>
      </c>
      <c r="C419" s="2" t="s">
        <v>52</v>
      </c>
      <c r="D419" s="2">
        <v>136</v>
      </c>
      <c r="E419" s="3">
        <f t="shared" si="2"/>
        <v>0.13600000000000001</v>
      </c>
      <c r="G419" s="2">
        <f t="shared" si="3"/>
        <v>0.13600000000000001</v>
      </c>
    </row>
    <row r="420" spans="1:7" ht="14.25" customHeight="1">
      <c r="A420" s="2" t="s">
        <v>15</v>
      </c>
      <c r="B420" s="2">
        <v>1961</v>
      </c>
      <c r="C420" s="2" t="s">
        <v>52</v>
      </c>
      <c r="D420" s="2">
        <v>226</v>
      </c>
      <c r="E420" s="3">
        <f t="shared" si="2"/>
        <v>0.22600000000000001</v>
      </c>
      <c r="G420" s="2">
        <f t="shared" si="3"/>
        <v>0.22600000000000001</v>
      </c>
    </row>
    <row r="421" spans="1:7" ht="14.25" customHeight="1">
      <c r="A421" s="2" t="s">
        <v>15</v>
      </c>
      <c r="B421" s="2">
        <v>1962</v>
      </c>
      <c r="C421" s="2" t="s">
        <v>52</v>
      </c>
      <c r="D421" s="2">
        <v>456</v>
      </c>
      <c r="E421" s="3">
        <f t="shared" si="2"/>
        <v>0.45600000000000002</v>
      </c>
      <c r="G421" s="2">
        <f t="shared" si="3"/>
        <v>0.45600000000000002</v>
      </c>
    </row>
    <row r="422" spans="1:7" ht="14.25" customHeight="1">
      <c r="A422" s="2" t="s">
        <v>15</v>
      </c>
      <c r="B422" s="2">
        <v>1963</v>
      </c>
      <c r="C422" s="2" t="s">
        <v>52</v>
      </c>
      <c r="D422" s="2">
        <v>866</v>
      </c>
      <c r="E422" s="3">
        <f t="shared" si="2"/>
        <v>0.86599999999999999</v>
      </c>
      <c r="G422" s="2">
        <f t="shared" si="3"/>
        <v>0.86599999999999999</v>
      </c>
    </row>
    <row r="423" spans="1:7" ht="14.25" customHeight="1">
      <c r="A423" s="2" t="s">
        <v>15</v>
      </c>
      <c r="B423" s="2">
        <v>1964</v>
      </c>
      <c r="C423" s="2" t="s">
        <v>52</v>
      </c>
      <c r="D423" s="2">
        <v>942</v>
      </c>
      <c r="E423" s="3">
        <f t="shared" si="2"/>
        <v>0.94199999999999995</v>
      </c>
      <c r="G423" s="2">
        <f t="shared" si="3"/>
        <v>0.94199999999999995</v>
      </c>
    </row>
    <row r="424" spans="1:7" ht="14.25" customHeight="1">
      <c r="A424" s="2" t="s">
        <v>15</v>
      </c>
      <c r="B424" s="2">
        <v>1965</v>
      </c>
      <c r="C424" s="2" t="s">
        <v>52</v>
      </c>
      <c r="D424" s="2">
        <v>635</v>
      </c>
      <c r="E424" s="3">
        <f t="shared" si="2"/>
        <v>0.63500000000000001</v>
      </c>
      <c r="G424" s="2">
        <f t="shared" si="3"/>
        <v>0.63500000000000001</v>
      </c>
    </row>
    <row r="425" spans="1:7" ht="14.25" customHeight="1">
      <c r="A425" s="2" t="s">
        <v>15</v>
      </c>
      <c r="B425" s="2">
        <v>1966</v>
      </c>
      <c r="C425" s="2" t="s">
        <v>52</v>
      </c>
      <c r="D425" s="2">
        <v>800</v>
      </c>
      <c r="E425" s="3">
        <f t="shared" si="2"/>
        <v>0.8</v>
      </c>
      <c r="G425" s="2">
        <f t="shared" si="3"/>
        <v>0.8</v>
      </c>
    </row>
    <row r="426" spans="1:7" ht="14.25" customHeight="1">
      <c r="A426" s="2" t="s">
        <v>15</v>
      </c>
      <c r="B426" s="2">
        <v>1967</v>
      </c>
      <c r="C426" s="2" t="s">
        <v>52</v>
      </c>
      <c r="D426" s="2">
        <v>1078</v>
      </c>
      <c r="E426" s="3">
        <f t="shared" si="2"/>
        <v>1.0780000000000001</v>
      </c>
      <c r="G426" s="2">
        <f t="shared" si="3"/>
        <v>1.0780000000000001</v>
      </c>
    </row>
    <row r="427" spans="1:7" ht="14.25" customHeight="1">
      <c r="A427" s="2" t="s">
        <v>15</v>
      </c>
      <c r="B427" s="2">
        <v>1968</v>
      </c>
      <c r="C427" s="2" t="s">
        <v>52</v>
      </c>
      <c r="D427" s="2">
        <v>2829</v>
      </c>
      <c r="E427" s="3">
        <f t="shared" si="2"/>
        <v>2.8290000000000002</v>
      </c>
      <c r="G427" s="2">
        <f t="shared" si="3"/>
        <v>2.8290000000000002</v>
      </c>
    </row>
    <row r="428" spans="1:7" ht="14.25" customHeight="1">
      <c r="A428" s="2" t="s">
        <v>15</v>
      </c>
      <c r="B428" s="2">
        <v>1969</v>
      </c>
      <c r="C428" s="2" t="s">
        <v>52</v>
      </c>
      <c r="D428" s="2">
        <v>5859</v>
      </c>
      <c r="E428" s="3">
        <f t="shared" si="2"/>
        <v>5.859</v>
      </c>
      <c r="G428" s="2">
        <f t="shared" si="3"/>
        <v>5.859</v>
      </c>
    </row>
    <row r="429" spans="1:7" ht="14.25" customHeight="1">
      <c r="A429" s="2" t="s">
        <v>15</v>
      </c>
      <c r="B429" s="2">
        <v>1970</v>
      </c>
      <c r="C429" s="2" t="s">
        <v>52</v>
      </c>
      <c r="D429" s="2">
        <v>4430</v>
      </c>
      <c r="E429" s="3">
        <f t="shared" si="2"/>
        <v>4.43</v>
      </c>
      <c r="G429" s="2">
        <f t="shared" si="3"/>
        <v>4.43</v>
      </c>
    </row>
    <row r="430" spans="1:7" ht="14.25" customHeight="1">
      <c r="A430" s="2" t="s">
        <v>15</v>
      </c>
      <c r="B430" s="2">
        <v>1971</v>
      </c>
      <c r="C430" s="2" t="s">
        <v>52</v>
      </c>
      <c r="D430" s="2">
        <v>8476</v>
      </c>
      <c r="E430" s="3">
        <f t="shared" si="2"/>
        <v>8.4760000000000009</v>
      </c>
      <c r="G430" s="2">
        <f t="shared" si="3"/>
        <v>8.4760000000000009</v>
      </c>
    </row>
    <row r="431" spans="1:7" ht="14.25" customHeight="1">
      <c r="A431" s="2" t="s">
        <v>15</v>
      </c>
      <c r="B431" s="2">
        <v>1972</v>
      </c>
      <c r="C431" s="2" t="s">
        <v>52</v>
      </c>
      <c r="D431" s="2">
        <v>8845</v>
      </c>
      <c r="E431" s="3">
        <f t="shared" si="2"/>
        <v>8.8450000000000006</v>
      </c>
      <c r="G431" s="2">
        <f t="shared" si="3"/>
        <v>8.8450000000000006</v>
      </c>
    </row>
    <row r="432" spans="1:7" ht="14.25" customHeight="1">
      <c r="A432" s="2" t="s">
        <v>15</v>
      </c>
      <c r="B432" s="2">
        <v>1973</v>
      </c>
      <c r="C432" s="2" t="s">
        <v>52</v>
      </c>
      <c r="D432" s="2">
        <v>16537</v>
      </c>
      <c r="E432" s="3">
        <f t="shared" si="2"/>
        <v>16.536999999999999</v>
      </c>
      <c r="G432" s="2">
        <f t="shared" si="3"/>
        <v>16.536999999999999</v>
      </c>
    </row>
    <row r="433" spans="1:7" ht="14.25" customHeight="1">
      <c r="A433" s="2" t="s">
        <v>15</v>
      </c>
      <c r="B433" s="2">
        <v>1974</v>
      </c>
      <c r="C433" s="2" t="s">
        <v>52</v>
      </c>
      <c r="D433" s="2">
        <v>5877</v>
      </c>
      <c r="E433" s="3">
        <f t="shared" si="2"/>
        <v>5.8769999999999998</v>
      </c>
      <c r="G433" s="2">
        <f t="shared" si="3"/>
        <v>5.8769999999999998</v>
      </c>
    </row>
    <row r="434" spans="1:7" ht="14.25" customHeight="1">
      <c r="A434" s="2" t="s">
        <v>15</v>
      </c>
      <c r="B434" s="2">
        <v>1975</v>
      </c>
      <c r="C434" s="2" t="s">
        <v>52</v>
      </c>
      <c r="D434" s="2">
        <v>4954</v>
      </c>
      <c r="E434" s="3">
        <f t="shared" si="2"/>
        <v>4.9539999999999997</v>
      </c>
      <c r="G434" s="2">
        <f t="shared" si="3"/>
        <v>4.9539999999999997</v>
      </c>
    </row>
    <row r="435" spans="1:7" ht="14.25" customHeight="1">
      <c r="A435" s="2" t="s">
        <v>15</v>
      </c>
      <c r="B435" s="2">
        <v>1976</v>
      </c>
      <c r="C435" s="2" t="s">
        <v>52</v>
      </c>
      <c r="D435" s="2">
        <v>9849</v>
      </c>
      <c r="E435" s="3">
        <f t="shared" si="2"/>
        <v>9.8490000000000002</v>
      </c>
      <c r="G435" s="2">
        <f t="shared" si="3"/>
        <v>9.8490000000000002</v>
      </c>
    </row>
    <row r="436" spans="1:7" ht="14.25" customHeight="1">
      <c r="A436" s="2" t="s">
        <v>15</v>
      </c>
      <c r="B436" s="2">
        <v>1977</v>
      </c>
      <c r="C436" s="2" t="s">
        <v>52</v>
      </c>
      <c r="D436" s="2">
        <v>5520</v>
      </c>
      <c r="E436" s="3">
        <f t="shared" si="2"/>
        <v>5.52</v>
      </c>
      <c r="G436" s="2">
        <f t="shared" si="3"/>
        <v>5.52</v>
      </c>
    </row>
    <row r="437" spans="1:7" ht="14.25" customHeight="1">
      <c r="A437" s="2" t="s">
        <v>15</v>
      </c>
      <c r="B437" s="2">
        <v>1978</v>
      </c>
      <c r="C437" s="2" t="s">
        <v>52</v>
      </c>
      <c r="D437" s="2">
        <v>6815</v>
      </c>
      <c r="E437" s="3">
        <f t="shared" si="2"/>
        <v>6.8150000000000004</v>
      </c>
      <c r="G437" s="2">
        <f t="shared" si="3"/>
        <v>6.8150000000000004</v>
      </c>
    </row>
    <row r="438" spans="1:7" ht="14.25" customHeight="1">
      <c r="A438" s="2" t="s">
        <v>15</v>
      </c>
      <c r="B438" s="2">
        <v>1979</v>
      </c>
      <c r="C438" s="2" t="s">
        <v>52</v>
      </c>
      <c r="D438" s="2">
        <v>7341</v>
      </c>
      <c r="E438" s="3">
        <f t="shared" si="2"/>
        <v>7.3410000000000002</v>
      </c>
      <c r="G438" s="2">
        <f t="shared" si="3"/>
        <v>7.3410000000000002</v>
      </c>
    </row>
    <row r="439" spans="1:7" ht="14.25" customHeight="1">
      <c r="A439" s="2" t="s">
        <v>15</v>
      </c>
      <c r="B439" s="2">
        <v>1980</v>
      </c>
      <c r="C439" s="2" t="s">
        <v>52</v>
      </c>
      <c r="D439" s="2">
        <v>8583</v>
      </c>
      <c r="E439" s="3">
        <f t="shared" si="2"/>
        <v>8.5830000000000002</v>
      </c>
      <c r="G439" s="2">
        <f t="shared" si="3"/>
        <v>8.5830000000000002</v>
      </c>
    </row>
    <row r="440" spans="1:7" ht="14.25" customHeight="1">
      <c r="A440" s="2" t="s">
        <v>15</v>
      </c>
      <c r="B440" s="2">
        <v>1981</v>
      </c>
      <c r="C440" s="2" t="s">
        <v>52</v>
      </c>
      <c r="D440" s="2">
        <v>8579</v>
      </c>
      <c r="E440" s="3">
        <f t="shared" si="2"/>
        <v>8.5790000000000006</v>
      </c>
      <c r="G440" s="2">
        <f t="shared" si="3"/>
        <v>8.5790000000000006</v>
      </c>
    </row>
    <row r="441" spans="1:7" ht="14.25" customHeight="1">
      <c r="A441" s="2" t="s">
        <v>15</v>
      </c>
      <c r="B441" s="2">
        <v>1982</v>
      </c>
      <c r="C441" s="2" t="s">
        <v>52</v>
      </c>
      <c r="D441" s="2">
        <v>8307</v>
      </c>
      <c r="E441" s="3">
        <f t="shared" si="2"/>
        <v>8.3070000000000004</v>
      </c>
      <c r="G441" s="2">
        <f t="shared" si="3"/>
        <v>8.3070000000000004</v>
      </c>
    </row>
    <row r="442" spans="1:7" ht="14.25" customHeight="1">
      <c r="A442" s="2" t="s">
        <v>15</v>
      </c>
      <c r="B442" s="2">
        <v>1983</v>
      </c>
      <c r="C442" s="2" t="s">
        <v>52</v>
      </c>
      <c r="D442" s="2">
        <v>7827</v>
      </c>
      <c r="E442" s="3">
        <f t="shared" si="2"/>
        <v>7.827</v>
      </c>
      <c r="G442" s="2">
        <f t="shared" si="3"/>
        <v>7.827</v>
      </c>
    </row>
    <row r="443" spans="1:7" ht="14.25" customHeight="1">
      <c r="A443" s="2" t="s">
        <v>15</v>
      </c>
      <c r="B443" s="2">
        <v>1984</v>
      </c>
      <c r="C443" s="2" t="s">
        <v>52</v>
      </c>
      <c r="D443" s="2">
        <v>9680</v>
      </c>
      <c r="E443" s="3">
        <f t="shared" si="2"/>
        <v>9.68</v>
      </c>
      <c r="G443" s="2">
        <f t="shared" si="3"/>
        <v>9.68</v>
      </c>
    </row>
    <row r="444" spans="1:7" ht="14.25" customHeight="1">
      <c r="A444" s="2" t="s">
        <v>15</v>
      </c>
      <c r="B444" s="2">
        <v>1985</v>
      </c>
      <c r="C444" s="2" t="s">
        <v>52</v>
      </c>
      <c r="D444" s="2">
        <v>7391</v>
      </c>
      <c r="E444" s="3">
        <f t="shared" si="2"/>
        <v>7.391</v>
      </c>
      <c r="G444" s="2">
        <f t="shared" si="3"/>
        <v>7.391</v>
      </c>
    </row>
    <row r="445" spans="1:7" ht="14.25" customHeight="1">
      <c r="A445" s="2" t="s">
        <v>15</v>
      </c>
      <c r="B445" s="2">
        <v>1986</v>
      </c>
      <c r="C445" s="2" t="s">
        <v>52</v>
      </c>
      <c r="D445" s="2">
        <v>6424</v>
      </c>
      <c r="E445" s="3">
        <f t="shared" si="2"/>
        <v>6.4240000000000004</v>
      </c>
      <c r="G445" s="2">
        <f t="shared" si="3"/>
        <v>6.4240000000000004</v>
      </c>
    </row>
    <row r="446" spans="1:7" ht="14.25" customHeight="1">
      <c r="A446" s="2" t="s">
        <v>15</v>
      </c>
      <c r="B446" s="2">
        <v>1987</v>
      </c>
      <c r="C446" s="2" t="s">
        <v>52</v>
      </c>
      <c r="D446" s="2">
        <v>7233</v>
      </c>
      <c r="E446" s="3">
        <f t="shared" si="2"/>
        <v>7.2329999999999997</v>
      </c>
      <c r="G446" s="2">
        <f t="shared" si="3"/>
        <v>7.2329999999999997</v>
      </c>
    </row>
    <row r="447" spans="1:7" ht="14.25" customHeight="1">
      <c r="A447" s="2" t="s">
        <v>15</v>
      </c>
      <c r="B447" s="2">
        <v>1988</v>
      </c>
      <c r="C447" s="2" t="s">
        <v>52</v>
      </c>
      <c r="D447" s="2">
        <v>7346</v>
      </c>
      <c r="E447" s="3">
        <f t="shared" si="2"/>
        <v>7.3460000000000001</v>
      </c>
      <c r="G447" s="2">
        <f t="shared" si="3"/>
        <v>7.3460000000000001</v>
      </c>
    </row>
    <row r="448" spans="1:7" ht="14.25" customHeight="1">
      <c r="A448" s="2" t="s">
        <v>15</v>
      </c>
      <c r="B448" s="2">
        <v>1989</v>
      </c>
      <c r="C448" s="2" t="s">
        <v>52</v>
      </c>
      <c r="D448" s="2">
        <v>4674</v>
      </c>
      <c r="E448" s="3">
        <f t="shared" si="2"/>
        <v>4.6740000000000004</v>
      </c>
      <c r="G448" s="2">
        <f t="shared" si="3"/>
        <v>4.6740000000000004</v>
      </c>
    </row>
    <row r="449" spans="1:7" ht="14.25" customHeight="1">
      <c r="A449" s="2" t="s">
        <v>15</v>
      </c>
      <c r="B449" s="2">
        <v>1990</v>
      </c>
      <c r="C449" s="2" t="s">
        <v>52</v>
      </c>
      <c r="D449" s="2">
        <v>4227</v>
      </c>
      <c r="E449" s="3">
        <f t="shared" si="2"/>
        <v>4.2270000000000003</v>
      </c>
      <c r="G449" s="2">
        <f t="shared" si="3"/>
        <v>4.2270000000000003</v>
      </c>
    </row>
    <row r="450" spans="1:7" ht="14.25" customHeight="1">
      <c r="A450" s="2" t="s">
        <v>15</v>
      </c>
      <c r="B450" s="2">
        <v>1991</v>
      </c>
      <c r="C450" s="2" t="s">
        <v>52</v>
      </c>
      <c r="D450" s="2">
        <v>3924</v>
      </c>
      <c r="E450" s="3">
        <f t="shared" si="2"/>
        <v>3.9239999999999999</v>
      </c>
      <c r="G450" s="2">
        <f t="shared" si="3"/>
        <v>3.9239999999999999</v>
      </c>
    </row>
    <row r="451" spans="1:7" ht="14.25" customHeight="1">
      <c r="A451" s="2" t="s">
        <v>15</v>
      </c>
      <c r="B451" s="2">
        <v>1992</v>
      </c>
      <c r="C451" s="2" t="s">
        <v>52</v>
      </c>
      <c r="D451" s="2">
        <v>5069</v>
      </c>
      <c r="E451" s="3">
        <f t="shared" si="2"/>
        <v>5.069</v>
      </c>
      <c r="G451" s="2">
        <f t="shared" si="3"/>
        <v>5.069</v>
      </c>
    </row>
    <row r="452" spans="1:7" ht="14.25" customHeight="1">
      <c r="A452" s="2" t="s">
        <v>15</v>
      </c>
      <c r="B452" s="2">
        <v>1993</v>
      </c>
      <c r="C452" s="2" t="s">
        <v>52</v>
      </c>
      <c r="D452" s="2">
        <v>5556</v>
      </c>
      <c r="E452" s="3">
        <f t="shared" si="2"/>
        <v>5.556</v>
      </c>
      <c r="G452" s="2">
        <f t="shared" si="3"/>
        <v>5.556</v>
      </c>
    </row>
    <row r="453" spans="1:7" ht="14.25" customHeight="1">
      <c r="A453" s="2" t="s">
        <v>15</v>
      </c>
      <c r="B453" s="2">
        <v>1994</v>
      </c>
      <c r="C453" s="2" t="s">
        <v>52</v>
      </c>
      <c r="D453" s="2">
        <v>9020</v>
      </c>
      <c r="E453" s="3">
        <f t="shared" si="2"/>
        <v>9.02</v>
      </c>
      <c r="G453" s="2">
        <f t="shared" si="3"/>
        <v>9.02</v>
      </c>
    </row>
    <row r="454" spans="1:7" ht="14.25" customHeight="1">
      <c r="A454" s="2" t="s">
        <v>15</v>
      </c>
      <c r="B454" s="2">
        <v>1995</v>
      </c>
      <c r="C454" s="2" t="s">
        <v>52</v>
      </c>
      <c r="D454" s="2">
        <v>9376</v>
      </c>
      <c r="E454" s="3">
        <f t="shared" si="2"/>
        <v>9.3759999999999994</v>
      </c>
      <c r="G454" s="2">
        <f t="shared" si="3"/>
        <v>9.3759999999999994</v>
      </c>
    </row>
    <row r="455" spans="1:7" ht="14.25" customHeight="1">
      <c r="A455" s="2" t="s">
        <v>15</v>
      </c>
      <c r="B455" s="2">
        <v>1996</v>
      </c>
      <c r="C455" s="2" t="s">
        <v>52</v>
      </c>
      <c r="D455" s="2">
        <v>9195</v>
      </c>
      <c r="E455" s="3">
        <f t="shared" si="2"/>
        <v>9.1950000000000003</v>
      </c>
      <c r="G455" s="2">
        <f t="shared" si="3"/>
        <v>9.1950000000000003</v>
      </c>
    </row>
    <row r="456" spans="1:7" ht="14.25" customHeight="1">
      <c r="A456" s="2" t="s">
        <v>15</v>
      </c>
      <c r="B456" s="2">
        <v>1997</v>
      </c>
      <c r="C456" s="2" t="s">
        <v>52</v>
      </c>
      <c r="D456" s="2">
        <v>9706</v>
      </c>
      <c r="E456" s="3">
        <f t="shared" si="2"/>
        <v>9.7059999999999995</v>
      </c>
      <c r="G456" s="2">
        <f t="shared" si="3"/>
        <v>9.7059999999999995</v>
      </c>
    </row>
    <row r="457" spans="1:7" ht="14.25" customHeight="1">
      <c r="A457" s="2" t="s">
        <v>15</v>
      </c>
      <c r="B457" s="2">
        <v>1998</v>
      </c>
      <c r="C457" s="2" t="s">
        <v>52</v>
      </c>
      <c r="D457" s="2">
        <v>9707</v>
      </c>
      <c r="E457" s="3">
        <f t="shared" si="2"/>
        <v>9.7070000000000007</v>
      </c>
      <c r="G457" s="2">
        <f t="shared" si="3"/>
        <v>9.7070000000000007</v>
      </c>
    </row>
    <row r="458" spans="1:7" ht="14.25" customHeight="1">
      <c r="A458" s="2" t="s">
        <v>15</v>
      </c>
      <c r="B458" s="2">
        <v>1999</v>
      </c>
      <c r="C458" s="2" t="s">
        <v>52</v>
      </c>
      <c r="D458" s="2">
        <v>8473</v>
      </c>
      <c r="E458" s="3">
        <f t="shared" si="2"/>
        <v>8.4730000000000008</v>
      </c>
      <c r="G458" s="2">
        <f t="shared" si="3"/>
        <v>8.4730000000000008</v>
      </c>
    </row>
    <row r="459" spans="1:7" ht="14.25" customHeight="1">
      <c r="A459" s="2" t="s">
        <v>15</v>
      </c>
      <c r="B459" s="2">
        <v>2000</v>
      </c>
      <c r="C459" s="2" t="s">
        <v>52</v>
      </c>
      <c r="D459" s="2">
        <v>8577</v>
      </c>
      <c r="E459" s="3">
        <f t="shared" si="2"/>
        <v>8.577</v>
      </c>
      <c r="G459" s="2">
        <f t="shared" si="3"/>
        <v>8.577</v>
      </c>
    </row>
    <row r="460" spans="1:7" ht="14.25" customHeight="1">
      <c r="A460" s="2" t="s">
        <v>15</v>
      </c>
      <c r="B460" s="2">
        <v>2001</v>
      </c>
      <c r="C460" s="2" t="s">
        <v>52</v>
      </c>
      <c r="D460" s="2">
        <v>9796</v>
      </c>
      <c r="E460" s="3">
        <f t="shared" si="2"/>
        <v>9.7959999999999994</v>
      </c>
      <c r="G460" s="2">
        <f t="shared" si="3"/>
        <v>9.7959999999999994</v>
      </c>
    </row>
    <row r="461" spans="1:7" ht="14.25" customHeight="1">
      <c r="A461" s="2" t="s">
        <v>15</v>
      </c>
      <c r="B461" s="2">
        <v>2002</v>
      </c>
      <c r="C461" s="2" t="s">
        <v>52</v>
      </c>
      <c r="D461" s="2">
        <v>9172</v>
      </c>
      <c r="E461" s="3">
        <f t="shared" si="2"/>
        <v>9.1720000000000006</v>
      </c>
      <c r="G461" s="2">
        <f t="shared" si="3"/>
        <v>9.1720000000000006</v>
      </c>
    </row>
    <row r="462" spans="1:7" ht="14.25" customHeight="1">
      <c r="A462" s="2" t="s">
        <v>15</v>
      </c>
      <c r="B462" s="2">
        <v>2003</v>
      </c>
      <c r="C462" s="2" t="s">
        <v>52</v>
      </c>
      <c r="D462" s="2">
        <v>10056</v>
      </c>
      <c r="E462" s="3">
        <f t="shared" si="2"/>
        <v>10.055999999999999</v>
      </c>
      <c r="G462" s="2">
        <f t="shared" si="3"/>
        <v>10.055999999999999</v>
      </c>
    </row>
    <row r="463" spans="1:7" ht="14.25" customHeight="1">
      <c r="A463" s="2" t="s">
        <v>15</v>
      </c>
      <c r="B463" s="2">
        <v>2004</v>
      </c>
      <c r="C463" s="2" t="s">
        <v>52</v>
      </c>
      <c r="D463" s="2">
        <v>11539</v>
      </c>
      <c r="E463" s="3">
        <f t="shared" si="2"/>
        <v>11.539</v>
      </c>
      <c r="G463" s="2">
        <f t="shared" si="3"/>
        <v>11.539</v>
      </c>
    </row>
    <row r="464" spans="1:7" ht="14.25" customHeight="1">
      <c r="A464" s="2" t="s">
        <v>15</v>
      </c>
      <c r="B464" s="2">
        <v>2005</v>
      </c>
      <c r="C464" s="2" t="s">
        <v>52</v>
      </c>
      <c r="D464" s="2">
        <v>6906</v>
      </c>
      <c r="E464" s="3">
        <f t="shared" si="2"/>
        <v>6.9059999999999997</v>
      </c>
      <c r="G464" s="2">
        <f t="shared" si="3"/>
        <v>6.9059999999999997</v>
      </c>
    </row>
    <row r="465" spans="1:7" ht="14.25" customHeight="1">
      <c r="A465" s="2" t="s">
        <v>15</v>
      </c>
      <c r="B465" s="2">
        <v>2006</v>
      </c>
      <c r="C465" s="2" t="s">
        <v>52</v>
      </c>
      <c r="D465" s="2">
        <v>19294.05</v>
      </c>
      <c r="E465" s="3">
        <f t="shared" si="2"/>
        <v>19.294049999999999</v>
      </c>
      <c r="G465" s="2">
        <f t="shared" si="3"/>
        <v>19.294049999999999</v>
      </c>
    </row>
    <row r="466" spans="1:7" ht="14.25" customHeight="1">
      <c r="A466" s="2" t="s">
        <v>15</v>
      </c>
      <c r="B466" s="2">
        <v>2007</v>
      </c>
      <c r="C466" s="2" t="s">
        <v>52</v>
      </c>
      <c r="D466" s="2">
        <v>20822</v>
      </c>
      <c r="E466" s="3">
        <f t="shared" si="2"/>
        <v>20.821999999999999</v>
      </c>
      <c r="G466" s="2">
        <f t="shared" si="3"/>
        <v>20.821999999999999</v>
      </c>
    </row>
    <row r="467" spans="1:7" ht="14.25" customHeight="1">
      <c r="A467" s="2" t="s">
        <v>15</v>
      </c>
      <c r="B467" s="2">
        <v>2008</v>
      </c>
      <c r="C467" s="2" t="s">
        <v>52</v>
      </c>
      <c r="D467" s="2">
        <v>22998.03</v>
      </c>
      <c r="E467" s="3">
        <f t="shared" si="2"/>
        <v>22.99803</v>
      </c>
      <c r="G467" s="2">
        <f t="shared" si="3"/>
        <v>22.99803</v>
      </c>
    </row>
    <row r="468" spans="1:7" ht="14.25" customHeight="1">
      <c r="A468" s="2" t="s">
        <v>15</v>
      </c>
      <c r="B468" s="2">
        <v>2009</v>
      </c>
      <c r="C468" s="2" t="s">
        <v>52</v>
      </c>
      <c r="D468" s="2">
        <v>27606.11</v>
      </c>
      <c r="E468" s="3">
        <f t="shared" si="2"/>
        <v>27.606110000000001</v>
      </c>
      <c r="G468" s="2">
        <f t="shared" si="3"/>
        <v>27.606110000000001</v>
      </c>
    </row>
    <row r="469" spans="1:7" ht="14.25" customHeight="1">
      <c r="A469" s="2" t="s">
        <v>15</v>
      </c>
      <c r="B469" s="2">
        <v>2010</v>
      </c>
      <c r="C469" s="2" t="s">
        <v>52</v>
      </c>
      <c r="D469" s="2">
        <v>30780.1</v>
      </c>
      <c r="E469" s="3">
        <f t="shared" si="2"/>
        <v>30.780099999999997</v>
      </c>
      <c r="G469" s="2">
        <f t="shared" si="3"/>
        <v>30.780099999999997</v>
      </c>
    </row>
    <row r="470" spans="1:7" ht="14.25" customHeight="1">
      <c r="A470" s="2" t="s">
        <v>15</v>
      </c>
      <c r="B470" s="2">
        <v>2011</v>
      </c>
      <c r="C470" s="2" t="s">
        <v>52</v>
      </c>
      <c r="D470" s="2">
        <v>28849.11</v>
      </c>
      <c r="E470" s="3">
        <f t="shared" si="2"/>
        <v>28.84911</v>
      </c>
      <c r="G470" s="2">
        <f t="shared" si="3"/>
        <v>28.84911</v>
      </c>
    </row>
    <row r="471" spans="1:7" ht="14.25" customHeight="1">
      <c r="A471" s="2" t="s">
        <v>15</v>
      </c>
      <c r="B471" s="2">
        <v>2012</v>
      </c>
      <c r="C471" s="2" t="s">
        <v>52</v>
      </c>
      <c r="D471" s="2">
        <v>32484.3</v>
      </c>
      <c r="E471" s="3">
        <f t="shared" si="2"/>
        <v>32.484299999999998</v>
      </c>
      <c r="G471" s="2">
        <f t="shared" si="3"/>
        <v>32.484299999999998</v>
      </c>
    </row>
    <row r="472" spans="1:7" ht="14.25" customHeight="1">
      <c r="A472" s="2" t="s">
        <v>15</v>
      </c>
      <c r="B472" s="2">
        <v>2013</v>
      </c>
      <c r="C472" s="2" t="s">
        <v>52</v>
      </c>
      <c r="D472" s="2">
        <v>29727.06</v>
      </c>
      <c r="E472" s="3">
        <f t="shared" si="2"/>
        <v>29.727060000000002</v>
      </c>
      <c r="G472" s="2">
        <f t="shared" si="3"/>
        <v>29.727060000000002</v>
      </c>
    </row>
    <row r="473" spans="1:7" ht="14.25" customHeight="1">
      <c r="A473" s="2" t="s">
        <v>15</v>
      </c>
      <c r="B473" s="2">
        <v>2014</v>
      </c>
      <c r="C473" s="2" t="s">
        <v>52</v>
      </c>
      <c r="D473" s="2">
        <v>26752.12</v>
      </c>
      <c r="E473" s="3">
        <f t="shared" si="2"/>
        <v>26.752119999999998</v>
      </c>
      <c r="G473" s="2">
        <f t="shared" si="3"/>
        <v>26.752119999999998</v>
      </c>
    </row>
    <row r="474" spans="1:7" ht="14.25" customHeight="1">
      <c r="A474" s="2" t="s">
        <v>15</v>
      </c>
      <c r="B474" s="2">
        <v>2015</v>
      </c>
      <c r="C474" s="2" t="s">
        <v>52</v>
      </c>
      <c r="D474" s="2">
        <v>26895.37</v>
      </c>
      <c r="E474" s="3">
        <f t="shared" si="2"/>
        <v>26.89537</v>
      </c>
      <c r="G474" s="2">
        <f t="shared" si="3"/>
        <v>26.89537</v>
      </c>
    </row>
    <row r="475" spans="1:7" ht="14.25" customHeight="1">
      <c r="A475" s="2" t="s">
        <v>15</v>
      </c>
      <c r="B475" s="2">
        <v>2016</v>
      </c>
      <c r="C475" s="2" t="s">
        <v>52</v>
      </c>
      <c r="D475" s="2">
        <v>28265.65</v>
      </c>
      <c r="E475" s="3">
        <f t="shared" si="2"/>
        <v>28.265650000000001</v>
      </c>
      <c r="G475" s="2">
        <f t="shared" si="3"/>
        <v>28.265650000000001</v>
      </c>
    </row>
    <row r="476" spans="1:7" ht="14.25" customHeight="1">
      <c r="A476" s="2" t="s">
        <v>15</v>
      </c>
      <c r="B476" s="2">
        <v>2017</v>
      </c>
      <c r="C476" s="2" t="s">
        <v>52</v>
      </c>
      <c r="D476" s="2">
        <v>25272.46</v>
      </c>
      <c r="E476" s="3">
        <f t="shared" si="2"/>
        <v>25.272459999999999</v>
      </c>
      <c r="G476" s="2">
        <f t="shared" si="3"/>
        <v>25.272459999999999</v>
      </c>
    </row>
    <row r="477" spans="1:7" ht="14.25" customHeight="1">
      <c r="A477" s="2" t="s">
        <v>15</v>
      </c>
      <c r="B477" s="2">
        <v>2018</v>
      </c>
      <c r="C477" s="2" t="s">
        <v>52</v>
      </c>
      <c r="D477" s="2">
        <v>24696.813999999998</v>
      </c>
      <c r="E477" s="3">
        <f t="shared" si="2"/>
        <v>24.696814</v>
      </c>
      <c r="G477" s="2">
        <f t="shared" si="3"/>
        <v>24.696814</v>
      </c>
    </row>
    <row r="478" spans="1:7" ht="14.25" customHeight="1">
      <c r="A478" s="2" t="s">
        <v>15</v>
      </c>
      <c r="B478" s="2">
        <v>1903</v>
      </c>
      <c r="C478" s="2" t="s">
        <v>23</v>
      </c>
      <c r="D478" s="2">
        <v>191452</v>
      </c>
      <c r="E478" s="3">
        <f t="shared" si="2"/>
        <v>191.452</v>
      </c>
      <c r="G478" s="2">
        <f t="shared" si="3"/>
        <v>191.452</v>
      </c>
    </row>
    <row r="479" spans="1:7" ht="14.25" customHeight="1">
      <c r="A479" s="2" t="s">
        <v>15</v>
      </c>
      <c r="B479" s="2">
        <v>1904</v>
      </c>
      <c r="C479" s="2" t="s">
        <v>23</v>
      </c>
      <c r="D479" s="2">
        <v>181003</v>
      </c>
      <c r="E479" s="3">
        <f t="shared" si="2"/>
        <v>181.00299999999999</v>
      </c>
      <c r="G479" s="2">
        <f t="shared" si="3"/>
        <v>181.00299999999999</v>
      </c>
    </row>
    <row r="480" spans="1:7" ht="14.25" customHeight="1">
      <c r="A480" s="2" t="s">
        <v>15</v>
      </c>
      <c r="B480" s="2">
        <v>1905</v>
      </c>
      <c r="C480" s="2" t="s">
        <v>23</v>
      </c>
      <c r="D480" s="2">
        <v>153000</v>
      </c>
      <c r="E480" s="3">
        <f t="shared" si="2"/>
        <v>153</v>
      </c>
      <c r="G480" s="2">
        <f t="shared" si="3"/>
        <v>153</v>
      </c>
    </row>
    <row r="481" spans="1:7" ht="14.25" customHeight="1">
      <c r="A481" s="2" t="s">
        <v>15</v>
      </c>
      <c r="B481" s="2">
        <v>1906</v>
      </c>
      <c r="C481" s="2" t="s">
        <v>23</v>
      </c>
      <c r="D481" s="2">
        <v>195978</v>
      </c>
      <c r="E481" s="3">
        <f t="shared" si="2"/>
        <v>195.97800000000001</v>
      </c>
      <c r="G481" s="2">
        <f t="shared" si="3"/>
        <v>195.97800000000001</v>
      </c>
    </row>
    <row r="482" spans="1:7" ht="14.25" customHeight="1">
      <c r="A482" s="2" t="s">
        <v>15</v>
      </c>
      <c r="B482" s="2">
        <v>1907</v>
      </c>
      <c r="C482" s="2" t="s">
        <v>23</v>
      </c>
      <c r="D482" s="2">
        <v>205514</v>
      </c>
      <c r="E482" s="3">
        <f t="shared" si="2"/>
        <v>205.51400000000001</v>
      </c>
      <c r="G482" s="2">
        <f t="shared" si="3"/>
        <v>205.51400000000001</v>
      </c>
    </row>
    <row r="483" spans="1:7" ht="14.25" customHeight="1">
      <c r="A483" s="2" t="s">
        <v>15</v>
      </c>
      <c r="B483" s="2">
        <v>1908</v>
      </c>
      <c r="C483" s="2" t="s">
        <v>23</v>
      </c>
      <c r="D483" s="2">
        <v>186220</v>
      </c>
      <c r="E483" s="3">
        <f t="shared" si="2"/>
        <v>186.22</v>
      </c>
      <c r="G483" s="2">
        <f t="shared" si="3"/>
        <v>186.22</v>
      </c>
    </row>
    <row r="484" spans="1:7" ht="14.25" customHeight="1">
      <c r="A484" s="2" t="s">
        <v>15</v>
      </c>
      <c r="B484" s="2">
        <v>1909</v>
      </c>
      <c r="C484" s="2" t="s">
        <v>23</v>
      </c>
      <c r="D484" s="2">
        <v>164683</v>
      </c>
      <c r="E484" s="3">
        <f t="shared" si="2"/>
        <v>164.68299999999999</v>
      </c>
      <c r="G484" s="2">
        <f t="shared" si="3"/>
        <v>164.68299999999999</v>
      </c>
    </row>
    <row r="485" spans="1:7" ht="14.25" customHeight="1">
      <c r="A485" s="2" t="s">
        <v>15</v>
      </c>
      <c r="B485" s="2">
        <v>1910</v>
      </c>
      <c r="C485" s="2" t="s">
        <v>23</v>
      </c>
      <c r="D485" s="2">
        <v>148557</v>
      </c>
      <c r="E485" s="3">
        <f t="shared" si="2"/>
        <v>148.55699999999999</v>
      </c>
      <c r="G485" s="2">
        <f t="shared" si="3"/>
        <v>148.55699999999999</v>
      </c>
    </row>
    <row r="486" spans="1:7" ht="14.25" customHeight="1">
      <c r="A486" s="2" t="s">
        <v>15</v>
      </c>
      <c r="B486" s="2">
        <v>1911</v>
      </c>
      <c r="C486" s="2" t="s">
        <v>23</v>
      </c>
      <c r="D486" s="2">
        <v>160307</v>
      </c>
      <c r="E486" s="3">
        <f t="shared" si="2"/>
        <v>160.30699999999999</v>
      </c>
      <c r="G486" s="2">
        <f t="shared" si="3"/>
        <v>160.30699999999999</v>
      </c>
    </row>
    <row r="487" spans="1:7" ht="14.25" customHeight="1">
      <c r="A487" s="2" t="s">
        <v>15</v>
      </c>
      <c r="B487" s="2">
        <v>1912</v>
      </c>
      <c r="C487" s="2" t="s">
        <v>23</v>
      </c>
      <c r="D487" s="2">
        <v>148159</v>
      </c>
      <c r="E487" s="3">
        <f t="shared" si="2"/>
        <v>148.15899999999999</v>
      </c>
      <c r="G487" s="2">
        <f t="shared" si="3"/>
        <v>148.15899999999999</v>
      </c>
    </row>
    <row r="488" spans="1:7" ht="14.25" customHeight="1">
      <c r="A488" s="2" t="s">
        <v>15</v>
      </c>
      <c r="B488" s="2">
        <v>1913</v>
      </c>
      <c r="C488" s="2" t="s">
        <v>23</v>
      </c>
      <c r="D488" s="2">
        <v>114548</v>
      </c>
      <c r="E488" s="3">
        <f t="shared" si="2"/>
        <v>114.548</v>
      </c>
      <c r="G488" s="2">
        <f t="shared" si="3"/>
        <v>114.548</v>
      </c>
    </row>
    <row r="489" spans="1:7" ht="14.25" customHeight="1">
      <c r="A489" s="2" t="s">
        <v>15</v>
      </c>
      <c r="B489" s="2">
        <v>1914</v>
      </c>
      <c r="C489" s="2" t="s">
        <v>23</v>
      </c>
      <c r="D489" s="2">
        <v>105118</v>
      </c>
      <c r="E489" s="3">
        <f t="shared" si="2"/>
        <v>105.11799999999999</v>
      </c>
      <c r="G489" s="2">
        <f t="shared" si="3"/>
        <v>105.11799999999999</v>
      </c>
    </row>
    <row r="490" spans="1:7" ht="14.25" customHeight="1">
      <c r="A490" s="2" t="s">
        <v>15</v>
      </c>
      <c r="B490" s="2">
        <v>1915</v>
      </c>
      <c r="C490" s="2" t="s">
        <v>23</v>
      </c>
      <c r="D490" s="2">
        <v>89033</v>
      </c>
      <c r="E490" s="3">
        <f t="shared" si="2"/>
        <v>89.033000000000001</v>
      </c>
      <c r="G490" s="2">
        <f t="shared" si="3"/>
        <v>89.033000000000001</v>
      </c>
    </row>
    <row r="491" spans="1:7" ht="14.25" customHeight="1">
      <c r="A491" s="2" t="s">
        <v>15</v>
      </c>
      <c r="B491" s="2">
        <v>1916</v>
      </c>
      <c r="C491" s="2" t="s">
        <v>23</v>
      </c>
      <c r="D491" s="2">
        <v>62792</v>
      </c>
      <c r="E491" s="3">
        <f t="shared" si="2"/>
        <v>62.792000000000002</v>
      </c>
      <c r="G491" s="2">
        <f t="shared" si="3"/>
        <v>62.792000000000002</v>
      </c>
    </row>
    <row r="492" spans="1:7" ht="14.25" customHeight="1">
      <c r="A492" s="2" t="s">
        <v>15</v>
      </c>
      <c r="B492" s="2">
        <v>1917</v>
      </c>
      <c r="C492" s="2" t="s">
        <v>23</v>
      </c>
      <c r="D492" s="2">
        <v>64751</v>
      </c>
      <c r="E492" s="3">
        <f t="shared" si="2"/>
        <v>64.751000000000005</v>
      </c>
      <c r="G492" s="2">
        <f t="shared" si="3"/>
        <v>64.751000000000005</v>
      </c>
    </row>
    <row r="493" spans="1:7" ht="14.25" customHeight="1">
      <c r="A493" s="2" t="s">
        <v>15</v>
      </c>
      <c r="B493" s="2">
        <v>1918</v>
      </c>
      <c r="C493" s="2" t="s">
        <v>23</v>
      </c>
      <c r="D493" s="2">
        <v>84909</v>
      </c>
      <c r="E493" s="3">
        <f t="shared" si="2"/>
        <v>84.909000000000006</v>
      </c>
      <c r="G493" s="2">
        <f t="shared" si="3"/>
        <v>84.909000000000006</v>
      </c>
    </row>
    <row r="494" spans="1:7" ht="14.25" customHeight="1">
      <c r="A494" s="2" t="s">
        <v>15</v>
      </c>
      <c r="B494" s="2">
        <v>1919</v>
      </c>
      <c r="C494" s="2" t="s">
        <v>23</v>
      </c>
      <c r="D494" s="2">
        <v>154390</v>
      </c>
      <c r="E494" s="3">
        <f t="shared" si="2"/>
        <v>154.38999999999999</v>
      </c>
      <c r="G494" s="2">
        <f t="shared" si="3"/>
        <v>154.38999999999999</v>
      </c>
    </row>
    <row r="495" spans="1:7" ht="14.25" customHeight="1">
      <c r="A495" s="2" t="s">
        <v>15</v>
      </c>
      <c r="B495" s="2">
        <v>1920</v>
      </c>
      <c r="C495" s="2" t="s">
        <v>23</v>
      </c>
      <c r="D495" s="2">
        <v>200166</v>
      </c>
      <c r="E495" s="3">
        <f t="shared" si="2"/>
        <v>200.166</v>
      </c>
      <c r="G495" s="2">
        <f t="shared" si="3"/>
        <v>200.166</v>
      </c>
    </row>
    <row r="496" spans="1:7" ht="14.25" customHeight="1">
      <c r="A496" s="2" t="s">
        <v>15</v>
      </c>
      <c r="B496" s="2">
        <v>1921</v>
      </c>
      <c r="C496" s="2" t="s">
        <v>23</v>
      </c>
      <c r="D496" s="2">
        <v>159803</v>
      </c>
      <c r="E496" s="3">
        <f t="shared" si="2"/>
        <v>159.803</v>
      </c>
      <c r="G496" s="2">
        <f t="shared" si="3"/>
        <v>159.803</v>
      </c>
    </row>
    <row r="497" spans="1:7" ht="14.25" customHeight="1">
      <c r="A497" s="2" t="s">
        <v>15</v>
      </c>
      <c r="B497" s="2">
        <v>1922</v>
      </c>
      <c r="C497" s="2" t="s">
        <v>23</v>
      </c>
      <c r="D497" s="2">
        <v>176322</v>
      </c>
      <c r="E497" s="3">
        <f t="shared" si="2"/>
        <v>176.322</v>
      </c>
      <c r="G497" s="2">
        <f t="shared" si="3"/>
        <v>176.322</v>
      </c>
    </row>
    <row r="498" spans="1:7" ht="14.25" customHeight="1">
      <c r="A498" s="2" t="s">
        <v>15</v>
      </c>
      <c r="B498" s="2">
        <v>1923</v>
      </c>
      <c r="C498" s="2" t="s">
        <v>23</v>
      </c>
      <c r="D498" s="2">
        <v>146565</v>
      </c>
      <c r="E498" s="3">
        <f t="shared" si="2"/>
        <v>146.565</v>
      </c>
      <c r="G498" s="2">
        <f t="shared" si="3"/>
        <v>146.565</v>
      </c>
    </row>
    <row r="499" spans="1:7" ht="14.25" customHeight="1">
      <c r="A499" s="2" t="s">
        <v>15</v>
      </c>
      <c r="B499" s="2">
        <v>1924</v>
      </c>
      <c r="C499" s="2" t="s">
        <v>23</v>
      </c>
      <c r="D499" s="2">
        <v>135217</v>
      </c>
      <c r="E499" s="3">
        <f t="shared" si="2"/>
        <v>135.21700000000001</v>
      </c>
      <c r="G499" s="2">
        <f t="shared" si="3"/>
        <v>135.21700000000001</v>
      </c>
    </row>
    <row r="500" spans="1:7" ht="14.25" customHeight="1">
      <c r="A500" s="2" t="s">
        <v>15</v>
      </c>
      <c r="B500" s="2">
        <v>1925</v>
      </c>
      <c r="C500" s="2" t="s">
        <v>23</v>
      </c>
      <c r="D500" s="2">
        <v>166077</v>
      </c>
      <c r="E500" s="3">
        <f t="shared" si="2"/>
        <v>166.077</v>
      </c>
      <c r="G500" s="2">
        <f t="shared" si="3"/>
        <v>166.077</v>
      </c>
    </row>
    <row r="501" spans="1:7" ht="14.25" customHeight="1">
      <c r="A501" s="2" t="s">
        <v>15</v>
      </c>
      <c r="B501" s="2">
        <v>1926</v>
      </c>
      <c r="C501" s="2" t="s">
        <v>23</v>
      </c>
      <c r="D501" s="2">
        <v>151289</v>
      </c>
      <c r="E501" s="3">
        <f t="shared" si="2"/>
        <v>151.28899999999999</v>
      </c>
      <c r="G501" s="2">
        <f t="shared" si="3"/>
        <v>151.28899999999999</v>
      </c>
    </row>
    <row r="502" spans="1:7" ht="14.25" customHeight="1">
      <c r="A502" s="2" t="s">
        <v>15</v>
      </c>
      <c r="B502" s="2">
        <v>1927</v>
      </c>
      <c r="C502" s="2" t="s">
        <v>23</v>
      </c>
      <c r="D502" s="2">
        <v>153971</v>
      </c>
      <c r="E502" s="3">
        <f t="shared" si="2"/>
        <v>153.971</v>
      </c>
      <c r="G502" s="2">
        <f t="shared" si="3"/>
        <v>153.971</v>
      </c>
    </row>
    <row r="503" spans="1:7" ht="14.25" customHeight="1">
      <c r="A503" s="2" t="s">
        <v>15</v>
      </c>
      <c r="B503" s="2">
        <v>1928</v>
      </c>
      <c r="C503" s="2" t="s">
        <v>23</v>
      </c>
      <c r="D503" s="2">
        <v>149220</v>
      </c>
      <c r="E503" s="3">
        <f t="shared" si="2"/>
        <v>149.22</v>
      </c>
      <c r="G503" s="2">
        <f t="shared" si="3"/>
        <v>149.22</v>
      </c>
    </row>
    <row r="504" spans="1:7" ht="14.25" customHeight="1">
      <c r="A504" s="2" t="s">
        <v>15</v>
      </c>
      <c r="B504" s="2">
        <v>1929</v>
      </c>
      <c r="C504" s="2" t="s">
        <v>23</v>
      </c>
      <c r="D504" s="2">
        <v>154042</v>
      </c>
      <c r="E504" s="3">
        <f t="shared" si="2"/>
        <v>154.042</v>
      </c>
      <c r="G504" s="2">
        <f t="shared" si="3"/>
        <v>154.042</v>
      </c>
    </row>
    <row r="505" spans="1:7" ht="14.25" customHeight="1">
      <c r="A505" s="2" t="s">
        <v>15</v>
      </c>
      <c r="B505" s="2">
        <v>1930</v>
      </c>
      <c r="C505" s="2" t="s">
        <v>23</v>
      </c>
      <c r="D505" s="2">
        <v>177488</v>
      </c>
      <c r="E505" s="3">
        <f t="shared" si="2"/>
        <v>177.488</v>
      </c>
      <c r="G505" s="2">
        <f t="shared" si="3"/>
        <v>177.488</v>
      </c>
    </row>
    <row r="506" spans="1:7" ht="14.25" customHeight="1">
      <c r="A506" s="2" t="s">
        <v>15</v>
      </c>
      <c r="B506" s="2">
        <v>1931</v>
      </c>
      <c r="C506" s="2" t="s">
        <v>23</v>
      </c>
      <c r="D506" s="2">
        <v>154575</v>
      </c>
      <c r="E506" s="3">
        <f t="shared" si="2"/>
        <v>154.57499999999999</v>
      </c>
      <c r="G506" s="2">
        <f t="shared" si="3"/>
        <v>154.57499999999999</v>
      </c>
    </row>
    <row r="507" spans="1:7" ht="14.25" customHeight="1">
      <c r="A507" s="2" t="s">
        <v>15</v>
      </c>
      <c r="B507" s="2">
        <v>1932</v>
      </c>
      <c r="C507" s="2" t="s">
        <v>23</v>
      </c>
      <c r="D507" s="2">
        <v>145541</v>
      </c>
      <c r="E507" s="3">
        <f t="shared" si="2"/>
        <v>145.541</v>
      </c>
      <c r="G507" s="2">
        <f t="shared" si="3"/>
        <v>145.541</v>
      </c>
    </row>
    <row r="508" spans="1:7" ht="14.25" customHeight="1">
      <c r="A508" s="2" t="s">
        <v>15</v>
      </c>
      <c r="B508" s="2">
        <v>1933</v>
      </c>
      <c r="C508" s="2" t="s">
        <v>23</v>
      </c>
      <c r="D508" s="2">
        <v>140591</v>
      </c>
      <c r="E508" s="3">
        <f t="shared" si="2"/>
        <v>140.59100000000001</v>
      </c>
      <c r="G508" s="2">
        <f t="shared" si="3"/>
        <v>140.59100000000001</v>
      </c>
    </row>
    <row r="509" spans="1:7" ht="14.25" customHeight="1">
      <c r="A509" s="2" t="s">
        <v>15</v>
      </c>
      <c r="B509" s="2">
        <v>1934</v>
      </c>
      <c r="C509" s="2" t="s">
        <v>23</v>
      </c>
      <c r="D509" s="2">
        <v>117306</v>
      </c>
      <c r="E509" s="3">
        <f t="shared" si="2"/>
        <v>117.306</v>
      </c>
      <c r="G509" s="2">
        <f t="shared" si="3"/>
        <v>117.306</v>
      </c>
    </row>
    <row r="510" spans="1:7" ht="14.25" customHeight="1">
      <c r="A510" s="2" t="s">
        <v>15</v>
      </c>
      <c r="B510" s="2">
        <v>1935</v>
      </c>
      <c r="C510" s="2" t="s">
        <v>23</v>
      </c>
      <c r="D510" s="2">
        <v>111983</v>
      </c>
      <c r="E510" s="3">
        <f t="shared" si="2"/>
        <v>111.983</v>
      </c>
      <c r="G510" s="2">
        <f t="shared" si="3"/>
        <v>111.983</v>
      </c>
    </row>
    <row r="511" spans="1:7" ht="14.25" customHeight="1">
      <c r="A511" s="2" t="s">
        <v>15</v>
      </c>
      <c r="B511" s="2">
        <v>1936</v>
      </c>
      <c r="C511" s="2" t="s">
        <v>23</v>
      </c>
      <c r="D511" s="2">
        <v>117932</v>
      </c>
      <c r="E511" s="3">
        <f t="shared" si="2"/>
        <v>117.932</v>
      </c>
      <c r="G511" s="2">
        <f t="shared" si="3"/>
        <v>117.932</v>
      </c>
    </row>
    <row r="512" spans="1:7" ht="14.25" customHeight="1">
      <c r="A512" s="2" t="s">
        <v>15</v>
      </c>
      <c r="B512" s="2">
        <v>1937</v>
      </c>
      <c r="C512" s="2" t="s">
        <v>23</v>
      </c>
      <c r="D512" s="2">
        <v>151418</v>
      </c>
      <c r="E512" s="3">
        <f t="shared" ref="E512:E766" si="4">D512/1000</f>
        <v>151.41800000000001</v>
      </c>
      <c r="G512" s="2">
        <f t="shared" ref="G512:G766" si="5">E512+F512</f>
        <v>151.41800000000001</v>
      </c>
    </row>
    <row r="513" spans="1:7" ht="14.25" customHeight="1">
      <c r="A513" s="2" t="s">
        <v>15</v>
      </c>
      <c r="B513" s="2">
        <v>1938</v>
      </c>
      <c r="C513" s="2" t="s">
        <v>23</v>
      </c>
      <c r="D513" s="2">
        <v>145450</v>
      </c>
      <c r="E513" s="3">
        <f t="shared" si="4"/>
        <v>145.44999999999999</v>
      </c>
      <c r="G513" s="2">
        <f t="shared" si="5"/>
        <v>145.44999999999999</v>
      </c>
    </row>
    <row r="514" spans="1:7" ht="14.25" customHeight="1">
      <c r="A514" s="2" t="s">
        <v>15</v>
      </c>
      <c r="B514" s="2">
        <v>1939</v>
      </c>
      <c r="C514" s="2" t="s">
        <v>23</v>
      </c>
      <c r="D514" s="2">
        <v>114242</v>
      </c>
      <c r="E514" s="3">
        <f t="shared" si="4"/>
        <v>114.242</v>
      </c>
      <c r="G514" s="2">
        <f t="shared" si="5"/>
        <v>114.242</v>
      </c>
    </row>
    <row r="515" spans="1:7" ht="14.25" customHeight="1">
      <c r="A515" s="2" t="s">
        <v>15</v>
      </c>
      <c r="B515" s="2">
        <v>1940</v>
      </c>
      <c r="C515" s="2" t="s">
        <v>23</v>
      </c>
      <c r="D515" s="2">
        <v>50055</v>
      </c>
      <c r="E515" s="3">
        <f t="shared" si="4"/>
        <v>50.055</v>
      </c>
      <c r="G515" s="2">
        <f t="shared" si="5"/>
        <v>50.055</v>
      </c>
    </row>
    <row r="516" spans="1:7" ht="14.25" customHeight="1">
      <c r="A516" s="2" t="s">
        <v>15</v>
      </c>
      <c r="B516" s="2">
        <v>1941</v>
      </c>
      <c r="C516" s="2" t="s">
        <v>23</v>
      </c>
      <c r="D516" s="2">
        <v>36391</v>
      </c>
      <c r="E516" s="3">
        <f t="shared" si="4"/>
        <v>36.390999999999998</v>
      </c>
      <c r="G516" s="2">
        <f t="shared" si="5"/>
        <v>36.390999999999998</v>
      </c>
    </row>
    <row r="517" spans="1:7" ht="14.25" customHeight="1">
      <c r="A517" s="2" t="s">
        <v>15</v>
      </c>
      <c r="B517" s="2">
        <v>1942</v>
      </c>
      <c r="C517" s="2" t="s">
        <v>23</v>
      </c>
      <c r="D517" s="2">
        <v>39461</v>
      </c>
      <c r="E517" s="3">
        <f t="shared" si="4"/>
        <v>39.460999999999999</v>
      </c>
      <c r="G517" s="2">
        <f t="shared" si="5"/>
        <v>39.460999999999999</v>
      </c>
    </row>
    <row r="518" spans="1:7" ht="14.25" customHeight="1">
      <c r="A518" s="2" t="s">
        <v>15</v>
      </c>
      <c r="B518" s="2">
        <v>1943</v>
      </c>
      <c r="C518" s="2" t="s">
        <v>23</v>
      </c>
      <c r="D518" s="2">
        <v>31614</v>
      </c>
      <c r="E518" s="3">
        <f t="shared" si="4"/>
        <v>31.614000000000001</v>
      </c>
      <c r="G518" s="2">
        <f t="shared" si="5"/>
        <v>31.614000000000001</v>
      </c>
    </row>
    <row r="519" spans="1:7" ht="14.25" customHeight="1">
      <c r="A519" s="2" t="s">
        <v>15</v>
      </c>
      <c r="B519" s="2">
        <v>1944</v>
      </c>
      <c r="C519" s="2" t="s">
        <v>23</v>
      </c>
      <c r="D519" s="2">
        <v>30072</v>
      </c>
      <c r="E519" s="3">
        <f t="shared" si="4"/>
        <v>30.071999999999999</v>
      </c>
      <c r="G519" s="2">
        <f t="shared" si="5"/>
        <v>30.071999999999999</v>
      </c>
    </row>
    <row r="520" spans="1:7" ht="14.25" customHeight="1">
      <c r="A520" s="2" t="s">
        <v>15</v>
      </c>
      <c r="B520" s="2">
        <v>1945</v>
      </c>
      <c r="C520" s="2" t="s">
        <v>23</v>
      </c>
      <c r="D520" s="2">
        <v>59008</v>
      </c>
      <c r="E520" s="3">
        <f t="shared" si="4"/>
        <v>59.008000000000003</v>
      </c>
      <c r="G520" s="2">
        <f t="shared" si="5"/>
        <v>59.008000000000003</v>
      </c>
    </row>
    <row r="521" spans="1:7" ht="14.25" customHeight="1">
      <c r="A521" s="2" t="s">
        <v>15</v>
      </c>
      <c r="B521" s="2">
        <v>1946</v>
      </c>
      <c r="C521" s="2" t="s">
        <v>23</v>
      </c>
      <c r="D521" s="2">
        <v>146007</v>
      </c>
      <c r="E521" s="3">
        <f t="shared" si="4"/>
        <v>146.00700000000001</v>
      </c>
      <c r="G521" s="2">
        <f t="shared" si="5"/>
        <v>146.00700000000001</v>
      </c>
    </row>
    <row r="522" spans="1:7" ht="14.25" customHeight="1">
      <c r="A522" s="2" t="s">
        <v>15</v>
      </c>
      <c r="B522" s="2">
        <v>1947</v>
      </c>
      <c r="C522" s="2" t="s">
        <v>23</v>
      </c>
      <c r="D522" s="2">
        <v>160364</v>
      </c>
      <c r="E522" s="3">
        <f t="shared" si="4"/>
        <v>160.364</v>
      </c>
      <c r="G522" s="2">
        <f t="shared" si="5"/>
        <v>160.364</v>
      </c>
    </row>
    <row r="523" spans="1:7" ht="14.25" customHeight="1">
      <c r="A523" s="2" t="s">
        <v>15</v>
      </c>
      <c r="B523" s="2">
        <v>1948</v>
      </c>
      <c r="C523" s="2" t="s">
        <v>23</v>
      </c>
      <c r="D523" s="2">
        <v>131041</v>
      </c>
      <c r="E523" s="3">
        <f t="shared" si="4"/>
        <v>131.041</v>
      </c>
      <c r="G523" s="2">
        <f t="shared" si="5"/>
        <v>131.041</v>
      </c>
    </row>
    <row r="524" spans="1:7" ht="14.25" customHeight="1">
      <c r="A524" s="2" t="s">
        <v>15</v>
      </c>
      <c r="B524" s="2">
        <v>1949</v>
      </c>
      <c r="C524" s="2" t="s">
        <v>23</v>
      </c>
      <c r="D524" s="2">
        <v>133183</v>
      </c>
      <c r="E524" s="3">
        <f t="shared" si="4"/>
        <v>133.18299999999999</v>
      </c>
      <c r="G524" s="2">
        <f t="shared" si="5"/>
        <v>133.18299999999999</v>
      </c>
    </row>
    <row r="525" spans="1:7" ht="14.25" customHeight="1">
      <c r="A525" s="2" t="s">
        <v>15</v>
      </c>
      <c r="B525" s="2">
        <v>1950</v>
      </c>
      <c r="C525" s="2" t="s">
        <v>23</v>
      </c>
      <c r="D525" s="2">
        <v>128432</v>
      </c>
      <c r="E525" s="3">
        <f t="shared" si="4"/>
        <v>128.43199999999999</v>
      </c>
      <c r="F525" s="2">
        <v>0</v>
      </c>
      <c r="G525" s="2">
        <f t="shared" si="5"/>
        <v>128.43199999999999</v>
      </c>
    </row>
    <row r="526" spans="1:7" ht="14.25" customHeight="1">
      <c r="A526" s="2" t="s">
        <v>15</v>
      </c>
      <c r="B526" s="2">
        <v>1951</v>
      </c>
      <c r="C526" s="2" t="s">
        <v>23</v>
      </c>
      <c r="D526" s="2">
        <v>139471</v>
      </c>
      <c r="E526" s="3">
        <f t="shared" si="4"/>
        <v>139.471</v>
      </c>
      <c r="F526" s="2">
        <v>0</v>
      </c>
      <c r="G526" s="2">
        <f t="shared" si="5"/>
        <v>139.471</v>
      </c>
    </row>
    <row r="527" spans="1:7" ht="14.25" customHeight="1">
      <c r="A527" s="2" t="s">
        <v>15</v>
      </c>
      <c r="B527" s="2">
        <v>1952</v>
      </c>
      <c r="C527" s="2" t="s">
        <v>23</v>
      </c>
      <c r="D527" s="2">
        <v>128139</v>
      </c>
      <c r="E527" s="3">
        <f t="shared" si="4"/>
        <v>128.13900000000001</v>
      </c>
      <c r="F527" s="2">
        <v>0</v>
      </c>
      <c r="G527" s="2">
        <f t="shared" si="5"/>
        <v>128.13900000000001</v>
      </c>
    </row>
    <row r="528" spans="1:7" ht="14.25" customHeight="1">
      <c r="A528" s="2" t="s">
        <v>15</v>
      </c>
      <c r="B528" s="2">
        <v>1953</v>
      </c>
      <c r="C528" s="2" t="s">
        <v>23</v>
      </c>
      <c r="D528" s="2">
        <v>136076</v>
      </c>
      <c r="E528" s="3">
        <f t="shared" si="4"/>
        <v>136.07599999999999</v>
      </c>
      <c r="F528" s="2">
        <v>0</v>
      </c>
      <c r="G528" s="2">
        <f t="shared" si="5"/>
        <v>136.07599999999999</v>
      </c>
    </row>
    <row r="529" spans="1:7" ht="14.25" customHeight="1">
      <c r="A529" s="2" t="s">
        <v>15</v>
      </c>
      <c r="B529" s="2">
        <v>1954</v>
      </c>
      <c r="C529" s="2" t="s">
        <v>23</v>
      </c>
      <c r="D529" s="2">
        <v>144855</v>
      </c>
      <c r="E529" s="3">
        <f t="shared" si="4"/>
        <v>144.85499999999999</v>
      </c>
      <c r="F529" s="2">
        <v>0</v>
      </c>
      <c r="G529" s="2">
        <f t="shared" si="5"/>
        <v>144.85499999999999</v>
      </c>
    </row>
    <row r="530" spans="1:7" ht="14.25" customHeight="1">
      <c r="A530" s="2" t="s">
        <v>15</v>
      </c>
      <c r="B530" s="2">
        <v>1955</v>
      </c>
      <c r="C530" s="2" t="s">
        <v>23</v>
      </c>
      <c r="D530" s="2">
        <v>166902</v>
      </c>
      <c r="E530" s="3">
        <f t="shared" si="4"/>
        <v>166.90199999999999</v>
      </c>
      <c r="F530" s="2">
        <v>0</v>
      </c>
      <c r="G530" s="2">
        <f t="shared" si="5"/>
        <v>166.90199999999999</v>
      </c>
    </row>
    <row r="531" spans="1:7" ht="14.25" customHeight="1">
      <c r="A531" s="2" t="s">
        <v>15</v>
      </c>
      <c r="B531" s="2">
        <v>1956</v>
      </c>
      <c r="C531" s="2" t="s">
        <v>23</v>
      </c>
      <c r="D531" s="2">
        <v>171049</v>
      </c>
      <c r="E531" s="3">
        <f t="shared" si="4"/>
        <v>171.04900000000001</v>
      </c>
      <c r="F531" s="2">
        <v>0</v>
      </c>
      <c r="G531" s="2">
        <f t="shared" si="5"/>
        <v>171.04900000000001</v>
      </c>
    </row>
    <row r="532" spans="1:7" ht="14.25" customHeight="1">
      <c r="A532" s="2" t="s">
        <v>15</v>
      </c>
      <c r="B532" s="2">
        <v>1957</v>
      </c>
      <c r="C532" s="2" t="s">
        <v>23</v>
      </c>
      <c r="D532" s="2">
        <v>181023</v>
      </c>
      <c r="E532" s="3">
        <f t="shared" si="4"/>
        <v>181.023</v>
      </c>
      <c r="F532" s="2">
        <v>0</v>
      </c>
      <c r="G532" s="2">
        <f t="shared" si="5"/>
        <v>181.023</v>
      </c>
    </row>
    <row r="533" spans="1:7" ht="14.25" customHeight="1">
      <c r="A533" s="2" t="s">
        <v>15</v>
      </c>
      <c r="B533" s="2">
        <v>1958</v>
      </c>
      <c r="C533" s="2" t="s">
        <v>23</v>
      </c>
      <c r="D533" s="2">
        <v>165859</v>
      </c>
      <c r="E533" s="3">
        <f t="shared" si="4"/>
        <v>165.85900000000001</v>
      </c>
      <c r="F533" s="2">
        <v>0</v>
      </c>
      <c r="G533" s="2">
        <f t="shared" si="5"/>
        <v>165.85900000000001</v>
      </c>
    </row>
    <row r="534" spans="1:7" ht="14.25" customHeight="1">
      <c r="A534" s="2" t="s">
        <v>15</v>
      </c>
      <c r="B534" s="2">
        <v>1959</v>
      </c>
      <c r="C534" s="2" t="s">
        <v>23</v>
      </c>
      <c r="D534" s="2">
        <v>140506</v>
      </c>
      <c r="E534" s="3">
        <f t="shared" si="4"/>
        <v>140.506</v>
      </c>
      <c r="F534" s="2">
        <v>0</v>
      </c>
      <c r="G534" s="2">
        <f t="shared" si="5"/>
        <v>140.506</v>
      </c>
    </row>
    <row r="535" spans="1:7" ht="14.25" customHeight="1">
      <c r="A535" s="2" t="s">
        <v>15</v>
      </c>
      <c r="B535" s="2">
        <v>1960</v>
      </c>
      <c r="C535" s="2" t="s">
        <v>23</v>
      </c>
      <c r="D535" s="2">
        <v>155948</v>
      </c>
      <c r="E535" s="3">
        <f t="shared" si="4"/>
        <v>155.94800000000001</v>
      </c>
      <c r="F535" s="2">
        <v>0</v>
      </c>
      <c r="G535" s="2">
        <f t="shared" si="5"/>
        <v>155.94800000000001</v>
      </c>
    </row>
    <row r="536" spans="1:7" ht="14.25" customHeight="1">
      <c r="A536" s="2" t="s">
        <v>15</v>
      </c>
      <c r="B536" s="2">
        <v>1961</v>
      </c>
      <c r="C536" s="2" t="s">
        <v>23</v>
      </c>
      <c r="D536" s="2">
        <v>152617</v>
      </c>
      <c r="E536" s="3">
        <f t="shared" si="4"/>
        <v>152.61699999999999</v>
      </c>
      <c r="F536" s="2">
        <v>0</v>
      </c>
      <c r="G536" s="2">
        <f t="shared" si="5"/>
        <v>152.61699999999999</v>
      </c>
    </row>
    <row r="537" spans="1:7" ht="14.25" customHeight="1">
      <c r="A537" s="2" t="s">
        <v>15</v>
      </c>
      <c r="B537" s="2">
        <v>1962</v>
      </c>
      <c r="C537" s="2" t="s">
        <v>23</v>
      </c>
      <c r="D537" s="2">
        <v>160642</v>
      </c>
      <c r="E537" s="3">
        <f t="shared" si="4"/>
        <v>160.642</v>
      </c>
      <c r="F537" s="2">
        <v>0</v>
      </c>
      <c r="G537" s="2">
        <f t="shared" si="5"/>
        <v>160.642</v>
      </c>
    </row>
    <row r="538" spans="1:7" ht="14.25" customHeight="1">
      <c r="A538" s="2" t="s">
        <v>15</v>
      </c>
      <c r="B538" s="2">
        <v>1963</v>
      </c>
      <c r="C538" s="2" t="s">
        <v>23</v>
      </c>
      <c r="D538" s="2">
        <v>142044</v>
      </c>
      <c r="E538" s="3">
        <f t="shared" si="4"/>
        <v>142.04400000000001</v>
      </c>
      <c r="F538" s="2">
        <v>0</v>
      </c>
      <c r="G538" s="2">
        <f t="shared" si="5"/>
        <v>142.04400000000001</v>
      </c>
    </row>
    <row r="539" spans="1:7" ht="14.25" customHeight="1">
      <c r="A539" s="2" t="s">
        <v>15</v>
      </c>
      <c r="B539" s="2">
        <v>1964</v>
      </c>
      <c r="C539" s="2" t="s">
        <v>23</v>
      </c>
      <c r="D539" s="2">
        <v>173030</v>
      </c>
      <c r="E539" s="3">
        <f t="shared" si="4"/>
        <v>173.03</v>
      </c>
      <c r="F539" s="2">
        <v>0</v>
      </c>
      <c r="G539" s="2">
        <f t="shared" si="5"/>
        <v>173.03</v>
      </c>
    </row>
    <row r="540" spans="1:7" ht="14.25" customHeight="1">
      <c r="A540" s="2" t="s">
        <v>15</v>
      </c>
      <c r="B540" s="2">
        <v>1965</v>
      </c>
      <c r="C540" s="2" t="s">
        <v>23</v>
      </c>
      <c r="D540" s="2">
        <v>193370</v>
      </c>
      <c r="E540" s="3">
        <f t="shared" si="4"/>
        <v>193.37</v>
      </c>
      <c r="F540" s="2">
        <v>0</v>
      </c>
      <c r="G540" s="2">
        <f t="shared" si="5"/>
        <v>193.37</v>
      </c>
    </row>
    <row r="541" spans="1:7" ht="14.25" customHeight="1">
      <c r="A541" s="2" t="s">
        <v>15</v>
      </c>
      <c r="B541" s="2">
        <v>1966</v>
      </c>
      <c r="C541" s="2" t="s">
        <v>23</v>
      </c>
      <c r="D541" s="2">
        <v>175048</v>
      </c>
      <c r="E541" s="3">
        <f t="shared" si="4"/>
        <v>175.048</v>
      </c>
      <c r="F541" s="2">
        <v>0</v>
      </c>
      <c r="G541" s="2">
        <f t="shared" si="5"/>
        <v>175.048</v>
      </c>
    </row>
    <row r="542" spans="1:7" ht="14.25" customHeight="1">
      <c r="A542" s="2" t="s">
        <v>15</v>
      </c>
      <c r="B542" s="2">
        <v>1967</v>
      </c>
      <c r="C542" s="2" t="s">
        <v>23</v>
      </c>
      <c r="D542" s="2">
        <v>147860</v>
      </c>
      <c r="E542" s="3">
        <f t="shared" si="4"/>
        <v>147.86000000000001</v>
      </c>
      <c r="F542" s="2">
        <v>0</v>
      </c>
      <c r="G542" s="2">
        <f t="shared" si="5"/>
        <v>147.86000000000001</v>
      </c>
    </row>
    <row r="543" spans="1:7" ht="14.25" customHeight="1">
      <c r="A543" s="2" t="s">
        <v>15</v>
      </c>
      <c r="B543" s="2">
        <v>1968</v>
      </c>
      <c r="C543" s="2" t="s">
        <v>23</v>
      </c>
      <c r="D543" s="2">
        <v>155462</v>
      </c>
      <c r="E543" s="3">
        <f t="shared" si="4"/>
        <v>155.46199999999999</v>
      </c>
      <c r="F543" s="2">
        <v>0</v>
      </c>
      <c r="G543" s="2">
        <f t="shared" si="5"/>
        <v>155.46199999999999</v>
      </c>
    </row>
    <row r="544" spans="1:7" ht="14.25" customHeight="1">
      <c r="A544" s="2" t="s">
        <v>15</v>
      </c>
      <c r="B544" s="2">
        <v>1969</v>
      </c>
      <c r="C544" s="2" t="s">
        <v>23</v>
      </c>
      <c r="D544" s="2">
        <v>165029</v>
      </c>
      <c r="E544" s="3">
        <f t="shared" si="4"/>
        <v>165.029</v>
      </c>
      <c r="F544" s="2">
        <v>0</v>
      </c>
      <c r="G544" s="2">
        <f t="shared" si="5"/>
        <v>165.029</v>
      </c>
    </row>
    <row r="545" spans="1:7" ht="14.25" customHeight="1">
      <c r="A545" s="2" t="s">
        <v>15</v>
      </c>
      <c r="B545" s="2">
        <v>1970</v>
      </c>
      <c r="C545" s="2" t="s">
        <v>23</v>
      </c>
      <c r="D545" s="2">
        <v>201587</v>
      </c>
      <c r="E545" s="3">
        <f t="shared" si="4"/>
        <v>201.58699999999999</v>
      </c>
      <c r="F545" s="2">
        <v>0</v>
      </c>
      <c r="G545" s="2">
        <f t="shared" si="5"/>
        <v>201.58699999999999</v>
      </c>
    </row>
    <row r="546" spans="1:7" ht="14.25" customHeight="1">
      <c r="A546" s="2" t="s">
        <v>15</v>
      </c>
      <c r="B546" s="2">
        <v>1971</v>
      </c>
      <c r="C546" s="2" t="s">
        <v>23</v>
      </c>
      <c r="D546" s="2">
        <v>206784</v>
      </c>
      <c r="E546" s="3">
        <f t="shared" si="4"/>
        <v>206.78399999999999</v>
      </c>
      <c r="F546" s="2">
        <v>0</v>
      </c>
      <c r="G546" s="2">
        <f t="shared" si="5"/>
        <v>206.78399999999999</v>
      </c>
    </row>
    <row r="547" spans="1:7" ht="14.25" customHeight="1">
      <c r="A547" s="2" t="s">
        <v>15</v>
      </c>
      <c r="B547" s="2">
        <v>1972</v>
      </c>
      <c r="C547" s="2" t="s">
        <v>23</v>
      </c>
      <c r="D547" s="2">
        <v>179157</v>
      </c>
      <c r="E547" s="3">
        <f t="shared" si="4"/>
        <v>179.15700000000001</v>
      </c>
      <c r="F547" s="2">
        <v>0</v>
      </c>
      <c r="G547" s="2">
        <f t="shared" si="5"/>
        <v>179.15700000000001</v>
      </c>
    </row>
    <row r="548" spans="1:7" ht="14.25" customHeight="1">
      <c r="A548" s="2" t="s">
        <v>15</v>
      </c>
      <c r="B548" s="2">
        <v>1973</v>
      </c>
      <c r="C548" s="2" t="s">
        <v>23</v>
      </c>
      <c r="D548" s="2">
        <v>171884</v>
      </c>
      <c r="E548" s="3">
        <f t="shared" si="4"/>
        <v>171.88399999999999</v>
      </c>
      <c r="F548" s="2">
        <v>0</v>
      </c>
      <c r="G548" s="2">
        <f t="shared" si="5"/>
        <v>171.88399999999999</v>
      </c>
    </row>
    <row r="549" spans="1:7" ht="14.25" customHeight="1">
      <c r="A549" s="2" t="s">
        <v>15</v>
      </c>
      <c r="B549" s="2">
        <v>1974</v>
      </c>
      <c r="C549" s="2" t="s">
        <v>23</v>
      </c>
      <c r="D549" s="2">
        <v>144308</v>
      </c>
      <c r="E549" s="3">
        <f t="shared" si="4"/>
        <v>144.30799999999999</v>
      </c>
      <c r="F549" s="2">
        <v>0</v>
      </c>
      <c r="G549" s="2">
        <f t="shared" si="5"/>
        <v>144.30799999999999</v>
      </c>
    </row>
    <row r="550" spans="1:7" ht="14.25" customHeight="1">
      <c r="A550" s="2" t="s">
        <v>15</v>
      </c>
      <c r="B550" s="2">
        <v>1975</v>
      </c>
      <c r="C550" s="2" t="s">
        <v>23</v>
      </c>
      <c r="D550" s="2">
        <v>129488</v>
      </c>
      <c r="E550" s="3">
        <f t="shared" si="4"/>
        <v>129.488</v>
      </c>
      <c r="F550" s="2">
        <v>0</v>
      </c>
      <c r="G550" s="2">
        <f t="shared" si="5"/>
        <v>129.488</v>
      </c>
    </row>
    <row r="551" spans="1:7" ht="14.25" customHeight="1">
      <c r="A551" s="2" t="s">
        <v>15</v>
      </c>
      <c r="B551" s="2">
        <v>1976</v>
      </c>
      <c r="C551" s="2" t="s">
        <v>23</v>
      </c>
      <c r="D551" s="2">
        <v>146141</v>
      </c>
      <c r="E551" s="3">
        <f t="shared" si="4"/>
        <v>146.14099999999999</v>
      </c>
      <c r="F551" s="2">
        <v>0</v>
      </c>
      <c r="G551" s="2">
        <f t="shared" si="5"/>
        <v>146.14099999999999</v>
      </c>
    </row>
    <row r="552" spans="1:7" ht="14.25" customHeight="1">
      <c r="A552" s="2" t="s">
        <v>15</v>
      </c>
      <c r="B552" s="2">
        <v>1977</v>
      </c>
      <c r="C552" s="2" t="s">
        <v>23</v>
      </c>
      <c r="D552" s="2">
        <v>140500</v>
      </c>
      <c r="E552" s="3">
        <f t="shared" si="4"/>
        <v>140.5</v>
      </c>
      <c r="F552" s="2">
        <v>0</v>
      </c>
      <c r="G552" s="2">
        <f t="shared" si="5"/>
        <v>140.5</v>
      </c>
    </row>
    <row r="553" spans="1:7" ht="14.25" customHeight="1">
      <c r="A553" s="2" t="s">
        <v>15</v>
      </c>
      <c r="B553" s="2">
        <v>1978</v>
      </c>
      <c r="C553" s="2" t="s">
        <v>23</v>
      </c>
      <c r="D553" s="2">
        <v>94115</v>
      </c>
      <c r="E553" s="3">
        <f t="shared" si="4"/>
        <v>94.114999999999995</v>
      </c>
      <c r="F553" s="2">
        <v>0</v>
      </c>
      <c r="G553" s="2">
        <f t="shared" si="5"/>
        <v>94.114999999999995</v>
      </c>
    </row>
    <row r="554" spans="1:7" ht="14.25" customHeight="1">
      <c r="A554" s="2" t="s">
        <v>15</v>
      </c>
      <c r="B554" s="2">
        <v>1979</v>
      </c>
      <c r="C554" s="2" t="s">
        <v>23</v>
      </c>
      <c r="D554" s="2">
        <v>83146</v>
      </c>
      <c r="E554" s="3">
        <f t="shared" si="4"/>
        <v>83.146000000000001</v>
      </c>
      <c r="F554" s="2">
        <v>0</v>
      </c>
      <c r="G554" s="2">
        <f t="shared" si="5"/>
        <v>83.146000000000001</v>
      </c>
    </row>
    <row r="555" spans="1:7" ht="14.25" customHeight="1">
      <c r="A555" s="2" t="s">
        <v>15</v>
      </c>
      <c r="B555" s="2">
        <v>1980</v>
      </c>
      <c r="C555" s="2" t="s">
        <v>23</v>
      </c>
      <c r="D555" s="2">
        <v>96909</v>
      </c>
      <c r="E555" s="3">
        <f t="shared" si="4"/>
        <v>96.909000000000006</v>
      </c>
      <c r="F555" s="2">
        <v>0</v>
      </c>
      <c r="G555" s="2">
        <f t="shared" si="5"/>
        <v>96.909000000000006</v>
      </c>
    </row>
    <row r="556" spans="1:7" ht="14.25" customHeight="1">
      <c r="A556" s="2" t="s">
        <v>15</v>
      </c>
      <c r="B556" s="2">
        <v>1981</v>
      </c>
      <c r="C556" s="2" t="s">
        <v>23</v>
      </c>
      <c r="D556" s="2">
        <v>121638</v>
      </c>
      <c r="E556" s="3">
        <f t="shared" si="4"/>
        <v>121.63800000000001</v>
      </c>
      <c r="F556" s="2">
        <v>0</v>
      </c>
      <c r="G556" s="2">
        <f t="shared" si="5"/>
        <v>121.63800000000001</v>
      </c>
    </row>
    <row r="557" spans="1:7" ht="14.25" customHeight="1">
      <c r="A557" s="2" t="s">
        <v>15</v>
      </c>
      <c r="B557" s="2">
        <v>1982</v>
      </c>
      <c r="C557" s="2" t="s">
        <v>23</v>
      </c>
      <c r="D557" s="2">
        <v>150421</v>
      </c>
      <c r="E557" s="3">
        <f t="shared" si="4"/>
        <v>150.42099999999999</v>
      </c>
      <c r="F557" s="2">
        <v>0</v>
      </c>
      <c r="G557" s="2">
        <f t="shared" si="5"/>
        <v>150.42099999999999</v>
      </c>
    </row>
    <row r="558" spans="1:7" ht="14.25" customHeight="1">
      <c r="A558" s="2" t="s">
        <v>15</v>
      </c>
      <c r="B558" s="2">
        <v>1983</v>
      </c>
      <c r="C558" s="2" t="s">
        <v>23</v>
      </c>
      <c r="D558" s="2">
        <v>139493</v>
      </c>
      <c r="E558" s="3">
        <f t="shared" si="4"/>
        <v>139.49299999999999</v>
      </c>
      <c r="F558" s="2">
        <v>0</v>
      </c>
      <c r="G558" s="2">
        <f t="shared" si="5"/>
        <v>139.49299999999999</v>
      </c>
    </row>
    <row r="559" spans="1:7" ht="14.25" customHeight="1">
      <c r="A559" s="2" t="s">
        <v>15</v>
      </c>
      <c r="B559" s="2">
        <v>1984</v>
      </c>
      <c r="C559" s="2" t="s">
        <v>23</v>
      </c>
      <c r="D559" s="2">
        <v>122604</v>
      </c>
      <c r="E559" s="3">
        <f t="shared" si="4"/>
        <v>122.604</v>
      </c>
      <c r="F559" s="2">
        <v>0</v>
      </c>
      <c r="G559" s="2">
        <f t="shared" si="5"/>
        <v>122.604</v>
      </c>
    </row>
    <row r="560" spans="1:7" ht="14.25" customHeight="1">
      <c r="A560" s="2" t="s">
        <v>15</v>
      </c>
      <c r="B560" s="2">
        <v>1985</v>
      </c>
      <c r="C560" s="2" t="s">
        <v>23</v>
      </c>
      <c r="D560" s="2">
        <v>150532</v>
      </c>
      <c r="E560" s="3">
        <f t="shared" si="4"/>
        <v>150.53200000000001</v>
      </c>
      <c r="F560" s="2">
        <v>0</v>
      </c>
      <c r="G560" s="2">
        <f t="shared" si="5"/>
        <v>150.53200000000001</v>
      </c>
    </row>
    <row r="561" spans="1:7" ht="14.25" customHeight="1">
      <c r="A561" s="2" t="s">
        <v>15</v>
      </c>
      <c r="B561" s="2">
        <v>1986</v>
      </c>
      <c r="C561" s="2" t="s">
        <v>23</v>
      </c>
      <c r="D561" s="2">
        <v>153048</v>
      </c>
      <c r="E561" s="3">
        <f t="shared" si="4"/>
        <v>153.048</v>
      </c>
      <c r="F561" s="2">
        <v>0</v>
      </c>
      <c r="G561" s="2">
        <f t="shared" si="5"/>
        <v>153.048</v>
      </c>
    </row>
    <row r="562" spans="1:7" ht="14.25" customHeight="1">
      <c r="A562" s="2" t="s">
        <v>15</v>
      </c>
      <c r="B562" s="2">
        <v>1987</v>
      </c>
      <c r="C562" s="2" t="s">
        <v>23</v>
      </c>
      <c r="D562" s="2">
        <v>119296</v>
      </c>
      <c r="E562" s="3">
        <f t="shared" si="4"/>
        <v>119.29600000000001</v>
      </c>
      <c r="F562" s="2">
        <v>0</v>
      </c>
      <c r="G562" s="2">
        <f t="shared" si="5"/>
        <v>119.29600000000001</v>
      </c>
    </row>
    <row r="563" spans="1:7" ht="14.25" customHeight="1">
      <c r="A563" s="2" t="s">
        <v>15</v>
      </c>
      <c r="B563" s="2">
        <v>1988</v>
      </c>
      <c r="C563" s="2" t="s">
        <v>23</v>
      </c>
      <c r="D563" s="2">
        <v>113433</v>
      </c>
      <c r="E563" s="3">
        <f t="shared" si="4"/>
        <v>113.43300000000001</v>
      </c>
      <c r="F563" s="2">
        <v>0</v>
      </c>
      <c r="G563" s="2">
        <f t="shared" si="5"/>
        <v>113.43300000000001</v>
      </c>
    </row>
    <row r="564" spans="1:7" ht="14.25" customHeight="1">
      <c r="A564" s="2" t="s">
        <v>15</v>
      </c>
      <c r="B564" s="2">
        <v>1989</v>
      </c>
      <c r="C564" s="2" t="s">
        <v>23</v>
      </c>
      <c r="D564" s="2">
        <v>83795</v>
      </c>
      <c r="E564" s="3">
        <f t="shared" si="4"/>
        <v>83.795000000000002</v>
      </c>
      <c r="F564" s="2">
        <v>0</v>
      </c>
      <c r="G564" s="2">
        <f t="shared" si="5"/>
        <v>83.795000000000002</v>
      </c>
    </row>
    <row r="565" spans="1:7" ht="14.25" customHeight="1">
      <c r="A565" s="2" t="s">
        <v>15</v>
      </c>
      <c r="B565" s="2">
        <v>1990</v>
      </c>
      <c r="C565" s="2" t="s">
        <v>23</v>
      </c>
      <c r="D565" s="2">
        <v>57130</v>
      </c>
      <c r="E565" s="3">
        <f t="shared" si="4"/>
        <v>57.13</v>
      </c>
      <c r="F565" s="2">
        <v>0</v>
      </c>
      <c r="G565" s="2">
        <f t="shared" si="5"/>
        <v>57.13</v>
      </c>
    </row>
    <row r="566" spans="1:7" ht="14.25" customHeight="1">
      <c r="A566" s="2" t="s">
        <v>15</v>
      </c>
      <c r="B566" s="2">
        <v>1991</v>
      </c>
      <c r="C566" s="2" t="s">
        <v>23</v>
      </c>
      <c r="D566" s="2">
        <v>53593</v>
      </c>
      <c r="E566" s="3">
        <f t="shared" si="4"/>
        <v>53.593000000000004</v>
      </c>
      <c r="F566" s="2">
        <v>0</v>
      </c>
      <c r="G566" s="2">
        <f t="shared" si="5"/>
        <v>53.593000000000004</v>
      </c>
    </row>
    <row r="567" spans="1:7" ht="14.25" customHeight="1">
      <c r="A567" s="2" t="s">
        <v>15</v>
      </c>
      <c r="B567" s="2">
        <v>1992</v>
      </c>
      <c r="C567" s="2" t="s">
        <v>23</v>
      </c>
      <c r="D567" s="2">
        <v>54270</v>
      </c>
      <c r="E567" s="3">
        <f t="shared" si="4"/>
        <v>54.27</v>
      </c>
      <c r="F567" s="2">
        <v>0</v>
      </c>
      <c r="G567" s="2">
        <f t="shared" si="5"/>
        <v>54.27</v>
      </c>
    </row>
    <row r="568" spans="1:7" ht="14.25" customHeight="1">
      <c r="A568" s="2" t="s">
        <v>15</v>
      </c>
      <c r="B568" s="2">
        <v>1993</v>
      </c>
      <c r="C568" s="2" t="s">
        <v>23</v>
      </c>
      <c r="D568" s="2">
        <v>87625</v>
      </c>
      <c r="E568" s="3">
        <f t="shared" si="4"/>
        <v>87.625</v>
      </c>
      <c r="F568" s="2">
        <v>0</v>
      </c>
      <c r="G568" s="2">
        <f t="shared" si="5"/>
        <v>87.625</v>
      </c>
    </row>
    <row r="569" spans="1:7" ht="14.25" customHeight="1">
      <c r="A569" s="2" t="s">
        <v>15</v>
      </c>
      <c r="B569" s="2">
        <v>1994</v>
      </c>
      <c r="C569" s="2" t="s">
        <v>23</v>
      </c>
      <c r="D569" s="2">
        <v>93698</v>
      </c>
      <c r="E569" s="3">
        <f t="shared" si="4"/>
        <v>93.697999999999993</v>
      </c>
      <c r="F569" s="2">
        <v>0</v>
      </c>
      <c r="G569" s="2">
        <f t="shared" si="5"/>
        <v>93.697999999999993</v>
      </c>
    </row>
    <row r="570" spans="1:7" ht="14.25" customHeight="1">
      <c r="A570" s="2" t="s">
        <v>15</v>
      </c>
      <c r="B570" s="2">
        <v>1995</v>
      </c>
      <c r="C570" s="2" t="s">
        <v>23</v>
      </c>
      <c r="D570" s="2">
        <v>86315</v>
      </c>
      <c r="E570" s="3">
        <f t="shared" si="4"/>
        <v>86.314999999999998</v>
      </c>
      <c r="F570" s="2">
        <v>0</v>
      </c>
      <c r="G570" s="2">
        <f t="shared" si="5"/>
        <v>86.314999999999998</v>
      </c>
    </row>
    <row r="571" spans="1:7" ht="14.25" customHeight="1">
      <c r="A571" s="2" t="s">
        <v>15</v>
      </c>
      <c r="B571" s="2">
        <v>1996</v>
      </c>
      <c r="C571" s="2" t="s">
        <v>23</v>
      </c>
      <c r="D571" s="2">
        <v>87422</v>
      </c>
      <c r="E571" s="3">
        <f t="shared" si="4"/>
        <v>87.421999999999997</v>
      </c>
      <c r="F571" s="2">
        <v>0</v>
      </c>
      <c r="G571" s="2">
        <f t="shared" si="5"/>
        <v>87.421999999999997</v>
      </c>
    </row>
    <row r="572" spans="1:7" ht="14.25" customHeight="1">
      <c r="A572" s="2" t="s">
        <v>15</v>
      </c>
      <c r="B572" s="2">
        <v>1997</v>
      </c>
      <c r="C572" s="2" t="s">
        <v>23</v>
      </c>
      <c r="D572" s="2">
        <v>83390</v>
      </c>
      <c r="E572" s="3">
        <f t="shared" si="4"/>
        <v>83.39</v>
      </c>
      <c r="F572" s="2">
        <v>0</v>
      </c>
      <c r="G572" s="2">
        <f t="shared" si="5"/>
        <v>83.39</v>
      </c>
    </row>
    <row r="573" spans="1:7" ht="14.25" customHeight="1">
      <c r="A573" s="2" t="s">
        <v>15</v>
      </c>
      <c r="B573" s="2">
        <v>1998</v>
      </c>
      <c r="C573" s="2" t="s">
        <v>23</v>
      </c>
      <c r="D573" s="2">
        <v>83436</v>
      </c>
      <c r="E573" s="3">
        <f t="shared" si="4"/>
        <v>83.436000000000007</v>
      </c>
      <c r="F573" s="2">
        <v>0</v>
      </c>
      <c r="G573" s="2">
        <f t="shared" si="5"/>
        <v>83.436000000000007</v>
      </c>
    </row>
    <row r="574" spans="1:7" ht="14.25" customHeight="1">
      <c r="A574" s="2" t="s">
        <v>15</v>
      </c>
      <c r="B574" s="2">
        <v>1999</v>
      </c>
      <c r="C574" s="2" t="s">
        <v>23</v>
      </c>
      <c r="D574" s="2">
        <v>72001</v>
      </c>
      <c r="E574" s="3">
        <f t="shared" si="4"/>
        <v>72.001000000000005</v>
      </c>
      <c r="F574" s="2">
        <v>0</v>
      </c>
      <c r="G574" s="2">
        <f t="shared" si="5"/>
        <v>72.001000000000005</v>
      </c>
    </row>
    <row r="575" spans="1:7" ht="14.25" customHeight="1">
      <c r="A575" s="2" t="s">
        <v>15</v>
      </c>
      <c r="B575" s="2">
        <v>2000</v>
      </c>
      <c r="C575" s="2" t="s">
        <v>23</v>
      </c>
      <c r="D575" s="2">
        <v>50644</v>
      </c>
      <c r="E575" s="3">
        <f t="shared" si="4"/>
        <v>50.643999999999998</v>
      </c>
      <c r="F575" s="2">
        <v>0</v>
      </c>
      <c r="G575" s="2">
        <f t="shared" si="5"/>
        <v>50.643999999999998</v>
      </c>
    </row>
    <row r="576" spans="1:7" ht="14.25" customHeight="1">
      <c r="A576" s="2" t="s">
        <v>15</v>
      </c>
      <c r="B576" s="2">
        <v>2001</v>
      </c>
      <c r="C576" s="2" t="s">
        <v>23</v>
      </c>
      <c r="D576" s="2">
        <v>42863</v>
      </c>
      <c r="E576" s="3">
        <f t="shared" si="4"/>
        <v>42.863</v>
      </c>
      <c r="F576" s="2">
        <v>0</v>
      </c>
      <c r="G576" s="2">
        <f t="shared" si="5"/>
        <v>42.863</v>
      </c>
    </row>
    <row r="577" spans="1:7" ht="14.25" customHeight="1">
      <c r="A577" s="2" t="s">
        <v>15</v>
      </c>
      <c r="B577" s="2">
        <v>2002</v>
      </c>
      <c r="C577" s="2" t="s">
        <v>23</v>
      </c>
      <c r="D577" s="2">
        <v>52871</v>
      </c>
      <c r="E577" s="3">
        <f t="shared" si="4"/>
        <v>52.871000000000002</v>
      </c>
      <c r="F577" s="2">
        <v>0</v>
      </c>
      <c r="G577" s="2">
        <f t="shared" si="5"/>
        <v>52.871000000000002</v>
      </c>
    </row>
    <row r="578" spans="1:7" ht="14.25" customHeight="1">
      <c r="A578" s="2" t="s">
        <v>15</v>
      </c>
      <c r="B578" s="2">
        <v>2003</v>
      </c>
      <c r="C578" s="2" t="s">
        <v>23</v>
      </c>
      <c r="D578" s="2">
        <v>41393</v>
      </c>
      <c r="E578" s="3">
        <f t="shared" si="4"/>
        <v>41.393000000000001</v>
      </c>
      <c r="F578" s="2">
        <v>0</v>
      </c>
      <c r="G578" s="2">
        <f t="shared" si="5"/>
        <v>41.393000000000001</v>
      </c>
    </row>
    <row r="579" spans="1:7" ht="14.25" customHeight="1">
      <c r="A579" s="2" t="s">
        <v>15</v>
      </c>
      <c r="B579" s="2">
        <v>2004</v>
      </c>
      <c r="C579" s="2" t="s">
        <v>23</v>
      </c>
      <c r="D579" s="2">
        <v>46098</v>
      </c>
      <c r="E579" s="3">
        <f t="shared" si="4"/>
        <v>46.097999999999999</v>
      </c>
      <c r="F579" s="2">
        <v>0</v>
      </c>
      <c r="G579" s="2">
        <f t="shared" si="5"/>
        <v>46.097999999999999</v>
      </c>
    </row>
    <row r="580" spans="1:7" ht="14.25" customHeight="1">
      <c r="A580" s="2" t="s">
        <v>15</v>
      </c>
      <c r="B580" s="2">
        <v>2005</v>
      </c>
      <c r="C580" s="2" t="s">
        <v>23</v>
      </c>
      <c r="D580" s="2">
        <v>31749</v>
      </c>
      <c r="E580" s="3">
        <f t="shared" si="4"/>
        <v>31.748999999999999</v>
      </c>
      <c r="F580" s="2">
        <v>0</v>
      </c>
      <c r="G580" s="2">
        <f t="shared" si="5"/>
        <v>31.748999999999999</v>
      </c>
    </row>
    <row r="581" spans="1:7" ht="14.25" customHeight="1">
      <c r="A581" s="2" t="s">
        <v>15</v>
      </c>
      <c r="B581" s="2">
        <v>2006</v>
      </c>
      <c r="C581" s="2" t="s">
        <v>23</v>
      </c>
      <c r="D581" s="2">
        <v>39807.08</v>
      </c>
      <c r="E581" s="3">
        <f t="shared" si="4"/>
        <v>39.807079999999999</v>
      </c>
      <c r="F581" s="2">
        <v>4.0000000000000001E-3</v>
      </c>
      <c r="G581" s="2">
        <f t="shared" si="5"/>
        <v>39.811079999999997</v>
      </c>
    </row>
    <row r="582" spans="1:7" ht="14.25" customHeight="1">
      <c r="A582" s="2" t="s">
        <v>15</v>
      </c>
      <c r="B582" s="2">
        <v>2007</v>
      </c>
      <c r="C582" s="2" t="s">
        <v>23</v>
      </c>
      <c r="D582" s="2">
        <v>33487.129999999997</v>
      </c>
      <c r="E582" s="3">
        <f t="shared" si="4"/>
        <v>33.487130000000001</v>
      </c>
      <c r="F582" s="2">
        <v>0</v>
      </c>
      <c r="G582" s="2">
        <f t="shared" si="5"/>
        <v>33.487130000000001</v>
      </c>
    </row>
    <row r="583" spans="1:7" ht="14.25" customHeight="1">
      <c r="A583" s="2" t="s">
        <v>15</v>
      </c>
      <c r="B583" s="2">
        <v>2008</v>
      </c>
      <c r="C583" s="2" t="s">
        <v>23</v>
      </c>
      <c r="D583" s="2">
        <v>33062.050000000003</v>
      </c>
      <c r="E583" s="3">
        <f t="shared" si="4"/>
        <v>33.062050000000006</v>
      </c>
      <c r="F583" s="2">
        <v>0</v>
      </c>
      <c r="G583" s="2">
        <f t="shared" si="5"/>
        <v>33.062050000000006</v>
      </c>
    </row>
    <row r="584" spans="1:7" ht="14.25" customHeight="1">
      <c r="A584" s="2" t="s">
        <v>15</v>
      </c>
      <c r="B584" s="2">
        <v>2009</v>
      </c>
      <c r="C584" s="2" t="s">
        <v>23</v>
      </c>
      <c r="D584" s="2">
        <v>36294.129999999997</v>
      </c>
      <c r="E584" s="3">
        <f t="shared" si="4"/>
        <v>36.294129999999996</v>
      </c>
      <c r="F584" s="2">
        <v>0</v>
      </c>
      <c r="G584" s="2">
        <f t="shared" si="5"/>
        <v>36.294129999999996</v>
      </c>
    </row>
    <row r="585" spans="1:7" ht="14.25" customHeight="1">
      <c r="A585" s="2" t="s">
        <v>15</v>
      </c>
      <c r="B585" s="2">
        <v>2010</v>
      </c>
      <c r="C585" s="2" t="s">
        <v>23</v>
      </c>
      <c r="D585" s="2">
        <v>33614.199999999997</v>
      </c>
      <c r="E585" s="3">
        <f t="shared" si="4"/>
        <v>33.614199999999997</v>
      </c>
      <c r="F585" s="2">
        <v>0</v>
      </c>
      <c r="G585" s="2">
        <f t="shared" si="5"/>
        <v>33.614199999999997</v>
      </c>
    </row>
    <row r="586" spans="1:7" ht="14.25" customHeight="1">
      <c r="A586" s="2" t="s">
        <v>15</v>
      </c>
      <c r="B586" s="2">
        <v>2011</v>
      </c>
      <c r="C586" s="2" t="s">
        <v>23</v>
      </c>
      <c r="D586" s="2">
        <v>29835.5</v>
      </c>
      <c r="E586" s="3">
        <f t="shared" si="4"/>
        <v>29.8355</v>
      </c>
      <c r="F586" s="2">
        <v>0</v>
      </c>
      <c r="G586" s="2">
        <f t="shared" si="5"/>
        <v>29.8355</v>
      </c>
    </row>
    <row r="587" spans="1:7" ht="14.25" customHeight="1">
      <c r="A587" s="2" t="s">
        <v>15</v>
      </c>
      <c r="B587" s="2">
        <v>2012</v>
      </c>
      <c r="C587" s="2" t="s">
        <v>23</v>
      </c>
      <c r="D587" s="2">
        <v>35056.9</v>
      </c>
      <c r="E587" s="3">
        <f t="shared" si="4"/>
        <v>35.056899999999999</v>
      </c>
      <c r="F587" s="2">
        <v>0</v>
      </c>
      <c r="G587" s="2">
        <f t="shared" si="5"/>
        <v>35.056899999999999</v>
      </c>
    </row>
    <row r="588" spans="1:7" ht="14.25" customHeight="1">
      <c r="A588" s="2" t="s">
        <v>15</v>
      </c>
      <c r="B588" s="2">
        <v>2013</v>
      </c>
      <c r="C588" s="2" t="s">
        <v>23</v>
      </c>
      <c r="D588" s="2">
        <v>39741.800000000003</v>
      </c>
      <c r="E588" s="3">
        <f t="shared" si="4"/>
        <v>39.741800000000005</v>
      </c>
      <c r="F588" s="2">
        <v>0</v>
      </c>
      <c r="G588" s="2">
        <f t="shared" si="5"/>
        <v>39.741800000000005</v>
      </c>
    </row>
    <row r="589" spans="1:7" ht="14.25" customHeight="1">
      <c r="A589" s="2" t="s">
        <v>15</v>
      </c>
      <c r="B589" s="2">
        <v>2014</v>
      </c>
      <c r="C589" s="2" t="s">
        <v>23</v>
      </c>
      <c r="D589" s="2">
        <v>36302.03</v>
      </c>
      <c r="E589" s="3">
        <f t="shared" si="4"/>
        <v>36.302030000000002</v>
      </c>
      <c r="F589" s="2">
        <v>0</v>
      </c>
      <c r="G589" s="2">
        <f t="shared" si="5"/>
        <v>36.302030000000002</v>
      </c>
    </row>
    <row r="590" spans="1:7" ht="14.25" customHeight="1">
      <c r="A590" s="2" t="s">
        <v>15</v>
      </c>
      <c r="B590" s="2">
        <v>2015</v>
      </c>
      <c r="C590" s="2" t="s">
        <v>23</v>
      </c>
      <c r="D590" s="2">
        <v>33264.42</v>
      </c>
      <c r="E590" s="3">
        <f t="shared" si="4"/>
        <v>33.264420000000001</v>
      </c>
      <c r="F590" s="2">
        <v>0</v>
      </c>
      <c r="G590" s="2">
        <f t="shared" si="5"/>
        <v>33.264420000000001</v>
      </c>
    </row>
    <row r="591" spans="1:7" ht="14.25" customHeight="1">
      <c r="A591" s="2" t="s">
        <v>15</v>
      </c>
      <c r="B591" s="2">
        <v>2016</v>
      </c>
      <c r="C591" s="2" t="s">
        <v>23</v>
      </c>
      <c r="D591" s="2">
        <v>34001.07</v>
      </c>
      <c r="E591" s="3">
        <f t="shared" si="4"/>
        <v>34.001069999999999</v>
      </c>
      <c r="F591" s="2">
        <v>0</v>
      </c>
      <c r="G591" s="2">
        <f t="shared" si="5"/>
        <v>34.001069999999999</v>
      </c>
    </row>
    <row r="592" spans="1:7" ht="14.25" customHeight="1">
      <c r="A592" s="2" t="s">
        <v>15</v>
      </c>
      <c r="B592" s="2">
        <v>2017</v>
      </c>
      <c r="C592" s="2" t="s">
        <v>23</v>
      </c>
      <c r="D592" s="2">
        <v>34441.47</v>
      </c>
      <c r="E592" s="3">
        <f t="shared" si="4"/>
        <v>34.441470000000002</v>
      </c>
      <c r="F592" s="2">
        <v>0</v>
      </c>
      <c r="G592" s="2">
        <f t="shared" si="5"/>
        <v>34.441470000000002</v>
      </c>
    </row>
    <row r="593" spans="1:7" ht="14.25" customHeight="1">
      <c r="A593" s="2" t="s">
        <v>15</v>
      </c>
      <c r="B593" s="2">
        <v>2018</v>
      </c>
      <c r="C593" s="2" t="s">
        <v>23</v>
      </c>
      <c r="D593" s="2">
        <v>35742.569000000003</v>
      </c>
      <c r="E593" s="3">
        <f t="shared" si="4"/>
        <v>35.742569000000003</v>
      </c>
      <c r="F593" s="2">
        <v>0</v>
      </c>
      <c r="G593" s="2">
        <f t="shared" si="5"/>
        <v>35.742569000000003</v>
      </c>
    </row>
    <row r="594" spans="1:7" ht="14.25" customHeight="1">
      <c r="A594" s="2" t="s">
        <v>15</v>
      </c>
      <c r="B594" s="2">
        <v>1903</v>
      </c>
      <c r="C594" s="2" t="s">
        <v>53</v>
      </c>
      <c r="D594" s="2">
        <v>20858</v>
      </c>
      <c r="E594" s="3">
        <f t="shared" si="4"/>
        <v>20.858000000000001</v>
      </c>
      <c r="G594" s="2">
        <f t="shared" si="5"/>
        <v>20.858000000000001</v>
      </c>
    </row>
    <row r="595" spans="1:7" ht="14.25" customHeight="1">
      <c r="A595" s="2" t="s">
        <v>15</v>
      </c>
      <c r="B595" s="2">
        <v>1904</v>
      </c>
      <c r="C595" s="2" t="s">
        <v>53</v>
      </c>
      <c r="D595" s="2">
        <v>22479</v>
      </c>
      <c r="E595" s="3">
        <f t="shared" si="4"/>
        <v>22.478999999999999</v>
      </c>
      <c r="G595" s="2">
        <f t="shared" si="5"/>
        <v>22.478999999999999</v>
      </c>
    </row>
    <row r="596" spans="1:7" ht="14.25" customHeight="1">
      <c r="A596" s="2" t="s">
        <v>15</v>
      </c>
      <c r="B596" s="2">
        <v>1905</v>
      </c>
      <c r="C596" s="2" t="s">
        <v>53</v>
      </c>
      <c r="D596" s="2">
        <v>26703</v>
      </c>
      <c r="E596" s="3">
        <f t="shared" si="4"/>
        <v>26.702999999999999</v>
      </c>
      <c r="G596" s="2">
        <f t="shared" si="5"/>
        <v>26.702999999999999</v>
      </c>
    </row>
    <row r="597" spans="1:7" ht="14.25" customHeight="1">
      <c r="A597" s="2" t="s">
        <v>15</v>
      </c>
      <c r="B597" s="2">
        <v>1906</v>
      </c>
      <c r="C597" s="2" t="s">
        <v>53</v>
      </c>
      <c r="D597" s="2">
        <v>20501</v>
      </c>
      <c r="E597" s="3">
        <f t="shared" si="4"/>
        <v>20.501000000000001</v>
      </c>
      <c r="G597" s="2">
        <f t="shared" si="5"/>
        <v>20.501000000000001</v>
      </c>
    </row>
    <row r="598" spans="1:7" ht="14.25" customHeight="1">
      <c r="A598" s="2" t="s">
        <v>15</v>
      </c>
      <c r="B598" s="2">
        <v>1907</v>
      </c>
      <c r="C598" s="2" t="s">
        <v>53</v>
      </c>
      <c r="D598" s="2">
        <v>40179</v>
      </c>
      <c r="E598" s="3">
        <f t="shared" si="4"/>
        <v>40.179000000000002</v>
      </c>
      <c r="G598" s="2">
        <f t="shared" si="5"/>
        <v>40.179000000000002</v>
      </c>
    </row>
    <row r="599" spans="1:7" ht="14.25" customHeight="1">
      <c r="A599" s="2" t="s">
        <v>15</v>
      </c>
      <c r="B599" s="2">
        <v>1908</v>
      </c>
      <c r="C599" s="2" t="s">
        <v>53</v>
      </c>
      <c r="D599" s="2">
        <v>40354</v>
      </c>
      <c r="E599" s="3">
        <f t="shared" si="4"/>
        <v>40.353999999999999</v>
      </c>
      <c r="G599" s="2">
        <f t="shared" si="5"/>
        <v>40.353999999999999</v>
      </c>
    </row>
    <row r="600" spans="1:7" ht="14.25" customHeight="1">
      <c r="A600" s="2" t="s">
        <v>15</v>
      </c>
      <c r="B600" s="2">
        <v>1909</v>
      </c>
      <c r="C600" s="2" t="s">
        <v>53</v>
      </c>
      <c r="D600" s="2">
        <v>44102</v>
      </c>
      <c r="E600" s="3">
        <f t="shared" si="4"/>
        <v>44.101999999999997</v>
      </c>
      <c r="G600" s="2">
        <f t="shared" si="5"/>
        <v>44.101999999999997</v>
      </c>
    </row>
    <row r="601" spans="1:7" ht="14.25" customHeight="1">
      <c r="A601" s="2" t="s">
        <v>15</v>
      </c>
      <c r="B601" s="2">
        <v>1910</v>
      </c>
      <c r="C601" s="2" t="s">
        <v>53</v>
      </c>
      <c r="D601" s="2">
        <v>36551</v>
      </c>
      <c r="E601" s="3">
        <f t="shared" si="4"/>
        <v>36.551000000000002</v>
      </c>
      <c r="G601" s="2">
        <f t="shared" si="5"/>
        <v>36.551000000000002</v>
      </c>
    </row>
    <row r="602" spans="1:7" ht="14.25" customHeight="1">
      <c r="A602" s="2" t="s">
        <v>15</v>
      </c>
      <c r="B602" s="2">
        <v>1911</v>
      </c>
      <c r="C602" s="2" t="s">
        <v>53</v>
      </c>
      <c r="D602" s="2">
        <v>38767</v>
      </c>
      <c r="E602" s="3">
        <f t="shared" si="4"/>
        <v>38.767000000000003</v>
      </c>
      <c r="G602" s="2">
        <f t="shared" si="5"/>
        <v>38.767000000000003</v>
      </c>
    </row>
    <row r="603" spans="1:7" ht="14.25" customHeight="1">
      <c r="A603" s="2" t="s">
        <v>15</v>
      </c>
      <c r="B603" s="2">
        <v>1912</v>
      </c>
      <c r="C603" s="2" t="s">
        <v>53</v>
      </c>
      <c r="D603" s="2">
        <v>37772</v>
      </c>
      <c r="E603" s="3">
        <f t="shared" si="4"/>
        <v>37.771999999999998</v>
      </c>
      <c r="G603" s="2">
        <f t="shared" si="5"/>
        <v>37.771999999999998</v>
      </c>
    </row>
    <row r="604" spans="1:7" ht="14.25" customHeight="1">
      <c r="A604" s="2" t="s">
        <v>15</v>
      </c>
      <c r="B604" s="2">
        <v>1913</v>
      </c>
      <c r="C604" s="2" t="s">
        <v>53</v>
      </c>
      <c r="D604" s="2">
        <v>32738</v>
      </c>
      <c r="E604" s="3">
        <f t="shared" si="4"/>
        <v>32.738</v>
      </c>
      <c r="G604" s="2">
        <f t="shared" si="5"/>
        <v>32.738</v>
      </c>
    </row>
    <row r="605" spans="1:7" ht="14.25" customHeight="1">
      <c r="A605" s="2" t="s">
        <v>15</v>
      </c>
      <c r="B605" s="2">
        <v>1914</v>
      </c>
      <c r="C605" s="2" t="s">
        <v>53</v>
      </c>
      <c r="D605" s="2">
        <v>30845</v>
      </c>
      <c r="E605" s="3">
        <f t="shared" si="4"/>
        <v>30.844999999999999</v>
      </c>
      <c r="G605" s="2">
        <f t="shared" si="5"/>
        <v>30.844999999999999</v>
      </c>
    </row>
    <row r="606" spans="1:7" ht="14.25" customHeight="1">
      <c r="A606" s="2" t="s">
        <v>15</v>
      </c>
      <c r="B606" s="2">
        <v>1915</v>
      </c>
      <c r="C606" s="2" t="s">
        <v>53</v>
      </c>
      <c r="D606" s="2">
        <v>8124</v>
      </c>
      <c r="E606" s="3">
        <f t="shared" si="4"/>
        <v>8.1240000000000006</v>
      </c>
      <c r="G606" s="2">
        <f t="shared" si="5"/>
        <v>8.1240000000000006</v>
      </c>
    </row>
    <row r="607" spans="1:7" ht="14.25" customHeight="1">
      <c r="A607" s="2" t="s">
        <v>15</v>
      </c>
      <c r="B607" s="2">
        <v>1916</v>
      </c>
      <c r="C607" s="2" t="s">
        <v>53</v>
      </c>
      <c r="D607" s="2">
        <v>6690</v>
      </c>
      <c r="E607" s="3">
        <f t="shared" si="4"/>
        <v>6.69</v>
      </c>
      <c r="G607" s="2">
        <f t="shared" si="5"/>
        <v>6.69</v>
      </c>
    </row>
    <row r="608" spans="1:7" ht="14.25" customHeight="1">
      <c r="A608" s="2" t="s">
        <v>15</v>
      </c>
      <c r="B608" s="2">
        <v>1917</v>
      </c>
      <c r="C608" s="2" t="s">
        <v>53</v>
      </c>
      <c r="D608" s="2">
        <v>4000</v>
      </c>
      <c r="E608" s="3">
        <f t="shared" si="4"/>
        <v>4</v>
      </c>
      <c r="G608" s="2">
        <f t="shared" si="5"/>
        <v>4</v>
      </c>
    </row>
    <row r="609" spans="1:7" ht="14.25" customHeight="1">
      <c r="A609" s="2" t="s">
        <v>15</v>
      </c>
      <c r="B609" s="2">
        <v>1918</v>
      </c>
      <c r="C609" s="2" t="s">
        <v>53</v>
      </c>
      <c r="D609" s="2">
        <v>4453</v>
      </c>
      <c r="E609" s="3">
        <f t="shared" si="4"/>
        <v>4.4530000000000003</v>
      </c>
      <c r="G609" s="2">
        <f t="shared" si="5"/>
        <v>4.4530000000000003</v>
      </c>
    </row>
    <row r="610" spans="1:7" ht="14.25" customHeight="1">
      <c r="A610" s="2" t="s">
        <v>15</v>
      </c>
      <c r="B610" s="2">
        <v>1919</v>
      </c>
      <c r="C610" s="2" t="s">
        <v>53</v>
      </c>
      <c r="D610" s="2">
        <v>25019</v>
      </c>
      <c r="E610" s="3">
        <f t="shared" si="4"/>
        <v>25.018999999999998</v>
      </c>
      <c r="G610" s="2">
        <f t="shared" si="5"/>
        <v>25.018999999999998</v>
      </c>
    </row>
    <row r="611" spans="1:7" ht="14.25" customHeight="1">
      <c r="A611" s="2" t="s">
        <v>15</v>
      </c>
      <c r="B611" s="2">
        <v>1920</v>
      </c>
      <c r="C611" s="2" t="s">
        <v>53</v>
      </c>
      <c r="D611" s="2">
        <v>43137</v>
      </c>
      <c r="E611" s="3">
        <f t="shared" si="4"/>
        <v>43.137</v>
      </c>
      <c r="G611" s="2">
        <f t="shared" si="5"/>
        <v>43.137</v>
      </c>
    </row>
    <row r="612" spans="1:7" ht="14.25" customHeight="1">
      <c r="A612" s="2" t="s">
        <v>15</v>
      </c>
      <c r="B612" s="2">
        <v>1921</v>
      </c>
      <c r="C612" s="2" t="s">
        <v>53</v>
      </c>
      <c r="D612" s="2">
        <v>32607</v>
      </c>
      <c r="E612" s="3">
        <f t="shared" si="4"/>
        <v>32.606999999999999</v>
      </c>
      <c r="G612" s="2">
        <f t="shared" si="5"/>
        <v>32.606999999999999</v>
      </c>
    </row>
    <row r="613" spans="1:7" ht="14.25" customHeight="1">
      <c r="A613" s="2" t="s">
        <v>15</v>
      </c>
      <c r="B613" s="2">
        <v>1922</v>
      </c>
      <c r="C613" s="2" t="s">
        <v>53</v>
      </c>
      <c r="D613" s="2">
        <v>39872</v>
      </c>
      <c r="E613" s="3">
        <f t="shared" si="4"/>
        <v>39.872</v>
      </c>
      <c r="G613" s="2">
        <f t="shared" si="5"/>
        <v>39.872</v>
      </c>
    </row>
    <row r="614" spans="1:7" ht="14.25" customHeight="1">
      <c r="A614" s="2" t="s">
        <v>15</v>
      </c>
      <c r="B614" s="2">
        <v>1923</v>
      </c>
      <c r="C614" s="2" t="s">
        <v>53</v>
      </c>
      <c r="D614" s="2">
        <v>36170</v>
      </c>
      <c r="E614" s="3">
        <f t="shared" si="4"/>
        <v>36.17</v>
      </c>
      <c r="G614" s="2">
        <f t="shared" si="5"/>
        <v>36.17</v>
      </c>
    </row>
    <row r="615" spans="1:7" ht="14.25" customHeight="1">
      <c r="A615" s="2" t="s">
        <v>15</v>
      </c>
      <c r="B615" s="2">
        <v>1924</v>
      </c>
      <c r="C615" s="2" t="s">
        <v>53</v>
      </c>
      <c r="D615" s="2">
        <v>41176</v>
      </c>
      <c r="E615" s="3">
        <f t="shared" si="4"/>
        <v>41.176000000000002</v>
      </c>
      <c r="G615" s="2">
        <f t="shared" si="5"/>
        <v>41.176000000000002</v>
      </c>
    </row>
    <row r="616" spans="1:7" ht="14.25" customHeight="1">
      <c r="A616" s="2" t="s">
        <v>15</v>
      </c>
      <c r="B616" s="2">
        <v>1925</v>
      </c>
      <c r="C616" s="2" t="s">
        <v>53</v>
      </c>
      <c r="D616" s="2">
        <v>49396</v>
      </c>
      <c r="E616" s="3">
        <f t="shared" si="4"/>
        <v>49.396000000000001</v>
      </c>
      <c r="G616" s="2">
        <f t="shared" si="5"/>
        <v>49.396000000000001</v>
      </c>
    </row>
    <row r="617" spans="1:7" ht="14.25" customHeight="1">
      <c r="A617" s="2" t="s">
        <v>15</v>
      </c>
      <c r="B617" s="2">
        <v>1926</v>
      </c>
      <c r="C617" s="2" t="s">
        <v>53</v>
      </c>
      <c r="D617" s="2">
        <v>47166</v>
      </c>
      <c r="E617" s="3">
        <f t="shared" si="4"/>
        <v>47.165999999999997</v>
      </c>
      <c r="G617" s="2">
        <f t="shared" si="5"/>
        <v>47.165999999999997</v>
      </c>
    </row>
    <row r="618" spans="1:7" ht="14.25" customHeight="1">
      <c r="A618" s="2" t="s">
        <v>15</v>
      </c>
      <c r="B618" s="2">
        <v>1927</v>
      </c>
      <c r="C618" s="2" t="s">
        <v>53</v>
      </c>
      <c r="D618" s="2">
        <v>43118</v>
      </c>
      <c r="E618" s="3">
        <f t="shared" si="4"/>
        <v>43.118000000000002</v>
      </c>
      <c r="G618" s="2">
        <f t="shared" si="5"/>
        <v>43.118000000000002</v>
      </c>
    </row>
    <row r="619" spans="1:7" ht="14.25" customHeight="1">
      <c r="A619" s="2" t="s">
        <v>15</v>
      </c>
      <c r="B619" s="2">
        <v>1928</v>
      </c>
      <c r="C619" s="2" t="s">
        <v>53</v>
      </c>
      <c r="D619" s="2">
        <v>36648</v>
      </c>
      <c r="E619" s="3">
        <f t="shared" si="4"/>
        <v>36.648000000000003</v>
      </c>
      <c r="G619" s="2">
        <f t="shared" si="5"/>
        <v>36.648000000000003</v>
      </c>
    </row>
    <row r="620" spans="1:7" ht="14.25" customHeight="1">
      <c r="A620" s="2" t="s">
        <v>15</v>
      </c>
      <c r="B620" s="2">
        <v>1929</v>
      </c>
      <c r="C620" s="2" t="s">
        <v>53</v>
      </c>
      <c r="D620" s="2">
        <v>34546</v>
      </c>
      <c r="E620" s="3">
        <f t="shared" si="4"/>
        <v>34.545999999999999</v>
      </c>
      <c r="G620" s="2">
        <f t="shared" si="5"/>
        <v>34.545999999999999</v>
      </c>
    </row>
    <row r="621" spans="1:7" ht="14.25" customHeight="1">
      <c r="A621" s="2" t="s">
        <v>15</v>
      </c>
      <c r="B621" s="2">
        <v>1930</v>
      </c>
      <c r="C621" s="2" t="s">
        <v>53</v>
      </c>
      <c r="D621" s="2">
        <v>34031</v>
      </c>
      <c r="E621" s="3">
        <f t="shared" si="4"/>
        <v>34.030999999999999</v>
      </c>
      <c r="G621" s="2">
        <f t="shared" si="5"/>
        <v>34.030999999999999</v>
      </c>
    </row>
    <row r="622" spans="1:7" ht="14.25" customHeight="1">
      <c r="A622" s="2" t="s">
        <v>15</v>
      </c>
      <c r="B622" s="2">
        <v>1931</v>
      </c>
      <c r="C622" s="2" t="s">
        <v>53</v>
      </c>
      <c r="D622" s="2">
        <v>36081</v>
      </c>
      <c r="E622" s="3">
        <f t="shared" si="4"/>
        <v>36.081000000000003</v>
      </c>
      <c r="G622" s="2">
        <f t="shared" si="5"/>
        <v>36.081000000000003</v>
      </c>
    </row>
    <row r="623" spans="1:7" ht="14.25" customHeight="1">
      <c r="A623" s="2" t="s">
        <v>15</v>
      </c>
      <c r="B623" s="2">
        <v>1932</v>
      </c>
      <c r="C623" s="2" t="s">
        <v>53</v>
      </c>
      <c r="D623" s="2">
        <v>34812</v>
      </c>
      <c r="E623" s="3">
        <f t="shared" si="4"/>
        <v>34.811999999999998</v>
      </c>
      <c r="G623" s="2">
        <f t="shared" si="5"/>
        <v>34.811999999999998</v>
      </c>
    </row>
    <row r="624" spans="1:7" ht="14.25" customHeight="1">
      <c r="A624" s="2" t="s">
        <v>15</v>
      </c>
      <c r="B624" s="2">
        <v>1933</v>
      </c>
      <c r="C624" s="2" t="s">
        <v>53</v>
      </c>
      <c r="D624" s="2">
        <v>27532</v>
      </c>
      <c r="E624" s="3">
        <f t="shared" si="4"/>
        <v>27.532</v>
      </c>
      <c r="G624" s="2">
        <f t="shared" si="5"/>
        <v>27.532</v>
      </c>
    </row>
    <row r="625" spans="1:7" ht="14.25" customHeight="1">
      <c r="A625" s="2" t="s">
        <v>15</v>
      </c>
      <c r="B625" s="2">
        <v>1934</v>
      </c>
      <c r="C625" s="2" t="s">
        <v>53</v>
      </c>
      <c r="D625" s="2">
        <v>23464</v>
      </c>
      <c r="E625" s="3">
        <f t="shared" si="4"/>
        <v>23.463999999999999</v>
      </c>
      <c r="G625" s="2">
        <f t="shared" si="5"/>
        <v>23.463999999999999</v>
      </c>
    </row>
    <row r="626" spans="1:7" ht="14.25" customHeight="1">
      <c r="A626" s="2" t="s">
        <v>15</v>
      </c>
      <c r="B626" s="2">
        <v>1935</v>
      </c>
      <c r="C626" s="2" t="s">
        <v>53</v>
      </c>
      <c r="D626" s="2">
        <v>23265</v>
      </c>
      <c r="E626" s="3">
        <f t="shared" si="4"/>
        <v>23.265000000000001</v>
      </c>
      <c r="G626" s="2">
        <f t="shared" si="5"/>
        <v>23.265000000000001</v>
      </c>
    </row>
    <row r="627" spans="1:7" ht="14.25" customHeight="1">
      <c r="A627" s="2" t="s">
        <v>15</v>
      </c>
      <c r="B627" s="2">
        <v>1936</v>
      </c>
      <c r="C627" s="2" t="s">
        <v>53</v>
      </c>
      <c r="D627" s="2">
        <v>25675</v>
      </c>
      <c r="E627" s="3">
        <f t="shared" si="4"/>
        <v>25.675000000000001</v>
      </c>
      <c r="G627" s="2">
        <f t="shared" si="5"/>
        <v>25.675000000000001</v>
      </c>
    </row>
    <row r="628" spans="1:7" ht="14.25" customHeight="1">
      <c r="A628" s="2" t="s">
        <v>15</v>
      </c>
      <c r="B628" s="2">
        <v>1937</v>
      </c>
      <c r="C628" s="2" t="s">
        <v>53</v>
      </c>
      <c r="D628" s="2">
        <v>30750</v>
      </c>
      <c r="E628" s="3">
        <f t="shared" si="4"/>
        <v>30.75</v>
      </c>
      <c r="G628" s="2">
        <f t="shared" si="5"/>
        <v>30.75</v>
      </c>
    </row>
    <row r="629" spans="1:7" ht="14.25" customHeight="1">
      <c r="A629" s="2" t="s">
        <v>15</v>
      </c>
      <c r="B629" s="2">
        <v>1938</v>
      </c>
      <c r="C629" s="2" t="s">
        <v>53</v>
      </c>
      <c r="D629" s="2">
        <v>34412</v>
      </c>
      <c r="E629" s="3">
        <f t="shared" si="4"/>
        <v>34.411999999999999</v>
      </c>
      <c r="G629" s="2">
        <f t="shared" si="5"/>
        <v>34.411999999999999</v>
      </c>
    </row>
    <row r="630" spans="1:7" ht="14.25" customHeight="1">
      <c r="A630" s="2" t="s">
        <v>15</v>
      </c>
      <c r="B630" s="2">
        <v>1939</v>
      </c>
      <c r="C630" s="2" t="s">
        <v>53</v>
      </c>
      <c r="D630" s="2">
        <v>32659</v>
      </c>
      <c r="E630" s="3">
        <f t="shared" si="4"/>
        <v>32.658999999999999</v>
      </c>
      <c r="G630" s="2">
        <f t="shared" si="5"/>
        <v>32.658999999999999</v>
      </c>
    </row>
    <row r="631" spans="1:7" ht="14.25" customHeight="1">
      <c r="A631" s="2" t="s">
        <v>15</v>
      </c>
      <c r="B631" s="2">
        <v>1940</v>
      </c>
      <c r="C631" s="2" t="s">
        <v>53</v>
      </c>
      <c r="D631" s="2">
        <v>26689</v>
      </c>
      <c r="E631" s="3">
        <f t="shared" si="4"/>
        <v>26.689</v>
      </c>
      <c r="G631" s="2">
        <f t="shared" si="5"/>
        <v>26.689</v>
      </c>
    </row>
    <row r="632" spans="1:7" ht="14.25" customHeight="1">
      <c r="A632" s="2" t="s">
        <v>15</v>
      </c>
      <c r="B632" s="2">
        <v>1941</v>
      </c>
      <c r="C632" s="2" t="s">
        <v>53</v>
      </c>
      <c r="D632" s="2">
        <v>19752</v>
      </c>
      <c r="E632" s="3">
        <f t="shared" si="4"/>
        <v>19.751999999999999</v>
      </c>
      <c r="G632" s="2">
        <f t="shared" si="5"/>
        <v>19.751999999999999</v>
      </c>
    </row>
    <row r="633" spans="1:7" ht="14.25" customHeight="1">
      <c r="A633" s="2" t="s">
        <v>15</v>
      </c>
      <c r="B633" s="2">
        <v>1942</v>
      </c>
      <c r="C633" s="2" t="s">
        <v>53</v>
      </c>
      <c r="D633" s="2">
        <v>35312</v>
      </c>
      <c r="E633" s="3">
        <f t="shared" si="4"/>
        <v>35.311999999999998</v>
      </c>
      <c r="G633" s="2">
        <f t="shared" si="5"/>
        <v>35.311999999999998</v>
      </c>
    </row>
    <row r="634" spans="1:7" ht="14.25" customHeight="1">
      <c r="A634" s="2" t="s">
        <v>15</v>
      </c>
      <c r="B634" s="2">
        <v>1943</v>
      </c>
      <c r="C634" s="2" t="s">
        <v>53</v>
      </c>
      <c r="D634" s="2">
        <v>30636</v>
      </c>
      <c r="E634" s="3">
        <f t="shared" si="4"/>
        <v>30.635999999999999</v>
      </c>
      <c r="G634" s="2">
        <f t="shared" si="5"/>
        <v>30.635999999999999</v>
      </c>
    </row>
    <row r="635" spans="1:7" ht="14.25" customHeight="1">
      <c r="A635" s="2" t="s">
        <v>15</v>
      </c>
      <c r="B635" s="2">
        <v>1944</v>
      </c>
      <c r="C635" s="2" t="s">
        <v>53</v>
      </c>
      <c r="D635" s="2">
        <v>28815</v>
      </c>
      <c r="E635" s="3">
        <f t="shared" si="4"/>
        <v>28.815000000000001</v>
      </c>
      <c r="G635" s="2">
        <f t="shared" si="5"/>
        <v>28.815000000000001</v>
      </c>
    </row>
    <row r="636" spans="1:7" ht="14.25" customHeight="1">
      <c r="A636" s="2" t="s">
        <v>15</v>
      </c>
      <c r="B636" s="2">
        <v>1945</v>
      </c>
      <c r="C636" s="2" t="s">
        <v>53</v>
      </c>
      <c r="D636" s="2">
        <v>45718</v>
      </c>
      <c r="E636" s="3">
        <f t="shared" si="4"/>
        <v>45.718000000000004</v>
      </c>
      <c r="G636" s="2">
        <f t="shared" si="5"/>
        <v>45.718000000000004</v>
      </c>
    </row>
    <row r="637" spans="1:7" ht="14.25" customHeight="1">
      <c r="A637" s="2" t="s">
        <v>15</v>
      </c>
      <c r="B637" s="2">
        <v>1946</v>
      </c>
      <c r="C637" s="2" t="s">
        <v>53</v>
      </c>
      <c r="D637" s="2">
        <v>65446</v>
      </c>
      <c r="E637" s="3">
        <f t="shared" si="4"/>
        <v>65.445999999999998</v>
      </c>
      <c r="G637" s="2">
        <f t="shared" si="5"/>
        <v>65.445999999999998</v>
      </c>
    </row>
    <row r="638" spans="1:7" ht="14.25" customHeight="1">
      <c r="A638" s="2" t="s">
        <v>15</v>
      </c>
      <c r="B638" s="2">
        <v>1947</v>
      </c>
      <c r="C638" s="2" t="s">
        <v>53</v>
      </c>
      <c r="D638" s="2">
        <v>45846</v>
      </c>
      <c r="E638" s="3">
        <f t="shared" si="4"/>
        <v>45.845999999999997</v>
      </c>
      <c r="G638" s="2">
        <f t="shared" si="5"/>
        <v>45.845999999999997</v>
      </c>
    </row>
    <row r="639" spans="1:7" ht="14.25" customHeight="1">
      <c r="A639" s="2" t="s">
        <v>15</v>
      </c>
      <c r="B639" s="2">
        <v>1948</v>
      </c>
      <c r="C639" s="2" t="s">
        <v>53</v>
      </c>
      <c r="D639" s="2">
        <v>38582</v>
      </c>
      <c r="E639" s="3">
        <f t="shared" si="4"/>
        <v>38.582000000000001</v>
      </c>
      <c r="G639" s="2">
        <f t="shared" si="5"/>
        <v>38.582000000000001</v>
      </c>
    </row>
    <row r="640" spans="1:7" ht="14.25" customHeight="1">
      <c r="A640" s="2" t="s">
        <v>15</v>
      </c>
      <c r="B640" s="2">
        <v>1949</v>
      </c>
      <c r="C640" s="2" t="s">
        <v>53</v>
      </c>
      <c r="D640" s="2">
        <v>28560</v>
      </c>
      <c r="E640" s="3">
        <f t="shared" si="4"/>
        <v>28.56</v>
      </c>
      <c r="G640" s="2">
        <f t="shared" si="5"/>
        <v>28.56</v>
      </c>
    </row>
    <row r="641" spans="1:7" ht="14.25" customHeight="1">
      <c r="A641" s="2" t="s">
        <v>15</v>
      </c>
      <c r="B641" s="2">
        <v>1950</v>
      </c>
      <c r="C641" s="2" t="s">
        <v>53</v>
      </c>
      <c r="D641" s="2">
        <v>25788</v>
      </c>
      <c r="E641" s="3">
        <f t="shared" si="4"/>
        <v>25.788</v>
      </c>
      <c r="G641" s="2">
        <f t="shared" si="5"/>
        <v>25.788</v>
      </c>
    </row>
    <row r="642" spans="1:7" ht="14.25" customHeight="1">
      <c r="A642" s="2" t="s">
        <v>15</v>
      </c>
      <c r="B642" s="2">
        <v>1951</v>
      </c>
      <c r="C642" s="2" t="s">
        <v>53</v>
      </c>
      <c r="D642" s="2">
        <v>28439</v>
      </c>
      <c r="E642" s="3">
        <f t="shared" si="4"/>
        <v>28.439</v>
      </c>
      <c r="G642" s="2">
        <f t="shared" si="5"/>
        <v>28.439</v>
      </c>
    </row>
    <row r="643" spans="1:7" ht="14.25" customHeight="1">
      <c r="A643" s="2" t="s">
        <v>15</v>
      </c>
      <c r="B643" s="2">
        <v>1952</v>
      </c>
      <c r="C643" s="2" t="s">
        <v>53</v>
      </c>
      <c r="D643" s="2">
        <v>26699</v>
      </c>
      <c r="E643" s="3">
        <f t="shared" si="4"/>
        <v>26.699000000000002</v>
      </c>
      <c r="G643" s="2">
        <f t="shared" si="5"/>
        <v>26.699000000000002</v>
      </c>
    </row>
    <row r="644" spans="1:7" ht="14.25" customHeight="1">
      <c r="A644" s="2" t="s">
        <v>15</v>
      </c>
      <c r="B644" s="2">
        <v>1953</v>
      </c>
      <c r="C644" s="2" t="s">
        <v>53</v>
      </c>
      <c r="D644" s="2">
        <v>24960</v>
      </c>
      <c r="E644" s="3">
        <f t="shared" si="4"/>
        <v>24.96</v>
      </c>
      <c r="G644" s="2">
        <f t="shared" si="5"/>
        <v>24.96</v>
      </c>
    </row>
    <row r="645" spans="1:7" ht="14.25" customHeight="1">
      <c r="A645" s="2" t="s">
        <v>15</v>
      </c>
      <c r="B645" s="2">
        <v>1954</v>
      </c>
      <c r="C645" s="2" t="s">
        <v>53</v>
      </c>
      <c r="D645" s="2">
        <v>20183</v>
      </c>
      <c r="E645" s="3">
        <f t="shared" si="4"/>
        <v>20.183</v>
      </c>
      <c r="G645" s="2">
        <f t="shared" si="5"/>
        <v>20.183</v>
      </c>
    </row>
    <row r="646" spans="1:7" ht="14.25" customHeight="1">
      <c r="A646" s="2" t="s">
        <v>15</v>
      </c>
      <c r="B646" s="2">
        <v>1955</v>
      </c>
      <c r="C646" s="2" t="s">
        <v>53</v>
      </c>
      <c r="D646" s="2">
        <v>18939</v>
      </c>
      <c r="E646" s="3">
        <f t="shared" si="4"/>
        <v>18.939</v>
      </c>
      <c r="G646" s="2">
        <f t="shared" si="5"/>
        <v>18.939</v>
      </c>
    </row>
    <row r="647" spans="1:7" ht="14.25" customHeight="1">
      <c r="A647" s="2" t="s">
        <v>15</v>
      </c>
      <c r="B647" s="2">
        <v>1956</v>
      </c>
      <c r="C647" s="2" t="s">
        <v>53</v>
      </c>
      <c r="D647" s="2">
        <v>16787</v>
      </c>
      <c r="E647" s="3">
        <f t="shared" si="4"/>
        <v>16.786999999999999</v>
      </c>
      <c r="G647" s="2">
        <f t="shared" si="5"/>
        <v>16.786999999999999</v>
      </c>
    </row>
    <row r="648" spans="1:7" ht="14.25" customHeight="1">
      <c r="A648" s="2" t="s">
        <v>15</v>
      </c>
      <c r="B648" s="2">
        <v>1957</v>
      </c>
      <c r="C648" s="2" t="s">
        <v>53</v>
      </c>
      <c r="D648" s="2">
        <v>14421</v>
      </c>
      <c r="E648" s="3">
        <f t="shared" si="4"/>
        <v>14.420999999999999</v>
      </c>
      <c r="G648" s="2">
        <f t="shared" si="5"/>
        <v>14.420999999999999</v>
      </c>
    </row>
    <row r="649" spans="1:7" ht="14.25" customHeight="1">
      <c r="A649" s="2" t="s">
        <v>15</v>
      </c>
      <c r="B649" s="2">
        <v>1958</v>
      </c>
      <c r="C649" s="2" t="s">
        <v>53</v>
      </c>
      <c r="D649" s="2">
        <v>13106</v>
      </c>
      <c r="E649" s="3">
        <f t="shared" si="4"/>
        <v>13.106</v>
      </c>
      <c r="G649" s="2">
        <f t="shared" si="5"/>
        <v>13.106</v>
      </c>
    </row>
    <row r="650" spans="1:7" ht="14.25" customHeight="1">
      <c r="A650" s="2" t="s">
        <v>15</v>
      </c>
      <c r="B650" s="2">
        <v>1959</v>
      </c>
      <c r="C650" s="2" t="s">
        <v>53</v>
      </c>
      <c r="D650" s="2">
        <v>10592</v>
      </c>
      <c r="E650" s="3">
        <f t="shared" si="4"/>
        <v>10.592000000000001</v>
      </c>
      <c r="G650" s="2">
        <f t="shared" si="5"/>
        <v>10.592000000000001</v>
      </c>
    </row>
    <row r="651" spans="1:7" ht="14.25" customHeight="1">
      <c r="A651" s="2" t="s">
        <v>15</v>
      </c>
      <c r="B651" s="2">
        <v>1960</v>
      </c>
      <c r="C651" s="2" t="s">
        <v>53</v>
      </c>
      <c r="D651" s="2">
        <v>11668</v>
      </c>
      <c r="E651" s="3">
        <f t="shared" si="4"/>
        <v>11.667999999999999</v>
      </c>
      <c r="G651" s="2">
        <f t="shared" si="5"/>
        <v>11.667999999999999</v>
      </c>
    </row>
    <row r="652" spans="1:7" ht="14.25" customHeight="1">
      <c r="A652" s="2" t="s">
        <v>15</v>
      </c>
      <c r="B652" s="2">
        <v>1961</v>
      </c>
      <c r="C652" s="2" t="s">
        <v>53</v>
      </c>
      <c r="D652" s="2">
        <v>11845</v>
      </c>
      <c r="E652" s="3">
        <f t="shared" si="4"/>
        <v>11.845000000000001</v>
      </c>
      <c r="G652" s="2">
        <f t="shared" si="5"/>
        <v>11.845000000000001</v>
      </c>
    </row>
    <row r="653" spans="1:7" ht="14.25" customHeight="1">
      <c r="A653" s="2" t="s">
        <v>15</v>
      </c>
      <c r="B653" s="2">
        <v>1962</v>
      </c>
      <c r="C653" s="2" t="s">
        <v>53</v>
      </c>
      <c r="D653" s="2">
        <v>13812</v>
      </c>
      <c r="E653" s="3">
        <f t="shared" si="4"/>
        <v>13.811999999999999</v>
      </c>
      <c r="G653" s="2">
        <f t="shared" si="5"/>
        <v>13.811999999999999</v>
      </c>
    </row>
    <row r="654" spans="1:7" ht="14.25" customHeight="1">
      <c r="A654" s="2" t="s">
        <v>15</v>
      </c>
      <c r="B654" s="2">
        <v>1963</v>
      </c>
      <c r="C654" s="2" t="s">
        <v>53</v>
      </c>
      <c r="D654" s="2">
        <v>11971</v>
      </c>
      <c r="E654" s="3">
        <f t="shared" si="4"/>
        <v>11.971</v>
      </c>
      <c r="G654" s="2">
        <f t="shared" si="5"/>
        <v>11.971</v>
      </c>
    </row>
    <row r="655" spans="1:7" ht="14.25" customHeight="1">
      <c r="A655" s="2" t="s">
        <v>15</v>
      </c>
      <c r="B655" s="2">
        <v>1964</v>
      </c>
      <c r="C655" s="2" t="s">
        <v>53</v>
      </c>
      <c r="D655" s="2">
        <v>9366</v>
      </c>
      <c r="E655" s="3">
        <f t="shared" si="4"/>
        <v>9.3659999999999997</v>
      </c>
      <c r="G655" s="2">
        <f t="shared" si="5"/>
        <v>9.3659999999999997</v>
      </c>
    </row>
    <row r="656" spans="1:7" ht="14.25" customHeight="1">
      <c r="A656" s="2" t="s">
        <v>15</v>
      </c>
      <c r="B656" s="2">
        <v>1965</v>
      </c>
      <c r="C656" s="2" t="s">
        <v>53</v>
      </c>
      <c r="D656" s="2">
        <v>7822</v>
      </c>
      <c r="E656" s="3">
        <f t="shared" si="4"/>
        <v>7.8220000000000001</v>
      </c>
      <c r="G656" s="2">
        <f t="shared" si="5"/>
        <v>7.8220000000000001</v>
      </c>
    </row>
    <row r="657" spans="1:7" ht="14.25" customHeight="1">
      <c r="A657" s="2" t="s">
        <v>15</v>
      </c>
      <c r="B657" s="2">
        <v>1966</v>
      </c>
      <c r="C657" s="2" t="s">
        <v>53</v>
      </c>
      <c r="D657" s="2">
        <v>5987</v>
      </c>
      <c r="E657" s="3">
        <f t="shared" si="4"/>
        <v>5.9870000000000001</v>
      </c>
      <c r="G657" s="2">
        <f t="shared" si="5"/>
        <v>5.9870000000000001</v>
      </c>
    </row>
    <row r="658" spans="1:7" ht="14.25" customHeight="1">
      <c r="A658" s="2" t="s">
        <v>15</v>
      </c>
      <c r="B658" s="2">
        <v>1967</v>
      </c>
      <c r="C658" s="2" t="s">
        <v>53</v>
      </c>
      <c r="D658" s="2">
        <v>5004</v>
      </c>
      <c r="E658" s="3">
        <f t="shared" si="4"/>
        <v>5.0039999999999996</v>
      </c>
      <c r="G658" s="2">
        <f t="shared" si="5"/>
        <v>5.0039999999999996</v>
      </c>
    </row>
    <row r="659" spans="1:7" ht="14.25" customHeight="1">
      <c r="A659" s="2" t="s">
        <v>15</v>
      </c>
      <c r="B659" s="2">
        <v>1968</v>
      </c>
      <c r="C659" s="2" t="s">
        <v>53</v>
      </c>
      <c r="D659" s="2">
        <v>5481</v>
      </c>
      <c r="E659" s="3">
        <f t="shared" si="4"/>
        <v>5.4809999999999999</v>
      </c>
      <c r="G659" s="2">
        <f t="shared" si="5"/>
        <v>5.4809999999999999</v>
      </c>
    </row>
    <row r="660" spans="1:7" ht="14.25" customHeight="1">
      <c r="A660" s="2" t="s">
        <v>15</v>
      </c>
      <c r="B660" s="2">
        <v>1969</v>
      </c>
      <c r="C660" s="2" t="s">
        <v>53</v>
      </c>
      <c r="D660" s="2">
        <v>4463</v>
      </c>
      <c r="E660" s="3">
        <f t="shared" si="4"/>
        <v>4.4630000000000001</v>
      </c>
      <c r="G660" s="2">
        <f t="shared" si="5"/>
        <v>4.4630000000000001</v>
      </c>
    </row>
    <row r="661" spans="1:7" ht="14.25" customHeight="1">
      <c r="A661" s="2" t="s">
        <v>15</v>
      </c>
      <c r="B661" s="2">
        <v>1970</v>
      </c>
      <c r="C661" s="2" t="s">
        <v>53</v>
      </c>
      <c r="D661" s="2">
        <v>3295</v>
      </c>
      <c r="E661" s="3">
        <f t="shared" si="4"/>
        <v>3.2949999999999999</v>
      </c>
      <c r="G661" s="2">
        <f t="shared" si="5"/>
        <v>3.2949999999999999</v>
      </c>
    </row>
    <row r="662" spans="1:7" ht="14.25" customHeight="1">
      <c r="A662" s="2" t="s">
        <v>15</v>
      </c>
      <c r="B662" s="2">
        <v>1971</v>
      </c>
      <c r="C662" s="2" t="s">
        <v>53</v>
      </c>
      <c r="D662" s="2">
        <v>2787</v>
      </c>
      <c r="E662" s="3">
        <f t="shared" si="4"/>
        <v>2.7869999999999999</v>
      </c>
      <c r="G662" s="2">
        <f t="shared" si="5"/>
        <v>2.7869999999999999</v>
      </c>
    </row>
    <row r="663" spans="1:7" ht="14.25" customHeight="1">
      <c r="A663" s="2" t="s">
        <v>15</v>
      </c>
      <c r="B663" s="2">
        <v>1972</v>
      </c>
      <c r="C663" s="2" t="s">
        <v>53</v>
      </c>
      <c r="D663" s="2">
        <v>2918</v>
      </c>
      <c r="E663" s="3">
        <f t="shared" si="4"/>
        <v>2.9180000000000001</v>
      </c>
      <c r="G663" s="2">
        <f t="shared" si="5"/>
        <v>2.9180000000000001</v>
      </c>
    </row>
    <row r="664" spans="1:7" ht="14.25" customHeight="1">
      <c r="A664" s="2" t="s">
        <v>15</v>
      </c>
      <c r="B664" s="2">
        <v>1973</v>
      </c>
      <c r="C664" s="2" t="s">
        <v>53</v>
      </c>
      <c r="D664" s="2">
        <v>2760</v>
      </c>
      <c r="E664" s="3">
        <f t="shared" si="4"/>
        <v>2.76</v>
      </c>
      <c r="G664" s="2">
        <f t="shared" si="5"/>
        <v>2.76</v>
      </c>
    </row>
    <row r="665" spans="1:7" ht="14.25" customHeight="1">
      <c r="A665" s="2" t="s">
        <v>15</v>
      </c>
      <c r="B665" s="2">
        <v>1974</v>
      </c>
      <c r="C665" s="2" t="s">
        <v>53</v>
      </c>
      <c r="D665" s="2">
        <v>2558</v>
      </c>
      <c r="E665" s="3">
        <f t="shared" si="4"/>
        <v>2.5579999999999998</v>
      </c>
      <c r="G665" s="2">
        <f t="shared" si="5"/>
        <v>2.5579999999999998</v>
      </c>
    </row>
    <row r="666" spans="1:7" ht="14.25" customHeight="1">
      <c r="A666" s="2" t="s">
        <v>15</v>
      </c>
      <c r="B666" s="2">
        <v>1975</v>
      </c>
      <c r="C666" s="2" t="s">
        <v>53</v>
      </c>
      <c r="D666" s="2">
        <v>2827</v>
      </c>
      <c r="E666" s="3">
        <f t="shared" si="4"/>
        <v>2.827</v>
      </c>
      <c r="G666" s="2">
        <f t="shared" si="5"/>
        <v>2.827</v>
      </c>
    </row>
    <row r="667" spans="1:7" ht="14.25" customHeight="1">
      <c r="A667" s="2" t="s">
        <v>15</v>
      </c>
      <c r="B667" s="2">
        <v>1976</v>
      </c>
      <c r="C667" s="2" t="s">
        <v>53</v>
      </c>
      <c r="D667" s="2">
        <v>2075</v>
      </c>
      <c r="E667" s="3">
        <f t="shared" si="4"/>
        <v>2.0750000000000002</v>
      </c>
      <c r="G667" s="2">
        <f t="shared" si="5"/>
        <v>2.0750000000000002</v>
      </c>
    </row>
    <row r="668" spans="1:7" ht="14.25" customHeight="1">
      <c r="A668" s="2" t="s">
        <v>15</v>
      </c>
      <c r="B668" s="2">
        <v>1977</v>
      </c>
      <c r="C668" s="2" t="s">
        <v>53</v>
      </c>
      <c r="D668" s="2">
        <v>1864</v>
      </c>
      <c r="E668" s="3">
        <f t="shared" si="4"/>
        <v>1.8640000000000001</v>
      </c>
      <c r="G668" s="2">
        <f t="shared" si="5"/>
        <v>1.8640000000000001</v>
      </c>
    </row>
    <row r="669" spans="1:7" ht="14.25" customHeight="1">
      <c r="A669" s="2" t="s">
        <v>15</v>
      </c>
      <c r="B669" s="2">
        <v>1978</v>
      </c>
      <c r="C669" s="2" t="s">
        <v>53</v>
      </c>
      <c r="D669" s="2">
        <v>1971</v>
      </c>
      <c r="E669" s="3">
        <f t="shared" si="4"/>
        <v>1.9710000000000001</v>
      </c>
      <c r="G669" s="2">
        <f t="shared" si="5"/>
        <v>1.9710000000000001</v>
      </c>
    </row>
    <row r="670" spans="1:7" ht="14.25" customHeight="1">
      <c r="A670" s="2" t="s">
        <v>15</v>
      </c>
      <c r="B670" s="2">
        <v>1979</v>
      </c>
      <c r="C670" s="2" t="s">
        <v>53</v>
      </c>
      <c r="D670" s="2">
        <v>1829</v>
      </c>
      <c r="E670" s="3">
        <f t="shared" si="4"/>
        <v>1.829</v>
      </c>
      <c r="G670" s="2">
        <f t="shared" si="5"/>
        <v>1.829</v>
      </c>
    </row>
    <row r="671" spans="1:7" ht="14.25" customHeight="1">
      <c r="A671" s="2" t="s">
        <v>15</v>
      </c>
      <c r="B671" s="2">
        <v>1980</v>
      </c>
      <c r="C671" s="2" t="s">
        <v>53</v>
      </c>
      <c r="D671" s="2">
        <v>2457</v>
      </c>
      <c r="E671" s="3">
        <f t="shared" si="4"/>
        <v>2.4569999999999999</v>
      </c>
      <c r="G671" s="2">
        <f t="shared" si="5"/>
        <v>2.4569999999999999</v>
      </c>
    </row>
    <row r="672" spans="1:7" ht="14.25" customHeight="1">
      <c r="A672" s="2" t="s">
        <v>15</v>
      </c>
      <c r="B672" s="2">
        <v>1981</v>
      </c>
      <c r="C672" s="2" t="s">
        <v>53</v>
      </c>
      <c r="D672" s="2">
        <v>5676</v>
      </c>
      <c r="E672" s="3">
        <f t="shared" si="4"/>
        <v>5.6760000000000002</v>
      </c>
      <c r="G672" s="2">
        <f t="shared" si="5"/>
        <v>5.6760000000000002</v>
      </c>
    </row>
    <row r="673" spans="1:7" ht="14.25" customHeight="1">
      <c r="A673" s="2" t="s">
        <v>15</v>
      </c>
      <c r="B673" s="2">
        <v>1982</v>
      </c>
      <c r="C673" s="2" t="s">
        <v>53</v>
      </c>
      <c r="D673" s="2">
        <v>3687</v>
      </c>
      <c r="E673" s="3">
        <f t="shared" si="4"/>
        <v>3.6869999999999998</v>
      </c>
      <c r="G673" s="2">
        <f t="shared" si="5"/>
        <v>3.6869999999999998</v>
      </c>
    </row>
    <row r="674" spans="1:7" ht="14.25" customHeight="1">
      <c r="A674" s="2" t="s">
        <v>15</v>
      </c>
      <c r="B674" s="2">
        <v>1983</v>
      </c>
      <c r="C674" s="2" t="s">
        <v>53</v>
      </c>
      <c r="D674" s="2">
        <v>3257</v>
      </c>
      <c r="E674" s="3">
        <f t="shared" si="4"/>
        <v>3.2570000000000001</v>
      </c>
      <c r="G674" s="2">
        <f t="shared" si="5"/>
        <v>3.2570000000000001</v>
      </c>
    </row>
    <row r="675" spans="1:7" ht="14.25" customHeight="1">
      <c r="A675" s="2" t="s">
        <v>15</v>
      </c>
      <c r="B675" s="2">
        <v>1984</v>
      </c>
      <c r="C675" s="2" t="s">
        <v>53</v>
      </c>
      <c r="D675" s="2">
        <v>4563</v>
      </c>
      <c r="E675" s="3">
        <f t="shared" si="4"/>
        <v>4.5629999999999997</v>
      </c>
      <c r="G675" s="2">
        <f t="shared" si="5"/>
        <v>4.5629999999999997</v>
      </c>
    </row>
    <row r="676" spans="1:7" ht="14.25" customHeight="1">
      <c r="A676" s="2" t="s">
        <v>15</v>
      </c>
      <c r="B676" s="2">
        <v>1985</v>
      </c>
      <c r="C676" s="2" t="s">
        <v>53</v>
      </c>
      <c r="D676" s="2">
        <v>5562</v>
      </c>
      <c r="E676" s="3">
        <f t="shared" si="4"/>
        <v>5.5620000000000003</v>
      </c>
      <c r="G676" s="2">
        <f t="shared" si="5"/>
        <v>5.5620000000000003</v>
      </c>
    </row>
    <row r="677" spans="1:7" ht="14.25" customHeight="1">
      <c r="A677" s="2" t="s">
        <v>15</v>
      </c>
      <c r="B677" s="2">
        <v>1986</v>
      </c>
      <c r="C677" s="2" t="s">
        <v>53</v>
      </c>
      <c r="D677" s="2">
        <v>6154</v>
      </c>
      <c r="E677" s="3">
        <f t="shared" si="4"/>
        <v>6.1539999999999999</v>
      </c>
      <c r="G677" s="2">
        <f t="shared" si="5"/>
        <v>6.1539999999999999</v>
      </c>
    </row>
    <row r="678" spans="1:7" ht="14.25" customHeight="1">
      <c r="A678" s="2" t="s">
        <v>15</v>
      </c>
      <c r="B678" s="2">
        <v>1987</v>
      </c>
      <c r="C678" s="2" t="s">
        <v>53</v>
      </c>
      <c r="D678" s="2">
        <v>9307</v>
      </c>
      <c r="E678" s="3">
        <f t="shared" si="4"/>
        <v>9.3070000000000004</v>
      </c>
      <c r="G678" s="2">
        <f t="shared" si="5"/>
        <v>9.3070000000000004</v>
      </c>
    </row>
    <row r="679" spans="1:7" ht="14.25" customHeight="1">
      <c r="A679" s="2" t="s">
        <v>15</v>
      </c>
      <c r="B679" s="2">
        <v>1988</v>
      </c>
      <c r="C679" s="2" t="s">
        <v>53</v>
      </c>
      <c r="D679" s="2">
        <v>8297</v>
      </c>
      <c r="E679" s="3">
        <f t="shared" si="4"/>
        <v>8.2970000000000006</v>
      </c>
      <c r="G679" s="2">
        <f t="shared" si="5"/>
        <v>8.2970000000000006</v>
      </c>
    </row>
    <row r="680" spans="1:7" ht="14.25" customHeight="1">
      <c r="A680" s="2" t="s">
        <v>15</v>
      </c>
      <c r="B680" s="2">
        <v>1989</v>
      </c>
      <c r="C680" s="2" t="s">
        <v>53</v>
      </c>
      <c r="D680" s="2">
        <v>5953</v>
      </c>
      <c r="E680" s="3">
        <f t="shared" si="4"/>
        <v>5.9530000000000003</v>
      </c>
      <c r="G680" s="2">
        <f t="shared" si="5"/>
        <v>5.9530000000000003</v>
      </c>
    </row>
    <row r="681" spans="1:7" ht="14.25" customHeight="1">
      <c r="A681" s="2" t="s">
        <v>15</v>
      </c>
      <c r="B681" s="2">
        <v>1990</v>
      </c>
      <c r="C681" s="2" t="s">
        <v>53</v>
      </c>
      <c r="D681" s="2">
        <v>6177</v>
      </c>
      <c r="E681" s="3">
        <f t="shared" si="4"/>
        <v>6.1769999999999996</v>
      </c>
      <c r="G681" s="2">
        <f t="shared" si="5"/>
        <v>6.1769999999999996</v>
      </c>
    </row>
    <row r="682" spans="1:7" ht="14.25" customHeight="1">
      <c r="A682" s="2" t="s">
        <v>15</v>
      </c>
      <c r="B682" s="2">
        <v>1991</v>
      </c>
      <c r="C682" s="2" t="s">
        <v>53</v>
      </c>
      <c r="D682" s="2">
        <v>7789</v>
      </c>
      <c r="E682" s="3">
        <f t="shared" si="4"/>
        <v>7.7889999999999997</v>
      </c>
      <c r="G682" s="2">
        <f t="shared" si="5"/>
        <v>7.7889999999999997</v>
      </c>
    </row>
    <row r="683" spans="1:7" ht="14.25" customHeight="1">
      <c r="A683" s="2" t="s">
        <v>15</v>
      </c>
      <c r="B683" s="2">
        <v>1992</v>
      </c>
      <c r="C683" s="2" t="s">
        <v>53</v>
      </c>
      <c r="D683" s="2">
        <v>7577</v>
      </c>
      <c r="E683" s="3">
        <f t="shared" si="4"/>
        <v>7.577</v>
      </c>
      <c r="G683" s="2">
        <f t="shared" si="5"/>
        <v>7.577</v>
      </c>
    </row>
    <row r="684" spans="1:7" ht="14.25" customHeight="1">
      <c r="A684" s="2" t="s">
        <v>15</v>
      </c>
      <c r="B684" s="2">
        <v>1993</v>
      </c>
      <c r="C684" s="2" t="s">
        <v>53</v>
      </c>
      <c r="D684" s="2">
        <v>7380</v>
      </c>
      <c r="E684" s="3">
        <f t="shared" si="4"/>
        <v>7.38</v>
      </c>
      <c r="G684" s="2">
        <f t="shared" si="5"/>
        <v>7.38</v>
      </c>
    </row>
    <row r="685" spans="1:7" ht="14.25" customHeight="1">
      <c r="A685" s="2" t="s">
        <v>15</v>
      </c>
      <c r="B685" s="2">
        <v>1994</v>
      </c>
      <c r="C685" s="2" t="s">
        <v>53</v>
      </c>
      <c r="D685" s="2">
        <v>6120</v>
      </c>
      <c r="E685" s="3">
        <f t="shared" si="4"/>
        <v>6.12</v>
      </c>
      <c r="G685" s="2">
        <f t="shared" si="5"/>
        <v>6.12</v>
      </c>
    </row>
    <row r="686" spans="1:7" ht="14.25" customHeight="1">
      <c r="A686" s="2" t="s">
        <v>15</v>
      </c>
      <c r="B686" s="2">
        <v>1995</v>
      </c>
      <c r="C686" s="2" t="s">
        <v>53</v>
      </c>
      <c r="D686" s="2">
        <v>5614</v>
      </c>
      <c r="E686" s="3">
        <f t="shared" si="4"/>
        <v>5.6139999999999999</v>
      </c>
      <c r="G686" s="2">
        <f t="shared" si="5"/>
        <v>5.6139999999999999</v>
      </c>
    </row>
    <row r="687" spans="1:7" ht="14.25" customHeight="1">
      <c r="A687" s="2" t="s">
        <v>15</v>
      </c>
      <c r="B687" s="2">
        <v>1996</v>
      </c>
      <c r="C687" s="2" t="s">
        <v>53</v>
      </c>
      <c r="D687" s="2">
        <v>5378</v>
      </c>
      <c r="E687" s="3">
        <f t="shared" si="4"/>
        <v>5.3780000000000001</v>
      </c>
      <c r="G687" s="2">
        <f t="shared" si="5"/>
        <v>5.3780000000000001</v>
      </c>
    </row>
    <row r="688" spans="1:7" ht="14.25" customHeight="1">
      <c r="A688" s="2" t="s">
        <v>15</v>
      </c>
      <c r="B688" s="2">
        <v>1997</v>
      </c>
      <c r="C688" s="2" t="s">
        <v>53</v>
      </c>
      <c r="D688" s="2">
        <v>5717</v>
      </c>
      <c r="E688" s="3">
        <f t="shared" si="4"/>
        <v>5.7169999999999996</v>
      </c>
      <c r="G688" s="2">
        <f t="shared" si="5"/>
        <v>5.7169999999999996</v>
      </c>
    </row>
    <row r="689" spans="1:7" ht="14.25" customHeight="1">
      <c r="A689" s="2" t="s">
        <v>15</v>
      </c>
      <c r="B689" s="2">
        <v>1998</v>
      </c>
      <c r="C689" s="2" t="s">
        <v>53</v>
      </c>
      <c r="D689" s="2">
        <v>5168</v>
      </c>
      <c r="E689" s="3">
        <f t="shared" si="4"/>
        <v>5.1680000000000001</v>
      </c>
      <c r="G689" s="2">
        <f t="shared" si="5"/>
        <v>5.1680000000000001</v>
      </c>
    </row>
    <row r="690" spans="1:7" ht="14.25" customHeight="1">
      <c r="A690" s="2" t="s">
        <v>15</v>
      </c>
      <c r="B690" s="2">
        <v>1999</v>
      </c>
      <c r="C690" s="2" t="s">
        <v>53</v>
      </c>
      <c r="D690" s="2">
        <v>5537</v>
      </c>
      <c r="E690" s="3">
        <f t="shared" si="4"/>
        <v>5.5369999999999999</v>
      </c>
      <c r="G690" s="2">
        <f t="shared" si="5"/>
        <v>5.5369999999999999</v>
      </c>
    </row>
    <row r="691" spans="1:7" ht="14.25" customHeight="1">
      <c r="A691" s="2" t="s">
        <v>15</v>
      </c>
      <c r="B691" s="2">
        <v>2000</v>
      </c>
      <c r="C691" s="2" t="s">
        <v>53</v>
      </c>
      <c r="D691" s="2">
        <v>4519</v>
      </c>
      <c r="E691" s="3">
        <f t="shared" si="4"/>
        <v>4.5190000000000001</v>
      </c>
      <c r="G691" s="2">
        <f t="shared" si="5"/>
        <v>4.5190000000000001</v>
      </c>
    </row>
    <row r="692" spans="1:7" ht="14.25" customHeight="1">
      <c r="A692" s="2" t="s">
        <v>15</v>
      </c>
      <c r="B692" s="2">
        <v>2001</v>
      </c>
      <c r="C692" s="2" t="s">
        <v>53</v>
      </c>
      <c r="D692" s="2">
        <v>2774</v>
      </c>
      <c r="E692" s="3">
        <f t="shared" si="4"/>
        <v>2.774</v>
      </c>
      <c r="G692" s="2">
        <f t="shared" si="5"/>
        <v>2.774</v>
      </c>
    </row>
    <row r="693" spans="1:7" ht="14.25" customHeight="1">
      <c r="A693" s="2" t="s">
        <v>15</v>
      </c>
      <c r="B693" s="2">
        <v>2002</v>
      </c>
      <c r="C693" s="2" t="s">
        <v>53</v>
      </c>
      <c r="D693" s="2">
        <v>2663</v>
      </c>
      <c r="E693" s="3">
        <f t="shared" si="4"/>
        <v>2.6629999999999998</v>
      </c>
      <c r="G693" s="2">
        <f t="shared" si="5"/>
        <v>2.6629999999999998</v>
      </c>
    </row>
    <row r="694" spans="1:7" ht="14.25" customHeight="1">
      <c r="A694" s="2" t="s">
        <v>15</v>
      </c>
      <c r="B694" s="2">
        <v>2003</v>
      </c>
      <c r="C694" s="2" t="s">
        <v>53</v>
      </c>
      <c r="D694" s="2">
        <v>2657</v>
      </c>
      <c r="E694" s="3">
        <f t="shared" si="4"/>
        <v>2.657</v>
      </c>
      <c r="G694" s="2">
        <f t="shared" si="5"/>
        <v>2.657</v>
      </c>
    </row>
    <row r="695" spans="1:7" ht="14.25" customHeight="1">
      <c r="A695" s="2" t="s">
        <v>15</v>
      </c>
      <c r="B695" s="2">
        <v>2004</v>
      </c>
      <c r="C695" s="2" t="s">
        <v>53</v>
      </c>
      <c r="D695" s="2">
        <v>3015</v>
      </c>
      <c r="E695" s="3">
        <f t="shared" si="4"/>
        <v>3.0150000000000001</v>
      </c>
      <c r="G695" s="2">
        <f t="shared" si="5"/>
        <v>3.0150000000000001</v>
      </c>
    </row>
    <row r="696" spans="1:7" ht="14.25" customHeight="1">
      <c r="A696" s="2" t="s">
        <v>15</v>
      </c>
      <c r="B696" s="2">
        <v>2005</v>
      </c>
      <c r="C696" s="2" t="s">
        <v>53</v>
      </c>
      <c r="D696" s="2">
        <v>4939</v>
      </c>
      <c r="E696" s="3">
        <f t="shared" si="4"/>
        <v>4.9390000000000001</v>
      </c>
      <c r="G696" s="2">
        <f t="shared" si="5"/>
        <v>4.9390000000000001</v>
      </c>
    </row>
    <row r="697" spans="1:7" ht="14.25" customHeight="1">
      <c r="A697" s="2" t="s">
        <v>15</v>
      </c>
      <c r="B697" s="2">
        <v>2006</v>
      </c>
      <c r="C697" s="2" t="s">
        <v>53</v>
      </c>
      <c r="D697" s="2">
        <v>3875.06</v>
      </c>
      <c r="E697" s="3">
        <f t="shared" si="4"/>
        <v>3.8750599999999999</v>
      </c>
      <c r="G697" s="2">
        <f t="shared" si="5"/>
        <v>3.8750599999999999</v>
      </c>
    </row>
    <row r="698" spans="1:7" ht="14.25" customHeight="1">
      <c r="A698" s="2" t="s">
        <v>15</v>
      </c>
      <c r="B698" s="2">
        <v>2007</v>
      </c>
      <c r="C698" s="2" t="s">
        <v>53</v>
      </c>
      <c r="D698" s="2">
        <v>4576.13</v>
      </c>
      <c r="E698" s="3">
        <f t="shared" si="4"/>
        <v>4.57613</v>
      </c>
      <c r="G698" s="2">
        <f t="shared" si="5"/>
        <v>4.57613</v>
      </c>
    </row>
    <row r="699" spans="1:7" ht="14.25" customHeight="1">
      <c r="A699" s="2" t="s">
        <v>15</v>
      </c>
      <c r="B699" s="2">
        <v>2008</v>
      </c>
      <c r="C699" s="2" t="s">
        <v>53</v>
      </c>
      <c r="D699" s="2">
        <v>6061.08</v>
      </c>
      <c r="E699" s="3">
        <f t="shared" si="4"/>
        <v>6.0610799999999996</v>
      </c>
      <c r="G699" s="2">
        <f t="shared" si="5"/>
        <v>6.0610799999999996</v>
      </c>
    </row>
    <row r="700" spans="1:7" ht="14.25" customHeight="1">
      <c r="A700" s="2" t="s">
        <v>15</v>
      </c>
      <c r="B700" s="2">
        <v>2009</v>
      </c>
      <c r="C700" s="2" t="s">
        <v>53</v>
      </c>
      <c r="D700" s="2">
        <v>7921.95</v>
      </c>
      <c r="E700" s="3">
        <f t="shared" si="4"/>
        <v>7.9219499999999998</v>
      </c>
      <c r="G700" s="2">
        <f t="shared" si="5"/>
        <v>7.9219499999999998</v>
      </c>
    </row>
    <row r="701" spans="1:7" ht="14.25" customHeight="1">
      <c r="A701" s="2" t="s">
        <v>15</v>
      </c>
      <c r="B701" s="2">
        <v>2010</v>
      </c>
      <c r="C701" s="2" t="s">
        <v>53</v>
      </c>
      <c r="D701" s="2">
        <v>6926.9</v>
      </c>
      <c r="E701" s="3">
        <f t="shared" si="4"/>
        <v>6.9268999999999998</v>
      </c>
      <c r="G701" s="2">
        <f t="shared" si="5"/>
        <v>6.9268999999999998</v>
      </c>
    </row>
    <row r="702" spans="1:7" ht="14.25" customHeight="1">
      <c r="A702" s="2" t="s">
        <v>15</v>
      </c>
      <c r="B702" s="2">
        <v>2011</v>
      </c>
      <c r="C702" s="2" t="s">
        <v>53</v>
      </c>
      <c r="D702" s="2">
        <v>8022.8</v>
      </c>
      <c r="E702" s="3">
        <f t="shared" si="4"/>
        <v>8.0228000000000002</v>
      </c>
      <c r="G702" s="2">
        <f t="shared" si="5"/>
        <v>8.0228000000000002</v>
      </c>
    </row>
    <row r="703" spans="1:7" ht="14.25" customHeight="1">
      <c r="A703" s="2" t="s">
        <v>15</v>
      </c>
      <c r="B703" s="2">
        <v>2012</v>
      </c>
      <c r="C703" s="2" t="s">
        <v>53</v>
      </c>
      <c r="D703" s="2">
        <v>8321.4</v>
      </c>
      <c r="E703" s="3">
        <f t="shared" si="4"/>
        <v>8.3213999999999988</v>
      </c>
      <c r="G703" s="2">
        <f t="shared" si="5"/>
        <v>8.3213999999999988</v>
      </c>
    </row>
    <row r="704" spans="1:7" ht="14.25" customHeight="1">
      <c r="A704" s="2" t="s">
        <v>15</v>
      </c>
      <c r="B704" s="2">
        <v>2013</v>
      </c>
      <c r="C704" s="2" t="s">
        <v>53</v>
      </c>
      <c r="D704" s="2">
        <v>8935.5</v>
      </c>
      <c r="E704" s="3">
        <f t="shared" si="4"/>
        <v>8.9354999999999993</v>
      </c>
      <c r="G704" s="2">
        <f t="shared" si="5"/>
        <v>8.9354999999999993</v>
      </c>
    </row>
    <row r="705" spans="1:7" ht="14.25" customHeight="1">
      <c r="A705" s="2" t="s">
        <v>15</v>
      </c>
      <c r="B705" s="2">
        <v>2014</v>
      </c>
      <c r="C705" s="2" t="s">
        <v>53</v>
      </c>
      <c r="D705" s="2">
        <v>11328.67</v>
      </c>
      <c r="E705" s="3">
        <f t="shared" si="4"/>
        <v>11.328670000000001</v>
      </c>
      <c r="G705" s="2">
        <f t="shared" si="5"/>
        <v>11.328670000000001</v>
      </c>
    </row>
    <row r="706" spans="1:7" ht="14.25" customHeight="1">
      <c r="A706" s="2" t="s">
        <v>15</v>
      </c>
      <c r="B706" s="2">
        <v>2015</v>
      </c>
      <c r="C706" s="2" t="s">
        <v>53</v>
      </c>
      <c r="D706" s="2">
        <v>12670.2</v>
      </c>
      <c r="E706" s="3">
        <f t="shared" si="4"/>
        <v>12.670200000000001</v>
      </c>
      <c r="G706" s="2">
        <f t="shared" si="5"/>
        <v>12.670200000000001</v>
      </c>
    </row>
    <row r="707" spans="1:7" ht="14.25" customHeight="1">
      <c r="A707" s="2" t="s">
        <v>15</v>
      </c>
      <c r="B707" s="2">
        <v>2016</v>
      </c>
      <c r="C707" s="2" t="s">
        <v>53</v>
      </c>
      <c r="D707" s="2">
        <v>14361.63</v>
      </c>
      <c r="E707" s="3">
        <f t="shared" si="4"/>
        <v>14.36163</v>
      </c>
      <c r="G707" s="2">
        <f t="shared" si="5"/>
        <v>14.36163</v>
      </c>
    </row>
    <row r="708" spans="1:7" ht="14.25" customHeight="1">
      <c r="A708" s="2" t="s">
        <v>15</v>
      </c>
      <c r="B708" s="2">
        <v>2017</v>
      </c>
      <c r="C708" s="2" t="s">
        <v>53</v>
      </c>
      <c r="D708" s="2">
        <v>14868.37</v>
      </c>
      <c r="E708" s="3">
        <f t="shared" si="4"/>
        <v>14.868370000000001</v>
      </c>
      <c r="G708" s="2">
        <f t="shared" si="5"/>
        <v>14.868370000000001</v>
      </c>
    </row>
    <row r="709" spans="1:7" ht="14.25" customHeight="1">
      <c r="A709" s="2" t="s">
        <v>15</v>
      </c>
      <c r="B709" s="2">
        <v>2018</v>
      </c>
      <c r="C709" s="2" t="s">
        <v>53</v>
      </c>
      <c r="D709" s="2">
        <v>12660.316000000001</v>
      </c>
      <c r="E709" s="3">
        <f t="shared" si="4"/>
        <v>12.660316</v>
      </c>
      <c r="G709" s="2">
        <f t="shared" si="5"/>
        <v>12.660316</v>
      </c>
    </row>
    <row r="710" spans="1:7" ht="14.25" customHeight="1">
      <c r="A710" s="2" t="s">
        <v>15</v>
      </c>
      <c r="B710" s="2">
        <v>1903</v>
      </c>
      <c r="C710" s="2" t="s">
        <v>54</v>
      </c>
      <c r="D710" s="2">
        <v>6812</v>
      </c>
      <c r="E710" s="3">
        <f t="shared" si="4"/>
        <v>6.8120000000000003</v>
      </c>
      <c r="G710" s="2">
        <f t="shared" si="5"/>
        <v>6.8120000000000003</v>
      </c>
    </row>
    <row r="711" spans="1:7" ht="14.25" customHeight="1">
      <c r="A711" s="2" t="s">
        <v>15</v>
      </c>
      <c r="B711" s="2">
        <v>1904</v>
      </c>
      <c r="C711" s="2" t="s">
        <v>54</v>
      </c>
      <c r="D711" s="2">
        <v>8144</v>
      </c>
      <c r="E711" s="3">
        <f t="shared" si="4"/>
        <v>8.1440000000000001</v>
      </c>
      <c r="G711" s="2">
        <f t="shared" si="5"/>
        <v>8.1440000000000001</v>
      </c>
    </row>
    <row r="712" spans="1:7" ht="14.25" customHeight="1">
      <c r="A712" s="2" t="s">
        <v>15</v>
      </c>
      <c r="B712" s="2">
        <v>1905</v>
      </c>
      <c r="C712" s="2" t="s">
        <v>54</v>
      </c>
      <c r="D712" s="2">
        <v>7509</v>
      </c>
      <c r="E712" s="3">
        <f t="shared" si="4"/>
        <v>7.5090000000000003</v>
      </c>
      <c r="G712" s="2">
        <f t="shared" si="5"/>
        <v>7.5090000000000003</v>
      </c>
    </row>
    <row r="713" spans="1:7" ht="14.25" customHeight="1">
      <c r="A713" s="2" t="s">
        <v>15</v>
      </c>
      <c r="B713" s="2">
        <v>1906</v>
      </c>
      <c r="C713" s="2" t="s">
        <v>54</v>
      </c>
      <c r="D713" s="2">
        <v>10134</v>
      </c>
      <c r="E713" s="3">
        <f t="shared" si="4"/>
        <v>10.134</v>
      </c>
      <c r="G713" s="2">
        <f t="shared" si="5"/>
        <v>10.134</v>
      </c>
    </row>
    <row r="714" spans="1:7" ht="14.25" customHeight="1">
      <c r="A714" s="2" t="s">
        <v>15</v>
      </c>
      <c r="B714" s="2">
        <v>1907</v>
      </c>
      <c r="C714" s="2" t="s">
        <v>54</v>
      </c>
      <c r="D714" s="2">
        <v>12720</v>
      </c>
      <c r="E714" s="3">
        <f t="shared" si="4"/>
        <v>12.72</v>
      </c>
      <c r="G714" s="2">
        <f t="shared" si="5"/>
        <v>12.72</v>
      </c>
    </row>
    <row r="715" spans="1:7" ht="14.25" customHeight="1">
      <c r="A715" s="2" t="s">
        <v>15</v>
      </c>
      <c r="B715" s="2">
        <v>1908</v>
      </c>
      <c r="C715" s="2" t="s">
        <v>54</v>
      </c>
      <c r="D715" s="2">
        <v>12692</v>
      </c>
      <c r="E715" s="3">
        <f t="shared" si="4"/>
        <v>12.692</v>
      </c>
      <c r="G715" s="2">
        <f t="shared" si="5"/>
        <v>12.692</v>
      </c>
    </row>
    <row r="716" spans="1:7" ht="14.25" customHeight="1">
      <c r="A716" s="2" t="s">
        <v>15</v>
      </c>
      <c r="B716" s="2">
        <v>1909</v>
      </c>
      <c r="C716" s="2" t="s">
        <v>54</v>
      </c>
      <c r="D716" s="2">
        <v>10756</v>
      </c>
      <c r="E716" s="3">
        <f t="shared" si="4"/>
        <v>10.756</v>
      </c>
      <c r="G716" s="2">
        <f t="shared" si="5"/>
        <v>10.756</v>
      </c>
    </row>
    <row r="717" spans="1:7" ht="14.25" customHeight="1">
      <c r="A717" s="2" t="s">
        <v>15</v>
      </c>
      <c r="B717" s="2">
        <v>1910</v>
      </c>
      <c r="C717" s="2" t="s">
        <v>54</v>
      </c>
      <c r="D717" s="2">
        <v>10279</v>
      </c>
      <c r="E717" s="3">
        <f t="shared" si="4"/>
        <v>10.279</v>
      </c>
      <c r="G717" s="2">
        <f t="shared" si="5"/>
        <v>10.279</v>
      </c>
    </row>
    <row r="718" spans="1:7" ht="14.25" customHeight="1">
      <c r="A718" s="2" t="s">
        <v>15</v>
      </c>
      <c r="B718" s="2">
        <v>1911</v>
      </c>
      <c r="C718" s="2" t="s">
        <v>54</v>
      </c>
      <c r="D718" s="2">
        <v>9936</v>
      </c>
      <c r="E718" s="3">
        <f t="shared" si="4"/>
        <v>9.9359999999999999</v>
      </c>
      <c r="G718" s="2">
        <f t="shared" si="5"/>
        <v>9.9359999999999999</v>
      </c>
    </row>
    <row r="719" spans="1:7" ht="14.25" customHeight="1">
      <c r="A719" s="2" t="s">
        <v>15</v>
      </c>
      <c r="B719" s="2">
        <v>1912</v>
      </c>
      <c r="C719" s="2" t="s">
        <v>54</v>
      </c>
      <c r="D719" s="2">
        <v>8411</v>
      </c>
      <c r="E719" s="3">
        <f t="shared" si="4"/>
        <v>8.4109999999999996</v>
      </c>
      <c r="G719" s="2">
        <f t="shared" si="5"/>
        <v>8.4109999999999996</v>
      </c>
    </row>
    <row r="720" spans="1:7" ht="14.25" customHeight="1">
      <c r="A720" s="2" t="s">
        <v>15</v>
      </c>
      <c r="B720" s="2">
        <v>1913</v>
      </c>
      <c r="C720" s="2" t="s">
        <v>54</v>
      </c>
      <c r="D720" s="2">
        <v>7875</v>
      </c>
      <c r="E720" s="3">
        <f t="shared" si="4"/>
        <v>7.875</v>
      </c>
      <c r="G720" s="2">
        <f t="shared" si="5"/>
        <v>7.875</v>
      </c>
    </row>
    <row r="721" spans="1:7" ht="14.25" customHeight="1">
      <c r="A721" s="2" t="s">
        <v>15</v>
      </c>
      <c r="B721" s="2">
        <v>1914</v>
      </c>
      <c r="C721" s="2" t="s">
        <v>54</v>
      </c>
      <c r="D721" s="2">
        <v>7800</v>
      </c>
      <c r="E721" s="3">
        <f t="shared" si="4"/>
        <v>7.8</v>
      </c>
      <c r="G721" s="2">
        <f t="shared" si="5"/>
        <v>7.8</v>
      </c>
    </row>
    <row r="722" spans="1:7" ht="14.25" customHeight="1">
      <c r="A722" s="2" t="s">
        <v>15</v>
      </c>
      <c r="B722" s="2">
        <v>1915</v>
      </c>
      <c r="C722" s="2" t="s">
        <v>54</v>
      </c>
      <c r="D722" s="2">
        <v>2170</v>
      </c>
      <c r="E722" s="3">
        <f t="shared" si="4"/>
        <v>2.17</v>
      </c>
      <c r="G722" s="2">
        <f t="shared" si="5"/>
        <v>2.17</v>
      </c>
    </row>
    <row r="723" spans="1:7" ht="14.25" customHeight="1">
      <c r="A723" s="2" t="s">
        <v>15</v>
      </c>
      <c r="B723" s="2">
        <v>1916</v>
      </c>
      <c r="C723" s="2" t="s">
        <v>54</v>
      </c>
      <c r="D723" s="2">
        <v>2104</v>
      </c>
      <c r="E723" s="3">
        <f t="shared" si="4"/>
        <v>2.1040000000000001</v>
      </c>
      <c r="G723" s="2">
        <f t="shared" si="5"/>
        <v>2.1040000000000001</v>
      </c>
    </row>
    <row r="724" spans="1:7" ht="14.25" customHeight="1">
      <c r="A724" s="2" t="s">
        <v>15</v>
      </c>
      <c r="B724" s="2">
        <v>1917</v>
      </c>
      <c r="C724" s="2" t="s">
        <v>54</v>
      </c>
      <c r="D724" s="2">
        <v>734</v>
      </c>
      <c r="E724" s="3">
        <f t="shared" si="4"/>
        <v>0.73399999999999999</v>
      </c>
      <c r="G724" s="2">
        <f t="shared" si="5"/>
        <v>0.73399999999999999</v>
      </c>
    </row>
    <row r="725" spans="1:7" ht="14.25" customHeight="1">
      <c r="A725" s="2" t="s">
        <v>15</v>
      </c>
      <c r="B725" s="2">
        <v>1918</v>
      </c>
      <c r="C725" s="2" t="s">
        <v>54</v>
      </c>
      <c r="D725" s="2">
        <v>732</v>
      </c>
      <c r="E725" s="3">
        <f t="shared" si="4"/>
        <v>0.73199999999999998</v>
      </c>
      <c r="G725" s="2">
        <f t="shared" si="5"/>
        <v>0.73199999999999998</v>
      </c>
    </row>
    <row r="726" spans="1:7" ht="14.25" customHeight="1">
      <c r="A726" s="2" t="s">
        <v>15</v>
      </c>
      <c r="B726" s="2">
        <v>1919</v>
      </c>
      <c r="C726" s="2" t="s">
        <v>54</v>
      </c>
      <c r="D726" s="2">
        <v>3943</v>
      </c>
      <c r="E726" s="3">
        <f t="shared" si="4"/>
        <v>3.9430000000000001</v>
      </c>
      <c r="G726" s="2">
        <f t="shared" si="5"/>
        <v>3.9430000000000001</v>
      </c>
    </row>
    <row r="727" spans="1:7" ht="14.25" customHeight="1">
      <c r="A727" s="2" t="s">
        <v>15</v>
      </c>
      <c r="B727" s="2">
        <v>1920</v>
      </c>
      <c r="C727" s="2" t="s">
        <v>54</v>
      </c>
      <c r="D727" s="2">
        <v>7591</v>
      </c>
      <c r="E727" s="3">
        <f t="shared" si="4"/>
        <v>7.5910000000000002</v>
      </c>
      <c r="G727" s="2">
        <f t="shared" si="5"/>
        <v>7.5910000000000002</v>
      </c>
    </row>
    <row r="728" spans="1:7" ht="14.25" customHeight="1">
      <c r="A728" s="2" t="s">
        <v>15</v>
      </c>
      <c r="B728" s="2">
        <v>1921</v>
      </c>
      <c r="C728" s="2" t="s">
        <v>54</v>
      </c>
      <c r="D728" s="2">
        <v>8294</v>
      </c>
      <c r="E728" s="3">
        <f t="shared" si="4"/>
        <v>8.2940000000000005</v>
      </c>
      <c r="G728" s="2">
        <f t="shared" si="5"/>
        <v>8.2940000000000005</v>
      </c>
    </row>
    <row r="729" spans="1:7" ht="14.25" customHeight="1">
      <c r="A729" s="2" t="s">
        <v>15</v>
      </c>
      <c r="B729" s="2">
        <v>1922</v>
      </c>
      <c r="C729" s="2" t="s">
        <v>54</v>
      </c>
      <c r="D729" s="2">
        <v>11721</v>
      </c>
      <c r="E729" s="3">
        <f t="shared" si="4"/>
        <v>11.721</v>
      </c>
      <c r="G729" s="2">
        <f t="shared" si="5"/>
        <v>11.721</v>
      </c>
    </row>
    <row r="730" spans="1:7" ht="14.25" customHeight="1">
      <c r="A730" s="2" t="s">
        <v>15</v>
      </c>
      <c r="B730" s="2">
        <v>1923</v>
      </c>
      <c r="C730" s="2" t="s">
        <v>54</v>
      </c>
      <c r="D730" s="2">
        <v>11241</v>
      </c>
      <c r="E730" s="3">
        <f t="shared" si="4"/>
        <v>11.241</v>
      </c>
      <c r="G730" s="2">
        <f t="shared" si="5"/>
        <v>11.241</v>
      </c>
    </row>
    <row r="731" spans="1:7" ht="14.25" customHeight="1">
      <c r="A731" s="2" t="s">
        <v>15</v>
      </c>
      <c r="B731" s="2">
        <v>1924</v>
      </c>
      <c r="C731" s="2" t="s">
        <v>54</v>
      </c>
      <c r="D731" s="2">
        <v>10515</v>
      </c>
      <c r="E731" s="3">
        <f t="shared" si="4"/>
        <v>10.515000000000001</v>
      </c>
      <c r="G731" s="2">
        <f t="shared" si="5"/>
        <v>10.515000000000001</v>
      </c>
    </row>
    <row r="732" spans="1:7" ht="14.25" customHeight="1">
      <c r="A732" s="2" t="s">
        <v>15</v>
      </c>
      <c r="B732" s="2">
        <v>1925</v>
      </c>
      <c r="C732" s="2" t="s">
        <v>54</v>
      </c>
      <c r="D732" s="2">
        <v>9698</v>
      </c>
      <c r="E732" s="3">
        <f t="shared" si="4"/>
        <v>9.6980000000000004</v>
      </c>
      <c r="G732" s="2">
        <f t="shared" si="5"/>
        <v>9.6980000000000004</v>
      </c>
    </row>
    <row r="733" spans="1:7" ht="14.25" customHeight="1">
      <c r="A733" s="2" t="s">
        <v>15</v>
      </c>
      <c r="B733" s="2">
        <v>1926</v>
      </c>
      <c r="C733" s="2" t="s">
        <v>54</v>
      </c>
      <c r="D733" s="2">
        <v>7122</v>
      </c>
      <c r="E733" s="3">
        <f t="shared" si="4"/>
        <v>7.1219999999999999</v>
      </c>
      <c r="G733" s="2">
        <f t="shared" si="5"/>
        <v>7.1219999999999999</v>
      </c>
    </row>
    <row r="734" spans="1:7" ht="14.25" customHeight="1">
      <c r="A734" s="2" t="s">
        <v>15</v>
      </c>
      <c r="B734" s="2">
        <v>1927</v>
      </c>
      <c r="C734" s="2" t="s">
        <v>54</v>
      </c>
      <c r="D734" s="2">
        <v>7800</v>
      </c>
      <c r="E734" s="3">
        <f t="shared" si="4"/>
        <v>7.8</v>
      </c>
      <c r="G734" s="2">
        <f t="shared" si="5"/>
        <v>7.8</v>
      </c>
    </row>
    <row r="735" spans="1:7" ht="14.25" customHeight="1">
      <c r="A735" s="2" t="s">
        <v>15</v>
      </c>
      <c r="B735" s="2">
        <v>1928</v>
      </c>
      <c r="C735" s="2" t="s">
        <v>54</v>
      </c>
      <c r="D735" s="2">
        <v>5496</v>
      </c>
      <c r="E735" s="3">
        <f t="shared" si="4"/>
        <v>5.4960000000000004</v>
      </c>
      <c r="G735" s="2">
        <f t="shared" si="5"/>
        <v>5.4960000000000004</v>
      </c>
    </row>
    <row r="736" spans="1:7" ht="14.25" customHeight="1">
      <c r="A736" s="2" t="s">
        <v>15</v>
      </c>
      <c r="B736" s="2">
        <v>1929</v>
      </c>
      <c r="C736" s="2" t="s">
        <v>54</v>
      </c>
      <c r="D736" s="2">
        <v>4452</v>
      </c>
      <c r="E736" s="3">
        <f t="shared" si="4"/>
        <v>4.452</v>
      </c>
      <c r="G736" s="2">
        <f t="shared" si="5"/>
        <v>4.452</v>
      </c>
    </row>
    <row r="737" spans="1:7" ht="14.25" customHeight="1">
      <c r="A737" s="2" t="s">
        <v>15</v>
      </c>
      <c r="B737" s="2">
        <v>1930</v>
      </c>
      <c r="C737" s="2" t="s">
        <v>54</v>
      </c>
      <c r="D737" s="2">
        <v>4535</v>
      </c>
      <c r="E737" s="3">
        <f t="shared" si="4"/>
        <v>4.5350000000000001</v>
      </c>
      <c r="G737" s="2">
        <f t="shared" si="5"/>
        <v>4.5350000000000001</v>
      </c>
    </row>
    <row r="738" spans="1:7" ht="14.25" customHeight="1">
      <c r="A738" s="2" t="s">
        <v>15</v>
      </c>
      <c r="B738" s="2">
        <v>1931</v>
      </c>
      <c r="C738" s="2" t="s">
        <v>54</v>
      </c>
      <c r="D738" s="2">
        <v>4506</v>
      </c>
      <c r="E738" s="3">
        <f t="shared" si="4"/>
        <v>4.5060000000000002</v>
      </c>
      <c r="G738" s="2">
        <f t="shared" si="5"/>
        <v>4.5060000000000002</v>
      </c>
    </row>
    <row r="739" spans="1:7" ht="14.25" customHeight="1">
      <c r="A739" s="2" t="s">
        <v>15</v>
      </c>
      <c r="B739" s="2">
        <v>1932</v>
      </c>
      <c r="C739" s="2" t="s">
        <v>54</v>
      </c>
      <c r="D739" s="2">
        <v>5135</v>
      </c>
      <c r="E739" s="3">
        <f t="shared" si="4"/>
        <v>5.1349999999999998</v>
      </c>
      <c r="G739" s="2">
        <f t="shared" si="5"/>
        <v>5.1349999999999998</v>
      </c>
    </row>
    <row r="740" spans="1:7" ht="14.25" customHeight="1">
      <c r="A740" s="2" t="s">
        <v>15</v>
      </c>
      <c r="B740" s="2">
        <v>1933</v>
      </c>
      <c r="C740" s="2" t="s">
        <v>54</v>
      </c>
      <c r="D740" s="2">
        <v>4844</v>
      </c>
      <c r="E740" s="3">
        <f t="shared" si="4"/>
        <v>4.8440000000000003</v>
      </c>
      <c r="G740" s="2">
        <f t="shared" si="5"/>
        <v>4.8440000000000003</v>
      </c>
    </row>
    <row r="741" spans="1:7" ht="14.25" customHeight="1">
      <c r="A741" s="2" t="s">
        <v>15</v>
      </c>
      <c r="B741" s="2">
        <v>1934</v>
      </c>
      <c r="C741" s="2" t="s">
        <v>54</v>
      </c>
      <c r="D741" s="2">
        <v>4938</v>
      </c>
      <c r="E741" s="3">
        <f t="shared" si="4"/>
        <v>4.9379999999999997</v>
      </c>
      <c r="G741" s="2">
        <f t="shared" si="5"/>
        <v>4.9379999999999997</v>
      </c>
    </row>
    <row r="742" spans="1:7" ht="14.25" customHeight="1">
      <c r="A742" s="2" t="s">
        <v>15</v>
      </c>
      <c r="B742" s="2">
        <v>1935</v>
      </c>
      <c r="C742" s="2" t="s">
        <v>54</v>
      </c>
      <c r="D742" s="2">
        <v>4902</v>
      </c>
      <c r="E742" s="3">
        <f t="shared" si="4"/>
        <v>4.9020000000000001</v>
      </c>
      <c r="G742" s="2">
        <f t="shared" si="5"/>
        <v>4.9020000000000001</v>
      </c>
    </row>
    <row r="743" spans="1:7" ht="14.25" customHeight="1">
      <c r="A743" s="2" t="s">
        <v>15</v>
      </c>
      <c r="B743" s="2">
        <v>1936</v>
      </c>
      <c r="C743" s="2" t="s">
        <v>54</v>
      </c>
      <c r="D743" s="2">
        <v>4675</v>
      </c>
      <c r="E743" s="3">
        <f t="shared" si="4"/>
        <v>4.6749999999999998</v>
      </c>
      <c r="G743" s="2">
        <f t="shared" si="5"/>
        <v>4.6749999999999998</v>
      </c>
    </row>
    <row r="744" spans="1:7" ht="14.25" customHeight="1">
      <c r="A744" s="2" t="s">
        <v>15</v>
      </c>
      <c r="B744" s="2">
        <v>1937</v>
      </c>
      <c r="C744" s="2" t="s">
        <v>54</v>
      </c>
      <c r="D744" s="2">
        <v>4696</v>
      </c>
      <c r="E744" s="3">
        <f t="shared" si="4"/>
        <v>4.6959999999999997</v>
      </c>
      <c r="G744" s="2">
        <f t="shared" si="5"/>
        <v>4.6959999999999997</v>
      </c>
    </row>
    <row r="745" spans="1:7" ht="14.25" customHeight="1">
      <c r="A745" s="2" t="s">
        <v>15</v>
      </c>
      <c r="B745" s="2">
        <v>1938</v>
      </c>
      <c r="C745" s="2" t="s">
        <v>54</v>
      </c>
      <c r="D745" s="2">
        <v>4297</v>
      </c>
      <c r="E745" s="3">
        <f t="shared" si="4"/>
        <v>4.2969999999999997</v>
      </c>
      <c r="G745" s="2">
        <f t="shared" si="5"/>
        <v>4.2969999999999997</v>
      </c>
    </row>
    <row r="746" spans="1:7" ht="14.25" customHeight="1">
      <c r="A746" s="2" t="s">
        <v>15</v>
      </c>
      <c r="B746" s="2">
        <v>1939</v>
      </c>
      <c r="C746" s="2" t="s">
        <v>54</v>
      </c>
      <c r="D746" s="2">
        <v>3276</v>
      </c>
      <c r="E746" s="3">
        <f t="shared" si="4"/>
        <v>3.2759999999999998</v>
      </c>
      <c r="G746" s="2">
        <f t="shared" si="5"/>
        <v>3.2759999999999998</v>
      </c>
    </row>
    <row r="747" spans="1:7" ht="14.25" customHeight="1">
      <c r="A747" s="2" t="s">
        <v>15</v>
      </c>
      <c r="B747" s="2">
        <v>1940</v>
      </c>
      <c r="C747" s="2" t="s">
        <v>54</v>
      </c>
      <c r="D747" s="2">
        <v>1398</v>
      </c>
      <c r="E747" s="3">
        <f t="shared" si="4"/>
        <v>1.3979999999999999</v>
      </c>
      <c r="G747" s="2">
        <f t="shared" si="5"/>
        <v>1.3979999999999999</v>
      </c>
    </row>
    <row r="748" spans="1:7" ht="14.25" customHeight="1">
      <c r="A748" s="2" t="s">
        <v>15</v>
      </c>
      <c r="B748" s="2">
        <v>1941</v>
      </c>
      <c r="C748" s="2" t="s">
        <v>54</v>
      </c>
      <c r="D748" s="2">
        <v>824</v>
      </c>
      <c r="E748" s="3">
        <f t="shared" si="4"/>
        <v>0.82399999999999995</v>
      </c>
      <c r="G748" s="2">
        <f t="shared" si="5"/>
        <v>0.82399999999999995</v>
      </c>
    </row>
    <row r="749" spans="1:7" ht="14.25" customHeight="1">
      <c r="A749" s="2" t="s">
        <v>15</v>
      </c>
      <c r="B749" s="2">
        <v>1942</v>
      </c>
      <c r="C749" s="2" t="s">
        <v>54</v>
      </c>
      <c r="D749" s="2">
        <v>702</v>
      </c>
      <c r="E749" s="3">
        <f t="shared" si="4"/>
        <v>0.70199999999999996</v>
      </c>
      <c r="G749" s="2">
        <f t="shared" si="5"/>
        <v>0.70199999999999996</v>
      </c>
    </row>
    <row r="750" spans="1:7" ht="14.25" customHeight="1">
      <c r="A750" s="2" t="s">
        <v>15</v>
      </c>
      <c r="B750" s="2">
        <v>1943</v>
      </c>
      <c r="C750" s="2" t="s">
        <v>54</v>
      </c>
      <c r="D750" s="2">
        <v>854</v>
      </c>
      <c r="E750" s="3">
        <f t="shared" si="4"/>
        <v>0.85399999999999998</v>
      </c>
      <c r="G750" s="2">
        <f t="shared" si="5"/>
        <v>0.85399999999999998</v>
      </c>
    </row>
    <row r="751" spans="1:7" ht="14.25" customHeight="1">
      <c r="A751" s="2" t="s">
        <v>15</v>
      </c>
      <c r="B751" s="2">
        <v>1944</v>
      </c>
      <c r="C751" s="2" t="s">
        <v>54</v>
      </c>
      <c r="D751" s="2">
        <v>1078</v>
      </c>
      <c r="E751" s="3">
        <f t="shared" si="4"/>
        <v>1.0780000000000001</v>
      </c>
      <c r="G751" s="2">
        <f t="shared" si="5"/>
        <v>1.0780000000000001</v>
      </c>
    </row>
    <row r="752" spans="1:7" ht="14.25" customHeight="1">
      <c r="A752" s="2" t="s">
        <v>15</v>
      </c>
      <c r="B752" s="2">
        <v>1945</v>
      </c>
      <c r="C752" s="2" t="s">
        <v>54</v>
      </c>
      <c r="D752" s="2">
        <v>1533</v>
      </c>
      <c r="E752" s="3">
        <f t="shared" si="4"/>
        <v>1.5329999999999999</v>
      </c>
      <c r="G752" s="2">
        <f t="shared" si="5"/>
        <v>1.5329999999999999</v>
      </c>
    </row>
    <row r="753" spans="1:7" ht="14.25" customHeight="1">
      <c r="A753" s="2" t="s">
        <v>15</v>
      </c>
      <c r="B753" s="2">
        <v>1946</v>
      </c>
      <c r="C753" s="2" t="s">
        <v>54</v>
      </c>
      <c r="D753" s="2">
        <v>3472</v>
      </c>
      <c r="E753" s="3">
        <f t="shared" si="4"/>
        <v>3.472</v>
      </c>
      <c r="G753" s="2">
        <f t="shared" si="5"/>
        <v>3.472</v>
      </c>
    </row>
    <row r="754" spans="1:7" ht="14.25" customHeight="1">
      <c r="A754" s="2" t="s">
        <v>15</v>
      </c>
      <c r="B754" s="2">
        <v>1947</v>
      </c>
      <c r="C754" s="2" t="s">
        <v>54</v>
      </c>
      <c r="D754" s="2">
        <v>4725</v>
      </c>
      <c r="E754" s="3">
        <f t="shared" si="4"/>
        <v>4.7249999999999996</v>
      </c>
      <c r="G754" s="2">
        <f t="shared" si="5"/>
        <v>4.7249999999999996</v>
      </c>
    </row>
    <row r="755" spans="1:7" ht="14.25" customHeight="1">
      <c r="A755" s="2" t="s">
        <v>15</v>
      </c>
      <c r="B755" s="2">
        <v>1948</v>
      </c>
      <c r="C755" s="2" t="s">
        <v>54</v>
      </c>
      <c r="D755" s="2">
        <v>5641</v>
      </c>
      <c r="E755" s="3">
        <f t="shared" si="4"/>
        <v>5.641</v>
      </c>
      <c r="G755" s="2">
        <f t="shared" si="5"/>
        <v>5.641</v>
      </c>
    </row>
    <row r="756" spans="1:7" ht="14.25" customHeight="1">
      <c r="A756" s="2" t="s">
        <v>15</v>
      </c>
      <c r="B756" s="2">
        <v>1949</v>
      </c>
      <c r="C756" s="2" t="s">
        <v>54</v>
      </c>
      <c r="D756" s="2">
        <v>6230</v>
      </c>
      <c r="E756" s="3">
        <f t="shared" si="4"/>
        <v>6.23</v>
      </c>
      <c r="G756" s="2">
        <f t="shared" si="5"/>
        <v>6.23</v>
      </c>
    </row>
    <row r="757" spans="1:7" ht="14.25" customHeight="1">
      <c r="A757" s="2" t="s">
        <v>15</v>
      </c>
      <c r="B757" s="2">
        <v>1950</v>
      </c>
      <c r="C757" s="2" t="s">
        <v>54</v>
      </c>
      <c r="D757" s="2">
        <v>7084</v>
      </c>
      <c r="E757" s="3">
        <f t="shared" si="4"/>
        <v>7.0839999999999996</v>
      </c>
      <c r="G757" s="2">
        <f t="shared" si="5"/>
        <v>7.0839999999999996</v>
      </c>
    </row>
    <row r="758" spans="1:7" ht="14.25" customHeight="1">
      <c r="A758" s="2" t="s">
        <v>15</v>
      </c>
      <c r="B758" s="2">
        <v>1951</v>
      </c>
      <c r="C758" s="2" t="s">
        <v>54</v>
      </c>
      <c r="D758" s="2">
        <v>6147</v>
      </c>
      <c r="E758" s="3">
        <f t="shared" si="4"/>
        <v>6.1470000000000002</v>
      </c>
      <c r="G758" s="2">
        <f t="shared" si="5"/>
        <v>6.1470000000000002</v>
      </c>
    </row>
    <row r="759" spans="1:7" ht="14.25" customHeight="1">
      <c r="A759" s="2" t="s">
        <v>15</v>
      </c>
      <c r="B759" s="2">
        <v>1952</v>
      </c>
      <c r="C759" s="2" t="s">
        <v>54</v>
      </c>
      <c r="D759" s="2">
        <v>5388</v>
      </c>
      <c r="E759" s="3">
        <f t="shared" si="4"/>
        <v>5.3879999999999999</v>
      </c>
      <c r="G759" s="2">
        <f t="shared" si="5"/>
        <v>5.3879999999999999</v>
      </c>
    </row>
    <row r="760" spans="1:7" ht="14.25" customHeight="1">
      <c r="A760" s="2" t="s">
        <v>15</v>
      </c>
      <c r="B760" s="2">
        <v>1953</v>
      </c>
      <c r="C760" s="2" t="s">
        <v>54</v>
      </c>
      <c r="D760" s="2">
        <v>4415</v>
      </c>
      <c r="E760" s="3">
        <f t="shared" si="4"/>
        <v>4.415</v>
      </c>
      <c r="G760" s="2">
        <f t="shared" si="5"/>
        <v>4.415</v>
      </c>
    </row>
    <row r="761" spans="1:7" ht="14.25" customHeight="1">
      <c r="A761" s="2" t="s">
        <v>15</v>
      </c>
      <c r="B761" s="2">
        <v>1954</v>
      </c>
      <c r="C761" s="2" t="s">
        <v>54</v>
      </c>
      <c r="D761" s="2">
        <v>3799</v>
      </c>
      <c r="E761" s="3">
        <f t="shared" si="4"/>
        <v>3.7989999999999999</v>
      </c>
      <c r="G761" s="2">
        <f t="shared" si="5"/>
        <v>3.7989999999999999</v>
      </c>
    </row>
    <row r="762" spans="1:7" ht="14.25" customHeight="1">
      <c r="A762" s="2" t="s">
        <v>15</v>
      </c>
      <c r="B762" s="2">
        <v>1955</v>
      </c>
      <c r="C762" s="2" t="s">
        <v>54</v>
      </c>
      <c r="D762" s="2">
        <v>3572</v>
      </c>
      <c r="E762" s="3">
        <f t="shared" si="4"/>
        <v>3.5720000000000001</v>
      </c>
      <c r="G762" s="2">
        <f t="shared" si="5"/>
        <v>3.5720000000000001</v>
      </c>
    </row>
    <row r="763" spans="1:7" ht="14.25" customHeight="1">
      <c r="A763" s="2" t="s">
        <v>15</v>
      </c>
      <c r="B763" s="2">
        <v>1956</v>
      </c>
      <c r="C763" s="2" t="s">
        <v>54</v>
      </c>
      <c r="D763" s="2">
        <v>3310</v>
      </c>
      <c r="E763" s="3">
        <f t="shared" si="4"/>
        <v>3.31</v>
      </c>
      <c r="G763" s="2">
        <f t="shared" si="5"/>
        <v>3.31</v>
      </c>
    </row>
    <row r="764" spans="1:7" ht="14.25" customHeight="1">
      <c r="A764" s="2" t="s">
        <v>15</v>
      </c>
      <c r="B764" s="2">
        <v>1957</v>
      </c>
      <c r="C764" s="2" t="s">
        <v>54</v>
      </c>
      <c r="D764" s="2">
        <v>4153</v>
      </c>
      <c r="E764" s="3">
        <f t="shared" si="4"/>
        <v>4.1529999999999996</v>
      </c>
      <c r="G764" s="2">
        <f t="shared" si="5"/>
        <v>4.1529999999999996</v>
      </c>
    </row>
    <row r="765" spans="1:7" ht="14.25" customHeight="1">
      <c r="A765" s="2" t="s">
        <v>15</v>
      </c>
      <c r="B765" s="2">
        <v>1958</v>
      </c>
      <c r="C765" s="2" t="s">
        <v>54</v>
      </c>
      <c r="D765" s="2">
        <v>4705</v>
      </c>
      <c r="E765" s="3">
        <f t="shared" si="4"/>
        <v>4.7050000000000001</v>
      </c>
      <c r="G765" s="2">
        <f t="shared" si="5"/>
        <v>4.7050000000000001</v>
      </c>
    </row>
    <row r="766" spans="1:7" ht="14.25" customHeight="1">
      <c r="A766" s="2" t="s">
        <v>15</v>
      </c>
      <c r="B766" s="2">
        <v>1959</v>
      </c>
      <c r="C766" s="2" t="s">
        <v>54</v>
      </c>
      <c r="D766" s="2">
        <v>4838</v>
      </c>
      <c r="E766" s="3">
        <f t="shared" si="4"/>
        <v>4.8380000000000001</v>
      </c>
      <c r="G766" s="2">
        <f t="shared" si="5"/>
        <v>4.8380000000000001</v>
      </c>
    </row>
    <row r="767" spans="1:7" ht="14.25" customHeight="1">
      <c r="A767" s="2" t="s">
        <v>15</v>
      </c>
      <c r="B767" s="2">
        <v>1960</v>
      </c>
      <c r="C767" s="2" t="s">
        <v>54</v>
      </c>
      <c r="D767" s="2">
        <v>4905</v>
      </c>
      <c r="E767" s="3">
        <f t="shared" ref="E767:E1021" si="6">D767/1000</f>
        <v>4.9050000000000002</v>
      </c>
      <c r="G767" s="2">
        <f t="shared" ref="G767:G1021" si="7">E767+F767</f>
        <v>4.9050000000000002</v>
      </c>
    </row>
    <row r="768" spans="1:7" ht="14.25" customHeight="1">
      <c r="A768" s="2" t="s">
        <v>15</v>
      </c>
      <c r="B768" s="2">
        <v>1961</v>
      </c>
      <c r="C768" s="2" t="s">
        <v>54</v>
      </c>
      <c r="D768" s="2">
        <v>3784</v>
      </c>
      <c r="E768" s="3">
        <f t="shared" si="6"/>
        <v>3.7839999999999998</v>
      </c>
      <c r="G768" s="2">
        <f t="shared" si="7"/>
        <v>3.7839999999999998</v>
      </c>
    </row>
    <row r="769" spans="1:7" ht="14.25" customHeight="1">
      <c r="A769" s="2" t="s">
        <v>15</v>
      </c>
      <c r="B769" s="2">
        <v>1962</v>
      </c>
      <c r="C769" s="2" t="s">
        <v>54</v>
      </c>
      <c r="D769" s="2">
        <v>3518</v>
      </c>
      <c r="E769" s="3">
        <f t="shared" si="6"/>
        <v>3.5179999999999998</v>
      </c>
      <c r="G769" s="2">
        <f t="shared" si="7"/>
        <v>3.5179999999999998</v>
      </c>
    </row>
    <row r="770" spans="1:7" ht="14.25" customHeight="1">
      <c r="A770" s="2" t="s">
        <v>15</v>
      </c>
      <c r="B770" s="2">
        <v>1963</v>
      </c>
      <c r="C770" s="2" t="s">
        <v>54</v>
      </c>
      <c r="D770" s="2">
        <v>3130</v>
      </c>
      <c r="E770" s="3">
        <f t="shared" si="6"/>
        <v>3.13</v>
      </c>
      <c r="G770" s="2">
        <f t="shared" si="7"/>
        <v>3.13</v>
      </c>
    </row>
    <row r="771" spans="1:7" ht="14.25" customHeight="1">
      <c r="A771" s="2" t="s">
        <v>15</v>
      </c>
      <c r="B771" s="2">
        <v>1964</v>
      </c>
      <c r="C771" s="2" t="s">
        <v>54</v>
      </c>
      <c r="D771" s="2">
        <v>2947</v>
      </c>
      <c r="E771" s="3">
        <f t="shared" si="6"/>
        <v>2.9470000000000001</v>
      </c>
      <c r="G771" s="2">
        <f t="shared" si="7"/>
        <v>2.9470000000000001</v>
      </c>
    </row>
    <row r="772" spans="1:7" ht="14.25" customHeight="1">
      <c r="A772" s="2" t="s">
        <v>15</v>
      </c>
      <c r="B772" s="2">
        <v>1965</v>
      </c>
      <c r="C772" s="2" t="s">
        <v>54</v>
      </c>
      <c r="D772" s="2">
        <v>3097</v>
      </c>
      <c r="E772" s="3">
        <f t="shared" si="6"/>
        <v>3.097</v>
      </c>
      <c r="G772" s="2">
        <f t="shared" si="7"/>
        <v>3.097</v>
      </c>
    </row>
    <row r="773" spans="1:7" ht="14.25" customHeight="1">
      <c r="A773" s="2" t="s">
        <v>15</v>
      </c>
      <c r="B773" s="2">
        <v>1966</v>
      </c>
      <c r="C773" s="2" t="s">
        <v>54</v>
      </c>
      <c r="D773" s="2">
        <v>2641</v>
      </c>
      <c r="E773" s="3">
        <f t="shared" si="6"/>
        <v>2.641</v>
      </c>
      <c r="G773" s="2">
        <f t="shared" si="7"/>
        <v>2.641</v>
      </c>
    </row>
    <row r="774" spans="1:7" ht="14.25" customHeight="1">
      <c r="A774" s="2" t="s">
        <v>15</v>
      </c>
      <c r="B774" s="2">
        <v>1967</v>
      </c>
      <c r="C774" s="2" t="s">
        <v>54</v>
      </c>
      <c r="D774" s="2">
        <v>2356</v>
      </c>
      <c r="E774" s="3">
        <f t="shared" si="6"/>
        <v>2.3559999999999999</v>
      </c>
      <c r="G774" s="2">
        <f t="shared" si="7"/>
        <v>2.3559999999999999</v>
      </c>
    </row>
    <row r="775" spans="1:7" ht="14.25" customHeight="1">
      <c r="A775" s="2" t="s">
        <v>15</v>
      </c>
      <c r="B775" s="2">
        <v>1968</v>
      </c>
      <c r="C775" s="2" t="s">
        <v>54</v>
      </c>
      <c r="D775" s="2">
        <v>2004</v>
      </c>
      <c r="E775" s="3">
        <f t="shared" si="6"/>
        <v>2.004</v>
      </c>
      <c r="G775" s="2">
        <f t="shared" si="7"/>
        <v>2.004</v>
      </c>
    </row>
    <row r="776" spans="1:7" ht="14.25" customHeight="1">
      <c r="A776" s="2" t="s">
        <v>15</v>
      </c>
      <c r="B776" s="2">
        <v>1969</v>
      </c>
      <c r="C776" s="2" t="s">
        <v>54</v>
      </c>
      <c r="D776" s="2">
        <v>1692</v>
      </c>
      <c r="E776" s="3">
        <f t="shared" si="6"/>
        <v>1.6919999999999999</v>
      </c>
      <c r="G776" s="2">
        <f t="shared" si="7"/>
        <v>1.6919999999999999</v>
      </c>
    </row>
    <row r="777" spans="1:7" ht="14.25" customHeight="1">
      <c r="A777" s="2" t="s">
        <v>15</v>
      </c>
      <c r="B777" s="2">
        <v>1970</v>
      </c>
      <c r="C777" s="2" t="s">
        <v>54</v>
      </c>
      <c r="D777" s="2">
        <v>1483</v>
      </c>
      <c r="E777" s="3">
        <f t="shared" si="6"/>
        <v>1.4830000000000001</v>
      </c>
      <c r="G777" s="2">
        <f t="shared" si="7"/>
        <v>1.4830000000000001</v>
      </c>
    </row>
    <row r="778" spans="1:7" ht="14.25" customHeight="1">
      <c r="A778" s="2" t="s">
        <v>15</v>
      </c>
      <c r="B778" s="2">
        <v>1971</v>
      </c>
      <c r="C778" s="2" t="s">
        <v>54</v>
      </c>
      <c r="D778" s="2">
        <v>1785</v>
      </c>
      <c r="E778" s="3">
        <f t="shared" si="6"/>
        <v>1.7849999999999999</v>
      </c>
      <c r="G778" s="2">
        <f t="shared" si="7"/>
        <v>1.7849999999999999</v>
      </c>
    </row>
    <row r="779" spans="1:7" ht="14.25" customHeight="1">
      <c r="A779" s="2" t="s">
        <v>15</v>
      </c>
      <c r="B779" s="2">
        <v>1972</v>
      </c>
      <c r="C779" s="2" t="s">
        <v>54</v>
      </c>
      <c r="D779" s="2">
        <v>1368</v>
      </c>
      <c r="E779" s="3">
        <f t="shared" si="6"/>
        <v>1.3680000000000001</v>
      </c>
      <c r="G779" s="2">
        <f t="shared" si="7"/>
        <v>1.3680000000000001</v>
      </c>
    </row>
    <row r="780" spans="1:7" ht="14.25" customHeight="1">
      <c r="A780" s="2" t="s">
        <v>15</v>
      </c>
      <c r="B780" s="2">
        <v>1973</v>
      </c>
      <c r="C780" s="2" t="s">
        <v>54</v>
      </c>
      <c r="D780" s="2">
        <v>1240</v>
      </c>
      <c r="E780" s="3">
        <f t="shared" si="6"/>
        <v>1.24</v>
      </c>
      <c r="G780" s="2">
        <f t="shared" si="7"/>
        <v>1.24</v>
      </c>
    </row>
    <row r="781" spans="1:7" ht="14.25" customHeight="1">
      <c r="A781" s="2" t="s">
        <v>15</v>
      </c>
      <c r="B781" s="2">
        <v>1974</v>
      </c>
      <c r="C781" s="2" t="s">
        <v>54</v>
      </c>
      <c r="D781" s="2">
        <v>921</v>
      </c>
      <c r="E781" s="3">
        <f t="shared" si="6"/>
        <v>0.92100000000000004</v>
      </c>
      <c r="G781" s="2">
        <f t="shared" si="7"/>
        <v>0.92100000000000004</v>
      </c>
    </row>
    <row r="782" spans="1:7" ht="14.25" customHeight="1">
      <c r="A782" s="2" t="s">
        <v>15</v>
      </c>
      <c r="B782" s="2">
        <v>1975</v>
      </c>
      <c r="C782" s="2" t="s">
        <v>54</v>
      </c>
      <c r="D782" s="2">
        <v>900</v>
      </c>
      <c r="E782" s="3">
        <f t="shared" si="6"/>
        <v>0.9</v>
      </c>
      <c r="G782" s="2">
        <f t="shared" si="7"/>
        <v>0.9</v>
      </c>
    </row>
    <row r="783" spans="1:7" ht="14.25" customHeight="1">
      <c r="A783" s="2" t="s">
        <v>15</v>
      </c>
      <c r="B783" s="2">
        <v>1976</v>
      </c>
      <c r="C783" s="2" t="s">
        <v>54</v>
      </c>
      <c r="D783" s="2">
        <v>757</v>
      </c>
      <c r="E783" s="3">
        <f t="shared" si="6"/>
        <v>0.75700000000000001</v>
      </c>
      <c r="G783" s="2">
        <f t="shared" si="7"/>
        <v>0.75700000000000001</v>
      </c>
    </row>
    <row r="784" spans="1:7" ht="14.25" customHeight="1">
      <c r="A784" s="2" t="s">
        <v>15</v>
      </c>
      <c r="B784" s="2">
        <v>1977</v>
      </c>
      <c r="C784" s="2" t="s">
        <v>54</v>
      </c>
      <c r="D784" s="2">
        <v>410</v>
      </c>
      <c r="E784" s="3">
        <f t="shared" si="6"/>
        <v>0.41</v>
      </c>
      <c r="G784" s="2">
        <f t="shared" si="7"/>
        <v>0.41</v>
      </c>
    </row>
    <row r="785" spans="1:7" ht="14.25" customHeight="1">
      <c r="A785" s="2" t="s">
        <v>15</v>
      </c>
      <c r="B785" s="2">
        <v>1978</v>
      </c>
      <c r="C785" s="2" t="s">
        <v>54</v>
      </c>
      <c r="D785" s="2">
        <v>308</v>
      </c>
      <c r="E785" s="3">
        <f t="shared" si="6"/>
        <v>0.308</v>
      </c>
      <c r="G785" s="2">
        <f t="shared" si="7"/>
        <v>0.308</v>
      </c>
    </row>
    <row r="786" spans="1:7" ht="14.25" customHeight="1">
      <c r="A786" s="2" t="s">
        <v>15</v>
      </c>
      <c r="B786" s="2">
        <v>1979</v>
      </c>
      <c r="C786" s="2" t="s">
        <v>54</v>
      </c>
      <c r="D786" s="2">
        <v>297</v>
      </c>
      <c r="E786" s="3">
        <f t="shared" si="6"/>
        <v>0.29699999999999999</v>
      </c>
      <c r="G786" s="2">
        <f t="shared" si="7"/>
        <v>0.29699999999999999</v>
      </c>
    </row>
    <row r="787" spans="1:7" ht="14.25" customHeight="1">
      <c r="A787" s="2" t="s">
        <v>15</v>
      </c>
      <c r="B787" s="2">
        <v>1980</v>
      </c>
      <c r="C787" s="2" t="s">
        <v>54</v>
      </c>
      <c r="D787" s="2">
        <v>192</v>
      </c>
      <c r="E787" s="3">
        <f t="shared" si="6"/>
        <v>0.192</v>
      </c>
      <c r="G787" s="2">
        <f t="shared" si="7"/>
        <v>0.192</v>
      </c>
    </row>
    <row r="788" spans="1:7" ht="14.25" customHeight="1">
      <c r="A788" s="2" t="s">
        <v>15</v>
      </c>
      <c r="B788" s="2">
        <v>1981</v>
      </c>
      <c r="C788" s="2" t="s">
        <v>54</v>
      </c>
      <c r="D788" s="2">
        <v>116</v>
      </c>
      <c r="E788" s="3">
        <f t="shared" si="6"/>
        <v>0.11600000000000001</v>
      </c>
      <c r="G788" s="2">
        <f t="shared" si="7"/>
        <v>0.11600000000000001</v>
      </c>
    </row>
    <row r="789" spans="1:7" ht="14.25" customHeight="1">
      <c r="A789" s="2" t="s">
        <v>15</v>
      </c>
      <c r="B789" s="2">
        <v>1982</v>
      </c>
      <c r="C789" s="2" t="s">
        <v>54</v>
      </c>
      <c r="D789" s="2">
        <v>158</v>
      </c>
      <c r="E789" s="3">
        <f t="shared" si="6"/>
        <v>0.158</v>
      </c>
      <c r="G789" s="2">
        <f t="shared" si="7"/>
        <v>0.158</v>
      </c>
    </row>
    <row r="790" spans="1:7" ht="14.25" customHeight="1">
      <c r="A790" s="2" t="s">
        <v>15</v>
      </c>
      <c r="B790" s="2">
        <v>1983</v>
      </c>
      <c r="C790" s="2" t="s">
        <v>54</v>
      </c>
      <c r="D790" s="2">
        <v>156</v>
      </c>
      <c r="E790" s="3">
        <f t="shared" si="6"/>
        <v>0.156</v>
      </c>
      <c r="G790" s="2">
        <f t="shared" si="7"/>
        <v>0.156</v>
      </c>
    </row>
    <row r="791" spans="1:7" ht="14.25" customHeight="1">
      <c r="A791" s="2" t="s">
        <v>15</v>
      </c>
      <c r="B791" s="2">
        <v>1984</v>
      </c>
      <c r="C791" s="2" t="s">
        <v>54</v>
      </c>
      <c r="D791" s="2">
        <v>132</v>
      </c>
      <c r="E791" s="3">
        <f t="shared" si="6"/>
        <v>0.13200000000000001</v>
      </c>
      <c r="G791" s="2">
        <f t="shared" si="7"/>
        <v>0.13200000000000001</v>
      </c>
    </row>
    <row r="792" spans="1:7" ht="14.25" customHeight="1">
      <c r="A792" s="2" t="s">
        <v>15</v>
      </c>
      <c r="B792" s="2">
        <v>1985</v>
      </c>
      <c r="C792" s="2" t="s">
        <v>54</v>
      </c>
      <c r="D792" s="2">
        <v>122</v>
      </c>
      <c r="E792" s="3">
        <f t="shared" si="6"/>
        <v>0.122</v>
      </c>
      <c r="G792" s="2">
        <f t="shared" si="7"/>
        <v>0.122</v>
      </c>
    </row>
    <row r="793" spans="1:7" ht="14.25" customHeight="1">
      <c r="A793" s="2" t="s">
        <v>15</v>
      </c>
      <c r="B793" s="2">
        <v>1986</v>
      </c>
      <c r="C793" s="2" t="s">
        <v>54</v>
      </c>
      <c r="D793" s="2">
        <v>106</v>
      </c>
      <c r="E793" s="3">
        <f t="shared" si="6"/>
        <v>0.106</v>
      </c>
      <c r="G793" s="2">
        <f t="shared" si="7"/>
        <v>0.106</v>
      </c>
    </row>
    <row r="794" spans="1:7" ht="14.25" customHeight="1">
      <c r="A794" s="2" t="s">
        <v>15</v>
      </c>
      <c r="B794" s="2">
        <v>1987</v>
      </c>
      <c r="C794" s="2" t="s">
        <v>54</v>
      </c>
      <c r="D794" s="2">
        <v>134</v>
      </c>
      <c r="E794" s="3">
        <f t="shared" si="6"/>
        <v>0.13400000000000001</v>
      </c>
      <c r="G794" s="2">
        <f t="shared" si="7"/>
        <v>0.13400000000000001</v>
      </c>
    </row>
    <row r="795" spans="1:7" ht="14.25" customHeight="1">
      <c r="A795" s="2" t="s">
        <v>15</v>
      </c>
      <c r="B795" s="2">
        <v>1988</v>
      </c>
      <c r="C795" s="2" t="s">
        <v>54</v>
      </c>
      <c r="D795" s="2">
        <v>138</v>
      </c>
      <c r="E795" s="3">
        <f t="shared" si="6"/>
        <v>0.13800000000000001</v>
      </c>
      <c r="G795" s="2">
        <f t="shared" si="7"/>
        <v>0.13800000000000001</v>
      </c>
    </row>
    <row r="796" spans="1:7" ht="14.25" customHeight="1">
      <c r="A796" s="2" t="s">
        <v>15</v>
      </c>
      <c r="B796" s="2">
        <v>1989</v>
      </c>
      <c r="C796" s="2" t="s">
        <v>54</v>
      </c>
      <c r="D796" s="2">
        <v>129</v>
      </c>
      <c r="E796" s="3">
        <f t="shared" si="6"/>
        <v>0.129</v>
      </c>
      <c r="G796" s="2">
        <f t="shared" si="7"/>
        <v>0.129</v>
      </c>
    </row>
    <row r="797" spans="1:7" ht="14.25" customHeight="1">
      <c r="A797" s="2" t="s">
        <v>15</v>
      </c>
      <c r="B797" s="2">
        <v>1990</v>
      </c>
      <c r="C797" s="2" t="s">
        <v>54</v>
      </c>
      <c r="D797" s="2">
        <v>131</v>
      </c>
      <c r="E797" s="3">
        <f t="shared" si="6"/>
        <v>0.13100000000000001</v>
      </c>
      <c r="G797" s="2">
        <f t="shared" si="7"/>
        <v>0.13100000000000001</v>
      </c>
    </row>
    <row r="798" spans="1:7" ht="14.25" customHeight="1">
      <c r="A798" s="2" t="s">
        <v>15</v>
      </c>
      <c r="B798" s="2">
        <v>1991</v>
      </c>
      <c r="C798" s="2" t="s">
        <v>54</v>
      </c>
      <c r="D798" s="2">
        <v>197</v>
      </c>
      <c r="E798" s="3">
        <f t="shared" si="6"/>
        <v>0.19700000000000001</v>
      </c>
      <c r="G798" s="2">
        <f t="shared" si="7"/>
        <v>0.19700000000000001</v>
      </c>
    </row>
    <row r="799" spans="1:7" ht="14.25" customHeight="1">
      <c r="A799" s="2" t="s">
        <v>15</v>
      </c>
      <c r="B799" s="2">
        <v>1992</v>
      </c>
      <c r="C799" s="2" t="s">
        <v>54</v>
      </c>
      <c r="D799" s="2">
        <v>216</v>
      </c>
      <c r="E799" s="3">
        <f t="shared" si="6"/>
        <v>0.216</v>
      </c>
      <c r="G799" s="2">
        <f t="shared" si="7"/>
        <v>0.216</v>
      </c>
    </row>
    <row r="800" spans="1:7" ht="14.25" customHeight="1">
      <c r="A800" s="2" t="s">
        <v>15</v>
      </c>
      <c r="B800" s="2">
        <v>1993</v>
      </c>
      <c r="C800" s="2" t="s">
        <v>54</v>
      </c>
      <c r="D800" s="2">
        <v>169</v>
      </c>
      <c r="E800" s="3">
        <f t="shared" si="6"/>
        <v>0.16900000000000001</v>
      </c>
      <c r="G800" s="2">
        <f t="shared" si="7"/>
        <v>0.16900000000000001</v>
      </c>
    </row>
    <row r="801" spans="1:7" ht="14.25" customHeight="1">
      <c r="A801" s="2" t="s">
        <v>15</v>
      </c>
      <c r="B801" s="2">
        <v>1994</v>
      </c>
      <c r="C801" s="2" t="s">
        <v>54</v>
      </c>
      <c r="D801" s="2">
        <v>186</v>
      </c>
      <c r="E801" s="3">
        <f t="shared" si="6"/>
        <v>0.186</v>
      </c>
      <c r="G801" s="2">
        <f t="shared" si="7"/>
        <v>0.186</v>
      </c>
    </row>
    <row r="802" spans="1:7" ht="14.25" customHeight="1">
      <c r="A802" s="2" t="s">
        <v>15</v>
      </c>
      <c r="B802" s="2">
        <v>1995</v>
      </c>
      <c r="C802" s="2" t="s">
        <v>54</v>
      </c>
      <c r="D802" s="2">
        <v>405</v>
      </c>
      <c r="E802" s="3">
        <f t="shared" si="6"/>
        <v>0.40500000000000003</v>
      </c>
      <c r="G802" s="2">
        <f t="shared" si="7"/>
        <v>0.40500000000000003</v>
      </c>
    </row>
    <row r="803" spans="1:7" ht="14.25" customHeight="1">
      <c r="A803" s="2" t="s">
        <v>15</v>
      </c>
      <c r="B803" s="2">
        <v>1996</v>
      </c>
      <c r="C803" s="2" t="s">
        <v>54</v>
      </c>
      <c r="D803" s="2">
        <v>392</v>
      </c>
      <c r="E803" s="3">
        <f t="shared" si="6"/>
        <v>0.39200000000000002</v>
      </c>
      <c r="G803" s="2">
        <f t="shared" si="7"/>
        <v>0.39200000000000002</v>
      </c>
    </row>
    <row r="804" spans="1:7" ht="14.25" customHeight="1">
      <c r="A804" s="2" t="s">
        <v>15</v>
      </c>
      <c r="B804" s="2">
        <v>1997</v>
      </c>
      <c r="C804" s="2" t="s">
        <v>54</v>
      </c>
      <c r="D804" s="2">
        <v>365</v>
      </c>
      <c r="E804" s="3">
        <f t="shared" si="6"/>
        <v>0.36499999999999999</v>
      </c>
      <c r="G804" s="2">
        <f t="shared" si="7"/>
        <v>0.36499999999999999</v>
      </c>
    </row>
    <row r="805" spans="1:7" ht="14.25" customHeight="1">
      <c r="A805" s="2" t="s">
        <v>15</v>
      </c>
      <c r="B805" s="2">
        <v>1998</v>
      </c>
      <c r="C805" s="2" t="s">
        <v>54</v>
      </c>
      <c r="D805" s="2">
        <v>201</v>
      </c>
      <c r="E805" s="3">
        <f t="shared" si="6"/>
        <v>0.20100000000000001</v>
      </c>
      <c r="G805" s="2">
        <f t="shared" si="7"/>
        <v>0.20100000000000001</v>
      </c>
    </row>
    <row r="806" spans="1:7" ht="14.25" customHeight="1">
      <c r="A806" s="2" t="s">
        <v>15</v>
      </c>
      <c r="B806" s="2">
        <v>1999</v>
      </c>
      <c r="C806" s="2" t="s">
        <v>54</v>
      </c>
      <c r="D806" s="2">
        <v>254</v>
      </c>
      <c r="E806" s="3">
        <f t="shared" si="6"/>
        <v>0.254</v>
      </c>
      <c r="G806" s="2">
        <f t="shared" si="7"/>
        <v>0.254</v>
      </c>
    </row>
    <row r="807" spans="1:7" ht="14.25" customHeight="1">
      <c r="A807" s="2" t="s">
        <v>15</v>
      </c>
      <c r="B807" s="2">
        <v>2000</v>
      </c>
      <c r="C807" s="2" t="s">
        <v>54</v>
      </c>
      <c r="D807" s="2">
        <v>208</v>
      </c>
      <c r="E807" s="3">
        <f t="shared" si="6"/>
        <v>0.20799999999999999</v>
      </c>
      <c r="G807" s="2">
        <f t="shared" si="7"/>
        <v>0.20799999999999999</v>
      </c>
    </row>
    <row r="808" spans="1:7" ht="14.25" customHeight="1">
      <c r="A808" s="2" t="s">
        <v>15</v>
      </c>
      <c r="B808" s="2">
        <v>2001</v>
      </c>
      <c r="C808" s="2" t="s">
        <v>54</v>
      </c>
      <c r="D808" s="2">
        <v>160</v>
      </c>
      <c r="E808" s="3">
        <f t="shared" si="6"/>
        <v>0.16</v>
      </c>
      <c r="G808" s="2">
        <f t="shared" si="7"/>
        <v>0.16</v>
      </c>
    </row>
    <row r="809" spans="1:7" ht="14.25" customHeight="1">
      <c r="A809" s="2" t="s">
        <v>15</v>
      </c>
      <c r="B809" s="2">
        <v>2002</v>
      </c>
      <c r="C809" s="2" t="s">
        <v>54</v>
      </c>
      <c r="D809" s="2">
        <v>221</v>
      </c>
      <c r="E809" s="3">
        <f t="shared" si="6"/>
        <v>0.221</v>
      </c>
      <c r="G809" s="2">
        <f t="shared" si="7"/>
        <v>0.221</v>
      </c>
    </row>
    <row r="810" spans="1:7" ht="14.25" customHeight="1">
      <c r="A810" s="2" t="s">
        <v>15</v>
      </c>
      <c r="B810" s="2">
        <v>2003</v>
      </c>
      <c r="C810" s="2" t="s">
        <v>54</v>
      </c>
      <c r="D810" s="2">
        <v>297</v>
      </c>
      <c r="E810" s="3">
        <f t="shared" si="6"/>
        <v>0.29699999999999999</v>
      </c>
      <c r="G810" s="2">
        <f t="shared" si="7"/>
        <v>0.29699999999999999</v>
      </c>
    </row>
    <row r="811" spans="1:7" ht="14.25" customHeight="1">
      <c r="A811" s="2" t="s">
        <v>15</v>
      </c>
      <c r="B811" s="2">
        <v>2004</v>
      </c>
      <c r="C811" s="2" t="s">
        <v>54</v>
      </c>
      <c r="D811" s="2">
        <v>268</v>
      </c>
      <c r="E811" s="3">
        <f t="shared" si="6"/>
        <v>0.26800000000000002</v>
      </c>
      <c r="G811" s="2">
        <f t="shared" si="7"/>
        <v>0.26800000000000002</v>
      </c>
    </row>
    <row r="812" spans="1:7" ht="14.25" customHeight="1">
      <c r="A812" s="2" t="s">
        <v>15</v>
      </c>
      <c r="B812" s="2">
        <v>2005</v>
      </c>
      <c r="C812" s="2" t="s">
        <v>54</v>
      </c>
      <c r="D812" s="2">
        <v>290</v>
      </c>
      <c r="E812" s="3">
        <f t="shared" si="6"/>
        <v>0.28999999999999998</v>
      </c>
      <c r="G812" s="2">
        <f t="shared" si="7"/>
        <v>0.28999999999999998</v>
      </c>
    </row>
    <row r="813" spans="1:7" ht="14.25" customHeight="1">
      <c r="A813" s="2" t="s">
        <v>15</v>
      </c>
      <c r="B813" s="2">
        <v>2006</v>
      </c>
      <c r="C813" s="2" t="s">
        <v>54</v>
      </c>
      <c r="D813" s="2">
        <v>228.13</v>
      </c>
      <c r="E813" s="3">
        <f t="shared" si="6"/>
        <v>0.22813</v>
      </c>
      <c r="G813" s="2">
        <f t="shared" si="7"/>
        <v>0.22813</v>
      </c>
    </row>
    <row r="814" spans="1:7" ht="14.25" customHeight="1">
      <c r="A814" s="2" t="s">
        <v>15</v>
      </c>
      <c r="B814" s="2">
        <v>2007</v>
      </c>
      <c r="C814" s="2" t="s">
        <v>54</v>
      </c>
      <c r="D814" s="2">
        <v>268.74</v>
      </c>
      <c r="E814" s="3">
        <f t="shared" si="6"/>
        <v>0.26874000000000003</v>
      </c>
      <c r="G814" s="2">
        <f t="shared" si="7"/>
        <v>0.26874000000000003</v>
      </c>
    </row>
    <row r="815" spans="1:7" ht="14.25" customHeight="1">
      <c r="A815" s="2" t="s">
        <v>15</v>
      </c>
      <c r="B815" s="2">
        <v>2008</v>
      </c>
      <c r="C815" s="2" t="s">
        <v>54</v>
      </c>
      <c r="D815" s="2">
        <v>325.10000000000002</v>
      </c>
      <c r="E815" s="3">
        <f t="shared" si="6"/>
        <v>0.3251</v>
      </c>
      <c r="G815" s="2">
        <f t="shared" si="7"/>
        <v>0.3251</v>
      </c>
    </row>
    <row r="816" spans="1:7" ht="14.25" customHeight="1">
      <c r="A816" s="2" t="s">
        <v>15</v>
      </c>
      <c r="B816" s="2">
        <v>2009</v>
      </c>
      <c r="C816" s="2" t="s">
        <v>54</v>
      </c>
      <c r="D816" s="2">
        <v>263.66000000000003</v>
      </c>
      <c r="E816" s="3">
        <f t="shared" si="6"/>
        <v>0.26366000000000001</v>
      </c>
      <c r="G816" s="2">
        <f t="shared" si="7"/>
        <v>0.26366000000000001</v>
      </c>
    </row>
    <row r="817" spans="1:7" ht="14.25" customHeight="1">
      <c r="A817" s="2" t="s">
        <v>15</v>
      </c>
      <c r="B817" s="2">
        <v>2010</v>
      </c>
      <c r="C817" s="2" t="s">
        <v>54</v>
      </c>
      <c r="D817" s="2">
        <v>188.9</v>
      </c>
      <c r="E817" s="3">
        <f t="shared" si="6"/>
        <v>0.18890000000000001</v>
      </c>
      <c r="G817" s="2">
        <f t="shared" si="7"/>
        <v>0.18890000000000001</v>
      </c>
    </row>
    <row r="818" spans="1:7" ht="14.25" customHeight="1">
      <c r="A818" s="2" t="s">
        <v>15</v>
      </c>
      <c r="B818" s="2">
        <v>2011</v>
      </c>
      <c r="C818" s="2" t="s">
        <v>54</v>
      </c>
      <c r="D818" s="2">
        <v>107.36</v>
      </c>
      <c r="E818" s="3">
        <f t="shared" si="6"/>
        <v>0.10736</v>
      </c>
      <c r="G818" s="2">
        <f t="shared" si="7"/>
        <v>0.10736</v>
      </c>
    </row>
    <row r="819" spans="1:7" ht="14.25" customHeight="1">
      <c r="A819" s="2" t="s">
        <v>15</v>
      </c>
      <c r="B819" s="2">
        <v>2012</v>
      </c>
      <c r="C819" s="2" t="s">
        <v>54</v>
      </c>
      <c r="D819" s="2">
        <v>70.8</v>
      </c>
      <c r="E819" s="3">
        <f t="shared" si="6"/>
        <v>7.0800000000000002E-2</v>
      </c>
      <c r="G819" s="2">
        <f t="shared" si="7"/>
        <v>7.0800000000000002E-2</v>
      </c>
    </row>
    <row r="820" spans="1:7" ht="14.25" customHeight="1">
      <c r="A820" s="2" t="s">
        <v>15</v>
      </c>
      <c r="B820" s="2">
        <v>2013</v>
      </c>
      <c r="C820" s="2" t="s">
        <v>54</v>
      </c>
      <c r="D820" s="2">
        <v>47.65</v>
      </c>
      <c r="E820" s="3">
        <f t="shared" si="6"/>
        <v>4.7649999999999998E-2</v>
      </c>
      <c r="G820" s="2">
        <f t="shared" si="7"/>
        <v>4.7649999999999998E-2</v>
      </c>
    </row>
    <row r="821" spans="1:7" ht="14.25" customHeight="1">
      <c r="A821" s="2" t="s">
        <v>15</v>
      </c>
      <c r="B821" s="2">
        <v>2014</v>
      </c>
      <c r="C821" s="2" t="s">
        <v>54</v>
      </c>
      <c r="D821" s="2">
        <v>36.31</v>
      </c>
      <c r="E821" s="3">
        <f t="shared" si="6"/>
        <v>3.6310000000000002E-2</v>
      </c>
      <c r="G821" s="2">
        <f t="shared" si="7"/>
        <v>3.6310000000000002E-2</v>
      </c>
    </row>
    <row r="822" spans="1:7" ht="14.25" customHeight="1">
      <c r="A822" s="2" t="s">
        <v>15</v>
      </c>
      <c r="B822" s="2">
        <v>2015</v>
      </c>
      <c r="C822" s="2" t="s">
        <v>54</v>
      </c>
      <c r="D822" s="2">
        <v>55.3</v>
      </c>
      <c r="E822" s="3">
        <f t="shared" si="6"/>
        <v>5.5299999999999995E-2</v>
      </c>
      <c r="G822" s="2">
        <f t="shared" si="7"/>
        <v>5.5299999999999995E-2</v>
      </c>
    </row>
    <row r="823" spans="1:7" ht="14.25" customHeight="1">
      <c r="A823" s="2" t="s">
        <v>15</v>
      </c>
      <c r="B823" s="2">
        <v>2016</v>
      </c>
      <c r="C823" s="2" t="s">
        <v>54</v>
      </c>
      <c r="D823" s="2">
        <v>130.94999999999999</v>
      </c>
      <c r="E823" s="3">
        <f t="shared" si="6"/>
        <v>0.13094999999999998</v>
      </c>
      <c r="G823" s="2">
        <f t="shared" si="7"/>
        <v>0.13094999999999998</v>
      </c>
    </row>
    <row r="824" spans="1:7" ht="14.25" customHeight="1">
      <c r="A824" s="2" t="s">
        <v>15</v>
      </c>
      <c r="B824" s="2">
        <v>2017</v>
      </c>
      <c r="C824" s="2" t="s">
        <v>54</v>
      </c>
      <c r="D824" s="2">
        <v>204.89</v>
      </c>
      <c r="E824" s="3">
        <f t="shared" si="6"/>
        <v>0.20488999999999999</v>
      </c>
      <c r="G824" s="2">
        <f t="shared" si="7"/>
        <v>0.20488999999999999</v>
      </c>
    </row>
    <row r="825" spans="1:7" ht="14.25" customHeight="1">
      <c r="A825" s="2" t="s">
        <v>15</v>
      </c>
      <c r="B825" s="2">
        <v>2018</v>
      </c>
      <c r="C825" s="2" t="s">
        <v>54</v>
      </c>
      <c r="D825" s="2">
        <v>246.99700000000001</v>
      </c>
      <c r="E825" s="3">
        <f t="shared" si="6"/>
        <v>0.24699700000000002</v>
      </c>
      <c r="G825" s="2">
        <f t="shared" si="7"/>
        <v>0.24699700000000002</v>
      </c>
    </row>
    <row r="826" spans="1:7" ht="14.25" customHeight="1">
      <c r="A826" s="2" t="s">
        <v>15</v>
      </c>
      <c r="B826" s="2">
        <v>1903</v>
      </c>
      <c r="C826" s="2" t="s">
        <v>19</v>
      </c>
      <c r="D826" s="2">
        <v>384631</v>
      </c>
      <c r="E826" s="3">
        <f t="shared" si="6"/>
        <v>384.63099999999997</v>
      </c>
      <c r="G826" s="2">
        <f t="shared" si="7"/>
        <v>384.63099999999997</v>
      </c>
    </row>
    <row r="827" spans="1:7" ht="14.25" customHeight="1">
      <c r="A827" s="2" t="s">
        <v>15</v>
      </c>
      <c r="B827" s="2">
        <v>1904</v>
      </c>
      <c r="C827" s="2" t="s">
        <v>19</v>
      </c>
      <c r="D827" s="2">
        <v>453048</v>
      </c>
      <c r="E827" s="3">
        <f t="shared" si="6"/>
        <v>453.048</v>
      </c>
      <c r="G827" s="2">
        <f t="shared" si="7"/>
        <v>453.048</v>
      </c>
    </row>
    <row r="828" spans="1:7" ht="14.25" customHeight="1">
      <c r="A828" s="2" t="s">
        <v>15</v>
      </c>
      <c r="B828" s="2">
        <v>1905</v>
      </c>
      <c r="C828" s="2" t="s">
        <v>19</v>
      </c>
      <c r="D828" s="2">
        <v>445225</v>
      </c>
      <c r="E828" s="3">
        <f t="shared" si="6"/>
        <v>445.22500000000002</v>
      </c>
      <c r="G828" s="2">
        <f t="shared" si="7"/>
        <v>445.22500000000002</v>
      </c>
    </row>
    <row r="829" spans="1:7" ht="14.25" customHeight="1">
      <c r="A829" s="2" t="s">
        <v>15</v>
      </c>
      <c r="B829" s="2">
        <v>1906</v>
      </c>
      <c r="C829" s="2" t="s">
        <v>19</v>
      </c>
      <c r="D829" s="2">
        <v>432351</v>
      </c>
      <c r="E829" s="3">
        <f t="shared" si="6"/>
        <v>432.351</v>
      </c>
      <c r="G829" s="2">
        <f t="shared" si="7"/>
        <v>432.351</v>
      </c>
    </row>
    <row r="830" spans="1:7" ht="14.25" customHeight="1">
      <c r="A830" s="2" t="s">
        <v>15</v>
      </c>
      <c r="B830" s="2">
        <v>1907</v>
      </c>
      <c r="C830" s="2" t="s">
        <v>19</v>
      </c>
      <c r="D830" s="2">
        <v>571335</v>
      </c>
      <c r="E830" s="3">
        <f t="shared" si="6"/>
        <v>571.33500000000004</v>
      </c>
      <c r="G830" s="2">
        <f t="shared" si="7"/>
        <v>571.33500000000004</v>
      </c>
    </row>
    <row r="831" spans="1:7" ht="14.25" customHeight="1">
      <c r="A831" s="2" t="s">
        <v>15</v>
      </c>
      <c r="B831" s="2">
        <v>1908</v>
      </c>
      <c r="C831" s="2" t="s">
        <v>19</v>
      </c>
      <c r="D831" s="2">
        <v>503342</v>
      </c>
      <c r="E831" s="3">
        <f t="shared" si="6"/>
        <v>503.34199999999998</v>
      </c>
      <c r="G831" s="2">
        <f t="shared" si="7"/>
        <v>503.34199999999998</v>
      </c>
    </row>
    <row r="832" spans="1:7" ht="14.25" customHeight="1">
      <c r="A832" s="2" t="s">
        <v>15</v>
      </c>
      <c r="B832" s="2">
        <v>1909</v>
      </c>
      <c r="C832" s="2" t="s">
        <v>19</v>
      </c>
      <c r="D832" s="2">
        <v>486588</v>
      </c>
      <c r="E832" s="3">
        <f t="shared" si="6"/>
        <v>486.58800000000002</v>
      </c>
      <c r="G832" s="2">
        <f t="shared" si="7"/>
        <v>486.58800000000002</v>
      </c>
    </row>
    <row r="833" spans="1:7" ht="14.25" customHeight="1">
      <c r="A833" s="2" t="s">
        <v>15</v>
      </c>
      <c r="B833" s="2">
        <v>1910</v>
      </c>
      <c r="C833" s="2" t="s">
        <v>19</v>
      </c>
      <c r="D833" s="2">
        <v>508270</v>
      </c>
      <c r="E833" s="3">
        <f t="shared" si="6"/>
        <v>508.27</v>
      </c>
      <c r="G833" s="2">
        <f t="shared" si="7"/>
        <v>508.27</v>
      </c>
    </row>
    <row r="834" spans="1:7" ht="14.25" customHeight="1">
      <c r="A834" s="2" t="s">
        <v>15</v>
      </c>
      <c r="B834" s="2">
        <v>1911</v>
      </c>
      <c r="C834" s="2" t="s">
        <v>19</v>
      </c>
      <c r="D834" s="2">
        <v>538782</v>
      </c>
      <c r="E834" s="3">
        <f t="shared" si="6"/>
        <v>538.78200000000004</v>
      </c>
      <c r="G834" s="2">
        <f t="shared" si="7"/>
        <v>538.78200000000004</v>
      </c>
    </row>
    <row r="835" spans="1:7" ht="14.25" customHeight="1">
      <c r="A835" s="2" t="s">
        <v>15</v>
      </c>
      <c r="B835" s="2">
        <v>1912</v>
      </c>
      <c r="C835" s="2" t="s">
        <v>19</v>
      </c>
      <c r="D835" s="2">
        <v>560914</v>
      </c>
      <c r="E835" s="3">
        <f t="shared" si="6"/>
        <v>560.91399999999999</v>
      </c>
      <c r="G835" s="2">
        <f t="shared" si="7"/>
        <v>560.91399999999999</v>
      </c>
    </row>
    <row r="836" spans="1:7" ht="14.25" customHeight="1">
      <c r="A836" s="2" t="s">
        <v>15</v>
      </c>
      <c r="B836" s="2">
        <v>1913</v>
      </c>
      <c r="C836" s="2" t="s">
        <v>19</v>
      </c>
      <c r="D836" s="2">
        <v>605373</v>
      </c>
      <c r="E836" s="3">
        <f t="shared" si="6"/>
        <v>605.37300000000005</v>
      </c>
      <c r="G836" s="2">
        <f t="shared" si="7"/>
        <v>605.37300000000005</v>
      </c>
    </row>
    <row r="837" spans="1:7" ht="14.25" customHeight="1">
      <c r="A837" s="2" t="s">
        <v>15</v>
      </c>
      <c r="B837" s="2">
        <v>1914</v>
      </c>
      <c r="C837" s="2" t="s">
        <v>19</v>
      </c>
      <c r="D837" s="2">
        <v>340085</v>
      </c>
      <c r="E837" s="3">
        <f t="shared" si="6"/>
        <v>340.08499999999998</v>
      </c>
      <c r="G837" s="2">
        <f t="shared" si="7"/>
        <v>340.08499999999998</v>
      </c>
    </row>
    <row r="838" spans="1:7" ht="14.25" customHeight="1">
      <c r="A838" s="2" t="s">
        <v>15</v>
      </c>
      <c r="B838" s="2">
        <v>1915</v>
      </c>
      <c r="C838" s="2" t="s">
        <v>19</v>
      </c>
      <c r="D838" s="2">
        <v>115312</v>
      </c>
      <c r="E838" s="3">
        <f t="shared" si="6"/>
        <v>115.312</v>
      </c>
      <c r="G838" s="2">
        <f t="shared" si="7"/>
        <v>115.312</v>
      </c>
    </row>
    <row r="839" spans="1:7" ht="14.25" customHeight="1">
      <c r="A839" s="2" t="s">
        <v>15</v>
      </c>
      <c r="B839" s="2">
        <v>1916</v>
      </c>
      <c r="C839" s="2" t="s">
        <v>19</v>
      </c>
      <c r="D839" s="2">
        <v>153885</v>
      </c>
      <c r="E839" s="3">
        <f t="shared" si="6"/>
        <v>153.88499999999999</v>
      </c>
      <c r="G839" s="2">
        <f t="shared" si="7"/>
        <v>153.88499999999999</v>
      </c>
    </row>
    <row r="840" spans="1:7" ht="14.25" customHeight="1">
      <c r="A840" s="2" t="s">
        <v>15</v>
      </c>
      <c r="B840" s="2">
        <v>1917</v>
      </c>
      <c r="C840" s="2" t="s">
        <v>19</v>
      </c>
      <c r="D840" s="2">
        <v>171278</v>
      </c>
      <c r="E840" s="3">
        <f t="shared" si="6"/>
        <v>171.27799999999999</v>
      </c>
      <c r="G840" s="2">
        <f t="shared" si="7"/>
        <v>171.27799999999999</v>
      </c>
    </row>
    <row r="841" spans="1:7" ht="14.25" customHeight="1">
      <c r="A841" s="2" t="s">
        <v>15</v>
      </c>
      <c r="B841" s="2">
        <v>1918</v>
      </c>
      <c r="C841" s="2" t="s">
        <v>19</v>
      </c>
      <c r="D841" s="2">
        <v>191723</v>
      </c>
      <c r="E841" s="3">
        <f t="shared" si="6"/>
        <v>191.72300000000001</v>
      </c>
      <c r="G841" s="2">
        <f t="shared" si="7"/>
        <v>191.72300000000001</v>
      </c>
    </row>
    <row r="842" spans="1:7" ht="14.25" customHeight="1">
      <c r="A842" s="2" t="s">
        <v>15</v>
      </c>
      <c r="B842" s="2">
        <v>1919</v>
      </c>
      <c r="C842" s="2" t="s">
        <v>19</v>
      </c>
      <c r="D842" s="2">
        <v>382320</v>
      </c>
      <c r="E842" s="3">
        <f t="shared" si="6"/>
        <v>382.32</v>
      </c>
      <c r="G842" s="2">
        <f t="shared" si="7"/>
        <v>382.32</v>
      </c>
    </row>
    <row r="843" spans="1:7" ht="14.25" customHeight="1">
      <c r="A843" s="2" t="s">
        <v>15</v>
      </c>
      <c r="B843" s="2">
        <v>1920</v>
      </c>
      <c r="C843" s="2" t="s">
        <v>19</v>
      </c>
      <c r="D843" s="2">
        <v>409734</v>
      </c>
      <c r="E843" s="3">
        <f t="shared" si="6"/>
        <v>409.73399999999998</v>
      </c>
      <c r="G843" s="2">
        <f t="shared" si="7"/>
        <v>409.73399999999998</v>
      </c>
    </row>
    <row r="844" spans="1:7" ht="14.25" customHeight="1">
      <c r="A844" s="2" t="s">
        <v>15</v>
      </c>
      <c r="B844" s="2">
        <v>1921</v>
      </c>
      <c r="C844" s="2" t="s">
        <v>19</v>
      </c>
      <c r="D844" s="2">
        <v>277186</v>
      </c>
      <c r="E844" s="3">
        <f t="shared" si="6"/>
        <v>277.18599999999998</v>
      </c>
      <c r="G844" s="2">
        <f t="shared" si="7"/>
        <v>277.18599999999998</v>
      </c>
    </row>
    <row r="845" spans="1:7" ht="14.25" customHeight="1">
      <c r="A845" s="2" t="s">
        <v>15</v>
      </c>
      <c r="B845" s="2">
        <v>1922</v>
      </c>
      <c r="C845" s="2" t="s">
        <v>19</v>
      </c>
      <c r="D845" s="2">
        <v>280779</v>
      </c>
      <c r="E845" s="3">
        <f t="shared" si="6"/>
        <v>280.779</v>
      </c>
      <c r="G845" s="2">
        <f t="shared" si="7"/>
        <v>280.779</v>
      </c>
    </row>
    <row r="846" spans="1:7" ht="14.25" customHeight="1">
      <c r="A846" s="2" t="s">
        <v>15</v>
      </c>
      <c r="B846" s="2">
        <v>1923</v>
      </c>
      <c r="C846" s="2" t="s">
        <v>19</v>
      </c>
      <c r="D846" s="2">
        <v>326623</v>
      </c>
      <c r="E846" s="3">
        <f t="shared" si="6"/>
        <v>326.62299999999999</v>
      </c>
      <c r="G846" s="2">
        <f t="shared" si="7"/>
        <v>326.62299999999999</v>
      </c>
    </row>
    <row r="847" spans="1:7" ht="14.25" customHeight="1">
      <c r="A847" s="2" t="s">
        <v>15</v>
      </c>
      <c r="B847" s="2">
        <v>1924</v>
      </c>
      <c r="C847" s="2" t="s">
        <v>19</v>
      </c>
      <c r="D847" s="2">
        <v>478819</v>
      </c>
      <c r="E847" s="3">
        <f t="shared" si="6"/>
        <v>478.81900000000002</v>
      </c>
      <c r="G847" s="2">
        <f t="shared" si="7"/>
        <v>478.81900000000002</v>
      </c>
    </row>
    <row r="848" spans="1:7" ht="14.25" customHeight="1">
      <c r="A848" s="2" t="s">
        <v>15</v>
      </c>
      <c r="B848" s="2">
        <v>1925</v>
      </c>
      <c r="C848" s="2" t="s">
        <v>19</v>
      </c>
      <c r="D848" s="2">
        <v>376724</v>
      </c>
      <c r="E848" s="3">
        <f t="shared" si="6"/>
        <v>376.72399999999999</v>
      </c>
      <c r="G848" s="2">
        <f t="shared" si="7"/>
        <v>376.72399999999999</v>
      </c>
    </row>
    <row r="849" spans="1:7" ht="14.25" customHeight="1">
      <c r="A849" s="2" t="s">
        <v>15</v>
      </c>
      <c r="B849" s="2">
        <v>1926</v>
      </c>
      <c r="C849" s="2" t="s">
        <v>19</v>
      </c>
      <c r="D849" s="2">
        <v>410611</v>
      </c>
      <c r="E849" s="3">
        <f t="shared" si="6"/>
        <v>410.61099999999999</v>
      </c>
      <c r="G849" s="2">
        <f t="shared" si="7"/>
        <v>410.61099999999999</v>
      </c>
    </row>
    <row r="850" spans="1:7" ht="14.25" customHeight="1">
      <c r="A850" s="2" t="s">
        <v>15</v>
      </c>
      <c r="B850" s="2">
        <v>1927</v>
      </c>
      <c r="C850" s="2" t="s">
        <v>19</v>
      </c>
      <c r="D850" s="2">
        <v>413449</v>
      </c>
      <c r="E850" s="3">
        <f t="shared" si="6"/>
        <v>413.44900000000001</v>
      </c>
      <c r="G850" s="2">
        <f t="shared" si="7"/>
        <v>413.44900000000001</v>
      </c>
    </row>
    <row r="851" spans="1:7" ht="14.25" customHeight="1">
      <c r="A851" s="2" t="s">
        <v>15</v>
      </c>
      <c r="B851" s="2">
        <v>1928</v>
      </c>
      <c r="C851" s="2" t="s">
        <v>19</v>
      </c>
      <c r="D851" s="2">
        <v>445717</v>
      </c>
      <c r="E851" s="3">
        <f t="shared" si="6"/>
        <v>445.71699999999998</v>
      </c>
      <c r="G851" s="2">
        <f t="shared" si="7"/>
        <v>445.71699999999998</v>
      </c>
    </row>
    <row r="852" spans="1:7" ht="14.25" customHeight="1">
      <c r="A852" s="2" t="s">
        <v>15</v>
      </c>
      <c r="B852" s="2">
        <v>1929</v>
      </c>
      <c r="C852" s="2" t="s">
        <v>19</v>
      </c>
      <c r="D852" s="2">
        <v>436513</v>
      </c>
      <c r="E852" s="3">
        <f t="shared" si="6"/>
        <v>436.51299999999998</v>
      </c>
      <c r="G852" s="2">
        <f t="shared" si="7"/>
        <v>436.51299999999998</v>
      </c>
    </row>
    <row r="853" spans="1:7" ht="14.25" customHeight="1">
      <c r="A853" s="2" t="s">
        <v>15</v>
      </c>
      <c r="B853" s="2">
        <v>1930</v>
      </c>
      <c r="C853" s="2" t="s">
        <v>19</v>
      </c>
      <c r="D853" s="2">
        <v>385985</v>
      </c>
      <c r="E853" s="3">
        <f t="shared" si="6"/>
        <v>385.98500000000001</v>
      </c>
      <c r="G853" s="2">
        <f t="shared" si="7"/>
        <v>385.98500000000001</v>
      </c>
    </row>
    <row r="854" spans="1:7" ht="14.25" customHeight="1">
      <c r="A854" s="2" t="s">
        <v>15</v>
      </c>
      <c r="B854" s="2">
        <v>1931</v>
      </c>
      <c r="C854" s="2" t="s">
        <v>19</v>
      </c>
      <c r="D854" s="2">
        <v>295690</v>
      </c>
      <c r="E854" s="3">
        <f t="shared" si="6"/>
        <v>295.69</v>
      </c>
      <c r="G854" s="2">
        <f t="shared" si="7"/>
        <v>295.69</v>
      </c>
    </row>
    <row r="855" spans="1:7" ht="14.25" customHeight="1">
      <c r="A855" s="2" t="s">
        <v>15</v>
      </c>
      <c r="B855" s="2">
        <v>1932</v>
      </c>
      <c r="C855" s="2" t="s">
        <v>19</v>
      </c>
      <c r="D855" s="2">
        <v>270751</v>
      </c>
      <c r="E855" s="3">
        <f t="shared" si="6"/>
        <v>270.75099999999998</v>
      </c>
      <c r="G855" s="2">
        <f t="shared" si="7"/>
        <v>270.75099999999998</v>
      </c>
    </row>
    <row r="856" spans="1:7" ht="14.25" customHeight="1">
      <c r="A856" s="2" t="s">
        <v>15</v>
      </c>
      <c r="B856" s="2">
        <v>1933</v>
      </c>
      <c r="C856" s="2" t="s">
        <v>19</v>
      </c>
      <c r="D856" s="2">
        <v>246164</v>
      </c>
      <c r="E856" s="3">
        <f t="shared" si="6"/>
        <v>246.16399999999999</v>
      </c>
      <c r="G856" s="2">
        <f t="shared" si="7"/>
        <v>246.16399999999999</v>
      </c>
    </row>
    <row r="857" spans="1:7" ht="14.25" customHeight="1">
      <c r="A857" s="2" t="s">
        <v>15</v>
      </c>
      <c r="B857" s="2">
        <v>1934</v>
      </c>
      <c r="C857" s="2" t="s">
        <v>19</v>
      </c>
      <c r="D857" s="2">
        <v>247112</v>
      </c>
      <c r="E857" s="3">
        <f t="shared" si="6"/>
        <v>247.11199999999999</v>
      </c>
      <c r="G857" s="2">
        <f t="shared" si="7"/>
        <v>247.11199999999999</v>
      </c>
    </row>
    <row r="858" spans="1:7" ht="14.25" customHeight="1">
      <c r="A858" s="2" t="s">
        <v>15</v>
      </c>
      <c r="B858" s="2">
        <v>1935</v>
      </c>
      <c r="C858" s="2" t="s">
        <v>19</v>
      </c>
      <c r="D858" s="2">
        <v>294835</v>
      </c>
      <c r="E858" s="3">
        <f t="shared" si="6"/>
        <v>294.83499999999998</v>
      </c>
      <c r="G858" s="2">
        <f t="shared" si="7"/>
        <v>294.83499999999998</v>
      </c>
    </row>
    <row r="859" spans="1:7" ht="14.25" customHeight="1">
      <c r="A859" s="2" t="s">
        <v>15</v>
      </c>
      <c r="B859" s="2">
        <v>1936</v>
      </c>
      <c r="C859" s="2" t="s">
        <v>19</v>
      </c>
      <c r="D859" s="2">
        <v>287543</v>
      </c>
      <c r="E859" s="3">
        <f t="shared" si="6"/>
        <v>287.54300000000001</v>
      </c>
      <c r="G859" s="2">
        <f t="shared" si="7"/>
        <v>287.54300000000001</v>
      </c>
    </row>
    <row r="860" spans="1:7" ht="14.25" customHeight="1">
      <c r="A860" s="2" t="s">
        <v>15</v>
      </c>
      <c r="B860" s="2">
        <v>1937</v>
      </c>
      <c r="C860" s="2" t="s">
        <v>19</v>
      </c>
      <c r="D860" s="2">
        <v>285981</v>
      </c>
      <c r="E860" s="3">
        <f t="shared" si="6"/>
        <v>285.98099999999999</v>
      </c>
      <c r="G860" s="2">
        <f t="shared" si="7"/>
        <v>285.98099999999999</v>
      </c>
    </row>
    <row r="861" spans="1:7" ht="14.25" customHeight="1">
      <c r="A861" s="2" t="s">
        <v>15</v>
      </c>
      <c r="B861" s="2">
        <v>1938</v>
      </c>
      <c r="C861" s="2" t="s">
        <v>19</v>
      </c>
      <c r="D861" s="2">
        <v>279791</v>
      </c>
      <c r="E861" s="3">
        <f t="shared" si="6"/>
        <v>279.791</v>
      </c>
      <c r="G861" s="2">
        <f t="shared" si="7"/>
        <v>279.791</v>
      </c>
    </row>
    <row r="862" spans="1:7" ht="14.25" customHeight="1">
      <c r="A862" s="2" t="s">
        <v>15</v>
      </c>
      <c r="B862" s="2">
        <v>1939</v>
      </c>
      <c r="C862" s="2" t="s">
        <v>19</v>
      </c>
      <c r="D862" s="2">
        <v>164183</v>
      </c>
      <c r="E862" s="3">
        <f t="shared" si="6"/>
        <v>164.18299999999999</v>
      </c>
      <c r="G862" s="2">
        <f t="shared" si="7"/>
        <v>164.18299999999999</v>
      </c>
    </row>
    <row r="863" spans="1:7" ht="14.25" customHeight="1">
      <c r="A863" s="2" t="s">
        <v>15</v>
      </c>
      <c r="B863" s="2">
        <v>1940</v>
      </c>
      <c r="C863" s="2" t="s">
        <v>19</v>
      </c>
      <c r="D863" s="2">
        <v>73033</v>
      </c>
      <c r="E863" s="3">
        <f t="shared" si="6"/>
        <v>73.033000000000001</v>
      </c>
      <c r="G863" s="2">
        <f t="shared" si="7"/>
        <v>73.033000000000001</v>
      </c>
    </row>
    <row r="864" spans="1:7" ht="14.25" customHeight="1">
      <c r="A864" s="2" t="s">
        <v>15</v>
      </c>
      <c r="B864" s="2">
        <v>1941</v>
      </c>
      <c r="C864" s="2" t="s">
        <v>19</v>
      </c>
      <c r="D864" s="2">
        <v>59566</v>
      </c>
      <c r="E864" s="3">
        <f t="shared" si="6"/>
        <v>59.566000000000003</v>
      </c>
      <c r="G864" s="2">
        <f t="shared" si="7"/>
        <v>59.566000000000003</v>
      </c>
    </row>
    <row r="865" spans="1:7" ht="14.25" customHeight="1">
      <c r="A865" s="2" t="s">
        <v>15</v>
      </c>
      <c r="B865" s="2">
        <v>1942</v>
      </c>
      <c r="C865" s="2" t="s">
        <v>19</v>
      </c>
      <c r="D865" s="2">
        <v>72280</v>
      </c>
      <c r="E865" s="3">
        <f t="shared" si="6"/>
        <v>72.28</v>
      </c>
      <c r="G865" s="2">
        <f t="shared" si="7"/>
        <v>72.28</v>
      </c>
    </row>
    <row r="866" spans="1:7" ht="14.25" customHeight="1">
      <c r="A866" s="2" t="s">
        <v>15</v>
      </c>
      <c r="B866" s="2">
        <v>1943</v>
      </c>
      <c r="C866" s="2" t="s">
        <v>19</v>
      </c>
      <c r="D866" s="2">
        <v>83232</v>
      </c>
      <c r="E866" s="3">
        <f t="shared" si="6"/>
        <v>83.231999999999999</v>
      </c>
      <c r="G866" s="2">
        <f t="shared" si="7"/>
        <v>83.231999999999999</v>
      </c>
    </row>
    <row r="867" spans="1:7" ht="14.25" customHeight="1">
      <c r="A867" s="2" t="s">
        <v>15</v>
      </c>
      <c r="B867" s="2">
        <v>1944</v>
      </c>
      <c r="C867" s="2" t="s">
        <v>19</v>
      </c>
      <c r="D867" s="2">
        <v>84505</v>
      </c>
      <c r="E867" s="3">
        <f t="shared" si="6"/>
        <v>84.504999999999995</v>
      </c>
      <c r="G867" s="2">
        <f t="shared" si="7"/>
        <v>84.504999999999995</v>
      </c>
    </row>
    <row r="868" spans="1:7" ht="14.25" customHeight="1">
      <c r="A868" s="2" t="s">
        <v>15</v>
      </c>
      <c r="B868" s="2">
        <v>1945</v>
      </c>
      <c r="C868" s="2" t="s">
        <v>19</v>
      </c>
      <c r="D868" s="2">
        <v>129612</v>
      </c>
      <c r="E868" s="3">
        <f t="shared" si="6"/>
        <v>129.61199999999999</v>
      </c>
      <c r="G868" s="2">
        <f t="shared" si="7"/>
        <v>129.61199999999999</v>
      </c>
    </row>
    <row r="869" spans="1:7" ht="14.25" customHeight="1">
      <c r="A869" s="2" t="s">
        <v>15</v>
      </c>
      <c r="B869" s="2">
        <v>1946</v>
      </c>
      <c r="C869" s="2" t="s">
        <v>19</v>
      </c>
      <c r="D869" s="2">
        <v>210831</v>
      </c>
      <c r="E869" s="3">
        <f t="shared" si="6"/>
        <v>210.83099999999999</v>
      </c>
      <c r="G869" s="2">
        <f t="shared" si="7"/>
        <v>210.83099999999999</v>
      </c>
    </row>
    <row r="870" spans="1:7" ht="14.25" customHeight="1">
      <c r="A870" s="2" t="s">
        <v>15</v>
      </c>
      <c r="B870" s="2">
        <v>1947</v>
      </c>
      <c r="C870" s="2" t="s">
        <v>19</v>
      </c>
      <c r="D870" s="2">
        <v>232709</v>
      </c>
      <c r="E870" s="3">
        <f t="shared" si="6"/>
        <v>232.709</v>
      </c>
      <c r="G870" s="2">
        <f t="shared" si="7"/>
        <v>232.709</v>
      </c>
    </row>
    <row r="871" spans="1:7" ht="14.25" customHeight="1">
      <c r="A871" s="2" t="s">
        <v>15</v>
      </c>
      <c r="B871" s="2">
        <v>1948</v>
      </c>
      <c r="C871" s="2" t="s">
        <v>19</v>
      </c>
      <c r="D871" s="2">
        <v>273984</v>
      </c>
      <c r="E871" s="3">
        <f t="shared" si="6"/>
        <v>273.98399999999998</v>
      </c>
      <c r="G871" s="2">
        <f t="shared" si="7"/>
        <v>273.98399999999998</v>
      </c>
    </row>
    <row r="872" spans="1:7" ht="14.25" customHeight="1">
      <c r="A872" s="2" t="s">
        <v>15</v>
      </c>
      <c r="B872" s="2">
        <v>1949</v>
      </c>
      <c r="C872" s="2" t="s">
        <v>19</v>
      </c>
      <c r="D872" s="2">
        <v>208474</v>
      </c>
      <c r="E872" s="3">
        <f t="shared" si="6"/>
        <v>208.47399999999999</v>
      </c>
      <c r="G872" s="2">
        <f t="shared" si="7"/>
        <v>208.47399999999999</v>
      </c>
    </row>
    <row r="873" spans="1:7" ht="14.25" customHeight="1">
      <c r="A873" s="2" t="s">
        <v>15</v>
      </c>
      <c r="B873" s="2">
        <v>1950</v>
      </c>
      <c r="C873" s="2" t="s">
        <v>19</v>
      </c>
      <c r="D873" s="2">
        <v>180659</v>
      </c>
      <c r="E873" s="3">
        <f t="shared" si="6"/>
        <v>180.65899999999999</v>
      </c>
      <c r="G873" s="2">
        <f t="shared" si="7"/>
        <v>180.65899999999999</v>
      </c>
    </row>
    <row r="874" spans="1:7" ht="14.25" customHeight="1">
      <c r="A874" s="2" t="s">
        <v>15</v>
      </c>
      <c r="B874" s="2">
        <v>1951</v>
      </c>
      <c r="C874" s="2" t="s">
        <v>19</v>
      </c>
      <c r="D874" s="2">
        <v>169216</v>
      </c>
      <c r="E874" s="3">
        <f t="shared" si="6"/>
        <v>169.21600000000001</v>
      </c>
      <c r="G874" s="2">
        <f t="shared" si="7"/>
        <v>169.21600000000001</v>
      </c>
    </row>
    <row r="875" spans="1:7" ht="14.25" customHeight="1">
      <c r="A875" s="2" t="s">
        <v>15</v>
      </c>
      <c r="B875" s="2">
        <v>1952</v>
      </c>
      <c r="C875" s="2" t="s">
        <v>19</v>
      </c>
      <c r="D875" s="2">
        <v>211870</v>
      </c>
      <c r="E875" s="3">
        <f t="shared" si="6"/>
        <v>211.87</v>
      </c>
      <c r="G875" s="2">
        <f t="shared" si="7"/>
        <v>211.87</v>
      </c>
    </row>
    <row r="876" spans="1:7" ht="14.25" customHeight="1">
      <c r="A876" s="2" t="s">
        <v>15</v>
      </c>
      <c r="B876" s="2">
        <v>1953</v>
      </c>
      <c r="C876" s="2" t="s">
        <v>19</v>
      </c>
      <c r="D876" s="2">
        <v>228673</v>
      </c>
      <c r="E876" s="3">
        <f t="shared" si="6"/>
        <v>228.673</v>
      </c>
      <c r="G876" s="2">
        <f t="shared" si="7"/>
        <v>228.673</v>
      </c>
    </row>
    <row r="877" spans="1:7" ht="14.25" customHeight="1">
      <c r="A877" s="2" t="s">
        <v>15</v>
      </c>
      <c r="B877" s="2">
        <v>1954</v>
      </c>
      <c r="C877" s="2" t="s">
        <v>19</v>
      </c>
      <c r="D877" s="2">
        <v>198562</v>
      </c>
      <c r="E877" s="3">
        <f t="shared" si="6"/>
        <v>198.56200000000001</v>
      </c>
      <c r="G877" s="2">
        <f t="shared" si="7"/>
        <v>198.56200000000001</v>
      </c>
    </row>
    <row r="878" spans="1:7" ht="14.25" customHeight="1">
      <c r="A878" s="2" t="s">
        <v>15</v>
      </c>
      <c r="B878" s="2">
        <v>1955</v>
      </c>
      <c r="C878" s="2" t="s">
        <v>19</v>
      </c>
      <c r="D878" s="2">
        <v>120913</v>
      </c>
      <c r="E878" s="3">
        <f t="shared" si="6"/>
        <v>120.913</v>
      </c>
      <c r="G878" s="2">
        <f t="shared" si="7"/>
        <v>120.913</v>
      </c>
    </row>
    <row r="879" spans="1:7" ht="14.25" customHeight="1">
      <c r="A879" s="2" t="s">
        <v>15</v>
      </c>
      <c r="B879" s="2">
        <v>1956</v>
      </c>
      <c r="C879" s="2" t="s">
        <v>19</v>
      </c>
      <c r="D879" s="2">
        <v>137350</v>
      </c>
      <c r="E879" s="3">
        <f t="shared" si="6"/>
        <v>137.35</v>
      </c>
      <c r="G879" s="2">
        <f t="shared" si="7"/>
        <v>137.35</v>
      </c>
    </row>
    <row r="880" spans="1:7" ht="14.25" customHeight="1">
      <c r="A880" s="2" t="s">
        <v>15</v>
      </c>
      <c r="B880" s="2">
        <v>1957</v>
      </c>
      <c r="C880" s="2" t="s">
        <v>19</v>
      </c>
      <c r="D880" s="2">
        <v>121902</v>
      </c>
      <c r="E880" s="3">
        <f t="shared" si="6"/>
        <v>121.902</v>
      </c>
      <c r="G880" s="2">
        <f t="shared" si="7"/>
        <v>121.902</v>
      </c>
    </row>
    <row r="881" spans="1:7" ht="14.25" customHeight="1">
      <c r="A881" s="2" t="s">
        <v>15</v>
      </c>
      <c r="B881" s="2">
        <v>1958</v>
      </c>
      <c r="C881" s="2" t="s">
        <v>19</v>
      </c>
      <c r="D881" s="2">
        <v>112691</v>
      </c>
      <c r="E881" s="3">
        <f t="shared" si="6"/>
        <v>112.691</v>
      </c>
      <c r="G881" s="2">
        <f t="shared" si="7"/>
        <v>112.691</v>
      </c>
    </row>
    <row r="882" spans="1:7" ht="14.25" customHeight="1">
      <c r="A882" s="2" t="s">
        <v>15</v>
      </c>
      <c r="B882" s="2">
        <v>1959</v>
      </c>
      <c r="C882" s="2" t="s">
        <v>19</v>
      </c>
      <c r="D882" s="2">
        <v>138934</v>
      </c>
      <c r="E882" s="3">
        <f t="shared" si="6"/>
        <v>138.934</v>
      </c>
      <c r="G882" s="2">
        <f t="shared" si="7"/>
        <v>138.934</v>
      </c>
    </row>
    <row r="883" spans="1:7" ht="14.25" customHeight="1">
      <c r="A883" s="2" t="s">
        <v>15</v>
      </c>
      <c r="B883" s="2">
        <v>1960</v>
      </c>
      <c r="C883" s="2" t="s">
        <v>19</v>
      </c>
      <c r="D883" s="2">
        <v>111078</v>
      </c>
      <c r="E883" s="3">
        <f t="shared" si="6"/>
        <v>111.078</v>
      </c>
      <c r="G883" s="2">
        <f t="shared" si="7"/>
        <v>111.078</v>
      </c>
    </row>
    <row r="884" spans="1:7" ht="14.25" customHeight="1">
      <c r="A884" s="2" t="s">
        <v>15</v>
      </c>
      <c r="B884" s="2">
        <v>1961</v>
      </c>
      <c r="C884" s="2" t="s">
        <v>19</v>
      </c>
      <c r="D884" s="2">
        <v>88506</v>
      </c>
      <c r="E884" s="3">
        <f t="shared" si="6"/>
        <v>88.506</v>
      </c>
      <c r="G884" s="2">
        <f t="shared" si="7"/>
        <v>88.506</v>
      </c>
    </row>
    <row r="885" spans="1:7" ht="14.25" customHeight="1">
      <c r="A885" s="2" t="s">
        <v>15</v>
      </c>
      <c r="B885" s="2">
        <v>1962</v>
      </c>
      <c r="C885" s="2" t="s">
        <v>19</v>
      </c>
      <c r="D885" s="2">
        <v>91095</v>
      </c>
      <c r="E885" s="3">
        <f t="shared" si="6"/>
        <v>91.094999999999999</v>
      </c>
      <c r="G885" s="2">
        <f t="shared" si="7"/>
        <v>91.094999999999999</v>
      </c>
    </row>
    <row r="886" spans="1:7" ht="14.25" customHeight="1">
      <c r="A886" s="2" t="s">
        <v>15</v>
      </c>
      <c r="B886" s="2">
        <v>1963</v>
      </c>
      <c r="C886" s="2" t="s">
        <v>19</v>
      </c>
      <c r="D886" s="2">
        <v>106455</v>
      </c>
      <c r="E886" s="3">
        <f t="shared" si="6"/>
        <v>106.455</v>
      </c>
      <c r="G886" s="2">
        <f t="shared" si="7"/>
        <v>106.455</v>
      </c>
    </row>
    <row r="887" spans="1:7" ht="14.25" customHeight="1">
      <c r="A887" s="2" t="s">
        <v>15</v>
      </c>
      <c r="B887" s="2">
        <v>1964</v>
      </c>
      <c r="C887" s="2" t="s">
        <v>19</v>
      </c>
      <c r="D887" s="2">
        <v>99448</v>
      </c>
      <c r="E887" s="3">
        <f t="shared" si="6"/>
        <v>99.447999999999993</v>
      </c>
      <c r="G887" s="2">
        <f t="shared" si="7"/>
        <v>99.447999999999993</v>
      </c>
    </row>
    <row r="888" spans="1:7" ht="14.25" customHeight="1">
      <c r="A888" s="2" t="s">
        <v>15</v>
      </c>
      <c r="B888" s="2">
        <v>1965</v>
      </c>
      <c r="C888" s="2" t="s">
        <v>19</v>
      </c>
      <c r="D888" s="2">
        <v>99694</v>
      </c>
      <c r="E888" s="3">
        <f t="shared" si="6"/>
        <v>99.694000000000003</v>
      </c>
      <c r="G888" s="2">
        <f t="shared" si="7"/>
        <v>99.694000000000003</v>
      </c>
    </row>
    <row r="889" spans="1:7" ht="14.25" customHeight="1">
      <c r="A889" s="2" t="s">
        <v>15</v>
      </c>
      <c r="B889" s="2">
        <v>1966</v>
      </c>
      <c r="C889" s="2" t="s">
        <v>19</v>
      </c>
      <c r="D889" s="2">
        <v>115363</v>
      </c>
      <c r="E889" s="3">
        <f t="shared" si="6"/>
        <v>115.363</v>
      </c>
      <c r="G889" s="2">
        <f t="shared" si="7"/>
        <v>115.363</v>
      </c>
    </row>
    <row r="890" spans="1:7" ht="14.25" customHeight="1">
      <c r="A890" s="2" t="s">
        <v>15</v>
      </c>
      <c r="B890" s="2">
        <v>1967</v>
      </c>
      <c r="C890" s="2" t="s">
        <v>19</v>
      </c>
      <c r="D890" s="2">
        <v>102157</v>
      </c>
      <c r="E890" s="3">
        <f t="shared" si="6"/>
        <v>102.157</v>
      </c>
      <c r="G890" s="2">
        <f t="shared" si="7"/>
        <v>102.157</v>
      </c>
    </row>
    <row r="891" spans="1:7" ht="14.25" customHeight="1">
      <c r="A891" s="2" t="s">
        <v>15</v>
      </c>
      <c r="B891" s="2">
        <v>1968</v>
      </c>
      <c r="C891" s="2" t="s">
        <v>19</v>
      </c>
      <c r="D891" s="2">
        <v>94555</v>
      </c>
      <c r="E891" s="3">
        <f t="shared" si="6"/>
        <v>94.555000000000007</v>
      </c>
      <c r="G891" s="2">
        <f t="shared" si="7"/>
        <v>94.555000000000007</v>
      </c>
    </row>
    <row r="892" spans="1:7" ht="14.25" customHeight="1">
      <c r="A892" s="2" t="s">
        <v>15</v>
      </c>
      <c r="B892" s="2">
        <v>1969</v>
      </c>
      <c r="C892" s="2" t="s">
        <v>19</v>
      </c>
      <c r="D892" s="2">
        <v>123723</v>
      </c>
      <c r="E892" s="3">
        <f t="shared" si="6"/>
        <v>123.723</v>
      </c>
      <c r="G892" s="2">
        <f t="shared" si="7"/>
        <v>123.723</v>
      </c>
    </row>
    <row r="893" spans="1:7" ht="14.25" customHeight="1">
      <c r="A893" s="2" t="s">
        <v>15</v>
      </c>
      <c r="B893" s="2">
        <v>1970</v>
      </c>
      <c r="C893" s="2" t="s">
        <v>19</v>
      </c>
      <c r="D893" s="2">
        <v>145621</v>
      </c>
      <c r="E893" s="3">
        <f t="shared" si="6"/>
        <v>145.62100000000001</v>
      </c>
      <c r="G893" s="2">
        <f t="shared" si="7"/>
        <v>145.62100000000001</v>
      </c>
    </row>
    <row r="894" spans="1:7" ht="14.25" customHeight="1">
      <c r="A894" s="2" t="s">
        <v>15</v>
      </c>
      <c r="B894" s="2">
        <v>1971</v>
      </c>
      <c r="C894" s="2" t="s">
        <v>19</v>
      </c>
      <c r="D894" s="2">
        <v>146495</v>
      </c>
      <c r="E894" s="3">
        <f t="shared" si="6"/>
        <v>146.495</v>
      </c>
      <c r="G894" s="2">
        <f t="shared" si="7"/>
        <v>146.495</v>
      </c>
    </row>
    <row r="895" spans="1:7" ht="14.25" customHeight="1">
      <c r="A895" s="2" t="s">
        <v>15</v>
      </c>
      <c r="B895" s="2">
        <v>1972</v>
      </c>
      <c r="C895" s="2" t="s">
        <v>19</v>
      </c>
      <c r="D895" s="2">
        <v>149740</v>
      </c>
      <c r="E895" s="3">
        <f t="shared" si="6"/>
        <v>149.74</v>
      </c>
      <c r="G895" s="2">
        <f t="shared" si="7"/>
        <v>149.74</v>
      </c>
    </row>
    <row r="896" spans="1:7" ht="14.25" customHeight="1">
      <c r="A896" s="2" t="s">
        <v>15</v>
      </c>
      <c r="B896" s="2">
        <v>1973</v>
      </c>
      <c r="C896" s="2" t="s">
        <v>19</v>
      </c>
      <c r="D896" s="2">
        <v>156869</v>
      </c>
      <c r="E896" s="3">
        <f t="shared" si="6"/>
        <v>156.869</v>
      </c>
      <c r="G896" s="2">
        <f t="shared" si="7"/>
        <v>156.869</v>
      </c>
    </row>
    <row r="897" spans="1:7" ht="14.25" customHeight="1">
      <c r="A897" s="2" t="s">
        <v>15</v>
      </c>
      <c r="B897" s="2">
        <v>1974</v>
      </c>
      <c r="C897" s="2" t="s">
        <v>19</v>
      </c>
      <c r="D897" s="2">
        <v>149267</v>
      </c>
      <c r="E897" s="3">
        <f t="shared" si="6"/>
        <v>149.267</v>
      </c>
      <c r="G897" s="2">
        <f t="shared" si="7"/>
        <v>149.267</v>
      </c>
    </row>
    <row r="898" spans="1:7" ht="14.25" customHeight="1">
      <c r="A898" s="2" t="s">
        <v>15</v>
      </c>
      <c r="B898" s="2">
        <v>1975</v>
      </c>
      <c r="C898" s="2" t="s">
        <v>19</v>
      </c>
      <c r="D898" s="2">
        <v>112665</v>
      </c>
      <c r="E898" s="3">
        <f t="shared" si="6"/>
        <v>112.66500000000001</v>
      </c>
      <c r="G898" s="2">
        <f t="shared" si="7"/>
        <v>112.66500000000001</v>
      </c>
    </row>
    <row r="899" spans="1:7" ht="14.25" customHeight="1">
      <c r="A899" s="2" t="s">
        <v>15</v>
      </c>
      <c r="B899" s="2">
        <v>1976</v>
      </c>
      <c r="C899" s="2" t="s">
        <v>19</v>
      </c>
      <c r="D899" s="2">
        <v>91011</v>
      </c>
      <c r="E899" s="3">
        <f t="shared" si="6"/>
        <v>91.010999999999996</v>
      </c>
      <c r="G899" s="2">
        <f t="shared" si="7"/>
        <v>91.010999999999996</v>
      </c>
    </row>
    <row r="900" spans="1:7" ht="14.25" customHeight="1">
      <c r="A900" s="2" t="s">
        <v>15</v>
      </c>
      <c r="B900" s="2">
        <v>1977</v>
      </c>
      <c r="C900" s="2" t="s">
        <v>19</v>
      </c>
      <c r="D900" s="2">
        <v>43049</v>
      </c>
      <c r="E900" s="3">
        <f t="shared" si="6"/>
        <v>43.048999999999999</v>
      </c>
      <c r="G900" s="2">
        <f t="shared" si="7"/>
        <v>43.048999999999999</v>
      </c>
    </row>
    <row r="901" spans="1:7" ht="14.25" customHeight="1">
      <c r="A901" s="2" t="s">
        <v>15</v>
      </c>
      <c r="B901" s="2">
        <v>1978</v>
      </c>
      <c r="C901" s="2" t="s">
        <v>19</v>
      </c>
      <c r="D901" s="2">
        <v>16008</v>
      </c>
      <c r="E901" s="3">
        <f t="shared" si="6"/>
        <v>16.007999999999999</v>
      </c>
      <c r="G901" s="2">
        <f t="shared" si="7"/>
        <v>16.007999999999999</v>
      </c>
    </row>
    <row r="902" spans="1:7" ht="14.25" customHeight="1">
      <c r="A902" s="2" t="s">
        <v>15</v>
      </c>
      <c r="B902" s="2">
        <v>1979</v>
      </c>
      <c r="C902" s="2" t="s">
        <v>19</v>
      </c>
      <c r="D902" s="2">
        <v>4586</v>
      </c>
      <c r="E902" s="3">
        <f t="shared" si="6"/>
        <v>4.5860000000000003</v>
      </c>
      <c r="G902" s="2">
        <f t="shared" si="7"/>
        <v>4.5860000000000003</v>
      </c>
    </row>
    <row r="903" spans="1:7" ht="14.25" customHeight="1">
      <c r="A903" s="2" t="s">
        <v>15</v>
      </c>
      <c r="B903" s="2">
        <v>1980</v>
      </c>
      <c r="C903" s="2" t="s">
        <v>19</v>
      </c>
      <c r="D903" s="2">
        <v>5566</v>
      </c>
      <c r="E903" s="3">
        <f t="shared" si="6"/>
        <v>5.5659999999999998</v>
      </c>
      <c r="G903" s="2">
        <f t="shared" si="7"/>
        <v>5.5659999999999998</v>
      </c>
    </row>
    <row r="904" spans="1:7" ht="14.25" customHeight="1">
      <c r="A904" s="2" t="s">
        <v>15</v>
      </c>
      <c r="B904" s="2">
        <v>1981</v>
      </c>
      <c r="C904" s="2" t="s">
        <v>19</v>
      </c>
      <c r="D904" s="2">
        <v>42015</v>
      </c>
      <c r="E904" s="3">
        <f t="shared" si="6"/>
        <v>42.015000000000001</v>
      </c>
      <c r="G904" s="2">
        <f t="shared" si="7"/>
        <v>42.015000000000001</v>
      </c>
    </row>
    <row r="905" spans="1:7" ht="14.25" customHeight="1">
      <c r="A905" s="2" t="s">
        <v>15</v>
      </c>
      <c r="B905" s="2">
        <v>1982</v>
      </c>
      <c r="C905" s="2" t="s">
        <v>19</v>
      </c>
      <c r="D905" s="2">
        <v>50073</v>
      </c>
      <c r="E905" s="3">
        <f t="shared" si="6"/>
        <v>50.073</v>
      </c>
      <c r="G905" s="2">
        <f t="shared" si="7"/>
        <v>50.073</v>
      </c>
    </row>
    <row r="906" spans="1:7" ht="14.25" customHeight="1">
      <c r="A906" s="2" t="s">
        <v>15</v>
      </c>
      <c r="B906" s="2">
        <v>1983</v>
      </c>
      <c r="C906" s="2" t="s">
        <v>19</v>
      </c>
      <c r="D906" s="2">
        <v>55971</v>
      </c>
      <c r="E906" s="3">
        <f t="shared" si="6"/>
        <v>55.970999999999997</v>
      </c>
      <c r="G906" s="2">
        <f t="shared" si="7"/>
        <v>55.970999999999997</v>
      </c>
    </row>
    <row r="907" spans="1:7" ht="14.25" customHeight="1">
      <c r="A907" s="2" t="s">
        <v>15</v>
      </c>
      <c r="B907" s="2">
        <v>1984</v>
      </c>
      <c r="C907" s="2" t="s">
        <v>19</v>
      </c>
      <c r="D907" s="2">
        <v>77323</v>
      </c>
      <c r="E907" s="3">
        <f t="shared" si="6"/>
        <v>77.322999999999993</v>
      </c>
      <c r="G907" s="2">
        <f t="shared" si="7"/>
        <v>77.322999999999993</v>
      </c>
    </row>
    <row r="908" spans="1:7" ht="14.25" customHeight="1">
      <c r="A908" s="2" t="s">
        <v>15</v>
      </c>
      <c r="B908" s="2">
        <v>1985</v>
      </c>
      <c r="C908" s="2" t="s">
        <v>19</v>
      </c>
      <c r="D908" s="2">
        <v>105059</v>
      </c>
      <c r="E908" s="3">
        <f t="shared" si="6"/>
        <v>105.059</v>
      </c>
      <c r="G908" s="2">
        <f t="shared" si="7"/>
        <v>105.059</v>
      </c>
    </row>
    <row r="909" spans="1:7" ht="14.25" customHeight="1">
      <c r="A909" s="2" t="s">
        <v>15</v>
      </c>
      <c r="B909" s="2">
        <v>1986</v>
      </c>
      <c r="C909" s="2" t="s">
        <v>19</v>
      </c>
      <c r="D909" s="2">
        <v>116003</v>
      </c>
      <c r="E909" s="3">
        <f t="shared" si="6"/>
        <v>116.003</v>
      </c>
      <c r="G909" s="2">
        <f t="shared" si="7"/>
        <v>116.003</v>
      </c>
    </row>
    <row r="910" spans="1:7" ht="14.25" customHeight="1">
      <c r="A910" s="2" t="s">
        <v>15</v>
      </c>
      <c r="B910" s="2">
        <v>1987</v>
      </c>
      <c r="C910" s="2" t="s">
        <v>19</v>
      </c>
      <c r="D910" s="2">
        <v>114291</v>
      </c>
      <c r="E910" s="3">
        <f t="shared" si="6"/>
        <v>114.291</v>
      </c>
      <c r="G910" s="2">
        <f t="shared" si="7"/>
        <v>114.291</v>
      </c>
    </row>
    <row r="911" spans="1:7" ht="14.25" customHeight="1">
      <c r="A911" s="2" t="s">
        <v>15</v>
      </c>
      <c r="B911" s="2">
        <v>1988</v>
      </c>
      <c r="C911" s="2" t="s">
        <v>19</v>
      </c>
      <c r="D911" s="2">
        <v>105814</v>
      </c>
      <c r="E911" s="3">
        <f t="shared" si="6"/>
        <v>105.81399999999999</v>
      </c>
      <c r="G911" s="2">
        <f t="shared" si="7"/>
        <v>105.81399999999999</v>
      </c>
    </row>
    <row r="912" spans="1:7" ht="14.25" customHeight="1">
      <c r="A912" s="2" t="s">
        <v>15</v>
      </c>
      <c r="B912" s="2">
        <v>1989</v>
      </c>
      <c r="C912" s="2" t="s">
        <v>19</v>
      </c>
      <c r="D912" s="2">
        <v>112430</v>
      </c>
      <c r="E912" s="3">
        <f t="shared" si="6"/>
        <v>112.43</v>
      </c>
      <c r="G912" s="2">
        <f t="shared" si="7"/>
        <v>112.43</v>
      </c>
    </row>
    <row r="913" spans="1:7" ht="14.25" customHeight="1">
      <c r="A913" s="2" t="s">
        <v>15</v>
      </c>
      <c r="B913" s="2">
        <v>1990</v>
      </c>
      <c r="C913" s="2" t="s">
        <v>19</v>
      </c>
      <c r="D913" s="2">
        <v>110438</v>
      </c>
      <c r="E913" s="3">
        <f t="shared" si="6"/>
        <v>110.438</v>
      </c>
      <c r="G913" s="2">
        <f t="shared" si="7"/>
        <v>110.438</v>
      </c>
    </row>
    <row r="914" spans="1:7" ht="14.25" customHeight="1">
      <c r="A914" s="2" t="s">
        <v>15</v>
      </c>
      <c r="B914" s="2">
        <v>1991</v>
      </c>
      <c r="C914" s="2" t="s">
        <v>19</v>
      </c>
      <c r="D914" s="2">
        <v>110569</v>
      </c>
      <c r="E914" s="3">
        <f t="shared" si="6"/>
        <v>110.569</v>
      </c>
      <c r="G914" s="2">
        <f t="shared" si="7"/>
        <v>110.569</v>
      </c>
    </row>
    <row r="915" spans="1:7" ht="14.25" customHeight="1">
      <c r="A915" s="2" t="s">
        <v>15</v>
      </c>
      <c r="B915" s="2">
        <v>1992</v>
      </c>
      <c r="C915" s="2" t="s">
        <v>19</v>
      </c>
      <c r="D915" s="2">
        <v>106209</v>
      </c>
      <c r="E915" s="3">
        <f t="shared" si="6"/>
        <v>106.209</v>
      </c>
      <c r="G915" s="2">
        <f t="shared" si="7"/>
        <v>106.209</v>
      </c>
    </row>
    <row r="916" spans="1:7" ht="14.25" customHeight="1">
      <c r="A916" s="2" t="s">
        <v>15</v>
      </c>
      <c r="B916" s="2">
        <v>1993</v>
      </c>
      <c r="C916" s="2" t="s">
        <v>19</v>
      </c>
      <c r="D916" s="2">
        <v>106443</v>
      </c>
      <c r="E916" s="3">
        <f t="shared" si="6"/>
        <v>106.443</v>
      </c>
      <c r="G916" s="2">
        <f t="shared" si="7"/>
        <v>106.443</v>
      </c>
    </row>
    <row r="917" spans="1:7" ht="14.25" customHeight="1">
      <c r="A917" s="2" t="s">
        <v>15</v>
      </c>
      <c r="B917" s="2">
        <v>1994</v>
      </c>
      <c r="C917" s="2" t="s">
        <v>19</v>
      </c>
      <c r="D917" s="2">
        <v>104002</v>
      </c>
      <c r="E917" s="3">
        <f t="shared" si="6"/>
        <v>104.002</v>
      </c>
      <c r="G917" s="2">
        <f t="shared" si="7"/>
        <v>104.002</v>
      </c>
    </row>
    <row r="918" spans="1:7" ht="14.25" customHeight="1">
      <c r="A918" s="2" t="s">
        <v>15</v>
      </c>
      <c r="B918" s="2">
        <v>1995</v>
      </c>
      <c r="C918" s="2" t="s">
        <v>19</v>
      </c>
      <c r="D918" s="2">
        <v>114571</v>
      </c>
      <c r="E918" s="3">
        <f t="shared" si="6"/>
        <v>114.571</v>
      </c>
      <c r="G918" s="2">
        <f t="shared" si="7"/>
        <v>114.571</v>
      </c>
    </row>
    <row r="919" spans="1:7" ht="14.25" customHeight="1">
      <c r="A919" s="2" t="s">
        <v>15</v>
      </c>
      <c r="B919" s="2">
        <v>1996</v>
      </c>
      <c r="C919" s="2" t="s">
        <v>19</v>
      </c>
      <c r="D919" s="2">
        <v>120936</v>
      </c>
      <c r="E919" s="3">
        <f t="shared" si="6"/>
        <v>120.93600000000001</v>
      </c>
      <c r="G919" s="2">
        <f t="shared" si="7"/>
        <v>120.93600000000001</v>
      </c>
    </row>
    <row r="920" spans="1:7" ht="14.25" customHeight="1">
      <c r="A920" s="2" t="s">
        <v>15</v>
      </c>
      <c r="B920" s="2">
        <v>1997</v>
      </c>
      <c r="C920" s="2" t="s">
        <v>19</v>
      </c>
      <c r="D920" s="2">
        <v>103406</v>
      </c>
      <c r="E920" s="3">
        <f t="shared" si="6"/>
        <v>103.40600000000001</v>
      </c>
      <c r="G920" s="2">
        <f t="shared" si="7"/>
        <v>103.40600000000001</v>
      </c>
    </row>
    <row r="921" spans="1:7" ht="14.25" customHeight="1">
      <c r="A921" s="2" t="s">
        <v>15</v>
      </c>
      <c r="B921" s="2">
        <v>1998</v>
      </c>
      <c r="C921" s="2" t="s">
        <v>19</v>
      </c>
      <c r="D921" s="2">
        <v>104627</v>
      </c>
      <c r="E921" s="3">
        <f t="shared" si="6"/>
        <v>104.627</v>
      </c>
      <c r="G921" s="2">
        <f t="shared" si="7"/>
        <v>104.627</v>
      </c>
    </row>
    <row r="922" spans="1:7" ht="14.25" customHeight="1">
      <c r="A922" s="2" t="s">
        <v>15</v>
      </c>
      <c r="B922" s="2">
        <v>1999</v>
      </c>
      <c r="C922" s="2" t="s">
        <v>19</v>
      </c>
      <c r="D922" s="2">
        <v>104752</v>
      </c>
      <c r="E922" s="3">
        <f t="shared" si="6"/>
        <v>104.752</v>
      </c>
      <c r="G922" s="2">
        <f t="shared" si="7"/>
        <v>104.752</v>
      </c>
    </row>
    <row r="923" spans="1:7" ht="14.25" customHeight="1">
      <c r="A923" s="2" t="s">
        <v>15</v>
      </c>
      <c r="B923" s="2">
        <v>2000</v>
      </c>
      <c r="C923" s="2" t="s">
        <v>19</v>
      </c>
      <c r="D923" s="2">
        <v>82658</v>
      </c>
      <c r="E923" s="3">
        <f t="shared" si="6"/>
        <v>82.658000000000001</v>
      </c>
      <c r="G923" s="2">
        <f t="shared" si="7"/>
        <v>82.658000000000001</v>
      </c>
    </row>
    <row r="924" spans="1:7" ht="14.25" customHeight="1">
      <c r="A924" s="2" t="s">
        <v>15</v>
      </c>
      <c r="B924" s="2">
        <v>2001</v>
      </c>
      <c r="C924" s="2" t="s">
        <v>19</v>
      </c>
      <c r="D924" s="2">
        <v>81365</v>
      </c>
      <c r="E924" s="3">
        <f t="shared" si="6"/>
        <v>81.364999999999995</v>
      </c>
      <c r="G924" s="2">
        <f t="shared" si="7"/>
        <v>81.364999999999995</v>
      </c>
    </row>
    <row r="925" spans="1:7" ht="14.25" customHeight="1">
      <c r="A925" s="2" t="s">
        <v>15</v>
      </c>
      <c r="B925" s="2">
        <v>2002</v>
      </c>
      <c r="C925" s="2" t="s">
        <v>19</v>
      </c>
      <c r="D925" s="2">
        <v>72893</v>
      </c>
      <c r="E925" s="3">
        <f t="shared" si="6"/>
        <v>72.893000000000001</v>
      </c>
      <c r="G925" s="2">
        <f t="shared" si="7"/>
        <v>72.893000000000001</v>
      </c>
    </row>
    <row r="926" spans="1:7" ht="14.25" customHeight="1">
      <c r="A926" s="2" t="s">
        <v>15</v>
      </c>
      <c r="B926" s="2">
        <v>2003</v>
      </c>
      <c r="C926" s="2" t="s">
        <v>19</v>
      </c>
      <c r="D926" s="2">
        <v>90328</v>
      </c>
      <c r="E926" s="3">
        <f t="shared" si="6"/>
        <v>90.328000000000003</v>
      </c>
      <c r="G926" s="2">
        <f t="shared" si="7"/>
        <v>90.328000000000003</v>
      </c>
    </row>
    <row r="927" spans="1:7" ht="14.25" customHeight="1">
      <c r="A927" s="2" t="s">
        <v>15</v>
      </c>
      <c r="B927" s="2">
        <v>2004</v>
      </c>
      <c r="C927" s="2" t="s">
        <v>19</v>
      </c>
      <c r="D927" s="2">
        <v>96300</v>
      </c>
      <c r="E927" s="3">
        <f t="shared" si="6"/>
        <v>96.3</v>
      </c>
      <c r="G927" s="2">
        <f t="shared" si="7"/>
        <v>96.3</v>
      </c>
    </row>
    <row r="928" spans="1:7" ht="14.25" customHeight="1">
      <c r="A928" s="2" t="s">
        <v>15</v>
      </c>
      <c r="B928" s="2">
        <v>2005</v>
      </c>
      <c r="C928" s="2" t="s">
        <v>19</v>
      </c>
      <c r="D928" s="2">
        <v>130838</v>
      </c>
      <c r="E928" s="3">
        <f t="shared" si="6"/>
        <v>130.83799999999999</v>
      </c>
      <c r="G928" s="2">
        <f t="shared" si="7"/>
        <v>130.83799999999999</v>
      </c>
    </row>
    <row r="929" spans="1:7" ht="14.25" customHeight="1">
      <c r="A929" s="2" t="s">
        <v>15</v>
      </c>
      <c r="B929" s="2">
        <v>2006</v>
      </c>
      <c r="C929" s="2" t="s">
        <v>19</v>
      </c>
      <c r="D929" s="2">
        <v>109612</v>
      </c>
      <c r="E929" s="3">
        <f t="shared" si="6"/>
        <v>109.61199999999999</v>
      </c>
      <c r="G929" s="2">
        <f t="shared" si="7"/>
        <v>109.61199999999999</v>
      </c>
    </row>
    <row r="930" spans="1:7" ht="14.25" customHeight="1">
      <c r="A930" s="2" t="s">
        <v>15</v>
      </c>
      <c r="B930" s="2">
        <v>2007</v>
      </c>
      <c r="C930" s="2" t="s">
        <v>19</v>
      </c>
      <c r="D930" s="2">
        <v>91097.64</v>
      </c>
      <c r="E930" s="3">
        <f t="shared" si="6"/>
        <v>91.097639999999998</v>
      </c>
      <c r="G930" s="2">
        <f t="shared" si="7"/>
        <v>91.097639999999998</v>
      </c>
    </row>
    <row r="931" spans="1:7" ht="14.25" customHeight="1">
      <c r="A931" s="2" t="s">
        <v>15</v>
      </c>
      <c r="B931" s="2">
        <v>2008</v>
      </c>
      <c r="C931" s="2" t="s">
        <v>19</v>
      </c>
      <c r="D931" s="2">
        <v>67113.02</v>
      </c>
      <c r="E931" s="3">
        <f t="shared" si="6"/>
        <v>67.113020000000006</v>
      </c>
      <c r="G931" s="2">
        <f t="shared" si="7"/>
        <v>67.113020000000006</v>
      </c>
    </row>
    <row r="932" spans="1:7" ht="14.25" customHeight="1">
      <c r="A932" s="2" t="s">
        <v>15</v>
      </c>
      <c r="B932" s="2">
        <v>2009</v>
      </c>
      <c r="C932" s="2" t="s">
        <v>19</v>
      </c>
      <c r="D932" s="2">
        <v>67113.31</v>
      </c>
      <c r="E932" s="3">
        <f t="shared" si="6"/>
        <v>67.113309999999998</v>
      </c>
      <c r="G932" s="2">
        <f t="shared" si="7"/>
        <v>67.113309999999998</v>
      </c>
    </row>
    <row r="933" spans="1:7" ht="14.25" customHeight="1">
      <c r="A933" s="2" t="s">
        <v>15</v>
      </c>
      <c r="B933" s="2">
        <v>2010</v>
      </c>
      <c r="C933" s="2" t="s">
        <v>19</v>
      </c>
      <c r="D933" s="2">
        <v>66890.899999999994</v>
      </c>
      <c r="E933" s="3">
        <f t="shared" si="6"/>
        <v>66.890899999999988</v>
      </c>
      <c r="G933" s="2">
        <f t="shared" si="7"/>
        <v>66.890899999999988</v>
      </c>
    </row>
    <row r="934" spans="1:7" ht="14.25" customHeight="1">
      <c r="A934" s="2" t="s">
        <v>15</v>
      </c>
      <c r="B934" s="2">
        <v>2011</v>
      </c>
      <c r="C934" s="2" t="s">
        <v>19</v>
      </c>
      <c r="D934" s="2">
        <v>61570.2</v>
      </c>
      <c r="E934" s="3">
        <f t="shared" si="6"/>
        <v>61.5702</v>
      </c>
      <c r="G934" s="2">
        <f t="shared" si="7"/>
        <v>61.5702</v>
      </c>
    </row>
    <row r="935" spans="1:7" ht="14.25" customHeight="1">
      <c r="A935" s="2" t="s">
        <v>15</v>
      </c>
      <c r="B935" s="2">
        <v>2012</v>
      </c>
      <c r="C935" s="2" t="s">
        <v>19</v>
      </c>
      <c r="D935" s="2">
        <v>90418.8</v>
      </c>
      <c r="E935" s="3">
        <f t="shared" si="6"/>
        <v>90.418800000000005</v>
      </c>
      <c r="G935" s="2">
        <f t="shared" si="7"/>
        <v>90.418800000000005</v>
      </c>
    </row>
    <row r="936" spans="1:7" ht="14.25" customHeight="1">
      <c r="A936" s="2" t="s">
        <v>15</v>
      </c>
      <c r="B936" s="2">
        <v>2013</v>
      </c>
      <c r="C936" s="2" t="s">
        <v>19</v>
      </c>
      <c r="D936" s="2">
        <v>93568.960000000006</v>
      </c>
      <c r="E936" s="3">
        <f t="shared" si="6"/>
        <v>93.568960000000004</v>
      </c>
      <c r="G936" s="2">
        <f t="shared" si="7"/>
        <v>93.568960000000004</v>
      </c>
    </row>
    <row r="937" spans="1:7" ht="14.25" customHeight="1">
      <c r="A937" s="2" t="s">
        <v>15</v>
      </c>
      <c r="B937" s="2">
        <v>2014</v>
      </c>
      <c r="C937" s="2" t="s">
        <v>19</v>
      </c>
      <c r="D937" s="2">
        <v>97683.23</v>
      </c>
      <c r="E937" s="3">
        <f t="shared" si="6"/>
        <v>97.683229999999995</v>
      </c>
      <c r="G937" s="2">
        <f t="shared" si="7"/>
        <v>97.683229999999995</v>
      </c>
    </row>
    <row r="938" spans="1:7" ht="14.25" customHeight="1">
      <c r="A938" s="2" t="s">
        <v>15</v>
      </c>
      <c r="B938" s="2">
        <v>2015</v>
      </c>
      <c r="C938" s="2" t="s">
        <v>19</v>
      </c>
      <c r="D938" s="2">
        <v>93744.06</v>
      </c>
      <c r="E938" s="3">
        <f t="shared" si="6"/>
        <v>93.744060000000005</v>
      </c>
      <c r="G938" s="2">
        <f t="shared" si="7"/>
        <v>93.744060000000005</v>
      </c>
    </row>
    <row r="939" spans="1:7" ht="14.25" customHeight="1">
      <c r="A939" s="2" t="s">
        <v>15</v>
      </c>
      <c r="B939" s="2">
        <v>2016</v>
      </c>
      <c r="C939" s="2" t="s">
        <v>19</v>
      </c>
      <c r="D939" s="2">
        <v>92231.3</v>
      </c>
      <c r="E939" s="3">
        <f t="shared" si="6"/>
        <v>92.231300000000005</v>
      </c>
      <c r="G939" s="2">
        <f t="shared" si="7"/>
        <v>92.231300000000005</v>
      </c>
    </row>
    <row r="940" spans="1:7" ht="14.25" customHeight="1">
      <c r="A940" s="2" t="s">
        <v>15</v>
      </c>
      <c r="B940" s="2">
        <v>2017</v>
      </c>
      <c r="C940" s="2" t="s">
        <v>19</v>
      </c>
      <c r="D940" s="2">
        <v>84057.77</v>
      </c>
      <c r="E940" s="3">
        <f t="shared" si="6"/>
        <v>84.057770000000005</v>
      </c>
      <c r="G940" s="2">
        <f t="shared" si="7"/>
        <v>84.057770000000005</v>
      </c>
    </row>
    <row r="941" spans="1:7" ht="14.25" customHeight="1">
      <c r="A941" s="2" t="s">
        <v>15</v>
      </c>
      <c r="B941" s="2">
        <v>2018</v>
      </c>
      <c r="C941" s="2" t="s">
        <v>19</v>
      </c>
      <c r="D941" s="2">
        <v>103527.22</v>
      </c>
      <c r="E941" s="3">
        <f t="shared" si="6"/>
        <v>103.52722</v>
      </c>
      <c r="G941" s="2">
        <f t="shared" si="7"/>
        <v>103.52722</v>
      </c>
    </row>
    <row r="942" spans="1:7" ht="14.25" customHeight="1">
      <c r="A942" s="2" t="s">
        <v>15</v>
      </c>
      <c r="B942" s="2">
        <v>1903</v>
      </c>
      <c r="C942" s="2" t="s">
        <v>55</v>
      </c>
      <c r="D942" s="2">
        <v>4199</v>
      </c>
      <c r="E942" s="3">
        <f t="shared" si="6"/>
        <v>4.1989999999999998</v>
      </c>
      <c r="G942" s="2">
        <f t="shared" si="7"/>
        <v>4.1989999999999998</v>
      </c>
    </row>
    <row r="943" spans="1:7" ht="14.25" customHeight="1">
      <c r="A943" s="2" t="s">
        <v>15</v>
      </c>
      <c r="B943" s="2">
        <v>1904</v>
      </c>
      <c r="C943" s="2" t="s">
        <v>55</v>
      </c>
      <c r="D943" s="2">
        <v>4131</v>
      </c>
      <c r="E943" s="3">
        <f t="shared" si="6"/>
        <v>4.1310000000000002</v>
      </c>
      <c r="G943" s="2">
        <f t="shared" si="7"/>
        <v>4.1310000000000002</v>
      </c>
    </row>
    <row r="944" spans="1:7" ht="14.25" customHeight="1">
      <c r="A944" s="2" t="s">
        <v>15</v>
      </c>
      <c r="B944" s="2">
        <v>1905</v>
      </c>
      <c r="C944" s="2" t="s">
        <v>55</v>
      </c>
      <c r="D944" s="2">
        <v>4507</v>
      </c>
      <c r="E944" s="3">
        <f t="shared" si="6"/>
        <v>4.5069999999999997</v>
      </c>
      <c r="G944" s="2">
        <f t="shared" si="7"/>
        <v>4.5069999999999997</v>
      </c>
    </row>
    <row r="945" spans="1:7" ht="14.25" customHeight="1">
      <c r="A945" s="2" t="s">
        <v>15</v>
      </c>
      <c r="B945" s="2">
        <v>1906</v>
      </c>
      <c r="C945" s="2" t="s">
        <v>55</v>
      </c>
      <c r="D945" s="2">
        <v>4282</v>
      </c>
      <c r="E945" s="3">
        <f t="shared" si="6"/>
        <v>4.282</v>
      </c>
      <c r="G945" s="2">
        <f t="shared" si="7"/>
        <v>4.282</v>
      </c>
    </row>
    <row r="946" spans="1:7" ht="14.25" customHeight="1">
      <c r="A946" s="2" t="s">
        <v>15</v>
      </c>
      <c r="B946" s="2">
        <v>1907</v>
      </c>
      <c r="C946" s="2" t="s">
        <v>55</v>
      </c>
      <c r="D946" s="2">
        <v>3932</v>
      </c>
      <c r="E946" s="3">
        <f t="shared" si="6"/>
        <v>3.9319999999999999</v>
      </c>
      <c r="G946" s="2">
        <f t="shared" si="7"/>
        <v>3.9319999999999999</v>
      </c>
    </row>
    <row r="947" spans="1:7" ht="14.25" customHeight="1">
      <c r="A947" s="2" t="s">
        <v>15</v>
      </c>
      <c r="B947" s="2">
        <v>1908</v>
      </c>
      <c r="C947" s="2" t="s">
        <v>55</v>
      </c>
      <c r="D947" s="2">
        <v>4094</v>
      </c>
      <c r="E947" s="3">
        <f t="shared" si="6"/>
        <v>4.0940000000000003</v>
      </c>
      <c r="G947" s="2">
        <f t="shared" si="7"/>
        <v>4.0940000000000003</v>
      </c>
    </row>
    <row r="948" spans="1:7" ht="14.25" customHeight="1">
      <c r="A948" s="2" t="s">
        <v>15</v>
      </c>
      <c r="B948" s="2">
        <v>1909</v>
      </c>
      <c r="C948" s="2" t="s">
        <v>55</v>
      </c>
      <c r="D948" s="2">
        <v>4662</v>
      </c>
      <c r="E948" s="3">
        <f t="shared" si="6"/>
        <v>4.6619999999999999</v>
      </c>
      <c r="G948" s="2">
        <f t="shared" si="7"/>
        <v>4.6619999999999999</v>
      </c>
    </row>
    <row r="949" spans="1:7" ht="14.25" customHeight="1">
      <c r="A949" s="2" t="s">
        <v>15</v>
      </c>
      <c r="B949" s="2">
        <v>1910</v>
      </c>
      <c r="C949" s="2" t="s">
        <v>55</v>
      </c>
      <c r="D949" s="2">
        <v>4752</v>
      </c>
      <c r="E949" s="3">
        <f t="shared" si="6"/>
        <v>4.7519999999999998</v>
      </c>
      <c r="G949" s="2">
        <f t="shared" si="7"/>
        <v>4.7519999999999998</v>
      </c>
    </row>
    <row r="950" spans="1:7" ht="14.25" customHeight="1">
      <c r="A950" s="2" t="s">
        <v>15</v>
      </c>
      <c r="B950" s="2">
        <v>1911</v>
      </c>
      <c r="C950" s="2" t="s">
        <v>55</v>
      </c>
      <c r="D950" s="2">
        <v>4900</v>
      </c>
      <c r="E950" s="3">
        <f t="shared" si="6"/>
        <v>4.9000000000000004</v>
      </c>
      <c r="G950" s="2">
        <f t="shared" si="7"/>
        <v>4.9000000000000004</v>
      </c>
    </row>
    <row r="951" spans="1:7" ht="14.25" customHeight="1">
      <c r="A951" s="2" t="s">
        <v>15</v>
      </c>
      <c r="B951" s="2">
        <v>1912</v>
      </c>
      <c r="C951" s="2" t="s">
        <v>55</v>
      </c>
      <c r="D951" s="2">
        <v>4948</v>
      </c>
      <c r="E951" s="3">
        <f t="shared" si="6"/>
        <v>4.9480000000000004</v>
      </c>
      <c r="G951" s="2">
        <f t="shared" si="7"/>
        <v>4.9480000000000004</v>
      </c>
    </row>
    <row r="952" spans="1:7" ht="14.25" customHeight="1">
      <c r="A952" s="2" t="s">
        <v>15</v>
      </c>
      <c r="B952" s="2">
        <v>1913</v>
      </c>
      <c r="C952" s="2" t="s">
        <v>55</v>
      </c>
      <c r="D952" s="2">
        <v>4753</v>
      </c>
      <c r="E952" s="3">
        <f t="shared" si="6"/>
        <v>4.7530000000000001</v>
      </c>
      <c r="G952" s="2">
        <f t="shared" si="7"/>
        <v>4.7530000000000001</v>
      </c>
    </row>
    <row r="953" spans="1:7" ht="14.25" customHeight="1">
      <c r="A953" s="2" t="s">
        <v>15</v>
      </c>
      <c r="B953" s="2">
        <v>1914</v>
      </c>
      <c r="C953" s="2" t="s">
        <v>55</v>
      </c>
      <c r="D953" s="2">
        <v>4319</v>
      </c>
      <c r="E953" s="3">
        <f t="shared" si="6"/>
        <v>4.319</v>
      </c>
      <c r="G953" s="2">
        <f t="shared" si="7"/>
        <v>4.319</v>
      </c>
    </row>
    <row r="954" spans="1:7" ht="14.25" customHeight="1">
      <c r="A954" s="2" t="s">
        <v>15</v>
      </c>
      <c r="B954" s="2">
        <v>1915</v>
      </c>
      <c r="C954" s="2" t="s">
        <v>55</v>
      </c>
      <c r="D954" s="2">
        <v>2400</v>
      </c>
      <c r="E954" s="3">
        <f t="shared" si="6"/>
        <v>2.4</v>
      </c>
      <c r="G954" s="2">
        <f t="shared" si="7"/>
        <v>2.4</v>
      </c>
    </row>
    <row r="955" spans="1:7" ht="14.25" customHeight="1">
      <c r="A955" s="2" t="s">
        <v>15</v>
      </c>
      <c r="B955" s="2">
        <v>1916</v>
      </c>
      <c r="C955" s="2" t="s">
        <v>55</v>
      </c>
      <c r="D955" s="2">
        <v>2521</v>
      </c>
      <c r="E955" s="3">
        <f t="shared" si="6"/>
        <v>2.5209999999999999</v>
      </c>
      <c r="G955" s="2">
        <f t="shared" si="7"/>
        <v>2.5209999999999999</v>
      </c>
    </row>
    <row r="956" spans="1:7" ht="14.25" customHeight="1">
      <c r="A956" s="2" t="s">
        <v>15</v>
      </c>
      <c r="B956" s="2">
        <v>1917</v>
      </c>
      <c r="C956" s="2" t="s">
        <v>55</v>
      </c>
      <c r="D956" s="2">
        <v>1213</v>
      </c>
      <c r="E956" s="3">
        <f t="shared" si="6"/>
        <v>1.2130000000000001</v>
      </c>
      <c r="G956" s="2">
        <f t="shared" si="7"/>
        <v>1.2130000000000001</v>
      </c>
    </row>
    <row r="957" spans="1:7" ht="14.25" customHeight="1">
      <c r="A957" s="2" t="s">
        <v>15</v>
      </c>
      <c r="B957" s="2">
        <v>1918</v>
      </c>
      <c r="C957" s="2" t="s">
        <v>55</v>
      </c>
      <c r="D957" s="2">
        <v>885</v>
      </c>
      <c r="E957" s="3">
        <f t="shared" si="6"/>
        <v>0.88500000000000001</v>
      </c>
      <c r="G957" s="2">
        <f t="shared" si="7"/>
        <v>0.88500000000000001</v>
      </c>
    </row>
    <row r="958" spans="1:7" ht="14.25" customHeight="1">
      <c r="A958" s="2" t="s">
        <v>15</v>
      </c>
      <c r="B958" s="2">
        <v>1919</v>
      </c>
      <c r="C958" s="2" t="s">
        <v>55</v>
      </c>
      <c r="D958" s="2">
        <v>1926</v>
      </c>
      <c r="E958" s="3">
        <f t="shared" si="6"/>
        <v>1.9259999999999999</v>
      </c>
      <c r="G958" s="2">
        <f t="shared" si="7"/>
        <v>1.9259999999999999</v>
      </c>
    </row>
    <row r="959" spans="1:7" ht="14.25" customHeight="1">
      <c r="A959" s="2" t="s">
        <v>15</v>
      </c>
      <c r="B959" s="2">
        <v>1920</v>
      </c>
      <c r="C959" s="2" t="s">
        <v>55</v>
      </c>
      <c r="D959" s="2">
        <v>3293</v>
      </c>
      <c r="E959" s="3">
        <f t="shared" si="6"/>
        <v>3.2930000000000001</v>
      </c>
      <c r="G959" s="2">
        <f t="shared" si="7"/>
        <v>3.2930000000000001</v>
      </c>
    </row>
    <row r="960" spans="1:7" ht="14.25" customHeight="1">
      <c r="A960" s="2" t="s">
        <v>15</v>
      </c>
      <c r="B960" s="2">
        <v>1921</v>
      </c>
      <c r="C960" s="2" t="s">
        <v>55</v>
      </c>
      <c r="D960" s="2">
        <v>3488</v>
      </c>
      <c r="E960" s="3">
        <f t="shared" si="6"/>
        <v>3.488</v>
      </c>
      <c r="G960" s="2">
        <f t="shared" si="7"/>
        <v>3.488</v>
      </c>
    </row>
    <row r="961" spans="1:7" ht="14.25" customHeight="1">
      <c r="A961" s="2" t="s">
        <v>15</v>
      </c>
      <c r="B961" s="2">
        <v>1922</v>
      </c>
      <c r="C961" s="2" t="s">
        <v>55</v>
      </c>
      <c r="D961" s="2">
        <v>4011</v>
      </c>
      <c r="E961" s="3">
        <f t="shared" si="6"/>
        <v>4.0110000000000001</v>
      </c>
      <c r="G961" s="2">
        <f t="shared" si="7"/>
        <v>4.0110000000000001</v>
      </c>
    </row>
    <row r="962" spans="1:7" ht="14.25" customHeight="1">
      <c r="A962" s="2" t="s">
        <v>15</v>
      </c>
      <c r="B962" s="2">
        <v>1923</v>
      </c>
      <c r="C962" s="2" t="s">
        <v>55</v>
      </c>
      <c r="D962" s="2">
        <v>4191</v>
      </c>
      <c r="E962" s="3">
        <f t="shared" si="6"/>
        <v>4.1909999999999998</v>
      </c>
      <c r="G962" s="2">
        <f t="shared" si="7"/>
        <v>4.1909999999999998</v>
      </c>
    </row>
    <row r="963" spans="1:7" ht="14.25" customHeight="1">
      <c r="A963" s="2" t="s">
        <v>15</v>
      </c>
      <c r="B963" s="2">
        <v>1924</v>
      </c>
      <c r="C963" s="2" t="s">
        <v>55</v>
      </c>
      <c r="D963" s="2">
        <v>4399</v>
      </c>
      <c r="E963" s="3">
        <f t="shared" si="6"/>
        <v>4.399</v>
      </c>
      <c r="G963" s="2">
        <f t="shared" si="7"/>
        <v>4.399</v>
      </c>
    </row>
    <row r="964" spans="1:7" ht="14.25" customHeight="1">
      <c r="A964" s="2" t="s">
        <v>15</v>
      </c>
      <c r="B964" s="2">
        <v>1925</v>
      </c>
      <c r="C964" s="2" t="s">
        <v>55</v>
      </c>
      <c r="D964" s="2">
        <v>4875</v>
      </c>
      <c r="E964" s="3">
        <f t="shared" si="6"/>
        <v>4.875</v>
      </c>
      <c r="G964" s="2">
        <f t="shared" si="7"/>
        <v>4.875</v>
      </c>
    </row>
    <row r="965" spans="1:7" ht="14.25" customHeight="1">
      <c r="A965" s="2" t="s">
        <v>15</v>
      </c>
      <c r="B965" s="2">
        <v>1926</v>
      </c>
      <c r="C965" s="2" t="s">
        <v>55</v>
      </c>
      <c r="D965" s="2">
        <v>5034</v>
      </c>
      <c r="E965" s="3">
        <f t="shared" si="6"/>
        <v>5.0339999999999998</v>
      </c>
      <c r="G965" s="2">
        <f t="shared" si="7"/>
        <v>5.0339999999999998</v>
      </c>
    </row>
    <row r="966" spans="1:7" ht="14.25" customHeight="1">
      <c r="A966" s="2" t="s">
        <v>15</v>
      </c>
      <c r="B966" s="2">
        <v>1927</v>
      </c>
      <c r="C966" s="2" t="s">
        <v>55</v>
      </c>
      <c r="D966" s="2">
        <v>7180</v>
      </c>
      <c r="E966" s="3">
        <f t="shared" si="6"/>
        <v>7.18</v>
      </c>
      <c r="G966" s="2">
        <f t="shared" si="7"/>
        <v>7.18</v>
      </c>
    </row>
    <row r="967" spans="1:7" ht="14.25" customHeight="1">
      <c r="A967" s="2" t="s">
        <v>15</v>
      </c>
      <c r="B967" s="2">
        <v>1928</v>
      </c>
      <c r="C967" s="2" t="s">
        <v>55</v>
      </c>
      <c r="D967" s="2">
        <v>7034</v>
      </c>
      <c r="E967" s="3">
        <f t="shared" si="6"/>
        <v>7.0339999999999998</v>
      </c>
      <c r="G967" s="2">
        <f t="shared" si="7"/>
        <v>7.0339999999999998</v>
      </c>
    </row>
    <row r="968" spans="1:7" ht="14.25" customHeight="1">
      <c r="A968" s="2" t="s">
        <v>15</v>
      </c>
      <c r="B968" s="2">
        <v>1929</v>
      </c>
      <c r="C968" s="2" t="s">
        <v>55</v>
      </c>
      <c r="D968" s="2">
        <v>6794</v>
      </c>
      <c r="E968" s="3">
        <f t="shared" si="6"/>
        <v>6.7939999999999996</v>
      </c>
      <c r="G968" s="2">
        <f t="shared" si="7"/>
        <v>6.7939999999999996</v>
      </c>
    </row>
    <row r="969" spans="1:7" ht="14.25" customHeight="1">
      <c r="A969" s="2" t="s">
        <v>15</v>
      </c>
      <c r="B969" s="2">
        <v>1930</v>
      </c>
      <c r="C969" s="2" t="s">
        <v>55</v>
      </c>
      <c r="D969" s="2">
        <v>6742</v>
      </c>
      <c r="E969" s="3">
        <f t="shared" si="6"/>
        <v>6.742</v>
      </c>
      <c r="G969" s="2">
        <f t="shared" si="7"/>
        <v>6.742</v>
      </c>
    </row>
    <row r="970" spans="1:7" ht="14.25" customHeight="1">
      <c r="A970" s="2" t="s">
        <v>15</v>
      </c>
      <c r="B970" s="2">
        <v>1931</v>
      </c>
      <c r="C970" s="2" t="s">
        <v>55</v>
      </c>
      <c r="D970" s="2">
        <v>7737</v>
      </c>
      <c r="E970" s="3">
        <f t="shared" si="6"/>
        <v>7.7370000000000001</v>
      </c>
      <c r="G970" s="2">
        <f t="shared" si="7"/>
        <v>7.7370000000000001</v>
      </c>
    </row>
    <row r="971" spans="1:7" ht="14.25" customHeight="1">
      <c r="A971" s="2" t="s">
        <v>15</v>
      </c>
      <c r="B971" s="2">
        <v>1932</v>
      </c>
      <c r="C971" s="2" t="s">
        <v>55</v>
      </c>
      <c r="D971" s="2">
        <v>9106</v>
      </c>
      <c r="E971" s="3">
        <f t="shared" si="6"/>
        <v>9.1059999999999999</v>
      </c>
      <c r="G971" s="2">
        <f t="shared" si="7"/>
        <v>9.1059999999999999</v>
      </c>
    </row>
    <row r="972" spans="1:7" ht="14.25" customHeight="1">
      <c r="A972" s="2" t="s">
        <v>15</v>
      </c>
      <c r="B972" s="2">
        <v>1933</v>
      </c>
      <c r="C972" s="2" t="s">
        <v>55</v>
      </c>
      <c r="D972" s="2">
        <v>8287</v>
      </c>
      <c r="E972" s="3">
        <f t="shared" si="6"/>
        <v>8.2870000000000008</v>
      </c>
      <c r="G972" s="2">
        <f t="shared" si="7"/>
        <v>8.2870000000000008</v>
      </c>
    </row>
    <row r="973" spans="1:7" ht="14.25" customHeight="1">
      <c r="A973" s="2" t="s">
        <v>15</v>
      </c>
      <c r="B973" s="2">
        <v>1934</v>
      </c>
      <c r="C973" s="2" t="s">
        <v>55</v>
      </c>
      <c r="D973" s="2">
        <v>8076</v>
      </c>
      <c r="E973" s="3">
        <f t="shared" si="6"/>
        <v>8.0760000000000005</v>
      </c>
      <c r="G973" s="2">
        <f t="shared" si="7"/>
        <v>8.0760000000000005</v>
      </c>
    </row>
    <row r="974" spans="1:7" ht="14.25" customHeight="1">
      <c r="A974" s="2" t="s">
        <v>15</v>
      </c>
      <c r="B974" s="2">
        <v>1935</v>
      </c>
      <c r="C974" s="2" t="s">
        <v>55</v>
      </c>
      <c r="D974" s="2">
        <v>8670</v>
      </c>
      <c r="E974" s="3">
        <f t="shared" si="6"/>
        <v>8.67</v>
      </c>
      <c r="G974" s="2">
        <f t="shared" si="7"/>
        <v>8.67</v>
      </c>
    </row>
    <row r="975" spans="1:7" ht="14.25" customHeight="1">
      <c r="A975" s="2" t="s">
        <v>15</v>
      </c>
      <c r="B975" s="2">
        <v>1936</v>
      </c>
      <c r="C975" s="2" t="s">
        <v>55</v>
      </c>
      <c r="D975" s="2">
        <v>8307</v>
      </c>
      <c r="E975" s="3">
        <f t="shared" si="6"/>
        <v>8.3070000000000004</v>
      </c>
      <c r="G975" s="2">
        <f t="shared" si="7"/>
        <v>8.3070000000000004</v>
      </c>
    </row>
    <row r="976" spans="1:7" ht="14.25" customHeight="1">
      <c r="A976" s="2" t="s">
        <v>15</v>
      </c>
      <c r="B976" s="2">
        <v>1937</v>
      </c>
      <c r="C976" s="2" t="s">
        <v>55</v>
      </c>
      <c r="D976" s="2">
        <v>8177</v>
      </c>
      <c r="E976" s="3">
        <f t="shared" si="6"/>
        <v>8.1769999999999996</v>
      </c>
      <c r="G976" s="2">
        <f t="shared" si="7"/>
        <v>8.1769999999999996</v>
      </c>
    </row>
    <row r="977" spans="1:7" ht="14.25" customHeight="1">
      <c r="A977" s="2" t="s">
        <v>15</v>
      </c>
      <c r="B977" s="2">
        <v>1938</v>
      </c>
      <c r="C977" s="2" t="s">
        <v>55</v>
      </c>
      <c r="D977" s="2">
        <v>7722</v>
      </c>
      <c r="E977" s="3">
        <f t="shared" si="6"/>
        <v>7.7220000000000004</v>
      </c>
      <c r="G977" s="2">
        <f t="shared" si="7"/>
        <v>7.7220000000000004</v>
      </c>
    </row>
    <row r="978" spans="1:7" ht="14.25" customHeight="1">
      <c r="A978" s="2" t="s">
        <v>15</v>
      </c>
      <c r="B978" s="2">
        <v>1939</v>
      </c>
      <c r="C978" s="2" t="s">
        <v>55</v>
      </c>
      <c r="D978" s="2">
        <v>6838</v>
      </c>
      <c r="E978" s="3">
        <f t="shared" si="6"/>
        <v>6.8380000000000001</v>
      </c>
      <c r="G978" s="2">
        <f t="shared" si="7"/>
        <v>6.8380000000000001</v>
      </c>
    </row>
    <row r="979" spans="1:7" ht="14.25" customHeight="1">
      <c r="A979" s="2" t="s">
        <v>15</v>
      </c>
      <c r="B979" s="2">
        <v>1940</v>
      </c>
      <c r="C979" s="2" t="s">
        <v>55</v>
      </c>
      <c r="D979" s="2">
        <v>3844</v>
      </c>
      <c r="E979" s="3">
        <f t="shared" si="6"/>
        <v>3.8439999999999999</v>
      </c>
      <c r="G979" s="2">
        <f t="shared" si="7"/>
        <v>3.8439999999999999</v>
      </c>
    </row>
    <row r="980" spans="1:7" ht="14.25" customHeight="1">
      <c r="A980" s="2" t="s">
        <v>15</v>
      </c>
      <c r="B980" s="2">
        <v>1941</v>
      </c>
      <c r="C980" s="2" t="s">
        <v>55</v>
      </c>
      <c r="D980" s="2">
        <v>2277</v>
      </c>
      <c r="E980" s="3">
        <f t="shared" si="6"/>
        <v>2.2770000000000001</v>
      </c>
      <c r="G980" s="2">
        <f t="shared" si="7"/>
        <v>2.2770000000000001</v>
      </c>
    </row>
    <row r="981" spans="1:7" ht="14.25" customHeight="1">
      <c r="A981" s="2" t="s">
        <v>15</v>
      </c>
      <c r="B981" s="2">
        <v>1942</v>
      </c>
      <c r="C981" s="2" t="s">
        <v>55</v>
      </c>
      <c r="D981" s="2">
        <v>2254</v>
      </c>
      <c r="E981" s="3">
        <f t="shared" si="6"/>
        <v>2.254</v>
      </c>
      <c r="G981" s="2">
        <f t="shared" si="7"/>
        <v>2.254</v>
      </c>
    </row>
    <row r="982" spans="1:7" ht="14.25" customHeight="1">
      <c r="A982" s="2" t="s">
        <v>15</v>
      </c>
      <c r="B982" s="2">
        <v>1943</v>
      </c>
      <c r="C982" s="2" t="s">
        <v>55</v>
      </c>
      <c r="D982" s="2">
        <v>2207</v>
      </c>
      <c r="E982" s="3">
        <f t="shared" si="6"/>
        <v>2.2069999999999999</v>
      </c>
      <c r="G982" s="2">
        <f t="shared" si="7"/>
        <v>2.2069999999999999</v>
      </c>
    </row>
    <row r="983" spans="1:7" ht="14.25" customHeight="1">
      <c r="A983" s="2" t="s">
        <v>15</v>
      </c>
      <c r="B983" s="2">
        <v>1944</v>
      </c>
      <c r="C983" s="2" t="s">
        <v>55</v>
      </c>
      <c r="D983" s="2">
        <v>1779</v>
      </c>
      <c r="E983" s="3">
        <f t="shared" si="6"/>
        <v>1.7789999999999999</v>
      </c>
      <c r="G983" s="2">
        <f t="shared" si="7"/>
        <v>1.7789999999999999</v>
      </c>
    </row>
    <row r="984" spans="1:7" ht="14.25" customHeight="1">
      <c r="A984" s="2" t="s">
        <v>15</v>
      </c>
      <c r="B984" s="2">
        <v>1945</v>
      </c>
      <c r="C984" s="2" t="s">
        <v>55</v>
      </c>
      <c r="D984" s="2">
        <v>1588</v>
      </c>
      <c r="E984" s="3">
        <f t="shared" si="6"/>
        <v>1.5880000000000001</v>
      </c>
      <c r="G984" s="2">
        <f t="shared" si="7"/>
        <v>1.5880000000000001</v>
      </c>
    </row>
    <row r="985" spans="1:7" ht="14.25" customHeight="1">
      <c r="A985" s="2" t="s">
        <v>15</v>
      </c>
      <c r="B985" s="2">
        <v>1946</v>
      </c>
      <c r="C985" s="2" t="s">
        <v>55</v>
      </c>
      <c r="D985" s="2">
        <v>2568</v>
      </c>
      <c r="E985" s="3">
        <f t="shared" si="6"/>
        <v>2.5680000000000001</v>
      </c>
      <c r="G985" s="2">
        <f t="shared" si="7"/>
        <v>2.5680000000000001</v>
      </c>
    </row>
    <row r="986" spans="1:7" ht="14.25" customHeight="1">
      <c r="A986" s="2" t="s">
        <v>15</v>
      </c>
      <c r="B986" s="2">
        <v>1947</v>
      </c>
      <c r="C986" s="2" t="s">
        <v>55</v>
      </c>
      <c r="D986" s="2">
        <v>2819</v>
      </c>
      <c r="E986" s="3">
        <f t="shared" si="6"/>
        <v>2.819</v>
      </c>
      <c r="G986" s="2">
        <f t="shared" si="7"/>
        <v>2.819</v>
      </c>
    </row>
    <row r="987" spans="1:7" ht="14.25" customHeight="1">
      <c r="A987" s="2" t="s">
        <v>15</v>
      </c>
      <c r="B987" s="2">
        <v>1948</v>
      </c>
      <c r="C987" s="2" t="s">
        <v>55</v>
      </c>
      <c r="D987" s="2">
        <v>3302</v>
      </c>
      <c r="E987" s="3">
        <f t="shared" si="6"/>
        <v>3.302</v>
      </c>
      <c r="G987" s="2">
        <f t="shared" si="7"/>
        <v>3.302</v>
      </c>
    </row>
    <row r="988" spans="1:7" ht="14.25" customHeight="1">
      <c r="A988" s="2" t="s">
        <v>15</v>
      </c>
      <c r="B988" s="2">
        <v>1949</v>
      </c>
      <c r="C988" s="2" t="s">
        <v>55</v>
      </c>
      <c r="D988" s="2">
        <v>3211</v>
      </c>
      <c r="E988" s="3">
        <f t="shared" si="6"/>
        <v>3.2109999999999999</v>
      </c>
      <c r="G988" s="2">
        <f t="shared" si="7"/>
        <v>3.2109999999999999</v>
      </c>
    </row>
    <row r="989" spans="1:7" ht="14.25" customHeight="1">
      <c r="A989" s="2" t="s">
        <v>15</v>
      </c>
      <c r="B989" s="2">
        <v>1950</v>
      </c>
      <c r="C989" s="2" t="s">
        <v>55</v>
      </c>
      <c r="D989" s="2">
        <v>5642</v>
      </c>
      <c r="E989" s="3">
        <f t="shared" si="6"/>
        <v>5.6420000000000003</v>
      </c>
      <c r="G989" s="2">
        <f t="shared" si="7"/>
        <v>5.6420000000000003</v>
      </c>
    </row>
    <row r="990" spans="1:7" ht="14.25" customHeight="1">
      <c r="A990" s="2" t="s">
        <v>15</v>
      </c>
      <c r="B990" s="2">
        <v>1951</v>
      </c>
      <c r="C990" s="2" t="s">
        <v>55</v>
      </c>
      <c r="D990" s="2">
        <v>6364</v>
      </c>
      <c r="E990" s="3">
        <f t="shared" si="6"/>
        <v>6.3639999999999999</v>
      </c>
      <c r="G990" s="2">
        <f t="shared" si="7"/>
        <v>6.3639999999999999</v>
      </c>
    </row>
    <row r="991" spans="1:7" ht="14.25" customHeight="1">
      <c r="A991" s="2" t="s">
        <v>15</v>
      </c>
      <c r="B991" s="2">
        <v>1952</v>
      </c>
      <c r="C991" s="2" t="s">
        <v>55</v>
      </c>
      <c r="D991" s="2">
        <v>6890</v>
      </c>
      <c r="E991" s="3">
        <f t="shared" si="6"/>
        <v>6.89</v>
      </c>
      <c r="G991" s="2">
        <f t="shared" si="7"/>
        <v>6.89</v>
      </c>
    </row>
    <row r="992" spans="1:7" ht="14.25" customHeight="1">
      <c r="A992" s="2" t="s">
        <v>15</v>
      </c>
      <c r="B992" s="2">
        <v>1953</v>
      </c>
      <c r="C992" s="2" t="s">
        <v>55</v>
      </c>
      <c r="D992" s="2">
        <v>7603</v>
      </c>
      <c r="E992" s="3">
        <f t="shared" si="6"/>
        <v>7.6029999999999998</v>
      </c>
      <c r="G992" s="2">
        <f t="shared" si="7"/>
        <v>7.6029999999999998</v>
      </c>
    </row>
    <row r="993" spans="1:7" ht="14.25" customHeight="1">
      <c r="A993" s="2" t="s">
        <v>15</v>
      </c>
      <c r="B993" s="2">
        <v>1954</v>
      </c>
      <c r="C993" s="2" t="s">
        <v>55</v>
      </c>
      <c r="D993" s="2">
        <v>6279</v>
      </c>
      <c r="E993" s="3">
        <f t="shared" si="6"/>
        <v>6.2789999999999999</v>
      </c>
      <c r="G993" s="2">
        <f t="shared" si="7"/>
        <v>6.2789999999999999</v>
      </c>
    </row>
    <row r="994" spans="1:7" ht="14.25" customHeight="1">
      <c r="A994" s="2" t="s">
        <v>15</v>
      </c>
      <c r="B994" s="2">
        <v>1955</v>
      </c>
      <c r="C994" s="2" t="s">
        <v>55</v>
      </c>
      <c r="D994" s="2">
        <v>5985</v>
      </c>
      <c r="E994" s="3">
        <f t="shared" si="6"/>
        <v>5.9850000000000003</v>
      </c>
      <c r="G994" s="2">
        <f t="shared" si="7"/>
        <v>5.9850000000000003</v>
      </c>
    </row>
    <row r="995" spans="1:7" ht="14.25" customHeight="1">
      <c r="A995" s="2" t="s">
        <v>15</v>
      </c>
      <c r="B995" s="2">
        <v>1956</v>
      </c>
      <c r="C995" s="2" t="s">
        <v>55</v>
      </c>
      <c r="D995" s="2">
        <v>5417</v>
      </c>
      <c r="E995" s="3">
        <f t="shared" si="6"/>
        <v>5.4169999999999998</v>
      </c>
      <c r="G995" s="2">
        <f t="shared" si="7"/>
        <v>5.4169999999999998</v>
      </c>
    </row>
    <row r="996" spans="1:7" ht="14.25" customHeight="1">
      <c r="A996" s="2" t="s">
        <v>15</v>
      </c>
      <c r="B996" s="2">
        <v>1957</v>
      </c>
      <c r="C996" s="2" t="s">
        <v>55</v>
      </c>
      <c r="D996" s="2">
        <v>5918</v>
      </c>
      <c r="E996" s="3">
        <f t="shared" si="6"/>
        <v>5.9180000000000001</v>
      </c>
      <c r="G996" s="2">
        <f t="shared" si="7"/>
        <v>5.9180000000000001</v>
      </c>
    </row>
    <row r="997" spans="1:7" ht="14.25" customHeight="1">
      <c r="A997" s="2" t="s">
        <v>15</v>
      </c>
      <c r="B997" s="2">
        <v>1958</v>
      </c>
      <c r="C997" s="2" t="s">
        <v>55</v>
      </c>
      <c r="D997" s="2">
        <v>5653</v>
      </c>
      <c r="E997" s="3">
        <f t="shared" si="6"/>
        <v>5.6529999999999996</v>
      </c>
      <c r="G997" s="2">
        <f t="shared" si="7"/>
        <v>5.6529999999999996</v>
      </c>
    </row>
    <row r="998" spans="1:7" ht="14.25" customHeight="1">
      <c r="A998" s="2" t="s">
        <v>15</v>
      </c>
      <c r="B998" s="2">
        <v>1959</v>
      </c>
      <c r="C998" s="2" t="s">
        <v>55</v>
      </c>
      <c r="D998" s="2">
        <v>6178</v>
      </c>
      <c r="E998" s="3">
        <f t="shared" si="6"/>
        <v>6.1779999999999999</v>
      </c>
      <c r="G998" s="2">
        <f t="shared" si="7"/>
        <v>6.1779999999999999</v>
      </c>
    </row>
    <row r="999" spans="1:7" ht="14.25" customHeight="1">
      <c r="A999" s="2" t="s">
        <v>15</v>
      </c>
      <c r="B999" s="2">
        <v>1960</v>
      </c>
      <c r="C999" s="2" t="s">
        <v>55</v>
      </c>
      <c r="D999" s="2">
        <v>6520</v>
      </c>
      <c r="E999" s="3">
        <f t="shared" si="6"/>
        <v>6.52</v>
      </c>
      <c r="G999" s="2">
        <f t="shared" si="7"/>
        <v>6.52</v>
      </c>
    </row>
    <row r="1000" spans="1:7" ht="14.25" customHeight="1">
      <c r="A1000" s="2" t="s">
        <v>15</v>
      </c>
      <c r="B1000" s="2">
        <v>1961</v>
      </c>
      <c r="C1000" s="2" t="s">
        <v>55</v>
      </c>
      <c r="D1000" s="2">
        <v>6804</v>
      </c>
      <c r="E1000" s="3">
        <f t="shared" si="6"/>
        <v>6.8040000000000003</v>
      </c>
      <c r="G1000" s="2">
        <f t="shared" si="7"/>
        <v>6.8040000000000003</v>
      </c>
    </row>
    <row r="1001" spans="1:7" ht="14.25" customHeight="1">
      <c r="A1001" s="2" t="s">
        <v>15</v>
      </c>
      <c r="B1001" s="2">
        <v>1962</v>
      </c>
      <c r="C1001" s="2" t="s">
        <v>55</v>
      </c>
      <c r="D1001" s="2">
        <v>6696</v>
      </c>
      <c r="E1001" s="3">
        <f t="shared" si="6"/>
        <v>6.6959999999999997</v>
      </c>
      <c r="G1001" s="2">
        <f t="shared" si="7"/>
        <v>6.6959999999999997</v>
      </c>
    </row>
    <row r="1002" spans="1:7" ht="14.25" customHeight="1">
      <c r="A1002" s="2" t="s">
        <v>15</v>
      </c>
      <c r="B1002" s="2">
        <v>1963</v>
      </c>
      <c r="C1002" s="2" t="s">
        <v>55</v>
      </c>
      <c r="D1002" s="2">
        <v>6401</v>
      </c>
      <c r="E1002" s="3">
        <f t="shared" si="6"/>
        <v>6.4009999999999998</v>
      </c>
      <c r="G1002" s="2">
        <f t="shared" si="7"/>
        <v>6.4009999999999998</v>
      </c>
    </row>
    <row r="1003" spans="1:7" ht="14.25" customHeight="1">
      <c r="A1003" s="2" t="s">
        <v>15</v>
      </c>
      <c r="B1003" s="2">
        <v>1964</v>
      </c>
      <c r="C1003" s="2" t="s">
        <v>55</v>
      </c>
      <c r="D1003" s="2">
        <v>5998</v>
      </c>
      <c r="E1003" s="3">
        <f t="shared" si="6"/>
        <v>5.9980000000000002</v>
      </c>
      <c r="G1003" s="2">
        <f t="shared" si="7"/>
        <v>5.9980000000000002</v>
      </c>
    </row>
    <row r="1004" spans="1:7" ht="14.25" customHeight="1">
      <c r="A1004" s="2" t="s">
        <v>15</v>
      </c>
      <c r="B1004" s="2">
        <v>1965</v>
      </c>
      <c r="C1004" s="2" t="s">
        <v>55</v>
      </c>
      <c r="D1004" s="2">
        <v>6687</v>
      </c>
      <c r="E1004" s="3">
        <f t="shared" si="6"/>
        <v>6.6870000000000003</v>
      </c>
      <c r="G1004" s="2">
        <f t="shared" si="7"/>
        <v>6.6870000000000003</v>
      </c>
    </row>
    <row r="1005" spans="1:7" ht="14.25" customHeight="1">
      <c r="A1005" s="2" t="s">
        <v>15</v>
      </c>
      <c r="B1005" s="2">
        <v>1966</v>
      </c>
      <c r="C1005" s="2" t="s">
        <v>55</v>
      </c>
      <c r="D1005" s="2">
        <v>6287</v>
      </c>
      <c r="E1005" s="3">
        <f t="shared" si="6"/>
        <v>6.2869999999999999</v>
      </c>
      <c r="G1005" s="2">
        <f t="shared" si="7"/>
        <v>6.2869999999999999</v>
      </c>
    </row>
    <row r="1006" spans="1:7" ht="14.25" customHeight="1">
      <c r="A1006" s="2" t="s">
        <v>15</v>
      </c>
      <c r="B1006" s="2">
        <v>1967</v>
      </c>
      <c r="C1006" s="2" t="s">
        <v>55</v>
      </c>
      <c r="D1006" s="2">
        <v>6955</v>
      </c>
      <c r="E1006" s="3">
        <f t="shared" si="6"/>
        <v>6.9550000000000001</v>
      </c>
      <c r="G1006" s="2">
        <f t="shared" si="7"/>
        <v>6.9550000000000001</v>
      </c>
    </row>
    <row r="1007" spans="1:7" ht="14.25" customHeight="1">
      <c r="A1007" s="2" t="s">
        <v>15</v>
      </c>
      <c r="B1007" s="2">
        <v>1968</v>
      </c>
      <c r="C1007" s="2" t="s">
        <v>55</v>
      </c>
      <c r="D1007" s="2">
        <v>7115</v>
      </c>
      <c r="E1007" s="3">
        <f t="shared" si="6"/>
        <v>7.1150000000000002</v>
      </c>
      <c r="G1007" s="2">
        <f t="shared" si="7"/>
        <v>7.1150000000000002</v>
      </c>
    </row>
    <row r="1008" spans="1:7" ht="14.25" customHeight="1">
      <c r="A1008" s="2" t="s">
        <v>15</v>
      </c>
      <c r="B1008" s="2">
        <v>1969</v>
      </c>
      <c r="C1008" s="2" t="s">
        <v>55</v>
      </c>
      <c r="D1008" s="2">
        <v>5334</v>
      </c>
      <c r="E1008" s="3">
        <f t="shared" si="6"/>
        <v>5.3339999999999996</v>
      </c>
      <c r="G1008" s="2">
        <f t="shared" si="7"/>
        <v>5.3339999999999996</v>
      </c>
    </row>
    <row r="1009" spans="1:7" ht="14.25" customHeight="1">
      <c r="A1009" s="2" t="s">
        <v>15</v>
      </c>
      <c r="B1009" s="2">
        <v>1970</v>
      </c>
      <c r="C1009" s="2" t="s">
        <v>55</v>
      </c>
      <c r="D1009" s="2">
        <v>4326</v>
      </c>
      <c r="E1009" s="3">
        <f t="shared" si="6"/>
        <v>4.3259999999999996</v>
      </c>
      <c r="G1009" s="2">
        <f t="shared" si="7"/>
        <v>4.3259999999999996</v>
      </c>
    </row>
    <row r="1010" spans="1:7" ht="14.25" customHeight="1">
      <c r="A1010" s="2" t="s">
        <v>15</v>
      </c>
      <c r="B1010" s="2">
        <v>1971</v>
      </c>
      <c r="C1010" s="2" t="s">
        <v>55</v>
      </c>
      <c r="D1010" s="2">
        <v>4520</v>
      </c>
      <c r="E1010" s="3">
        <f t="shared" si="6"/>
        <v>4.5199999999999996</v>
      </c>
      <c r="G1010" s="2">
        <f t="shared" si="7"/>
        <v>4.5199999999999996</v>
      </c>
    </row>
    <row r="1011" spans="1:7" ht="14.25" customHeight="1">
      <c r="A1011" s="2" t="s">
        <v>15</v>
      </c>
      <c r="B1011" s="2">
        <v>1972</v>
      </c>
      <c r="C1011" s="2" t="s">
        <v>55</v>
      </c>
      <c r="D1011" s="2">
        <v>4227</v>
      </c>
      <c r="E1011" s="3">
        <f t="shared" si="6"/>
        <v>4.2270000000000003</v>
      </c>
      <c r="G1011" s="2">
        <f t="shared" si="7"/>
        <v>4.2270000000000003</v>
      </c>
    </row>
    <row r="1012" spans="1:7" ht="14.25" customHeight="1">
      <c r="A1012" s="2" t="s">
        <v>15</v>
      </c>
      <c r="B1012" s="2">
        <v>1973</v>
      </c>
      <c r="C1012" s="2" t="s">
        <v>55</v>
      </c>
      <c r="D1012" s="2">
        <v>4702</v>
      </c>
      <c r="E1012" s="3">
        <f t="shared" si="6"/>
        <v>4.702</v>
      </c>
      <c r="G1012" s="2">
        <f t="shared" si="7"/>
        <v>4.702</v>
      </c>
    </row>
    <row r="1013" spans="1:7" ht="14.25" customHeight="1">
      <c r="A1013" s="2" t="s">
        <v>15</v>
      </c>
      <c r="B1013" s="2">
        <v>1974</v>
      </c>
      <c r="C1013" s="2" t="s">
        <v>55</v>
      </c>
      <c r="D1013" s="2">
        <v>4482</v>
      </c>
      <c r="E1013" s="3">
        <f t="shared" si="6"/>
        <v>4.4820000000000002</v>
      </c>
      <c r="G1013" s="2">
        <f t="shared" si="7"/>
        <v>4.4820000000000002</v>
      </c>
    </row>
    <row r="1014" spans="1:7" ht="14.25" customHeight="1">
      <c r="A1014" s="2" t="s">
        <v>15</v>
      </c>
      <c r="B1014" s="2">
        <v>1975</v>
      </c>
      <c r="C1014" s="2" t="s">
        <v>55</v>
      </c>
      <c r="D1014" s="2">
        <v>4777</v>
      </c>
      <c r="E1014" s="3">
        <f t="shared" si="6"/>
        <v>4.7770000000000001</v>
      </c>
      <c r="G1014" s="2">
        <f t="shared" si="7"/>
        <v>4.7770000000000001</v>
      </c>
    </row>
    <row r="1015" spans="1:7" ht="14.25" customHeight="1">
      <c r="A1015" s="2" t="s">
        <v>15</v>
      </c>
      <c r="B1015" s="2">
        <v>1976</v>
      </c>
      <c r="C1015" s="2" t="s">
        <v>55</v>
      </c>
      <c r="D1015" s="2">
        <v>4930</v>
      </c>
      <c r="E1015" s="3">
        <f t="shared" si="6"/>
        <v>4.93</v>
      </c>
      <c r="G1015" s="2">
        <f t="shared" si="7"/>
        <v>4.93</v>
      </c>
    </row>
    <row r="1016" spans="1:7" ht="14.25" customHeight="1">
      <c r="A1016" s="2" t="s">
        <v>15</v>
      </c>
      <c r="B1016" s="2">
        <v>1977</v>
      </c>
      <c r="C1016" s="2" t="s">
        <v>55</v>
      </c>
      <c r="D1016" s="2">
        <v>5392</v>
      </c>
      <c r="E1016" s="3">
        <f t="shared" si="6"/>
        <v>5.3920000000000003</v>
      </c>
      <c r="G1016" s="2">
        <f t="shared" si="7"/>
        <v>5.3920000000000003</v>
      </c>
    </row>
    <row r="1017" spans="1:7" ht="14.25" customHeight="1">
      <c r="A1017" s="2" t="s">
        <v>15</v>
      </c>
      <c r="B1017" s="2">
        <v>1978</v>
      </c>
      <c r="C1017" s="2" t="s">
        <v>55</v>
      </c>
      <c r="D1017" s="2">
        <v>5355</v>
      </c>
      <c r="E1017" s="3">
        <f t="shared" si="6"/>
        <v>5.3550000000000004</v>
      </c>
      <c r="G1017" s="2">
        <f t="shared" si="7"/>
        <v>5.3550000000000004</v>
      </c>
    </row>
    <row r="1018" spans="1:7" ht="14.25" customHeight="1">
      <c r="A1018" s="2" t="s">
        <v>15</v>
      </c>
      <c r="B1018" s="2">
        <v>1979</v>
      </c>
      <c r="C1018" s="2" t="s">
        <v>55</v>
      </c>
      <c r="D1018" s="2">
        <v>5376</v>
      </c>
      <c r="E1018" s="3">
        <f t="shared" si="6"/>
        <v>5.3760000000000003</v>
      </c>
      <c r="G1018" s="2">
        <f t="shared" si="7"/>
        <v>5.3760000000000003</v>
      </c>
    </row>
    <row r="1019" spans="1:7" ht="14.25" customHeight="1">
      <c r="A1019" s="2" t="s">
        <v>15</v>
      </c>
      <c r="B1019" s="2">
        <v>1980</v>
      </c>
      <c r="C1019" s="2" t="s">
        <v>55</v>
      </c>
      <c r="D1019" s="2">
        <v>6087</v>
      </c>
      <c r="E1019" s="3">
        <f t="shared" si="6"/>
        <v>6.0869999999999997</v>
      </c>
      <c r="G1019" s="2">
        <f t="shared" si="7"/>
        <v>6.0869999999999997</v>
      </c>
    </row>
    <row r="1020" spans="1:7" ht="14.25" customHeight="1">
      <c r="A1020" s="2" t="s">
        <v>15</v>
      </c>
      <c r="B1020" s="2">
        <v>1981</v>
      </c>
      <c r="C1020" s="2" t="s">
        <v>55</v>
      </c>
      <c r="D1020" s="2">
        <v>5110</v>
      </c>
      <c r="E1020" s="3">
        <f t="shared" si="6"/>
        <v>5.1100000000000003</v>
      </c>
      <c r="G1020" s="2">
        <f t="shared" si="7"/>
        <v>5.1100000000000003</v>
      </c>
    </row>
    <row r="1021" spans="1:7" ht="14.25" customHeight="1">
      <c r="A1021" s="2" t="s">
        <v>15</v>
      </c>
      <c r="B1021" s="2">
        <v>1982</v>
      </c>
      <c r="C1021" s="2" t="s">
        <v>55</v>
      </c>
      <c r="D1021" s="2">
        <v>5612</v>
      </c>
      <c r="E1021" s="3">
        <f t="shared" si="6"/>
        <v>5.6120000000000001</v>
      </c>
      <c r="G1021" s="2">
        <f t="shared" si="7"/>
        <v>5.6120000000000001</v>
      </c>
    </row>
    <row r="1022" spans="1:7" ht="14.25" customHeight="1">
      <c r="A1022" s="2" t="s">
        <v>15</v>
      </c>
      <c r="B1022" s="2">
        <v>1983</v>
      </c>
      <c r="C1022" s="2" t="s">
        <v>55</v>
      </c>
      <c r="D1022" s="2">
        <v>6623</v>
      </c>
      <c r="E1022" s="3">
        <f t="shared" ref="E1022:E1276" si="8">D1022/1000</f>
        <v>6.6230000000000002</v>
      </c>
      <c r="G1022" s="2">
        <f t="shared" ref="G1022:G1276" si="9">E1022+F1022</f>
        <v>6.6230000000000002</v>
      </c>
    </row>
    <row r="1023" spans="1:7" ht="14.25" customHeight="1">
      <c r="A1023" s="2" t="s">
        <v>15</v>
      </c>
      <c r="B1023" s="2">
        <v>1984</v>
      </c>
      <c r="C1023" s="2" t="s">
        <v>55</v>
      </c>
      <c r="D1023" s="2">
        <v>6461</v>
      </c>
      <c r="E1023" s="3">
        <f t="shared" si="8"/>
        <v>6.4610000000000003</v>
      </c>
      <c r="G1023" s="2">
        <f t="shared" si="9"/>
        <v>6.4610000000000003</v>
      </c>
    </row>
    <row r="1024" spans="1:7" ht="14.25" customHeight="1">
      <c r="A1024" s="2" t="s">
        <v>15</v>
      </c>
      <c r="B1024" s="2">
        <v>1985</v>
      </c>
      <c r="C1024" s="2" t="s">
        <v>55</v>
      </c>
      <c r="D1024" s="2">
        <v>6404</v>
      </c>
      <c r="E1024" s="3">
        <f t="shared" si="8"/>
        <v>6.4039999999999999</v>
      </c>
      <c r="G1024" s="2">
        <f t="shared" si="9"/>
        <v>6.4039999999999999</v>
      </c>
    </row>
    <row r="1025" spans="1:7" ht="14.25" customHeight="1">
      <c r="A1025" s="2" t="s">
        <v>15</v>
      </c>
      <c r="B1025" s="2">
        <v>1986</v>
      </c>
      <c r="C1025" s="2" t="s">
        <v>55</v>
      </c>
      <c r="D1025" s="2">
        <v>5240</v>
      </c>
      <c r="E1025" s="3">
        <f t="shared" si="8"/>
        <v>5.24</v>
      </c>
      <c r="G1025" s="2">
        <f t="shared" si="9"/>
        <v>5.24</v>
      </c>
    </row>
    <row r="1026" spans="1:7" ht="14.25" customHeight="1">
      <c r="A1026" s="2" t="s">
        <v>15</v>
      </c>
      <c r="B1026" s="2">
        <v>1987</v>
      </c>
      <c r="C1026" s="2" t="s">
        <v>55</v>
      </c>
      <c r="D1026" s="2">
        <v>5555</v>
      </c>
      <c r="E1026" s="3">
        <f t="shared" si="8"/>
        <v>5.5549999999999997</v>
      </c>
      <c r="G1026" s="2">
        <f t="shared" si="9"/>
        <v>5.5549999999999997</v>
      </c>
    </row>
    <row r="1027" spans="1:7" ht="14.25" customHeight="1">
      <c r="A1027" s="2" t="s">
        <v>15</v>
      </c>
      <c r="B1027" s="2">
        <v>1988</v>
      </c>
      <c r="C1027" s="2" t="s">
        <v>55</v>
      </c>
      <c r="D1027" s="2">
        <v>5672</v>
      </c>
      <c r="E1027" s="3">
        <f t="shared" si="8"/>
        <v>5.6719999999999997</v>
      </c>
      <c r="G1027" s="2">
        <f t="shared" si="9"/>
        <v>5.6719999999999997</v>
      </c>
    </row>
    <row r="1028" spans="1:7" ht="14.25" customHeight="1">
      <c r="A1028" s="2" t="s">
        <v>15</v>
      </c>
      <c r="B1028" s="2">
        <v>1989</v>
      </c>
      <c r="C1028" s="2" t="s">
        <v>55</v>
      </c>
      <c r="D1028" s="2">
        <v>5330</v>
      </c>
      <c r="E1028" s="3">
        <f t="shared" si="8"/>
        <v>5.33</v>
      </c>
      <c r="G1028" s="2">
        <f t="shared" si="9"/>
        <v>5.33</v>
      </c>
    </row>
    <row r="1029" spans="1:7" ht="14.25" customHeight="1">
      <c r="A1029" s="2" t="s">
        <v>15</v>
      </c>
      <c r="B1029" s="2">
        <v>1990</v>
      </c>
      <c r="C1029" s="2" t="s">
        <v>55</v>
      </c>
      <c r="D1029" s="2">
        <v>6069</v>
      </c>
      <c r="E1029" s="3">
        <f t="shared" si="8"/>
        <v>6.069</v>
      </c>
      <c r="G1029" s="2">
        <f t="shared" si="9"/>
        <v>6.069</v>
      </c>
    </row>
    <row r="1030" spans="1:7" ht="14.25" customHeight="1">
      <c r="A1030" s="2" t="s">
        <v>15</v>
      </c>
      <c r="B1030" s="2">
        <v>1991</v>
      </c>
      <c r="C1030" s="2" t="s">
        <v>55</v>
      </c>
      <c r="D1030" s="2">
        <v>6255</v>
      </c>
      <c r="E1030" s="3">
        <f t="shared" si="8"/>
        <v>6.2549999999999999</v>
      </c>
      <c r="G1030" s="2">
        <f t="shared" si="9"/>
        <v>6.2549999999999999</v>
      </c>
    </row>
    <row r="1031" spans="1:7" ht="14.25" customHeight="1">
      <c r="A1031" s="2" t="s">
        <v>15</v>
      </c>
      <c r="B1031" s="2">
        <v>1992</v>
      </c>
      <c r="C1031" s="2" t="s">
        <v>55</v>
      </c>
      <c r="D1031" s="2">
        <v>5825</v>
      </c>
      <c r="E1031" s="3">
        <f t="shared" si="8"/>
        <v>5.8250000000000002</v>
      </c>
      <c r="G1031" s="2">
        <f t="shared" si="9"/>
        <v>5.8250000000000002</v>
      </c>
    </row>
    <row r="1032" spans="1:7" ht="14.25" customHeight="1">
      <c r="A1032" s="2" t="s">
        <v>15</v>
      </c>
      <c r="B1032" s="2">
        <v>1993</v>
      </c>
      <c r="C1032" s="2" t="s">
        <v>55</v>
      </c>
      <c r="D1032" s="2">
        <v>5443</v>
      </c>
      <c r="E1032" s="3">
        <f t="shared" si="8"/>
        <v>5.4429999999999996</v>
      </c>
      <c r="G1032" s="2">
        <f t="shared" si="9"/>
        <v>5.4429999999999996</v>
      </c>
    </row>
    <row r="1033" spans="1:7" ht="14.25" customHeight="1">
      <c r="A1033" s="2" t="s">
        <v>15</v>
      </c>
      <c r="B1033" s="2">
        <v>1994</v>
      </c>
      <c r="C1033" s="2" t="s">
        <v>55</v>
      </c>
      <c r="D1033" s="2">
        <v>5117</v>
      </c>
      <c r="E1033" s="3">
        <f t="shared" si="8"/>
        <v>5.117</v>
      </c>
      <c r="G1033" s="2">
        <f t="shared" si="9"/>
        <v>5.117</v>
      </c>
    </row>
    <row r="1034" spans="1:7" ht="14.25" customHeight="1">
      <c r="A1034" s="2" t="s">
        <v>15</v>
      </c>
      <c r="B1034" s="2">
        <v>1995</v>
      </c>
      <c r="C1034" s="2" t="s">
        <v>55</v>
      </c>
      <c r="D1034" s="2">
        <v>4973</v>
      </c>
      <c r="E1034" s="3">
        <f t="shared" si="8"/>
        <v>4.9729999999999999</v>
      </c>
      <c r="G1034" s="2">
        <f t="shared" si="9"/>
        <v>4.9729999999999999</v>
      </c>
    </row>
    <row r="1035" spans="1:7" ht="14.25" customHeight="1">
      <c r="A1035" s="2" t="s">
        <v>15</v>
      </c>
      <c r="B1035" s="2">
        <v>1996</v>
      </c>
      <c r="C1035" s="2" t="s">
        <v>55</v>
      </c>
      <c r="D1035" s="2">
        <v>5445</v>
      </c>
      <c r="E1035" s="3">
        <f t="shared" si="8"/>
        <v>5.4450000000000003</v>
      </c>
      <c r="G1035" s="2">
        <f t="shared" si="9"/>
        <v>5.4450000000000003</v>
      </c>
    </row>
    <row r="1036" spans="1:7" ht="14.25" customHeight="1">
      <c r="A1036" s="2" t="s">
        <v>15</v>
      </c>
      <c r="B1036" s="2">
        <v>1997</v>
      </c>
      <c r="C1036" s="2" t="s">
        <v>55</v>
      </c>
      <c r="D1036" s="2">
        <v>5720</v>
      </c>
      <c r="E1036" s="3">
        <f t="shared" si="8"/>
        <v>5.72</v>
      </c>
      <c r="G1036" s="2">
        <f t="shared" si="9"/>
        <v>5.72</v>
      </c>
    </row>
    <row r="1037" spans="1:7" ht="14.25" customHeight="1">
      <c r="A1037" s="2" t="s">
        <v>15</v>
      </c>
      <c r="B1037" s="2">
        <v>1998</v>
      </c>
      <c r="C1037" s="2" t="s">
        <v>55</v>
      </c>
      <c r="D1037" s="2">
        <v>5230</v>
      </c>
      <c r="E1037" s="3">
        <f t="shared" si="8"/>
        <v>5.23</v>
      </c>
      <c r="G1037" s="2">
        <f t="shared" si="9"/>
        <v>5.23</v>
      </c>
    </row>
    <row r="1038" spans="1:7" ht="14.25" customHeight="1">
      <c r="A1038" s="2" t="s">
        <v>15</v>
      </c>
      <c r="B1038" s="2">
        <v>1999</v>
      </c>
      <c r="C1038" s="2" t="s">
        <v>55</v>
      </c>
      <c r="D1038" s="2">
        <v>5010</v>
      </c>
      <c r="E1038" s="3">
        <f t="shared" si="8"/>
        <v>5.01</v>
      </c>
      <c r="G1038" s="2">
        <f t="shared" si="9"/>
        <v>5.01</v>
      </c>
    </row>
    <row r="1039" spans="1:7" ht="14.25" customHeight="1">
      <c r="A1039" s="2" t="s">
        <v>15</v>
      </c>
      <c r="B1039" s="2">
        <v>2000</v>
      </c>
      <c r="C1039" s="2" t="s">
        <v>55</v>
      </c>
      <c r="D1039" s="2">
        <v>4367</v>
      </c>
      <c r="E1039" s="3">
        <f t="shared" si="8"/>
        <v>4.367</v>
      </c>
      <c r="G1039" s="2">
        <f t="shared" si="9"/>
        <v>4.367</v>
      </c>
    </row>
    <row r="1040" spans="1:7" ht="14.25" customHeight="1">
      <c r="A1040" s="2" t="s">
        <v>15</v>
      </c>
      <c r="B1040" s="2">
        <v>2001</v>
      </c>
      <c r="C1040" s="2" t="s">
        <v>55</v>
      </c>
      <c r="D1040" s="2">
        <v>4006</v>
      </c>
      <c r="E1040" s="3">
        <f t="shared" si="8"/>
        <v>4.0060000000000002</v>
      </c>
      <c r="G1040" s="2">
        <f t="shared" si="9"/>
        <v>4.0060000000000002</v>
      </c>
    </row>
    <row r="1041" spans="1:7" ht="14.25" customHeight="1">
      <c r="A1041" s="2" t="s">
        <v>15</v>
      </c>
      <c r="B1041" s="2">
        <v>2002</v>
      </c>
      <c r="C1041" s="2" t="s">
        <v>55</v>
      </c>
      <c r="D1041" s="2">
        <v>2719</v>
      </c>
      <c r="E1041" s="3">
        <f t="shared" si="8"/>
        <v>2.7189999999999999</v>
      </c>
      <c r="G1041" s="2">
        <f t="shared" si="9"/>
        <v>2.7189999999999999</v>
      </c>
    </row>
    <row r="1042" spans="1:7" ht="14.25" customHeight="1">
      <c r="A1042" s="2" t="s">
        <v>15</v>
      </c>
      <c r="B1042" s="2">
        <v>2003</v>
      </c>
      <c r="C1042" s="2" t="s">
        <v>55</v>
      </c>
      <c r="D1042" s="2">
        <v>2606</v>
      </c>
      <c r="E1042" s="3">
        <f t="shared" si="8"/>
        <v>2.6059999999999999</v>
      </c>
      <c r="G1042" s="2">
        <f t="shared" si="9"/>
        <v>2.6059999999999999</v>
      </c>
    </row>
    <row r="1043" spans="1:7" ht="14.25" customHeight="1">
      <c r="A1043" s="2" t="s">
        <v>15</v>
      </c>
      <c r="B1043" s="2">
        <v>2004</v>
      </c>
      <c r="C1043" s="2" t="s">
        <v>55</v>
      </c>
      <c r="D1043" s="2">
        <v>2437</v>
      </c>
      <c r="E1043" s="3">
        <f t="shared" si="8"/>
        <v>2.4369999999999998</v>
      </c>
      <c r="G1043" s="2">
        <f t="shared" si="9"/>
        <v>2.4369999999999998</v>
      </c>
    </row>
    <row r="1044" spans="1:7" ht="14.25" customHeight="1">
      <c r="A1044" s="2" t="s">
        <v>15</v>
      </c>
      <c r="B1044" s="2">
        <v>2005</v>
      </c>
      <c r="C1044" s="2" t="s">
        <v>55</v>
      </c>
      <c r="D1044" s="2">
        <v>2264</v>
      </c>
      <c r="E1044" s="3">
        <f t="shared" si="8"/>
        <v>2.2639999999999998</v>
      </c>
      <c r="G1044" s="2">
        <f t="shared" si="9"/>
        <v>2.2639999999999998</v>
      </c>
    </row>
    <row r="1045" spans="1:7" ht="14.25" customHeight="1">
      <c r="A1045" s="2" t="s">
        <v>15</v>
      </c>
      <c r="B1045" s="2">
        <v>2006</v>
      </c>
      <c r="C1045" s="2" t="s">
        <v>55</v>
      </c>
      <c r="D1045" s="2">
        <v>2394.0700000000002</v>
      </c>
      <c r="E1045" s="3">
        <f t="shared" si="8"/>
        <v>2.3940700000000001</v>
      </c>
      <c r="G1045" s="2">
        <f t="shared" si="9"/>
        <v>2.3940700000000001</v>
      </c>
    </row>
    <row r="1046" spans="1:7" ht="14.25" customHeight="1">
      <c r="A1046" s="2" t="s">
        <v>15</v>
      </c>
      <c r="B1046" s="2">
        <v>2007</v>
      </c>
      <c r="C1046" s="2" t="s">
        <v>55</v>
      </c>
      <c r="D1046" s="2">
        <v>2472.9699999999998</v>
      </c>
      <c r="E1046" s="3">
        <f t="shared" si="8"/>
        <v>2.4729699999999997</v>
      </c>
      <c r="G1046" s="2">
        <f t="shared" si="9"/>
        <v>2.4729699999999997</v>
      </c>
    </row>
    <row r="1047" spans="1:7" ht="14.25" customHeight="1">
      <c r="A1047" s="2" t="s">
        <v>15</v>
      </c>
      <c r="B1047" s="2">
        <v>2008</v>
      </c>
      <c r="C1047" s="2" t="s">
        <v>55</v>
      </c>
      <c r="D1047" s="2">
        <v>2075.08</v>
      </c>
      <c r="E1047" s="3">
        <f t="shared" si="8"/>
        <v>2.0750799999999998</v>
      </c>
      <c r="G1047" s="2">
        <f t="shared" si="9"/>
        <v>2.0750799999999998</v>
      </c>
    </row>
    <row r="1048" spans="1:7" ht="14.25" customHeight="1">
      <c r="A1048" s="2" t="s">
        <v>15</v>
      </c>
      <c r="B1048" s="2">
        <v>2009</v>
      </c>
      <c r="C1048" s="2" t="s">
        <v>55</v>
      </c>
      <c r="D1048" s="2">
        <v>2256.14</v>
      </c>
      <c r="E1048" s="3">
        <f t="shared" si="8"/>
        <v>2.2561399999999998</v>
      </c>
      <c r="G1048" s="2">
        <f t="shared" si="9"/>
        <v>2.2561399999999998</v>
      </c>
    </row>
    <row r="1049" spans="1:7" ht="14.25" customHeight="1">
      <c r="A1049" s="2" t="s">
        <v>15</v>
      </c>
      <c r="B1049" s="2">
        <v>2010</v>
      </c>
      <c r="C1049" s="2" t="s">
        <v>55</v>
      </c>
      <c r="D1049" s="2">
        <v>2237.9</v>
      </c>
      <c r="E1049" s="3">
        <f t="shared" si="8"/>
        <v>2.2379000000000002</v>
      </c>
      <c r="G1049" s="2">
        <f t="shared" si="9"/>
        <v>2.2379000000000002</v>
      </c>
    </row>
    <row r="1050" spans="1:7" ht="14.25" customHeight="1">
      <c r="A1050" s="2" t="s">
        <v>15</v>
      </c>
      <c r="B1050" s="2">
        <v>2011</v>
      </c>
      <c r="C1050" s="2" t="s">
        <v>55</v>
      </c>
      <c r="D1050" s="2">
        <v>2050.5</v>
      </c>
      <c r="E1050" s="3">
        <f t="shared" si="8"/>
        <v>2.0505</v>
      </c>
      <c r="G1050" s="2">
        <f t="shared" si="9"/>
        <v>2.0505</v>
      </c>
    </row>
    <row r="1051" spans="1:7" ht="14.25" customHeight="1">
      <c r="A1051" s="2" t="s">
        <v>15</v>
      </c>
      <c r="B1051" s="2">
        <v>2012</v>
      </c>
      <c r="C1051" s="2" t="s">
        <v>55</v>
      </c>
      <c r="D1051" s="2">
        <v>2845.7</v>
      </c>
      <c r="E1051" s="3">
        <f t="shared" si="8"/>
        <v>2.8456999999999999</v>
      </c>
      <c r="G1051" s="2">
        <f t="shared" si="9"/>
        <v>2.8456999999999999</v>
      </c>
    </row>
    <row r="1052" spans="1:7" ht="14.25" customHeight="1">
      <c r="A1052" s="2" t="s">
        <v>15</v>
      </c>
      <c r="B1052" s="2">
        <v>2013</v>
      </c>
      <c r="C1052" s="2" t="s">
        <v>55</v>
      </c>
      <c r="D1052" s="2">
        <v>2986.58</v>
      </c>
      <c r="E1052" s="3">
        <f t="shared" si="8"/>
        <v>2.98658</v>
      </c>
      <c r="G1052" s="2">
        <f t="shared" si="9"/>
        <v>2.98658</v>
      </c>
    </row>
    <row r="1053" spans="1:7" ht="14.25" customHeight="1">
      <c r="A1053" s="2" t="s">
        <v>15</v>
      </c>
      <c r="B1053" s="2">
        <v>2014</v>
      </c>
      <c r="C1053" s="2" t="s">
        <v>55</v>
      </c>
      <c r="D1053" s="2">
        <v>2836.43</v>
      </c>
      <c r="E1053" s="3">
        <f t="shared" si="8"/>
        <v>2.83643</v>
      </c>
      <c r="G1053" s="2">
        <f t="shared" si="9"/>
        <v>2.83643</v>
      </c>
    </row>
    <row r="1054" spans="1:7" ht="14.25" customHeight="1">
      <c r="A1054" s="2" t="s">
        <v>15</v>
      </c>
      <c r="B1054" s="2">
        <v>2015</v>
      </c>
      <c r="C1054" s="2" t="s">
        <v>55</v>
      </c>
      <c r="D1054" s="2">
        <v>2285.9499999999998</v>
      </c>
      <c r="E1054" s="3">
        <f t="shared" si="8"/>
        <v>2.2859499999999997</v>
      </c>
      <c r="G1054" s="2">
        <f t="shared" si="9"/>
        <v>2.2859499999999997</v>
      </c>
    </row>
    <row r="1055" spans="1:7" ht="14.25" customHeight="1">
      <c r="A1055" s="2" t="s">
        <v>15</v>
      </c>
      <c r="B1055" s="2">
        <v>2016</v>
      </c>
      <c r="C1055" s="2" t="s">
        <v>55</v>
      </c>
      <c r="D1055" s="2">
        <v>2489.17</v>
      </c>
      <c r="E1055" s="3">
        <f t="shared" si="8"/>
        <v>2.4891700000000001</v>
      </c>
      <c r="G1055" s="2">
        <f t="shared" si="9"/>
        <v>2.4891700000000001</v>
      </c>
    </row>
    <row r="1056" spans="1:7" ht="14.25" customHeight="1">
      <c r="A1056" s="2" t="s">
        <v>15</v>
      </c>
      <c r="B1056" s="2">
        <v>2017</v>
      </c>
      <c r="C1056" s="2" t="s">
        <v>55</v>
      </c>
      <c r="D1056" s="2">
        <v>1984.3</v>
      </c>
      <c r="E1056" s="3">
        <f t="shared" si="8"/>
        <v>1.9843</v>
      </c>
      <c r="G1056" s="2">
        <f t="shared" si="9"/>
        <v>1.9843</v>
      </c>
    </row>
    <row r="1057" spans="1:7" ht="14.25" customHeight="1">
      <c r="A1057" s="2" t="s">
        <v>15</v>
      </c>
      <c r="B1057" s="2">
        <v>2018</v>
      </c>
      <c r="C1057" s="2" t="s">
        <v>55</v>
      </c>
      <c r="D1057" s="2">
        <v>1765.3579999999999</v>
      </c>
      <c r="E1057" s="3">
        <f t="shared" si="8"/>
        <v>1.765358</v>
      </c>
      <c r="G1057" s="2">
        <f t="shared" si="9"/>
        <v>1.765358</v>
      </c>
    </row>
    <row r="1058" spans="1:7" ht="14.25" customHeight="1">
      <c r="A1058" s="2" t="s">
        <v>15</v>
      </c>
      <c r="B1058" s="2">
        <v>1903</v>
      </c>
      <c r="C1058" s="2" t="s">
        <v>56</v>
      </c>
      <c r="D1058" s="2">
        <v>11986</v>
      </c>
      <c r="E1058" s="3">
        <f t="shared" si="8"/>
        <v>11.986000000000001</v>
      </c>
      <c r="G1058" s="2">
        <f t="shared" si="9"/>
        <v>11.986000000000001</v>
      </c>
    </row>
    <row r="1059" spans="1:7" ht="14.25" customHeight="1">
      <c r="A1059" s="2" t="s">
        <v>15</v>
      </c>
      <c r="B1059" s="2">
        <v>1904</v>
      </c>
      <c r="C1059" s="2" t="s">
        <v>56</v>
      </c>
      <c r="D1059" s="2">
        <v>14507</v>
      </c>
      <c r="E1059" s="3">
        <f t="shared" si="8"/>
        <v>14.507</v>
      </c>
      <c r="G1059" s="2">
        <f t="shared" si="9"/>
        <v>14.507</v>
      </c>
    </row>
    <row r="1060" spans="1:7" ht="14.25" customHeight="1">
      <c r="A1060" s="2" t="s">
        <v>15</v>
      </c>
      <c r="B1060" s="2">
        <v>1905</v>
      </c>
      <c r="C1060" s="2" t="s">
        <v>56</v>
      </c>
      <c r="D1060" s="2">
        <v>16501</v>
      </c>
      <c r="E1060" s="3">
        <f t="shared" si="8"/>
        <v>16.501000000000001</v>
      </c>
      <c r="G1060" s="2">
        <f t="shared" si="9"/>
        <v>16.501000000000001</v>
      </c>
    </row>
    <row r="1061" spans="1:7" ht="14.25" customHeight="1">
      <c r="A1061" s="2" t="s">
        <v>15</v>
      </c>
      <c r="B1061" s="2">
        <v>1906</v>
      </c>
      <c r="C1061" s="2" t="s">
        <v>56</v>
      </c>
      <c r="D1061" s="2">
        <v>16120</v>
      </c>
      <c r="E1061" s="3">
        <f t="shared" si="8"/>
        <v>16.12</v>
      </c>
      <c r="G1061" s="2">
        <f t="shared" si="9"/>
        <v>16.12</v>
      </c>
    </row>
    <row r="1062" spans="1:7" ht="14.25" customHeight="1">
      <c r="A1062" s="2" t="s">
        <v>15</v>
      </c>
      <c r="B1062" s="2">
        <v>1907</v>
      </c>
      <c r="C1062" s="2" t="s">
        <v>56</v>
      </c>
      <c r="D1062" s="2">
        <v>16551</v>
      </c>
      <c r="E1062" s="3">
        <f t="shared" si="8"/>
        <v>16.550999999999998</v>
      </c>
      <c r="G1062" s="2">
        <f t="shared" si="9"/>
        <v>16.550999999999998</v>
      </c>
    </row>
    <row r="1063" spans="1:7" ht="14.25" customHeight="1">
      <c r="A1063" s="2" t="s">
        <v>15</v>
      </c>
      <c r="B1063" s="2">
        <v>1908</v>
      </c>
      <c r="C1063" s="2" t="s">
        <v>56</v>
      </c>
      <c r="D1063" s="2">
        <v>22593</v>
      </c>
      <c r="E1063" s="3">
        <f t="shared" si="8"/>
        <v>22.593</v>
      </c>
      <c r="G1063" s="2">
        <f t="shared" si="9"/>
        <v>22.593</v>
      </c>
    </row>
    <row r="1064" spans="1:7" ht="14.25" customHeight="1">
      <c r="A1064" s="2" t="s">
        <v>15</v>
      </c>
      <c r="B1064" s="2">
        <v>1909</v>
      </c>
      <c r="C1064" s="2" t="s">
        <v>56</v>
      </c>
      <c r="D1064" s="2">
        <v>21626</v>
      </c>
      <c r="E1064" s="3">
        <f t="shared" si="8"/>
        <v>21.626000000000001</v>
      </c>
      <c r="G1064" s="2">
        <f t="shared" si="9"/>
        <v>21.626000000000001</v>
      </c>
    </row>
    <row r="1065" spans="1:7" ht="14.25" customHeight="1">
      <c r="A1065" s="2" t="s">
        <v>15</v>
      </c>
      <c r="B1065" s="2">
        <v>1910</v>
      </c>
      <c r="C1065" s="2" t="s">
        <v>56</v>
      </c>
      <c r="D1065" s="2">
        <v>22267</v>
      </c>
      <c r="E1065" s="3">
        <f t="shared" si="8"/>
        <v>22.266999999999999</v>
      </c>
      <c r="G1065" s="2">
        <f t="shared" si="9"/>
        <v>22.266999999999999</v>
      </c>
    </row>
    <row r="1066" spans="1:7" ht="14.25" customHeight="1">
      <c r="A1066" s="2" t="s">
        <v>15</v>
      </c>
      <c r="B1066" s="2">
        <v>1911</v>
      </c>
      <c r="C1066" s="2" t="s">
        <v>56</v>
      </c>
      <c r="D1066" s="2">
        <v>24576</v>
      </c>
      <c r="E1066" s="3">
        <f t="shared" si="8"/>
        <v>24.576000000000001</v>
      </c>
      <c r="G1066" s="2">
        <f t="shared" si="9"/>
        <v>24.576000000000001</v>
      </c>
    </row>
    <row r="1067" spans="1:7" ht="14.25" customHeight="1">
      <c r="A1067" s="2" t="s">
        <v>15</v>
      </c>
      <c r="B1067" s="2">
        <v>1912</v>
      </c>
      <c r="C1067" s="2" t="s">
        <v>56</v>
      </c>
      <c r="D1067" s="2">
        <v>21217</v>
      </c>
      <c r="E1067" s="3">
        <f t="shared" si="8"/>
        <v>21.216999999999999</v>
      </c>
      <c r="G1067" s="2">
        <f t="shared" si="9"/>
        <v>21.216999999999999</v>
      </c>
    </row>
    <row r="1068" spans="1:7" ht="14.25" customHeight="1">
      <c r="A1068" s="2" t="s">
        <v>15</v>
      </c>
      <c r="B1068" s="2">
        <v>1913</v>
      </c>
      <c r="C1068" s="2" t="s">
        <v>56</v>
      </c>
      <c r="D1068" s="2">
        <v>24288</v>
      </c>
      <c r="E1068" s="3">
        <f t="shared" si="8"/>
        <v>24.288</v>
      </c>
      <c r="G1068" s="2">
        <f t="shared" si="9"/>
        <v>24.288</v>
      </c>
    </row>
    <row r="1069" spans="1:7" ht="14.25" customHeight="1">
      <c r="A1069" s="2" t="s">
        <v>15</v>
      </c>
      <c r="B1069" s="2">
        <v>1914</v>
      </c>
      <c r="C1069" s="2" t="s">
        <v>56</v>
      </c>
      <c r="D1069" s="2">
        <v>24767</v>
      </c>
      <c r="E1069" s="3">
        <f t="shared" si="8"/>
        <v>24.766999999999999</v>
      </c>
      <c r="G1069" s="2">
        <f t="shared" si="9"/>
        <v>24.766999999999999</v>
      </c>
    </row>
    <row r="1070" spans="1:7" ht="14.25" customHeight="1">
      <c r="A1070" s="2" t="s">
        <v>15</v>
      </c>
      <c r="B1070" s="2">
        <v>1915</v>
      </c>
      <c r="C1070" s="2" t="s">
        <v>56</v>
      </c>
      <c r="D1070" s="2">
        <v>7091</v>
      </c>
      <c r="E1070" s="3">
        <f t="shared" si="8"/>
        <v>7.0910000000000002</v>
      </c>
      <c r="G1070" s="2">
        <f t="shared" si="9"/>
        <v>7.0910000000000002</v>
      </c>
    </row>
    <row r="1071" spans="1:7" ht="14.25" customHeight="1">
      <c r="A1071" s="2" t="s">
        <v>15</v>
      </c>
      <c r="B1071" s="2">
        <v>1916</v>
      </c>
      <c r="C1071" s="2" t="s">
        <v>56</v>
      </c>
      <c r="D1071" s="2">
        <v>4705</v>
      </c>
      <c r="E1071" s="3">
        <f t="shared" si="8"/>
        <v>4.7050000000000001</v>
      </c>
      <c r="G1071" s="2">
        <f t="shared" si="9"/>
        <v>4.7050000000000001</v>
      </c>
    </row>
    <row r="1072" spans="1:7" ht="14.25" customHeight="1">
      <c r="A1072" s="2" t="s">
        <v>15</v>
      </c>
      <c r="B1072" s="2">
        <v>1917</v>
      </c>
      <c r="C1072" s="2" t="s">
        <v>56</v>
      </c>
      <c r="D1072" s="2">
        <v>2712</v>
      </c>
      <c r="E1072" s="3">
        <f t="shared" si="8"/>
        <v>2.7120000000000002</v>
      </c>
      <c r="G1072" s="2">
        <f t="shared" si="9"/>
        <v>2.7120000000000002</v>
      </c>
    </row>
    <row r="1073" spans="1:7" ht="14.25" customHeight="1">
      <c r="A1073" s="2" t="s">
        <v>15</v>
      </c>
      <c r="B1073" s="2">
        <v>1918</v>
      </c>
      <c r="C1073" s="2" t="s">
        <v>56</v>
      </c>
      <c r="D1073" s="2">
        <v>2522</v>
      </c>
      <c r="E1073" s="3">
        <f t="shared" si="8"/>
        <v>2.5219999999999998</v>
      </c>
      <c r="G1073" s="2">
        <f t="shared" si="9"/>
        <v>2.5219999999999998</v>
      </c>
    </row>
    <row r="1074" spans="1:7" ht="14.25" customHeight="1">
      <c r="A1074" s="2" t="s">
        <v>15</v>
      </c>
      <c r="B1074" s="2">
        <v>1919</v>
      </c>
      <c r="C1074" s="2" t="s">
        <v>56</v>
      </c>
      <c r="D1074" s="2">
        <v>9971</v>
      </c>
      <c r="E1074" s="3">
        <f t="shared" si="8"/>
        <v>9.9710000000000001</v>
      </c>
      <c r="G1074" s="2">
        <f t="shared" si="9"/>
        <v>9.9710000000000001</v>
      </c>
    </row>
    <row r="1075" spans="1:7" ht="14.25" customHeight="1">
      <c r="A1075" s="2" t="s">
        <v>15</v>
      </c>
      <c r="B1075" s="2">
        <v>1920</v>
      </c>
      <c r="C1075" s="2" t="s">
        <v>56</v>
      </c>
      <c r="D1075" s="2">
        <v>15811</v>
      </c>
      <c r="E1075" s="3">
        <f t="shared" si="8"/>
        <v>15.811</v>
      </c>
      <c r="G1075" s="2">
        <f t="shared" si="9"/>
        <v>15.811</v>
      </c>
    </row>
    <row r="1076" spans="1:7" ht="14.25" customHeight="1">
      <c r="A1076" s="2" t="s">
        <v>15</v>
      </c>
      <c r="B1076" s="2">
        <v>1921</v>
      </c>
      <c r="C1076" s="2" t="s">
        <v>56</v>
      </c>
      <c r="D1076" s="2">
        <v>16120</v>
      </c>
      <c r="E1076" s="3">
        <f t="shared" si="8"/>
        <v>16.12</v>
      </c>
      <c r="G1076" s="2">
        <f t="shared" si="9"/>
        <v>16.12</v>
      </c>
    </row>
    <row r="1077" spans="1:7" ht="14.25" customHeight="1">
      <c r="A1077" s="2" t="s">
        <v>15</v>
      </c>
      <c r="B1077" s="2">
        <v>1922</v>
      </c>
      <c r="C1077" s="2" t="s">
        <v>56</v>
      </c>
      <c r="D1077" s="2">
        <v>21756</v>
      </c>
      <c r="E1077" s="3">
        <f t="shared" si="8"/>
        <v>21.756</v>
      </c>
      <c r="G1077" s="2">
        <f t="shared" si="9"/>
        <v>21.756</v>
      </c>
    </row>
    <row r="1078" spans="1:7" ht="14.25" customHeight="1">
      <c r="A1078" s="2" t="s">
        <v>15</v>
      </c>
      <c r="B1078" s="2">
        <v>1923</v>
      </c>
      <c r="C1078" s="2" t="s">
        <v>56</v>
      </c>
      <c r="D1078" s="2">
        <v>15289</v>
      </c>
      <c r="E1078" s="3">
        <f t="shared" si="8"/>
        <v>15.289</v>
      </c>
      <c r="G1078" s="2">
        <f t="shared" si="9"/>
        <v>15.289</v>
      </c>
    </row>
    <row r="1079" spans="1:7" ht="14.25" customHeight="1">
      <c r="A1079" s="2" t="s">
        <v>15</v>
      </c>
      <c r="B1079" s="2">
        <v>1924</v>
      </c>
      <c r="C1079" s="2" t="s">
        <v>56</v>
      </c>
      <c r="D1079" s="2">
        <v>14788</v>
      </c>
      <c r="E1079" s="3">
        <f t="shared" si="8"/>
        <v>14.788</v>
      </c>
      <c r="G1079" s="2">
        <f t="shared" si="9"/>
        <v>14.788</v>
      </c>
    </row>
    <row r="1080" spans="1:7" ht="14.25" customHeight="1">
      <c r="A1080" s="2" t="s">
        <v>15</v>
      </c>
      <c r="B1080" s="2">
        <v>1925</v>
      </c>
      <c r="C1080" s="2" t="s">
        <v>56</v>
      </c>
      <c r="D1080" s="2">
        <v>15586</v>
      </c>
      <c r="E1080" s="3">
        <f t="shared" si="8"/>
        <v>15.586</v>
      </c>
      <c r="G1080" s="2">
        <f t="shared" si="9"/>
        <v>15.586</v>
      </c>
    </row>
    <row r="1081" spans="1:7" ht="14.25" customHeight="1">
      <c r="A1081" s="2" t="s">
        <v>15</v>
      </c>
      <c r="B1081" s="2">
        <v>1926</v>
      </c>
      <c r="C1081" s="2" t="s">
        <v>56</v>
      </c>
      <c r="D1081" s="2">
        <v>12243</v>
      </c>
      <c r="E1081" s="3">
        <f t="shared" si="8"/>
        <v>12.243</v>
      </c>
      <c r="G1081" s="2">
        <f t="shared" si="9"/>
        <v>12.243</v>
      </c>
    </row>
    <row r="1082" spans="1:7" ht="14.25" customHeight="1">
      <c r="A1082" s="2" t="s">
        <v>15</v>
      </c>
      <c r="B1082" s="2">
        <v>1927</v>
      </c>
      <c r="C1082" s="2" t="s">
        <v>56</v>
      </c>
      <c r="D1082" s="2">
        <v>14393</v>
      </c>
      <c r="E1082" s="3">
        <f t="shared" si="8"/>
        <v>14.393000000000001</v>
      </c>
      <c r="G1082" s="2">
        <f t="shared" si="9"/>
        <v>14.393000000000001</v>
      </c>
    </row>
    <row r="1083" spans="1:7" ht="14.25" customHeight="1">
      <c r="A1083" s="2" t="s">
        <v>15</v>
      </c>
      <c r="B1083" s="2">
        <v>1928</v>
      </c>
      <c r="C1083" s="2" t="s">
        <v>56</v>
      </c>
      <c r="D1083" s="2">
        <v>13627</v>
      </c>
      <c r="E1083" s="3">
        <f t="shared" si="8"/>
        <v>13.627000000000001</v>
      </c>
      <c r="G1083" s="2">
        <f t="shared" si="9"/>
        <v>13.627000000000001</v>
      </c>
    </row>
    <row r="1084" spans="1:7" ht="14.25" customHeight="1">
      <c r="A1084" s="2" t="s">
        <v>15</v>
      </c>
      <c r="B1084" s="2">
        <v>1929</v>
      </c>
      <c r="C1084" s="2" t="s">
        <v>56</v>
      </c>
      <c r="D1084" s="2">
        <v>14511</v>
      </c>
      <c r="E1084" s="3">
        <f t="shared" si="8"/>
        <v>14.510999999999999</v>
      </c>
      <c r="G1084" s="2">
        <f t="shared" si="9"/>
        <v>14.510999999999999</v>
      </c>
    </row>
    <row r="1085" spans="1:7" ht="14.25" customHeight="1">
      <c r="A1085" s="2" t="s">
        <v>15</v>
      </c>
      <c r="B1085" s="2">
        <v>1930</v>
      </c>
      <c r="C1085" s="2" t="s">
        <v>56</v>
      </c>
      <c r="D1085" s="2">
        <v>15604</v>
      </c>
      <c r="E1085" s="3">
        <f t="shared" si="8"/>
        <v>15.603999999999999</v>
      </c>
      <c r="G1085" s="2">
        <f t="shared" si="9"/>
        <v>15.603999999999999</v>
      </c>
    </row>
    <row r="1086" spans="1:7" ht="14.25" customHeight="1">
      <c r="A1086" s="2" t="s">
        <v>15</v>
      </c>
      <c r="B1086" s="2">
        <v>1931</v>
      </c>
      <c r="C1086" s="2" t="s">
        <v>56</v>
      </c>
      <c r="D1086" s="2">
        <v>14158</v>
      </c>
      <c r="E1086" s="3">
        <f t="shared" si="8"/>
        <v>14.157999999999999</v>
      </c>
      <c r="G1086" s="2">
        <f t="shared" si="9"/>
        <v>14.157999999999999</v>
      </c>
    </row>
    <row r="1087" spans="1:7" ht="14.25" customHeight="1">
      <c r="A1087" s="2" t="s">
        <v>15</v>
      </c>
      <c r="B1087" s="2">
        <v>1932</v>
      </c>
      <c r="C1087" s="2" t="s">
        <v>56</v>
      </c>
      <c r="D1087" s="2">
        <v>16108</v>
      </c>
      <c r="E1087" s="3">
        <f t="shared" si="8"/>
        <v>16.108000000000001</v>
      </c>
      <c r="G1087" s="2">
        <f t="shared" si="9"/>
        <v>16.108000000000001</v>
      </c>
    </row>
    <row r="1088" spans="1:7" ht="14.25" customHeight="1">
      <c r="A1088" s="2" t="s">
        <v>15</v>
      </c>
      <c r="B1088" s="2">
        <v>1933</v>
      </c>
      <c r="C1088" s="2" t="s">
        <v>56</v>
      </c>
      <c r="D1088" s="2">
        <v>16233</v>
      </c>
      <c r="E1088" s="3">
        <f t="shared" si="8"/>
        <v>16.233000000000001</v>
      </c>
      <c r="G1088" s="2">
        <f t="shared" si="9"/>
        <v>16.233000000000001</v>
      </c>
    </row>
    <row r="1089" spans="1:7" ht="14.25" customHeight="1">
      <c r="A1089" s="2" t="s">
        <v>15</v>
      </c>
      <c r="B1089" s="2">
        <v>1934</v>
      </c>
      <c r="C1089" s="2" t="s">
        <v>56</v>
      </c>
      <c r="D1089" s="2">
        <v>16162</v>
      </c>
      <c r="E1089" s="3">
        <f t="shared" si="8"/>
        <v>16.161999999999999</v>
      </c>
      <c r="G1089" s="2">
        <f t="shared" si="9"/>
        <v>16.161999999999999</v>
      </c>
    </row>
    <row r="1090" spans="1:7" ht="14.25" customHeight="1">
      <c r="A1090" s="2" t="s">
        <v>15</v>
      </c>
      <c r="B1090" s="2">
        <v>1935</v>
      </c>
      <c r="C1090" s="2" t="s">
        <v>56</v>
      </c>
      <c r="D1090" s="2">
        <v>13472</v>
      </c>
      <c r="E1090" s="3">
        <f t="shared" si="8"/>
        <v>13.472</v>
      </c>
      <c r="G1090" s="2">
        <f t="shared" si="9"/>
        <v>13.472</v>
      </c>
    </row>
    <row r="1091" spans="1:7" ht="14.25" customHeight="1">
      <c r="A1091" s="2" t="s">
        <v>15</v>
      </c>
      <c r="B1091" s="2">
        <v>1936</v>
      </c>
      <c r="C1091" s="2" t="s">
        <v>56</v>
      </c>
      <c r="D1091" s="2">
        <v>13577</v>
      </c>
      <c r="E1091" s="3">
        <f t="shared" si="8"/>
        <v>13.577</v>
      </c>
      <c r="G1091" s="2">
        <f t="shared" si="9"/>
        <v>13.577</v>
      </c>
    </row>
    <row r="1092" spans="1:7" ht="14.25" customHeight="1">
      <c r="A1092" s="2" t="s">
        <v>15</v>
      </c>
      <c r="B1092" s="2">
        <v>1937</v>
      </c>
      <c r="C1092" s="2" t="s">
        <v>56</v>
      </c>
      <c r="D1092" s="2">
        <v>12100</v>
      </c>
      <c r="E1092" s="3">
        <f t="shared" si="8"/>
        <v>12.1</v>
      </c>
      <c r="G1092" s="2">
        <f t="shared" si="9"/>
        <v>12.1</v>
      </c>
    </row>
    <row r="1093" spans="1:7" ht="14.25" customHeight="1">
      <c r="A1093" s="2" t="s">
        <v>15</v>
      </c>
      <c r="B1093" s="2">
        <v>1938</v>
      </c>
      <c r="C1093" s="2" t="s">
        <v>56</v>
      </c>
      <c r="D1093" s="2">
        <v>11970</v>
      </c>
      <c r="E1093" s="3">
        <f t="shared" si="8"/>
        <v>11.97</v>
      </c>
      <c r="G1093" s="2">
        <f t="shared" si="9"/>
        <v>11.97</v>
      </c>
    </row>
    <row r="1094" spans="1:7" ht="14.25" customHeight="1">
      <c r="A1094" s="2" t="s">
        <v>15</v>
      </c>
      <c r="B1094" s="2">
        <v>1939</v>
      </c>
      <c r="C1094" s="2" t="s">
        <v>56</v>
      </c>
      <c r="D1094" s="2">
        <v>10225</v>
      </c>
      <c r="E1094" s="3">
        <f t="shared" si="8"/>
        <v>10.225</v>
      </c>
      <c r="G1094" s="2">
        <f t="shared" si="9"/>
        <v>10.225</v>
      </c>
    </row>
    <row r="1095" spans="1:7" ht="14.25" customHeight="1">
      <c r="A1095" s="2" t="s">
        <v>15</v>
      </c>
      <c r="B1095" s="2">
        <v>1940</v>
      </c>
      <c r="C1095" s="2" t="s">
        <v>56</v>
      </c>
      <c r="D1095" s="2">
        <v>4880</v>
      </c>
      <c r="E1095" s="3">
        <f t="shared" si="8"/>
        <v>4.88</v>
      </c>
      <c r="G1095" s="2">
        <f t="shared" si="9"/>
        <v>4.88</v>
      </c>
    </row>
    <row r="1096" spans="1:7" ht="14.25" customHeight="1">
      <c r="A1096" s="2" t="s">
        <v>15</v>
      </c>
      <c r="B1096" s="2">
        <v>1941</v>
      </c>
      <c r="C1096" s="2" t="s">
        <v>56</v>
      </c>
      <c r="D1096" s="2">
        <v>5412</v>
      </c>
      <c r="E1096" s="3">
        <f t="shared" si="8"/>
        <v>5.4119999999999999</v>
      </c>
      <c r="G1096" s="2">
        <f t="shared" si="9"/>
        <v>5.4119999999999999</v>
      </c>
    </row>
    <row r="1097" spans="1:7" ht="14.25" customHeight="1">
      <c r="A1097" s="2" t="s">
        <v>15</v>
      </c>
      <c r="B1097" s="2">
        <v>1942</v>
      </c>
      <c r="C1097" s="2" t="s">
        <v>56</v>
      </c>
      <c r="D1097" s="2">
        <v>6118</v>
      </c>
      <c r="E1097" s="3">
        <f t="shared" si="8"/>
        <v>6.1180000000000003</v>
      </c>
      <c r="G1097" s="2">
        <f t="shared" si="9"/>
        <v>6.1180000000000003</v>
      </c>
    </row>
    <row r="1098" spans="1:7" ht="14.25" customHeight="1">
      <c r="A1098" s="2" t="s">
        <v>15</v>
      </c>
      <c r="B1098" s="2">
        <v>1943</v>
      </c>
      <c r="C1098" s="2" t="s">
        <v>56</v>
      </c>
      <c r="D1098" s="2">
        <v>5472</v>
      </c>
      <c r="E1098" s="3">
        <f t="shared" si="8"/>
        <v>5.4720000000000004</v>
      </c>
      <c r="G1098" s="2">
        <f t="shared" si="9"/>
        <v>5.4720000000000004</v>
      </c>
    </row>
    <row r="1099" spans="1:7" ht="14.25" customHeight="1">
      <c r="A1099" s="2" t="s">
        <v>15</v>
      </c>
      <c r="B1099" s="2">
        <v>1944</v>
      </c>
      <c r="C1099" s="2" t="s">
        <v>56</v>
      </c>
      <c r="D1099" s="2">
        <v>6202</v>
      </c>
      <c r="E1099" s="3">
        <f t="shared" si="8"/>
        <v>6.202</v>
      </c>
      <c r="G1099" s="2">
        <f t="shared" si="9"/>
        <v>6.202</v>
      </c>
    </row>
    <row r="1100" spans="1:7" ht="14.25" customHeight="1">
      <c r="A1100" s="2" t="s">
        <v>15</v>
      </c>
      <c r="B1100" s="2">
        <v>1945</v>
      </c>
      <c r="C1100" s="2" t="s">
        <v>56</v>
      </c>
      <c r="D1100" s="2">
        <v>6620</v>
      </c>
      <c r="E1100" s="3">
        <f t="shared" si="8"/>
        <v>6.62</v>
      </c>
      <c r="G1100" s="2">
        <f t="shared" si="9"/>
        <v>6.62</v>
      </c>
    </row>
    <row r="1101" spans="1:7" ht="14.25" customHeight="1">
      <c r="A1101" s="2" t="s">
        <v>15</v>
      </c>
      <c r="B1101" s="2">
        <v>1946</v>
      </c>
      <c r="C1101" s="2" t="s">
        <v>56</v>
      </c>
      <c r="D1101" s="2">
        <v>10267</v>
      </c>
      <c r="E1101" s="3">
        <f t="shared" si="8"/>
        <v>10.266999999999999</v>
      </c>
      <c r="G1101" s="2">
        <f t="shared" si="9"/>
        <v>10.266999999999999</v>
      </c>
    </row>
    <row r="1102" spans="1:7" ht="14.25" customHeight="1">
      <c r="A1102" s="2" t="s">
        <v>15</v>
      </c>
      <c r="B1102" s="2">
        <v>1947</v>
      </c>
      <c r="C1102" s="2" t="s">
        <v>56</v>
      </c>
      <c r="D1102" s="2">
        <v>14713</v>
      </c>
      <c r="E1102" s="3">
        <f t="shared" si="8"/>
        <v>14.712999999999999</v>
      </c>
      <c r="G1102" s="2">
        <f t="shared" si="9"/>
        <v>14.712999999999999</v>
      </c>
    </row>
    <row r="1103" spans="1:7" ht="14.25" customHeight="1">
      <c r="A1103" s="2" t="s">
        <v>15</v>
      </c>
      <c r="B1103" s="2">
        <v>1948</v>
      </c>
      <c r="C1103" s="2" t="s">
        <v>56</v>
      </c>
      <c r="D1103" s="2">
        <v>14139</v>
      </c>
      <c r="E1103" s="3">
        <f t="shared" si="8"/>
        <v>14.138999999999999</v>
      </c>
      <c r="G1103" s="2">
        <f t="shared" si="9"/>
        <v>14.138999999999999</v>
      </c>
    </row>
    <row r="1104" spans="1:7" ht="14.25" customHeight="1">
      <c r="A1104" s="2" t="s">
        <v>15</v>
      </c>
      <c r="B1104" s="2">
        <v>1949</v>
      </c>
      <c r="C1104" s="2" t="s">
        <v>56</v>
      </c>
      <c r="D1104" s="2">
        <v>12731</v>
      </c>
      <c r="E1104" s="3">
        <f t="shared" si="8"/>
        <v>12.731</v>
      </c>
      <c r="G1104" s="2">
        <f t="shared" si="9"/>
        <v>12.731</v>
      </c>
    </row>
    <row r="1105" spans="1:7" ht="14.25" customHeight="1">
      <c r="A1105" s="2" t="s">
        <v>15</v>
      </c>
      <c r="B1105" s="2">
        <v>1950</v>
      </c>
      <c r="C1105" s="2" t="s">
        <v>56</v>
      </c>
      <c r="D1105" s="2">
        <v>11104</v>
      </c>
      <c r="E1105" s="3">
        <f t="shared" si="8"/>
        <v>11.103999999999999</v>
      </c>
      <c r="G1105" s="2">
        <f t="shared" si="9"/>
        <v>11.103999999999999</v>
      </c>
    </row>
    <row r="1106" spans="1:7" ht="14.25" customHeight="1">
      <c r="A1106" s="2" t="s">
        <v>15</v>
      </c>
      <c r="B1106" s="2">
        <v>1951</v>
      </c>
      <c r="C1106" s="2" t="s">
        <v>56</v>
      </c>
      <c r="D1106" s="2">
        <v>11914</v>
      </c>
      <c r="E1106" s="3">
        <f t="shared" si="8"/>
        <v>11.914</v>
      </c>
      <c r="G1106" s="2">
        <f t="shared" si="9"/>
        <v>11.914</v>
      </c>
    </row>
    <row r="1107" spans="1:7" ht="14.25" customHeight="1">
      <c r="A1107" s="2" t="s">
        <v>15</v>
      </c>
      <c r="B1107" s="2">
        <v>1952</v>
      </c>
      <c r="C1107" s="2" t="s">
        <v>56</v>
      </c>
      <c r="D1107" s="2">
        <v>10800</v>
      </c>
      <c r="E1107" s="3">
        <f t="shared" si="8"/>
        <v>10.8</v>
      </c>
      <c r="G1107" s="2">
        <f t="shared" si="9"/>
        <v>10.8</v>
      </c>
    </row>
    <row r="1108" spans="1:7" ht="14.25" customHeight="1">
      <c r="A1108" s="2" t="s">
        <v>15</v>
      </c>
      <c r="B1108" s="2">
        <v>1953</v>
      </c>
      <c r="C1108" s="2" t="s">
        <v>56</v>
      </c>
      <c r="D1108" s="2">
        <v>10630</v>
      </c>
      <c r="E1108" s="3">
        <f t="shared" si="8"/>
        <v>10.63</v>
      </c>
      <c r="G1108" s="2">
        <f t="shared" si="9"/>
        <v>10.63</v>
      </c>
    </row>
    <row r="1109" spans="1:7" ht="14.25" customHeight="1">
      <c r="A1109" s="2" t="s">
        <v>15</v>
      </c>
      <c r="B1109" s="2">
        <v>1954</v>
      </c>
      <c r="C1109" s="2" t="s">
        <v>56</v>
      </c>
      <c r="D1109" s="2">
        <v>9512</v>
      </c>
      <c r="E1109" s="3">
        <f t="shared" si="8"/>
        <v>9.5120000000000005</v>
      </c>
      <c r="G1109" s="2">
        <f t="shared" si="9"/>
        <v>9.5120000000000005</v>
      </c>
    </row>
    <row r="1110" spans="1:7" ht="14.25" customHeight="1">
      <c r="A1110" s="2" t="s">
        <v>15</v>
      </c>
      <c r="B1110" s="2">
        <v>1955</v>
      </c>
      <c r="C1110" s="2" t="s">
        <v>56</v>
      </c>
      <c r="D1110" s="2">
        <v>8987</v>
      </c>
      <c r="E1110" s="3">
        <f t="shared" si="8"/>
        <v>8.9870000000000001</v>
      </c>
      <c r="G1110" s="2">
        <f t="shared" si="9"/>
        <v>8.9870000000000001</v>
      </c>
    </row>
    <row r="1111" spans="1:7" ht="14.25" customHeight="1">
      <c r="A1111" s="2" t="s">
        <v>15</v>
      </c>
      <c r="B1111" s="2">
        <v>1956</v>
      </c>
      <c r="C1111" s="2" t="s">
        <v>56</v>
      </c>
      <c r="D1111" s="2">
        <v>9021</v>
      </c>
      <c r="E1111" s="3">
        <f t="shared" si="8"/>
        <v>9.0210000000000008</v>
      </c>
      <c r="G1111" s="2">
        <f t="shared" si="9"/>
        <v>9.0210000000000008</v>
      </c>
    </row>
    <row r="1112" spans="1:7" ht="14.25" customHeight="1">
      <c r="A1112" s="2" t="s">
        <v>15</v>
      </c>
      <c r="B1112" s="2">
        <v>1957</v>
      </c>
      <c r="C1112" s="2" t="s">
        <v>56</v>
      </c>
      <c r="D1112" s="2">
        <v>9733</v>
      </c>
      <c r="E1112" s="3">
        <f t="shared" si="8"/>
        <v>9.7330000000000005</v>
      </c>
      <c r="G1112" s="2">
        <f t="shared" si="9"/>
        <v>9.7330000000000005</v>
      </c>
    </row>
    <row r="1113" spans="1:7" ht="14.25" customHeight="1">
      <c r="A1113" s="2" t="s">
        <v>15</v>
      </c>
      <c r="B1113" s="2">
        <v>1958</v>
      </c>
      <c r="C1113" s="2" t="s">
        <v>56</v>
      </c>
      <c r="D1113" s="2">
        <v>10215</v>
      </c>
      <c r="E1113" s="3">
        <f t="shared" si="8"/>
        <v>10.215</v>
      </c>
      <c r="G1113" s="2">
        <f t="shared" si="9"/>
        <v>10.215</v>
      </c>
    </row>
    <row r="1114" spans="1:7" ht="14.25" customHeight="1">
      <c r="A1114" s="2" t="s">
        <v>15</v>
      </c>
      <c r="B1114" s="2">
        <v>1959</v>
      </c>
      <c r="C1114" s="2" t="s">
        <v>56</v>
      </c>
      <c r="D1114" s="2">
        <v>8111</v>
      </c>
      <c r="E1114" s="3">
        <f t="shared" si="8"/>
        <v>8.1110000000000007</v>
      </c>
      <c r="G1114" s="2">
        <f t="shared" si="9"/>
        <v>8.1110000000000007</v>
      </c>
    </row>
    <row r="1115" spans="1:7" ht="14.25" customHeight="1">
      <c r="A1115" s="2" t="s">
        <v>15</v>
      </c>
      <c r="B1115" s="2">
        <v>1960</v>
      </c>
      <c r="C1115" s="2" t="s">
        <v>56</v>
      </c>
      <c r="D1115" s="2">
        <v>7627</v>
      </c>
      <c r="E1115" s="3">
        <f t="shared" si="8"/>
        <v>7.6269999999999998</v>
      </c>
      <c r="G1115" s="2">
        <f t="shared" si="9"/>
        <v>7.6269999999999998</v>
      </c>
    </row>
    <row r="1116" spans="1:7" ht="14.25" customHeight="1">
      <c r="A1116" s="2" t="s">
        <v>15</v>
      </c>
      <c r="B1116" s="2">
        <v>1961</v>
      </c>
      <c r="C1116" s="2" t="s">
        <v>56</v>
      </c>
      <c r="D1116" s="2">
        <v>6905</v>
      </c>
      <c r="E1116" s="3">
        <f t="shared" si="8"/>
        <v>6.9050000000000002</v>
      </c>
      <c r="G1116" s="2">
        <f t="shared" si="9"/>
        <v>6.9050000000000002</v>
      </c>
    </row>
    <row r="1117" spans="1:7" ht="14.25" customHeight="1">
      <c r="A1117" s="2" t="s">
        <v>15</v>
      </c>
      <c r="B1117" s="2">
        <v>1962</v>
      </c>
      <c r="C1117" s="2" t="s">
        <v>56</v>
      </c>
      <c r="D1117" s="2">
        <v>5952</v>
      </c>
      <c r="E1117" s="3">
        <f t="shared" si="8"/>
        <v>5.952</v>
      </c>
      <c r="G1117" s="2">
        <f t="shared" si="9"/>
        <v>5.952</v>
      </c>
    </row>
    <row r="1118" spans="1:7" ht="14.25" customHeight="1">
      <c r="A1118" s="2" t="s">
        <v>15</v>
      </c>
      <c r="B1118" s="2">
        <v>1963</v>
      </c>
      <c r="C1118" s="2" t="s">
        <v>56</v>
      </c>
      <c r="D1118" s="2">
        <v>5009</v>
      </c>
      <c r="E1118" s="3">
        <f t="shared" si="8"/>
        <v>5.0090000000000003</v>
      </c>
      <c r="G1118" s="2">
        <f t="shared" si="9"/>
        <v>5.0090000000000003</v>
      </c>
    </row>
    <row r="1119" spans="1:7" ht="14.25" customHeight="1">
      <c r="A1119" s="2" t="s">
        <v>15</v>
      </c>
      <c r="B1119" s="2">
        <v>1964</v>
      </c>
      <c r="C1119" s="2" t="s">
        <v>56</v>
      </c>
      <c r="D1119" s="2">
        <v>5627</v>
      </c>
      <c r="E1119" s="3">
        <f t="shared" si="8"/>
        <v>5.6269999999999998</v>
      </c>
      <c r="G1119" s="2">
        <f t="shared" si="9"/>
        <v>5.6269999999999998</v>
      </c>
    </row>
    <row r="1120" spans="1:7" ht="14.25" customHeight="1">
      <c r="A1120" s="2" t="s">
        <v>15</v>
      </c>
      <c r="B1120" s="2">
        <v>1965</v>
      </c>
      <c r="C1120" s="2" t="s">
        <v>56</v>
      </c>
      <c r="D1120" s="2">
        <v>6242</v>
      </c>
      <c r="E1120" s="3">
        <f t="shared" si="8"/>
        <v>6.242</v>
      </c>
      <c r="G1120" s="2">
        <f t="shared" si="9"/>
        <v>6.242</v>
      </c>
    </row>
    <row r="1121" spans="1:7" ht="14.25" customHeight="1">
      <c r="A1121" s="2" t="s">
        <v>15</v>
      </c>
      <c r="B1121" s="2">
        <v>1966</v>
      </c>
      <c r="C1121" s="2" t="s">
        <v>56</v>
      </c>
      <c r="D1121" s="2">
        <v>4711</v>
      </c>
      <c r="E1121" s="3">
        <f t="shared" si="8"/>
        <v>4.7110000000000003</v>
      </c>
      <c r="G1121" s="2">
        <f t="shared" si="9"/>
        <v>4.7110000000000003</v>
      </c>
    </row>
    <row r="1122" spans="1:7" ht="14.25" customHeight="1">
      <c r="A1122" s="2" t="s">
        <v>15</v>
      </c>
      <c r="B1122" s="2">
        <v>1967</v>
      </c>
      <c r="C1122" s="2" t="s">
        <v>56</v>
      </c>
      <c r="D1122" s="2">
        <v>4707</v>
      </c>
      <c r="E1122" s="3">
        <f t="shared" si="8"/>
        <v>4.7069999999999999</v>
      </c>
      <c r="G1122" s="2">
        <f t="shared" si="9"/>
        <v>4.7069999999999999</v>
      </c>
    </row>
    <row r="1123" spans="1:7" ht="14.25" customHeight="1">
      <c r="A1123" s="2" t="s">
        <v>15</v>
      </c>
      <c r="B1123" s="2">
        <v>1968</v>
      </c>
      <c r="C1123" s="2" t="s">
        <v>56</v>
      </c>
      <c r="D1123" s="2">
        <v>4053</v>
      </c>
      <c r="E1123" s="3">
        <f t="shared" si="8"/>
        <v>4.0529999999999999</v>
      </c>
      <c r="G1123" s="2">
        <f t="shared" si="9"/>
        <v>4.0529999999999999</v>
      </c>
    </row>
    <row r="1124" spans="1:7" ht="14.25" customHeight="1">
      <c r="A1124" s="2" t="s">
        <v>15</v>
      </c>
      <c r="B1124" s="2">
        <v>1969</v>
      </c>
      <c r="C1124" s="2" t="s">
        <v>56</v>
      </c>
      <c r="D1124" s="2">
        <v>3326</v>
      </c>
      <c r="E1124" s="3">
        <f t="shared" si="8"/>
        <v>3.3260000000000001</v>
      </c>
      <c r="G1124" s="2">
        <f t="shared" si="9"/>
        <v>3.3260000000000001</v>
      </c>
    </row>
    <row r="1125" spans="1:7" ht="14.25" customHeight="1">
      <c r="A1125" s="2" t="s">
        <v>15</v>
      </c>
      <c r="B1125" s="2">
        <v>1970</v>
      </c>
      <c r="C1125" s="2" t="s">
        <v>56</v>
      </c>
      <c r="D1125" s="2">
        <v>4085</v>
      </c>
      <c r="E1125" s="3">
        <f t="shared" si="8"/>
        <v>4.085</v>
      </c>
      <c r="G1125" s="2">
        <f t="shared" si="9"/>
        <v>4.085</v>
      </c>
    </row>
    <row r="1126" spans="1:7" ht="14.25" customHeight="1">
      <c r="A1126" s="2" t="s">
        <v>15</v>
      </c>
      <c r="B1126" s="2">
        <v>1971</v>
      </c>
      <c r="C1126" s="2" t="s">
        <v>56</v>
      </c>
      <c r="D1126" s="2">
        <v>4825</v>
      </c>
      <c r="E1126" s="3">
        <f t="shared" si="8"/>
        <v>4.8250000000000002</v>
      </c>
      <c r="G1126" s="2">
        <f t="shared" si="9"/>
        <v>4.8250000000000002</v>
      </c>
    </row>
    <row r="1127" spans="1:7" ht="14.25" customHeight="1">
      <c r="A1127" s="2" t="s">
        <v>15</v>
      </c>
      <c r="B1127" s="2">
        <v>1972</v>
      </c>
      <c r="C1127" s="2" t="s">
        <v>56</v>
      </c>
      <c r="D1127" s="2">
        <v>5337</v>
      </c>
      <c r="E1127" s="3">
        <f t="shared" si="8"/>
        <v>5.3369999999999997</v>
      </c>
      <c r="G1127" s="2">
        <f t="shared" si="9"/>
        <v>5.3369999999999997</v>
      </c>
    </row>
    <row r="1128" spans="1:7" ht="14.25" customHeight="1">
      <c r="A1128" s="2" t="s">
        <v>15</v>
      </c>
      <c r="B1128" s="2">
        <v>1973</v>
      </c>
      <c r="C1128" s="2" t="s">
        <v>56</v>
      </c>
      <c r="D1128" s="2">
        <v>4335</v>
      </c>
      <c r="E1128" s="3">
        <f t="shared" si="8"/>
        <v>4.335</v>
      </c>
      <c r="G1128" s="2">
        <f t="shared" si="9"/>
        <v>4.335</v>
      </c>
    </row>
    <row r="1129" spans="1:7" ht="14.25" customHeight="1">
      <c r="A1129" s="2" t="s">
        <v>15</v>
      </c>
      <c r="B1129" s="2">
        <v>1974</v>
      </c>
      <c r="C1129" s="2" t="s">
        <v>56</v>
      </c>
      <c r="D1129" s="2">
        <v>3679</v>
      </c>
      <c r="E1129" s="3">
        <f t="shared" si="8"/>
        <v>3.6789999999999998</v>
      </c>
      <c r="G1129" s="2">
        <f t="shared" si="9"/>
        <v>3.6789999999999998</v>
      </c>
    </row>
    <row r="1130" spans="1:7" ht="14.25" customHeight="1">
      <c r="A1130" s="2" t="s">
        <v>15</v>
      </c>
      <c r="B1130" s="2">
        <v>1975</v>
      </c>
      <c r="C1130" s="2" t="s">
        <v>56</v>
      </c>
      <c r="D1130" s="2">
        <v>3591</v>
      </c>
      <c r="E1130" s="3">
        <f t="shared" si="8"/>
        <v>3.5910000000000002</v>
      </c>
      <c r="G1130" s="2">
        <f t="shared" si="9"/>
        <v>3.5910000000000002</v>
      </c>
    </row>
    <row r="1131" spans="1:7" ht="14.25" customHeight="1">
      <c r="A1131" s="2" t="s">
        <v>15</v>
      </c>
      <c r="B1131" s="2">
        <v>1976</v>
      </c>
      <c r="C1131" s="2" t="s">
        <v>56</v>
      </c>
      <c r="D1131" s="2">
        <v>3977</v>
      </c>
      <c r="E1131" s="3">
        <f t="shared" si="8"/>
        <v>3.9769999999999999</v>
      </c>
      <c r="G1131" s="2">
        <f t="shared" si="9"/>
        <v>3.9769999999999999</v>
      </c>
    </row>
    <row r="1132" spans="1:7" ht="14.25" customHeight="1">
      <c r="A1132" s="2" t="s">
        <v>15</v>
      </c>
      <c r="B1132" s="2">
        <v>1977</v>
      </c>
      <c r="C1132" s="2" t="s">
        <v>56</v>
      </c>
      <c r="D1132" s="2">
        <v>4533</v>
      </c>
      <c r="E1132" s="3">
        <f t="shared" si="8"/>
        <v>4.5330000000000004</v>
      </c>
      <c r="G1132" s="2">
        <f t="shared" si="9"/>
        <v>4.5330000000000004</v>
      </c>
    </row>
    <row r="1133" spans="1:7" ht="14.25" customHeight="1">
      <c r="A1133" s="2" t="s">
        <v>15</v>
      </c>
      <c r="B1133" s="2">
        <v>1978</v>
      </c>
      <c r="C1133" s="2" t="s">
        <v>56</v>
      </c>
      <c r="D1133" s="2">
        <v>4521</v>
      </c>
      <c r="E1133" s="3">
        <f t="shared" si="8"/>
        <v>4.5209999999999999</v>
      </c>
      <c r="G1133" s="2">
        <f t="shared" si="9"/>
        <v>4.5209999999999999</v>
      </c>
    </row>
    <row r="1134" spans="1:7" ht="14.25" customHeight="1">
      <c r="A1134" s="2" t="s">
        <v>15</v>
      </c>
      <c r="B1134" s="2">
        <v>1979</v>
      </c>
      <c r="C1134" s="2" t="s">
        <v>56</v>
      </c>
      <c r="D1134" s="2">
        <v>3984</v>
      </c>
      <c r="E1134" s="3">
        <f t="shared" si="8"/>
        <v>3.984</v>
      </c>
      <c r="G1134" s="2">
        <f t="shared" si="9"/>
        <v>3.984</v>
      </c>
    </row>
    <row r="1135" spans="1:7" ht="14.25" customHeight="1">
      <c r="A1135" s="2" t="s">
        <v>15</v>
      </c>
      <c r="B1135" s="2">
        <v>1980</v>
      </c>
      <c r="C1135" s="2" t="s">
        <v>56</v>
      </c>
      <c r="D1135" s="2">
        <v>3694</v>
      </c>
      <c r="E1135" s="3">
        <f t="shared" si="8"/>
        <v>3.694</v>
      </c>
      <c r="G1135" s="2">
        <f t="shared" si="9"/>
        <v>3.694</v>
      </c>
    </row>
    <row r="1136" spans="1:7" ht="14.25" customHeight="1">
      <c r="A1136" s="2" t="s">
        <v>15</v>
      </c>
      <c r="B1136" s="2">
        <v>1981</v>
      </c>
      <c r="C1136" s="2" t="s">
        <v>56</v>
      </c>
      <c r="D1136" s="2">
        <v>4296</v>
      </c>
      <c r="E1136" s="3">
        <f t="shared" si="8"/>
        <v>4.2960000000000003</v>
      </c>
      <c r="G1136" s="2">
        <f t="shared" si="9"/>
        <v>4.2960000000000003</v>
      </c>
    </row>
    <row r="1137" spans="1:7" ht="14.25" customHeight="1">
      <c r="A1137" s="2" t="s">
        <v>15</v>
      </c>
      <c r="B1137" s="2">
        <v>1982</v>
      </c>
      <c r="C1137" s="2" t="s">
        <v>56</v>
      </c>
      <c r="D1137" s="2">
        <v>3985</v>
      </c>
      <c r="E1137" s="3">
        <f t="shared" si="8"/>
        <v>3.9849999999999999</v>
      </c>
      <c r="G1137" s="2">
        <f t="shared" si="9"/>
        <v>3.9849999999999999</v>
      </c>
    </row>
    <row r="1138" spans="1:7" ht="14.25" customHeight="1">
      <c r="A1138" s="2" t="s">
        <v>15</v>
      </c>
      <c r="B1138" s="2">
        <v>1983</v>
      </c>
      <c r="C1138" s="2" t="s">
        <v>56</v>
      </c>
      <c r="D1138" s="2">
        <v>3624</v>
      </c>
      <c r="E1138" s="3">
        <f t="shared" si="8"/>
        <v>3.6240000000000001</v>
      </c>
      <c r="G1138" s="2">
        <f t="shared" si="9"/>
        <v>3.6240000000000001</v>
      </c>
    </row>
    <row r="1139" spans="1:7" ht="14.25" customHeight="1">
      <c r="A1139" s="2" t="s">
        <v>15</v>
      </c>
      <c r="B1139" s="2">
        <v>1984</v>
      </c>
      <c r="C1139" s="2" t="s">
        <v>56</v>
      </c>
      <c r="D1139" s="2">
        <v>4001</v>
      </c>
      <c r="E1139" s="3">
        <f t="shared" si="8"/>
        <v>4.0010000000000003</v>
      </c>
      <c r="G1139" s="2">
        <f t="shared" si="9"/>
        <v>4.0010000000000003</v>
      </c>
    </row>
    <row r="1140" spans="1:7" ht="14.25" customHeight="1">
      <c r="A1140" s="2" t="s">
        <v>15</v>
      </c>
      <c r="B1140" s="2">
        <v>1985</v>
      </c>
      <c r="C1140" s="2" t="s">
        <v>56</v>
      </c>
      <c r="D1140" s="2">
        <v>5325</v>
      </c>
      <c r="E1140" s="3">
        <f t="shared" si="8"/>
        <v>5.3250000000000002</v>
      </c>
      <c r="G1140" s="2">
        <f t="shared" si="9"/>
        <v>5.3250000000000002</v>
      </c>
    </row>
    <row r="1141" spans="1:7" ht="14.25" customHeight="1">
      <c r="A1141" s="2" t="s">
        <v>15</v>
      </c>
      <c r="B1141" s="2">
        <v>1986</v>
      </c>
      <c r="C1141" s="2" t="s">
        <v>56</v>
      </c>
      <c r="D1141" s="2">
        <v>5132</v>
      </c>
      <c r="E1141" s="3">
        <f t="shared" si="8"/>
        <v>5.1319999999999997</v>
      </c>
      <c r="G1141" s="2">
        <f t="shared" si="9"/>
        <v>5.1319999999999997</v>
      </c>
    </row>
    <row r="1142" spans="1:7" ht="14.25" customHeight="1">
      <c r="A1142" s="2" t="s">
        <v>15</v>
      </c>
      <c r="B1142" s="2">
        <v>1987</v>
      </c>
      <c r="C1142" s="2" t="s">
        <v>56</v>
      </c>
      <c r="D1142" s="2">
        <v>7538</v>
      </c>
      <c r="E1142" s="3">
        <f t="shared" si="8"/>
        <v>7.5380000000000003</v>
      </c>
      <c r="G1142" s="2">
        <f t="shared" si="9"/>
        <v>7.5380000000000003</v>
      </c>
    </row>
    <row r="1143" spans="1:7" ht="14.25" customHeight="1">
      <c r="A1143" s="2" t="s">
        <v>15</v>
      </c>
      <c r="B1143" s="2">
        <v>1988</v>
      </c>
      <c r="C1143" s="2" t="s">
        <v>56</v>
      </c>
      <c r="D1143" s="2">
        <v>8848</v>
      </c>
      <c r="E1143" s="3">
        <f t="shared" si="8"/>
        <v>8.8480000000000008</v>
      </c>
      <c r="G1143" s="2">
        <f t="shared" si="9"/>
        <v>8.8480000000000008</v>
      </c>
    </row>
    <row r="1144" spans="1:7" ht="14.25" customHeight="1">
      <c r="A1144" s="2" t="s">
        <v>15</v>
      </c>
      <c r="B1144" s="2">
        <v>1989</v>
      </c>
      <c r="C1144" s="2" t="s">
        <v>56</v>
      </c>
      <c r="D1144" s="2">
        <v>6550</v>
      </c>
      <c r="E1144" s="3">
        <f t="shared" si="8"/>
        <v>6.55</v>
      </c>
      <c r="G1144" s="2">
        <f t="shared" si="9"/>
        <v>6.55</v>
      </c>
    </row>
    <row r="1145" spans="1:7" ht="14.25" customHeight="1">
      <c r="A1145" s="2" t="s">
        <v>15</v>
      </c>
      <c r="B1145" s="2">
        <v>1990</v>
      </c>
      <c r="C1145" s="2" t="s">
        <v>56</v>
      </c>
      <c r="D1145" s="2">
        <v>5570</v>
      </c>
      <c r="E1145" s="3">
        <f t="shared" si="8"/>
        <v>5.57</v>
      </c>
      <c r="G1145" s="2">
        <f t="shared" si="9"/>
        <v>5.57</v>
      </c>
    </row>
    <row r="1146" spans="1:7" ht="14.25" customHeight="1">
      <c r="A1146" s="2" t="s">
        <v>15</v>
      </c>
      <c r="B1146" s="2">
        <v>1991</v>
      </c>
      <c r="C1146" s="2" t="s">
        <v>56</v>
      </c>
      <c r="D1146" s="2">
        <v>6535</v>
      </c>
      <c r="E1146" s="3">
        <f t="shared" si="8"/>
        <v>6.5350000000000001</v>
      </c>
      <c r="G1146" s="2">
        <f t="shared" si="9"/>
        <v>6.5350000000000001</v>
      </c>
    </row>
    <row r="1147" spans="1:7" ht="14.25" customHeight="1">
      <c r="A1147" s="2" t="s">
        <v>15</v>
      </c>
      <c r="B1147" s="2">
        <v>1992</v>
      </c>
      <c r="C1147" s="2" t="s">
        <v>56</v>
      </c>
      <c r="D1147" s="2">
        <v>7919</v>
      </c>
      <c r="E1147" s="3">
        <f t="shared" si="8"/>
        <v>7.9189999999999996</v>
      </c>
      <c r="G1147" s="2">
        <f t="shared" si="9"/>
        <v>7.9189999999999996</v>
      </c>
    </row>
    <row r="1148" spans="1:7" ht="14.25" customHeight="1">
      <c r="A1148" s="2" t="s">
        <v>15</v>
      </c>
      <c r="B1148" s="2">
        <v>1993</v>
      </c>
      <c r="C1148" s="2" t="s">
        <v>56</v>
      </c>
      <c r="D1148" s="2">
        <v>10747</v>
      </c>
      <c r="E1148" s="3">
        <f t="shared" si="8"/>
        <v>10.747</v>
      </c>
      <c r="G1148" s="2">
        <f t="shared" si="9"/>
        <v>10.747</v>
      </c>
    </row>
    <row r="1149" spans="1:7" ht="14.25" customHeight="1">
      <c r="A1149" s="2" t="s">
        <v>15</v>
      </c>
      <c r="B1149" s="2">
        <v>1994</v>
      </c>
      <c r="C1149" s="2" t="s">
        <v>56</v>
      </c>
      <c r="D1149" s="2">
        <v>11752</v>
      </c>
      <c r="E1149" s="3">
        <f t="shared" si="8"/>
        <v>11.752000000000001</v>
      </c>
      <c r="G1149" s="2">
        <f t="shared" si="9"/>
        <v>11.752000000000001</v>
      </c>
    </row>
    <row r="1150" spans="1:7" ht="14.25" customHeight="1">
      <c r="A1150" s="2" t="s">
        <v>15</v>
      </c>
      <c r="B1150" s="2">
        <v>1995</v>
      </c>
      <c r="C1150" s="2" t="s">
        <v>56</v>
      </c>
      <c r="D1150" s="2">
        <v>14695</v>
      </c>
      <c r="E1150" s="3">
        <f t="shared" si="8"/>
        <v>14.695</v>
      </c>
      <c r="G1150" s="2">
        <f t="shared" si="9"/>
        <v>14.695</v>
      </c>
    </row>
    <row r="1151" spans="1:7" ht="14.25" customHeight="1">
      <c r="A1151" s="2" t="s">
        <v>15</v>
      </c>
      <c r="B1151" s="2">
        <v>1996</v>
      </c>
      <c r="C1151" s="2" t="s">
        <v>56</v>
      </c>
      <c r="D1151" s="2">
        <v>13944</v>
      </c>
      <c r="E1151" s="3">
        <f t="shared" si="8"/>
        <v>13.944000000000001</v>
      </c>
      <c r="G1151" s="2">
        <f t="shared" si="9"/>
        <v>13.944000000000001</v>
      </c>
    </row>
    <row r="1152" spans="1:7" ht="14.25" customHeight="1">
      <c r="A1152" s="2" t="s">
        <v>15</v>
      </c>
      <c r="B1152" s="2">
        <v>1997</v>
      </c>
      <c r="C1152" s="2" t="s">
        <v>56</v>
      </c>
      <c r="D1152" s="2">
        <v>12926</v>
      </c>
      <c r="E1152" s="3">
        <f t="shared" si="8"/>
        <v>12.926</v>
      </c>
      <c r="G1152" s="2">
        <f t="shared" si="9"/>
        <v>12.926</v>
      </c>
    </row>
    <row r="1153" spans="1:7" ht="14.25" customHeight="1">
      <c r="A1153" s="2" t="s">
        <v>15</v>
      </c>
      <c r="B1153" s="2">
        <v>1998</v>
      </c>
      <c r="C1153" s="2" t="s">
        <v>56</v>
      </c>
      <c r="D1153" s="2">
        <v>13594</v>
      </c>
      <c r="E1153" s="3">
        <f t="shared" si="8"/>
        <v>13.593999999999999</v>
      </c>
      <c r="G1153" s="2">
        <f t="shared" si="9"/>
        <v>13.593999999999999</v>
      </c>
    </row>
    <row r="1154" spans="1:7" ht="14.25" customHeight="1">
      <c r="A1154" s="2" t="s">
        <v>15</v>
      </c>
      <c r="B1154" s="2">
        <v>1999</v>
      </c>
      <c r="C1154" s="2" t="s">
        <v>56</v>
      </c>
      <c r="D1154" s="2">
        <v>11350</v>
      </c>
      <c r="E1154" s="3">
        <f t="shared" si="8"/>
        <v>11.35</v>
      </c>
      <c r="G1154" s="2">
        <f t="shared" si="9"/>
        <v>11.35</v>
      </c>
    </row>
    <row r="1155" spans="1:7" ht="14.25" customHeight="1">
      <c r="A1155" s="2" t="s">
        <v>15</v>
      </c>
      <c r="B1155" s="2">
        <v>2000</v>
      </c>
      <c r="C1155" s="2" t="s">
        <v>56</v>
      </c>
      <c r="D1155" s="2">
        <v>9244</v>
      </c>
      <c r="E1155" s="3">
        <f t="shared" si="8"/>
        <v>9.2439999999999998</v>
      </c>
      <c r="G1155" s="2">
        <f t="shared" si="9"/>
        <v>9.2439999999999998</v>
      </c>
    </row>
    <row r="1156" spans="1:7" ht="14.25" customHeight="1">
      <c r="A1156" s="2" t="s">
        <v>15</v>
      </c>
      <c r="B1156" s="2">
        <v>2001</v>
      </c>
      <c r="C1156" s="2" t="s">
        <v>56</v>
      </c>
      <c r="D1156" s="2">
        <v>8096</v>
      </c>
      <c r="E1156" s="3">
        <f t="shared" si="8"/>
        <v>8.0960000000000001</v>
      </c>
      <c r="G1156" s="2">
        <f t="shared" si="9"/>
        <v>8.0960000000000001</v>
      </c>
    </row>
    <row r="1157" spans="1:7" ht="14.25" customHeight="1">
      <c r="A1157" s="2" t="s">
        <v>15</v>
      </c>
      <c r="B1157" s="2">
        <v>2002</v>
      </c>
      <c r="C1157" s="2" t="s">
        <v>56</v>
      </c>
      <c r="D1157" s="2">
        <v>8466</v>
      </c>
      <c r="E1157" s="3">
        <f t="shared" si="8"/>
        <v>8.4659999999999993</v>
      </c>
      <c r="G1157" s="2">
        <f t="shared" si="9"/>
        <v>8.4659999999999993</v>
      </c>
    </row>
    <row r="1158" spans="1:7" ht="14.25" customHeight="1">
      <c r="A1158" s="2" t="s">
        <v>15</v>
      </c>
      <c r="B1158" s="2">
        <v>2003</v>
      </c>
      <c r="C1158" s="2" t="s">
        <v>56</v>
      </c>
      <c r="D1158" s="2">
        <v>5035</v>
      </c>
      <c r="E1158" s="3">
        <f t="shared" si="8"/>
        <v>5.0350000000000001</v>
      </c>
      <c r="G1158" s="2">
        <f t="shared" si="9"/>
        <v>5.0350000000000001</v>
      </c>
    </row>
    <row r="1159" spans="1:7" ht="14.25" customHeight="1">
      <c r="A1159" s="2" t="s">
        <v>15</v>
      </c>
      <c r="B1159" s="2">
        <v>2004</v>
      </c>
      <c r="C1159" s="2" t="s">
        <v>56</v>
      </c>
      <c r="D1159" s="2">
        <v>4711</v>
      </c>
      <c r="E1159" s="3">
        <f t="shared" si="8"/>
        <v>4.7110000000000003</v>
      </c>
      <c r="G1159" s="2">
        <f t="shared" si="9"/>
        <v>4.7110000000000003</v>
      </c>
    </row>
    <row r="1160" spans="1:7" ht="14.25" customHeight="1">
      <c r="A1160" s="2" t="s">
        <v>15</v>
      </c>
      <c r="B1160" s="2">
        <v>2005</v>
      </c>
      <c r="C1160" s="2" t="s">
        <v>56</v>
      </c>
      <c r="D1160" s="2">
        <v>3696</v>
      </c>
      <c r="E1160" s="3">
        <f t="shared" si="8"/>
        <v>3.6960000000000002</v>
      </c>
      <c r="G1160" s="2">
        <f t="shared" si="9"/>
        <v>3.6960000000000002</v>
      </c>
    </row>
    <row r="1161" spans="1:7" ht="14.25" customHeight="1">
      <c r="A1161" s="2" t="s">
        <v>15</v>
      </c>
      <c r="B1161" s="2">
        <v>2006</v>
      </c>
      <c r="C1161" s="2" t="s">
        <v>56</v>
      </c>
      <c r="D1161" s="2">
        <v>3542.1</v>
      </c>
      <c r="E1161" s="3">
        <f t="shared" si="8"/>
        <v>3.5421</v>
      </c>
      <c r="G1161" s="2">
        <f t="shared" si="9"/>
        <v>3.5421</v>
      </c>
    </row>
    <row r="1162" spans="1:7" ht="14.25" customHeight="1">
      <c r="A1162" s="2" t="s">
        <v>15</v>
      </c>
      <c r="B1162" s="2">
        <v>2007</v>
      </c>
      <c r="C1162" s="2" t="s">
        <v>56</v>
      </c>
      <c r="D1162" s="2">
        <v>3336.82</v>
      </c>
      <c r="E1162" s="3">
        <f t="shared" si="8"/>
        <v>3.3368200000000003</v>
      </c>
      <c r="G1162" s="2">
        <f t="shared" si="9"/>
        <v>3.3368200000000003</v>
      </c>
    </row>
    <row r="1163" spans="1:7" ht="14.25" customHeight="1">
      <c r="A1163" s="2" t="s">
        <v>15</v>
      </c>
      <c r="B1163" s="2">
        <v>2008</v>
      </c>
      <c r="C1163" s="2" t="s">
        <v>56</v>
      </c>
      <c r="D1163" s="2">
        <v>3268.07</v>
      </c>
      <c r="E1163" s="3">
        <f t="shared" si="8"/>
        <v>3.2680700000000003</v>
      </c>
      <c r="G1163" s="2">
        <f t="shared" si="9"/>
        <v>3.2680700000000003</v>
      </c>
    </row>
    <row r="1164" spans="1:7" ht="14.25" customHeight="1">
      <c r="A1164" s="2" t="s">
        <v>15</v>
      </c>
      <c r="B1164" s="2">
        <v>2009</v>
      </c>
      <c r="C1164" s="2" t="s">
        <v>56</v>
      </c>
      <c r="D1164" s="2">
        <v>4253.41</v>
      </c>
      <c r="E1164" s="3">
        <f t="shared" si="8"/>
        <v>4.2534099999999997</v>
      </c>
      <c r="G1164" s="2">
        <f t="shared" si="9"/>
        <v>4.2534099999999997</v>
      </c>
    </row>
    <row r="1165" spans="1:7" ht="14.25" customHeight="1">
      <c r="A1165" s="2" t="s">
        <v>15</v>
      </c>
      <c r="B1165" s="2">
        <v>2010</v>
      </c>
      <c r="C1165" s="2" t="s">
        <v>56</v>
      </c>
      <c r="D1165" s="2">
        <v>4471</v>
      </c>
      <c r="E1165" s="3">
        <f t="shared" si="8"/>
        <v>4.4710000000000001</v>
      </c>
      <c r="G1165" s="2">
        <f t="shared" si="9"/>
        <v>4.4710000000000001</v>
      </c>
    </row>
    <row r="1166" spans="1:7" ht="14.25" customHeight="1">
      <c r="A1166" s="2" t="s">
        <v>15</v>
      </c>
      <c r="B1166" s="2">
        <v>2011</v>
      </c>
      <c r="C1166" s="2" t="s">
        <v>56</v>
      </c>
      <c r="D1166" s="2">
        <v>4737.63</v>
      </c>
      <c r="E1166" s="3">
        <f t="shared" si="8"/>
        <v>4.7376300000000002</v>
      </c>
      <c r="G1166" s="2">
        <f t="shared" si="9"/>
        <v>4.7376300000000002</v>
      </c>
    </row>
    <row r="1167" spans="1:7" ht="14.25" customHeight="1">
      <c r="A1167" s="2" t="s">
        <v>15</v>
      </c>
      <c r="B1167" s="2">
        <v>2012</v>
      </c>
      <c r="C1167" s="2" t="s">
        <v>56</v>
      </c>
      <c r="D1167" s="2">
        <v>4665.3</v>
      </c>
      <c r="E1167" s="3">
        <f t="shared" si="8"/>
        <v>4.6653000000000002</v>
      </c>
      <c r="G1167" s="2">
        <f t="shared" si="9"/>
        <v>4.6653000000000002</v>
      </c>
    </row>
    <row r="1168" spans="1:7" ht="14.25" customHeight="1">
      <c r="A1168" s="2" t="s">
        <v>15</v>
      </c>
      <c r="B1168" s="2">
        <v>2013</v>
      </c>
      <c r="C1168" s="2" t="s">
        <v>56</v>
      </c>
      <c r="D1168" s="2">
        <v>4590.3599999999997</v>
      </c>
      <c r="E1168" s="3">
        <f t="shared" si="8"/>
        <v>4.5903599999999996</v>
      </c>
      <c r="G1168" s="2">
        <f t="shared" si="9"/>
        <v>4.5903599999999996</v>
      </c>
    </row>
    <row r="1169" spans="1:7" ht="14.25" customHeight="1">
      <c r="A1169" s="2" t="s">
        <v>15</v>
      </c>
      <c r="B1169" s="2">
        <v>2014</v>
      </c>
      <c r="C1169" s="2" t="s">
        <v>56</v>
      </c>
      <c r="D1169" s="2">
        <v>4872.2299999999996</v>
      </c>
      <c r="E1169" s="3">
        <f t="shared" si="8"/>
        <v>4.8722299999999992</v>
      </c>
      <c r="G1169" s="2">
        <f t="shared" si="9"/>
        <v>4.8722299999999992</v>
      </c>
    </row>
    <row r="1170" spans="1:7" ht="14.25" customHeight="1">
      <c r="A1170" s="2" t="s">
        <v>15</v>
      </c>
      <c r="B1170" s="2">
        <v>2015</v>
      </c>
      <c r="C1170" s="2" t="s">
        <v>56</v>
      </c>
      <c r="D1170" s="2">
        <v>4579.46</v>
      </c>
      <c r="E1170" s="3">
        <f t="shared" si="8"/>
        <v>4.5794600000000001</v>
      </c>
      <c r="G1170" s="2">
        <f t="shared" si="9"/>
        <v>4.5794600000000001</v>
      </c>
    </row>
    <row r="1171" spans="1:7" ht="14.25" customHeight="1">
      <c r="A1171" s="2" t="s">
        <v>15</v>
      </c>
      <c r="B1171" s="2">
        <v>2016</v>
      </c>
      <c r="C1171" s="2" t="s">
        <v>56</v>
      </c>
      <c r="D1171" s="2">
        <v>5444.59</v>
      </c>
      <c r="E1171" s="3">
        <f t="shared" si="8"/>
        <v>5.4445899999999998</v>
      </c>
      <c r="G1171" s="2">
        <f t="shared" si="9"/>
        <v>5.4445899999999998</v>
      </c>
    </row>
    <row r="1172" spans="1:7" ht="14.25" customHeight="1">
      <c r="A1172" s="2" t="s">
        <v>15</v>
      </c>
      <c r="B1172" s="2">
        <v>2017</v>
      </c>
      <c r="C1172" s="2" t="s">
        <v>56</v>
      </c>
      <c r="D1172" s="2">
        <v>5715.43</v>
      </c>
      <c r="E1172" s="3">
        <f t="shared" si="8"/>
        <v>5.7154300000000005</v>
      </c>
      <c r="G1172" s="2">
        <f t="shared" si="9"/>
        <v>5.7154300000000005</v>
      </c>
    </row>
    <row r="1173" spans="1:7" ht="14.25" customHeight="1">
      <c r="A1173" s="2" t="s">
        <v>15</v>
      </c>
      <c r="B1173" s="2">
        <v>2018</v>
      </c>
      <c r="C1173" s="2" t="s">
        <v>56</v>
      </c>
      <c r="D1173" s="2">
        <v>5794.585</v>
      </c>
      <c r="E1173" s="3">
        <f t="shared" si="8"/>
        <v>5.7945849999999997</v>
      </c>
      <c r="G1173" s="2">
        <f t="shared" si="9"/>
        <v>5.7945849999999997</v>
      </c>
    </row>
    <row r="1174" spans="1:7" ht="14.25" customHeight="1">
      <c r="A1174" s="2" t="s">
        <v>15</v>
      </c>
      <c r="B1174" s="2">
        <v>1927</v>
      </c>
      <c r="C1174" s="2" t="s">
        <v>34</v>
      </c>
      <c r="D1174" s="2">
        <v>593</v>
      </c>
      <c r="E1174" s="3">
        <f t="shared" si="8"/>
        <v>0.59299999999999997</v>
      </c>
      <c r="G1174" s="2">
        <f t="shared" si="9"/>
        <v>0.59299999999999997</v>
      </c>
    </row>
    <row r="1175" spans="1:7" ht="14.25" customHeight="1">
      <c r="A1175" s="2" t="s">
        <v>15</v>
      </c>
      <c r="B1175" s="2">
        <v>1930</v>
      </c>
      <c r="C1175" s="2" t="s">
        <v>34</v>
      </c>
      <c r="D1175" s="2">
        <v>598</v>
      </c>
      <c r="E1175" s="3">
        <f t="shared" si="8"/>
        <v>0.59799999999999998</v>
      </c>
      <c r="G1175" s="2">
        <f t="shared" si="9"/>
        <v>0.59799999999999998</v>
      </c>
    </row>
    <row r="1176" spans="1:7" ht="14.25" customHeight="1">
      <c r="A1176" s="2" t="s">
        <v>15</v>
      </c>
      <c r="B1176" s="2">
        <v>1947</v>
      </c>
      <c r="C1176" s="2" t="s">
        <v>34</v>
      </c>
      <c r="D1176" s="2">
        <v>1102</v>
      </c>
      <c r="E1176" s="3">
        <f t="shared" si="8"/>
        <v>1.1020000000000001</v>
      </c>
      <c r="G1176" s="2">
        <f t="shared" si="9"/>
        <v>1.1020000000000001</v>
      </c>
    </row>
    <row r="1177" spans="1:7" ht="14.25" customHeight="1">
      <c r="A1177" s="2" t="s">
        <v>15</v>
      </c>
      <c r="B1177" s="2">
        <v>1948</v>
      </c>
      <c r="C1177" s="2" t="s">
        <v>34</v>
      </c>
      <c r="D1177" s="2">
        <v>1182</v>
      </c>
      <c r="E1177" s="3">
        <f t="shared" si="8"/>
        <v>1.1819999999999999</v>
      </c>
      <c r="G1177" s="2">
        <f t="shared" si="9"/>
        <v>1.1819999999999999</v>
      </c>
    </row>
    <row r="1178" spans="1:7" ht="14.25" customHeight="1">
      <c r="A1178" s="2" t="s">
        <v>15</v>
      </c>
      <c r="B1178" s="2">
        <v>1949</v>
      </c>
      <c r="C1178" s="2" t="s">
        <v>34</v>
      </c>
      <c r="D1178" s="2">
        <v>1186</v>
      </c>
      <c r="E1178" s="3">
        <f t="shared" si="8"/>
        <v>1.1859999999999999</v>
      </c>
      <c r="G1178" s="2">
        <f t="shared" si="9"/>
        <v>1.1859999999999999</v>
      </c>
    </row>
    <row r="1179" spans="1:7" ht="14.25" customHeight="1">
      <c r="A1179" s="2" t="s">
        <v>15</v>
      </c>
      <c r="B1179" s="2">
        <v>1950</v>
      </c>
      <c r="C1179" s="2" t="s">
        <v>34</v>
      </c>
      <c r="D1179" s="2">
        <v>814</v>
      </c>
      <c r="E1179" s="3">
        <f t="shared" si="8"/>
        <v>0.81399999999999995</v>
      </c>
      <c r="G1179" s="2">
        <f t="shared" si="9"/>
        <v>0.81399999999999995</v>
      </c>
    </row>
    <row r="1180" spans="1:7" ht="14.25" customHeight="1">
      <c r="A1180" s="2" t="s">
        <v>15</v>
      </c>
      <c r="B1180" s="2">
        <v>1951</v>
      </c>
      <c r="C1180" s="2" t="s">
        <v>34</v>
      </c>
      <c r="D1180" s="2">
        <v>1025</v>
      </c>
      <c r="E1180" s="3">
        <f t="shared" si="8"/>
        <v>1.0249999999999999</v>
      </c>
      <c r="G1180" s="2">
        <f t="shared" si="9"/>
        <v>1.0249999999999999</v>
      </c>
    </row>
    <row r="1181" spans="1:7" ht="14.25" customHeight="1">
      <c r="A1181" s="2" t="s">
        <v>15</v>
      </c>
      <c r="B1181" s="2">
        <v>1952</v>
      </c>
      <c r="C1181" s="2" t="s">
        <v>34</v>
      </c>
      <c r="D1181" s="2">
        <v>992</v>
      </c>
      <c r="E1181" s="3">
        <f t="shared" si="8"/>
        <v>0.99199999999999999</v>
      </c>
      <c r="G1181" s="2">
        <f t="shared" si="9"/>
        <v>0.99199999999999999</v>
      </c>
    </row>
    <row r="1182" spans="1:7" ht="14.25" customHeight="1">
      <c r="A1182" s="2" t="s">
        <v>15</v>
      </c>
      <c r="B1182" s="2">
        <v>1953</v>
      </c>
      <c r="C1182" s="2" t="s">
        <v>34</v>
      </c>
      <c r="D1182" s="2">
        <v>1058</v>
      </c>
      <c r="E1182" s="3">
        <f t="shared" si="8"/>
        <v>1.0580000000000001</v>
      </c>
      <c r="G1182" s="2">
        <f t="shared" si="9"/>
        <v>1.0580000000000001</v>
      </c>
    </row>
    <row r="1183" spans="1:7" ht="14.25" customHeight="1">
      <c r="A1183" s="2" t="s">
        <v>15</v>
      </c>
      <c r="B1183" s="2">
        <v>1954</v>
      </c>
      <c r="C1183" s="2" t="s">
        <v>34</v>
      </c>
      <c r="D1183" s="2">
        <v>1083</v>
      </c>
      <c r="E1183" s="3">
        <f t="shared" si="8"/>
        <v>1.083</v>
      </c>
      <c r="G1183" s="2">
        <f t="shared" si="9"/>
        <v>1.083</v>
      </c>
    </row>
    <row r="1184" spans="1:7" ht="14.25" customHeight="1">
      <c r="A1184" s="2" t="s">
        <v>15</v>
      </c>
      <c r="B1184" s="2">
        <v>1955</v>
      </c>
      <c r="C1184" s="2" t="s">
        <v>34</v>
      </c>
      <c r="D1184" s="2">
        <v>1214</v>
      </c>
      <c r="E1184" s="3">
        <f t="shared" si="8"/>
        <v>1.214</v>
      </c>
      <c r="G1184" s="2">
        <f t="shared" si="9"/>
        <v>1.214</v>
      </c>
    </row>
    <row r="1185" spans="1:7" ht="14.25" customHeight="1">
      <c r="A1185" s="2" t="s">
        <v>15</v>
      </c>
      <c r="B1185" s="2">
        <v>1956</v>
      </c>
      <c r="C1185" s="2" t="s">
        <v>34</v>
      </c>
      <c r="D1185" s="2">
        <v>1223</v>
      </c>
      <c r="E1185" s="3">
        <f t="shared" si="8"/>
        <v>1.2230000000000001</v>
      </c>
      <c r="G1185" s="2">
        <f t="shared" si="9"/>
        <v>1.2230000000000001</v>
      </c>
    </row>
    <row r="1186" spans="1:7" ht="14.25" customHeight="1">
      <c r="A1186" s="2" t="s">
        <v>15</v>
      </c>
      <c r="B1186" s="2">
        <v>1957</v>
      </c>
      <c r="C1186" s="2" t="s">
        <v>34</v>
      </c>
      <c r="D1186" s="2">
        <v>1315</v>
      </c>
      <c r="E1186" s="3">
        <f t="shared" si="8"/>
        <v>1.3149999999999999</v>
      </c>
      <c r="G1186" s="2">
        <f t="shared" si="9"/>
        <v>1.3149999999999999</v>
      </c>
    </row>
    <row r="1187" spans="1:7" ht="14.25" customHeight="1">
      <c r="A1187" s="2" t="s">
        <v>15</v>
      </c>
      <c r="B1187" s="2">
        <v>1958</v>
      </c>
      <c r="C1187" s="2" t="s">
        <v>34</v>
      </c>
      <c r="D1187" s="2">
        <v>1247</v>
      </c>
      <c r="E1187" s="3">
        <f t="shared" si="8"/>
        <v>1.2470000000000001</v>
      </c>
      <c r="G1187" s="2">
        <f t="shared" si="9"/>
        <v>1.2470000000000001</v>
      </c>
    </row>
    <row r="1188" spans="1:7" ht="14.25" customHeight="1">
      <c r="A1188" s="2" t="s">
        <v>15</v>
      </c>
      <c r="B1188" s="2">
        <v>1959</v>
      </c>
      <c r="C1188" s="2" t="s">
        <v>34</v>
      </c>
      <c r="D1188" s="2">
        <v>1473</v>
      </c>
      <c r="E1188" s="3">
        <f t="shared" si="8"/>
        <v>1.4730000000000001</v>
      </c>
      <c r="G1188" s="2">
        <f t="shared" si="9"/>
        <v>1.4730000000000001</v>
      </c>
    </row>
    <row r="1189" spans="1:7" ht="14.25" customHeight="1">
      <c r="A1189" s="2" t="s">
        <v>15</v>
      </c>
      <c r="B1189" s="2">
        <v>1960</v>
      </c>
      <c r="C1189" s="2" t="s">
        <v>34</v>
      </c>
      <c r="D1189" s="2">
        <v>1411</v>
      </c>
      <c r="E1189" s="3">
        <f t="shared" si="8"/>
        <v>1.411</v>
      </c>
      <c r="G1189" s="2">
        <f t="shared" si="9"/>
        <v>1.411</v>
      </c>
    </row>
    <row r="1190" spans="1:7" ht="14.25" customHeight="1">
      <c r="A1190" s="2" t="s">
        <v>15</v>
      </c>
      <c r="B1190" s="2">
        <v>1961</v>
      </c>
      <c r="C1190" s="2" t="s">
        <v>34</v>
      </c>
      <c r="D1190" s="2">
        <v>1594</v>
      </c>
      <c r="E1190" s="3">
        <f t="shared" si="8"/>
        <v>1.5940000000000001</v>
      </c>
      <c r="G1190" s="2">
        <f t="shared" si="9"/>
        <v>1.5940000000000001</v>
      </c>
    </row>
    <row r="1191" spans="1:7" ht="14.25" customHeight="1">
      <c r="A1191" s="2" t="s">
        <v>15</v>
      </c>
      <c r="B1191" s="2">
        <v>1962</v>
      </c>
      <c r="C1191" s="2" t="s">
        <v>34</v>
      </c>
      <c r="D1191" s="2">
        <v>1405</v>
      </c>
      <c r="E1191" s="3">
        <f t="shared" si="8"/>
        <v>1.405</v>
      </c>
      <c r="G1191" s="2">
        <f t="shared" si="9"/>
        <v>1.405</v>
      </c>
    </row>
    <row r="1192" spans="1:7" ht="14.25" customHeight="1">
      <c r="A1192" s="2" t="s">
        <v>15</v>
      </c>
      <c r="B1192" s="2">
        <v>1963</v>
      </c>
      <c r="C1192" s="2" t="s">
        <v>34</v>
      </c>
      <c r="D1192" s="2">
        <v>1341</v>
      </c>
      <c r="E1192" s="3">
        <f t="shared" si="8"/>
        <v>1.341</v>
      </c>
      <c r="G1192" s="2">
        <f t="shared" si="9"/>
        <v>1.341</v>
      </c>
    </row>
    <row r="1193" spans="1:7" ht="14.25" customHeight="1">
      <c r="A1193" s="2" t="s">
        <v>15</v>
      </c>
      <c r="B1193" s="2">
        <v>1964</v>
      </c>
      <c r="C1193" s="2" t="s">
        <v>34</v>
      </c>
      <c r="D1193" s="2">
        <v>1371</v>
      </c>
      <c r="E1193" s="3">
        <f t="shared" si="8"/>
        <v>1.371</v>
      </c>
      <c r="G1193" s="2">
        <f t="shared" si="9"/>
        <v>1.371</v>
      </c>
    </row>
    <row r="1194" spans="1:7" ht="14.25" customHeight="1">
      <c r="A1194" s="2" t="s">
        <v>15</v>
      </c>
      <c r="B1194" s="2">
        <v>1965</v>
      </c>
      <c r="C1194" s="2" t="s">
        <v>34</v>
      </c>
      <c r="D1194" s="2">
        <v>1128</v>
      </c>
      <c r="E1194" s="3">
        <f t="shared" si="8"/>
        <v>1.1279999999999999</v>
      </c>
      <c r="G1194" s="2">
        <f t="shared" si="9"/>
        <v>1.1279999999999999</v>
      </c>
    </row>
    <row r="1195" spans="1:7" ht="14.25" customHeight="1">
      <c r="A1195" s="2" t="s">
        <v>15</v>
      </c>
      <c r="B1195" s="2">
        <v>1966</v>
      </c>
      <c r="C1195" s="2" t="s">
        <v>34</v>
      </c>
      <c r="D1195" s="2">
        <v>1105</v>
      </c>
      <c r="E1195" s="3">
        <f t="shared" si="8"/>
        <v>1.105</v>
      </c>
      <c r="G1195" s="2">
        <f t="shared" si="9"/>
        <v>1.105</v>
      </c>
    </row>
    <row r="1196" spans="1:7" ht="14.25" customHeight="1">
      <c r="A1196" s="2" t="s">
        <v>15</v>
      </c>
      <c r="B1196" s="2">
        <v>1967</v>
      </c>
      <c r="C1196" s="2" t="s">
        <v>34</v>
      </c>
      <c r="D1196" s="2">
        <v>1049</v>
      </c>
      <c r="E1196" s="3">
        <f t="shared" si="8"/>
        <v>1.0489999999999999</v>
      </c>
      <c r="G1196" s="2">
        <f t="shared" si="9"/>
        <v>1.0489999999999999</v>
      </c>
    </row>
    <row r="1197" spans="1:7" ht="14.25" customHeight="1">
      <c r="A1197" s="2" t="s">
        <v>15</v>
      </c>
      <c r="B1197" s="2">
        <v>1968</v>
      </c>
      <c r="C1197" s="2" t="s">
        <v>34</v>
      </c>
      <c r="D1197" s="2">
        <v>1100</v>
      </c>
      <c r="E1197" s="3">
        <f t="shared" si="8"/>
        <v>1.1000000000000001</v>
      </c>
      <c r="G1197" s="2">
        <f t="shared" si="9"/>
        <v>1.1000000000000001</v>
      </c>
    </row>
    <row r="1198" spans="1:7" ht="14.25" customHeight="1">
      <c r="A1198" s="2" t="s">
        <v>15</v>
      </c>
      <c r="B1198" s="2">
        <v>1969</v>
      </c>
      <c r="C1198" s="2" t="s">
        <v>34</v>
      </c>
      <c r="D1198" s="2">
        <v>1107</v>
      </c>
      <c r="E1198" s="3">
        <f t="shared" si="8"/>
        <v>1.107</v>
      </c>
      <c r="G1198" s="2">
        <f t="shared" si="9"/>
        <v>1.107</v>
      </c>
    </row>
    <row r="1199" spans="1:7" ht="14.25" customHeight="1">
      <c r="A1199" s="2" t="s">
        <v>15</v>
      </c>
      <c r="B1199" s="2">
        <v>1970</v>
      </c>
      <c r="C1199" s="2" t="s">
        <v>34</v>
      </c>
      <c r="D1199" s="2">
        <v>1224</v>
      </c>
      <c r="E1199" s="3">
        <f t="shared" si="8"/>
        <v>1.224</v>
      </c>
      <c r="G1199" s="2">
        <f t="shared" si="9"/>
        <v>1.224</v>
      </c>
    </row>
    <row r="1200" spans="1:7" ht="14.25" customHeight="1">
      <c r="A1200" s="2" t="s">
        <v>15</v>
      </c>
      <c r="B1200" s="2">
        <v>1971</v>
      </c>
      <c r="C1200" s="2" t="s">
        <v>34</v>
      </c>
      <c r="D1200" s="2">
        <v>1296</v>
      </c>
      <c r="E1200" s="3">
        <f t="shared" si="8"/>
        <v>1.296</v>
      </c>
      <c r="G1200" s="2">
        <f t="shared" si="9"/>
        <v>1.296</v>
      </c>
    </row>
    <row r="1201" spans="1:7" ht="14.25" customHeight="1">
      <c r="A1201" s="2" t="s">
        <v>15</v>
      </c>
      <c r="B1201" s="2">
        <v>1972</v>
      </c>
      <c r="C1201" s="2" t="s">
        <v>34</v>
      </c>
      <c r="D1201" s="2">
        <v>1158</v>
      </c>
      <c r="E1201" s="3">
        <f t="shared" si="8"/>
        <v>1.1579999999999999</v>
      </c>
      <c r="G1201" s="2">
        <f t="shared" si="9"/>
        <v>1.1579999999999999</v>
      </c>
    </row>
    <row r="1202" spans="1:7" ht="14.25" customHeight="1">
      <c r="A1202" s="2" t="s">
        <v>15</v>
      </c>
      <c r="B1202" s="2">
        <v>1973</v>
      </c>
      <c r="C1202" s="2" t="s">
        <v>34</v>
      </c>
      <c r="D1202" s="2">
        <v>1150</v>
      </c>
      <c r="E1202" s="3">
        <f t="shared" si="8"/>
        <v>1.1499999999999999</v>
      </c>
      <c r="G1202" s="2">
        <f t="shared" si="9"/>
        <v>1.1499999999999999</v>
      </c>
    </row>
    <row r="1203" spans="1:7" ht="14.25" customHeight="1">
      <c r="A1203" s="2" t="s">
        <v>15</v>
      </c>
      <c r="B1203" s="2">
        <v>1974</v>
      </c>
      <c r="C1203" s="2" t="s">
        <v>34</v>
      </c>
      <c r="D1203" s="2">
        <v>1113</v>
      </c>
      <c r="E1203" s="3">
        <f t="shared" si="8"/>
        <v>1.113</v>
      </c>
      <c r="G1203" s="2">
        <f t="shared" si="9"/>
        <v>1.113</v>
      </c>
    </row>
    <row r="1204" spans="1:7" ht="14.25" customHeight="1">
      <c r="A1204" s="2" t="s">
        <v>15</v>
      </c>
      <c r="B1204" s="2">
        <v>1975</v>
      </c>
      <c r="C1204" s="2" t="s">
        <v>34</v>
      </c>
      <c r="D1204" s="2">
        <v>924</v>
      </c>
      <c r="E1204" s="3">
        <f t="shared" si="8"/>
        <v>0.92400000000000004</v>
      </c>
      <c r="G1204" s="2">
        <f t="shared" si="9"/>
        <v>0.92400000000000004</v>
      </c>
    </row>
    <row r="1205" spans="1:7" ht="14.25" customHeight="1">
      <c r="A1205" s="2" t="s">
        <v>15</v>
      </c>
      <c r="B1205" s="2">
        <v>1976</v>
      </c>
      <c r="C1205" s="2" t="s">
        <v>34</v>
      </c>
      <c r="D1205" s="2">
        <v>1008</v>
      </c>
      <c r="E1205" s="3">
        <f t="shared" si="8"/>
        <v>1.008</v>
      </c>
      <c r="G1205" s="2">
        <f t="shared" si="9"/>
        <v>1.008</v>
      </c>
    </row>
    <row r="1206" spans="1:7" ht="14.25" customHeight="1">
      <c r="A1206" s="2" t="s">
        <v>15</v>
      </c>
      <c r="B1206" s="2">
        <v>1977</v>
      </c>
      <c r="C1206" s="2" t="s">
        <v>34</v>
      </c>
      <c r="D1206" s="2">
        <v>990</v>
      </c>
      <c r="E1206" s="3">
        <f t="shared" si="8"/>
        <v>0.99</v>
      </c>
      <c r="G1206" s="2">
        <f t="shared" si="9"/>
        <v>0.99</v>
      </c>
    </row>
    <row r="1207" spans="1:7" ht="14.25" customHeight="1">
      <c r="A1207" s="2" t="s">
        <v>15</v>
      </c>
      <c r="B1207" s="2">
        <v>1978</v>
      </c>
      <c r="C1207" s="2" t="s">
        <v>34</v>
      </c>
      <c r="D1207" s="2">
        <v>857</v>
      </c>
      <c r="E1207" s="3">
        <f t="shared" si="8"/>
        <v>0.85699999999999998</v>
      </c>
      <c r="G1207" s="2">
        <f t="shared" si="9"/>
        <v>0.85699999999999998</v>
      </c>
    </row>
    <row r="1208" spans="1:7" ht="14.25" customHeight="1">
      <c r="A1208" s="2" t="s">
        <v>15</v>
      </c>
      <c r="B1208" s="2">
        <v>1979</v>
      </c>
      <c r="C1208" s="2" t="s">
        <v>34</v>
      </c>
      <c r="D1208" s="2">
        <v>833</v>
      </c>
      <c r="E1208" s="3">
        <f t="shared" si="8"/>
        <v>0.83299999999999996</v>
      </c>
      <c r="G1208" s="2">
        <f t="shared" si="9"/>
        <v>0.83299999999999996</v>
      </c>
    </row>
    <row r="1209" spans="1:7" ht="14.25" customHeight="1">
      <c r="A1209" s="2" t="s">
        <v>15</v>
      </c>
      <c r="B1209" s="2">
        <v>1980</v>
      </c>
      <c r="C1209" s="2" t="s">
        <v>34</v>
      </c>
      <c r="D1209" s="2">
        <v>774</v>
      </c>
      <c r="E1209" s="3">
        <f t="shared" si="8"/>
        <v>0.77400000000000002</v>
      </c>
      <c r="G1209" s="2">
        <f t="shared" si="9"/>
        <v>0.77400000000000002</v>
      </c>
    </row>
    <row r="1210" spans="1:7" ht="14.25" customHeight="1">
      <c r="A1210" s="2" t="s">
        <v>15</v>
      </c>
      <c r="B1210" s="2">
        <v>1981</v>
      </c>
      <c r="C1210" s="2" t="s">
        <v>34</v>
      </c>
      <c r="D1210" s="2">
        <v>879</v>
      </c>
      <c r="E1210" s="3">
        <f t="shared" si="8"/>
        <v>0.879</v>
      </c>
      <c r="G1210" s="2">
        <f t="shared" si="9"/>
        <v>0.879</v>
      </c>
    </row>
    <row r="1211" spans="1:7" ht="14.25" customHeight="1">
      <c r="A1211" s="2" t="s">
        <v>15</v>
      </c>
      <c r="B1211" s="2">
        <v>1982</v>
      </c>
      <c r="C1211" s="2" t="s">
        <v>34</v>
      </c>
      <c r="D1211" s="2">
        <v>807</v>
      </c>
      <c r="E1211" s="3">
        <f t="shared" si="8"/>
        <v>0.80700000000000005</v>
      </c>
      <c r="G1211" s="2">
        <f t="shared" si="9"/>
        <v>0.80700000000000005</v>
      </c>
    </row>
    <row r="1212" spans="1:7" ht="14.25" customHeight="1">
      <c r="A1212" s="2" t="s">
        <v>15</v>
      </c>
      <c r="B1212" s="2">
        <v>1983</v>
      </c>
      <c r="C1212" s="2" t="s">
        <v>34</v>
      </c>
      <c r="D1212" s="2">
        <v>1077</v>
      </c>
      <c r="E1212" s="3">
        <f t="shared" si="8"/>
        <v>1.077</v>
      </c>
      <c r="G1212" s="2">
        <f t="shared" si="9"/>
        <v>1.077</v>
      </c>
    </row>
    <row r="1213" spans="1:7" ht="14.25" customHeight="1">
      <c r="A1213" s="2" t="s">
        <v>15</v>
      </c>
      <c r="B1213" s="2">
        <v>1984</v>
      </c>
      <c r="C1213" s="2" t="s">
        <v>34</v>
      </c>
      <c r="D1213" s="2">
        <v>1311</v>
      </c>
      <c r="E1213" s="3">
        <f t="shared" si="8"/>
        <v>1.3109999999999999</v>
      </c>
      <c r="G1213" s="2">
        <f t="shared" si="9"/>
        <v>1.3109999999999999</v>
      </c>
    </row>
    <row r="1214" spans="1:7" ht="14.25" customHeight="1">
      <c r="A1214" s="2" t="s">
        <v>15</v>
      </c>
      <c r="B1214" s="2">
        <v>1985</v>
      </c>
      <c r="C1214" s="2" t="s">
        <v>34</v>
      </c>
      <c r="D1214" s="2">
        <v>1187</v>
      </c>
      <c r="E1214" s="3">
        <f t="shared" si="8"/>
        <v>1.1870000000000001</v>
      </c>
      <c r="G1214" s="2">
        <f t="shared" si="9"/>
        <v>1.1870000000000001</v>
      </c>
    </row>
    <row r="1215" spans="1:7" ht="14.25" customHeight="1">
      <c r="A1215" s="2" t="s">
        <v>15</v>
      </c>
      <c r="B1215" s="2">
        <v>1986</v>
      </c>
      <c r="C1215" s="2" t="s">
        <v>34</v>
      </c>
      <c r="D1215" s="2">
        <v>1063</v>
      </c>
      <c r="E1215" s="3">
        <f t="shared" si="8"/>
        <v>1.0629999999999999</v>
      </c>
      <c r="G1215" s="2">
        <f t="shared" si="9"/>
        <v>1.0629999999999999</v>
      </c>
    </row>
    <row r="1216" spans="1:7" ht="14.25" customHeight="1">
      <c r="A1216" s="2" t="s">
        <v>15</v>
      </c>
      <c r="B1216" s="2">
        <v>1987</v>
      </c>
      <c r="C1216" s="2" t="s">
        <v>34</v>
      </c>
      <c r="D1216" s="2">
        <v>1151</v>
      </c>
      <c r="E1216" s="3">
        <f t="shared" si="8"/>
        <v>1.151</v>
      </c>
      <c r="G1216" s="2">
        <f t="shared" si="9"/>
        <v>1.151</v>
      </c>
    </row>
    <row r="1217" spans="1:7" ht="14.25" customHeight="1">
      <c r="A1217" s="2" t="s">
        <v>15</v>
      </c>
      <c r="B1217" s="2">
        <v>1988</v>
      </c>
      <c r="C1217" s="2" t="s">
        <v>34</v>
      </c>
      <c r="D1217" s="2">
        <v>1323</v>
      </c>
      <c r="E1217" s="3">
        <f t="shared" si="8"/>
        <v>1.323</v>
      </c>
      <c r="G1217" s="2">
        <f t="shared" si="9"/>
        <v>1.323</v>
      </c>
    </row>
    <row r="1218" spans="1:7" ht="14.25" customHeight="1">
      <c r="A1218" s="2" t="s">
        <v>15</v>
      </c>
      <c r="B1218" s="2">
        <v>1989</v>
      </c>
      <c r="C1218" s="2" t="s">
        <v>34</v>
      </c>
      <c r="D1218" s="2">
        <v>1440</v>
      </c>
      <c r="E1218" s="3">
        <f t="shared" si="8"/>
        <v>1.44</v>
      </c>
      <c r="G1218" s="2">
        <f t="shared" si="9"/>
        <v>1.44</v>
      </c>
    </row>
    <row r="1219" spans="1:7" ht="14.25" customHeight="1">
      <c r="A1219" s="2" t="s">
        <v>15</v>
      </c>
      <c r="B1219" s="2">
        <v>1990</v>
      </c>
      <c r="C1219" s="2" t="s">
        <v>34</v>
      </c>
      <c r="D1219" s="2">
        <v>1444</v>
      </c>
      <c r="E1219" s="3">
        <f t="shared" si="8"/>
        <v>1.444</v>
      </c>
      <c r="G1219" s="2">
        <f t="shared" si="9"/>
        <v>1.444</v>
      </c>
    </row>
    <row r="1220" spans="1:7" ht="14.25" customHeight="1">
      <c r="A1220" s="2" t="s">
        <v>15</v>
      </c>
      <c r="B1220" s="2">
        <v>1991</v>
      </c>
      <c r="C1220" s="2" t="s">
        <v>34</v>
      </c>
      <c r="D1220" s="2">
        <v>1246</v>
      </c>
      <c r="E1220" s="3">
        <f t="shared" si="8"/>
        <v>1.246</v>
      </c>
      <c r="G1220" s="2">
        <f t="shared" si="9"/>
        <v>1.246</v>
      </c>
    </row>
    <row r="1221" spans="1:7" ht="14.25" customHeight="1">
      <c r="A1221" s="2" t="s">
        <v>15</v>
      </c>
      <c r="B1221" s="2">
        <v>1992</v>
      </c>
      <c r="C1221" s="2" t="s">
        <v>34</v>
      </c>
      <c r="D1221" s="2">
        <v>1165</v>
      </c>
      <c r="E1221" s="3">
        <f t="shared" si="8"/>
        <v>1.165</v>
      </c>
      <c r="G1221" s="2">
        <f t="shared" si="9"/>
        <v>1.165</v>
      </c>
    </row>
    <row r="1222" spans="1:7" ht="14.25" customHeight="1">
      <c r="A1222" s="2" t="s">
        <v>15</v>
      </c>
      <c r="B1222" s="2">
        <v>1993</v>
      </c>
      <c r="C1222" s="2" t="s">
        <v>34</v>
      </c>
      <c r="D1222" s="2">
        <v>1095</v>
      </c>
      <c r="E1222" s="3">
        <f t="shared" si="8"/>
        <v>1.095</v>
      </c>
      <c r="G1222" s="2">
        <f t="shared" si="9"/>
        <v>1.095</v>
      </c>
    </row>
    <row r="1223" spans="1:7" ht="14.25" customHeight="1">
      <c r="A1223" s="2" t="s">
        <v>15</v>
      </c>
      <c r="B1223" s="2">
        <v>1994</v>
      </c>
      <c r="C1223" s="2" t="s">
        <v>34</v>
      </c>
      <c r="D1223" s="2">
        <v>1221</v>
      </c>
      <c r="E1223" s="3">
        <f t="shared" si="8"/>
        <v>1.2210000000000001</v>
      </c>
      <c r="G1223" s="2">
        <f t="shared" si="9"/>
        <v>1.2210000000000001</v>
      </c>
    </row>
    <row r="1224" spans="1:7" ht="14.25" customHeight="1">
      <c r="A1224" s="2" t="s">
        <v>15</v>
      </c>
      <c r="B1224" s="2">
        <v>1995</v>
      </c>
      <c r="C1224" s="2" t="s">
        <v>34</v>
      </c>
      <c r="D1224" s="2">
        <v>1373</v>
      </c>
      <c r="E1224" s="3">
        <f t="shared" si="8"/>
        <v>1.373</v>
      </c>
      <c r="G1224" s="2">
        <f t="shared" si="9"/>
        <v>1.373</v>
      </c>
    </row>
    <row r="1225" spans="1:7" ht="14.25" customHeight="1">
      <c r="A1225" s="2" t="s">
        <v>15</v>
      </c>
      <c r="B1225" s="2">
        <v>1996</v>
      </c>
      <c r="C1225" s="2" t="s">
        <v>34</v>
      </c>
      <c r="D1225" s="2">
        <v>1051</v>
      </c>
      <c r="E1225" s="3">
        <f t="shared" si="8"/>
        <v>1.0509999999999999</v>
      </c>
      <c r="G1225" s="2">
        <f t="shared" si="9"/>
        <v>1.0509999999999999</v>
      </c>
    </row>
    <row r="1226" spans="1:7" ht="14.25" customHeight="1">
      <c r="A1226" s="2" t="s">
        <v>15</v>
      </c>
      <c r="B1226" s="2">
        <v>1997</v>
      </c>
      <c r="C1226" s="2" t="s">
        <v>34</v>
      </c>
      <c r="D1226" s="2">
        <v>1577</v>
      </c>
      <c r="E1226" s="3">
        <f t="shared" si="8"/>
        <v>1.577</v>
      </c>
      <c r="G1226" s="2">
        <f t="shared" si="9"/>
        <v>1.577</v>
      </c>
    </row>
    <row r="1227" spans="1:7" ht="14.25" customHeight="1">
      <c r="A1227" s="2" t="s">
        <v>15</v>
      </c>
      <c r="B1227" s="2">
        <v>1998</v>
      </c>
      <c r="C1227" s="2" t="s">
        <v>34</v>
      </c>
      <c r="D1227" s="2">
        <v>1501</v>
      </c>
      <c r="E1227" s="3">
        <f t="shared" si="8"/>
        <v>1.5009999999999999</v>
      </c>
      <c r="G1227" s="2">
        <f t="shared" si="9"/>
        <v>1.5009999999999999</v>
      </c>
    </row>
    <row r="1228" spans="1:7" ht="14.25" customHeight="1">
      <c r="A1228" s="2" t="s">
        <v>15</v>
      </c>
      <c r="B1228" s="2">
        <v>1999</v>
      </c>
      <c r="C1228" s="2" t="s">
        <v>34</v>
      </c>
      <c r="D1228" s="2">
        <v>1834</v>
      </c>
      <c r="E1228" s="3">
        <f t="shared" si="8"/>
        <v>1.8340000000000001</v>
      </c>
      <c r="G1228" s="2">
        <f t="shared" si="9"/>
        <v>1.8340000000000001</v>
      </c>
    </row>
    <row r="1229" spans="1:7" ht="14.25" customHeight="1">
      <c r="A1229" s="2" t="s">
        <v>15</v>
      </c>
      <c r="B1229" s="2">
        <v>2000</v>
      </c>
      <c r="C1229" s="2" t="s">
        <v>34</v>
      </c>
      <c r="D1229" s="2">
        <v>1156</v>
      </c>
      <c r="E1229" s="3">
        <f t="shared" si="8"/>
        <v>1.1559999999999999</v>
      </c>
      <c r="G1229" s="2">
        <f t="shared" si="9"/>
        <v>1.1559999999999999</v>
      </c>
    </row>
    <row r="1230" spans="1:7" ht="14.25" customHeight="1">
      <c r="A1230" s="2" t="s">
        <v>15</v>
      </c>
      <c r="B1230" s="2">
        <v>2001</v>
      </c>
      <c r="C1230" s="2" t="s">
        <v>34</v>
      </c>
      <c r="D1230" s="2">
        <v>1100</v>
      </c>
      <c r="E1230" s="3">
        <f t="shared" si="8"/>
        <v>1.1000000000000001</v>
      </c>
      <c r="G1230" s="2">
        <f t="shared" si="9"/>
        <v>1.1000000000000001</v>
      </c>
    </row>
    <row r="1231" spans="1:7" ht="14.25" customHeight="1">
      <c r="A1231" s="2" t="s">
        <v>15</v>
      </c>
      <c r="B1231" s="2">
        <v>2002</v>
      </c>
      <c r="C1231" s="2" t="s">
        <v>34</v>
      </c>
      <c r="D1231" s="2">
        <v>1204</v>
      </c>
      <c r="E1231" s="3">
        <f t="shared" si="8"/>
        <v>1.204</v>
      </c>
      <c r="G1231" s="2">
        <f t="shared" si="9"/>
        <v>1.204</v>
      </c>
    </row>
    <row r="1232" spans="1:7" ht="14.25" customHeight="1">
      <c r="A1232" s="2" t="s">
        <v>15</v>
      </c>
      <c r="B1232" s="2">
        <v>2003</v>
      </c>
      <c r="C1232" s="2" t="s">
        <v>34</v>
      </c>
      <c r="D1232" s="2">
        <v>1338</v>
      </c>
      <c r="E1232" s="3">
        <f t="shared" si="8"/>
        <v>1.3380000000000001</v>
      </c>
      <c r="G1232" s="2">
        <f t="shared" si="9"/>
        <v>1.3380000000000001</v>
      </c>
    </row>
    <row r="1233" spans="1:7" ht="14.25" customHeight="1">
      <c r="A1233" s="2" t="s">
        <v>15</v>
      </c>
      <c r="B1233" s="2">
        <v>2004</v>
      </c>
      <c r="C1233" s="2" t="s">
        <v>34</v>
      </c>
      <c r="D1233" s="2">
        <v>1388</v>
      </c>
      <c r="E1233" s="3">
        <f t="shared" si="8"/>
        <v>1.3879999999999999</v>
      </c>
      <c r="G1233" s="2">
        <f t="shared" si="9"/>
        <v>1.3879999999999999</v>
      </c>
    </row>
    <row r="1234" spans="1:7" ht="14.25" customHeight="1">
      <c r="A1234" s="2" t="s">
        <v>15</v>
      </c>
      <c r="B1234" s="2">
        <v>2005</v>
      </c>
      <c r="C1234" s="2" t="s">
        <v>34</v>
      </c>
      <c r="D1234" s="2">
        <v>1224</v>
      </c>
      <c r="E1234" s="3">
        <f t="shared" si="8"/>
        <v>1.224</v>
      </c>
      <c r="G1234" s="2">
        <f t="shared" si="9"/>
        <v>1.224</v>
      </c>
    </row>
    <row r="1235" spans="1:7" ht="14.25" customHeight="1">
      <c r="A1235" s="2" t="s">
        <v>15</v>
      </c>
      <c r="B1235" s="2">
        <v>2006</v>
      </c>
      <c r="C1235" s="2" t="s">
        <v>34</v>
      </c>
      <c r="D1235" s="2">
        <v>2368.02</v>
      </c>
      <c r="E1235" s="3">
        <f t="shared" si="8"/>
        <v>2.36802</v>
      </c>
      <c r="G1235" s="2">
        <f t="shared" si="9"/>
        <v>2.36802</v>
      </c>
    </row>
    <row r="1236" spans="1:7" ht="14.25" customHeight="1">
      <c r="A1236" s="2" t="s">
        <v>15</v>
      </c>
      <c r="B1236" s="2">
        <v>2007</v>
      </c>
      <c r="C1236" s="2" t="s">
        <v>34</v>
      </c>
      <c r="D1236" s="2">
        <v>2785.94</v>
      </c>
      <c r="E1236" s="3">
        <f t="shared" si="8"/>
        <v>2.7859400000000001</v>
      </c>
      <c r="G1236" s="2">
        <f t="shared" si="9"/>
        <v>2.7859400000000001</v>
      </c>
    </row>
    <row r="1237" spans="1:7" ht="14.25" customHeight="1">
      <c r="A1237" s="2" t="s">
        <v>15</v>
      </c>
      <c r="B1237" s="2">
        <v>2008</v>
      </c>
      <c r="C1237" s="2" t="s">
        <v>34</v>
      </c>
      <c r="D1237" s="2">
        <v>2690.03</v>
      </c>
      <c r="E1237" s="3">
        <f t="shared" si="8"/>
        <v>2.6900300000000001</v>
      </c>
      <c r="G1237" s="2">
        <f t="shared" si="9"/>
        <v>2.6900300000000001</v>
      </c>
    </row>
    <row r="1238" spans="1:7" ht="14.25" customHeight="1">
      <c r="A1238" s="2" t="s">
        <v>15</v>
      </c>
      <c r="B1238" s="2">
        <v>2009</v>
      </c>
      <c r="C1238" s="2" t="s">
        <v>34</v>
      </c>
      <c r="D1238" s="2">
        <v>2781.74</v>
      </c>
      <c r="E1238" s="3">
        <f t="shared" si="8"/>
        <v>2.7817399999999997</v>
      </c>
      <c r="G1238" s="2">
        <f t="shared" si="9"/>
        <v>2.7817399999999997</v>
      </c>
    </row>
    <row r="1239" spans="1:7" ht="14.25" customHeight="1">
      <c r="A1239" s="2" t="s">
        <v>15</v>
      </c>
      <c r="B1239" s="2">
        <v>2010</v>
      </c>
      <c r="C1239" s="2" t="s">
        <v>34</v>
      </c>
      <c r="D1239" s="2">
        <v>2739.2</v>
      </c>
      <c r="E1239" s="3">
        <f t="shared" si="8"/>
        <v>2.7391999999999999</v>
      </c>
      <c r="G1239" s="2">
        <f t="shared" si="9"/>
        <v>2.7391999999999999</v>
      </c>
    </row>
    <row r="1240" spans="1:7" ht="14.25" customHeight="1">
      <c r="A1240" s="2" t="s">
        <v>15</v>
      </c>
      <c r="B1240" s="2">
        <v>2011</v>
      </c>
      <c r="C1240" s="2" t="s">
        <v>34</v>
      </c>
      <c r="D1240" s="2">
        <v>3146.14</v>
      </c>
      <c r="E1240" s="3">
        <f t="shared" si="8"/>
        <v>3.1461399999999999</v>
      </c>
      <c r="G1240" s="2">
        <f t="shared" si="9"/>
        <v>3.1461399999999999</v>
      </c>
    </row>
    <row r="1241" spans="1:7" ht="14.25" customHeight="1">
      <c r="A1241" s="2" t="s">
        <v>15</v>
      </c>
      <c r="B1241" s="2">
        <v>2012</v>
      </c>
      <c r="C1241" s="2" t="s">
        <v>34</v>
      </c>
      <c r="D1241" s="2">
        <v>3078</v>
      </c>
      <c r="E1241" s="3">
        <f t="shared" si="8"/>
        <v>3.0779999999999998</v>
      </c>
      <c r="G1241" s="2">
        <f t="shared" si="9"/>
        <v>3.0779999999999998</v>
      </c>
    </row>
    <row r="1242" spans="1:7" ht="14.25" customHeight="1">
      <c r="A1242" s="2" t="s">
        <v>15</v>
      </c>
      <c r="B1242" s="2">
        <v>2013</v>
      </c>
      <c r="C1242" s="2" t="s">
        <v>34</v>
      </c>
      <c r="D1242" s="2">
        <v>2923.52</v>
      </c>
      <c r="E1242" s="3">
        <f t="shared" si="8"/>
        <v>2.9235199999999999</v>
      </c>
      <c r="G1242" s="2">
        <f t="shared" si="9"/>
        <v>2.9235199999999999</v>
      </c>
    </row>
    <row r="1243" spans="1:7" ht="14.25" customHeight="1">
      <c r="A1243" s="2" t="s">
        <v>15</v>
      </c>
      <c r="B1243" s="2">
        <v>2014</v>
      </c>
      <c r="C1243" s="2" t="s">
        <v>34</v>
      </c>
      <c r="D1243" s="2">
        <v>3343.45</v>
      </c>
      <c r="E1243" s="3">
        <f t="shared" si="8"/>
        <v>3.3434499999999998</v>
      </c>
      <c r="G1243" s="2">
        <f t="shared" si="9"/>
        <v>3.3434499999999998</v>
      </c>
    </row>
    <row r="1244" spans="1:7" ht="14.25" customHeight="1">
      <c r="A1244" s="2" t="s">
        <v>15</v>
      </c>
      <c r="B1244" s="2">
        <v>2015</v>
      </c>
      <c r="C1244" s="2" t="s">
        <v>34</v>
      </c>
      <c r="D1244" s="2">
        <v>3038.02</v>
      </c>
      <c r="E1244" s="3">
        <f t="shared" si="8"/>
        <v>3.0380199999999999</v>
      </c>
      <c r="G1244" s="2">
        <f t="shared" si="9"/>
        <v>3.0380199999999999</v>
      </c>
    </row>
    <row r="1245" spans="1:7" ht="14.25" customHeight="1">
      <c r="A1245" s="2" t="s">
        <v>15</v>
      </c>
      <c r="B1245" s="2">
        <v>2016</v>
      </c>
      <c r="C1245" s="2" t="s">
        <v>34</v>
      </c>
      <c r="D1245" s="2">
        <v>3281.45</v>
      </c>
      <c r="E1245" s="3">
        <f t="shared" si="8"/>
        <v>3.28145</v>
      </c>
      <c r="G1245" s="2">
        <f t="shared" si="9"/>
        <v>3.28145</v>
      </c>
    </row>
    <row r="1246" spans="1:7" ht="14.25" customHeight="1">
      <c r="A1246" s="2" t="s">
        <v>15</v>
      </c>
      <c r="B1246" s="2">
        <v>2017</v>
      </c>
      <c r="C1246" s="2" t="s">
        <v>34</v>
      </c>
      <c r="D1246" s="2">
        <v>3316.86</v>
      </c>
      <c r="E1246" s="3">
        <f t="shared" si="8"/>
        <v>3.3168600000000001</v>
      </c>
      <c r="G1246" s="2">
        <f t="shared" si="9"/>
        <v>3.3168600000000001</v>
      </c>
    </row>
    <row r="1247" spans="1:7" ht="14.25" customHeight="1">
      <c r="A1247" s="2" t="s">
        <v>15</v>
      </c>
      <c r="B1247" s="2">
        <v>2018</v>
      </c>
      <c r="C1247" s="2" t="s">
        <v>34</v>
      </c>
      <c r="D1247" s="2">
        <v>3019.4929999999999</v>
      </c>
      <c r="E1247" s="3">
        <f t="shared" si="8"/>
        <v>3.0194929999999998</v>
      </c>
      <c r="G1247" s="2">
        <f t="shared" si="9"/>
        <v>3.0194929999999998</v>
      </c>
    </row>
    <row r="1248" spans="1:7" ht="14.25" customHeight="1">
      <c r="A1248" s="2" t="s">
        <v>15</v>
      </c>
      <c r="B1248" s="2">
        <v>1903</v>
      </c>
      <c r="C1248" s="2" t="s">
        <v>20</v>
      </c>
      <c r="D1248" s="2">
        <v>40965</v>
      </c>
      <c r="E1248" s="3">
        <f t="shared" si="8"/>
        <v>40.965000000000003</v>
      </c>
      <c r="G1248" s="2">
        <f t="shared" si="9"/>
        <v>40.965000000000003</v>
      </c>
    </row>
    <row r="1249" spans="1:7" ht="14.25" customHeight="1">
      <c r="A1249" s="2" t="s">
        <v>15</v>
      </c>
      <c r="B1249" s="2">
        <v>1904</v>
      </c>
      <c r="C1249" s="2" t="s">
        <v>20</v>
      </c>
      <c r="D1249" s="2">
        <v>52707</v>
      </c>
      <c r="E1249" s="3">
        <f t="shared" si="8"/>
        <v>52.707000000000001</v>
      </c>
      <c r="G1249" s="2">
        <f t="shared" si="9"/>
        <v>52.707000000000001</v>
      </c>
    </row>
    <row r="1250" spans="1:7" ht="14.25" customHeight="1">
      <c r="A1250" s="2" t="s">
        <v>15</v>
      </c>
      <c r="B1250" s="2">
        <v>1905</v>
      </c>
      <c r="C1250" s="2" t="s">
        <v>20</v>
      </c>
      <c r="D1250" s="2">
        <v>61338</v>
      </c>
      <c r="E1250" s="3">
        <f t="shared" si="8"/>
        <v>61.338000000000001</v>
      </c>
      <c r="G1250" s="2">
        <f t="shared" si="9"/>
        <v>61.338000000000001</v>
      </c>
    </row>
    <row r="1251" spans="1:7" ht="14.25" customHeight="1">
      <c r="A1251" s="2" t="s">
        <v>15</v>
      </c>
      <c r="B1251" s="2">
        <v>1906</v>
      </c>
      <c r="C1251" s="2" t="s">
        <v>20</v>
      </c>
      <c r="D1251" s="2">
        <v>28934</v>
      </c>
      <c r="E1251" s="3">
        <f t="shared" si="8"/>
        <v>28.934000000000001</v>
      </c>
      <c r="G1251" s="2">
        <f t="shared" si="9"/>
        <v>28.934000000000001</v>
      </c>
    </row>
    <row r="1252" spans="1:7" ht="14.25" customHeight="1">
      <c r="A1252" s="2" t="s">
        <v>15</v>
      </c>
      <c r="B1252" s="2">
        <v>1907</v>
      </c>
      <c r="C1252" s="2" t="s">
        <v>20</v>
      </c>
      <c r="D1252" s="2">
        <v>36341</v>
      </c>
      <c r="E1252" s="3">
        <f t="shared" si="8"/>
        <v>36.341000000000001</v>
      </c>
      <c r="G1252" s="2">
        <f t="shared" si="9"/>
        <v>36.341000000000001</v>
      </c>
    </row>
    <row r="1253" spans="1:7" ht="14.25" customHeight="1">
      <c r="A1253" s="2" t="s">
        <v>15</v>
      </c>
      <c r="B1253" s="2">
        <v>1908</v>
      </c>
      <c r="C1253" s="2" t="s">
        <v>20</v>
      </c>
      <c r="D1253" s="2">
        <v>34441</v>
      </c>
      <c r="E1253" s="3">
        <f t="shared" si="8"/>
        <v>34.441000000000003</v>
      </c>
      <c r="G1253" s="2">
        <f t="shared" si="9"/>
        <v>34.441000000000003</v>
      </c>
    </row>
    <row r="1254" spans="1:7" ht="14.25" customHeight="1">
      <c r="A1254" s="2" t="s">
        <v>15</v>
      </c>
      <c r="B1254" s="2">
        <v>1909</v>
      </c>
      <c r="C1254" s="2" t="s">
        <v>20</v>
      </c>
      <c r="D1254" s="2">
        <v>33917</v>
      </c>
      <c r="E1254" s="3">
        <f t="shared" si="8"/>
        <v>33.917000000000002</v>
      </c>
      <c r="G1254" s="2">
        <f t="shared" si="9"/>
        <v>33.917000000000002</v>
      </c>
    </row>
    <row r="1255" spans="1:7" ht="14.25" customHeight="1">
      <c r="A1255" s="2" t="s">
        <v>15</v>
      </c>
      <c r="B1255" s="2">
        <v>1910</v>
      </c>
      <c r="C1255" s="2" t="s">
        <v>20</v>
      </c>
      <c r="D1255" s="2">
        <v>34349</v>
      </c>
      <c r="E1255" s="3">
        <f t="shared" si="8"/>
        <v>34.348999999999997</v>
      </c>
      <c r="G1255" s="2">
        <f t="shared" si="9"/>
        <v>34.348999999999997</v>
      </c>
    </row>
    <row r="1256" spans="1:7" ht="14.25" customHeight="1">
      <c r="A1256" s="2" t="s">
        <v>15</v>
      </c>
      <c r="B1256" s="2">
        <v>1911</v>
      </c>
      <c r="C1256" s="2" t="s">
        <v>20</v>
      </c>
      <c r="D1256" s="2">
        <v>28764</v>
      </c>
      <c r="E1256" s="3">
        <f t="shared" si="8"/>
        <v>28.763999999999999</v>
      </c>
      <c r="G1256" s="2">
        <f t="shared" si="9"/>
        <v>28.763999999999999</v>
      </c>
    </row>
    <row r="1257" spans="1:7" ht="14.25" customHeight="1">
      <c r="A1257" s="2" t="s">
        <v>15</v>
      </c>
      <c r="B1257" s="2">
        <v>1912</v>
      </c>
      <c r="C1257" s="2" t="s">
        <v>20</v>
      </c>
      <c r="D1257" s="2">
        <v>30180</v>
      </c>
      <c r="E1257" s="3">
        <f t="shared" si="8"/>
        <v>30.18</v>
      </c>
      <c r="G1257" s="2">
        <f t="shared" si="9"/>
        <v>30.18</v>
      </c>
    </row>
    <row r="1258" spans="1:7" ht="14.25" customHeight="1">
      <c r="A1258" s="2" t="s">
        <v>15</v>
      </c>
      <c r="B1258" s="2">
        <v>1913</v>
      </c>
      <c r="C1258" s="2" t="s">
        <v>20</v>
      </c>
      <c r="D1258" s="2">
        <v>27829</v>
      </c>
      <c r="E1258" s="3">
        <f t="shared" si="8"/>
        <v>27.829000000000001</v>
      </c>
      <c r="G1258" s="2">
        <f t="shared" si="9"/>
        <v>27.829000000000001</v>
      </c>
    </row>
    <row r="1259" spans="1:7" ht="14.25" customHeight="1">
      <c r="A1259" s="2" t="s">
        <v>15</v>
      </c>
      <c r="B1259" s="2">
        <v>1914</v>
      </c>
      <c r="C1259" s="2" t="s">
        <v>20</v>
      </c>
      <c r="D1259" s="2">
        <v>29043</v>
      </c>
      <c r="E1259" s="3">
        <f t="shared" si="8"/>
        <v>29.042999999999999</v>
      </c>
      <c r="G1259" s="2">
        <f t="shared" si="9"/>
        <v>29.042999999999999</v>
      </c>
    </row>
    <row r="1260" spans="1:7" ht="14.25" customHeight="1">
      <c r="A1260" s="2" t="s">
        <v>15</v>
      </c>
      <c r="B1260" s="2">
        <v>1915</v>
      </c>
      <c r="C1260" s="2" t="s">
        <v>20</v>
      </c>
      <c r="D1260" s="2">
        <v>23227</v>
      </c>
      <c r="E1260" s="3">
        <f t="shared" si="8"/>
        <v>23.227</v>
      </c>
      <c r="G1260" s="2">
        <f t="shared" si="9"/>
        <v>23.227</v>
      </c>
    </row>
    <row r="1261" spans="1:7" ht="14.25" customHeight="1">
      <c r="A1261" s="2" t="s">
        <v>15</v>
      </c>
      <c r="B1261" s="2">
        <v>1916</v>
      </c>
      <c r="C1261" s="2" t="s">
        <v>20</v>
      </c>
      <c r="D1261" s="2">
        <v>20999</v>
      </c>
      <c r="E1261" s="3">
        <f t="shared" si="8"/>
        <v>20.998999999999999</v>
      </c>
      <c r="G1261" s="2">
        <f t="shared" si="9"/>
        <v>20.998999999999999</v>
      </c>
    </row>
    <row r="1262" spans="1:7" ht="14.25" customHeight="1">
      <c r="A1262" s="2" t="s">
        <v>15</v>
      </c>
      <c r="B1262" s="2">
        <v>1917</v>
      </c>
      <c r="C1262" s="2" t="s">
        <v>20</v>
      </c>
      <c r="D1262" s="2">
        <v>23552</v>
      </c>
      <c r="E1262" s="3">
        <f t="shared" si="8"/>
        <v>23.552</v>
      </c>
      <c r="G1262" s="2">
        <f t="shared" si="9"/>
        <v>23.552</v>
      </c>
    </row>
    <row r="1263" spans="1:7" ht="14.25" customHeight="1">
      <c r="A1263" s="2" t="s">
        <v>15</v>
      </c>
      <c r="B1263" s="2">
        <v>1918</v>
      </c>
      <c r="C1263" s="2" t="s">
        <v>20</v>
      </c>
      <c r="D1263" s="2">
        <v>30284</v>
      </c>
      <c r="E1263" s="3">
        <f t="shared" si="8"/>
        <v>30.283999999999999</v>
      </c>
      <c r="G1263" s="2">
        <f t="shared" si="9"/>
        <v>30.283999999999999</v>
      </c>
    </row>
    <row r="1264" spans="1:7" ht="14.25" customHeight="1">
      <c r="A1264" s="2" t="s">
        <v>15</v>
      </c>
      <c r="B1264" s="2">
        <v>1919</v>
      </c>
      <c r="C1264" s="2" t="s">
        <v>20</v>
      </c>
      <c r="D1264" s="2">
        <v>37092</v>
      </c>
      <c r="E1264" s="3">
        <f t="shared" si="8"/>
        <v>37.091999999999999</v>
      </c>
      <c r="G1264" s="2">
        <f t="shared" si="9"/>
        <v>37.091999999999999</v>
      </c>
    </row>
    <row r="1265" spans="1:7" ht="14.25" customHeight="1">
      <c r="A1265" s="2" t="s">
        <v>15</v>
      </c>
      <c r="B1265" s="2">
        <v>1920</v>
      </c>
      <c r="C1265" s="2" t="s">
        <v>20</v>
      </c>
      <c r="D1265" s="2">
        <v>34554</v>
      </c>
      <c r="E1265" s="3">
        <f t="shared" si="8"/>
        <v>34.554000000000002</v>
      </c>
      <c r="G1265" s="2">
        <f t="shared" si="9"/>
        <v>34.554000000000002</v>
      </c>
    </row>
    <row r="1266" spans="1:7" ht="14.25" customHeight="1">
      <c r="A1266" s="2" t="s">
        <v>15</v>
      </c>
      <c r="B1266" s="2">
        <v>1921</v>
      </c>
      <c r="C1266" s="2" t="s">
        <v>20</v>
      </c>
      <c r="D1266" s="2">
        <v>27701</v>
      </c>
      <c r="E1266" s="3">
        <f t="shared" si="8"/>
        <v>27.701000000000001</v>
      </c>
      <c r="G1266" s="2">
        <f t="shared" si="9"/>
        <v>27.701000000000001</v>
      </c>
    </row>
    <row r="1267" spans="1:7" ht="14.25" customHeight="1">
      <c r="A1267" s="2" t="s">
        <v>15</v>
      </c>
      <c r="B1267" s="2">
        <v>1922</v>
      </c>
      <c r="C1267" s="2" t="s">
        <v>20</v>
      </c>
      <c r="D1267" s="2">
        <v>24336</v>
      </c>
      <c r="E1267" s="3">
        <f t="shared" si="8"/>
        <v>24.335999999999999</v>
      </c>
      <c r="G1267" s="2">
        <f t="shared" si="9"/>
        <v>24.335999999999999</v>
      </c>
    </row>
    <row r="1268" spans="1:7" ht="14.25" customHeight="1">
      <c r="A1268" s="2" t="s">
        <v>15</v>
      </c>
      <c r="B1268" s="2">
        <v>1923</v>
      </c>
      <c r="C1268" s="2" t="s">
        <v>20</v>
      </c>
      <c r="D1268" s="2">
        <v>16559</v>
      </c>
      <c r="E1268" s="3">
        <f t="shared" si="8"/>
        <v>16.559000000000001</v>
      </c>
      <c r="G1268" s="2">
        <f t="shared" si="9"/>
        <v>16.559000000000001</v>
      </c>
    </row>
    <row r="1269" spans="1:7" ht="14.25" customHeight="1">
      <c r="A1269" s="2" t="s">
        <v>15</v>
      </c>
      <c r="B1269" s="2">
        <v>1924</v>
      </c>
      <c r="C1269" s="2" t="s">
        <v>20</v>
      </c>
      <c r="D1269" s="2">
        <v>16464</v>
      </c>
      <c r="E1269" s="3">
        <f t="shared" si="8"/>
        <v>16.463999999999999</v>
      </c>
      <c r="G1269" s="2">
        <f t="shared" si="9"/>
        <v>16.463999999999999</v>
      </c>
    </row>
    <row r="1270" spans="1:7" ht="14.25" customHeight="1">
      <c r="A1270" s="2" t="s">
        <v>15</v>
      </c>
      <c r="B1270" s="2">
        <v>1925</v>
      </c>
      <c r="C1270" s="2" t="s">
        <v>20</v>
      </c>
      <c r="D1270" s="2">
        <v>20526</v>
      </c>
      <c r="E1270" s="3">
        <f t="shared" si="8"/>
        <v>20.526</v>
      </c>
      <c r="G1270" s="2">
        <f t="shared" si="9"/>
        <v>20.526</v>
      </c>
    </row>
    <row r="1271" spans="1:7" ht="14.25" customHeight="1">
      <c r="A1271" s="2" t="s">
        <v>15</v>
      </c>
      <c r="B1271" s="2">
        <v>1926</v>
      </c>
      <c r="C1271" s="2" t="s">
        <v>20</v>
      </c>
      <c r="D1271" s="2">
        <v>16304</v>
      </c>
      <c r="E1271" s="3">
        <f t="shared" si="8"/>
        <v>16.303999999999998</v>
      </c>
      <c r="G1271" s="2">
        <f t="shared" si="9"/>
        <v>16.303999999999998</v>
      </c>
    </row>
    <row r="1272" spans="1:7" ht="14.25" customHeight="1">
      <c r="A1272" s="2" t="s">
        <v>15</v>
      </c>
      <c r="B1272" s="2">
        <v>1927</v>
      </c>
      <c r="C1272" s="2" t="s">
        <v>20</v>
      </c>
      <c r="D1272" s="2">
        <v>18932</v>
      </c>
      <c r="E1272" s="3">
        <f t="shared" si="8"/>
        <v>18.931999999999999</v>
      </c>
      <c r="G1272" s="2">
        <f t="shared" si="9"/>
        <v>18.931999999999999</v>
      </c>
    </row>
    <row r="1273" spans="1:7" ht="14.25" customHeight="1">
      <c r="A1273" s="2" t="s">
        <v>15</v>
      </c>
      <c r="B1273" s="2">
        <v>1928</v>
      </c>
      <c r="C1273" s="2" t="s">
        <v>20</v>
      </c>
      <c r="D1273" s="2">
        <v>13066</v>
      </c>
      <c r="E1273" s="3">
        <f t="shared" si="8"/>
        <v>13.066000000000001</v>
      </c>
      <c r="G1273" s="2">
        <f t="shared" si="9"/>
        <v>13.066000000000001</v>
      </c>
    </row>
    <row r="1274" spans="1:7" ht="14.25" customHeight="1">
      <c r="A1274" s="2" t="s">
        <v>15</v>
      </c>
      <c r="B1274" s="2">
        <v>1929</v>
      </c>
      <c r="C1274" s="2" t="s">
        <v>20</v>
      </c>
      <c r="D1274" s="2">
        <v>14432</v>
      </c>
      <c r="E1274" s="3">
        <f t="shared" si="8"/>
        <v>14.432</v>
      </c>
      <c r="G1274" s="2">
        <f t="shared" si="9"/>
        <v>14.432</v>
      </c>
    </row>
    <row r="1275" spans="1:7" ht="14.25" customHeight="1">
      <c r="A1275" s="2" t="s">
        <v>15</v>
      </c>
      <c r="B1275" s="2">
        <v>1930</v>
      </c>
      <c r="C1275" s="2" t="s">
        <v>20</v>
      </c>
      <c r="D1275" s="2">
        <v>11558</v>
      </c>
      <c r="E1275" s="3">
        <f t="shared" si="8"/>
        <v>11.558</v>
      </c>
      <c r="G1275" s="2">
        <f t="shared" si="9"/>
        <v>11.558</v>
      </c>
    </row>
    <row r="1276" spans="1:7" ht="14.25" customHeight="1">
      <c r="A1276" s="2" t="s">
        <v>15</v>
      </c>
      <c r="B1276" s="2">
        <v>1931</v>
      </c>
      <c r="C1276" s="2" t="s">
        <v>20</v>
      </c>
      <c r="D1276" s="2">
        <v>14151</v>
      </c>
      <c r="E1276" s="3">
        <f t="shared" si="8"/>
        <v>14.151</v>
      </c>
      <c r="G1276" s="2">
        <f t="shared" si="9"/>
        <v>14.151</v>
      </c>
    </row>
    <row r="1277" spans="1:7" ht="14.25" customHeight="1">
      <c r="A1277" s="2" t="s">
        <v>15</v>
      </c>
      <c r="B1277" s="2">
        <v>1932</v>
      </c>
      <c r="C1277" s="2" t="s">
        <v>20</v>
      </c>
      <c r="D1277" s="2">
        <v>10799</v>
      </c>
      <c r="E1277" s="3">
        <f t="shared" ref="E1277:E1531" si="10">D1277/1000</f>
        <v>10.798999999999999</v>
      </c>
      <c r="G1277" s="2">
        <f t="shared" ref="G1277:G1531" si="11">E1277+F1277</f>
        <v>10.798999999999999</v>
      </c>
    </row>
    <row r="1278" spans="1:7" ht="14.25" customHeight="1">
      <c r="A1278" s="2" t="s">
        <v>15</v>
      </c>
      <c r="B1278" s="2">
        <v>1933</v>
      </c>
      <c r="C1278" s="2" t="s">
        <v>20</v>
      </c>
      <c r="D1278" s="2">
        <v>12025</v>
      </c>
      <c r="E1278" s="3">
        <f t="shared" si="10"/>
        <v>12.025</v>
      </c>
      <c r="G1278" s="2">
        <f t="shared" si="11"/>
        <v>12.025</v>
      </c>
    </row>
    <row r="1279" spans="1:7" ht="14.25" customHeight="1">
      <c r="A1279" s="2" t="s">
        <v>15</v>
      </c>
      <c r="B1279" s="2">
        <v>1934</v>
      </c>
      <c r="C1279" s="2" t="s">
        <v>20</v>
      </c>
      <c r="D1279" s="2">
        <v>12016</v>
      </c>
      <c r="E1279" s="3">
        <f t="shared" si="10"/>
        <v>12.016</v>
      </c>
      <c r="G1279" s="2">
        <f t="shared" si="11"/>
        <v>12.016</v>
      </c>
    </row>
    <row r="1280" spans="1:7" ht="14.25" customHeight="1">
      <c r="A1280" s="2" t="s">
        <v>15</v>
      </c>
      <c r="B1280" s="2">
        <v>1935</v>
      </c>
      <c r="C1280" s="2" t="s">
        <v>20</v>
      </c>
      <c r="D1280" s="2">
        <v>13369</v>
      </c>
      <c r="E1280" s="3">
        <f t="shared" si="10"/>
        <v>13.369</v>
      </c>
      <c r="G1280" s="2">
        <f t="shared" si="11"/>
        <v>13.369</v>
      </c>
    </row>
    <row r="1281" spans="1:7" ht="14.25" customHeight="1">
      <c r="A1281" s="2" t="s">
        <v>15</v>
      </c>
      <c r="B1281" s="2">
        <v>1936</v>
      </c>
      <c r="C1281" s="2" t="s">
        <v>20</v>
      </c>
      <c r="D1281" s="2">
        <v>14878</v>
      </c>
      <c r="E1281" s="3">
        <f t="shared" si="10"/>
        <v>14.878</v>
      </c>
      <c r="G1281" s="2">
        <f t="shared" si="11"/>
        <v>14.878</v>
      </c>
    </row>
    <row r="1282" spans="1:7" ht="14.25" customHeight="1">
      <c r="A1282" s="2" t="s">
        <v>15</v>
      </c>
      <c r="B1282" s="2">
        <v>1937</v>
      </c>
      <c r="C1282" s="2" t="s">
        <v>20</v>
      </c>
      <c r="D1282" s="2">
        <v>11588</v>
      </c>
      <c r="E1282" s="3">
        <f t="shared" si="10"/>
        <v>11.587999999999999</v>
      </c>
      <c r="G1282" s="2">
        <f t="shared" si="11"/>
        <v>11.587999999999999</v>
      </c>
    </row>
    <row r="1283" spans="1:7" ht="14.25" customHeight="1">
      <c r="A1283" s="2" t="s">
        <v>15</v>
      </c>
      <c r="B1283" s="2">
        <v>1938</v>
      </c>
      <c r="C1283" s="2" t="s">
        <v>20</v>
      </c>
      <c r="D1283" s="2">
        <v>12054</v>
      </c>
      <c r="E1283" s="3">
        <f t="shared" si="10"/>
        <v>12.054</v>
      </c>
      <c r="G1283" s="2">
        <f t="shared" si="11"/>
        <v>12.054</v>
      </c>
    </row>
    <row r="1284" spans="1:7" ht="14.25" customHeight="1">
      <c r="A1284" s="2" t="s">
        <v>15</v>
      </c>
      <c r="B1284" s="2">
        <v>1939</v>
      </c>
      <c r="C1284" s="2" t="s">
        <v>20</v>
      </c>
      <c r="D1284" s="2">
        <v>9094</v>
      </c>
      <c r="E1284" s="3">
        <f t="shared" si="10"/>
        <v>9.0939999999999994</v>
      </c>
      <c r="G1284" s="2">
        <f t="shared" si="11"/>
        <v>9.0939999999999994</v>
      </c>
    </row>
    <row r="1285" spans="1:7" ht="14.25" customHeight="1">
      <c r="A1285" s="2" t="s">
        <v>15</v>
      </c>
      <c r="B1285" s="2">
        <v>1940</v>
      </c>
      <c r="C1285" s="2" t="s">
        <v>20</v>
      </c>
      <c r="D1285" s="2">
        <v>9442</v>
      </c>
      <c r="E1285" s="3">
        <f t="shared" si="10"/>
        <v>9.4420000000000002</v>
      </c>
      <c r="G1285" s="2">
        <f t="shared" si="11"/>
        <v>9.4420000000000002</v>
      </c>
    </row>
    <row r="1286" spans="1:7" ht="14.25" customHeight="1">
      <c r="A1286" s="2" t="s">
        <v>15</v>
      </c>
      <c r="B1286" s="2">
        <v>1941</v>
      </c>
      <c r="C1286" s="2" t="s">
        <v>20</v>
      </c>
      <c r="D1286" s="2">
        <v>8746</v>
      </c>
      <c r="E1286" s="3">
        <f t="shared" si="10"/>
        <v>8.7460000000000004</v>
      </c>
      <c r="G1286" s="2">
        <f t="shared" si="11"/>
        <v>8.7460000000000004</v>
      </c>
    </row>
    <row r="1287" spans="1:7" ht="14.25" customHeight="1">
      <c r="A1287" s="2" t="s">
        <v>15</v>
      </c>
      <c r="B1287" s="2">
        <v>1942</v>
      </c>
      <c r="C1287" s="2" t="s">
        <v>20</v>
      </c>
      <c r="D1287" s="2">
        <v>8106</v>
      </c>
      <c r="E1287" s="3">
        <f t="shared" si="10"/>
        <v>8.1059999999999999</v>
      </c>
      <c r="G1287" s="2">
        <f t="shared" si="11"/>
        <v>8.1059999999999999</v>
      </c>
    </row>
    <row r="1288" spans="1:7" ht="14.25" customHeight="1">
      <c r="A1288" s="2" t="s">
        <v>15</v>
      </c>
      <c r="B1288" s="2">
        <v>1943</v>
      </c>
      <c r="C1288" s="2" t="s">
        <v>20</v>
      </c>
      <c r="D1288" s="2">
        <v>6618</v>
      </c>
      <c r="E1288" s="3">
        <f t="shared" si="10"/>
        <v>6.6180000000000003</v>
      </c>
      <c r="G1288" s="2">
        <f t="shared" si="11"/>
        <v>6.6180000000000003</v>
      </c>
    </row>
    <row r="1289" spans="1:7" ht="14.25" customHeight="1">
      <c r="A1289" s="2" t="s">
        <v>15</v>
      </c>
      <c r="B1289" s="2">
        <v>1944</v>
      </c>
      <c r="C1289" s="2" t="s">
        <v>20</v>
      </c>
      <c r="D1289" s="2">
        <v>8134</v>
      </c>
      <c r="E1289" s="3">
        <f t="shared" si="10"/>
        <v>8.1340000000000003</v>
      </c>
      <c r="G1289" s="2">
        <f t="shared" si="11"/>
        <v>8.1340000000000003</v>
      </c>
    </row>
    <row r="1290" spans="1:7" ht="14.25" customHeight="1">
      <c r="A1290" s="2" t="s">
        <v>15</v>
      </c>
      <c r="B1290" s="2">
        <v>1945</v>
      </c>
      <c r="C1290" s="2" t="s">
        <v>20</v>
      </c>
      <c r="D1290" s="2">
        <v>8564</v>
      </c>
      <c r="E1290" s="3">
        <f t="shared" si="10"/>
        <v>8.5640000000000001</v>
      </c>
      <c r="G1290" s="2">
        <f t="shared" si="11"/>
        <v>8.5640000000000001</v>
      </c>
    </row>
    <row r="1291" spans="1:7" ht="14.25" customHeight="1">
      <c r="A1291" s="2" t="s">
        <v>15</v>
      </c>
      <c r="B1291" s="2">
        <v>1946</v>
      </c>
      <c r="C1291" s="2" t="s">
        <v>20</v>
      </c>
      <c r="D1291" s="2">
        <v>6571</v>
      </c>
      <c r="E1291" s="3">
        <f t="shared" si="10"/>
        <v>6.5709999999999997</v>
      </c>
      <c r="G1291" s="2">
        <f t="shared" si="11"/>
        <v>6.5709999999999997</v>
      </c>
    </row>
    <row r="1292" spans="1:7" ht="14.25" customHeight="1">
      <c r="A1292" s="2" t="s">
        <v>15</v>
      </c>
      <c r="B1292" s="2">
        <v>1947</v>
      </c>
      <c r="C1292" s="2" t="s">
        <v>20</v>
      </c>
      <c r="D1292" s="2">
        <v>5577</v>
      </c>
      <c r="E1292" s="3">
        <f t="shared" si="10"/>
        <v>5.577</v>
      </c>
      <c r="G1292" s="2">
        <f t="shared" si="11"/>
        <v>5.577</v>
      </c>
    </row>
    <row r="1293" spans="1:7" ht="14.25" customHeight="1">
      <c r="A1293" s="2" t="s">
        <v>15</v>
      </c>
      <c r="B1293" s="2">
        <v>1948</v>
      </c>
      <c r="C1293" s="2" t="s">
        <v>20</v>
      </c>
      <c r="D1293" s="2">
        <v>15775</v>
      </c>
      <c r="E1293" s="3">
        <f t="shared" si="10"/>
        <v>15.775</v>
      </c>
      <c r="G1293" s="2">
        <f t="shared" si="11"/>
        <v>15.775</v>
      </c>
    </row>
    <row r="1294" spans="1:7" ht="14.25" customHeight="1">
      <c r="A1294" s="2" t="s">
        <v>15</v>
      </c>
      <c r="B1294" s="2">
        <v>1949</v>
      </c>
      <c r="C1294" s="2" t="s">
        <v>20</v>
      </c>
      <c r="D1294" s="2">
        <v>8217</v>
      </c>
      <c r="E1294" s="3">
        <f t="shared" si="10"/>
        <v>8.2170000000000005</v>
      </c>
      <c r="G1294" s="2">
        <f t="shared" si="11"/>
        <v>8.2170000000000005</v>
      </c>
    </row>
    <row r="1295" spans="1:7" ht="14.25" customHeight="1">
      <c r="A1295" s="2" t="s">
        <v>15</v>
      </c>
      <c r="B1295" s="2">
        <v>1950</v>
      </c>
      <c r="C1295" s="2" t="s">
        <v>20</v>
      </c>
      <c r="D1295" s="2">
        <v>4153</v>
      </c>
      <c r="E1295" s="3">
        <f t="shared" si="10"/>
        <v>4.1529999999999996</v>
      </c>
      <c r="G1295" s="2">
        <f t="shared" si="11"/>
        <v>4.1529999999999996</v>
      </c>
    </row>
    <row r="1296" spans="1:7" ht="14.25" customHeight="1">
      <c r="A1296" s="2" t="s">
        <v>15</v>
      </c>
      <c r="B1296" s="2">
        <v>1951</v>
      </c>
      <c r="C1296" s="2" t="s">
        <v>20</v>
      </c>
      <c r="D1296" s="2">
        <v>6315</v>
      </c>
      <c r="E1296" s="3">
        <f t="shared" si="10"/>
        <v>6.3150000000000004</v>
      </c>
      <c r="G1296" s="2">
        <f t="shared" si="11"/>
        <v>6.3150000000000004</v>
      </c>
    </row>
    <row r="1297" spans="1:7" ht="14.25" customHeight="1">
      <c r="A1297" s="2" t="s">
        <v>15</v>
      </c>
      <c r="B1297" s="2">
        <v>1952</v>
      </c>
      <c r="C1297" s="2" t="s">
        <v>20</v>
      </c>
      <c r="D1297" s="2">
        <v>6629</v>
      </c>
      <c r="E1297" s="3">
        <f t="shared" si="10"/>
        <v>6.6289999999999996</v>
      </c>
      <c r="G1297" s="2">
        <f t="shared" si="11"/>
        <v>6.6289999999999996</v>
      </c>
    </row>
    <row r="1298" spans="1:7" ht="14.25" customHeight="1">
      <c r="A1298" s="2" t="s">
        <v>15</v>
      </c>
      <c r="B1298" s="2">
        <v>1953</v>
      </c>
      <c r="C1298" s="2" t="s">
        <v>20</v>
      </c>
      <c r="D1298" s="2">
        <v>4505</v>
      </c>
      <c r="E1298" s="3">
        <f t="shared" si="10"/>
        <v>4.5049999999999999</v>
      </c>
      <c r="G1298" s="2">
        <f t="shared" si="11"/>
        <v>4.5049999999999999</v>
      </c>
    </row>
    <row r="1299" spans="1:7" ht="14.25" customHeight="1">
      <c r="A1299" s="2" t="s">
        <v>15</v>
      </c>
      <c r="B1299" s="2">
        <v>1954</v>
      </c>
      <c r="C1299" s="2" t="s">
        <v>20</v>
      </c>
      <c r="D1299" s="2">
        <v>5008</v>
      </c>
      <c r="E1299" s="3">
        <f t="shared" si="10"/>
        <v>5.008</v>
      </c>
      <c r="G1299" s="2">
        <f t="shared" si="11"/>
        <v>5.008</v>
      </c>
    </row>
    <row r="1300" spans="1:7" ht="14.25" customHeight="1">
      <c r="A1300" s="2" t="s">
        <v>15</v>
      </c>
      <c r="B1300" s="2">
        <v>1955</v>
      </c>
      <c r="C1300" s="2" t="s">
        <v>20</v>
      </c>
      <c r="D1300" s="2">
        <v>4237</v>
      </c>
      <c r="E1300" s="3">
        <f t="shared" si="10"/>
        <v>4.2370000000000001</v>
      </c>
      <c r="G1300" s="2">
        <f t="shared" si="11"/>
        <v>4.2370000000000001</v>
      </c>
    </row>
    <row r="1301" spans="1:7" ht="14.25" customHeight="1">
      <c r="A1301" s="2" t="s">
        <v>15</v>
      </c>
      <c r="B1301" s="2">
        <v>1956</v>
      </c>
      <c r="C1301" s="2" t="s">
        <v>20</v>
      </c>
      <c r="D1301" s="2">
        <v>3124</v>
      </c>
      <c r="E1301" s="3">
        <f t="shared" si="10"/>
        <v>3.1240000000000001</v>
      </c>
      <c r="G1301" s="2">
        <f t="shared" si="11"/>
        <v>3.1240000000000001</v>
      </c>
    </row>
    <row r="1302" spans="1:7" ht="14.25" customHeight="1">
      <c r="A1302" s="2" t="s">
        <v>15</v>
      </c>
      <c r="B1302" s="2">
        <v>1957</v>
      </c>
      <c r="C1302" s="2" t="s">
        <v>20</v>
      </c>
      <c r="D1302" s="2">
        <v>3784</v>
      </c>
      <c r="E1302" s="3">
        <f t="shared" si="10"/>
        <v>3.7839999999999998</v>
      </c>
      <c r="G1302" s="2">
        <f t="shared" si="11"/>
        <v>3.7839999999999998</v>
      </c>
    </row>
    <row r="1303" spans="1:7" ht="14.25" customHeight="1">
      <c r="A1303" s="2" t="s">
        <v>15</v>
      </c>
      <c r="B1303" s="2">
        <v>1958</v>
      </c>
      <c r="C1303" s="2" t="s">
        <v>20</v>
      </c>
      <c r="D1303" s="2">
        <v>3319</v>
      </c>
      <c r="E1303" s="3">
        <f t="shared" si="10"/>
        <v>3.319</v>
      </c>
      <c r="G1303" s="2">
        <f t="shared" si="11"/>
        <v>3.319</v>
      </c>
    </row>
    <row r="1304" spans="1:7" ht="14.25" customHeight="1">
      <c r="A1304" s="2" t="s">
        <v>15</v>
      </c>
      <c r="B1304" s="2">
        <v>1959</v>
      </c>
      <c r="C1304" s="2" t="s">
        <v>20</v>
      </c>
      <c r="D1304" s="2">
        <v>4853</v>
      </c>
      <c r="E1304" s="3">
        <f t="shared" si="10"/>
        <v>4.8529999999999998</v>
      </c>
      <c r="G1304" s="2">
        <f t="shared" si="11"/>
        <v>4.8529999999999998</v>
      </c>
    </row>
    <row r="1305" spans="1:7" ht="14.25" customHeight="1">
      <c r="A1305" s="2" t="s">
        <v>15</v>
      </c>
      <c r="B1305" s="2">
        <v>1960</v>
      </c>
      <c r="C1305" s="2" t="s">
        <v>20</v>
      </c>
      <c r="D1305" s="2">
        <v>3808</v>
      </c>
      <c r="E1305" s="3">
        <f t="shared" si="10"/>
        <v>3.8079999999999998</v>
      </c>
      <c r="G1305" s="2">
        <f t="shared" si="11"/>
        <v>3.8079999999999998</v>
      </c>
    </row>
    <row r="1306" spans="1:7" ht="14.25" customHeight="1">
      <c r="A1306" s="2" t="s">
        <v>15</v>
      </c>
      <c r="B1306" s="2">
        <v>1961</v>
      </c>
      <c r="C1306" s="2" t="s">
        <v>20</v>
      </c>
      <c r="D1306" s="2">
        <v>4945</v>
      </c>
      <c r="E1306" s="3">
        <f t="shared" si="10"/>
        <v>4.9450000000000003</v>
      </c>
      <c r="G1306" s="2">
        <f t="shared" si="11"/>
        <v>4.9450000000000003</v>
      </c>
    </row>
    <row r="1307" spans="1:7" ht="14.25" customHeight="1">
      <c r="A1307" s="2" t="s">
        <v>15</v>
      </c>
      <c r="B1307" s="2">
        <v>1962</v>
      </c>
      <c r="C1307" s="2" t="s">
        <v>20</v>
      </c>
      <c r="D1307" s="2">
        <v>4460</v>
      </c>
      <c r="E1307" s="3">
        <f t="shared" si="10"/>
        <v>4.46</v>
      </c>
      <c r="G1307" s="2">
        <f t="shared" si="11"/>
        <v>4.46</v>
      </c>
    </row>
    <row r="1308" spans="1:7" ht="14.25" customHeight="1">
      <c r="A1308" s="2" t="s">
        <v>15</v>
      </c>
      <c r="B1308" s="2">
        <v>1963</v>
      </c>
      <c r="C1308" s="2" t="s">
        <v>20</v>
      </c>
      <c r="D1308" s="2">
        <v>4298</v>
      </c>
      <c r="E1308" s="3">
        <f t="shared" si="10"/>
        <v>4.298</v>
      </c>
      <c r="G1308" s="2">
        <f t="shared" si="11"/>
        <v>4.298</v>
      </c>
    </row>
    <row r="1309" spans="1:7" ht="14.25" customHeight="1">
      <c r="A1309" s="2" t="s">
        <v>15</v>
      </c>
      <c r="B1309" s="2">
        <v>1964</v>
      </c>
      <c r="C1309" s="2" t="s">
        <v>20</v>
      </c>
      <c r="D1309" s="2">
        <v>3410</v>
      </c>
      <c r="E1309" s="3">
        <f t="shared" si="10"/>
        <v>3.41</v>
      </c>
      <c r="G1309" s="2">
        <f t="shared" si="11"/>
        <v>3.41</v>
      </c>
    </row>
    <row r="1310" spans="1:7" ht="14.25" customHeight="1">
      <c r="A1310" s="2" t="s">
        <v>15</v>
      </c>
      <c r="B1310" s="2">
        <v>1965</v>
      </c>
      <c r="C1310" s="2" t="s">
        <v>20</v>
      </c>
      <c r="D1310" s="2">
        <v>3225</v>
      </c>
      <c r="E1310" s="3">
        <f t="shared" si="10"/>
        <v>3.2250000000000001</v>
      </c>
      <c r="G1310" s="2">
        <f t="shared" si="11"/>
        <v>3.2250000000000001</v>
      </c>
    </row>
    <row r="1311" spans="1:7" ht="14.25" customHeight="1">
      <c r="A1311" s="2" t="s">
        <v>15</v>
      </c>
      <c r="B1311" s="2">
        <v>1966</v>
      </c>
      <c r="C1311" s="2" t="s">
        <v>20</v>
      </c>
      <c r="D1311" s="2">
        <v>3382</v>
      </c>
      <c r="E1311" s="3">
        <f t="shared" si="10"/>
        <v>3.3820000000000001</v>
      </c>
      <c r="G1311" s="2">
        <f t="shared" si="11"/>
        <v>3.3820000000000001</v>
      </c>
    </row>
    <row r="1312" spans="1:7" ht="14.25" customHeight="1">
      <c r="A1312" s="2" t="s">
        <v>15</v>
      </c>
      <c r="B1312" s="2">
        <v>1967</v>
      </c>
      <c r="C1312" s="2" t="s">
        <v>20</v>
      </c>
      <c r="D1312" s="2">
        <v>4078</v>
      </c>
      <c r="E1312" s="3">
        <f t="shared" si="10"/>
        <v>4.0780000000000003</v>
      </c>
      <c r="G1312" s="2">
        <f t="shared" si="11"/>
        <v>4.0780000000000003</v>
      </c>
    </row>
    <row r="1313" spans="1:7" ht="14.25" customHeight="1">
      <c r="A1313" s="2" t="s">
        <v>15</v>
      </c>
      <c r="B1313" s="2">
        <v>1968</v>
      </c>
      <c r="C1313" s="2" t="s">
        <v>20</v>
      </c>
      <c r="D1313" s="2">
        <v>3917</v>
      </c>
      <c r="E1313" s="3">
        <f t="shared" si="10"/>
        <v>3.9169999999999998</v>
      </c>
      <c r="G1313" s="2">
        <f t="shared" si="11"/>
        <v>3.9169999999999998</v>
      </c>
    </row>
    <row r="1314" spans="1:7" ht="14.25" customHeight="1">
      <c r="A1314" s="2" t="s">
        <v>15</v>
      </c>
      <c r="B1314" s="2">
        <v>1969</v>
      </c>
      <c r="C1314" s="2" t="s">
        <v>20</v>
      </c>
      <c r="D1314" s="2">
        <v>3647</v>
      </c>
      <c r="E1314" s="3">
        <f t="shared" si="10"/>
        <v>3.6469999999999998</v>
      </c>
      <c r="G1314" s="2">
        <f t="shared" si="11"/>
        <v>3.6469999999999998</v>
      </c>
    </row>
    <row r="1315" spans="1:7" ht="14.25" customHeight="1">
      <c r="A1315" s="2" t="s">
        <v>15</v>
      </c>
      <c r="B1315" s="2">
        <v>1970</v>
      </c>
      <c r="C1315" s="2" t="s">
        <v>20</v>
      </c>
      <c r="D1315" s="2">
        <v>4614</v>
      </c>
      <c r="E1315" s="3">
        <f t="shared" si="10"/>
        <v>4.6139999999999999</v>
      </c>
      <c r="G1315" s="2">
        <f t="shared" si="11"/>
        <v>4.6139999999999999</v>
      </c>
    </row>
    <row r="1316" spans="1:7" ht="14.25" customHeight="1">
      <c r="A1316" s="2" t="s">
        <v>15</v>
      </c>
      <c r="B1316" s="2">
        <v>1971</v>
      </c>
      <c r="C1316" s="2" t="s">
        <v>20</v>
      </c>
      <c r="D1316" s="2">
        <v>6554</v>
      </c>
      <c r="E1316" s="3">
        <f t="shared" si="10"/>
        <v>6.5540000000000003</v>
      </c>
      <c r="G1316" s="2">
        <f t="shared" si="11"/>
        <v>6.5540000000000003</v>
      </c>
    </row>
    <row r="1317" spans="1:7" ht="14.25" customHeight="1">
      <c r="A1317" s="2" t="s">
        <v>15</v>
      </c>
      <c r="B1317" s="2">
        <v>1972</v>
      </c>
      <c r="C1317" s="2" t="s">
        <v>20</v>
      </c>
      <c r="D1317" s="2">
        <v>8824</v>
      </c>
      <c r="E1317" s="3">
        <f t="shared" si="10"/>
        <v>8.8239999999999998</v>
      </c>
      <c r="G1317" s="2">
        <f t="shared" si="11"/>
        <v>8.8239999999999998</v>
      </c>
    </row>
    <row r="1318" spans="1:7" ht="14.25" customHeight="1">
      <c r="A1318" s="2" t="s">
        <v>15</v>
      </c>
      <c r="B1318" s="2">
        <v>1973</v>
      </c>
      <c r="C1318" s="2" t="s">
        <v>20</v>
      </c>
      <c r="D1318" s="2">
        <v>21371</v>
      </c>
      <c r="E1318" s="3">
        <f t="shared" si="10"/>
        <v>21.370999999999999</v>
      </c>
      <c r="G1318" s="2">
        <f t="shared" si="11"/>
        <v>21.370999999999999</v>
      </c>
    </row>
    <row r="1319" spans="1:7" ht="14.25" customHeight="1">
      <c r="A1319" s="2" t="s">
        <v>15</v>
      </c>
      <c r="B1319" s="2">
        <v>1974</v>
      </c>
      <c r="C1319" s="2" t="s">
        <v>20</v>
      </c>
      <c r="D1319" s="2">
        <v>30133</v>
      </c>
      <c r="E1319" s="3">
        <f t="shared" si="10"/>
        <v>30.132999999999999</v>
      </c>
      <c r="G1319" s="2">
        <f t="shared" si="11"/>
        <v>30.132999999999999</v>
      </c>
    </row>
    <row r="1320" spans="1:7" ht="14.25" customHeight="1">
      <c r="A1320" s="2" t="s">
        <v>15</v>
      </c>
      <c r="B1320" s="2">
        <v>1975</v>
      </c>
      <c r="C1320" s="2" t="s">
        <v>20</v>
      </c>
      <c r="D1320" s="2">
        <v>48354</v>
      </c>
      <c r="E1320" s="3">
        <f t="shared" si="10"/>
        <v>48.353999999999999</v>
      </c>
      <c r="G1320" s="2">
        <f t="shared" si="11"/>
        <v>48.353999999999999</v>
      </c>
    </row>
    <row r="1321" spans="1:7" ht="14.25" customHeight="1">
      <c r="A1321" s="2" t="s">
        <v>15</v>
      </c>
      <c r="B1321" s="2">
        <v>1976</v>
      </c>
      <c r="C1321" s="2" t="s">
        <v>20</v>
      </c>
      <c r="D1321" s="2">
        <v>87100</v>
      </c>
      <c r="E1321" s="3">
        <f t="shared" si="10"/>
        <v>87.1</v>
      </c>
      <c r="G1321" s="2">
        <f t="shared" si="11"/>
        <v>87.1</v>
      </c>
    </row>
    <row r="1322" spans="1:7" ht="14.25" customHeight="1">
      <c r="A1322" s="2" t="s">
        <v>15</v>
      </c>
      <c r="B1322" s="2">
        <v>1977</v>
      </c>
      <c r="C1322" s="2" t="s">
        <v>20</v>
      </c>
      <c r="D1322" s="2">
        <v>186765</v>
      </c>
      <c r="E1322" s="3">
        <f t="shared" si="10"/>
        <v>186.76499999999999</v>
      </c>
      <c r="G1322" s="2">
        <f t="shared" si="11"/>
        <v>186.76499999999999</v>
      </c>
    </row>
    <row r="1323" spans="1:7" ht="14.25" customHeight="1">
      <c r="A1323" s="2" t="s">
        <v>15</v>
      </c>
      <c r="B1323" s="2">
        <v>1978</v>
      </c>
      <c r="C1323" s="2" t="s">
        <v>20</v>
      </c>
      <c r="D1323" s="2">
        <v>320920</v>
      </c>
      <c r="E1323" s="3">
        <f t="shared" si="10"/>
        <v>320.92</v>
      </c>
      <c r="G1323" s="2">
        <f t="shared" si="11"/>
        <v>320.92</v>
      </c>
    </row>
    <row r="1324" spans="1:7" ht="14.25" customHeight="1">
      <c r="A1324" s="2" t="s">
        <v>15</v>
      </c>
      <c r="B1324" s="2">
        <v>1979</v>
      </c>
      <c r="C1324" s="2" t="s">
        <v>20</v>
      </c>
      <c r="D1324" s="2">
        <v>352532</v>
      </c>
      <c r="E1324" s="3">
        <f t="shared" si="10"/>
        <v>352.53199999999998</v>
      </c>
      <c r="G1324" s="2">
        <f t="shared" si="11"/>
        <v>352.53199999999998</v>
      </c>
    </row>
    <row r="1325" spans="1:7" ht="14.25" customHeight="1">
      <c r="A1325" s="2" t="s">
        <v>15</v>
      </c>
      <c r="B1325" s="2">
        <v>1980</v>
      </c>
      <c r="C1325" s="2" t="s">
        <v>20</v>
      </c>
      <c r="D1325" s="2">
        <v>270630</v>
      </c>
      <c r="E1325" s="3">
        <f t="shared" si="10"/>
        <v>270.63</v>
      </c>
      <c r="G1325" s="2">
        <f t="shared" si="11"/>
        <v>270.63</v>
      </c>
    </row>
    <row r="1326" spans="1:7" ht="14.25" customHeight="1">
      <c r="A1326" s="2" t="s">
        <v>15</v>
      </c>
      <c r="B1326" s="2">
        <v>1981</v>
      </c>
      <c r="C1326" s="2" t="s">
        <v>20</v>
      </c>
      <c r="D1326" s="2">
        <v>238890</v>
      </c>
      <c r="E1326" s="3">
        <f t="shared" si="10"/>
        <v>238.89</v>
      </c>
      <c r="G1326" s="2">
        <f t="shared" si="11"/>
        <v>238.89</v>
      </c>
    </row>
    <row r="1327" spans="1:7" ht="14.25" customHeight="1">
      <c r="A1327" s="2" t="s">
        <v>15</v>
      </c>
      <c r="B1327" s="2">
        <v>1982</v>
      </c>
      <c r="C1327" s="2" t="s">
        <v>20</v>
      </c>
      <c r="D1327" s="2">
        <v>228758</v>
      </c>
      <c r="E1327" s="3">
        <f t="shared" si="10"/>
        <v>228.75800000000001</v>
      </c>
      <c r="G1327" s="2">
        <f t="shared" si="11"/>
        <v>228.75800000000001</v>
      </c>
    </row>
    <row r="1328" spans="1:7" ht="14.25" customHeight="1">
      <c r="A1328" s="2" t="s">
        <v>15</v>
      </c>
      <c r="B1328" s="2">
        <v>1983</v>
      </c>
      <c r="C1328" s="2" t="s">
        <v>20</v>
      </c>
      <c r="D1328" s="2">
        <v>189215</v>
      </c>
      <c r="E1328" s="3">
        <f t="shared" si="10"/>
        <v>189.215</v>
      </c>
      <c r="G1328" s="2">
        <f t="shared" si="11"/>
        <v>189.215</v>
      </c>
    </row>
    <row r="1329" spans="1:7" ht="14.25" customHeight="1">
      <c r="A1329" s="2" t="s">
        <v>15</v>
      </c>
      <c r="B1329" s="2">
        <v>1984</v>
      </c>
      <c r="C1329" s="2" t="s">
        <v>20</v>
      </c>
      <c r="D1329" s="2">
        <v>198733</v>
      </c>
      <c r="E1329" s="3">
        <f t="shared" si="10"/>
        <v>198.733</v>
      </c>
      <c r="G1329" s="2">
        <f t="shared" si="11"/>
        <v>198.733</v>
      </c>
    </row>
    <row r="1330" spans="1:7" ht="14.25" customHeight="1">
      <c r="A1330" s="2" t="s">
        <v>15</v>
      </c>
      <c r="B1330" s="2">
        <v>1985</v>
      </c>
      <c r="C1330" s="2" t="s">
        <v>20</v>
      </c>
      <c r="D1330" s="2">
        <v>200793</v>
      </c>
      <c r="E1330" s="3">
        <f t="shared" si="10"/>
        <v>200.79300000000001</v>
      </c>
      <c r="G1330" s="2">
        <f t="shared" si="11"/>
        <v>200.79300000000001</v>
      </c>
    </row>
    <row r="1331" spans="1:7" ht="14.25" customHeight="1">
      <c r="A1331" s="2" t="s">
        <v>15</v>
      </c>
      <c r="B1331" s="2">
        <v>1986</v>
      </c>
      <c r="C1331" s="2" t="s">
        <v>20</v>
      </c>
      <c r="D1331" s="2">
        <v>157051</v>
      </c>
      <c r="E1331" s="3">
        <f t="shared" si="10"/>
        <v>157.05099999999999</v>
      </c>
      <c r="G1331" s="2">
        <f t="shared" si="11"/>
        <v>157.05099999999999</v>
      </c>
    </row>
    <row r="1332" spans="1:7" ht="14.25" customHeight="1">
      <c r="A1332" s="2" t="s">
        <v>15</v>
      </c>
      <c r="B1332" s="2">
        <v>1987</v>
      </c>
      <c r="C1332" s="2" t="s">
        <v>20</v>
      </c>
      <c r="D1332" s="2">
        <v>224106</v>
      </c>
      <c r="E1332" s="3">
        <f t="shared" si="10"/>
        <v>224.10599999999999</v>
      </c>
      <c r="G1332" s="2">
        <f t="shared" si="11"/>
        <v>224.10599999999999</v>
      </c>
    </row>
    <row r="1333" spans="1:7" ht="14.25" customHeight="1">
      <c r="A1333" s="2" t="s">
        <v>15</v>
      </c>
      <c r="B1333" s="2">
        <v>1988</v>
      </c>
      <c r="C1333" s="2" t="s">
        <v>20</v>
      </c>
      <c r="D1333" s="2">
        <v>218273</v>
      </c>
      <c r="E1333" s="3">
        <f t="shared" si="10"/>
        <v>218.273</v>
      </c>
      <c r="G1333" s="2">
        <f t="shared" si="11"/>
        <v>218.273</v>
      </c>
    </row>
    <row r="1334" spans="1:7" ht="14.25" customHeight="1">
      <c r="A1334" s="2" t="s">
        <v>15</v>
      </c>
      <c r="B1334" s="2">
        <v>1989</v>
      </c>
      <c r="C1334" s="2" t="s">
        <v>20</v>
      </c>
      <c r="D1334" s="2">
        <v>226748</v>
      </c>
      <c r="E1334" s="3">
        <f t="shared" si="10"/>
        <v>226.74799999999999</v>
      </c>
      <c r="G1334" s="2">
        <f t="shared" si="11"/>
        <v>226.74799999999999</v>
      </c>
    </row>
    <row r="1335" spans="1:7" ht="14.25" customHeight="1">
      <c r="A1335" s="2" t="s">
        <v>15</v>
      </c>
      <c r="B1335" s="2">
        <v>1990</v>
      </c>
      <c r="C1335" s="2" t="s">
        <v>20</v>
      </c>
      <c r="D1335" s="2">
        <v>195029</v>
      </c>
      <c r="E1335" s="3">
        <f t="shared" si="10"/>
        <v>195.029</v>
      </c>
      <c r="G1335" s="2">
        <f t="shared" si="11"/>
        <v>195.029</v>
      </c>
    </row>
    <row r="1336" spans="1:7" ht="14.25" customHeight="1">
      <c r="A1336" s="2" t="s">
        <v>15</v>
      </c>
      <c r="B1336" s="2">
        <v>1991</v>
      </c>
      <c r="C1336" s="2" t="s">
        <v>20</v>
      </c>
      <c r="D1336" s="2">
        <v>199527</v>
      </c>
      <c r="E1336" s="3">
        <f t="shared" si="10"/>
        <v>199.52699999999999</v>
      </c>
      <c r="G1336" s="2">
        <f t="shared" si="11"/>
        <v>199.52699999999999</v>
      </c>
    </row>
    <row r="1337" spans="1:7" ht="14.25" customHeight="1">
      <c r="A1337" s="2" t="s">
        <v>15</v>
      </c>
      <c r="B1337" s="2">
        <v>1992</v>
      </c>
      <c r="C1337" s="2" t="s">
        <v>20</v>
      </c>
      <c r="D1337" s="2">
        <v>234583</v>
      </c>
      <c r="E1337" s="3">
        <f t="shared" si="10"/>
        <v>234.583</v>
      </c>
      <c r="G1337" s="2">
        <f t="shared" si="11"/>
        <v>234.583</v>
      </c>
    </row>
    <row r="1338" spans="1:7" ht="14.25" customHeight="1">
      <c r="A1338" s="2" t="s">
        <v>15</v>
      </c>
      <c r="B1338" s="2">
        <v>1993</v>
      </c>
      <c r="C1338" s="2" t="s">
        <v>20</v>
      </c>
      <c r="D1338" s="2">
        <v>257736</v>
      </c>
      <c r="E1338" s="3">
        <f t="shared" si="10"/>
        <v>257.73599999999999</v>
      </c>
      <c r="G1338" s="2">
        <f t="shared" si="11"/>
        <v>257.73599999999999</v>
      </c>
    </row>
    <row r="1339" spans="1:7" ht="14.25" customHeight="1">
      <c r="A1339" s="2" t="s">
        <v>15</v>
      </c>
      <c r="B1339" s="2">
        <v>1994</v>
      </c>
      <c r="C1339" s="2" t="s">
        <v>20</v>
      </c>
      <c r="D1339" s="2">
        <v>238457</v>
      </c>
      <c r="E1339" s="3">
        <f t="shared" si="10"/>
        <v>238.45699999999999</v>
      </c>
      <c r="G1339" s="2">
        <f t="shared" si="11"/>
        <v>238.45699999999999</v>
      </c>
    </row>
    <row r="1340" spans="1:7" ht="14.25" customHeight="1">
      <c r="A1340" s="2" t="s">
        <v>15</v>
      </c>
      <c r="B1340" s="2">
        <v>1995</v>
      </c>
      <c r="C1340" s="2" t="s">
        <v>20</v>
      </c>
      <c r="D1340" s="2">
        <v>218417</v>
      </c>
      <c r="E1340" s="3">
        <f t="shared" si="10"/>
        <v>218.417</v>
      </c>
      <c r="G1340" s="2">
        <f t="shared" si="11"/>
        <v>218.417</v>
      </c>
    </row>
    <row r="1341" spans="1:7" ht="14.25" customHeight="1">
      <c r="A1341" s="2" t="s">
        <v>15</v>
      </c>
      <c r="B1341" s="2">
        <v>1996</v>
      </c>
      <c r="C1341" s="2" t="s">
        <v>20</v>
      </c>
      <c r="D1341" s="2">
        <v>144965</v>
      </c>
      <c r="E1341" s="3">
        <f t="shared" si="10"/>
        <v>144.965</v>
      </c>
      <c r="G1341" s="2">
        <f t="shared" si="11"/>
        <v>144.965</v>
      </c>
    </row>
    <row r="1342" spans="1:7" ht="14.25" customHeight="1">
      <c r="A1342" s="2" t="s">
        <v>15</v>
      </c>
      <c r="B1342" s="2">
        <v>1997</v>
      </c>
      <c r="C1342" s="2" t="s">
        <v>20</v>
      </c>
      <c r="D1342" s="2">
        <v>149445</v>
      </c>
      <c r="E1342" s="3">
        <f t="shared" si="10"/>
        <v>149.44499999999999</v>
      </c>
      <c r="G1342" s="2">
        <f t="shared" si="11"/>
        <v>149.44499999999999</v>
      </c>
    </row>
    <row r="1343" spans="1:7" ht="14.25" customHeight="1">
      <c r="A1343" s="2" t="s">
        <v>15</v>
      </c>
      <c r="B1343" s="2">
        <v>1998</v>
      </c>
      <c r="C1343" s="2" t="s">
        <v>20</v>
      </c>
      <c r="D1343" s="2">
        <v>179711</v>
      </c>
      <c r="E1343" s="3">
        <f t="shared" si="10"/>
        <v>179.71100000000001</v>
      </c>
      <c r="G1343" s="2">
        <f t="shared" si="11"/>
        <v>179.71100000000001</v>
      </c>
    </row>
    <row r="1344" spans="1:7" ht="14.25" customHeight="1">
      <c r="A1344" s="2" t="s">
        <v>15</v>
      </c>
      <c r="B1344" s="2">
        <v>1999</v>
      </c>
      <c r="C1344" s="2" t="s">
        <v>20</v>
      </c>
      <c r="D1344" s="2">
        <v>166658</v>
      </c>
      <c r="E1344" s="3">
        <f t="shared" si="10"/>
        <v>166.65799999999999</v>
      </c>
      <c r="G1344" s="2">
        <f t="shared" si="11"/>
        <v>166.65799999999999</v>
      </c>
    </row>
    <row r="1345" spans="1:7" ht="14.25" customHeight="1">
      <c r="A1345" s="2" t="s">
        <v>15</v>
      </c>
      <c r="B1345" s="2">
        <v>2000</v>
      </c>
      <c r="C1345" s="2" t="s">
        <v>20</v>
      </c>
      <c r="D1345" s="2">
        <v>193638</v>
      </c>
      <c r="E1345" s="3">
        <f t="shared" si="10"/>
        <v>193.63800000000001</v>
      </c>
      <c r="G1345" s="2">
        <f t="shared" si="11"/>
        <v>193.63800000000001</v>
      </c>
    </row>
    <row r="1346" spans="1:7" ht="14.25" customHeight="1">
      <c r="A1346" s="2" t="s">
        <v>15</v>
      </c>
      <c r="B1346" s="2">
        <v>2001</v>
      </c>
      <c r="C1346" s="2" t="s">
        <v>20</v>
      </c>
      <c r="D1346" s="2">
        <v>198953</v>
      </c>
      <c r="E1346" s="3">
        <f t="shared" si="10"/>
        <v>198.953</v>
      </c>
      <c r="G1346" s="2">
        <f t="shared" si="11"/>
        <v>198.953</v>
      </c>
    </row>
    <row r="1347" spans="1:7" ht="14.25" customHeight="1">
      <c r="A1347" s="2" t="s">
        <v>15</v>
      </c>
      <c r="B1347" s="2">
        <v>2002</v>
      </c>
      <c r="C1347" s="2" t="s">
        <v>20</v>
      </c>
      <c r="D1347" s="2">
        <v>200405</v>
      </c>
      <c r="E1347" s="3">
        <f t="shared" si="10"/>
        <v>200.405</v>
      </c>
      <c r="G1347" s="2">
        <f t="shared" si="11"/>
        <v>200.405</v>
      </c>
    </row>
    <row r="1348" spans="1:7" ht="14.25" customHeight="1">
      <c r="A1348" s="2" t="s">
        <v>15</v>
      </c>
      <c r="B1348" s="2">
        <v>2003</v>
      </c>
      <c r="C1348" s="2" t="s">
        <v>20</v>
      </c>
      <c r="D1348" s="2">
        <v>183021</v>
      </c>
      <c r="E1348" s="3">
        <f t="shared" si="10"/>
        <v>183.02099999999999</v>
      </c>
      <c r="G1348" s="2">
        <f t="shared" si="11"/>
        <v>183.02099999999999</v>
      </c>
    </row>
    <row r="1349" spans="1:7" ht="14.25" customHeight="1">
      <c r="A1349" s="2" t="s">
        <v>15</v>
      </c>
      <c r="B1349" s="2">
        <v>2004</v>
      </c>
      <c r="C1349" s="2" t="s">
        <v>20</v>
      </c>
      <c r="D1349" s="2">
        <v>174733</v>
      </c>
      <c r="E1349" s="3">
        <f t="shared" si="10"/>
        <v>174.733</v>
      </c>
      <c r="G1349" s="2">
        <f t="shared" si="11"/>
        <v>174.733</v>
      </c>
    </row>
    <row r="1350" spans="1:7" ht="14.25" customHeight="1">
      <c r="A1350" s="2" t="s">
        <v>15</v>
      </c>
      <c r="B1350" s="2">
        <v>2005</v>
      </c>
      <c r="C1350" s="2" t="s">
        <v>20</v>
      </c>
      <c r="D1350" s="2">
        <v>126605</v>
      </c>
      <c r="E1350" s="3">
        <f t="shared" si="10"/>
        <v>126.605</v>
      </c>
      <c r="G1350" s="2">
        <f t="shared" si="11"/>
        <v>126.605</v>
      </c>
    </row>
    <row r="1351" spans="1:7" ht="14.25" customHeight="1">
      <c r="A1351" s="2" t="s">
        <v>15</v>
      </c>
      <c r="B1351" s="2">
        <v>2006</v>
      </c>
      <c r="C1351" s="2" t="s">
        <v>20</v>
      </c>
      <c r="D1351" s="2">
        <v>103032.05</v>
      </c>
      <c r="E1351" s="3">
        <f t="shared" si="10"/>
        <v>103.03205</v>
      </c>
      <c r="G1351" s="2">
        <f t="shared" si="11"/>
        <v>103.03205</v>
      </c>
    </row>
    <row r="1352" spans="1:7" ht="14.25" customHeight="1">
      <c r="A1352" s="2" t="s">
        <v>15</v>
      </c>
      <c r="B1352" s="2">
        <v>2007</v>
      </c>
      <c r="C1352" s="2" t="s">
        <v>20</v>
      </c>
      <c r="D1352" s="2">
        <v>133699.51</v>
      </c>
      <c r="E1352" s="3">
        <f t="shared" si="10"/>
        <v>133.69951</v>
      </c>
      <c r="G1352" s="2">
        <f t="shared" si="11"/>
        <v>133.69951</v>
      </c>
    </row>
    <row r="1353" spans="1:7" ht="14.25" customHeight="1">
      <c r="A1353" s="2" t="s">
        <v>15</v>
      </c>
      <c r="B1353" s="2">
        <v>2008</v>
      </c>
      <c r="C1353" s="2" t="s">
        <v>20</v>
      </c>
      <c r="D1353" s="2">
        <v>124928.02</v>
      </c>
      <c r="E1353" s="3">
        <f t="shared" si="10"/>
        <v>124.92802</v>
      </c>
      <c r="G1353" s="2">
        <f t="shared" si="11"/>
        <v>124.92802</v>
      </c>
    </row>
    <row r="1354" spans="1:7" ht="14.25" customHeight="1">
      <c r="A1354" s="2" t="s">
        <v>15</v>
      </c>
      <c r="B1354" s="2">
        <v>2009</v>
      </c>
      <c r="C1354" s="2" t="s">
        <v>20</v>
      </c>
      <c r="D1354" s="2">
        <v>171984.31</v>
      </c>
      <c r="E1354" s="3">
        <f t="shared" si="10"/>
        <v>171.98430999999999</v>
      </c>
      <c r="G1354" s="2">
        <f t="shared" si="11"/>
        <v>171.98430999999999</v>
      </c>
    </row>
    <row r="1355" spans="1:7" ht="14.25" customHeight="1">
      <c r="A1355" s="2" t="s">
        <v>15</v>
      </c>
      <c r="B1355" s="2">
        <v>2010</v>
      </c>
      <c r="C1355" s="2" t="s">
        <v>20</v>
      </c>
      <c r="D1355" s="2">
        <v>160427.79999999999</v>
      </c>
      <c r="E1355" s="3">
        <f t="shared" si="10"/>
        <v>160.42779999999999</v>
      </c>
      <c r="G1355" s="2">
        <f t="shared" si="11"/>
        <v>160.42779999999999</v>
      </c>
    </row>
    <row r="1356" spans="1:7" ht="14.25" customHeight="1">
      <c r="A1356" s="2" t="s">
        <v>15</v>
      </c>
      <c r="B1356" s="2">
        <v>2011</v>
      </c>
      <c r="C1356" s="2" t="s">
        <v>20</v>
      </c>
      <c r="D1356" s="2">
        <v>181644.4</v>
      </c>
      <c r="E1356" s="3">
        <f t="shared" si="10"/>
        <v>181.64439999999999</v>
      </c>
      <c r="G1356" s="2">
        <f t="shared" si="11"/>
        <v>181.64439999999999</v>
      </c>
    </row>
    <row r="1357" spans="1:7" ht="14.25" customHeight="1">
      <c r="A1357" s="2" t="s">
        <v>15</v>
      </c>
      <c r="B1357" s="2">
        <v>2012</v>
      </c>
      <c r="C1357" s="2" t="s">
        <v>20</v>
      </c>
      <c r="D1357" s="2">
        <v>168476.2</v>
      </c>
      <c r="E1357" s="3">
        <f t="shared" si="10"/>
        <v>168.47620000000001</v>
      </c>
      <c r="G1357" s="2">
        <f t="shared" si="11"/>
        <v>168.47620000000001</v>
      </c>
    </row>
    <row r="1358" spans="1:7" ht="14.25" customHeight="1">
      <c r="A1358" s="2" t="s">
        <v>15</v>
      </c>
      <c r="B1358" s="2">
        <v>2013</v>
      </c>
      <c r="C1358" s="2" t="s">
        <v>20</v>
      </c>
      <c r="D1358" s="2">
        <v>163800.62</v>
      </c>
      <c r="E1358" s="3">
        <f t="shared" si="10"/>
        <v>163.80062000000001</v>
      </c>
      <c r="G1358" s="2">
        <f t="shared" si="11"/>
        <v>163.80062000000001</v>
      </c>
    </row>
    <row r="1359" spans="1:7" ht="14.25" customHeight="1">
      <c r="A1359" s="2" t="s">
        <v>15</v>
      </c>
      <c r="B1359" s="2">
        <v>2014</v>
      </c>
      <c r="C1359" s="2" t="s">
        <v>20</v>
      </c>
      <c r="D1359" s="2">
        <v>287974.44</v>
      </c>
      <c r="E1359" s="3">
        <f t="shared" si="10"/>
        <v>287.97444000000002</v>
      </c>
      <c r="G1359" s="2">
        <f t="shared" si="11"/>
        <v>287.97444000000002</v>
      </c>
    </row>
    <row r="1360" spans="1:7" ht="14.25" customHeight="1">
      <c r="A1360" s="2" t="s">
        <v>15</v>
      </c>
      <c r="B1360" s="2">
        <v>2015</v>
      </c>
      <c r="C1360" s="2" t="s">
        <v>20</v>
      </c>
      <c r="D1360" s="2">
        <v>247986.98</v>
      </c>
      <c r="E1360" s="3">
        <f t="shared" si="10"/>
        <v>247.98698000000002</v>
      </c>
      <c r="G1360" s="2">
        <f t="shared" si="11"/>
        <v>247.98698000000002</v>
      </c>
    </row>
    <row r="1361" spans="1:7" ht="14.25" customHeight="1">
      <c r="A1361" s="2" t="s">
        <v>15</v>
      </c>
      <c r="B1361" s="2">
        <v>2016</v>
      </c>
      <c r="C1361" s="2" t="s">
        <v>20</v>
      </c>
      <c r="D1361" s="2">
        <v>217331.95</v>
      </c>
      <c r="E1361" s="3">
        <f t="shared" si="10"/>
        <v>217.33195000000001</v>
      </c>
      <c r="G1361" s="2">
        <f t="shared" si="11"/>
        <v>217.33195000000001</v>
      </c>
    </row>
    <row r="1362" spans="1:7" ht="14.25" customHeight="1">
      <c r="A1362" s="2" t="s">
        <v>15</v>
      </c>
      <c r="B1362" s="2">
        <v>2017</v>
      </c>
      <c r="C1362" s="2" t="s">
        <v>20</v>
      </c>
      <c r="D1362" s="2">
        <v>228688.75</v>
      </c>
      <c r="E1362" s="3">
        <f t="shared" si="10"/>
        <v>228.68875</v>
      </c>
      <c r="G1362" s="2">
        <f t="shared" si="11"/>
        <v>228.68875</v>
      </c>
    </row>
    <row r="1363" spans="1:7" ht="14.25" customHeight="1">
      <c r="A1363" s="2" t="s">
        <v>15</v>
      </c>
      <c r="B1363" s="2">
        <v>2018</v>
      </c>
      <c r="C1363" s="2" t="s">
        <v>20</v>
      </c>
      <c r="D1363" s="2">
        <v>193105.33600000001</v>
      </c>
      <c r="E1363" s="3">
        <f t="shared" si="10"/>
        <v>193.10533600000002</v>
      </c>
      <c r="G1363" s="2">
        <f t="shared" si="11"/>
        <v>193.10533600000002</v>
      </c>
    </row>
    <row r="1364" spans="1:7" ht="14.25" customHeight="1">
      <c r="A1364" s="2" t="s">
        <v>15</v>
      </c>
      <c r="B1364" s="2">
        <v>1903</v>
      </c>
      <c r="C1364" s="2" t="s">
        <v>57</v>
      </c>
      <c r="D1364" s="2">
        <v>2711</v>
      </c>
      <c r="E1364" s="3">
        <f t="shared" si="10"/>
        <v>2.7109999999999999</v>
      </c>
      <c r="G1364" s="2">
        <f t="shared" si="11"/>
        <v>2.7109999999999999</v>
      </c>
    </row>
    <row r="1365" spans="1:7" ht="14.25" customHeight="1">
      <c r="A1365" s="2" t="s">
        <v>15</v>
      </c>
      <c r="B1365" s="2">
        <v>1904</v>
      </c>
      <c r="C1365" s="2" t="s">
        <v>57</v>
      </c>
      <c r="D1365" s="2">
        <v>3655</v>
      </c>
      <c r="E1365" s="3">
        <f t="shared" si="10"/>
        <v>3.6549999999999998</v>
      </c>
      <c r="G1365" s="2">
        <f t="shared" si="11"/>
        <v>3.6549999999999998</v>
      </c>
    </row>
    <row r="1366" spans="1:7" ht="14.25" customHeight="1">
      <c r="A1366" s="2" t="s">
        <v>15</v>
      </c>
      <c r="B1366" s="2">
        <v>1905</v>
      </c>
      <c r="C1366" s="2" t="s">
        <v>57</v>
      </c>
      <c r="D1366" s="2">
        <v>3756</v>
      </c>
      <c r="E1366" s="3">
        <f t="shared" si="10"/>
        <v>3.7559999999999998</v>
      </c>
      <c r="G1366" s="2">
        <f t="shared" si="11"/>
        <v>3.7559999999999998</v>
      </c>
    </row>
    <row r="1367" spans="1:7" ht="14.25" customHeight="1">
      <c r="A1367" s="2" t="s">
        <v>15</v>
      </c>
      <c r="B1367" s="2">
        <v>1906</v>
      </c>
      <c r="C1367" s="2" t="s">
        <v>57</v>
      </c>
      <c r="D1367" s="2">
        <v>3465</v>
      </c>
      <c r="E1367" s="3">
        <f t="shared" si="10"/>
        <v>3.4649999999999999</v>
      </c>
      <c r="G1367" s="2">
        <f t="shared" si="11"/>
        <v>3.4649999999999999</v>
      </c>
    </row>
    <row r="1368" spans="1:7" ht="14.25" customHeight="1">
      <c r="A1368" s="2" t="s">
        <v>15</v>
      </c>
      <c r="B1368" s="2">
        <v>1907</v>
      </c>
      <c r="C1368" s="2" t="s">
        <v>57</v>
      </c>
      <c r="D1368" s="2">
        <v>5161</v>
      </c>
      <c r="E1368" s="3">
        <f t="shared" si="10"/>
        <v>5.1609999999999996</v>
      </c>
      <c r="G1368" s="2">
        <f t="shared" si="11"/>
        <v>5.1609999999999996</v>
      </c>
    </row>
    <row r="1369" spans="1:7" ht="14.25" customHeight="1">
      <c r="A1369" s="2" t="s">
        <v>15</v>
      </c>
      <c r="B1369" s="2">
        <v>1908</v>
      </c>
      <c r="C1369" s="2" t="s">
        <v>57</v>
      </c>
      <c r="D1369" s="2">
        <v>5213</v>
      </c>
      <c r="E1369" s="3">
        <f t="shared" si="10"/>
        <v>5.2130000000000001</v>
      </c>
      <c r="G1369" s="2">
        <f t="shared" si="11"/>
        <v>5.2130000000000001</v>
      </c>
    </row>
    <row r="1370" spans="1:7" ht="14.25" customHeight="1">
      <c r="A1370" s="2" t="s">
        <v>15</v>
      </c>
      <c r="B1370" s="2">
        <v>1909</v>
      </c>
      <c r="C1370" s="2" t="s">
        <v>57</v>
      </c>
      <c r="D1370" s="2">
        <v>5862</v>
      </c>
      <c r="E1370" s="3">
        <f t="shared" si="10"/>
        <v>5.8620000000000001</v>
      </c>
      <c r="G1370" s="2">
        <f t="shared" si="11"/>
        <v>5.8620000000000001</v>
      </c>
    </row>
    <row r="1371" spans="1:7" ht="14.25" customHeight="1">
      <c r="A1371" s="2" t="s">
        <v>15</v>
      </c>
      <c r="B1371" s="2">
        <v>1910</v>
      </c>
      <c r="C1371" s="2" t="s">
        <v>57</v>
      </c>
      <c r="D1371" s="2">
        <v>6614</v>
      </c>
      <c r="E1371" s="3">
        <f t="shared" si="10"/>
        <v>6.6139999999999999</v>
      </c>
      <c r="G1371" s="2">
        <f t="shared" si="11"/>
        <v>6.6139999999999999</v>
      </c>
    </row>
    <row r="1372" spans="1:7" ht="14.25" customHeight="1">
      <c r="A1372" s="2" t="s">
        <v>15</v>
      </c>
      <c r="B1372" s="2">
        <v>1911</v>
      </c>
      <c r="C1372" s="2" t="s">
        <v>57</v>
      </c>
      <c r="D1372" s="2">
        <v>6262</v>
      </c>
      <c r="E1372" s="3">
        <f t="shared" si="10"/>
        <v>6.2619999999999996</v>
      </c>
      <c r="G1372" s="2">
        <f t="shared" si="11"/>
        <v>6.2619999999999996</v>
      </c>
    </row>
    <row r="1373" spans="1:7" ht="14.25" customHeight="1">
      <c r="A1373" s="2" t="s">
        <v>15</v>
      </c>
      <c r="B1373" s="2">
        <v>1912</v>
      </c>
      <c r="C1373" s="2" t="s">
        <v>57</v>
      </c>
      <c r="D1373" s="2">
        <v>5218</v>
      </c>
      <c r="E1373" s="3">
        <f t="shared" si="10"/>
        <v>5.218</v>
      </c>
      <c r="G1373" s="2">
        <f t="shared" si="11"/>
        <v>5.218</v>
      </c>
    </row>
    <row r="1374" spans="1:7" ht="14.25" customHeight="1">
      <c r="A1374" s="2" t="s">
        <v>15</v>
      </c>
      <c r="B1374" s="2">
        <v>1913</v>
      </c>
      <c r="C1374" s="2" t="s">
        <v>57</v>
      </c>
      <c r="D1374" s="2">
        <v>4656</v>
      </c>
      <c r="E1374" s="3">
        <f t="shared" si="10"/>
        <v>4.6559999999999997</v>
      </c>
      <c r="G1374" s="2">
        <f t="shared" si="11"/>
        <v>4.6559999999999997</v>
      </c>
    </row>
    <row r="1375" spans="1:7" ht="14.25" customHeight="1">
      <c r="A1375" s="2" t="s">
        <v>15</v>
      </c>
      <c r="B1375" s="2">
        <v>1914</v>
      </c>
      <c r="C1375" s="2" t="s">
        <v>57</v>
      </c>
      <c r="D1375" s="2">
        <v>4834</v>
      </c>
      <c r="E1375" s="3">
        <f t="shared" si="10"/>
        <v>4.8339999999999996</v>
      </c>
      <c r="G1375" s="2">
        <f t="shared" si="11"/>
        <v>4.8339999999999996</v>
      </c>
    </row>
    <row r="1376" spans="1:7" ht="14.25" customHeight="1">
      <c r="A1376" s="2" t="s">
        <v>15</v>
      </c>
      <c r="B1376" s="2">
        <v>1915</v>
      </c>
      <c r="C1376" s="2" t="s">
        <v>57</v>
      </c>
      <c r="D1376" s="2">
        <v>1672</v>
      </c>
      <c r="E1376" s="3">
        <f t="shared" si="10"/>
        <v>1.6719999999999999</v>
      </c>
      <c r="G1376" s="2">
        <f t="shared" si="11"/>
        <v>1.6719999999999999</v>
      </c>
    </row>
    <row r="1377" spans="1:7" ht="14.25" customHeight="1">
      <c r="A1377" s="2" t="s">
        <v>15</v>
      </c>
      <c r="B1377" s="2">
        <v>1916</v>
      </c>
      <c r="C1377" s="2" t="s">
        <v>57</v>
      </c>
      <c r="D1377" s="2">
        <v>1339</v>
      </c>
      <c r="E1377" s="3">
        <f t="shared" si="10"/>
        <v>1.339</v>
      </c>
      <c r="G1377" s="2">
        <f t="shared" si="11"/>
        <v>1.339</v>
      </c>
    </row>
    <row r="1378" spans="1:7" ht="14.25" customHeight="1">
      <c r="A1378" s="2" t="s">
        <v>15</v>
      </c>
      <c r="B1378" s="2">
        <v>1917</v>
      </c>
      <c r="C1378" s="2" t="s">
        <v>57</v>
      </c>
      <c r="D1378" s="2">
        <v>814</v>
      </c>
      <c r="E1378" s="3">
        <f t="shared" si="10"/>
        <v>0.81399999999999995</v>
      </c>
      <c r="G1378" s="2">
        <f t="shared" si="11"/>
        <v>0.81399999999999995</v>
      </c>
    </row>
    <row r="1379" spans="1:7" ht="14.25" customHeight="1">
      <c r="A1379" s="2" t="s">
        <v>15</v>
      </c>
      <c r="B1379" s="2">
        <v>1918</v>
      </c>
      <c r="C1379" s="2" t="s">
        <v>57</v>
      </c>
      <c r="D1379" s="2">
        <v>770</v>
      </c>
      <c r="E1379" s="3">
        <f t="shared" si="10"/>
        <v>0.77</v>
      </c>
      <c r="G1379" s="2">
        <f t="shared" si="11"/>
        <v>0.77</v>
      </c>
    </row>
    <row r="1380" spans="1:7" ht="14.25" customHeight="1">
      <c r="A1380" s="2" t="s">
        <v>15</v>
      </c>
      <c r="B1380" s="2">
        <v>1919</v>
      </c>
      <c r="C1380" s="2" t="s">
        <v>57</v>
      </c>
      <c r="D1380" s="2">
        <v>2770</v>
      </c>
      <c r="E1380" s="3">
        <f t="shared" si="10"/>
        <v>2.77</v>
      </c>
      <c r="G1380" s="2">
        <f t="shared" si="11"/>
        <v>2.77</v>
      </c>
    </row>
    <row r="1381" spans="1:7" ht="14.25" customHeight="1">
      <c r="A1381" s="2" t="s">
        <v>15</v>
      </c>
      <c r="B1381" s="2">
        <v>1920</v>
      </c>
      <c r="C1381" s="2" t="s">
        <v>57</v>
      </c>
      <c r="D1381" s="2">
        <v>4049</v>
      </c>
      <c r="E1381" s="3">
        <f t="shared" si="10"/>
        <v>4.0490000000000004</v>
      </c>
      <c r="G1381" s="2">
        <f t="shared" si="11"/>
        <v>4.0490000000000004</v>
      </c>
    </row>
    <row r="1382" spans="1:7" ht="14.25" customHeight="1">
      <c r="A1382" s="2" t="s">
        <v>15</v>
      </c>
      <c r="B1382" s="2">
        <v>1921</v>
      </c>
      <c r="C1382" s="2" t="s">
        <v>57</v>
      </c>
      <c r="D1382" s="2">
        <v>3699</v>
      </c>
      <c r="E1382" s="3">
        <f t="shared" si="10"/>
        <v>3.6989999999999998</v>
      </c>
      <c r="G1382" s="2">
        <f t="shared" si="11"/>
        <v>3.6989999999999998</v>
      </c>
    </row>
    <row r="1383" spans="1:7" ht="14.25" customHeight="1">
      <c r="A1383" s="2" t="s">
        <v>15</v>
      </c>
      <c r="B1383" s="2">
        <v>1922</v>
      </c>
      <c r="C1383" s="2" t="s">
        <v>57</v>
      </c>
      <c r="D1383" s="2">
        <v>3406</v>
      </c>
      <c r="E1383" s="3">
        <f t="shared" si="10"/>
        <v>3.4060000000000001</v>
      </c>
      <c r="G1383" s="2">
        <f t="shared" si="11"/>
        <v>3.4060000000000001</v>
      </c>
    </row>
    <row r="1384" spans="1:7" ht="14.25" customHeight="1">
      <c r="A1384" s="2" t="s">
        <v>15</v>
      </c>
      <c r="B1384" s="2">
        <v>1923</v>
      </c>
      <c r="C1384" s="2" t="s">
        <v>57</v>
      </c>
      <c r="D1384" s="2">
        <v>2972</v>
      </c>
      <c r="E1384" s="3">
        <f t="shared" si="10"/>
        <v>2.972</v>
      </c>
      <c r="G1384" s="2">
        <f t="shared" si="11"/>
        <v>2.972</v>
      </c>
    </row>
    <row r="1385" spans="1:7" ht="14.25" customHeight="1">
      <c r="A1385" s="2" t="s">
        <v>15</v>
      </c>
      <c r="B1385" s="2">
        <v>1924</v>
      </c>
      <c r="C1385" s="2" t="s">
        <v>57</v>
      </c>
      <c r="D1385" s="2">
        <v>3945</v>
      </c>
      <c r="E1385" s="3">
        <f t="shared" si="10"/>
        <v>3.9449999999999998</v>
      </c>
      <c r="G1385" s="2">
        <f t="shared" si="11"/>
        <v>3.9449999999999998</v>
      </c>
    </row>
    <row r="1386" spans="1:7" ht="14.25" customHeight="1">
      <c r="A1386" s="2" t="s">
        <v>15</v>
      </c>
      <c r="B1386" s="2">
        <v>1925</v>
      </c>
      <c r="C1386" s="2" t="s">
        <v>57</v>
      </c>
      <c r="D1386" s="2">
        <v>4655</v>
      </c>
      <c r="E1386" s="3">
        <f t="shared" si="10"/>
        <v>4.6550000000000002</v>
      </c>
      <c r="G1386" s="2">
        <f t="shared" si="11"/>
        <v>4.6550000000000002</v>
      </c>
    </row>
    <row r="1387" spans="1:7" ht="14.25" customHeight="1">
      <c r="A1387" s="2" t="s">
        <v>15</v>
      </c>
      <c r="B1387" s="2">
        <v>1926</v>
      </c>
      <c r="C1387" s="2" t="s">
        <v>57</v>
      </c>
      <c r="D1387" s="2">
        <v>4393</v>
      </c>
      <c r="E1387" s="3">
        <f t="shared" si="10"/>
        <v>4.3929999999999998</v>
      </c>
      <c r="G1387" s="2">
        <f t="shared" si="11"/>
        <v>4.3929999999999998</v>
      </c>
    </row>
    <row r="1388" spans="1:7" ht="14.25" customHeight="1">
      <c r="A1388" s="2" t="s">
        <v>15</v>
      </c>
      <c r="B1388" s="2">
        <v>1927</v>
      </c>
      <c r="C1388" s="2" t="s">
        <v>57</v>
      </c>
      <c r="D1388" s="2">
        <v>4874</v>
      </c>
      <c r="E1388" s="3">
        <f t="shared" si="10"/>
        <v>4.8739999999999997</v>
      </c>
      <c r="G1388" s="2">
        <f t="shared" si="11"/>
        <v>4.8739999999999997</v>
      </c>
    </row>
    <row r="1389" spans="1:7" ht="14.25" customHeight="1">
      <c r="A1389" s="2" t="s">
        <v>15</v>
      </c>
      <c r="B1389" s="2">
        <v>1928</v>
      </c>
      <c r="C1389" s="2" t="s">
        <v>57</v>
      </c>
      <c r="D1389" s="2">
        <v>5332</v>
      </c>
      <c r="E1389" s="3">
        <f t="shared" si="10"/>
        <v>5.3319999999999999</v>
      </c>
      <c r="G1389" s="2">
        <f t="shared" si="11"/>
        <v>5.3319999999999999</v>
      </c>
    </row>
    <row r="1390" spans="1:7" ht="14.25" customHeight="1">
      <c r="A1390" s="2" t="s">
        <v>15</v>
      </c>
      <c r="B1390" s="2">
        <v>1929</v>
      </c>
      <c r="C1390" s="2" t="s">
        <v>57</v>
      </c>
      <c r="D1390" s="2">
        <v>5916</v>
      </c>
      <c r="E1390" s="3">
        <f t="shared" si="10"/>
        <v>5.9160000000000004</v>
      </c>
      <c r="G1390" s="2">
        <f t="shared" si="11"/>
        <v>5.9160000000000004</v>
      </c>
    </row>
    <row r="1391" spans="1:7" ht="14.25" customHeight="1">
      <c r="A1391" s="2" t="s">
        <v>15</v>
      </c>
      <c r="B1391" s="2">
        <v>1930</v>
      </c>
      <c r="C1391" s="2" t="s">
        <v>57</v>
      </c>
      <c r="D1391" s="2">
        <v>5883</v>
      </c>
      <c r="E1391" s="3">
        <f t="shared" si="10"/>
        <v>5.883</v>
      </c>
      <c r="G1391" s="2">
        <f t="shared" si="11"/>
        <v>5.883</v>
      </c>
    </row>
    <row r="1392" spans="1:7" ht="14.25" customHeight="1">
      <c r="A1392" s="2" t="s">
        <v>15</v>
      </c>
      <c r="B1392" s="2">
        <v>1931</v>
      </c>
      <c r="C1392" s="2" t="s">
        <v>57</v>
      </c>
      <c r="D1392" s="2">
        <v>5929</v>
      </c>
      <c r="E1392" s="3">
        <f t="shared" si="10"/>
        <v>5.9290000000000003</v>
      </c>
      <c r="G1392" s="2">
        <f t="shared" si="11"/>
        <v>5.9290000000000003</v>
      </c>
    </row>
    <row r="1393" spans="1:7" ht="14.25" customHeight="1">
      <c r="A1393" s="2" t="s">
        <v>15</v>
      </c>
      <c r="B1393" s="2">
        <v>1932</v>
      </c>
      <c r="C1393" s="2" t="s">
        <v>57</v>
      </c>
      <c r="D1393" s="2">
        <v>5823</v>
      </c>
      <c r="E1393" s="3">
        <f t="shared" si="10"/>
        <v>5.8230000000000004</v>
      </c>
      <c r="G1393" s="2">
        <f t="shared" si="11"/>
        <v>5.8230000000000004</v>
      </c>
    </row>
    <row r="1394" spans="1:7" ht="14.25" customHeight="1">
      <c r="A1394" s="2" t="s">
        <v>15</v>
      </c>
      <c r="B1394" s="2">
        <v>1933</v>
      </c>
      <c r="C1394" s="2" t="s">
        <v>57</v>
      </c>
      <c r="D1394" s="2">
        <v>6023</v>
      </c>
      <c r="E1394" s="3">
        <f t="shared" si="10"/>
        <v>6.0229999999999997</v>
      </c>
      <c r="G1394" s="2">
        <f t="shared" si="11"/>
        <v>6.0229999999999997</v>
      </c>
    </row>
    <row r="1395" spans="1:7" ht="14.25" customHeight="1">
      <c r="A1395" s="2" t="s">
        <v>15</v>
      </c>
      <c r="B1395" s="2">
        <v>1934</v>
      </c>
      <c r="C1395" s="2" t="s">
        <v>57</v>
      </c>
      <c r="D1395" s="2">
        <v>6538</v>
      </c>
      <c r="E1395" s="3">
        <f t="shared" si="10"/>
        <v>6.5380000000000003</v>
      </c>
      <c r="G1395" s="2">
        <f t="shared" si="11"/>
        <v>6.5380000000000003</v>
      </c>
    </row>
    <row r="1396" spans="1:7" ht="14.25" customHeight="1">
      <c r="A1396" s="2" t="s">
        <v>15</v>
      </c>
      <c r="B1396" s="2">
        <v>1935</v>
      </c>
      <c r="C1396" s="2" t="s">
        <v>57</v>
      </c>
      <c r="D1396" s="2">
        <v>6461</v>
      </c>
      <c r="E1396" s="3">
        <f t="shared" si="10"/>
        <v>6.4610000000000003</v>
      </c>
      <c r="G1396" s="2">
        <f t="shared" si="11"/>
        <v>6.4610000000000003</v>
      </c>
    </row>
    <row r="1397" spans="1:7" ht="14.25" customHeight="1">
      <c r="A1397" s="2" t="s">
        <v>15</v>
      </c>
      <c r="B1397" s="2">
        <v>1936</v>
      </c>
      <c r="C1397" s="2" t="s">
        <v>57</v>
      </c>
      <c r="D1397" s="2">
        <v>6657</v>
      </c>
      <c r="E1397" s="3">
        <f t="shared" si="10"/>
        <v>6.657</v>
      </c>
      <c r="G1397" s="2">
        <f t="shared" si="11"/>
        <v>6.657</v>
      </c>
    </row>
    <row r="1398" spans="1:7" ht="14.25" customHeight="1">
      <c r="A1398" s="2" t="s">
        <v>15</v>
      </c>
      <c r="B1398" s="2">
        <v>1937</v>
      </c>
      <c r="C1398" s="2" t="s">
        <v>57</v>
      </c>
      <c r="D1398" s="2">
        <v>5083</v>
      </c>
      <c r="E1398" s="3">
        <f t="shared" si="10"/>
        <v>5.0830000000000002</v>
      </c>
      <c r="G1398" s="2">
        <f t="shared" si="11"/>
        <v>5.0830000000000002</v>
      </c>
    </row>
    <row r="1399" spans="1:7" ht="14.25" customHeight="1">
      <c r="A1399" s="2" t="s">
        <v>15</v>
      </c>
      <c r="B1399" s="2">
        <v>1938</v>
      </c>
      <c r="C1399" s="2" t="s">
        <v>57</v>
      </c>
      <c r="D1399" s="2">
        <v>4695</v>
      </c>
      <c r="E1399" s="3">
        <f t="shared" si="10"/>
        <v>4.6950000000000003</v>
      </c>
      <c r="G1399" s="2">
        <f t="shared" si="11"/>
        <v>4.6950000000000003</v>
      </c>
    </row>
    <row r="1400" spans="1:7" ht="14.25" customHeight="1">
      <c r="A1400" s="2" t="s">
        <v>15</v>
      </c>
      <c r="B1400" s="2">
        <v>1939</v>
      </c>
      <c r="C1400" s="2" t="s">
        <v>57</v>
      </c>
      <c r="D1400" s="2">
        <v>4202</v>
      </c>
      <c r="E1400" s="3">
        <f t="shared" si="10"/>
        <v>4.202</v>
      </c>
      <c r="G1400" s="2">
        <f t="shared" si="11"/>
        <v>4.202</v>
      </c>
    </row>
    <row r="1401" spans="1:7" ht="14.25" customHeight="1">
      <c r="A1401" s="2" t="s">
        <v>15</v>
      </c>
      <c r="B1401" s="2">
        <v>1940</v>
      </c>
      <c r="C1401" s="2" t="s">
        <v>57</v>
      </c>
      <c r="D1401" s="2">
        <v>2587</v>
      </c>
      <c r="E1401" s="3">
        <f t="shared" si="10"/>
        <v>2.5870000000000002</v>
      </c>
      <c r="G1401" s="2">
        <f t="shared" si="11"/>
        <v>2.5870000000000002</v>
      </c>
    </row>
    <row r="1402" spans="1:7" ht="14.25" customHeight="1">
      <c r="A1402" s="2" t="s">
        <v>15</v>
      </c>
      <c r="B1402" s="2">
        <v>1941</v>
      </c>
      <c r="C1402" s="2" t="s">
        <v>57</v>
      </c>
      <c r="D1402" s="2">
        <v>1847</v>
      </c>
      <c r="E1402" s="3">
        <f t="shared" si="10"/>
        <v>1.847</v>
      </c>
      <c r="G1402" s="2">
        <f t="shared" si="11"/>
        <v>1.847</v>
      </c>
    </row>
    <row r="1403" spans="1:7" ht="14.25" customHeight="1">
      <c r="A1403" s="2" t="s">
        <v>15</v>
      </c>
      <c r="B1403" s="2">
        <v>1942</v>
      </c>
      <c r="C1403" s="2" t="s">
        <v>57</v>
      </c>
      <c r="D1403" s="2">
        <v>1483</v>
      </c>
      <c r="E1403" s="3">
        <f t="shared" si="10"/>
        <v>1.4830000000000001</v>
      </c>
      <c r="G1403" s="2">
        <f t="shared" si="11"/>
        <v>1.4830000000000001</v>
      </c>
    </row>
    <row r="1404" spans="1:7" ht="14.25" customHeight="1">
      <c r="A1404" s="2" t="s">
        <v>15</v>
      </c>
      <c r="B1404" s="2">
        <v>1943</v>
      </c>
      <c r="C1404" s="2" t="s">
        <v>57</v>
      </c>
      <c r="D1404" s="2">
        <v>1487</v>
      </c>
      <c r="E1404" s="3">
        <f t="shared" si="10"/>
        <v>1.4870000000000001</v>
      </c>
      <c r="G1404" s="2">
        <f t="shared" si="11"/>
        <v>1.4870000000000001</v>
      </c>
    </row>
    <row r="1405" spans="1:7" ht="14.25" customHeight="1">
      <c r="A1405" s="2" t="s">
        <v>15</v>
      </c>
      <c r="B1405" s="2">
        <v>1944</v>
      </c>
      <c r="C1405" s="2" t="s">
        <v>57</v>
      </c>
      <c r="D1405" s="2">
        <v>1236</v>
      </c>
      <c r="E1405" s="3">
        <f t="shared" si="10"/>
        <v>1.236</v>
      </c>
      <c r="G1405" s="2">
        <f t="shared" si="11"/>
        <v>1.236</v>
      </c>
    </row>
    <row r="1406" spans="1:7" ht="14.25" customHeight="1">
      <c r="A1406" s="2" t="s">
        <v>15</v>
      </c>
      <c r="B1406" s="2">
        <v>1945</v>
      </c>
      <c r="C1406" s="2" t="s">
        <v>57</v>
      </c>
      <c r="D1406" s="2">
        <v>1382</v>
      </c>
      <c r="E1406" s="3">
        <f t="shared" si="10"/>
        <v>1.3819999999999999</v>
      </c>
      <c r="G1406" s="2">
        <f t="shared" si="11"/>
        <v>1.3819999999999999</v>
      </c>
    </row>
    <row r="1407" spans="1:7" ht="14.25" customHeight="1">
      <c r="A1407" s="2" t="s">
        <v>15</v>
      </c>
      <c r="B1407" s="2">
        <v>1946</v>
      </c>
      <c r="C1407" s="2" t="s">
        <v>57</v>
      </c>
      <c r="D1407" s="2">
        <v>1831</v>
      </c>
      <c r="E1407" s="3">
        <f t="shared" si="10"/>
        <v>1.831</v>
      </c>
      <c r="G1407" s="2">
        <f t="shared" si="11"/>
        <v>1.831</v>
      </c>
    </row>
    <row r="1408" spans="1:7" ht="14.25" customHeight="1">
      <c r="A1408" s="2" t="s">
        <v>15</v>
      </c>
      <c r="B1408" s="2">
        <v>1947</v>
      </c>
      <c r="C1408" s="2" t="s">
        <v>57</v>
      </c>
      <c r="D1408" s="2">
        <v>2427</v>
      </c>
      <c r="E1408" s="3">
        <f t="shared" si="10"/>
        <v>2.427</v>
      </c>
      <c r="G1408" s="2">
        <f t="shared" si="11"/>
        <v>2.427</v>
      </c>
    </row>
    <row r="1409" spans="1:7" ht="14.25" customHeight="1">
      <c r="A1409" s="2" t="s">
        <v>15</v>
      </c>
      <c r="B1409" s="2">
        <v>1948</v>
      </c>
      <c r="C1409" s="2" t="s">
        <v>57</v>
      </c>
      <c r="D1409" s="2">
        <v>2492</v>
      </c>
      <c r="E1409" s="3">
        <f t="shared" si="10"/>
        <v>2.492</v>
      </c>
      <c r="G1409" s="2">
        <f t="shared" si="11"/>
        <v>2.492</v>
      </c>
    </row>
    <row r="1410" spans="1:7" ht="14.25" customHeight="1">
      <c r="A1410" s="2" t="s">
        <v>15</v>
      </c>
      <c r="B1410" s="2">
        <v>1949</v>
      </c>
      <c r="C1410" s="2" t="s">
        <v>57</v>
      </c>
      <c r="D1410" s="2">
        <v>3916</v>
      </c>
      <c r="E1410" s="3">
        <f t="shared" si="10"/>
        <v>3.9159999999999999</v>
      </c>
      <c r="G1410" s="2">
        <f t="shared" si="11"/>
        <v>3.9159999999999999</v>
      </c>
    </row>
    <row r="1411" spans="1:7" ht="14.25" customHeight="1">
      <c r="A1411" s="2" t="s">
        <v>15</v>
      </c>
      <c r="B1411" s="2">
        <v>1950</v>
      </c>
      <c r="C1411" s="2" t="s">
        <v>57</v>
      </c>
      <c r="D1411" s="2">
        <v>2967</v>
      </c>
      <c r="E1411" s="3">
        <f t="shared" si="10"/>
        <v>2.9670000000000001</v>
      </c>
      <c r="G1411" s="2">
        <f t="shared" si="11"/>
        <v>2.9670000000000001</v>
      </c>
    </row>
    <row r="1412" spans="1:7" ht="14.25" customHeight="1">
      <c r="A1412" s="2" t="s">
        <v>15</v>
      </c>
      <c r="B1412" s="2">
        <v>1951</v>
      </c>
      <c r="C1412" s="2" t="s">
        <v>57</v>
      </c>
      <c r="D1412" s="2">
        <v>3650</v>
      </c>
      <c r="E1412" s="3">
        <f t="shared" si="10"/>
        <v>3.65</v>
      </c>
      <c r="G1412" s="2">
        <f t="shared" si="11"/>
        <v>3.65</v>
      </c>
    </row>
    <row r="1413" spans="1:7" ht="14.25" customHeight="1">
      <c r="A1413" s="2" t="s">
        <v>15</v>
      </c>
      <c r="B1413" s="2">
        <v>1952</v>
      </c>
      <c r="C1413" s="2" t="s">
        <v>57</v>
      </c>
      <c r="D1413" s="2">
        <v>3406</v>
      </c>
      <c r="E1413" s="3">
        <f t="shared" si="10"/>
        <v>3.4060000000000001</v>
      </c>
      <c r="G1413" s="2">
        <f t="shared" si="11"/>
        <v>3.4060000000000001</v>
      </c>
    </row>
    <row r="1414" spans="1:7" ht="14.25" customHeight="1">
      <c r="A1414" s="2" t="s">
        <v>15</v>
      </c>
      <c r="B1414" s="2">
        <v>1953</v>
      </c>
      <c r="C1414" s="2" t="s">
        <v>57</v>
      </c>
      <c r="D1414" s="2">
        <v>3247</v>
      </c>
      <c r="E1414" s="3">
        <f t="shared" si="10"/>
        <v>3.2469999999999999</v>
      </c>
      <c r="G1414" s="2">
        <f t="shared" si="11"/>
        <v>3.2469999999999999</v>
      </c>
    </row>
    <row r="1415" spans="1:7" ht="14.25" customHeight="1">
      <c r="A1415" s="2" t="s">
        <v>15</v>
      </c>
      <c r="B1415" s="2">
        <v>1954</v>
      </c>
      <c r="C1415" s="2" t="s">
        <v>57</v>
      </c>
      <c r="D1415" s="2">
        <v>2858</v>
      </c>
      <c r="E1415" s="3">
        <f t="shared" si="10"/>
        <v>2.8580000000000001</v>
      </c>
      <c r="G1415" s="2">
        <f t="shared" si="11"/>
        <v>2.8580000000000001</v>
      </c>
    </row>
    <row r="1416" spans="1:7" ht="14.25" customHeight="1">
      <c r="A1416" s="2" t="s">
        <v>15</v>
      </c>
      <c r="B1416" s="2">
        <v>1955</v>
      </c>
      <c r="C1416" s="2" t="s">
        <v>57</v>
      </c>
      <c r="D1416" s="2">
        <v>3276</v>
      </c>
      <c r="E1416" s="3">
        <f t="shared" si="10"/>
        <v>3.2759999999999998</v>
      </c>
      <c r="G1416" s="2">
        <f t="shared" si="11"/>
        <v>3.2759999999999998</v>
      </c>
    </row>
    <row r="1417" spans="1:7" ht="14.25" customHeight="1">
      <c r="A1417" s="2" t="s">
        <v>15</v>
      </c>
      <c r="B1417" s="2">
        <v>1956</v>
      </c>
      <c r="C1417" s="2" t="s">
        <v>57</v>
      </c>
      <c r="D1417" s="2">
        <v>2760</v>
      </c>
      <c r="E1417" s="3">
        <f t="shared" si="10"/>
        <v>2.76</v>
      </c>
      <c r="G1417" s="2">
        <f t="shared" si="11"/>
        <v>2.76</v>
      </c>
    </row>
    <row r="1418" spans="1:7" ht="14.25" customHeight="1">
      <c r="A1418" s="2" t="s">
        <v>15</v>
      </c>
      <c r="B1418" s="2">
        <v>1957</v>
      </c>
      <c r="C1418" s="2" t="s">
        <v>57</v>
      </c>
      <c r="D1418" s="2">
        <v>2642</v>
      </c>
      <c r="E1418" s="3">
        <f t="shared" si="10"/>
        <v>2.6419999999999999</v>
      </c>
      <c r="G1418" s="2">
        <f t="shared" si="11"/>
        <v>2.6419999999999999</v>
      </c>
    </row>
    <row r="1419" spans="1:7" ht="14.25" customHeight="1">
      <c r="A1419" s="2" t="s">
        <v>15</v>
      </c>
      <c r="B1419" s="2">
        <v>1958</v>
      </c>
      <c r="C1419" s="2" t="s">
        <v>57</v>
      </c>
      <c r="D1419" s="2">
        <v>2721</v>
      </c>
      <c r="E1419" s="3">
        <f t="shared" si="10"/>
        <v>2.7210000000000001</v>
      </c>
      <c r="G1419" s="2">
        <f t="shared" si="11"/>
        <v>2.7210000000000001</v>
      </c>
    </row>
    <row r="1420" spans="1:7" ht="14.25" customHeight="1">
      <c r="A1420" s="2" t="s">
        <v>15</v>
      </c>
      <c r="B1420" s="2">
        <v>1959</v>
      </c>
      <c r="C1420" s="2" t="s">
        <v>57</v>
      </c>
      <c r="D1420" s="2">
        <v>2208</v>
      </c>
      <c r="E1420" s="3">
        <f t="shared" si="10"/>
        <v>2.2080000000000002</v>
      </c>
      <c r="G1420" s="2">
        <f t="shared" si="11"/>
        <v>2.2080000000000002</v>
      </c>
    </row>
    <row r="1421" spans="1:7" ht="14.25" customHeight="1">
      <c r="A1421" s="2" t="s">
        <v>15</v>
      </c>
      <c r="B1421" s="2">
        <v>1960</v>
      </c>
      <c r="C1421" s="2" t="s">
        <v>57</v>
      </c>
      <c r="D1421" s="2">
        <v>2200</v>
      </c>
      <c r="E1421" s="3">
        <f t="shared" si="10"/>
        <v>2.2000000000000002</v>
      </c>
      <c r="G1421" s="2">
        <f t="shared" si="11"/>
        <v>2.2000000000000002</v>
      </c>
    </row>
    <row r="1422" spans="1:7" ht="14.25" customHeight="1">
      <c r="A1422" s="2" t="s">
        <v>15</v>
      </c>
      <c r="B1422" s="2">
        <v>1961</v>
      </c>
      <c r="C1422" s="2" t="s">
        <v>57</v>
      </c>
      <c r="D1422" s="2">
        <v>1984</v>
      </c>
      <c r="E1422" s="3">
        <f t="shared" si="10"/>
        <v>1.984</v>
      </c>
      <c r="G1422" s="2">
        <f t="shared" si="11"/>
        <v>1.984</v>
      </c>
    </row>
    <row r="1423" spans="1:7" ht="14.25" customHeight="1">
      <c r="A1423" s="2" t="s">
        <v>15</v>
      </c>
      <c r="B1423" s="2">
        <v>1962</v>
      </c>
      <c r="C1423" s="2" t="s">
        <v>57</v>
      </c>
      <c r="D1423" s="2">
        <v>1804</v>
      </c>
      <c r="E1423" s="3">
        <f t="shared" si="10"/>
        <v>1.804</v>
      </c>
      <c r="G1423" s="2">
        <f t="shared" si="11"/>
        <v>1.804</v>
      </c>
    </row>
    <row r="1424" spans="1:7" ht="14.25" customHeight="1">
      <c r="A1424" s="2" t="s">
        <v>15</v>
      </c>
      <c r="B1424" s="2">
        <v>1963</v>
      </c>
      <c r="C1424" s="2" t="s">
        <v>57</v>
      </c>
      <c r="D1424" s="2">
        <v>1695</v>
      </c>
      <c r="E1424" s="3">
        <f t="shared" si="10"/>
        <v>1.6950000000000001</v>
      </c>
      <c r="G1424" s="2">
        <f t="shared" si="11"/>
        <v>1.6950000000000001</v>
      </c>
    </row>
    <row r="1425" spans="1:7" ht="14.25" customHeight="1">
      <c r="A1425" s="2" t="s">
        <v>15</v>
      </c>
      <c r="B1425" s="2">
        <v>1964</v>
      </c>
      <c r="C1425" s="2" t="s">
        <v>57</v>
      </c>
      <c r="D1425" s="2">
        <v>1611</v>
      </c>
      <c r="E1425" s="3">
        <f t="shared" si="10"/>
        <v>1.611</v>
      </c>
      <c r="G1425" s="2">
        <f t="shared" si="11"/>
        <v>1.611</v>
      </c>
    </row>
    <row r="1426" spans="1:7" ht="14.25" customHeight="1">
      <c r="A1426" s="2" t="s">
        <v>15</v>
      </c>
      <c r="B1426" s="2">
        <v>1965</v>
      </c>
      <c r="C1426" s="2" t="s">
        <v>57</v>
      </c>
      <c r="D1426" s="2">
        <v>1294</v>
      </c>
      <c r="E1426" s="3">
        <f t="shared" si="10"/>
        <v>1.294</v>
      </c>
      <c r="G1426" s="2">
        <f t="shared" si="11"/>
        <v>1.294</v>
      </c>
    </row>
    <row r="1427" spans="1:7" ht="14.25" customHeight="1">
      <c r="A1427" s="2" t="s">
        <v>15</v>
      </c>
      <c r="B1427" s="2">
        <v>1966</v>
      </c>
      <c r="C1427" s="2" t="s">
        <v>57</v>
      </c>
      <c r="D1427" s="2">
        <v>1413</v>
      </c>
      <c r="E1427" s="3">
        <f t="shared" si="10"/>
        <v>1.413</v>
      </c>
      <c r="G1427" s="2">
        <f t="shared" si="11"/>
        <v>1.413</v>
      </c>
    </row>
    <row r="1428" spans="1:7" ht="14.25" customHeight="1">
      <c r="A1428" s="2" t="s">
        <v>15</v>
      </c>
      <c r="B1428" s="2">
        <v>1967</v>
      </c>
      <c r="C1428" s="2" t="s">
        <v>57</v>
      </c>
      <c r="D1428" s="2">
        <v>1273</v>
      </c>
      <c r="E1428" s="3">
        <f t="shared" si="10"/>
        <v>1.2729999999999999</v>
      </c>
      <c r="G1428" s="2">
        <f t="shared" si="11"/>
        <v>1.2729999999999999</v>
      </c>
    </row>
    <row r="1429" spans="1:7" ht="14.25" customHeight="1">
      <c r="A1429" s="2" t="s">
        <v>15</v>
      </c>
      <c r="B1429" s="2">
        <v>1968</v>
      </c>
      <c r="C1429" s="2" t="s">
        <v>57</v>
      </c>
      <c r="D1429" s="2">
        <v>1715</v>
      </c>
      <c r="E1429" s="3">
        <f t="shared" si="10"/>
        <v>1.7150000000000001</v>
      </c>
      <c r="G1429" s="2">
        <f t="shared" si="11"/>
        <v>1.7150000000000001</v>
      </c>
    </row>
    <row r="1430" spans="1:7" ht="14.25" customHeight="1">
      <c r="A1430" s="2" t="s">
        <v>15</v>
      </c>
      <c r="B1430" s="2">
        <v>1969</v>
      </c>
      <c r="C1430" s="2" t="s">
        <v>57</v>
      </c>
      <c r="D1430" s="2">
        <v>1566</v>
      </c>
      <c r="E1430" s="3">
        <f t="shared" si="10"/>
        <v>1.5660000000000001</v>
      </c>
      <c r="G1430" s="2">
        <f t="shared" si="11"/>
        <v>1.5660000000000001</v>
      </c>
    </row>
    <row r="1431" spans="1:7" ht="14.25" customHeight="1">
      <c r="A1431" s="2" t="s">
        <v>15</v>
      </c>
      <c r="B1431" s="2">
        <v>1970</v>
      </c>
      <c r="C1431" s="2" t="s">
        <v>57</v>
      </c>
      <c r="D1431" s="2">
        <v>1133</v>
      </c>
      <c r="E1431" s="3">
        <f t="shared" si="10"/>
        <v>1.133</v>
      </c>
      <c r="G1431" s="2">
        <f t="shared" si="11"/>
        <v>1.133</v>
      </c>
    </row>
    <row r="1432" spans="1:7" ht="14.25" customHeight="1">
      <c r="A1432" s="2" t="s">
        <v>15</v>
      </c>
      <c r="B1432" s="2">
        <v>1971</v>
      </c>
      <c r="C1432" s="2" t="s">
        <v>57</v>
      </c>
      <c r="D1432" s="2">
        <v>1143</v>
      </c>
      <c r="E1432" s="3">
        <f t="shared" si="10"/>
        <v>1.143</v>
      </c>
      <c r="G1432" s="2">
        <f t="shared" si="11"/>
        <v>1.143</v>
      </c>
    </row>
    <row r="1433" spans="1:7" ht="14.25" customHeight="1">
      <c r="A1433" s="2" t="s">
        <v>15</v>
      </c>
      <c r="B1433" s="2">
        <v>1972</v>
      </c>
      <c r="C1433" s="2" t="s">
        <v>57</v>
      </c>
      <c r="D1433" s="2">
        <v>1162</v>
      </c>
      <c r="E1433" s="3">
        <f t="shared" si="10"/>
        <v>1.1619999999999999</v>
      </c>
      <c r="G1433" s="2">
        <f t="shared" si="11"/>
        <v>1.1619999999999999</v>
      </c>
    </row>
    <row r="1434" spans="1:7" ht="14.25" customHeight="1">
      <c r="A1434" s="2" t="s">
        <v>15</v>
      </c>
      <c r="B1434" s="2">
        <v>1973</v>
      </c>
      <c r="C1434" s="2" t="s">
        <v>57</v>
      </c>
      <c r="D1434" s="2">
        <v>1061</v>
      </c>
      <c r="E1434" s="3">
        <f t="shared" si="10"/>
        <v>1.0609999999999999</v>
      </c>
      <c r="G1434" s="2">
        <f t="shared" si="11"/>
        <v>1.0609999999999999</v>
      </c>
    </row>
    <row r="1435" spans="1:7" ht="14.25" customHeight="1">
      <c r="A1435" s="2" t="s">
        <v>15</v>
      </c>
      <c r="B1435" s="2">
        <v>1974</v>
      </c>
      <c r="C1435" s="2" t="s">
        <v>57</v>
      </c>
      <c r="D1435" s="2">
        <v>1134</v>
      </c>
      <c r="E1435" s="3">
        <f t="shared" si="10"/>
        <v>1.1339999999999999</v>
      </c>
      <c r="G1435" s="2">
        <f t="shared" si="11"/>
        <v>1.1339999999999999</v>
      </c>
    </row>
    <row r="1436" spans="1:7" ht="14.25" customHeight="1">
      <c r="A1436" s="2" t="s">
        <v>15</v>
      </c>
      <c r="B1436" s="2">
        <v>1975</v>
      </c>
      <c r="C1436" s="2" t="s">
        <v>57</v>
      </c>
      <c r="D1436" s="2">
        <v>851</v>
      </c>
      <c r="E1436" s="3">
        <f t="shared" si="10"/>
        <v>0.85099999999999998</v>
      </c>
      <c r="G1436" s="2">
        <f t="shared" si="11"/>
        <v>0.85099999999999998</v>
      </c>
    </row>
    <row r="1437" spans="1:7" ht="14.25" customHeight="1">
      <c r="A1437" s="2" t="s">
        <v>15</v>
      </c>
      <c r="B1437" s="2">
        <v>1976</v>
      </c>
      <c r="C1437" s="2" t="s">
        <v>57</v>
      </c>
      <c r="D1437" s="2">
        <v>823</v>
      </c>
      <c r="E1437" s="3">
        <f t="shared" si="10"/>
        <v>0.82299999999999995</v>
      </c>
      <c r="G1437" s="2">
        <f t="shared" si="11"/>
        <v>0.82299999999999995</v>
      </c>
    </row>
    <row r="1438" spans="1:7" ht="14.25" customHeight="1">
      <c r="A1438" s="2" t="s">
        <v>15</v>
      </c>
      <c r="B1438" s="2">
        <v>1977</v>
      </c>
      <c r="C1438" s="2" t="s">
        <v>57</v>
      </c>
      <c r="D1438" s="2">
        <v>1145</v>
      </c>
      <c r="E1438" s="3">
        <f t="shared" si="10"/>
        <v>1.145</v>
      </c>
      <c r="G1438" s="2">
        <f t="shared" si="11"/>
        <v>1.145</v>
      </c>
    </row>
    <row r="1439" spans="1:7" ht="14.25" customHeight="1">
      <c r="A1439" s="2" t="s">
        <v>15</v>
      </c>
      <c r="B1439" s="2">
        <v>1978</v>
      </c>
      <c r="C1439" s="2" t="s">
        <v>57</v>
      </c>
      <c r="D1439" s="2">
        <v>1124</v>
      </c>
      <c r="E1439" s="3">
        <f t="shared" si="10"/>
        <v>1.1240000000000001</v>
      </c>
      <c r="G1439" s="2">
        <f t="shared" si="11"/>
        <v>1.1240000000000001</v>
      </c>
    </row>
    <row r="1440" spans="1:7" ht="14.25" customHeight="1">
      <c r="A1440" s="2" t="s">
        <v>15</v>
      </c>
      <c r="B1440" s="2">
        <v>1979</v>
      </c>
      <c r="C1440" s="2" t="s">
        <v>57</v>
      </c>
      <c r="D1440" s="2">
        <v>1155</v>
      </c>
      <c r="E1440" s="3">
        <f t="shared" si="10"/>
        <v>1.155</v>
      </c>
      <c r="G1440" s="2">
        <f t="shared" si="11"/>
        <v>1.155</v>
      </c>
    </row>
    <row r="1441" spans="1:7" ht="14.25" customHeight="1">
      <c r="A1441" s="2" t="s">
        <v>15</v>
      </c>
      <c r="B1441" s="2">
        <v>1980</v>
      </c>
      <c r="C1441" s="2" t="s">
        <v>57</v>
      </c>
      <c r="D1441" s="2">
        <v>1763</v>
      </c>
      <c r="E1441" s="3">
        <f t="shared" si="10"/>
        <v>1.7629999999999999</v>
      </c>
      <c r="G1441" s="2">
        <f t="shared" si="11"/>
        <v>1.7629999999999999</v>
      </c>
    </row>
    <row r="1442" spans="1:7" ht="14.25" customHeight="1">
      <c r="A1442" s="2" t="s">
        <v>15</v>
      </c>
      <c r="B1442" s="2">
        <v>1981</v>
      </c>
      <c r="C1442" s="2" t="s">
        <v>57</v>
      </c>
      <c r="D1442" s="2">
        <v>2750</v>
      </c>
      <c r="E1442" s="3">
        <f t="shared" si="10"/>
        <v>2.75</v>
      </c>
      <c r="G1442" s="2">
        <f t="shared" si="11"/>
        <v>2.75</v>
      </c>
    </row>
    <row r="1443" spans="1:7" ht="14.25" customHeight="1">
      <c r="A1443" s="2" t="s">
        <v>15</v>
      </c>
      <c r="B1443" s="2">
        <v>1982</v>
      </c>
      <c r="C1443" s="2" t="s">
        <v>57</v>
      </c>
      <c r="D1443" s="2">
        <v>2380</v>
      </c>
      <c r="E1443" s="3">
        <f t="shared" si="10"/>
        <v>2.38</v>
      </c>
      <c r="G1443" s="2">
        <f t="shared" si="11"/>
        <v>2.38</v>
      </c>
    </row>
    <row r="1444" spans="1:7" ht="14.25" customHeight="1">
      <c r="A1444" s="2" t="s">
        <v>15</v>
      </c>
      <c r="B1444" s="2">
        <v>1983</v>
      </c>
      <c r="C1444" s="2" t="s">
        <v>57</v>
      </c>
      <c r="D1444" s="2">
        <v>1587</v>
      </c>
      <c r="E1444" s="3">
        <f t="shared" si="10"/>
        <v>1.587</v>
      </c>
      <c r="G1444" s="2">
        <f t="shared" si="11"/>
        <v>1.587</v>
      </c>
    </row>
    <row r="1445" spans="1:7" ht="14.25" customHeight="1">
      <c r="A1445" s="2" t="s">
        <v>15</v>
      </c>
      <c r="B1445" s="2">
        <v>1984</v>
      </c>
      <c r="C1445" s="2" t="s">
        <v>57</v>
      </c>
      <c r="D1445" s="2">
        <v>3175</v>
      </c>
      <c r="E1445" s="3">
        <f t="shared" si="10"/>
        <v>3.1749999999999998</v>
      </c>
      <c r="G1445" s="2">
        <f t="shared" si="11"/>
        <v>3.1749999999999998</v>
      </c>
    </row>
    <row r="1446" spans="1:7" ht="14.25" customHeight="1">
      <c r="A1446" s="2" t="s">
        <v>15</v>
      </c>
      <c r="B1446" s="2">
        <v>1985</v>
      </c>
      <c r="C1446" s="2" t="s">
        <v>57</v>
      </c>
      <c r="D1446" s="2">
        <v>4713</v>
      </c>
      <c r="E1446" s="3">
        <f t="shared" si="10"/>
        <v>4.7130000000000001</v>
      </c>
      <c r="G1446" s="2">
        <f t="shared" si="11"/>
        <v>4.7130000000000001</v>
      </c>
    </row>
    <row r="1447" spans="1:7" ht="14.25" customHeight="1">
      <c r="A1447" s="2" t="s">
        <v>15</v>
      </c>
      <c r="B1447" s="2">
        <v>1986</v>
      </c>
      <c r="C1447" s="2" t="s">
        <v>57</v>
      </c>
      <c r="D1447" s="2">
        <v>3836</v>
      </c>
      <c r="E1447" s="3">
        <f t="shared" si="10"/>
        <v>3.8359999999999999</v>
      </c>
      <c r="G1447" s="2">
        <f t="shared" si="11"/>
        <v>3.8359999999999999</v>
      </c>
    </row>
    <row r="1448" spans="1:7" ht="14.25" customHeight="1">
      <c r="A1448" s="2" t="s">
        <v>15</v>
      </c>
      <c r="B1448" s="2">
        <v>1987</v>
      </c>
      <c r="C1448" s="2" t="s">
        <v>57</v>
      </c>
      <c r="D1448" s="2">
        <v>5055</v>
      </c>
      <c r="E1448" s="3">
        <f t="shared" si="10"/>
        <v>5.0549999999999997</v>
      </c>
      <c r="G1448" s="2">
        <f t="shared" si="11"/>
        <v>5.0549999999999997</v>
      </c>
    </row>
    <row r="1449" spans="1:7" ht="14.25" customHeight="1">
      <c r="A1449" s="2" t="s">
        <v>15</v>
      </c>
      <c r="B1449" s="2">
        <v>1988</v>
      </c>
      <c r="C1449" s="2" t="s">
        <v>57</v>
      </c>
      <c r="D1449" s="2">
        <v>5290</v>
      </c>
      <c r="E1449" s="3">
        <f t="shared" si="10"/>
        <v>5.29</v>
      </c>
      <c r="G1449" s="2">
        <f t="shared" si="11"/>
        <v>5.29</v>
      </c>
    </row>
    <row r="1450" spans="1:7" ht="14.25" customHeight="1">
      <c r="A1450" s="2" t="s">
        <v>15</v>
      </c>
      <c r="B1450" s="2">
        <v>1989</v>
      </c>
      <c r="C1450" s="2" t="s">
        <v>57</v>
      </c>
      <c r="D1450" s="2">
        <v>4299</v>
      </c>
      <c r="E1450" s="3">
        <f t="shared" si="10"/>
        <v>4.2990000000000004</v>
      </c>
      <c r="G1450" s="2">
        <f t="shared" si="11"/>
        <v>4.2990000000000004</v>
      </c>
    </row>
    <row r="1451" spans="1:7" ht="14.25" customHeight="1">
      <c r="A1451" s="2" t="s">
        <v>15</v>
      </c>
      <c r="B1451" s="2">
        <v>1990</v>
      </c>
      <c r="C1451" s="2" t="s">
        <v>57</v>
      </c>
      <c r="D1451" s="2">
        <v>3957</v>
      </c>
      <c r="E1451" s="3">
        <f t="shared" si="10"/>
        <v>3.9569999999999999</v>
      </c>
      <c r="G1451" s="2">
        <f t="shared" si="11"/>
        <v>3.9569999999999999</v>
      </c>
    </row>
    <row r="1452" spans="1:7" ht="14.25" customHeight="1">
      <c r="A1452" s="2" t="s">
        <v>15</v>
      </c>
      <c r="B1452" s="2">
        <v>1991</v>
      </c>
      <c r="C1452" s="2" t="s">
        <v>57</v>
      </c>
      <c r="D1452" s="2">
        <v>4552</v>
      </c>
      <c r="E1452" s="3">
        <f t="shared" si="10"/>
        <v>4.5519999999999996</v>
      </c>
      <c r="G1452" s="2">
        <f t="shared" si="11"/>
        <v>4.5519999999999996</v>
      </c>
    </row>
    <row r="1453" spans="1:7" ht="14.25" customHeight="1">
      <c r="A1453" s="2" t="s">
        <v>15</v>
      </c>
      <c r="B1453" s="2">
        <v>1992</v>
      </c>
      <c r="C1453" s="2" t="s">
        <v>57</v>
      </c>
      <c r="D1453" s="2">
        <v>5186</v>
      </c>
      <c r="E1453" s="3">
        <f t="shared" si="10"/>
        <v>5.1859999999999999</v>
      </c>
      <c r="G1453" s="2">
        <f t="shared" si="11"/>
        <v>5.1859999999999999</v>
      </c>
    </row>
    <row r="1454" spans="1:7" ht="14.25" customHeight="1">
      <c r="A1454" s="2" t="s">
        <v>15</v>
      </c>
      <c r="B1454" s="2">
        <v>1993</v>
      </c>
      <c r="C1454" s="2" t="s">
        <v>57</v>
      </c>
      <c r="D1454" s="2">
        <v>5566</v>
      </c>
      <c r="E1454" s="3">
        <f t="shared" si="10"/>
        <v>5.5659999999999998</v>
      </c>
      <c r="G1454" s="2">
        <f t="shared" si="11"/>
        <v>5.5659999999999998</v>
      </c>
    </row>
    <row r="1455" spans="1:7" ht="14.25" customHeight="1">
      <c r="A1455" s="2" t="s">
        <v>15</v>
      </c>
      <c r="B1455" s="2">
        <v>1994</v>
      </c>
      <c r="C1455" s="2" t="s">
        <v>57</v>
      </c>
      <c r="D1455" s="2">
        <v>6039</v>
      </c>
      <c r="E1455" s="3">
        <f t="shared" si="10"/>
        <v>6.0389999999999997</v>
      </c>
      <c r="G1455" s="2">
        <f t="shared" si="11"/>
        <v>6.0389999999999997</v>
      </c>
    </row>
    <row r="1456" spans="1:7" ht="14.25" customHeight="1">
      <c r="A1456" s="2" t="s">
        <v>15</v>
      </c>
      <c r="B1456" s="2">
        <v>1995</v>
      </c>
      <c r="C1456" s="2" t="s">
        <v>57</v>
      </c>
      <c r="D1456" s="2">
        <v>6563</v>
      </c>
      <c r="E1456" s="3">
        <f t="shared" si="10"/>
        <v>6.5629999999999997</v>
      </c>
      <c r="G1456" s="2">
        <f t="shared" si="11"/>
        <v>6.5629999999999997</v>
      </c>
    </row>
    <row r="1457" spans="1:7" ht="14.25" customHeight="1">
      <c r="A1457" s="2" t="s">
        <v>15</v>
      </c>
      <c r="B1457" s="2">
        <v>1996</v>
      </c>
      <c r="C1457" s="2" t="s">
        <v>57</v>
      </c>
      <c r="D1457" s="2">
        <v>7210</v>
      </c>
      <c r="E1457" s="3">
        <f t="shared" si="10"/>
        <v>7.21</v>
      </c>
      <c r="G1457" s="2">
        <f t="shared" si="11"/>
        <v>7.21</v>
      </c>
    </row>
    <row r="1458" spans="1:7" ht="14.25" customHeight="1">
      <c r="A1458" s="2" t="s">
        <v>15</v>
      </c>
      <c r="B1458" s="2">
        <v>1997</v>
      </c>
      <c r="C1458" s="2" t="s">
        <v>57</v>
      </c>
      <c r="D1458" s="2">
        <v>7477</v>
      </c>
      <c r="E1458" s="3">
        <f t="shared" si="10"/>
        <v>7.4770000000000003</v>
      </c>
      <c r="G1458" s="2">
        <f t="shared" si="11"/>
        <v>7.4770000000000003</v>
      </c>
    </row>
    <row r="1459" spans="1:7" ht="14.25" customHeight="1">
      <c r="A1459" s="2" t="s">
        <v>15</v>
      </c>
      <c r="B1459" s="2">
        <v>1998</v>
      </c>
      <c r="C1459" s="2" t="s">
        <v>57</v>
      </c>
      <c r="D1459" s="2">
        <v>6520</v>
      </c>
      <c r="E1459" s="3">
        <f t="shared" si="10"/>
        <v>6.52</v>
      </c>
      <c r="G1459" s="2">
        <f t="shared" si="11"/>
        <v>6.52</v>
      </c>
    </row>
    <row r="1460" spans="1:7" ht="14.25" customHeight="1">
      <c r="A1460" s="2" t="s">
        <v>15</v>
      </c>
      <c r="B1460" s="2">
        <v>1999</v>
      </c>
      <c r="C1460" s="2" t="s">
        <v>57</v>
      </c>
      <c r="D1460" s="2">
        <v>5606</v>
      </c>
      <c r="E1460" s="3">
        <f t="shared" si="10"/>
        <v>5.6059999999999999</v>
      </c>
      <c r="G1460" s="2">
        <f t="shared" si="11"/>
        <v>5.6059999999999999</v>
      </c>
    </row>
    <row r="1461" spans="1:7" ht="14.25" customHeight="1">
      <c r="A1461" s="2" t="s">
        <v>15</v>
      </c>
      <c r="B1461" s="2">
        <v>2000</v>
      </c>
      <c r="C1461" s="2" t="s">
        <v>57</v>
      </c>
      <c r="D1461" s="2">
        <v>5513</v>
      </c>
      <c r="E1461" s="3">
        <f t="shared" si="10"/>
        <v>5.5129999999999999</v>
      </c>
      <c r="G1461" s="2">
        <f t="shared" si="11"/>
        <v>5.5129999999999999</v>
      </c>
    </row>
    <row r="1462" spans="1:7" ht="14.25" customHeight="1">
      <c r="A1462" s="2" t="s">
        <v>15</v>
      </c>
      <c r="B1462" s="2">
        <v>2001</v>
      </c>
      <c r="C1462" s="2" t="s">
        <v>57</v>
      </c>
      <c r="D1462" s="2">
        <v>4672</v>
      </c>
      <c r="E1462" s="3">
        <f t="shared" si="10"/>
        <v>4.6719999999999997</v>
      </c>
      <c r="G1462" s="2">
        <f t="shared" si="11"/>
        <v>4.6719999999999997</v>
      </c>
    </row>
    <row r="1463" spans="1:7" ht="14.25" customHeight="1">
      <c r="A1463" s="2" t="s">
        <v>15</v>
      </c>
      <c r="B1463" s="2">
        <v>2002</v>
      </c>
      <c r="C1463" s="2" t="s">
        <v>57</v>
      </c>
      <c r="D1463" s="2">
        <v>4419</v>
      </c>
      <c r="E1463" s="3">
        <f t="shared" si="10"/>
        <v>4.4189999999999996</v>
      </c>
      <c r="G1463" s="2">
        <f t="shared" si="11"/>
        <v>4.4189999999999996</v>
      </c>
    </row>
    <row r="1464" spans="1:7" ht="14.25" customHeight="1">
      <c r="A1464" s="2" t="s">
        <v>15</v>
      </c>
      <c r="B1464" s="2">
        <v>2003</v>
      </c>
      <c r="C1464" s="2" t="s">
        <v>57</v>
      </c>
      <c r="D1464" s="2">
        <v>4092</v>
      </c>
      <c r="E1464" s="3">
        <f t="shared" si="10"/>
        <v>4.0919999999999996</v>
      </c>
      <c r="G1464" s="2">
        <f t="shared" si="11"/>
        <v>4.0919999999999996</v>
      </c>
    </row>
    <row r="1465" spans="1:7" ht="14.25" customHeight="1">
      <c r="A1465" s="2" t="s">
        <v>15</v>
      </c>
      <c r="B1465" s="2">
        <v>2004</v>
      </c>
      <c r="C1465" s="2" t="s">
        <v>57</v>
      </c>
      <c r="D1465" s="2">
        <v>3746</v>
      </c>
      <c r="E1465" s="3">
        <f t="shared" si="10"/>
        <v>3.746</v>
      </c>
      <c r="G1465" s="2">
        <f t="shared" si="11"/>
        <v>3.746</v>
      </c>
    </row>
    <row r="1466" spans="1:7" ht="14.25" customHeight="1">
      <c r="A1466" s="2" t="s">
        <v>15</v>
      </c>
      <c r="B1466" s="2">
        <v>2005</v>
      </c>
      <c r="C1466" s="2" t="s">
        <v>57</v>
      </c>
      <c r="D1466" s="2">
        <v>3330</v>
      </c>
      <c r="E1466" s="3">
        <f t="shared" si="10"/>
        <v>3.33</v>
      </c>
      <c r="G1466" s="2">
        <f t="shared" si="11"/>
        <v>3.33</v>
      </c>
    </row>
    <row r="1467" spans="1:7" ht="14.25" customHeight="1">
      <c r="A1467" s="2" t="s">
        <v>15</v>
      </c>
      <c r="B1467" s="2">
        <v>2006</v>
      </c>
      <c r="C1467" s="2" t="s">
        <v>57</v>
      </c>
      <c r="D1467" s="2">
        <v>3534.04</v>
      </c>
      <c r="E1467" s="3">
        <f t="shared" si="10"/>
        <v>3.5340400000000001</v>
      </c>
      <c r="G1467" s="2">
        <f t="shared" si="11"/>
        <v>3.5340400000000001</v>
      </c>
    </row>
    <row r="1468" spans="1:7" ht="14.25" customHeight="1">
      <c r="A1468" s="2" t="s">
        <v>15</v>
      </c>
      <c r="B1468" s="2">
        <v>2007</v>
      </c>
      <c r="C1468" s="2" t="s">
        <v>57</v>
      </c>
      <c r="D1468" s="2">
        <v>3971.53</v>
      </c>
      <c r="E1468" s="3">
        <f t="shared" si="10"/>
        <v>3.97153</v>
      </c>
      <c r="G1468" s="2">
        <f t="shared" si="11"/>
        <v>3.97153</v>
      </c>
    </row>
    <row r="1469" spans="1:7" ht="14.25" customHeight="1">
      <c r="A1469" s="2" t="s">
        <v>15</v>
      </c>
      <c r="B1469" s="2">
        <v>2008</v>
      </c>
      <c r="C1469" s="2" t="s">
        <v>57</v>
      </c>
      <c r="D1469" s="2">
        <v>0</v>
      </c>
      <c r="E1469" s="3">
        <f t="shared" si="10"/>
        <v>0</v>
      </c>
      <c r="G1469" s="2">
        <f t="shared" si="11"/>
        <v>0</v>
      </c>
    </row>
    <row r="1470" spans="1:7" ht="14.25" customHeight="1">
      <c r="A1470" s="2" t="s">
        <v>15</v>
      </c>
      <c r="B1470" s="2">
        <v>2009</v>
      </c>
      <c r="C1470" s="2" t="s">
        <v>57</v>
      </c>
      <c r="D1470" s="2">
        <v>0</v>
      </c>
      <c r="E1470" s="3">
        <f t="shared" si="10"/>
        <v>0</v>
      </c>
      <c r="G1470" s="2">
        <f t="shared" si="11"/>
        <v>0</v>
      </c>
    </row>
    <row r="1471" spans="1:7" ht="14.25" customHeight="1">
      <c r="A1471" s="2" t="s">
        <v>15</v>
      </c>
      <c r="B1471" s="2">
        <v>2010</v>
      </c>
      <c r="C1471" s="2" t="s">
        <v>57</v>
      </c>
      <c r="D1471" s="2">
        <v>0</v>
      </c>
      <c r="E1471" s="3">
        <f t="shared" si="10"/>
        <v>0</v>
      </c>
      <c r="G1471" s="2">
        <f t="shared" si="11"/>
        <v>0</v>
      </c>
    </row>
    <row r="1472" spans="1:7" ht="14.25" customHeight="1">
      <c r="A1472" s="2" t="s">
        <v>15</v>
      </c>
      <c r="B1472" s="2">
        <v>2011</v>
      </c>
      <c r="C1472" s="2" t="s">
        <v>57</v>
      </c>
      <c r="D1472" s="2">
        <v>0</v>
      </c>
      <c r="E1472" s="3">
        <f t="shared" si="10"/>
        <v>0</v>
      </c>
      <c r="G1472" s="2">
        <f t="shared" si="11"/>
        <v>0</v>
      </c>
    </row>
    <row r="1473" spans="1:7" ht="14.25" customHeight="1">
      <c r="A1473" s="2" t="s">
        <v>15</v>
      </c>
      <c r="B1473" s="2">
        <v>2012</v>
      </c>
      <c r="C1473" s="2" t="s">
        <v>57</v>
      </c>
      <c r="D1473" s="2">
        <v>0</v>
      </c>
      <c r="E1473" s="3">
        <f t="shared" si="10"/>
        <v>0</v>
      </c>
      <c r="G1473" s="2">
        <f t="shared" si="11"/>
        <v>0</v>
      </c>
    </row>
    <row r="1474" spans="1:7" ht="14.25" customHeight="1">
      <c r="A1474" s="2" t="s">
        <v>15</v>
      </c>
      <c r="B1474" s="2">
        <v>2013</v>
      </c>
      <c r="C1474" s="2" t="s">
        <v>57</v>
      </c>
      <c r="D1474" s="2">
        <v>0</v>
      </c>
      <c r="E1474" s="3">
        <f t="shared" si="10"/>
        <v>0</v>
      </c>
      <c r="G1474" s="2">
        <f t="shared" si="11"/>
        <v>0</v>
      </c>
    </row>
    <row r="1475" spans="1:7" ht="14.25" customHeight="1">
      <c r="A1475" s="2" t="s">
        <v>15</v>
      </c>
      <c r="B1475" s="2">
        <v>2014</v>
      </c>
      <c r="C1475" s="2" t="s">
        <v>57</v>
      </c>
      <c r="D1475" s="2">
        <v>0</v>
      </c>
      <c r="E1475" s="3">
        <f t="shared" si="10"/>
        <v>0</v>
      </c>
      <c r="G1475" s="2">
        <f t="shared" si="11"/>
        <v>0</v>
      </c>
    </row>
    <row r="1476" spans="1:7" ht="14.25" customHeight="1">
      <c r="A1476" s="2" t="s">
        <v>15</v>
      </c>
      <c r="B1476" s="2">
        <v>2015</v>
      </c>
      <c r="C1476" s="2" t="s">
        <v>57</v>
      </c>
      <c r="D1476" s="2">
        <v>0</v>
      </c>
      <c r="E1476" s="3">
        <f t="shared" si="10"/>
        <v>0</v>
      </c>
      <c r="G1476" s="2">
        <f t="shared" si="11"/>
        <v>0</v>
      </c>
    </row>
    <row r="1477" spans="1:7" ht="14.25" customHeight="1">
      <c r="A1477" s="2" t="s">
        <v>15</v>
      </c>
      <c r="B1477" s="2">
        <v>2016</v>
      </c>
      <c r="C1477" s="2" t="s">
        <v>57</v>
      </c>
      <c r="D1477" s="2">
        <v>0</v>
      </c>
      <c r="E1477" s="3">
        <f t="shared" si="10"/>
        <v>0</v>
      </c>
      <c r="G1477" s="2">
        <f t="shared" si="11"/>
        <v>0</v>
      </c>
    </row>
    <row r="1478" spans="1:7" ht="14.25" customHeight="1">
      <c r="A1478" s="2" t="s">
        <v>15</v>
      </c>
      <c r="B1478" s="2">
        <v>2017</v>
      </c>
      <c r="C1478" s="2" t="s">
        <v>57</v>
      </c>
      <c r="D1478" s="2">
        <v>0</v>
      </c>
      <c r="E1478" s="3">
        <f t="shared" si="10"/>
        <v>0</v>
      </c>
      <c r="G1478" s="2">
        <f t="shared" si="11"/>
        <v>0</v>
      </c>
    </row>
    <row r="1479" spans="1:7" ht="14.25" customHeight="1">
      <c r="A1479" s="2" t="s">
        <v>15</v>
      </c>
      <c r="B1479" s="2">
        <v>2018</v>
      </c>
      <c r="C1479" s="2" t="s">
        <v>57</v>
      </c>
      <c r="D1479" s="2">
        <v>0</v>
      </c>
      <c r="E1479" s="3">
        <f t="shared" si="10"/>
        <v>0</v>
      </c>
      <c r="G1479" s="2">
        <f t="shared" si="11"/>
        <v>0</v>
      </c>
    </row>
    <row r="1480" spans="1:7" ht="14.25" customHeight="1">
      <c r="A1480" s="2" t="s">
        <v>15</v>
      </c>
      <c r="B1480" s="2">
        <v>1903</v>
      </c>
      <c r="C1480" s="2" t="s">
        <v>58</v>
      </c>
      <c r="D1480" s="2">
        <v>2037</v>
      </c>
      <c r="E1480" s="3">
        <f t="shared" si="10"/>
        <v>2.0369999999999999</v>
      </c>
      <c r="G1480" s="2">
        <f t="shared" si="11"/>
        <v>2.0369999999999999</v>
      </c>
    </row>
    <row r="1481" spans="1:7" ht="14.25" customHeight="1">
      <c r="A1481" s="2" t="s">
        <v>15</v>
      </c>
      <c r="B1481" s="2">
        <v>1904</v>
      </c>
      <c r="C1481" s="2" t="s">
        <v>58</v>
      </c>
      <c r="D1481" s="2">
        <v>2375</v>
      </c>
      <c r="E1481" s="3">
        <f t="shared" si="10"/>
        <v>2.375</v>
      </c>
      <c r="G1481" s="2">
        <f t="shared" si="11"/>
        <v>2.375</v>
      </c>
    </row>
    <row r="1482" spans="1:7" ht="14.25" customHeight="1">
      <c r="A1482" s="2" t="s">
        <v>15</v>
      </c>
      <c r="B1482" s="2">
        <v>1905</v>
      </c>
      <c r="C1482" s="2" t="s">
        <v>58</v>
      </c>
      <c r="D1482" s="2">
        <v>2657</v>
      </c>
      <c r="E1482" s="3">
        <f t="shared" si="10"/>
        <v>2.657</v>
      </c>
      <c r="G1482" s="2">
        <f t="shared" si="11"/>
        <v>2.657</v>
      </c>
    </row>
    <row r="1483" spans="1:7" ht="14.25" customHeight="1">
      <c r="A1483" s="2" t="s">
        <v>15</v>
      </c>
      <c r="B1483" s="2">
        <v>1906</v>
      </c>
      <c r="C1483" s="2" t="s">
        <v>58</v>
      </c>
      <c r="D1483" s="2">
        <v>2430</v>
      </c>
      <c r="E1483" s="3">
        <f t="shared" si="10"/>
        <v>2.4300000000000002</v>
      </c>
      <c r="G1483" s="2">
        <f t="shared" si="11"/>
        <v>2.4300000000000002</v>
      </c>
    </row>
    <row r="1484" spans="1:7" ht="14.25" customHeight="1">
      <c r="A1484" s="2" t="s">
        <v>15</v>
      </c>
      <c r="B1484" s="2">
        <v>1907</v>
      </c>
      <c r="C1484" s="2" t="s">
        <v>58</v>
      </c>
      <c r="D1484" s="2">
        <v>3744</v>
      </c>
      <c r="E1484" s="3">
        <f t="shared" si="10"/>
        <v>3.7440000000000002</v>
      </c>
      <c r="G1484" s="2">
        <f t="shared" si="11"/>
        <v>3.7440000000000002</v>
      </c>
    </row>
    <row r="1485" spans="1:7" ht="14.25" customHeight="1">
      <c r="A1485" s="2" t="s">
        <v>15</v>
      </c>
      <c r="B1485" s="2">
        <v>1908</v>
      </c>
      <c r="C1485" s="2" t="s">
        <v>58</v>
      </c>
      <c r="D1485" s="2">
        <v>2731</v>
      </c>
      <c r="E1485" s="3">
        <f t="shared" si="10"/>
        <v>2.7309999999999999</v>
      </c>
      <c r="G1485" s="2">
        <f t="shared" si="11"/>
        <v>2.7309999999999999</v>
      </c>
    </row>
    <row r="1486" spans="1:7" ht="14.25" customHeight="1">
      <c r="A1486" s="2" t="s">
        <v>15</v>
      </c>
      <c r="B1486" s="2">
        <v>1909</v>
      </c>
      <c r="C1486" s="2" t="s">
        <v>58</v>
      </c>
      <c r="D1486" s="2">
        <v>2944</v>
      </c>
      <c r="E1486" s="3">
        <f t="shared" si="10"/>
        <v>2.944</v>
      </c>
      <c r="G1486" s="2">
        <f t="shared" si="11"/>
        <v>2.944</v>
      </c>
    </row>
    <row r="1487" spans="1:7" ht="14.25" customHeight="1">
      <c r="A1487" s="2" t="s">
        <v>15</v>
      </c>
      <c r="B1487" s="2">
        <v>1910</v>
      </c>
      <c r="C1487" s="2" t="s">
        <v>58</v>
      </c>
      <c r="D1487" s="2">
        <v>3012</v>
      </c>
      <c r="E1487" s="3">
        <f t="shared" si="10"/>
        <v>3.012</v>
      </c>
      <c r="G1487" s="2">
        <f t="shared" si="11"/>
        <v>3.012</v>
      </c>
    </row>
    <row r="1488" spans="1:7" ht="14.25" customHeight="1">
      <c r="A1488" s="2" t="s">
        <v>15</v>
      </c>
      <c r="B1488" s="2">
        <v>1911</v>
      </c>
      <c r="C1488" s="2" t="s">
        <v>58</v>
      </c>
      <c r="D1488" s="2">
        <v>2977</v>
      </c>
      <c r="E1488" s="3">
        <f t="shared" si="10"/>
        <v>2.9769999999999999</v>
      </c>
      <c r="G1488" s="2">
        <f t="shared" si="11"/>
        <v>2.9769999999999999</v>
      </c>
    </row>
    <row r="1489" spans="1:7" ht="14.25" customHeight="1">
      <c r="A1489" s="2" t="s">
        <v>15</v>
      </c>
      <c r="B1489" s="2">
        <v>1912</v>
      </c>
      <c r="C1489" s="2" t="s">
        <v>58</v>
      </c>
      <c r="D1489" s="2">
        <v>3052</v>
      </c>
      <c r="E1489" s="3">
        <f t="shared" si="10"/>
        <v>3.052</v>
      </c>
      <c r="G1489" s="2">
        <f t="shared" si="11"/>
        <v>3.052</v>
      </c>
    </row>
    <row r="1490" spans="1:7" ht="14.25" customHeight="1">
      <c r="A1490" s="2" t="s">
        <v>15</v>
      </c>
      <c r="B1490" s="2">
        <v>1913</v>
      </c>
      <c r="C1490" s="2" t="s">
        <v>58</v>
      </c>
      <c r="D1490" s="2">
        <v>3182</v>
      </c>
      <c r="E1490" s="3">
        <f t="shared" si="10"/>
        <v>3.1819999999999999</v>
      </c>
      <c r="G1490" s="2">
        <f t="shared" si="11"/>
        <v>3.1819999999999999</v>
      </c>
    </row>
    <row r="1491" spans="1:7" ht="14.25" customHeight="1">
      <c r="A1491" s="2" t="s">
        <v>15</v>
      </c>
      <c r="B1491" s="2">
        <v>1914</v>
      </c>
      <c r="C1491" s="2" t="s">
        <v>58</v>
      </c>
      <c r="D1491" s="2">
        <v>3014</v>
      </c>
      <c r="E1491" s="3">
        <f t="shared" si="10"/>
        <v>3.0139999999999998</v>
      </c>
      <c r="G1491" s="2">
        <f t="shared" si="11"/>
        <v>3.0139999999999998</v>
      </c>
    </row>
    <row r="1492" spans="1:7" ht="14.25" customHeight="1">
      <c r="A1492" s="2" t="s">
        <v>15</v>
      </c>
      <c r="B1492" s="2">
        <v>1915</v>
      </c>
      <c r="C1492" s="2" t="s">
        <v>58</v>
      </c>
      <c r="D1492" s="2">
        <v>1579</v>
      </c>
      <c r="E1492" s="3">
        <f t="shared" si="10"/>
        <v>1.579</v>
      </c>
      <c r="G1492" s="2">
        <f t="shared" si="11"/>
        <v>1.579</v>
      </c>
    </row>
    <row r="1493" spans="1:7" ht="14.25" customHeight="1">
      <c r="A1493" s="2" t="s">
        <v>15</v>
      </c>
      <c r="B1493" s="2">
        <v>1916</v>
      </c>
      <c r="C1493" s="2" t="s">
        <v>58</v>
      </c>
      <c r="D1493" s="2">
        <v>1493</v>
      </c>
      <c r="E1493" s="3">
        <f t="shared" si="10"/>
        <v>1.4930000000000001</v>
      </c>
      <c r="G1493" s="2">
        <f t="shared" si="11"/>
        <v>1.4930000000000001</v>
      </c>
    </row>
    <row r="1494" spans="1:7" ht="14.25" customHeight="1">
      <c r="A1494" s="2" t="s">
        <v>15</v>
      </c>
      <c r="B1494" s="2">
        <v>1917</v>
      </c>
      <c r="C1494" s="2" t="s">
        <v>58</v>
      </c>
      <c r="D1494" s="2">
        <v>863</v>
      </c>
      <c r="E1494" s="3">
        <f t="shared" si="10"/>
        <v>0.86299999999999999</v>
      </c>
      <c r="G1494" s="2">
        <f t="shared" si="11"/>
        <v>0.86299999999999999</v>
      </c>
    </row>
    <row r="1495" spans="1:7" ht="14.25" customHeight="1">
      <c r="A1495" s="2" t="s">
        <v>15</v>
      </c>
      <c r="B1495" s="2">
        <v>1918</v>
      </c>
      <c r="C1495" s="2" t="s">
        <v>58</v>
      </c>
      <c r="D1495" s="2">
        <v>744</v>
      </c>
      <c r="E1495" s="3">
        <f t="shared" si="10"/>
        <v>0.74399999999999999</v>
      </c>
      <c r="G1495" s="2">
        <f t="shared" si="11"/>
        <v>0.74399999999999999</v>
      </c>
    </row>
    <row r="1496" spans="1:7" ht="14.25" customHeight="1">
      <c r="A1496" s="2" t="s">
        <v>15</v>
      </c>
      <c r="B1496" s="2">
        <v>1919</v>
      </c>
      <c r="C1496" s="2" t="s">
        <v>58</v>
      </c>
      <c r="D1496" s="2">
        <v>1383</v>
      </c>
      <c r="E1496" s="3">
        <f t="shared" si="10"/>
        <v>1.383</v>
      </c>
      <c r="G1496" s="2">
        <f t="shared" si="11"/>
        <v>1.383</v>
      </c>
    </row>
    <row r="1497" spans="1:7" ht="14.25" customHeight="1">
      <c r="A1497" s="2" t="s">
        <v>15</v>
      </c>
      <c r="B1497" s="2">
        <v>1920</v>
      </c>
      <c r="C1497" s="2" t="s">
        <v>58</v>
      </c>
      <c r="D1497" s="2">
        <v>2305</v>
      </c>
      <c r="E1497" s="3">
        <f t="shared" si="10"/>
        <v>2.3050000000000002</v>
      </c>
      <c r="G1497" s="2">
        <f t="shared" si="11"/>
        <v>2.3050000000000002</v>
      </c>
    </row>
    <row r="1498" spans="1:7" ht="14.25" customHeight="1">
      <c r="A1498" s="2" t="s">
        <v>15</v>
      </c>
      <c r="B1498" s="2">
        <v>1921</v>
      </c>
      <c r="C1498" s="2" t="s">
        <v>58</v>
      </c>
      <c r="D1498" s="2">
        <v>2774</v>
      </c>
      <c r="E1498" s="3">
        <f t="shared" si="10"/>
        <v>2.774</v>
      </c>
      <c r="G1498" s="2">
        <f t="shared" si="11"/>
        <v>2.774</v>
      </c>
    </row>
    <row r="1499" spans="1:7" ht="14.25" customHeight="1">
      <c r="A1499" s="2" t="s">
        <v>15</v>
      </c>
      <c r="B1499" s="2">
        <v>1922</v>
      </c>
      <c r="C1499" s="2" t="s">
        <v>58</v>
      </c>
      <c r="D1499" s="2">
        <v>2648</v>
      </c>
      <c r="E1499" s="3">
        <f t="shared" si="10"/>
        <v>2.6480000000000001</v>
      </c>
      <c r="G1499" s="2">
        <f t="shared" si="11"/>
        <v>2.6480000000000001</v>
      </c>
    </row>
    <row r="1500" spans="1:7" ht="14.25" customHeight="1">
      <c r="A1500" s="2" t="s">
        <v>15</v>
      </c>
      <c r="B1500" s="2">
        <v>1923</v>
      </c>
      <c r="C1500" s="2" t="s">
        <v>58</v>
      </c>
      <c r="D1500" s="2">
        <v>2442</v>
      </c>
      <c r="E1500" s="3">
        <f t="shared" si="10"/>
        <v>2.4420000000000002</v>
      </c>
      <c r="G1500" s="2">
        <f t="shared" si="11"/>
        <v>2.4420000000000002</v>
      </c>
    </row>
    <row r="1501" spans="1:7" ht="14.25" customHeight="1">
      <c r="A1501" s="2" t="s">
        <v>15</v>
      </c>
      <c r="B1501" s="2">
        <v>1924</v>
      </c>
      <c r="C1501" s="2" t="s">
        <v>58</v>
      </c>
      <c r="D1501" s="2">
        <v>2707</v>
      </c>
      <c r="E1501" s="3">
        <f t="shared" si="10"/>
        <v>2.7069999999999999</v>
      </c>
      <c r="G1501" s="2">
        <f t="shared" si="11"/>
        <v>2.7069999999999999</v>
      </c>
    </row>
    <row r="1502" spans="1:7" ht="14.25" customHeight="1">
      <c r="A1502" s="2" t="s">
        <v>15</v>
      </c>
      <c r="B1502" s="2">
        <v>1925</v>
      </c>
      <c r="C1502" s="2" t="s">
        <v>58</v>
      </c>
      <c r="D1502" s="2">
        <v>2604</v>
      </c>
      <c r="E1502" s="3">
        <f t="shared" si="10"/>
        <v>2.6040000000000001</v>
      </c>
      <c r="G1502" s="2">
        <f t="shared" si="11"/>
        <v>2.6040000000000001</v>
      </c>
    </row>
    <row r="1503" spans="1:7" ht="14.25" customHeight="1">
      <c r="A1503" s="2" t="s">
        <v>15</v>
      </c>
      <c r="B1503" s="2">
        <v>1926</v>
      </c>
      <c r="C1503" s="2" t="s">
        <v>58</v>
      </c>
      <c r="D1503" s="2">
        <v>2363</v>
      </c>
      <c r="E1503" s="3">
        <f t="shared" si="10"/>
        <v>2.363</v>
      </c>
      <c r="G1503" s="2">
        <f t="shared" si="11"/>
        <v>2.363</v>
      </c>
    </row>
    <row r="1504" spans="1:7" ht="14.25" customHeight="1">
      <c r="A1504" s="2" t="s">
        <v>15</v>
      </c>
      <c r="B1504" s="2">
        <v>1927</v>
      </c>
      <c r="C1504" s="2" t="s">
        <v>58</v>
      </c>
      <c r="D1504" s="2">
        <v>2956</v>
      </c>
      <c r="E1504" s="3">
        <f t="shared" si="10"/>
        <v>2.956</v>
      </c>
      <c r="G1504" s="2">
        <f t="shared" si="11"/>
        <v>2.956</v>
      </c>
    </row>
    <row r="1505" spans="1:7" ht="14.25" customHeight="1">
      <c r="A1505" s="2" t="s">
        <v>15</v>
      </c>
      <c r="B1505" s="2">
        <v>1928</v>
      </c>
      <c r="C1505" s="2" t="s">
        <v>58</v>
      </c>
      <c r="D1505" s="2">
        <v>3504</v>
      </c>
      <c r="E1505" s="3">
        <f t="shared" si="10"/>
        <v>3.504</v>
      </c>
      <c r="G1505" s="2">
        <f t="shared" si="11"/>
        <v>3.504</v>
      </c>
    </row>
    <row r="1506" spans="1:7" ht="14.25" customHeight="1">
      <c r="A1506" s="2" t="s">
        <v>15</v>
      </c>
      <c r="B1506" s="2">
        <v>1929</v>
      </c>
      <c r="C1506" s="2" t="s">
        <v>58</v>
      </c>
      <c r="D1506" s="2">
        <v>4040</v>
      </c>
      <c r="E1506" s="3">
        <f t="shared" si="10"/>
        <v>4.04</v>
      </c>
      <c r="G1506" s="2">
        <f t="shared" si="11"/>
        <v>4.04</v>
      </c>
    </row>
    <row r="1507" spans="1:7" ht="14.25" customHeight="1">
      <c r="A1507" s="2" t="s">
        <v>15</v>
      </c>
      <c r="B1507" s="2">
        <v>1930</v>
      </c>
      <c r="C1507" s="2" t="s">
        <v>58</v>
      </c>
      <c r="D1507" s="2">
        <v>5053</v>
      </c>
      <c r="E1507" s="3">
        <f t="shared" si="10"/>
        <v>5.0529999999999999</v>
      </c>
      <c r="G1507" s="2">
        <f t="shared" si="11"/>
        <v>5.0529999999999999</v>
      </c>
    </row>
    <row r="1508" spans="1:7" ht="14.25" customHeight="1">
      <c r="A1508" s="2" t="s">
        <v>15</v>
      </c>
      <c r="B1508" s="2">
        <v>1931</v>
      </c>
      <c r="C1508" s="2" t="s">
        <v>58</v>
      </c>
      <c r="D1508" s="2">
        <v>5724</v>
      </c>
      <c r="E1508" s="3">
        <f t="shared" si="10"/>
        <v>5.7240000000000002</v>
      </c>
      <c r="G1508" s="2">
        <f t="shared" si="11"/>
        <v>5.7240000000000002</v>
      </c>
    </row>
    <row r="1509" spans="1:7" ht="14.25" customHeight="1">
      <c r="A1509" s="2" t="s">
        <v>15</v>
      </c>
      <c r="B1509" s="2">
        <v>1932</v>
      </c>
      <c r="C1509" s="2" t="s">
        <v>58</v>
      </c>
      <c r="D1509" s="2">
        <v>7047</v>
      </c>
      <c r="E1509" s="3">
        <f t="shared" si="10"/>
        <v>7.0469999999999997</v>
      </c>
      <c r="G1509" s="2">
        <f t="shared" si="11"/>
        <v>7.0469999999999997</v>
      </c>
    </row>
    <row r="1510" spans="1:7" ht="14.25" customHeight="1">
      <c r="A1510" s="2" t="s">
        <v>15</v>
      </c>
      <c r="B1510" s="2">
        <v>1933</v>
      </c>
      <c r="C1510" s="2" t="s">
        <v>58</v>
      </c>
      <c r="D1510" s="2">
        <v>7585</v>
      </c>
      <c r="E1510" s="3">
        <f t="shared" si="10"/>
        <v>7.585</v>
      </c>
      <c r="G1510" s="2">
        <f t="shared" si="11"/>
        <v>7.585</v>
      </c>
    </row>
    <row r="1511" spans="1:7" ht="14.25" customHeight="1">
      <c r="A1511" s="2" t="s">
        <v>15</v>
      </c>
      <c r="B1511" s="2">
        <v>1934</v>
      </c>
      <c r="C1511" s="2" t="s">
        <v>58</v>
      </c>
      <c r="D1511" s="2">
        <v>7526</v>
      </c>
      <c r="E1511" s="3">
        <f t="shared" si="10"/>
        <v>7.5259999999999998</v>
      </c>
      <c r="G1511" s="2">
        <f t="shared" si="11"/>
        <v>7.5259999999999998</v>
      </c>
    </row>
    <row r="1512" spans="1:7" ht="14.25" customHeight="1">
      <c r="A1512" s="2" t="s">
        <v>15</v>
      </c>
      <c r="B1512" s="2">
        <v>1935</v>
      </c>
      <c r="C1512" s="2" t="s">
        <v>58</v>
      </c>
      <c r="D1512" s="2">
        <v>7863</v>
      </c>
      <c r="E1512" s="3">
        <f t="shared" si="10"/>
        <v>7.8630000000000004</v>
      </c>
      <c r="G1512" s="2">
        <f t="shared" si="11"/>
        <v>7.8630000000000004</v>
      </c>
    </row>
    <row r="1513" spans="1:7" ht="14.25" customHeight="1">
      <c r="A1513" s="2" t="s">
        <v>15</v>
      </c>
      <c r="B1513" s="2">
        <v>1936</v>
      </c>
      <c r="C1513" s="2" t="s">
        <v>58</v>
      </c>
      <c r="D1513" s="2">
        <v>6510</v>
      </c>
      <c r="E1513" s="3">
        <f t="shared" si="10"/>
        <v>6.51</v>
      </c>
      <c r="G1513" s="2">
        <f t="shared" si="11"/>
        <v>6.51</v>
      </c>
    </row>
    <row r="1514" spans="1:7" ht="14.25" customHeight="1">
      <c r="A1514" s="2" t="s">
        <v>15</v>
      </c>
      <c r="B1514" s="2">
        <v>1937</v>
      </c>
      <c r="C1514" s="2" t="s">
        <v>58</v>
      </c>
      <c r="D1514" s="2">
        <v>5762</v>
      </c>
      <c r="E1514" s="3">
        <f t="shared" si="10"/>
        <v>5.7619999999999996</v>
      </c>
      <c r="G1514" s="2">
        <f t="shared" si="11"/>
        <v>5.7619999999999996</v>
      </c>
    </row>
    <row r="1515" spans="1:7" ht="14.25" customHeight="1">
      <c r="A1515" s="2" t="s">
        <v>15</v>
      </c>
      <c r="B1515" s="2">
        <v>1938</v>
      </c>
      <c r="C1515" s="2" t="s">
        <v>58</v>
      </c>
      <c r="D1515" s="2">
        <v>7373</v>
      </c>
      <c r="E1515" s="3">
        <f t="shared" si="10"/>
        <v>7.3730000000000002</v>
      </c>
      <c r="G1515" s="2">
        <f t="shared" si="11"/>
        <v>7.3730000000000002</v>
      </c>
    </row>
    <row r="1516" spans="1:7" ht="14.25" customHeight="1">
      <c r="A1516" s="2" t="s">
        <v>15</v>
      </c>
      <c r="B1516" s="2">
        <v>1939</v>
      </c>
      <c r="C1516" s="2" t="s">
        <v>58</v>
      </c>
      <c r="D1516" s="2">
        <v>7163</v>
      </c>
      <c r="E1516" s="3">
        <f t="shared" si="10"/>
        <v>7.1630000000000003</v>
      </c>
      <c r="G1516" s="2">
        <f t="shared" si="11"/>
        <v>7.1630000000000003</v>
      </c>
    </row>
    <row r="1517" spans="1:7" ht="14.25" customHeight="1">
      <c r="A1517" s="2" t="s">
        <v>15</v>
      </c>
      <c r="B1517" s="2">
        <v>1940</v>
      </c>
      <c r="C1517" s="2" t="s">
        <v>58</v>
      </c>
      <c r="D1517" s="2">
        <v>2766</v>
      </c>
      <c r="E1517" s="3">
        <f t="shared" si="10"/>
        <v>2.766</v>
      </c>
      <c r="G1517" s="2">
        <f t="shared" si="11"/>
        <v>2.766</v>
      </c>
    </row>
    <row r="1518" spans="1:7" ht="14.25" customHeight="1">
      <c r="A1518" s="2" t="s">
        <v>15</v>
      </c>
      <c r="B1518" s="2">
        <v>1941</v>
      </c>
      <c r="C1518" s="2" t="s">
        <v>58</v>
      </c>
      <c r="D1518" s="2">
        <v>1953</v>
      </c>
      <c r="E1518" s="3">
        <f t="shared" si="10"/>
        <v>1.9530000000000001</v>
      </c>
      <c r="G1518" s="2">
        <f t="shared" si="11"/>
        <v>1.9530000000000001</v>
      </c>
    </row>
    <row r="1519" spans="1:7" ht="14.25" customHeight="1">
      <c r="A1519" s="2" t="s">
        <v>15</v>
      </c>
      <c r="B1519" s="2">
        <v>1942</v>
      </c>
      <c r="C1519" s="2" t="s">
        <v>58</v>
      </c>
      <c r="D1519" s="2">
        <v>2015</v>
      </c>
      <c r="E1519" s="3">
        <f t="shared" si="10"/>
        <v>2.0150000000000001</v>
      </c>
      <c r="G1519" s="2">
        <f t="shared" si="11"/>
        <v>2.0150000000000001</v>
      </c>
    </row>
    <row r="1520" spans="1:7" ht="14.25" customHeight="1">
      <c r="A1520" s="2" t="s">
        <v>15</v>
      </c>
      <c r="B1520" s="2">
        <v>1943</v>
      </c>
      <c r="C1520" s="2" t="s">
        <v>58</v>
      </c>
      <c r="D1520" s="2">
        <v>1673</v>
      </c>
      <c r="E1520" s="3">
        <f t="shared" si="10"/>
        <v>1.673</v>
      </c>
      <c r="G1520" s="2">
        <f t="shared" si="11"/>
        <v>1.673</v>
      </c>
    </row>
    <row r="1521" spans="1:7" ht="14.25" customHeight="1">
      <c r="A1521" s="2" t="s">
        <v>15</v>
      </c>
      <c r="B1521" s="2">
        <v>1944</v>
      </c>
      <c r="C1521" s="2" t="s">
        <v>58</v>
      </c>
      <c r="D1521" s="2">
        <v>1366</v>
      </c>
      <c r="E1521" s="3">
        <f t="shared" si="10"/>
        <v>1.3660000000000001</v>
      </c>
      <c r="G1521" s="2">
        <f t="shared" si="11"/>
        <v>1.3660000000000001</v>
      </c>
    </row>
    <row r="1522" spans="1:7" ht="14.25" customHeight="1">
      <c r="A1522" s="2" t="s">
        <v>15</v>
      </c>
      <c r="B1522" s="2">
        <v>1945</v>
      </c>
      <c r="C1522" s="2" t="s">
        <v>58</v>
      </c>
      <c r="D1522" s="2">
        <v>1471</v>
      </c>
      <c r="E1522" s="3">
        <f t="shared" si="10"/>
        <v>1.4710000000000001</v>
      </c>
      <c r="G1522" s="2">
        <f t="shared" si="11"/>
        <v>1.4710000000000001</v>
      </c>
    </row>
    <row r="1523" spans="1:7" ht="14.25" customHeight="1">
      <c r="A1523" s="2" t="s">
        <v>15</v>
      </c>
      <c r="B1523" s="2">
        <v>1946</v>
      </c>
      <c r="C1523" s="2" t="s">
        <v>58</v>
      </c>
      <c r="D1523" s="2">
        <v>1878</v>
      </c>
      <c r="E1523" s="3">
        <f t="shared" si="10"/>
        <v>1.8779999999999999</v>
      </c>
      <c r="G1523" s="2">
        <f t="shared" si="11"/>
        <v>1.8779999999999999</v>
      </c>
    </row>
    <row r="1524" spans="1:7" ht="14.25" customHeight="1">
      <c r="A1524" s="2" t="s">
        <v>15</v>
      </c>
      <c r="B1524" s="2">
        <v>1947</v>
      </c>
      <c r="C1524" s="2" t="s">
        <v>58</v>
      </c>
      <c r="D1524" s="2">
        <v>2373</v>
      </c>
      <c r="E1524" s="3">
        <f t="shared" si="10"/>
        <v>2.3730000000000002</v>
      </c>
      <c r="G1524" s="2">
        <f t="shared" si="11"/>
        <v>2.3730000000000002</v>
      </c>
    </row>
    <row r="1525" spans="1:7" ht="14.25" customHeight="1">
      <c r="A1525" s="2" t="s">
        <v>15</v>
      </c>
      <c r="B1525" s="2">
        <v>1948</v>
      </c>
      <c r="C1525" s="2" t="s">
        <v>58</v>
      </c>
      <c r="D1525" s="2">
        <v>3187</v>
      </c>
      <c r="E1525" s="3">
        <f t="shared" si="10"/>
        <v>3.1869999999999998</v>
      </c>
      <c r="G1525" s="2">
        <f t="shared" si="11"/>
        <v>3.1869999999999998</v>
      </c>
    </row>
    <row r="1526" spans="1:7" ht="14.25" customHeight="1">
      <c r="A1526" s="2" t="s">
        <v>15</v>
      </c>
      <c r="B1526" s="2">
        <v>1949</v>
      </c>
      <c r="C1526" s="2" t="s">
        <v>58</v>
      </c>
      <c r="D1526" s="2">
        <v>3102</v>
      </c>
      <c r="E1526" s="3">
        <f t="shared" si="10"/>
        <v>3.1019999999999999</v>
      </c>
      <c r="G1526" s="2">
        <f t="shared" si="11"/>
        <v>3.1019999999999999</v>
      </c>
    </row>
    <row r="1527" spans="1:7" ht="14.25" customHeight="1">
      <c r="A1527" s="2" t="s">
        <v>15</v>
      </c>
      <c r="B1527" s="2">
        <v>1950</v>
      </c>
      <c r="C1527" s="2" t="s">
        <v>58</v>
      </c>
      <c r="D1527" s="2">
        <v>2743</v>
      </c>
      <c r="E1527" s="3">
        <f t="shared" si="10"/>
        <v>2.7429999999999999</v>
      </c>
      <c r="G1527" s="2">
        <f t="shared" si="11"/>
        <v>2.7429999999999999</v>
      </c>
    </row>
    <row r="1528" spans="1:7" ht="14.25" customHeight="1">
      <c r="A1528" s="2" t="s">
        <v>15</v>
      </c>
      <c r="B1528" s="2">
        <v>1951</v>
      </c>
      <c r="C1528" s="2" t="s">
        <v>58</v>
      </c>
      <c r="D1528" s="2">
        <v>6429</v>
      </c>
      <c r="E1528" s="3">
        <f t="shared" si="10"/>
        <v>6.4290000000000003</v>
      </c>
      <c r="G1528" s="2">
        <f t="shared" si="11"/>
        <v>6.4290000000000003</v>
      </c>
    </row>
    <row r="1529" spans="1:7" ht="14.25" customHeight="1">
      <c r="A1529" s="2" t="s">
        <v>15</v>
      </c>
      <c r="B1529" s="2">
        <v>1952</v>
      </c>
      <c r="C1529" s="2" t="s">
        <v>58</v>
      </c>
      <c r="D1529" s="2">
        <v>3237</v>
      </c>
      <c r="E1529" s="3">
        <f t="shared" si="10"/>
        <v>3.2370000000000001</v>
      </c>
      <c r="G1529" s="2">
        <f t="shared" si="11"/>
        <v>3.2370000000000001</v>
      </c>
    </row>
    <row r="1530" spans="1:7" ht="14.25" customHeight="1">
      <c r="A1530" s="2" t="s">
        <v>15</v>
      </c>
      <c r="B1530" s="2">
        <v>1953</v>
      </c>
      <c r="C1530" s="2" t="s">
        <v>58</v>
      </c>
      <c r="D1530" s="2">
        <v>4245</v>
      </c>
      <c r="E1530" s="3">
        <f t="shared" si="10"/>
        <v>4.2450000000000001</v>
      </c>
      <c r="G1530" s="2">
        <f t="shared" si="11"/>
        <v>4.2450000000000001</v>
      </c>
    </row>
    <row r="1531" spans="1:7" ht="14.25" customHeight="1">
      <c r="A1531" s="2" t="s">
        <v>15</v>
      </c>
      <c r="B1531" s="2">
        <v>1954</v>
      </c>
      <c r="C1531" s="2" t="s">
        <v>58</v>
      </c>
      <c r="D1531" s="2">
        <v>4531</v>
      </c>
      <c r="E1531" s="3">
        <f t="shared" si="10"/>
        <v>4.5309999999999997</v>
      </c>
      <c r="G1531" s="2">
        <f t="shared" si="11"/>
        <v>4.5309999999999997</v>
      </c>
    </row>
    <row r="1532" spans="1:7" ht="14.25" customHeight="1">
      <c r="A1532" s="2" t="s">
        <v>15</v>
      </c>
      <c r="B1532" s="2">
        <v>1955</v>
      </c>
      <c r="C1532" s="2" t="s">
        <v>58</v>
      </c>
      <c r="D1532" s="2">
        <v>4727</v>
      </c>
      <c r="E1532" s="3">
        <f t="shared" ref="E1532:E1786" si="12">D1532/1000</f>
        <v>4.7270000000000003</v>
      </c>
      <c r="G1532" s="2">
        <f t="shared" ref="G1532:G1786" si="13">E1532+F1532</f>
        <v>4.7270000000000003</v>
      </c>
    </row>
    <row r="1533" spans="1:7" ht="14.25" customHeight="1">
      <c r="A1533" s="2" t="s">
        <v>15</v>
      </c>
      <c r="B1533" s="2">
        <v>1956</v>
      </c>
      <c r="C1533" s="2" t="s">
        <v>58</v>
      </c>
      <c r="D1533" s="2">
        <v>4805</v>
      </c>
      <c r="E1533" s="3">
        <f t="shared" si="12"/>
        <v>4.8049999999999997</v>
      </c>
      <c r="G1533" s="2">
        <f t="shared" si="13"/>
        <v>4.8049999999999997</v>
      </c>
    </row>
    <row r="1534" spans="1:7" ht="14.25" customHeight="1">
      <c r="A1534" s="2" t="s">
        <v>15</v>
      </c>
      <c r="B1534" s="2">
        <v>1957</v>
      </c>
      <c r="C1534" s="2" t="s">
        <v>58</v>
      </c>
      <c r="D1534" s="2">
        <v>4765</v>
      </c>
      <c r="E1534" s="3">
        <f t="shared" si="12"/>
        <v>4.7649999999999997</v>
      </c>
      <c r="G1534" s="2">
        <f t="shared" si="13"/>
        <v>4.7649999999999997</v>
      </c>
    </row>
    <row r="1535" spans="1:7" ht="14.25" customHeight="1">
      <c r="A1535" s="2" t="s">
        <v>15</v>
      </c>
      <c r="B1535" s="2">
        <v>1958</v>
      </c>
      <c r="C1535" s="2" t="s">
        <v>58</v>
      </c>
      <c r="D1535" s="2">
        <v>4981</v>
      </c>
      <c r="E1535" s="3">
        <f t="shared" si="12"/>
        <v>4.9809999999999999</v>
      </c>
      <c r="G1535" s="2">
        <f t="shared" si="13"/>
        <v>4.9809999999999999</v>
      </c>
    </row>
    <row r="1536" spans="1:7" ht="14.25" customHeight="1">
      <c r="A1536" s="2" t="s">
        <v>15</v>
      </c>
      <c r="B1536" s="2">
        <v>1959</v>
      </c>
      <c r="C1536" s="2" t="s">
        <v>58</v>
      </c>
      <c r="D1536" s="2">
        <v>4298</v>
      </c>
      <c r="E1536" s="3">
        <f t="shared" si="12"/>
        <v>4.298</v>
      </c>
      <c r="G1536" s="2">
        <f t="shared" si="13"/>
        <v>4.298</v>
      </c>
    </row>
    <row r="1537" spans="1:7" ht="14.25" customHeight="1">
      <c r="A1537" s="2" t="s">
        <v>15</v>
      </c>
      <c r="B1537" s="2">
        <v>1960</v>
      </c>
      <c r="C1537" s="2" t="s">
        <v>58</v>
      </c>
      <c r="D1537" s="2">
        <v>3720</v>
      </c>
      <c r="E1537" s="3">
        <f t="shared" si="12"/>
        <v>3.72</v>
      </c>
      <c r="G1537" s="2">
        <f t="shared" si="13"/>
        <v>3.72</v>
      </c>
    </row>
    <row r="1538" spans="1:7" ht="14.25" customHeight="1">
      <c r="A1538" s="2" t="s">
        <v>15</v>
      </c>
      <c r="B1538" s="2">
        <v>1961</v>
      </c>
      <c r="C1538" s="2" t="s">
        <v>58</v>
      </c>
      <c r="D1538" s="2">
        <v>3371</v>
      </c>
      <c r="E1538" s="3">
        <f t="shared" si="12"/>
        <v>3.371</v>
      </c>
      <c r="G1538" s="2">
        <f t="shared" si="13"/>
        <v>3.371</v>
      </c>
    </row>
    <row r="1539" spans="1:7" ht="14.25" customHeight="1">
      <c r="A1539" s="2" t="s">
        <v>15</v>
      </c>
      <c r="B1539" s="2">
        <v>1962</v>
      </c>
      <c r="C1539" s="2" t="s">
        <v>58</v>
      </c>
      <c r="D1539" s="2">
        <v>3145</v>
      </c>
      <c r="E1539" s="3">
        <f t="shared" si="12"/>
        <v>3.145</v>
      </c>
      <c r="G1539" s="2">
        <f t="shared" si="13"/>
        <v>3.145</v>
      </c>
    </row>
    <row r="1540" spans="1:7" ht="14.25" customHeight="1">
      <c r="A1540" s="2" t="s">
        <v>15</v>
      </c>
      <c r="B1540" s="2">
        <v>1963</v>
      </c>
      <c r="C1540" s="2" t="s">
        <v>58</v>
      </c>
      <c r="D1540" s="2">
        <v>3759</v>
      </c>
      <c r="E1540" s="3">
        <f t="shared" si="12"/>
        <v>3.7589999999999999</v>
      </c>
      <c r="G1540" s="2">
        <f t="shared" si="13"/>
        <v>3.7589999999999999</v>
      </c>
    </row>
    <row r="1541" spans="1:7" ht="14.25" customHeight="1">
      <c r="A1541" s="2" t="s">
        <v>15</v>
      </c>
      <c r="B1541" s="2">
        <v>1964</v>
      </c>
      <c r="C1541" s="2" t="s">
        <v>58</v>
      </c>
      <c r="D1541" s="2">
        <v>5063</v>
      </c>
      <c r="E1541" s="3">
        <f t="shared" si="12"/>
        <v>5.0629999999999997</v>
      </c>
      <c r="G1541" s="2">
        <f t="shared" si="13"/>
        <v>5.0629999999999997</v>
      </c>
    </row>
    <row r="1542" spans="1:7" ht="14.25" customHeight="1">
      <c r="A1542" s="2" t="s">
        <v>15</v>
      </c>
      <c r="B1542" s="2">
        <v>1965</v>
      </c>
      <c r="C1542" s="2" t="s">
        <v>58</v>
      </c>
      <c r="D1542" s="2">
        <v>5339</v>
      </c>
      <c r="E1542" s="3">
        <f t="shared" si="12"/>
        <v>5.3390000000000004</v>
      </c>
      <c r="G1542" s="2">
        <f t="shared" si="13"/>
        <v>5.3390000000000004</v>
      </c>
    </row>
    <row r="1543" spans="1:7" ht="14.25" customHeight="1">
      <c r="A1543" s="2" t="s">
        <v>15</v>
      </c>
      <c r="B1543" s="2">
        <v>1966</v>
      </c>
      <c r="C1543" s="2" t="s">
        <v>58</v>
      </c>
      <c r="D1543" s="2">
        <v>4170</v>
      </c>
      <c r="E1543" s="3">
        <f t="shared" si="12"/>
        <v>4.17</v>
      </c>
      <c r="G1543" s="2">
        <f t="shared" si="13"/>
        <v>4.17</v>
      </c>
    </row>
    <row r="1544" spans="1:7" ht="14.25" customHeight="1">
      <c r="A1544" s="2" t="s">
        <v>15</v>
      </c>
      <c r="B1544" s="2">
        <v>1967</v>
      </c>
      <c r="C1544" s="2" t="s">
        <v>58</v>
      </c>
      <c r="D1544" s="2">
        <v>3874</v>
      </c>
      <c r="E1544" s="3">
        <f t="shared" si="12"/>
        <v>3.8740000000000001</v>
      </c>
      <c r="G1544" s="2">
        <f t="shared" si="13"/>
        <v>3.8740000000000001</v>
      </c>
    </row>
    <row r="1545" spans="1:7" ht="14.25" customHeight="1">
      <c r="A1545" s="2" t="s">
        <v>15</v>
      </c>
      <c r="B1545" s="2">
        <v>1968</v>
      </c>
      <c r="C1545" s="2" t="s">
        <v>58</v>
      </c>
      <c r="D1545" s="2">
        <v>4571</v>
      </c>
      <c r="E1545" s="3">
        <f t="shared" si="12"/>
        <v>4.5709999999999997</v>
      </c>
      <c r="G1545" s="2">
        <f t="shared" si="13"/>
        <v>4.5709999999999997</v>
      </c>
    </row>
    <row r="1546" spans="1:7" ht="14.25" customHeight="1">
      <c r="A1546" s="2" t="s">
        <v>15</v>
      </c>
      <c r="B1546" s="2">
        <v>1969</v>
      </c>
      <c r="C1546" s="2" t="s">
        <v>58</v>
      </c>
      <c r="D1546" s="2">
        <v>4233</v>
      </c>
      <c r="E1546" s="3">
        <f t="shared" si="12"/>
        <v>4.2329999999999997</v>
      </c>
      <c r="G1546" s="2">
        <f t="shared" si="13"/>
        <v>4.2329999999999997</v>
      </c>
    </row>
    <row r="1547" spans="1:7" ht="14.25" customHeight="1">
      <c r="A1547" s="2" t="s">
        <v>15</v>
      </c>
      <c r="B1547" s="2">
        <v>1970</v>
      </c>
      <c r="C1547" s="2" t="s">
        <v>58</v>
      </c>
      <c r="D1547" s="2">
        <v>3641</v>
      </c>
      <c r="E1547" s="3">
        <f t="shared" si="12"/>
        <v>3.641</v>
      </c>
      <c r="G1547" s="2">
        <f t="shared" si="13"/>
        <v>3.641</v>
      </c>
    </row>
    <row r="1548" spans="1:7" ht="14.25" customHeight="1">
      <c r="A1548" s="2" t="s">
        <v>15</v>
      </c>
      <c r="B1548" s="2">
        <v>1971</v>
      </c>
      <c r="C1548" s="2" t="s">
        <v>58</v>
      </c>
      <c r="D1548" s="2">
        <v>4088</v>
      </c>
      <c r="E1548" s="3">
        <f t="shared" si="12"/>
        <v>4.0880000000000001</v>
      </c>
      <c r="G1548" s="2">
        <f t="shared" si="13"/>
        <v>4.0880000000000001</v>
      </c>
    </row>
    <row r="1549" spans="1:7" ht="14.25" customHeight="1">
      <c r="A1549" s="2" t="s">
        <v>15</v>
      </c>
      <c r="B1549" s="2">
        <v>1972</v>
      </c>
      <c r="C1549" s="2" t="s">
        <v>58</v>
      </c>
      <c r="D1549" s="2">
        <v>4500</v>
      </c>
      <c r="E1549" s="3">
        <f t="shared" si="12"/>
        <v>4.5</v>
      </c>
      <c r="G1549" s="2">
        <f t="shared" si="13"/>
        <v>4.5</v>
      </c>
    </row>
    <row r="1550" spans="1:7" ht="14.25" customHeight="1">
      <c r="A1550" s="2" t="s">
        <v>15</v>
      </c>
      <c r="B1550" s="2">
        <v>1973</v>
      </c>
      <c r="C1550" s="2" t="s">
        <v>58</v>
      </c>
      <c r="D1550" s="2">
        <v>4778</v>
      </c>
      <c r="E1550" s="3">
        <f t="shared" si="12"/>
        <v>4.7779999999999996</v>
      </c>
      <c r="G1550" s="2">
        <f t="shared" si="13"/>
        <v>4.7779999999999996</v>
      </c>
    </row>
    <row r="1551" spans="1:7" ht="14.25" customHeight="1">
      <c r="A1551" s="2" t="s">
        <v>15</v>
      </c>
      <c r="B1551" s="2">
        <v>1974</v>
      </c>
      <c r="C1551" s="2" t="s">
        <v>58</v>
      </c>
      <c r="D1551" s="2">
        <v>5307</v>
      </c>
      <c r="E1551" s="3">
        <f t="shared" si="12"/>
        <v>5.3070000000000004</v>
      </c>
      <c r="G1551" s="2">
        <f t="shared" si="13"/>
        <v>5.3070000000000004</v>
      </c>
    </row>
    <row r="1552" spans="1:7" ht="14.25" customHeight="1">
      <c r="A1552" s="2" t="s">
        <v>15</v>
      </c>
      <c r="B1552" s="2">
        <v>1975</v>
      </c>
      <c r="C1552" s="2" t="s">
        <v>58</v>
      </c>
      <c r="D1552" s="2">
        <v>5306</v>
      </c>
      <c r="E1552" s="3">
        <f t="shared" si="12"/>
        <v>5.306</v>
      </c>
      <c r="G1552" s="2">
        <f t="shared" si="13"/>
        <v>5.306</v>
      </c>
    </row>
    <row r="1553" spans="1:7" ht="14.25" customHeight="1">
      <c r="A1553" s="2" t="s">
        <v>15</v>
      </c>
      <c r="B1553" s="2">
        <v>1976</v>
      </c>
      <c r="C1553" s="2" t="s">
        <v>58</v>
      </c>
      <c r="D1553" s="2">
        <v>6125</v>
      </c>
      <c r="E1553" s="3">
        <f t="shared" si="12"/>
        <v>6.125</v>
      </c>
      <c r="G1553" s="2">
        <f t="shared" si="13"/>
        <v>6.125</v>
      </c>
    </row>
    <row r="1554" spans="1:7" ht="14.25" customHeight="1">
      <c r="A1554" s="2" t="s">
        <v>15</v>
      </c>
      <c r="B1554" s="2">
        <v>1977</v>
      </c>
      <c r="C1554" s="2" t="s">
        <v>58</v>
      </c>
      <c r="D1554" s="2">
        <v>5771</v>
      </c>
      <c r="E1554" s="3">
        <f t="shared" si="12"/>
        <v>5.7709999999999999</v>
      </c>
      <c r="G1554" s="2">
        <f t="shared" si="13"/>
        <v>5.7709999999999999</v>
      </c>
    </row>
    <row r="1555" spans="1:7" ht="14.25" customHeight="1">
      <c r="A1555" s="2" t="s">
        <v>15</v>
      </c>
      <c r="B1555" s="2">
        <v>1978</v>
      </c>
      <c r="C1555" s="2" t="s">
        <v>58</v>
      </c>
      <c r="D1555" s="2">
        <v>5495</v>
      </c>
      <c r="E1555" s="3">
        <f t="shared" si="12"/>
        <v>5.4950000000000001</v>
      </c>
      <c r="G1555" s="2">
        <f t="shared" si="13"/>
        <v>5.4950000000000001</v>
      </c>
    </row>
    <row r="1556" spans="1:7" ht="14.25" customHeight="1">
      <c r="A1556" s="2" t="s">
        <v>15</v>
      </c>
      <c r="B1556" s="2">
        <v>1979</v>
      </c>
      <c r="C1556" s="2" t="s">
        <v>58</v>
      </c>
      <c r="D1556" s="2">
        <v>5579</v>
      </c>
      <c r="E1556" s="3">
        <f t="shared" si="12"/>
        <v>5.5789999999999997</v>
      </c>
      <c r="G1556" s="2">
        <f t="shared" si="13"/>
        <v>5.5789999999999997</v>
      </c>
    </row>
    <row r="1557" spans="1:7" ht="14.25" customHeight="1">
      <c r="A1557" s="2" t="s">
        <v>15</v>
      </c>
      <c r="B1557" s="2">
        <v>1980</v>
      </c>
      <c r="C1557" s="2" t="s">
        <v>58</v>
      </c>
      <c r="D1557" s="2">
        <v>6569</v>
      </c>
      <c r="E1557" s="3">
        <f t="shared" si="12"/>
        <v>6.569</v>
      </c>
      <c r="G1557" s="2">
        <f t="shared" si="13"/>
        <v>6.569</v>
      </c>
    </row>
    <row r="1558" spans="1:7" ht="14.25" customHeight="1">
      <c r="A1558" s="2" t="s">
        <v>15</v>
      </c>
      <c r="B1558" s="2">
        <v>1981</v>
      </c>
      <c r="C1558" s="2" t="s">
        <v>58</v>
      </c>
      <c r="D1558" s="2">
        <v>5766</v>
      </c>
      <c r="E1558" s="3">
        <f t="shared" si="12"/>
        <v>5.766</v>
      </c>
      <c r="G1558" s="2">
        <f t="shared" si="13"/>
        <v>5.766</v>
      </c>
    </row>
    <row r="1559" spans="1:7" ht="14.25" customHeight="1">
      <c r="A1559" s="2" t="s">
        <v>15</v>
      </c>
      <c r="B1559" s="2">
        <v>1982</v>
      </c>
      <c r="C1559" s="2" t="s">
        <v>58</v>
      </c>
      <c r="D1559" s="2">
        <v>5590</v>
      </c>
      <c r="E1559" s="3">
        <f t="shared" si="12"/>
        <v>5.59</v>
      </c>
      <c r="G1559" s="2">
        <f t="shared" si="13"/>
        <v>5.59</v>
      </c>
    </row>
    <row r="1560" spans="1:7" ht="14.25" customHeight="1">
      <c r="A1560" s="2" t="s">
        <v>15</v>
      </c>
      <c r="B1560" s="2">
        <v>1983</v>
      </c>
      <c r="C1560" s="2" t="s">
        <v>58</v>
      </c>
      <c r="D1560" s="2">
        <v>8593</v>
      </c>
      <c r="E1560" s="3">
        <f t="shared" si="12"/>
        <v>8.593</v>
      </c>
      <c r="G1560" s="2">
        <f t="shared" si="13"/>
        <v>8.593</v>
      </c>
    </row>
    <row r="1561" spans="1:7" ht="14.25" customHeight="1">
      <c r="A1561" s="2" t="s">
        <v>15</v>
      </c>
      <c r="B1561" s="2">
        <v>1984</v>
      </c>
      <c r="C1561" s="2" t="s">
        <v>58</v>
      </c>
      <c r="D1561" s="2">
        <v>11365</v>
      </c>
      <c r="E1561" s="3">
        <f t="shared" si="12"/>
        <v>11.365</v>
      </c>
      <c r="G1561" s="2">
        <f t="shared" si="13"/>
        <v>11.365</v>
      </c>
    </row>
    <row r="1562" spans="1:7" ht="14.25" customHeight="1">
      <c r="A1562" s="2" t="s">
        <v>15</v>
      </c>
      <c r="B1562" s="2">
        <v>1985</v>
      </c>
      <c r="C1562" s="2" t="s">
        <v>58</v>
      </c>
      <c r="D1562" s="2">
        <v>11883</v>
      </c>
      <c r="E1562" s="3">
        <f t="shared" si="12"/>
        <v>11.882999999999999</v>
      </c>
      <c r="G1562" s="2">
        <f t="shared" si="13"/>
        <v>11.882999999999999</v>
      </c>
    </row>
    <row r="1563" spans="1:7" ht="14.25" customHeight="1">
      <c r="A1563" s="2" t="s">
        <v>15</v>
      </c>
      <c r="B1563" s="2">
        <v>1986</v>
      </c>
      <c r="C1563" s="2" t="s">
        <v>58</v>
      </c>
      <c r="D1563" s="2">
        <v>11437</v>
      </c>
      <c r="E1563" s="3">
        <f t="shared" si="12"/>
        <v>11.436999999999999</v>
      </c>
      <c r="G1563" s="2">
        <f t="shared" si="13"/>
        <v>11.436999999999999</v>
      </c>
    </row>
    <row r="1564" spans="1:7" ht="14.25" customHeight="1">
      <c r="A1564" s="2" t="s">
        <v>15</v>
      </c>
      <c r="B1564" s="2">
        <v>1987</v>
      </c>
      <c r="C1564" s="2" t="s">
        <v>58</v>
      </c>
      <c r="D1564" s="2">
        <v>13880</v>
      </c>
      <c r="E1564" s="3">
        <f t="shared" si="12"/>
        <v>13.88</v>
      </c>
      <c r="G1564" s="2">
        <f t="shared" si="13"/>
        <v>13.88</v>
      </c>
    </row>
    <row r="1565" spans="1:7" ht="14.25" customHeight="1">
      <c r="A1565" s="2" t="s">
        <v>15</v>
      </c>
      <c r="B1565" s="2">
        <v>1988</v>
      </c>
      <c r="C1565" s="2" t="s">
        <v>58</v>
      </c>
      <c r="D1565" s="2">
        <v>15700</v>
      </c>
      <c r="E1565" s="3">
        <f t="shared" si="12"/>
        <v>15.7</v>
      </c>
      <c r="G1565" s="2">
        <f t="shared" si="13"/>
        <v>15.7</v>
      </c>
    </row>
    <row r="1566" spans="1:7" ht="14.25" customHeight="1">
      <c r="A1566" s="2" t="s">
        <v>15</v>
      </c>
      <c r="B1566" s="2">
        <v>1989</v>
      </c>
      <c r="C1566" s="2" t="s">
        <v>58</v>
      </c>
      <c r="D1566" s="2">
        <v>16838</v>
      </c>
      <c r="E1566" s="3">
        <f t="shared" si="12"/>
        <v>16.838000000000001</v>
      </c>
      <c r="G1566" s="2">
        <f t="shared" si="13"/>
        <v>16.838000000000001</v>
      </c>
    </row>
    <row r="1567" spans="1:7" ht="14.25" customHeight="1">
      <c r="A1567" s="2" t="s">
        <v>15</v>
      </c>
      <c r="B1567" s="2">
        <v>1990</v>
      </c>
      <c r="C1567" s="2" t="s">
        <v>58</v>
      </c>
      <c r="D1567" s="2">
        <v>16502</v>
      </c>
      <c r="E1567" s="3">
        <f t="shared" si="12"/>
        <v>16.501999999999999</v>
      </c>
      <c r="G1567" s="2">
        <f t="shared" si="13"/>
        <v>16.501999999999999</v>
      </c>
    </row>
    <row r="1568" spans="1:7" ht="14.25" customHeight="1">
      <c r="A1568" s="2" t="s">
        <v>15</v>
      </c>
      <c r="B1568" s="2">
        <v>1991</v>
      </c>
      <c r="C1568" s="2" t="s">
        <v>58</v>
      </c>
      <c r="D1568" s="2">
        <v>15907</v>
      </c>
      <c r="E1568" s="3">
        <f t="shared" si="12"/>
        <v>15.907</v>
      </c>
      <c r="G1568" s="2">
        <f t="shared" si="13"/>
        <v>15.907</v>
      </c>
    </row>
    <row r="1569" spans="1:7" ht="14.25" customHeight="1">
      <c r="A1569" s="2" t="s">
        <v>15</v>
      </c>
      <c r="B1569" s="2">
        <v>1992</v>
      </c>
      <c r="C1569" s="2" t="s">
        <v>58</v>
      </c>
      <c r="D1569" s="2">
        <v>17680</v>
      </c>
      <c r="E1569" s="3">
        <f t="shared" si="12"/>
        <v>17.68</v>
      </c>
      <c r="G1569" s="2">
        <f t="shared" si="13"/>
        <v>17.68</v>
      </c>
    </row>
    <row r="1570" spans="1:7" ht="14.25" customHeight="1">
      <c r="A1570" s="2" t="s">
        <v>15</v>
      </c>
      <c r="B1570" s="2">
        <v>1993</v>
      </c>
      <c r="C1570" s="2" t="s">
        <v>58</v>
      </c>
      <c r="D1570" s="2">
        <v>18894</v>
      </c>
      <c r="E1570" s="3">
        <f t="shared" si="12"/>
        <v>18.893999999999998</v>
      </c>
      <c r="G1570" s="2">
        <f t="shared" si="13"/>
        <v>18.893999999999998</v>
      </c>
    </row>
    <row r="1571" spans="1:7" ht="14.25" customHeight="1">
      <c r="A1571" s="2" t="s">
        <v>15</v>
      </c>
      <c r="B1571" s="2">
        <v>1994</v>
      </c>
      <c r="C1571" s="2" t="s">
        <v>58</v>
      </c>
      <c r="D1571" s="2">
        <v>19999</v>
      </c>
      <c r="E1571" s="3">
        <f t="shared" si="12"/>
        <v>19.998999999999999</v>
      </c>
      <c r="G1571" s="2">
        <f t="shared" si="13"/>
        <v>19.998999999999999</v>
      </c>
    </row>
    <row r="1572" spans="1:7" ht="14.25" customHeight="1">
      <c r="A1572" s="2" t="s">
        <v>15</v>
      </c>
      <c r="B1572" s="2">
        <v>1995</v>
      </c>
      <c r="C1572" s="2" t="s">
        <v>58</v>
      </c>
      <c r="D1572" s="2">
        <v>24456</v>
      </c>
      <c r="E1572" s="3">
        <f t="shared" si="12"/>
        <v>24.456</v>
      </c>
      <c r="G1572" s="2">
        <f t="shared" si="13"/>
        <v>24.456</v>
      </c>
    </row>
    <row r="1573" spans="1:7" ht="14.25" customHeight="1">
      <c r="A1573" s="2" t="s">
        <v>15</v>
      </c>
      <c r="B1573" s="2">
        <v>1996</v>
      </c>
      <c r="C1573" s="2" t="s">
        <v>58</v>
      </c>
      <c r="D1573" s="2">
        <v>31452</v>
      </c>
      <c r="E1573" s="3">
        <f t="shared" si="12"/>
        <v>31.452000000000002</v>
      </c>
      <c r="G1573" s="2">
        <f t="shared" si="13"/>
        <v>31.452000000000002</v>
      </c>
    </row>
    <row r="1574" spans="1:7" ht="14.25" customHeight="1">
      <c r="A1574" s="2" t="s">
        <v>15</v>
      </c>
      <c r="B1574" s="2">
        <v>1997</v>
      </c>
      <c r="C1574" s="2" t="s">
        <v>58</v>
      </c>
      <c r="D1574" s="2">
        <v>29780</v>
      </c>
      <c r="E1574" s="3">
        <f t="shared" si="12"/>
        <v>29.78</v>
      </c>
      <c r="G1574" s="2">
        <f t="shared" si="13"/>
        <v>29.78</v>
      </c>
    </row>
    <row r="1575" spans="1:7" ht="14.25" customHeight="1">
      <c r="A1575" s="2" t="s">
        <v>15</v>
      </c>
      <c r="B1575" s="2">
        <v>1998</v>
      </c>
      <c r="C1575" s="2" t="s">
        <v>58</v>
      </c>
      <c r="D1575" s="2">
        <v>21394</v>
      </c>
      <c r="E1575" s="3">
        <f t="shared" si="12"/>
        <v>21.393999999999998</v>
      </c>
      <c r="G1575" s="2">
        <f t="shared" si="13"/>
        <v>21.393999999999998</v>
      </c>
    </row>
    <row r="1576" spans="1:7" ht="14.25" customHeight="1">
      <c r="A1576" s="2" t="s">
        <v>15</v>
      </c>
      <c r="B1576" s="2">
        <v>1999</v>
      </c>
      <c r="C1576" s="2" t="s">
        <v>58</v>
      </c>
      <c r="D1576" s="2">
        <v>16989</v>
      </c>
      <c r="E1576" s="3">
        <f t="shared" si="12"/>
        <v>16.989000000000001</v>
      </c>
      <c r="G1576" s="2">
        <f t="shared" si="13"/>
        <v>16.989000000000001</v>
      </c>
    </row>
    <row r="1577" spans="1:7" ht="14.25" customHeight="1">
      <c r="A1577" s="2" t="s">
        <v>15</v>
      </c>
      <c r="B1577" s="2">
        <v>2000</v>
      </c>
      <c r="C1577" s="2" t="s">
        <v>58</v>
      </c>
      <c r="D1577" s="2">
        <v>15955</v>
      </c>
      <c r="E1577" s="3">
        <f t="shared" si="12"/>
        <v>15.955</v>
      </c>
      <c r="G1577" s="2">
        <f t="shared" si="13"/>
        <v>15.955</v>
      </c>
    </row>
    <row r="1578" spans="1:7" ht="14.25" customHeight="1">
      <c r="A1578" s="2" t="s">
        <v>15</v>
      </c>
      <c r="B1578" s="2">
        <v>2001</v>
      </c>
      <c r="C1578" s="2" t="s">
        <v>58</v>
      </c>
      <c r="D1578" s="2">
        <v>16249</v>
      </c>
      <c r="E1578" s="3">
        <f t="shared" si="12"/>
        <v>16.248999999999999</v>
      </c>
      <c r="G1578" s="2">
        <f t="shared" si="13"/>
        <v>16.248999999999999</v>
      </c>
    </row>
    <row r="1579" spans="1:7" ht="14.25" customHeight="1">
      <c r="A1579" s="2" t="s">
        <v>15</v>
      </c>
      <c r="B1579" s="2">
        <v>2002</v>
      </c>
      <c r="C1579" s="2" t="s">
        <v>58</v>
      </c>
      <c r="D1579" s="2">
        <v>14289</v>
      </c>
      <c r="E1579" s="3">
        <f t="shared" si="12"/>
        <v>14.289</v>
      </c>
      <c r="G1579" s="2">
        <f t="shared" si="13"/>
        <v>14.289</v>
      </c>
    </row>
    <row r="1580" spans="1:7" ht="14.25" customHeight="1">
      <c r="A1580" s="2" t="s">
        <v>15</v>
      </c>
      <c r="B1580" s="2">
        <v>2003</v>
      </c>
      <c r="C1580" s="2" t="s">
        <v>58</v>
      </c>
      <c r="D1580" s="2">
        <v>11205</v>
      </c>
      <c r="E1580" s="3">
        <f t="shared" si="12"/>
        <v>11.205</v>
      </c>
      <c r="G1580" s="2">
        <f t="shared" si="13"/>
        <v>11.205</v>
      </c>
    </row>
    <row r="1581" spans="1:7" ht="14.25" customHeight="1">
      <c r="A1581" s="2" t="s">
        <v>15</v>
      </c>
      <c r="B1581" s="2">
        <v>2004</v>
      </c>
      <c r="C1581" s="2" t="s">
        <v>58</v>
      </c>
      <c r="D1581" s="2">
        <v>11815</v>
      </c>
      <c r="E1581" s="3">
        <f t="shared" si="12"/>
        <v>11.815</v>
      </c>
      <c r="G1581" s="2">
        <f t="shared" si="13"/>
        <v>11.815</v>
      </c>
    </row>
    <row r="1582" spans="1:7" ht="14.25" customHeight="1">
      <c r="A1582" s="2" t="s">
        <v>15</v>
      </c>
      <c r="B1582" s="2">
        <v>2005</v>
      </c>
      <c r="C1582" s="2" t="s">
        <v>58</v>
      </c>
      <c r="D1582" s="2">
        <v>12123</v>
      </c>
      <c r="E1582" s="3">
        <f t="shared" si="12"/>
        <v>12.122999999999999</v>
      </c>
      <c r="G1582" s="2">
        <f t="shared" si="13"/>
        <v>12.122999999999999</v>
      </c>
    </row>
    <row r="1583" spans="1:7" ht="14.25" customHeight="1">
      <c r="A1583" s="2" t="s">
        <v>15</v>
      </c>
      <c r="B1583" s="2">
        <v>2006</v>
      </c>
      <c r="C1583" s="2" t="s">
        <v>58</v>
      </c>
      <c r="D1583" s="2">
        <v>13936.04</v>
      </c>
      <c r="E1583" s="3">
        <f t="shared" si="12"/>
        <v>13.93604</v>
      </c>
      <c r="G1583" s="2">
        <f t="shared" si="13"/>
        <v>13.93604</v>
      </c>
    </row>
    <row r="1584" spans="1:7" ht="14.25" customHeight="1">
      <c r="A1584" s="2" t="s">
        <v>15</v>
      </c>
      <c r="B1584" s="2">
        <v>2007</v>
      </c>
      <c r="C1584" s="2" t="s">
        <v>58</v>
      </c>
      <c r="D1584" s="2">
        <v>15866.93</v>
      </c>
      <c r="E1584" s="3">
        <f t="shared" si="12"/>
        <v>15.86693</v>
      </c>
      <c r="G1584" s="2">
        <f t="shared" si="13"/>
        <v>15.86693</v>
      </c>
    </row>
    <row r="1585" spans="1:7" ht="14.25" customHeight="1">
      <c r="A1585" s="2" t="s">
        <v>15</v>
      </c>
      <c r="B1585" s="2">
        <v>2008</v>
      </c>
      <c r="C1585" s="2" t="s">
        <v>58</v>
      </c>
      <c r="D1585" s="2">
        <v>15430</v>
      </c>
      <c r="E1585" s="3">
        <f t="shared" si="12"/>
        <v>15.43</v>
      </c>
      <c r="G1585" s="2">
        <f t="shared" si="13"/>
        <v>15.43</v>
      </c>
    </row>
    <row r="1586" spans="1:7" ht="14.25" customHeight="1">
      <c r="A1586" s="2" t="s">
        <v>15</v>
      </c>
      <c r="B1586" s="2">
        <v>2009</v>
      </c>
      <c r="C1586" s="2" t="s">
        <v>58</v>
      </c>
      <c r="D1586" s="2">
        <v>15072</v>
      </c>
      <c r="E1586" s="3">
        <f t="shared" si="12"/>
        <v>15.071999999999999</v>
      </c>
      <c r="G1586" s="2">
        <f t="shared" si="13"/>
        <v>15.071999999999999</v>
      </c>
    </row>
    <row r="1587" spans="1:7" ht="14.25" customHeight="1">
      <c r="A1587" s="2" t="s">
        <v>15</v>
      </c>
      <c r="B1587" s="2">
        <v>2010</v>
      </c>
      <c r="C1587" s="2" t="s">
        <v>58</v>
      </c>
      <c r="D1587" s="2">
        <v>14392.1</v>
      </c>
      <c r="E1587" s="3">
        <f t="shared" si="12"/>
        <v>14.392100000000001</v>
      </c>
      <c r="G1587" s="2">
        <f t="shared" si="13"/>
        <v>14.392100000000001</v>
      </c>
    </row>
    <row r="1588" spans="1:7" ht="14.25" customHeight="1">
      <c r="A1588" s="2" t="s">
        <v>15</v>
      </c>
      <c r="B1588" s="2">
        <v>2011</v>
      </c>
      <c r="C1588" s="2" t="s">
        <v>58</v>
      </c>
      <c r="D1588" s="2">
        <v>15124.2</v>
      </c>
      <c r="E1588" s="3">
        <f t="shared" si="12"/>
        <v>15.1242</v>
      </c>
      <c r="G1588" s="2">
        <f t="shared" si="13"/>
        <v>15.1242</v>
      </c>
    </row>
    <row r="1589" spans="1:7" ht="14.25" customHeight="1">
      <c r="A1589" s="2" t="s">
        <v>15</v>
      </c>
      <c r="B1589" s="2">
        <v>2012</v>
      </c>
      <c r="C1589" s="2" t="s">
        <v>58</v>
      </c>
      <c r="D1589" s="2">
        <v>13336.2</v>
      </c>
      <c r="E1589" s="3">
        <f t="shared" si="12"/>
        <v>13.336200000000002</v>
      </c>
      <c r="G1589" s="2">
        <f t="shared" si="13"/>
        <v>13.336200000000002</v>
      </c>
    </row>
    <row r="1590" spans="1:7" ht="14.25" customHeight="1">
      <c r="A1590" s="2" t="s">
        <v>15</v>
      </c>
      <c r="B1590" s="2">
        <v>2013</v>
      </c>
      <c r="C1590" s="2" t="s">
        <v>58</v>
      </c>
      <c r="D1590" s="2">
        <v>13561.57</v>
      </c>
      <c r="E1590" s="3">
        <f t="shared" si="12"/>
        <v>13.56157</v>
      </c>
      <c r="G1590" s="2">
        <f t="shared" si="13"/>
        <v>13.56157</v>
      </c>
    </row>
    <row r="1591" spans="1:7" ht="14.25" customHeight="1">
      <c r="A1591" s="2" t="s">
        <v>15</v>
      </c>
      <c r="B1591" s="2">
        <v>2014</v>
      </c>
      <c r="C1591" s="2" t="s">
        <v>58</v>
      </c>
      <c r="D1591" s="2">
        <v>15841.04</v>
      </c>
      <c r="E1591" s="3">
        <f t="shared" si="12"/>
        <v>15.841040000000001</v>
      </c>
      <c r="G1591" s="2">
        <f t="shared" si="13"/>
        <v>15.841040000000001</v>
      </c>
    </row>
    <row r="1592" spans="1:7" ht="14.25" customHeight="1">
      <c r="A1592" s="2" t="s">
        <v>15</v>
      </c>
      <c r="B1592" s="2">
        <v>2015</v>
      </c>
      <c r="C1592" s="2" t="s">
        <v>58</v>
      </c>
      <c r="D1592" s="2">
        <v>18163.419999999998</v>
      </c>
      <c r="E1592" s="3">
        <f t="shared" si="12"/>
        <v>18.163419999999999</v>
      </c>
      <c r="G1592" s="2">
        <f t="shared" si="13"/>
        <v>18.163419999999999</v>
      </c>
    </row>
    <row r="1593" spans="1:7" ht="14.25" customHeight="1">
      <c r="A1593" s="2" t="s">
        <v>15</v>
      </c>
      <c r="B1593" s="2">
        <v>2016</v>
      </c>
      <c r="C1593" s="2" t="s">
        <v>58</v>
      </c>
      <c r="D1593" s="2">
        <v>20484.5</v>
      </c>
      <c r="E1593" s="3">
        <f t="shared" si="12"/>
        <v>20.484500000000001</v>
      </c>
      <c r="G1593" s="2">
        <f t="shared" si="13"/>
        <v>20.484500000000001</v>
      </c>
    </row>
    <row r="1594" spans="1:7" ht="14.25" customHeight="1">
      <c r="A1594" s="2" t="s">
        <v>15</v>
      </c>
      <c r="B1594" s="2">
        <v>2017</v>
      </c>
      <c r="C1594" s="2" t="s">
        <v>58</v>
      </c>
      <c r="D1594" s="2">
        <v>20331.900000000001</v>
      </c>
      <c r="E1594" s="3">
        <f t="shared" si="12"/>
        <v>20.331900000000001</v>
      </c>
      <c r="G1594" s="2">
        <f t="shared" si="13"/>
        <v>20.331900000000001</v>
      </c>
    </row>
    <row r="1595" spans="1:7" ht="14.25" customHeight="1">
      <c r="A1595" s="2" t="s">
        <v>15</v>
      </c>
      <c r="B1595" s="2">
        <v>2018</v>
      </c>
      <c r="C1595" s="2" t="s">
        <v>58</v>
      </c>
      <c r="D1595" s="2">
        <v>18609.595000000001</v>
      </c>
      <c r="E1595" s="3">
        <f t="shared" si="12"/>
        <v>18.609595000000002</v>
      </c>
      <c r="G1595" s="2">
        <f t="shared" si="13"/>
        <v>18.609595000000002</v>
      </c>
    </row>
    <row r="1596" spans="1:7" ht="14.25" customHeight="1">
      <c r="A1596" s="2" t="s">
        <v>15</v>
      </c>
      <c r="B1596" s="2">
        <v>1913</v>
      </c>
      <c r="C1596" s="2" t="s">
        <v>35</v>
      </c>
      <c r="D1596" s="2">
        <v>703</v>
      </c>
      <c r="E1596" s="3">
        <f t="shared" si="12"/>
        <v>0.70299999999999996</v>
      </c>
      <c r="G1596" s="2">
        <f t="shared" si="13"/>
        <v>0.70299999999999996</v>
      </c>
    </row>
    <row r="1597" spans="1:7" ht="14.25" customHeight="1">
      <c r="A1597" s="2" t="s">
        <v>15</v>
      </c>
      <c r="B1597" s="2">
        <v>1919</v>
      </c>
      <c r="C1597" s="2" t="s">
        <v>35</v>
      </c>
      <c r="D1597" s="2">
        <v>147</v>
      </c>
      <c r="E1597" s="3">
        <f t="shared" si="12"/>
        <v>0.14699999999999999</v>
      </c>
      <c r="G1597" s="2">
        <f t="shared" si="13"/>
        <v>0.14699999999999999</v>
      </c>
    </row>
    <row r="1598" spans="1:7" ht="14.25" customHeight="1">
      <c r="A1598" s="2" t="s">
        <v>15</v>
      </c>
      <c r="B1598" s="2">
        <v>1920</v>
      </c>
      <c r="C1598" s="2" t="s">
        <v>35</v>
      </c>
      <c r="D1598" s="2">
        <v>218</v>
      </c>
      <c r="E1598" s="3">
        <f t="shared" si="12"/>
        <v>0.218</v>
      </c>
      <c r="G1598" s="2">
        <f t="shared" si="13"/>
        <v>0.218</v>
      </c>
    </row>
    <row r="1599" spans="1:7" ht="14.25" customHeight="1">
      <c r="A1599" s="2" t="s">
        <v>15</v>
      </c>
      <c r="B1599" s="2">
        <v>1921</v>
      </c>
      <c r="C1599" s="2" t="s">
        <v>35</v>
      </c>
      <c r="D1599" s="2">
        <v>317</v>
      </c>
      <c r="E1599" s="3">
        <f t="shared" si="12"/>
        <v>0.317</v>
      </c>
      <c r="G1599" s="2">
        <f t="shared" si="13"/>
        <v>0.317</v>
      </c>
    </row>
    <row r="1600" spans="1:7" ht="14.25" customHeight="1">
      <c r="A1600" s="2" t="s">
        <v>15</v>
      </c>
      <c r="B1600" s="2">
        <v>1922</v>
      </c>
      <c r="C1600" s="2" t="s">
        <v>35</v>
      </c>
      <c r="D1600" s="2">
        <v>218</v>
      </c>
      <c r="E1600" s="3">
        <f t="shared" si="12"/>
        <v>0.218</v>
      </c>
      <c r="G1600" s="2">
        <f t="shared" si="13"/>
        <v>0.218</v>
      </c>
    </row>
    <row r="1601" spans="1:7" ht="14.25" customHeight="1">
      <c r="A1601" s="2" t="s">
        <v>15</v>
      </c>
      <c r="B1601" s="2">
        <v>1923</v>
      </c>
      <c r="C1601" s="2" t="s">
        <v>35</v>
      </c>
      <c r="D1601" s="2">
        <v>281</v>
      </c>
      <c r="E1601" s="3">
        <f t="shared" si="12"/>
        <v>0.28100000000000003</v>
      </c>
      <c r="G1601" s="2">
        <f t="shared" si="13"/>
        <v>0.28100000000000003</v>
      </c>
    </row>
    <row r="1602" spans="1:7" ht="14.25" customHeight="1">
      <c r="A1602" s="2" t="s">
        <v>15</v>
      </c>
      <c r="B1602" s="2">
        <v>1924</v>
      </c>
      <c r="C1602" s="2" t="s">
        <v>35</v>
      </c>
      <c r="D1602" s="2">
        <v>380</v>
      </c>
      <c r="E1602" s="3">
        <f t="shared" si="12"/>
        <v>0.38</v>
      </c>
      <c r="G1602" s="2">
        <f t="shared" si="13"/>
        <v>0.38</v>
      </c>
    </row>
    <row r="1603" spans="1:7" ht="14.25" customHeight="1">
      <c r="A1603" s="2" t="s">
        <v>15</v>
      </c>
      <c r="B1603" s="2">
        <v>1925</v>
      </c>
      <c r="C1603" s="2" t="s">
        <v>35</v>
      </c>
      <c r="D1603" s="2">
        <v>523</v>
      </c>
      <c r="E1603" s="3">
        <f t="shared" si="12"/>
        <v>0.52300000000000002</v>
      </c>
      <c r="G1603" s="2">
        <f t="shared" si="13"/>
        <v>0.52300000000000002</v>
      </c>
    </row>
    <row r="1604" spans="1:7" ht="14.25" customHeight="1">
      <c r="A1604" s="2" t="s">
        <v>15</v>
      </c>
      <c r="B1604" s="2">
        <v>1926</v>
      </c>
      <c r="C1604" s="2" t="s">
        <v>35</v>
      </c>
      <c r="D1604" s="2">
        <v>343</v>
      </c>
      <c r="E1604" s="3">
        <f t="shared" si="12"/>
        <v>0.34300000000000003</v>
      </c>
      <c r="G1604" s="2">
        <f t="shared" si="13"/>
        <v>0.34300000000000003</v>
      </c>
    </row>
    <row r="1605" spans="1:7" ht="14.25" customHeight="1">
      <c r="A1605" s="2" t="s">
        <v>15</v>
      </c>
      <c r="B1605" s="2">
        <v>1928</v>
      </c>
      <c r="C1605" s="2" t="s">
        <v>35</v>
      </c>
      <c r="D1605" s="2">
        <v>564</v>
      </c>
      <c r="E1605" s="3">
        <f t="shared" si="12"/>
        <v>0.56399999999999995</v>
      </c>
      <c r="G1605" s="2">
        <f t="shared" si="13"/>
        <v>0.56399999999999995</v>
      </c>
    </row>
    <row r="1606" spans="1:7" ht="14.25" customHeight="1">
      <c r="A1606" s="2" t="s">
        <v>15</v>
      </c>
      <c r="B1606" s="2">
        <v>1929</v>
      </c>
      <c r="C1606" s="2" t="s">
        <v>35</v>
      </c>
      <c r="D1606" s="2">
        <v>557</v>
      </c>
      <c r="E1606" s="3">
        <f t="shared" si="12"/>
        <v>0.55700000000000005</v>
      </c>
      <c r="G1606" s="2">
        <f t="shared" si="13"/>
        <v>0.55700000000000005</v>
      </c>
    </row>
    <row r="1607" spans="1:7" ht="14.25" customHeight="1">
      <c r="A1607" s="2" t="s">
        <v>15</v>
      </c>
      <c r="B1607" s="2">
        <v>1931</v>
      </c>
      <c r="C1607" s="2" t="s">
        <v>35</v>
      </c>
      <c r="D1607" s="2">
        <v>514</v>
      </c>
      <c r="E1607" s="3">
        <f t="shared" si="12"/>
        <v>0.51400000000000001</v>
      </c>
      <c r="G1607" s="2">
        <f t="shared" si="13"/>
        <v>0.51400000000000001</v>
      </c>
    </row>
    <row r="1608" spans="1:7" ht="14.25" customHeight="1">
      <c r="A1608" s="2" t="s">
        <v>15</v>
      </c>
      <c r="B1608" s="2">
        <v>1932</v>
      </c>
      <c r="C1608" s="2" t="s">
        <v>35</v>
      </c>
      <c r="D1608" s="2">
        <v>577</v>
      </c>
      <c r="E1608" s="3">
        <f t="shared" si="12"/>
        <v>0.57699999999999996</v>
      </c>
      <c r="G1608" s="2">
        <f t="shared" si="13"/>
        <v>0.57699999999999996</v>
      </c>
    </row>
    <row r="1609" spans="1:7" ht="14.25" customHeight="1">
      <c r="A1609" s="2" t="s">
        <v>15</v>
      </c>
      <c r="B1609" s="2">
        <v>1933</v>
      </c>
      <c r="C1609" s="2" t="s">
        <v>35</v>
      </c>
      <c r="D1609" s="2">
        <v>494</v>
      </c>
      <c r="E1609" s="3">
        <f t="shared" si="12"/>
        <v>0.49399999999999999</v>
      </c>
      <c r="G1609" s="2">
        <f t="shared" si="13"/>
        <v>0.49399999999999999</v>
      </c>
    </row>
    <row r="1610" spans="1:7" ht="14.25" customHeight="1">
      <c r="A1610" s="2" t="s">
        <v>15</v>
      </c>
      <c r="B1610" s="2">
        <v>1934</v>
      </c>
      <c r="C1610" s="2" t="s">
        <v>35</v>
      </c>
      <c r="D1610" s="2">
        <v>473</v>
      </c>
      <c r="E1610" s="3">
        <f t="shared" si="12"/>
        <v>0.47299999999999998</v>
      </c>
      <c r="G1610" s="2">
        <f t="shared" si="13"/>
        <v>0.47299999999999998</v>
      </c>
    </row>
    <row r="1611" spans="1:7" ht="14.25" customHeight="1">
      <c r="A1611" s="2" t="s">
        <v>15</v>
      </c>
      <c r="B1611" s="2">
        <v>1935</v>
      </c>
      <c r="C1611" s="2" t="s">
        <v>35</v>
      </c>
      <c r="D1611" s="2">
        <v>481</v>
      </c>
      <c r="E1611" s="3">
        <f t="shared" si="12"/>
        <v>0.48099999999999998</v>
      </c>
      <c r="G1611" s="2">
        <f t="shared" si="13"/>
        <v>0.48099999999999998</v>
      </c>
    </row>
    <row r="1612" spans="1:7" ht="14.25" customHeight="1">
      <c r="A1612" s="2" t="s">
        <v>15</v>
      </c>
      <c r="B1612" s="2">
        <v>1936</v>
      </c>
      <c r="C1612" s="2" t="s">
        <v>35</v>
      </c>
      <c r="D1612" s="2">
        <v>316</v>
      </c>
      <c r="E1612" s="3">
        <f t="shared" si="12"/>
        <v>0.316</v>
      </c>
      <c r="G1612" s="2">
        <f t="shared" si="13"/>
        <v>0.316</v>
      </c>
    </row>
    <row r="1613" spans="1:7" ht="14.25" customHeight="1">
      <c r="A1613" s="2" t="s">
        <v>15</v>
      </c>
      <c r="B1613" s="2">
        <v>1937</v>
      </c>
      <c r="C1613" s="2" t="s">
        <v>35</v>
      </c>
      <c r="D1613" s="2">
        <v>153</v>
      </c>
      <c r="E1613" s="3">
        <f t="shared" si="12"/>
        <v>0.153</v>
      </c>
      <c r="G1613" s="2">
        <f t="shared" si="13"/>
        <v>0.153</v>
      </c>
    </row>
    <row r="1614" spans="1:7" ht="14.25" customHeight="1">
      <c r="A1614" s="2" t="s">
        <v>15</v>
      </c>
      <c r="B1614" s="2">
        <v>1938</v>
      </c>
      <c r="C1614" s="2" t="s">
        <v>35</v>
      </c>
      <c r="D1614" s="2">
        <v>141</v>
      </c>
      <c r="E1614" s="3">
        <f t="shared" si="12"/>
        <v>0.14099999999999999</v>
      </c>
      <c r="G1614" s="2">
        <f t="shared" si="13"/>
        <v>0.14099999999999999</v>
      </c>
    </row>
    <row r="1615" spans="1:7" ht="14.25" customHeight="1">
      <c r="A1615" s="2" t="s">
        <v>15</v>
      </c>
      <c r="B1615" s="2">
        <v>1939</v>
      </c>
      <c r="C1615" s="2" t="s">
        <v>35</v>
      </c>
      <c r="D1615" s="2">
        <v>129</v>
      </c>
      <c r="E1615" s="3">
        <f t="shared" si="12"/>
        <v>0.129</v>
      </c>
      <c r="G1615" s="2">
        <f t="shared" si="13"/>
        <v>0.129</v>
      </c>
    </row>
    <row r="1616" spans="1:7" ht="14.25" customHeight="1">
      <c r="A1616" s="2" t="s">
        <v>15</v>
      </c>
      <c r="B1616" s="2">
        <v>1940</v>
      </c>
      <c r="C1616" s="2" t="s">
        <v>35</v>
      </c>
      <c r="D1616" s="2">
        <v>35</v>
      </c>
      <c r="E1616" s="3">
        <f t="shared" si="12"/>
        <v>3.5000000000000003E-2</v>
      </c>
      <c r="G1616" s="2">
        <f t="shared" si="13"/>
        <v>3.5000000000000003E-2</v>
      </c>
    </row>
    <row r="1617" spans="1:7" ht="14.25" customHeight="1">
      <c r="A1617" s="2" t="s">
        <v>15</v>
      </c>
      <c r="B1617" s="2">
        <v>1941</v>
      </c>
      <c r="C1617" s="2" t="s">
        <v>35</v>
      </c>
      <c r="D1617" s="2">
        <v>52</v>
      </c>
      <c r="E1617" s="3">
        <f t="shared" si="12"/>
        <v>5.1999999999999998E-2</v>
      </c>
      <c r="G1617" s="2">
        <f t="shared" si="13"/>
        <v>5.1999999999999998E-2</v>
      </c>
    </row>
    <row r="1618" spans="1:7" ht="14.25" customHeight="1">
      <c r="A1618" s="2" t="s">
        <v>15</v>
      </c>
      <c r="B1618" s="2">
        <v>1942</v>
      </c>
      <c r="C1618" s="2" t="s">
        <v>35</v>
      </c>
      <c r="D1618" s="2">
        <v>23</v>
      </c>
      <c r="E1618" s="3">
        <f t="shared" si="12"/>
        <v>2.3E-2</v>
      </c>
      <c r="G1618" s="2">
        <f t="shared" si="13"/>
        <v>2.3E-2</v>
      </c>
    </row>
    <row r="1619" spans="1:7" ht="14.25" customHeight="1">
      <c r="A1619" s="2" t="s">
        <v>15</v>
      </c>
      <c r="B1619" s="2">
        <v>1943</v>
      </c>
      <c r="C1619" s="2" t="s">
        <v>35</v>
      </c>
      <c r="D1619" s="2">
        <v>29</v>
      </c>
      <c r="E1619" s="3">
        <f t="shared" si="12"/>
        <v>2.9000000000000001E-2</v>
      </c>
      <c r="G1619" s="2">
        <f t="shared" si="13"/>
        <v>2.9000000000000001E-2</v>
      </c>
    </row>
    <row r="1620" spans="1:7" ht="14.25" customHeight="1">
      <c r="A1620" s="2" t="s">
        <v>15</v>
      </c>
      <c r="B1620" s="2">
        <v>1944</v>
      </c>
      <c r="C1620" s="2" t="s">
        <v>35</v>
      </c>
      <c r="D1620" s="2">
        <v>19</v>
      </c>
      <c r="E1620" s="3">
        <f t="shared" si="12"/>
        <v>1.9E-2</v>
      </c>
      <c r="G1620" s="2">
        <f t="shared" si="13"/>
        <v>1.9E-2</v>
      </c>
    </row>
    <row r="1621" spans="1:7" ht="14.25" customHeight="1">
      <c r="A1621" s="2" t="s">
        <v>15</v>
      </c>
      <c r="B1621" s="2">
        <v>1945</v>
      </c>
      <c r="C1621" s="2" t="s">
        <v>35</v>
      </c>
      <c r="D1621" s="2">
        <v>6</v>
      </c>
      <c r="E1621" s="3">
        <f t="shared" si="12"/>
        <v>6.0000000000000001E-3</v>
      </c>
      <c r="G1621" s="2">
        <f t="shared" si="13"/>
        <v>6.0000000000000001E-3</v>
      </c>
    </row>
    <row r="1622" spans="1:7" ht="14.25" customHeight="1">
      <c r="A1622" s="2" t="s">
        <v>15</v>
      </c>
      <c r="B1622" s="2">
        <v>1947</v>
      </c>
      <c r="C1622" s="2" t="s">
        <v>35</v>
      </c>
      <c r="D1622" s="2">
        <v>0</v>
      </c>
      <c r="E1622" s="3">
        <f t="shared" si="12"/>
        <v>0</v>
      </c>
      <c r="G1622" s="2">
        <f t="shared" si="13"/>
        <v>0</v>
      </c>
    </row>
    <row r="1623" spans="1:7" ht="14.25" customHeight="1">
      <c r="A1623" s="2" t="s">
        <v>15</v>
      </c>
      <c r="B1623" s="2">
        <v>1948</v>
      </c>
      <c r="C1623" s="2" t="s">
        <v>35</v>
      </c>
      <c r="D1623" s="2">
        <v>17</v>
      </c>
      <c r="E1623" s="3">
        <f t="shared" si="12"/>
        <v>1.7000000000000001E-2</v>
      </c>
      <c r="G1623" s="2">
        <f t="shared" si="13"/>
        <v>1.7000000000000001E-2</v>
      </c>
    </row>
    <row r="1624" spans="1:7" ht="14.25" customHeight="1">
      <c r="A1624" s="2" t="s">
        <v>15</v>
      </c>
      <c r="B1624" s="2">
        <v>1949</v>
      </c>
      <c r="C1624" s="2" t="s">
        <v>35</v>
      </c>
      <c r="D1624" s="2">
        <v>22</v>
      </c>
      <c r="E1624" s="3">
        <f t="shared" si="12"/>
        <v>2.1999999999999999E-2</v>
      </c>
      <c r="G1624" s="2">
        <f t="shared" si="13"/>
        <v>2.1999999999999999E-2</v>
      </c>
    </row>
    <row r="1625" spans="1:7" ht="14.25" customHeight="1">
      <c r="A1625" s="2" t="s">
        <v>15</v>
      </c>
      <c r="B1625" s="2">
        <v>1950</v>
      </c>
      <c r="C1625" s="2" t="s">
        <v>35</v>
      </c>
      <c r="D1625" s="2">
        <v>79</v>
      </c>
      <c r="E1625" s="3">
        <f t="shared" si="12"/>
        <v>7.9000000000000001E-2</v>
      </c>
      <c r="G1625" s="2">
        <f t="shared" si="13"/>
        <v>7.9000000000000001E-2</v>
      </c>
    </row>
    <row r="1626" spans="1:7" ht="14.25" customHeight="1">
      <c r="A1626" s="2" t="s">
        <v>15</v>
      </c>
      <c r="B1626" s="2">
        <v>1951</v>
      </c>
      <c r="C1626" s="2" t="s">
        <v>35</v>
      </c>
      <c r="D1626" s="2">
        <v>52</v>
      </c>
      <c r="E1626" s="3">
        <f t="shared" si="12"/>
        <v>5.1999999999999998E-2</v>
      </c>
      <c r="G1626" s="2">
        <f t="shared" si="13"/>
        <v>5.1999999999999998E-2</v>
      </c>
    </row>
    <row r="1627" spans="1:7" ht="14.25" customHeight="1">
      <c r="A1627" s="2" t="s">
        <v>15</v>
      </c>
      <c r="B1627" s="2">
        <v>1952</v>
      </c>
      <c r="C1627" s="2" t="s">
        <v>35</v>
      </c>
      <c r="D1627" s="2">
        <v>38</v>
      </c>
      <c r="E1627" s="3">
        <f t="shared" si="12"/>
        <v>3.7999999999999999E-2</v>
      </c>
      <c r="G1627" s="2">
        <f t="shared" si="13"/>
        <v>3.7999999999999999E-2</v>
      </c>
    </row>
    <row r="1628" spans="1:7" ht="14.25" customHeight="1">
      <c r="A1628" s="2" t="s">
        <v>15</v>
      </c>
      <c r="B1628" s="2">
        <v>1953</v>
      </c>
      <c r="C1628" s="2" t="s">
        <v>35</v>
      </c>
      <c r="D1628" s="2">
        <v>232</v>
      </c>
      <c r="E1628" s="3">
        <f t="shared" si="12"/>
        <v>0.23200000000000001</v>
      </c>
      <c r="G1628" s="2">
        <f t="shared" si="13"/>
        <v>0.23200000000000001</v>
      </c>
    </row>
    <row r="1629" spans="1:7" ht="14.25" customHeight="1">
      <c r="A1629" s="2" t="s">
        <v>15</v>
      </c>
      <c r="B1629" s="2">
        <v>1954</v>
      </c>
      <c r="C1629" s="2" t="s">
        <v>35</v>
      </c>
      <c r="D1629" s="2">
        <v>448</v>
      </c>
      <c r="E1629" s="3">
        <f t="shared" si="12"/>
        <v>0.44800000000000001</v>
      </c>
      <c r="G1629" s="2">
        <f t="shared" si="13"/>
        <v>0.44800000000000001</v>
      </c>
    </row>
    <row r="1630" spans="1:7" ht="14.25" customHeight="1">
      <c r="A1630" s="2" t="s">
        <v>15</v>
      </c>
      <c r="B1630" s="2">
        <v>1955</v>
      </c>
      <c r="C1630" s="2" t="s">
        <v>35</v>
      </c>
      <c r="D1630" s="2">
        <v>1760</v>
      </c>
      <c r="E1630" s="3">
        <f t="shared" si="12"/>
        <v>1.76</v>
      </c>
      <c r="G1630" s="2">
        <f t="shared" si="13"/>
        <v>1.76</v>
      </c>
    </row>
    <row r="1631" spans="1:7" ht="14.25" customHeight="1">
      <c r="A1631" s="2" t="s">
        <v>15</v>
      </c>
      <c r="B1631" s="2">
        <v>1956</v>
      </c>
      <c r="C1631" s="2" t="s">
        <v>35</v>
      </c>
      <c r="D1631" s="2">
        <v>1812</v>
      </c>
      <c r="E1631" s="3">
        <f t="shared" si="12"/>
        <v>1.8120000000000001</v>
      </c>
      <c r="G1631" s="2">
        <f t="shared" si="13"/>
        <v>1.8120000000000001</v>
      </c>
    </row>
    <row r="1632" spans="1:7" ht="14.25" customHeight="1">
      <c r="A1632" s="2" t="s">
        <v>15</v>
      </c>
      <c r="B1632" s="2">
        <v>1957</v>
      </c>
      <c r="C1632" s="2" t="s">
        <v>35</v>
      </c>
      <c r="D1632" s="2">
        <v>2251</v>
      </c>
      <c r="E1632" s="3">
        <f t="shared" si="12"/>
        <v>2.2509999999999999</v>
      </c>
      <c r="G1632" s="2">
        <f t="shared" si="13"/>
        <v>2.2509999999999999</v>
      </c>
    </row>
    <row r="1633" spans="1:7" ht="14.25" customHeight="1">
      <c r="A1633" s="2" t="s">
        <v>15</v>
      </c>
      <c r="B1633" s="2">
        <v>1958</v>
      </c>
      <c r="C1633" s="2" t="s">
        <v>35</v>
      </c>
      <c r="D1633" s="2">
        <v>2384</v>
      </c>
      <c r="E1633" s="3">
        <f t="shared" si="12"/>
        <v>2.3839999999999999</v>
      </c>
      <c r="G1633" s="2">
        <f t="shared" si="13"/>
        <v>2.3839999999999999</v>
      </c>
    </row>
    <row r="1634" spans="1:7" ht="14.25" customHeight="1">
      <c r="A1634" s="2" t="s">
        <v>15</v>
      </c>
      <c r="B1634" s="2">
        <v>1959</v>
      </c>
      <c r="C1634" s="2" t="s">
        <v>35</v>
      </c>
      <c r="D1634" s="2">
        <v>3239</v>
      </c>
      <c r="E1634" s="3">
        <f t="shared" si="12"/>
        <v>3.2389999999999999</v>
      </c>
      <c r="G1634" s="2">
        <f t="shared" si="13"/>
        <v>3.2389999999999999</v>
      </c>
    </row>
    <row r="1635" spans="1:7" ht="14.25" customHeight="1">
      <c r="A1635" s="2" t="s">
        <v>15</v>
      </c>
      <c r="B1635" s="2">
        <v>1960</v>
      </c>
      <c r="C1635" s="2" t="s">
        <v>35</v>
      </c>
      <c r="D1635" s="2">
        <v>2895</v>
      </c>
      <c r="E1635" s="3">
        <f t="shared" si="12"/>
        <v>2.895</v>
      </c>
      <c r="G1635" s="2">
        <f t="shared" si="13"/>
        <v>2.895</v>
      </c>
    </row>
    <row r="1636" spans="1:7" ht="14.25" customHeight="1">
      <c r="A1636" s="2" t="s">
        <v>15</v>
      </c>
      <c r="B1636" s="2">
        <v>1961</v>
      </c>
      <c r="C1636" s="2" t="s">
        <v>35</v>
      </c>
      <c r="D1636" s="2">
        <v>4616</v>
      </c>
      <c r="E1636" s="3">
        <f t="shared" si="12"/>
        <v>4.6159999999999997</v>
      </c>
      <c r="G1636" s="2">
        <f t="shared" si="13"/>
        <v>4.6159999999999997</v>
      </c>
    </row>
    <row r="1637" spans="1:7" ht="14.25" customHeight="1">
      <c r="A1637" s="2" t="s">
        <v>15</v>
      </c>
      <c r="B1637" s="2">
        <v>1962</v>
      </c>
      <c r="C1637" s="2" t="s">
        <v>35</v>
      </c>
      <c r="D1637" s="2">
        <v>4556</v>
      </c>
      <c r="E1637" s="3">
        <f t="shared" si="12"/>
        <v>4.556</v>
      </c>
      <c r="G1637" s="2">
        <f t="shared" si="13"/>
        <v>4.556</v>
      </c>
    </row>
    <row r="1638" spans="1:7" ht="14.25" customHeight="1">
      <c r="A1638" s="2" t="s">
        <v>15</v>
      </c>
      <c r="B1638" s="2">
        <v>1963</v>
      </c>
      <c r="C1638" s="2" t="s">
        <v>35</v>
      </c>
      <c r="D1638" s="2">
        <v>5334</v>
      </c>
      <c r="E1638" s="3">
        <f t="shared" si="12"/>
        <v>5.3339999999999996</v>
      </c>
      <c r="G1638" s="2">
        <f t="shared" si="13"/>
        <v>5.3339999999999996</v>
      </c>
    </row>
    <row r="1639" spans="1:7" ht="14.25" customHeight="1">
      <c r="A1639" s="2" t="s">
        <v>15</v>
      </c>
      <c r="B1639" s="2">
        <v>1964</v>
      </c>
      <c r="C1639" s="2" t="s">
        <v>35</v>
      </c>
      <c r="D1639" s="2">
        <v>6578</v>
      </c>
      <c r="E1639" s="3">
        <f t="shared" si="12"/>
        <v>6.5780000000000003</v>
      </c>
      <c r="G1639" s="2">
        <f t="shared" si="13"/>
        <v>6.5780000000000003</v>
      </c>
    </row>
    <row r="1640" spans="1:7" ht="14.25" customHeight="1">
      <c r="A1640" s="2" t="s">
        <v>15</v>
      </c>
      <c r="B1640" s="2">
        <v>1965</v>
      </c>
      <c r="C1640" s="2" t="s">
        <v>35</v>
      </c>
      <c r="D1640" s="2">
        <v>6571</v>
      </c>
      <c r="E1640" s="3">
        <f t="shared" si="12"/>
        <v>6.5709999999999997</v>
      </c>
      <c r="G1640" s="2">
        <f t="shared" si="13"/>
        <v>6.5709999999999997</v>
      </c>
    </row>
    <row r="1641" spans="1:7" ht="14.25" customHeight="1">
      <c r="A1641" s="2" t="s">
        <v>15</v>
      </c>
      <c r="B1641" s="2">
        <v>1966</v>
      </c>
      <c r="C1641" s="2" t="s">
        <v>35</v>
      </c>
      <c r="D1641" s="2">
        <v>8801</v>
      </c>
      <c r="E1641" s="3">
        <f t="shared" si="12"/>
        <v>8.8010000000000002</v>
      </c>
      <c r="G1641" s="2">
        <f t="shared" si="13"/>
        <v>8.8010000000000002</v>
      </c>
    </row>
    <row r="1642" spans="1:7" ht="14.25" customHeight="1">
      <c r="A1642" s="2" t="s">
        <v>15</v>
      </c>
      <c r="B1642" s="2">
        <v>1967</v>
      </c>
      <c r="C1642" s="2" t="s">
        <v>35</v>
      </c>
      <c r="D1642" s="2">
        <v>9484</v>
      </c>
      <c r="E1642" s="3">
        <f t="shared" si="12"/>
        <v>9.484</v>
      </c>
      <c r="G1642" s="2">
        <f t="shared" si="13"/>
        <v>9.484</v>
      </c>
    </row>
    <row r="1643" spans="1:7" ht="14.25" customHeight="1">
      <c r="A1643" s="2" t="s">
        <v>15</v>
      </c>
      <c r="B1643" s="2">
        <v>1968</v>
      </c>
      <c r="C1643" s="2" t="s">
        <v>35</v>
      </c>
      <c r="D1643" s="2">
        <v>10101</v>
      </c>
      <c r="E1643" s="3">
        <f t="shared" si="12"/>
        <v>10.101000000000001</v>
      </c>
      <c r="G1643" s="2">
        <f t="shared" si="13"/>
        <v>10.101000000000001</v>
      </c>
    </row>
    <row r="1644" spans="1:7" ht="14.25" customHeight="1">
      <c r="A1644" s="2" t="s">
        <v>15</v>
      </c>
      <c r="B1644" s="2">
        <v>1969</v>
      </c>
      <c r="C1644" s="2" t="s">
        <v>35</v>
      </c>
      <c r="D1644" s="2">
        <v>11711</v>
      </c>
      <c r="E1644" s="3">
        <f t="shared" si="12"/>
        <v>11.711</v>
      </c>
      <c r="G1644" s="2">
        <f t="shared" si="13"/>
        <v>11.711</v>
      </c>
    </row>
    <row r="1645" spans="1:7" ht="14.25" customHeight="1">
      <c r="A1645" s="2" t="s">
        <v>15</v>
      </c>
      <c r="B1645" s="2">
        <v>1970</v>
      </c>
      <c r="C1645" s="2" t="s">
        <v>35</v>
      </c>
      <c r="D1645" s="2">
        <v>11600</v>
      </c>
      <c r="E1645" s="3">
        <f t="shared" si="12"/>
        <v>11.6</v>
      </c>
      <c r="G1645" s="2">
        <f t="shared" si="13"/>
        <v>11.6</v>
      </c>
    </row>
    <row r="1646" spans="1:7" ht="14.25" customHeight="1">
      <c r="A1646" s="2" t="s">
        <v>15</v>
      </c>
      <c r="B1646" s="2">
        <v>1971</v>
      </c>
      <c r="C1646" s="2" t="s">
        <v>35</v>
      </c>
      <c r="D1646" s="2">
        <v>12993</v>
      </c>
      <c r="E1646" s="3">
        <f t="shared" si="12"/>
        <v>12.993</v>
      </c>
      <c r="G1646" s="2">
        <f t="shared" si="13"/>
        <v>12.993</v>
      </c>
    </row>
    <row r="1647" spans="1:7" ht="14.25" customHeight="1">
      <c r="A1647" s="2" t="s">
        <v>15</v>
      </c>
      <c r="B1647" s="2">
        <v>1972</v>
      </c>
      <c r="C1647" s="2" t="s">
        <v>35</v>
      </c>
      <c r="D1647" s="2">
        <v>15725</v>
      </c>
      <c r="E1647" s="3">
        <f t="shared" si="12"/>
        <v>15.725</v>
      </c>
      <c r="G1647" s="2">
        <f t="shared" si="13"/>
        <v>15.725</v>
      </c>
    </row>
    <row r="1648" spans="1:7" ht="14.25" customHeight="1">
      <c r="A1648" s="2" t="s">
        <v>15</v>
      </c>
      <c r="B1648" s="2">
        <v>1973</v>
      </c>
      <c r="C1648" s="2" t="s">
        <v>35</v>
      </c>
      <c r="D1648" s="2">
        <v>14237</v>
      </c>
      <c r="E1648" s="3">
        <f t="shared" si="12"/>
        <v>14.237</v>
      </c>
      <c r="G1648" s="2">
        <f t="shared" si="13"/>
        <v>14.237</v>
      </c>
    </row>
    <row r="1649" spans="1:7" ht="14.25" customHeight="1">
      <c r="A1649" s="2" t="s">
        <v>15</v>
      </c>
      <c r="B1649" s="2">
        <v>1974</v>
      </c>
      <c r="C1649" s="2" t="s">
        <v>35</v>
      </c>
      <c r="D1649" s="2">
        <v>11477</v>
      </c>
      <c r="E1649" s="3">
        <f t="shared" si="12"/>
        <v>11.477</v>
      </c>
      <c r="G1649" s="2">
        <f t="shared" si="13"/>
        <v>11.477</v>
      </c>
    </row>
    <row r="1650" spans="1:7" ht="14.25" customHeight="1">
      <c r="A1650" s="2" t="s">
        <v>15</v>
      </c>
      <c r="B1650" s="2">
        <v>1975</v>
      </c>
      <c r="C1650" s="2" t="s">
        <v>35</v>
      </c>
      <c r="D1650" s="2">
        <v>12819</v>
      </c>
      <c r="E1650" s="3">
        <f t="shared" si="12"/>
        <v>12.819000000000001</v>
      </c>
      <c r="G1650" s="2">
        <f t="shared" si="13"/>
        <v>12.819000000000001</v>
      </c>
    </row>
    <row r="1651" spans="1:7" ht="14.25" customHeight="1">
      <c r="A1651" s="2" t="s">
        <v>15</v>
      </c>
      <c r="B1651" s="2">
        <v>1976</v>
      </c>
      <c r="C1651" s="2" t="s">
        <v>35</v>
      </c>
      <c r="D1651" s="2">
        <v>15856</v>
      </c>
      <c r="E1651" s="3">
        <f t="shared" si="12"/>
        <v>15.856</v>
      </c>
      <c r="G1651" s="2">
        <f t="shared" si="13"/>
        <v>15.856</v>
      </c>
    </row>
    <row r="1652" spans="1:7" ht="14.25" customHeight="1">
      <c r="A1652" s="2" t="s">
        <v>15</v>
      </c>
      <c r="B1652" s="2">
        <v>1977</v>
      </c>
      <c r="C1652" s="2" t="s">
        <v>35</v>
      </c>
      <c r="D1652" s="2">
        <v>15050</v>
      </c>
      <c r="E1652" s="3">
        <f t="shared" si="12"/>
        <v>15.05</v>
      </c>
      <c r="G1652" s="2">
        <f t="shared" si="13"/>
        <v>15.05</v>
      </c>
    </row>
    <row r="1653" spans="1:7" ht="14.25" customHeight="1">
      <c r="A1653" s="2" t="s">
        <v>15</v>
      </c>
      <c r="B1653" s="2">
        <v>1978</v>
      </c>
      <c r="C1653" s="2" t="s">
        <v>35</v>
      </c>
      <c r="D1653" s="2">
        <v>17462</v>
      </c>
      <c r="E1653" s="3">
        <f t="shared" si="12"/>
        <v>17.462</v>
      </c>
      <c r="G1653" s="2">
        <f t="shared" si="13"/>
        <v>17.462</v>
      </c>
    </row>
    <row r="1654" spans="1:7" ht="14.25" customHeight="1">
      <c r="A1654" s="2" t="s">
        <v>15</v>
      </c>
      <c r="B1654" s="2">
        <v>1979</v>
      </c>
      <c r="C1654" s="2" t="s">
        <v>35</v>
      </c>
      <c r="D1654" s="2">
        <v>18942</v>
      </c>
      <c r="E1654" s="3">
        <f t="shared" si="12"/>
        <v>18.942</v>
      </c>
      <c r="G1654" s="2">
        <f t="shared" si="13"/>
        <v>18.942</v>
      </c>
    </row>
    <row r="1655" spans="1:7" ht="14.25" customHeight="1">
      <c r="A1655" s="2" t="s">
        <v>15</v>
      </c>
      <c r="B1655" s="2">
        <v>1980</v>
      </c>
      <c r="C1655" s="2" t="s">
        <v>35</v>
      </c>
      <c r="D1655" s="2">
        <v>14649</v>
      </c>
      <c r="E1655" s="3">
        <f t="shared" si="12"/>
        <v>14.648999999999999</v>
      </c>
      <c r="G1655" s="2">
        <f t="shared" si="13"/>
        <v>14.648999999999999</v>
      </c>
    </row>
    <row r="1656" spans="1:7" ht="14.25" customHeight="1">
      <c r="A1656" s="2" t="s">
        <v>15</v>
      </c>
      <c r="B1656" s="2">
        <v>1981</v>
      </c>
      <c r="C1656" s="2" t="s">
        <v>35</v>
      </c>
      <c r="D1656" s="2">
        <v>18148</v>
      </c>
      <c r="E1656" s="3">
        <f t="shared" si="12"/>
        <v>18.148</v>
      </c>
      <c r="G1656" s="2">
        <f t="shared" si="13"/>
        <v>18.148</v>
      </c>
    </row>
    <row r="1657" spans="1:7" ht="14.25" customHeight="1">
      <c r="A1657" s="2" t="s">
        <v>15</v>
      </c>
      <c r="B1657" s="2">
        <v>1982</v>
      </c>
      <c r="C1657" s="2" t="s">
        <v>35</v>
      </c>
      <c r="D1657" s="2">
        <v>19915</v>
      </c>
      <c r="E1657" s="3">
        <f t="shared" si="12"/>
        <v>19.914999999999999</v>
      </c>
      <c r="G1657" s="2">
        <f t="shared" si="13"/>
        <v>19.914999999999999</v>
      </c>
    </row>
    <row r="1658" spans="1:7" ht="14.25" customHeight="1">
      <c r="A1658" s="2" t="s">
        <v>15</v>
      </c>
      <c r="B1658" s="2">
        <v>1983</v>
      </c>
      <c r="C1658" s="2" t="s">
        <v>35</v>
      </c>
      <c r="D1658" s="2">
        <v>22056</v>
      </c>
      <c r="E1658" s="3">
        <f t="shared" si="12"/>
        <v>22.056000000000001</v>
      </c>
      <c r="G1658" s="2">
        <f t="shared" si="13"/>
        <v>22.056000000000001</v>
      </c>
    </row>
    <row r="1659" spans="1:7" ht="14.25" customHeight="1">
      <c r="A1659" s="2" t="s">
        <v>15</v>
      </c>
      <c r="B1659" s="2">
        <v>1984</v>
      </c>
      <c r="C1659" s="2" t="s">
        <v>35</v>
      </c>
      <c r="D1659" s="2">
        <v>22346</v>
      </c>
      <c r="E1659" s="3">
        <f t="shared" si="12"/>
        <v>22.346</v>
      </c>
      <c r="G1659" s="2">
        <f t="shared" si="13"/>
        <v>22.346</v>
      </c>
    </row>
    <row r="1660" spans="1:7" ht="14.25" customHeight="1">
      <c r="A1660" s="2" t="s">
        <v>15</v>
      </c>
      <c r="B1660" s="2">
        <v>1985</v>
      </c>
      <c r="C1660" s="2" t="s">
        <v>35</v>
      </c>
      <c r="D1660" s="2">
        <v>24879</v>
      </c>
      <c r="E1660" s="3">
        <f t="shared" si="12"/>
        <v>24.879000000000001</v>
      </c>
      <c r="G1660" s="2">
        <f t="shared" si="13"/>
        <v>24.879000000000001</v>
      </c>
    </row>
    <row r="1661" spans="1:7" ht="14.25" customHeight="1">
      <c r="A1661" s="2" t="s">
        <v>15</v>
      </c>
      <c r="B1661" s="2">
        <v>1986</v>
      </c>
      <c r="C1661" s="2" t="s">
        <v>35</v>
      </c>
      <c r="D1661" s="2">
        <v>25503</v>
      </c>
      <c r="E1661" s="3">
        <f t="shared" si="12"/>
        <v>25.503</v>
      </c>
      <c r="G1661" s="2">
        <f t="shared" si="13"/>
        <v>25.503</v>
      </c>
    </row>
    <row r="1662" spans="1:7" ht="14.25" customHeight="1">
      <c r="A1662" s="2" t="s">
        <v>15</v>
      </c>
      <c r="B1662" s="2">
        <v>1987</v>
      </c>
      <c r="C1662" s="2" t="s">
        <v>35</v>
      </c>
      <c r="D1662" s="2">
        <v>24564</v>
      </c>
      <c r="E1662" s="3">
        <f t="shared" si="12"/>
        <v>24.564</v>
      </c>
      <c r="G1662" s="2">
        <f t="shared" si="13"/>
        <v>24.564</v>
      </c>
    </row>
    <row r="1663" spans="1:7" ht="14.25" customHeight="1">
      <c r="A1663" s="2" t="s">
        <v>15</v>
      </c>
      <c r="B1663" s="2">
        <v>1988</v>
      </c>
      <c r="C1663" s="2" t="s">
        <v>35</v>
      </c>
      <c r="D1663" s="2">
        <v>27922</v>
      </c>
      <c r="E1663" s="3">
        <f t="shared" si="12"/>
        <v>27.922000000000001</v>
      </c>
      <c r="G1663" s="2">
        <f t="shared" si="13"/>
        <v>27.922000000000001</v>
      </c>
    </row>
    <row r="1664" spans="1:7" ht="14.25" customHeight="1">
      <c r="A1664" s="2" t="s">
        <v>15</v>
      </c>
      <c r="B1664" s="2">
        <v>1989</v>
      </c>
      <c r="C1664" s="2" t="s">
        <v>35</v>
      </c>
      <c r="D1664" s="2">
        <v>27119</v>
      </c>
      <c r="E1664" s="3">
        <f t="shared" si="12"/>
        <v>27.119</v>
      </c>
      <c r="G1664" s="2">
        <f t="shared" si="13"/>
        <v>27.119</v>
      </c>
    </row>
    <row r="1665" spans="1:7" ht="14.25" customHeight="1">
      <c r="A1665" s="2" t="s">
        <v>15</v>
      </c>
      <c r="B1665" s="2">
        <v>1990</v>
      </c>
      <c r="C1665" s="2" t="s">
        <v>35</v>
      </c>
      <c r="D1665" s="2">
        <v>25539</v>
      </c>
      <c r="E1665" s="3">
        <f t="shared" si="12"/>
        <v>25.539000000000001</v>
      </c>
      <c r="G1665" s="2">
        <f t="shared" si="13"/>
        <v>25.539000000000001</v>
      </c>
    </row>
    <row r="1666" spans="1:7" ht="14.25" customHeight="1">
      <c r="A1666" s="2" t="s">
        <v>15</v>
      </c>
      <c r="B1666" s="2">
        <v>1991</v>
      </c>
      <c r="C1666" s="2" t="s">
        <v>35</v>
      </c>
      <c r="D1666" s="2">
        <v>26993</v>
      </c>
      <c r="E1666" s="3">
        <f t="shared" si="12"/>
        <v>26.992999999999999</v>
      </c>
      <c r="G1666" s="2">
        <f t="shared" si="13"/>
        <v>26.992999999999999</v>
      </c>
    </row>
    <row r="1667" spans="1:7" ht="14.25" customHeight="1">
      <c r="A1667" s="2" t="s">
        <v>15</v>
      </c>
      <c r="B1667" s="2">
        <v>1992</v>
      </c>
      <c r="C1667" s="2" t="s">
        <v>35</v>
      </c>
      <c r="D1667" s="2">
        <v>25224</v>
      </c>
      <c r="E1667" s="3">
        <f t="shared" si="12"/>
        <v>25.224</v>
      </c>
      <c r="G1667" s="2">
        <f t="shared" si="13"/>
        <v>25.224</v>
      </c>
    </row>
    <row r="1668" spans="1:7" ht="14.25" customHeight="1">
      <c r="A1668" s="2" t="s">
        <v>15</v>
      </c>
      <c r="B1668" s="2">
        <v>1993</v>
      </c>
      <c r="C1668" s="2" t="s">
        <v>35</v>
      </c>
      <c r="D1668" s="2">
        <v>28802</v>
      </c>
      <c r="E1668" s="3">
        <f t="shared" si="12"/>
        <v>28.802</v>
      </c>
      <c r="G1668" s="2">
        <f t="shared" si="13"/>
        <v>28.802</v>
      </c>
    </row>
    <row r="1669" spans="1:7" ht="14.25" customHeight="1">
      <c r="A1669" s="2" t="s">
        <v>15</v>
      </c>
      <c r="B1669" s="2">
        <v>1994</v>
      </c>
      <c r="C1669" s="2" t="s">
        <v>35</v>
      </c>
      <c r="D1669" s="2">
        <v>30462</v>
      </c>
      <c r="E1669" s="3">
        <f t="shared" si="12"/>
        <v>30.462</v>
      </c>
      <c r="G1669" s="2">
        <f t="shared" si="13"/>
        <v>30.462</v>
      </c>
    </row>
    <row r="1670" spans="1:7" ht="14.25" customHeight="1">
      <c r="A1670" s="2" t="s">
        <v>15</v>
      </c>
      <c r="B1670" s="2">
        <v>1995</v>
      </c>
      <c r="C1670" s="2" t="s">
        <v>35</v>
      </c>
      <c r="D1670" s="2">
        <v>31893</v>
      </c>
      <c r="E1670" s="3">
        <f t="shared" si="12"/>
        <v>31.893000000000001</v>
      </c>
      <c r="G1670" s="2">
        <f t="shared" si="13"/>
        <v>31.893000000000001</v>
      </c>
    </row>
    <row r="1671" spans="1:7" ht="14.25" customHeight="1">
      <c r="A1671" s="2" t="s">
        <v>15</v>
      </c>
      <c r="B1671" s="2">
        <v>1996</v>
      </c>
      <c r="C1671" s="2" t="s">
        <v>35</v>
      </c>
      <c r="D1671" s="2">
        <v>29218</v>
      </c>
      <c r="E1671" s="3">
        <f t="shared" si="12"/>
        <v>29.218</v>
      </c>
      <c r="G1671" s="2">
        <f t="shared" si="13"/>
        <v>29.218</v>
      </c>
    </row>
    <row r="1672" spans="1:7" ht="14.25" customHeight="1">
      <c r="A1672" s="2" t="s">
        <v>15</v>
      </c>
      <c r="B1672" s="2">
        <v>1997</v>
      </c>
      <c r="C1672" s="2" t="s">
        <v>35</v>
      </c>
      <c r="D1672" s="2">
        <v>31714</v>
      </c>
      <c r="E1672" s="3">
        <f t="shared" si="12"/>
        <v>31.713999999999999</v>
      </c>
      <c r="G1672" s="2">
        <f t="shared" si="13"/>
        <v>31.713999999999999</v>
      </c>
    </row>
    <row r="1673" spans="1:7" ht="14.25" customHeight="1">
      <c r="A1673" s="2" t="s">
        <v>15</v>
      </c>
      <c r="B1673" s="2">
        <v>1998</v>
      </c>
      <c r="C1673" s="2" t="s">
        <v>35</v>
      </c>
      <c r="D1673" s="2">
        <v>29212</v>
      </c>
      <c r="E1673" s="3">
        <f t="shared" si="12"/>
        <v>29.212</v>
      </c>
      <c r="G1673" s="2">
        <f t="shared" si="13"/>
        <v>29.212</v>
      </c>
    </row>
    <row r="1674" spans="1:7" ht="14.25" customHeight="1">
      <c r="A1674" s="2" t="s">
        <v>15</v>
      </c>
      <c r="B1674" s="2">
        <v>1999</v>
      </c>
      <c r="C1674" s="2" t="s">
        <v>35</v>
      </c>
      <c r="D1674" s="2">
        <v>31312</v>
      </c>
      <c r="E1674" s="3">
        <f t="shared" si="12"/>
        <v>31.312000000000001</v>
      </c>
      <c r="G1674" s="2">
        <f t="shared" si="13"/>
        <v>31.312000000000001</v>
      </c>
    </row>
    <row r="1675" spans="1:7" ht="14.25" customHeight="1">
      <c r="A1675" s="2" t="s">
        <v>15</v>
      </c>
      <c r="B1675" s="2">
        <v>2000</v>
      </c>
      <c r="C1675" s="2" t="s">
        <v>35</v>
      </c>
      <c r="D1675" s="2">
        <v>28422</v>
      </c>
      <c r="E1675" s="3">
        <f t="shared" si="12"/>
        <v>28.422000000000001</v>
      </c>
      <c r="G1675" s="2">
        <f t="shared" si="13"/>
        <v>28.422000000000001</v>
      </c>
    </row>
    <row r="1676" spans="1:7" ht="14.25" customHeight="1">
      <c r="A1676" s="2" t="s">
        <v>15</v>
      </c>
      <c r="B1676" s="2">
        <v>2001</v>
      </c>
      <c r="C1676" s="2" t="s">
        <v>35</v>
      </c>
      <c r="D1676" s="2">
        <v>28536</v>
      </c>
      <c r="E1676" s="3">
        <f t="shared" si="12"/>
        <v>28.536000000000001</v>
      </c>
      <c r="G1676" s="2">
        <f t="shared" si="13"/>
        <v>28.536000000000001</v>
      </c>
    </row>
    <row r="1677" spans="1:7" ht="14.25" customHeight="1">
      <c r="A1677" s="2" t="s">
        <v>15</v>
      </c>
      <c r="B1677" s="2">
        <v>2002</v>
      </c>
      <c r="C1677" s="2" t="s">
        <v>35</v>
      </c>
      <c r="D1677" s="2">
        <v>28502</v>
      </c>
      <c r="E1677" s="3">
        <f t="shared" si="12"/>
        <v>28.501999999999999</v>
      </c>
      <c r="G1677" s="2">
        <f t="shared" si="13"/>
        <v>28.501999999999999</v>
      </c>
    </row>
    <row r="1678" spans="1:7" ht="14.25" customHeight="1">
      <c r="A1678" s="2" t="s">
        <v>15</v>
      </c>
      <c r="B1678" s="2">
        <v>2003</v>
      </c>
      <c r="C1678" s="2" t="s">
        <v>35</v>
      </c>
      <c r="D1678" s="2">
        <v>27766</v>
      </c>
      <c r="E1678" s="3">
        <f t="shared" si="12"/>
        <v>27.765999999999998</v>
      </c>
      <c r="G1678" s="2">
        <f t="shared" si="13"/>
        <v>27.765999999999998</v>
      </c>
    </row>
    <row r="1679" spans="1:7" ht="14.25" customHeight="1">
      <c r="A1679" s="2" t="s">
        <v>15</v>
      </c>
      <c r="B1679" s="2">
        <v>2004</v>
      </c>
      <c r="C1679" s="2" t="s">
        <v>35</v>
      </c>
      <c r="D1679" s="2">
        <v>30550</v>
      </c>
      <c r="E1679" s="3">
        <f t="shared" si="12"/>
        <v>30.55</v>
      </c>
      <c r="G1679" s="2">
        <f t="shared" si="13"/>
        <v>30.55</v>
      </c>
    </row>
    <row r="1680" spans="1:7" ht="14.25" customHeight="1">
      <c r="A1680" s="2" t="s">
        <v>15</v>
      </c>
      <c r="B1680" s="2">
        <v>2005</v>
      </c>
      <c r="C1680" s="2" t="s">
        <v>35</v>
      </c>
      <c r="D1680" s="2">
        <v>27079</v>
      </c>
      <c r="E1680" s="3">
        <f t="shared" si="12"/>
        <v>27.079000000000001</v>
      </c>
      <c r="G1680" s="2">
        <f t="shared" si="13"/>
        <v>27.079000000000001</v>
      </c>
    </row>
    <row r="1681" spans="1:7" ht="14.25" customHeight="1">
      <c r="A1681" s="2" t="s">
        <v>15</v>
      </c>
      <c r="B1681" s="2">
        <v>2006</v>
      </c>
      <c r="C1681" s="2" t="s">
        <v>35</v>
      </c>
      <c r="D1681" s="2">
        <v>41346.050000000003</v>
      </c>
      <c r="E1681" s="3">
        <f t="shared" si="12"/>
        <v>41.346050000000005</v>
      </c>
      <c r="G1681" s="2">
        <f t="shared" si="13"/>
        <v>41.346050000000005</v>
      </c>
    </row>
    <row r="1682" spans="1:7" ht="14.25" customHeight="1">
      <c r="A1682" s="2" t="s">
        <v>15</v>
      </c>
      <c r="B1682" s="2">
        <v>2007</v>
      </c>
      <c r="C1682" s="2" t="s">
        <v>35</v>
      </c>
      <c r="D1682" s="2">
        <v>44519.33</v>
      </c>
      <c r="E1682" s="3">
        <f t="shared" si="12"/>
        <v>44.519330000000004</v>
      </c>
      <c r="G1682" s="2">
        <f t="shared" si="13"/>
        <v>44.519330000000004</v>
      </c>
    </row>
    <row r="1683" spans="1:7" ht="14.25" customHeight="1">
      <c r="A1683" s="2" t="s">
        <v>15</v>
      </c>
      <c r="B1683" s="2">
        <v>2008</v>
      </c>
      <c r="C1683" s="2" t="s">
        <v>35</v>
      </c>
      <c r="D1683" s="2">
        <v>43520.04</v>
      </c>
      <c r="E1683" s="3">
        <f t="shared" si="12"/>
        <v>43.520040000000002</v>
      </c>
      <c r="G1683" s="2">
        <f t="shared" si="13"/>
        <v>43.520040000000002</v>
      </c>
    </row>
    <row r="1684" spans="1:7" ht="14.25" customHeight="1">
      <c r="A1684" s="2" t="s">
        <v>15</v>
      </c>
      <c r="B1684" s="2">
        <v>2009</v>
      </c>
      <c r="C1684" s="2" t="s">
        <v>35</v>
      </c>
      <c r="D1684" s="2">
        <v>42900.11</v>
      </c>
      <c r="E1684" s="3">
        <f t="shared" si="12"/>
        <v>42.900109999999998</v>
      </c>
      <c r="G1684" s="2">
        <f t="shared" si="13"/>
        <v>42.900109999999998</v>
      </c>
    </row>
    <row r="1685" spans="1:7" ht="14.25" customHeight="1">
      <c r="A1685" s="2" t="s">
        <v>15</v>
      </c>
      <c r="B1685" s="2">
        <v>2010</v>
      </c>
      <c r="C1685" s="2" t="s">
        <v>35</v>
      </c>
      <c r="D1685" s="2">
        <v>38651.599999999999</v>
      </c>
      <c r="E1685" s="3">
        <f t="shared" si="12"/>
        <v>38.651600000000002</v>
      </c>
      <c r="G1685" s="2">
        <f t="shared" si="13"/>
        <v>38.651600000000002</v>
      </c>
    </row>
    <row r="1686" spans="1:7" ht="14.25" customHeight="1">
      <c r="A1686" s="2" t="s">
        <v>15</v>
      </c>
      <c r="B1686" s="2">
        <v>2011</v>
      </c>
      <c r="C1686" s="2" t="s">
        <v>35</v>
      </c>
      <c r="D1686" s="2">
        <v>34538.86</v>
      </c>
      <c r="E1686" s="3">
        <f t="shared" si="12"/>
        <v>34.53886</v>
      </c>
      <c r="G1686" s="2">
        <f t="shared" si="13"/>
        <v>34.53886</v>
      </c>
    </row>
    <row r="1687" spans="1:7" ht="14.25" customHeight="1">
      <c r="A1687" s="2" t="s">
        <v>15</v>
      </c>
      <c r="B1687" s="2">
        <v>2012</v>
      </c>
      <c r="C1687" s="2" t="s">
        <v>35</v>
      </c>
      <c r="D1687" s="2">
        <v>32708.1</v>
      </c>
      <c r="E1687" s="3">
        <f t="shared" si="12"/>
        <v>32.708100000000002</v>
      </c>
      <c r="G1687" s="2">
        <f t="shared" si="13"/>
        <v>32.708100000000002</v>
      </c>
    </row>
    <row r="1688" spans="1:7" ht="14.25" customHeight="1">
      <c r="A1688" s="2" t="s">
        <v>15</v>
      </c>
      <c r="B1688" s="2">
        <v>2013</v>
      </c>
      <c r="C1688" s="2" t="s">
        <v>35</v>
      </c>
      <c r="D1688" s="2">
        <v>28478.21</v>
      </c>
      <c r="E1688" s="3">
        <f t="shared" si="12"/>
        <v>28.478210000000001</v>
      </c>
      <c r="G1688" s="2">
        <f t="shared" si="13"/>
        <v>28.478210000000001</v>
      </c>
    </row>
    <row r="1689" spans="1:7" ht="14.25" customHeight="1">
      <c r="A1689" s="2" t="s">
        <v>15</v>
      </c>
      <c r="B1689" s="2">
        <v>2014</v>
      </c>
      <c r="C1689" s="2" t="s">
        <v>35</v>
      </c>
      <c r="D1689" s="2">
        <v>30486.94</v>
      </c>
      <c r="E1689" s="3">
        <f t="shared" si="12"/>
        <v>30.486939999999997</v>
      </c>
      <c r="G1689" s="2">
        <f t="shared" si="13"/>
        <v>30.486939999999997</v>
      </c>
    </row>
    <row r="1690" spans="1:7" ht="14.25" customHeight="1">
      <c r="A1690" s="2" t="s">
        <v>15</v>
      </c>
      <c r="B1690" s="2">
        <v>2015</v>
      </c>
      <c r="C1690" s="2" t="s">
        <v>35</v>
      </c>
      <c r="D1690" s="2">
        <v>25911.11</v>
      </c>
      <c r="E1690" s="3">
        <f t="shared" si="12"/>
        <v>25.911110000000001</v>
      </c>
      <c r="G1690" s="2">
        <f t="shared" si="13"/>
        <v>25.911110000000001</v>
      </c>
    </row>
    <row r="1691" spans="1:7" ht="14.25" customHeight="1">
      <c r="A1691" s="2" t="s">
        <v>15</v>
      </c>
      <c r="B1691" s="2">
        <v>2016</v>
      </c>
      <c r="C1691" s="2" t="s">
        <v>35</v>
      </c>
      <c r="D1691" s="2">
        <v>31486.06</v>
      </c>
      <c r="E1691" s="3">
        <f t="shared" si="12"/>
        <v>31.486060000000002</v>
      </c>
      <c r="G1691" s="2">
        <f t="shared" si="13"/>
        <v>31.486060000000002</v>
      </c>
    </row>
    <row r="1692" spans="1:7" ht="14.25" customHeight="1">
      <c r="A1692" s="2" t="s">
        <v>15</v>
      </c>
      <c r="B1692" s="2">
        <v>2017</v>
      </c>
      <c r="C1692" s="2" t="s">
        <v>35</v>
      </c>
      <c r="D1692" s="2">
        <v>30663.21</v>
      </c>
      <c r="E1692" s="3">
        <f t="shared" si="12"/>
        <v>30.663209999999999</v>
      </c>
      <c r="G1692" s="2">
        <f t="shared" si="13"/>
        <v>30.663209999999999</v>
      </c>
    </row>
    <row r="1693" spans="1:7" ht="14.25" customHeight="1">
      <c r="A1693" s="2" t="s">
        <v>15</v>
      </c>
      <c r="B1693" s="2">
        <v>2018</v>
      </c>
      <c r="C1693" s="2" t="s">
        <v>35</v>
      </c>
      <c r="D1693" s="2">
        <v>25633.075000000001</v>
      </c>
      <c r="E1693" s="3">
        <f t="shared" si="12"/>
        <v>25.633075000000002</v>
      </c>
      <c r="G1693" s="2">
        <f t="shared" si="13"/>
        <v>25.633075000000002</v>
      </c>
    </row>
    <row r="1694" spans="1:7" ht="14.25" customHeight="1">
      <c r="A1694" s="2" t="s">
        <v>15</v>
      </c>
      <c r="B1694" s="2">
        <v>1903</v>
      </c>
      <c r="C1694" s="2" t="s">
        <v>59</v>
      </c>
      <c r="D1694" s="2">
        <v>3648</v>
      </c>
      <c r="E1694" s="3">
        <f t="shared" si="12"/>
        <v>3.6480000000000001</v>
      </c>
      <c r="G1694" s="2">
        <f t="shared" si="13"/>
        <v>3.6480000000000001</v>
      </c>
    </row>
    <row r="1695" spans="1:7" ht="14.25" customHeight="1">
      <c r="A1695" s="2" t="s">
        <v>15</v>
      </c>
      <c r="B1695" s="2">
        <v>1904</v>
      </c>
      <c r="C1695" s="2" t="s">
        <v>59</v>
      </c>
      <c r="D1695" s="2">
        <v>8918</v>
      </c>
      <c r="E1695" s="3">
        <f t="shared" si="12"/>
        <v>8.9179999999999993</v>
      </c>
      <c r="G1695" s="2">
        <f t="shared" si="13"/>
        <v>8.9179999999999993</v>
      </c>
    </row>
    <row r="1696" spans="1:7" ht="14.25" customHeight="1">
      <c r="A1696" s="2" t="s">
        <v>15</v>
      </c>
      <c r="B1696" s="2">
        <v>1905</v>
      </c>
      <c r="C1696" s="2" t="s">
        <v>59</v>
      </c>
      <c r="D1696" s="2">
        <v>8695</v>
      </c>
      <c r="E1696" s="3">
        <f t="shared" si="12"/>
        <v>8.6950000000000003</v>
      </c>
      <c r="G1696" s="2">
        <f t="shared" si="13"/>
        <v>8.6950000000000003</v>
      </c>
    </row>
    <row r="1697" spans="1:7" ht="14.25" customHeight="1">
      <c r="A1697" s="2" t="s">
        <v>15</v>
      </c>
      <c r="B1697" s="2">
        <v>1906</v>
      </c>
      <c r="C1697" s="2" t="s">
        <v>59</v>
      </c>
      <c r="D1697" s="2">
        <v>8127</v>
      </c>
      <c r="E1697" s="3">
        <f t="shared" si="12"/>
        <v>8.1270000000000007</v>
      </c>
      <c r="G1697" s="2">
        <f t="shared" si="13"/>
        <v>8.1270000000000007</v>
      </c>
    </row>
    <row r="1698" spans="1:7" ht="14.25" customHeight="1">
      <c r="A1698" s="2" t="s">
        <v>15</v>
      </c>
      <c r="B1698" s="2">
        <v>1907</v>
      </c>
      <c r="C1698" s="2" t="s">
        <v>59</v>
      </c>
      <c r="D1698" s="2">
        <v>4609</v>
      </c>
      <c r="E1698" s="3">
        <f t="shared" si="12"/>
        <v>4.609</v>
      </c>
      <c r="G1698" s="2">
        <f t="shared" si="13"/>
        <v>4.609</v>
      </c>
    </row>
    <row r="1699" spans="1:7" ht="14.25" customHeight="1">
      <c r="A1699" s="2" t="s">
        <v>15</v>
      </c>
      <c r="B1699" s="2">
        <v>1908</v>
      </c>
      <c r="C1699" s="2" t="s">
        <v>59</v>
      </c>
      <c r="D1699" s="2">
        <v>5128</v>
      </c>
      <c r="E1699" s="3">
        <f t="shared" si="12"/>
        <v>5.1280000000000001</v>
      </c>
      <c r="G1699" s="2">
        <f t="shared" si="13"/>
        <v>5.1280000000000001</v>
      </c>
    </row>
    <row r="1700" spans="1:7" ht="14.25" customHeight="1">
      <c r="A1700" s="2" t="s">
        <v>15</v>
      </c>
      <c r="B1700" s="2">
        <v>1909</v>
      </c>
      <c r="C1700" s="2" t="s">
        <v>59</v>
      </c>
      <c r="D1700" s="2">
        <v>2915</v>
      </c>
      <c r="E1700" s="3">
        <f t="shared" si="12"/>
        <v>2.915</v>
      </c>
      <c r="G1700" s="2">
        <f t="shared" si="13"/>
        <v>2.915</v>
      </c>
    </row>
    <row r="1701" spans="1:7" ht="14.25" customHeight="1">
      <c r="A1701" s="2" t="s">
        <v>15</v>
      </c>
      <c r="B1701" s="2">
        <v>1910</v>
      </c>
      <c r="C1701" s="2" t="s">
        <v>59</v>
      </c>
      <c r="D1701" s="2">
        <v>4581</v>
      </c>
      <c r="E1701" s="3">
        <f t="shared" si="12"/>
        <v>4.5810000000000004</v>
      </c>
      <c r="G1701" s="2">
        <f t="shared" si="13"/>
        <v>4.5810000000000004</v>
      </c>
    </row>
    <row r="1702" spans="1:7" ht="14.25" customHeight="1">
      <c r="A1702" s="2" t="s">
        <v>15</v>
      </c>
      <c r="B1702" s="2">
        <v>1911</v>
      </c>
      <c r="C1702" s="2" t="s">
        <v>59</v>
      </c>
      <c r="D1702" s="2">
        <v>3691</v>
      </c>
      <c r="E1702" s="3">
        <f t="shared" si="12"/>
        <v>3.6909999999999998</v>
      </c>
      <c r="G1702" s="2">
        <f t="shared" si="13"/>
        <v>3.6909999999999998</v>
      </c>
    </row>
    <row r="1703" spans="1:7" ht="14.25" customHeight="1">
      <c r="A1703" s="2" t="s">
        <v>15</v>
      </c>
      <c r="B1703" s="2">
        <v>1912</v>
      </c>
      <c r="C1703" s="2" t="s">
        <v>59</v>
      </c>
      <c r="D1703" s="2">
        <v>3561</v>
      </c>
      <c r="E1703" s="3">
        <f t="shared" si="12"/>
        <v>3.5609999999999999</v>
      </c>
      <c r="G1703" s="2">
        <f t="shared" si="13"/>
        <v>3.5609999999999999</v>
      </c>
    </row>
    <row r="1704" spans="1:7" ht="14.25" customHeight="1">
      <c r="A1704" s="2" t="s">
        <v>15</v>
      </c>
      <c r="B1704" s="2">
        <v>1913</v>
      </c>
      <c r="C1704" s="2" t="s">
        <v>59</v>
      </c>
      <c r="D1704" s="2">
        <v>2619</v>
      </c>
      <c r="E1704" s="3">
        <f t="shared" si="12"/>
        <v>2.6190000000000002</v>
      </c>
      <c r="G1704" s="2">
        <f t="shared" si="13"/>
        <v>2.6190000000000002</v>
      </c>
    </row>
    <row r="1705" spans="1:7" ht="14.25" customHeight="1">
      <c r="A1705" s="2" t="s">
        <v>15</v>
      </c>
      <c r="B1705" s="2">
        <v>1914</v>
      </c>
      <c r="C1705" s="2" t="s">
        <v>59</v>
      </c>
      <c r="D1705" s="2">
        <v>2344</v>
      </c>
      <c r="E1705" s="3">
        <f t="shared" si="12"/>
        <v>2.3439999999999999</v>
      </c>
      <c r="G1705" s="2">
        <f t="shared" si="13"/>
        <v>2.3439999999999999</v>
      </c>
    </row>
    <row r="1706" spans="1:7" ht="14.25" customHeight="1">
      <c r="A1706" s="2" t="s">
        <v>15</v>
      </c>
      <c r="B1706" s="2">
        <v>1915</v>
      </c>
      <c r="C1706" s="2" t="s">
        <v>59</v>
      </c>
      <c r="D1706" s="2">
        <v>828</v>
      </c>
      <c r="E1706" s="3">
        <f t="shared" si="12"/>
        <v>0.82799999999999996</v>
      </c>
      <c r="G1706" s="2">
        <f t="shared" si="13"/>
        <v>0.82799999999999996</v>
      </c>
    </row>
    <row r="1707" spans="1:7" ht="14.25" customHeight="1">
      <c r="A1707" s="2" t="s">
        <v>15</v>
      </c>
      <c r="B1707" s="2">
        <v>1916</v>
      </c>
      <c r="C1707" s="2" t="s">
        <v>59</v>
      </c>
      <c r="D1707" s="2">
        <v>1880</v>
      </c>
      <c r="E1707" s="3">
        <f t="shared" si="12"/>
        <v>1.88</v>
      </c>
      <c r="G1707" s="2">
        <f t="shared" si="13"/>
        <v>1.88</v>
      </c>
    </row>
    <row r="1708" spans="1:7" ht="14.25" customHeight="1">
      <c r="A1708" s="2" t="s">
        <v>15</v>
      </c>
      <c r="B1708" s="2">
        <v>1917</v>
      </c>
      <c r="C1708" s="2" t="s">
        <v>59</v>
      </c>
      <c r="D1708" s="2">
        <v>621</v>
      </c>
      <c r="E1708" s="3">
        <f t="shared" si="12"/>
        <v>0.621</v>
      </c>
      <c r="G1708" s="2">
        <f t="shared" si="13"/>
        <v>0.621</v>
      </c>
    </row>
    <row r="1709" spans="1:7" ht="14.25" customHeight="1">
      <c r="A1709" s="2" t="s">
        <v>15</v>
      </c>
      <c r="B1709" s="2">
        <v>1918</v>
      </c>
      <c r="C1709" s="2" t="s">
        <v>59</v>
      </c>
      <c r="D1709" s="2">
        <v>686</v>
      </c>
      <c r="E1709" s="3">
        <f t="shared" si="12"/>
        <v>0.68600000000000005</v>
      </c>
      <c r="G1709" s="2">
        <f t="shared" si="13"/>
        <v>0.68600000000000005</v>
      </c>
    </row>
    <row r="1710" spans="1:7" ht="14.25" customHeight="1">
      <c r="A1710" s="2" t="s">
        <v>15</v>
      </c>
      <c r="B1710" s="2">
        <v>1919</v>
      </c>
      <c r="C1710" s="2" t="s">
        <v>59</v>
      </c>
      <c r="D1710" s="2">
        <v>3212</v>
      </c>
      <c r="E1710" s="3">
        <f t="shared" si="12"/>
        <v>3.2120000000000002</v>
      </c>
      <c r="G1710" s="2">
        <f t="shared" si="13"/>
        <v>3.2120000000000002</v>
      </c>
    </row>
    <row r="1711" spans="1:7" ht="14.25" customHeight="1">
      <c r="A1711" s="2" t="s">
        <v>15</v>
      </c>
      <c r="B1711" s="2">
        <v>1920</v>
      </c>
      <c r="C1711" s="2" t="s">
        <v>59</v>
      </c>
      <c r="D1711" s="2">
        <v>1847</v>
      </c>
      <c r="E1711" s="3">
        <f t="shared" si="12"/>
        <v>1.847</v>
      </c>
      <c r="G1711" s="2">
        <f t="shared" si="13"/>
        <v>1.847</v>
      </c>
    </row>
    <row r="1712" spans="1:7" ht="14.25" customHeight="1">
      <c r="A1712" s="2" t="s">
        <v>15</v>
      </c>
      <c r="B1712" s="2">
        <v>1921</v>
      </c>
      <c r="C1712" s="2" t="s">
        <v>59</v>
      </c>
      <c r="D1712" s="2">
        <v>4408</v>
      </c>
      <c r="E1712" s="3">
        <f t="shared" si="12"/>
        <v>4.4080000000000004</v>
      </c>
      <c r="G1712" s="2">
        <f t="shared" si="13"/>
        <v>4.4080000000000004</v>
      </c>
    </row>
    <row r="1713" spans="1:7" ht="14.25" customHeight="1">
      <c r="A1713" s="2" t="s">
        <v>15</v>
      </c>
      <c r="B1713" s="2">
        <v>1922</v>
      </c>
      <c r="C1713" s="2" t="s">
        <v>59</v>
      </c>
      <c r="D1713" s="2">
        <v>4637</v>
      </c>
      <c r="E1713" s="3">
        <f t="shared" si="12"/>
        <v>4.6369999999999996</v>
      </c>
      <c r="G1713" s="2">
        <f t="shared" si="13"/>
        <v>4.6369999999999996</v>
      </c>
    </row>
    <row r="1714" spans="1:7" ht="14.25" customHeight="1">
      <c r="A1714" s="2" t="s">
        <v>15</v>
      </c>
      <c r="B1714" s="2">
        <v>1923</v>
      </c>
      <c r="C1714" s="2" t="s">
        <v>59</v>
      </c>
      <c r="D1714" s="2">
        <v>3513</v>
      </c>
      <c r="E1714" s="3">
        <f t="shared" si="12"/>
        <v>3.5129999999999999</v>
      </c>
      <c r="G1714" s="2">
        <f t="shared" si="13"/>
        <v>3.5129999999999999</v>
      </c>
    </row>
    <row r="1715" spans="1:7" ht="14.25" customHeight="1">
      <c r="A1715" s="2" t="s">
        <v>15</v>
      </c>
      <c r="B1715" s="2">
        <v>1924</v>
      </c>
      <c r="C1715" s="2" t="s">
        <v>59</v>
      </c>
      <c r="D1715" s="2">
        <v>4356</v>
      </c>
      <c r="E1715" s="3">
        <f t="shared" si="12"/>
        <v>4.3559999999999999</v>
      </c>
      <c r="G1715" s="2">
        <f t="shared" si="13"/>
        <v>4.3559999999999999</v>
      </c>
    </row>
    <row r="1716" spans="1:7" ht="14.25" customHeight="1">
      <c r="A1716" s="2" t="s">
        <v>15</v>
      </c>
      <c r="B1716" s="2">
        <v>1925</v>
      </c>
      <c r="C1716" s="2" t="s">
        <v>59</v>
      </c>
      <c r="D1716" s="2">
        <v>4480</v>
      </c>
      <c r="E1716" s="3">
        <f t="shared" si="12"/>
        <v>4.4800000000000004</v>
      </c>
      <c r="G1716" s="2">
        <f t="shared" si="13"/>
        <v>4.4800000000000004</v>
      </c>
    </row>
    <row r="1717" spans="1:7" ht="14.25" customHeight="1">
      <c r="A1717" s="2" t="s">
        <v>15</v>
      </c>
      <c r="B1717" s="2">
        <v>1926</v>
      </c>
      <c r="C1717" s="2" t="s">
        <v>59</v>
      </c>
      <c r="D1717" s="2">
        <v>5104</v>
      </c>
      <c r="E1717" s="3">
        <f t="shared" si="12"/>
        <v>5.1040000000000001</v>
      </c>
      <c r="G1717" s="2">
        <f t="shared" si="13"/>
        <v>5.1040000000000001</v>
      </c>
    </row>
    <row r="1718" spans="1:7" ht="14.25" customHeight="1">
      <c r="A1718" s="2" t="s">
        <v>15</v>
      </c>
      <c r="B1718" s="2">
        <v>1927</v>
      </c>
      <c r="C1718" s="2" t="s">
        <v>59</v>
      </c>
      <c r="D1718" s="2">
        <v>3948</v>
      </c>
      <c r="E1718" s="3">
        <f t="shared" si="12"/>
        <v>3.948</v>
      </c>
      <c r="G1718" s="2">
        <f t="shared" si="13"/>
        <v>3.948</v>
      </c>
    </row>
    <row r="1719" spans="1:7" ht="14.25" customHeight="1">
      <c r="A1719" s="2" t="s">
        <v>15</v>
      </c>
      <c r="B1719" s="2">
        <v>1928</v>
      </c>
      <c r="C1719" s="2" t="s">
        <v>59</v>
      </c>
      <c r="D1719" s="2">
        <v>4270</v>
      </c>
      <c r="E1719" s="3">
        <f t="shared" si="12"/>
        <v>4.2699999999999996</v>
      </c>
      <c r="G1719" s="2">
        <f t="shared" si="13"/>
        <v>4.2699999999999996</v>
      </c>
    </row>
    <row r="1720" spans="1:7" ht="14.25" customHeight="1">
      <c r="A1720" s="2" t="s">
        <v>15</v>
      </c>
      <c r="B1720" s="2">
        <v>1929</v>
      </c>
      <c r="C1720" s="2" t="s">
        <v>59</v>
      </c>
      <c r="D1720" s="2">
        <v>6769</v>
      </c>
      <c r="E1720" s="3">
        <f t="shared" si="12"/>
        <v>6.7690000000000001</v>
      </c>
      <c r="G1720" s="2">
        <f t="shared" si="13"/>
        <v>6.7690000000000001</v>
      </c>
    </row>
    <row r="1721" spans="1:7" ht="14.25" customHeight="1">
      <c r="A1721" s="2" t="s">
        <v>15</v>
      </c>
      <c r="B1721" s="2">
        <v>1930</v>
      </c>
      <c r="C1721" s="2" t="s">
        <v>59</v>
      </c>
      <c r="D1721" s="2">
        <v>1728</v>
      </c>
      <c r="E1721" s="3">
        <f t="shared" si="12"/>
        <v>1.728</v>
      </c>
      <c r="G1721" s="2">
        <f t="shared" si="13"/>
        <v>1.728</v>
      </c>
    </row>
    <row r="1722" spans="1:7" ht="14.25" customHeight="1">
      <c r="A1722" s="2" t="s">
        <v>15</v>
      </c>
      <c r="B1722" s="2">
        <v>1931</v>
      </c>
      <c r="C1722" s="2" t="s">
        <v>59</v>
      </c>
      <c r="D1722" s="2">
        <v>2505</v>
      </c>
      <c r="E1722" s="3">
        <f t="shared" si="12"/>
        <v>2.5049999999999999</v>
      </c>
      <c r="G1722" s="2">
        <f t="shared" si="13"/>
        <v>2.5049999999999999</v>
      </c>
    </row>
    <row r="1723" spans="1:7" ht="14.25" customHeight="1">
      <c r="A1723" s="2" t="s">
        <v>15</v>
      </c>
      <c r="B1723" s="2">
        <v>1932</v>
      </c>
      <c r="C1723" s="2" t="s">
        <v>59</v>
      </c>
      <c r="D1723" s="2">
        <v>2999</v>
      </c>
      <c r="E1723" s="3">
        <f t="shared" si="12"/>
        <v>2.9990000000000001</v>
      </c>
      <c r="G1723" s="2">
        <f t="shared" si="13"/>
        <v>2.9990000000000001</v>
      </c>
    </row>
    <row r="1724" spans="1:7" ht="14.25" customHeight="1">
      <c r="A1724" s="2" t="s">
        <v>15</v>
      </c>
      <c r="B1724" s="2">
        <v>1933</v>
      </c>
      <c r="C1724" s="2" t="s">
        <v>59</v>
      </c>
      <c r="D1724" s="2">
        <v>2999</v>
      </c>
      <c r="E1724" s="3">
        <f t="shared" si="12"/>
        <v>2.9990000000000001</v>
      </c>
      <c r="G1724" s="2">
        <f t="shared" si="13"/>
        <v>2.9990000000000001</v>
      </c>
    </row>
    <row r="1725" spans="1:7" ht="14.25" customHeight="1">
      <c r="A1725" s="2" t="s">
        <v>15</v>
      </c>
      <c r="B1725" s="2">
        <v>1934</v>
      </c>
      <c r="C1725" s="2" t="s">
        <v>59</v>
      </c>
      <c r="D1725" s="2">
        <v>4319</v>
      </c>
      <c r="E1725" s="3">
        <f t="shared" si="12"/>
        <v>4.319</v>
      </c>
      <c r="G1725" s="2">
        <f t="shared" si="13"/>
        <v>4.319</v>
      </c>
    </row>
    <row r="1726" spans="1:7" ht="14.25" customHeight="1">
      <c r="A1726" s="2" t="s">
        <v>15</v>
      </c>
      <c r="B1726" s="2">
        <v>1935</v>
      </c>
      <c r="C1726" s="2" t="s">
        <v>59</v>
      </c>
      <c r="D1726" s="2">
        <v>2161</v>
      </c>
      <c r="E1726" s="3">
        <f t="shared" si="12"/>
        <v>2.161</v>
      </c>
      <c r="G1726" s="2">
        <f t="shared" si="13"/>
        <v>2.161</v>
      </c>
    </row>
    <row r="1727" spans="1:7" ht="14.25" customHeight="1">
      <c r="A1727" s="2" t="s">
        <v>15</v>
      </c>
      <c r="B1727" s="2">
        <v>1936</v>
      </c>
      <c r="C1727" s="2" t="s">
        <v>59</v>
      </c>
      <c r="D1727" s="2">
        <v>1160</v>
      </c>
      <c r="E1727" s="3">
        <f t="shared" si="12"/>
        <v>1.1599999999999999</v>
      </c>
      <c r="G1727" s="2">
        <f t="shared" si="13"/>
        <v>1.1599999999999999</v>
      </c>
    </row>
    <row r="1728" spans="1:7" ht="14.25" customHeight="1">
      <c r="A1728" s="2" t="s">
        <v>15</v>
      </c>
      <c r="B1728" s="2">
        <v>1937</v>
      </c>
      <c r="C1728" s="2" t="s">
        <v>59</v>
      </c>
      <c r="D1728" s="2">
        <v>3522</v>
      </c>
      <c r="E1728" s="3">
        <f t="shared" si="12"/>
        <v>3.5219999999999998</v>
      </c>
      <c r="G1728" s="2">
        <f t="shared" si="13"/>
        <v>3.5219999999999998</v>
      </c>
    </row>
    <row r="1729" spans="1:7" ht="14.25" customHeight="1">
      <c r="A1729" s="2" t="s">
        <v>15</v>
      </c>
      <c r="B1729" s="2">
        <v>1938</v>
      </c>
      <c r="C1729" s="2" t="s">
        <v>59</v>
      </c>
      <c r="D1729" s="2">
        <v>2344</v>
      </c>
      <c r="E1729" s="3">
        <f t="shared" si="12"/>
        <v>2.3439999999999999</v>
      </c>
      <c r="G1729" s="2">
        <f t="shared" si="13"/>
        <v>2.3439999999999999</v>
      </c>
    </row>
    <row r="1730" spans="1:7" ht="14.25" customHeight="1">
      <c r="A1730" s="2" t="s">
        <v>15</v>
      </c>
      <c r="B1730" s="2">
        <v>1939</v>
      </c>
      <c r="C1730" s="2" t="s">
        <v>59</v>
      </c>
      <c r="D1730" s="2">
        <v>1810</v>
      </c>
      <c r="E1730" s="3">
        <f t="shared" si="12"/>
        <v>1.81</v>
      </c>
      <c r="G1730" s="2">
        <f t="shared" si="13"/>
        <v>1.81</v>
      </c>
    </row>
    <row r="1731" spans="1:7" ht="14.25" customHeight="1">
      <c r="A1731" s="2" t="s">
        <v>15</v>
      </c>
      <c r="B1731" s="2">
        <v>1940</v>
      </c>
      <c r="C1731" s="2" t="s">
        <v>59</v>
      </c>
      <c r="D1731" s="2">
        <v>823</v>
      </c>
      <c r="E1731" s="3">
        <f t="shared" si="12"/>
        <v>0.82299999999999995</v>
      </c>
      <c r="G1731" s="2">
        <f t="shared" si="13"/>
        <v>0.82299999999999995</v>
      </c>
    </row>
    <row r="1732" spans="1:7" ht="14.25" customHeight="1">
      <c r="A1732" s="2" t="s">
        <v>15</v>
      </c>
      <c r="B1732" s="2">
        <v>1941</v>
      </c>
      <c r="C1732" s="2" t="s">
        <v>59</v>
      </c>
      <c r="D1732" s="2">
        <v>2391</v>
      </c>
      <c r="E1732" s="3">
        <f t="shared" si="12"/>
        <v>2.391</v>
      </c>
      <c r="G1732" s="2">
        <f t="shared" si="13"/>
        <v>2.391</v>
      </c>
    </row>
    <row r="1733" spans="1:7" ht="14.25" customHeight="1">
      <c r="A1733" s="2" t="s">
        <v>15</v>
      </c>
      <c r="B1733" s="2">
        <v>1942</v>
      </c>
      <c r="C1733" s="2" t="s">
        <v>59</v>
      </c>
      <c r="D1733" s="2">
        <v>2793</v>
      </c>
      <c r="E1733" s="3">
        <f t="shared" si="12"/>
        <v>2.7930000000000001</v>
      </c>
      <c r="G1733" s="2">
        <f t="shared" si="13"/>
        <v>2.7930000000000001</v>
      </c>
    </row>
    <row r="1734" spans="1:7" ht="14.25" customHeight="1">
      <c r="A1734" s="2" t="s">
        <v>15</v>
      </c>
      <c r="B1734" s="2">
        <v>1943</v>
      </c>
      <c r="C1734" s="2" t="s">
        <v>59</v>
      </c>
      <c r="D1734" s="2">
        <v>2427</v>
      </c>
      <c r="E1734" s="3">
        <f t="shared" si="12"/>
        <v>2.427</v>
      </c>
      <c r="G1734" s="2">
        <f t="shared" si="13"/>
        <v>2.427</v>
      </c>
    </row>
    <row r="1735" spans="1:7" ht="14.25" customHeight="1">
      <c r="A1735" s="2" t="s">
        <v>15</v>
      </c>
      <c r="B1735" s="2">
        <v>1944</v>
      </c>
      <c r="C1735" s="2" t="s">
        <v>59</v>
      </c>
      <c r="D1735" s="2">
        <v>2681</v>
      </c>
      <c r="E1735" s="3">
        <f t="shared" si="12"/>
        <v>2.681</v>
      </c>
      <c r="G1735" s="2">
        <f t="shared" si="13"/>
        <v>2.681</v>
      </c>
    </row>
    <row r="1736" spans="1:7" ht="14.25" customHeight="1">
      <c r="A1736" s="2" t="s">
        <v>15</v>
      </c>
      <c r="B1736" s="2">
        <v>1945</v>
      </c>
      <c r="C1736" s="2" t="s">
        <v>59</v>
      </c>
      <c r="D1736" s="2">
        <v>3291</v>
      </c>
      <c r="E1736" s="3">
        <f t="shared" si="12"/>
        <v>3.2909999999999999</v>
      </c>
      <c r="G1736" s="2">
        <f t="shared" si="13"/>
        <v>3.2909999999999999</v>
      </c>
    </row>
    <row r="1737" spans="1:7" ht="14.25" customHeight="1">
      <c r="A1737" s="2" t="s">
        <v>15</v>
      </c>
      <c r="B1737" s="2">
        <v>1946</v>
      </c>
      <c r="C1737" s="2" t="s">
        <v>59</v>
      </c>
      <c r="D1737" s="2">
        <v>2626</v>
      </c>
      <c r="E1737" s="3">
        <f t="shared" si="12"/>
        <v>2.6259999999999999</v>
      </c>
      <c r="G1737" s="2">
        <f t="shared" si="13"/>
        <v>2.6259999999999999</v>
      </c>
    </row>
    <row r="1738" spans="1:7" ht="14.25" customHeight="1">
      <c r="A1738" s="2" t="s">
        <v>15</v>
      </c>
      <c r="B1738" s="2">
        <v>1947</v>
      </c>
      <c r="C1738" s="2" t="s">
        <v>59</v>
      </c>
      <c r="D1738" s="2">
        <v>3155</v>
      </c>
      <c r="E1738" s="3">
        <f t="shared" si="12"/>
        <v>3.1549999999999998</v>
      </c>
      <c r="G1738" s="2">
        <f t="shared" si="13"/>
        <v>3.1549999999999998</v>
      </c>
    </row>
    <row r="1739" spans="1:7" ht="14.25" customHeight="1">
      <c r="A1739" s="2" t="s">
        <v>15</v>
      </c>
      <c r="B1739" s="2">
        <v>1948</v>
      </c>
      <c r="C1739" s="2" t="s">
        <v>59</v>
      </c>
      <c r="D1739" s="2">
        <v>3451</v>
      </c>
      <c r="E1739" s="3">
        <f t="shared" si="12"/>
        <v>3.4510000000000001</v>
      </c>
      <c r="G1739" s="2">
        <f t="shared" si="13"/>
        <v>3.4510000000000001</v>
      </c>
    </row>
    <row r="1740" spans="1:7" ht="14.25" customHeight="1">
      <c r="A1740" s="2" t="s">
        <v>15</v>
      </c>
      <c r="B1740" s="2">
        <v>1949</v>
      </c>
      <c r="C1740" s="2" t="s">
        <v>59</v>
      </c>
      <c r="D1740" s="2">
        <v>3089</v>
      </c>
      <c r="E1740" s="3">
        <f t="shared" si="12"/>
        <v>3.089</v>
      </c>
      <c r="G1740" s="2">
        <f t="shared" si="13"/>
        <v>3.089</v>
      </c>
    </row>
    <row r="1741" spans="1:7" ht="14.25" customHeight="1">
      <c r="A1741" s="2" t="s">
        <v>15</v>
      </c>
      <c r="B1741" s="2">
        <v>1950</v>
      </c>
      <c r="C1741" s="2" t="s">
        <v>59</v>
      </c>
      <c r="D1741" s="2">
        <v>4151</v>
      </c>
      <c r="E1741" s="3">
        <f t="shared" si="12"/>
        <v>4.1509999999999998</v>
      </c>
      <c r="G1741" s="2">
        <f t="shared" si="13"/>
        <v>4.1509999999999998</v>
      </c>
    </row>
    <row r="1742" spans="1:7" ht="14.25" customHeight="1">
      <c r="A1742" s="2" t="s">
        <v>15</v>
      </c>
      <c r="B1742" s="2">
        <v>1951</v>
      </c>
      <c r="C1742" s="2" t="s">
        <v>59</v>
      </c>
      <c r="D1742" s="2">
        <v>5803</v>
      </c>
      <c r="E1742" s="3">
        <f t="shared" si="12"/>
        <v>5.8029999999999999</v>
      </c>
      <c r="G1742" s="2">
        <f t="shared" si="13"/>
        <v>5.8029999999999999</v>
      </c>
    </row>
    <row r="1743" spans="1:7" ht="14.25" customHeight="1">
      <c r="A1743" s="2" t="s">
        <v>15</v>
      </c>
      <c r="B1743" s="2">
        <v>1952</v>
      </c>
      <c r="C1743" s="2" t="s">
        <v>59</v>
      </c>
      <c r="D1743" s="2">
        <v>4806</v>
      </c>
      <c r="E1743" s="3">
        <f t="shared" si="12"/>
        <v>4.806</v>
      </c>
      <c r="G1743" s="2">
        <f t="shared" si="13"/>
        <v>4.806</v>
      </c>
    </row>
    <row r="1744" spans="1:7" ht="14.25" customHeight="1">
      <c r="A1744" s="2" t="s">
        <v>15</v>
      </c>
      <c r="B1744" s="2">
        <v>1953</v>
      </c>
      <c r="C1744" s="2" t="s">
        <v>59</v>
      </c>
      <c r="D1744" s="2">
        <v>5545</v>
      </c>
      <c r="E1744" s="3">
        <f t="shared" si="12"/>
        <v>5.5449999999999999</v>
      </c>
      <c r="G1744" s="2">
        <f t="shared" si="13"/>
        <v>5.5449999999999999</v>
      </c>
    </row>
    <row r="1745" spans="1:7" ht="14.25" customHeight="1">
      <c r="A1745" s="2" t="s">
        <v>15</v>
      </c>
      <c r="B1745" s="2">
        <v>1954</v>
      </c>
      <c r="C1745" s="2" t="s">
        <v>59</v>
      </c>
      <c r="D1745" s="2">
        <v>3049</v>
      </c>
      <c r="E1745" s="3">
        <f t="shared" si="12"/>
        <v>3.0489999999999999</v>
      </c>
      <c r="G1745" s="2">
        <f t="shared" si="13"/>
        <v>3.0489999999999999</v>
      </c>
    </row>
    <row r="1746" spans="1:7" ht="14.25" customHeight="1">
      <c r="A1746" s="2" t="s">
        <v>15</v>
      </c>
      <c r="B1746" s="2">
        <v>1955</v>
      </c>
      <c r="C1746" s="2" t="s">
        <v>59</v>
      </c>
      <c r="D1746" s="2">
        <v>4928</v>
      </c>
      <c r="E1746" s="3">
        <f t="shared" si="12"/>
        <v>4.9279999999999999</v>
      </c>
      <c r="G1746" s="2">
        <f t="shared" si="13"/>
        <v>4.9279999999999999</v>
      </c>
    </row>
    <row r="1747" spans="1:7" ht="14.25" customHeight="1">
      <c r="A1747" s="2" t="s">
        <v>15</v>
      </c>
      <c r="B1747" s="2">
        <v>1956</v>
      </c>
      <c r="C1747" s="2" t="s">
        <v>59</v>
      </c>
      <c r="D1747" s="2">
        <v>6041</v>
      </c>
      <c r="E1747" s="3">
        <f t="shared" si="12"/>
        <v>6.0410000000000004</v>
      </c>
      <c r="G1747" s="2">
        <f t="shared" si="13"/>
        <v>6.0410000000000004</v>
      </c>
    </row>
    <row r="1748" spans="1:7" ht="14.25" customHeight="1">
      <c r="A1748" s="2" t="s">
        <v>15</v>
      </c>
      <c r="B1748" s="2">
        <v>1957</v>
      </c>
      <c r="C1748" s="2" t="s">
        <v>59</v>
      </c>
      <c r="D1748" s="2">
        <v>3011</v>
      </c>
      <c r="E1748" s="3">
        <f t="shared" si="12"/>
        <v>3.0110000000000001</v>
      </c>
      <c r="G1748" s="2">
        <f t="shared" si="13"/>
        <v>3.0110000000000001</v>
      </c>
    </row>
    <row r="1749" spans="1:7" ht="14.25" customHeight="1">
      <c r="A1749" s="2" t="s">
        <v>15</v>
      </c>
      <c r="B1749" s="2">
        <v>1958</v>
      </c>
      <c r="C1749" s="2" t="s">
        <v>59</v>
      </c>
      <c r="D1749" s="2">
        <v>4213</v>
      </c>
      <c r="E1749" s="3">
        <f t="shared" si="12"/>
        <v>4.2130000000000001</v>
      </c>
      <c r="G1749" s="2">
        <f t="shared" si="13"/>
        <v>4.2130000000000001</v>
      </c>
    </row>
    <row r="1750" spans="1:7" ht="14.25" customHeight="1">
      <c r="A1750" s="2" t="s">
        <v>15</v>
      </c>
      <c r="B1750" s="2">
        <v>1959</v>
      </c>
      <c r="C1750" s="2" t="s">
        <v>59</v>
      </c>
      <c r="D1750" s="2">
        <v>3675</v>
      </c>
      <c r="E1750" s="3">
        <f t="shared" si="12"/>
        <v>3.6749999999999998</v>
      </c>
      <c r="G1750" s="2">
        <f t="shared" si="13"/>
        <v>3.6749999999999998</v>
      </c>
    </row>
    <row r="1751" spans="1:7" ht="14.25" customHeight="1">
      <c r="A1751" s="2" t="s">
        <v>15</v>
      </c>
      <c r="B1751" s="2">
        <v>1960</v>
      </c>
      <c r="C1751" s="2" t="s">
        <v>59</v>
      </c>
      <c r="D1751" s="2">
        <v>2985</v>
      </c>
      <c r="E1751" s="3">
        <f t="shared" si="12"/>
        <v>2.9849999999999999</v>
      </c>
      <c r="G1751" s="2">
        <f t="shared" si="13"/>
        <v>2.9849999999999999</v>
      </c>
    </row>
    <row r="1752" spans="1:7" ht="14.25" customHeight="1">
      <c r="A1752" s="2" t="s">
        <v>15</v>
      </c>
      <c r="B1752" s="2">
        <v>1961</v>
      </c>
      <c r="C1752" s="2" t="s">
        <v>59</v>
      </c>
      <c r="D1752" s="2">
        <v>2712</v>
      </c>
      <c r="E1752" s="3">
        <f t="shared" si="12"/>
        <v>2.7120000000000002</v>
      </c>
      <c r="G1752" s="2">
        <f t="shared" si="13"/>
        <v>2.7120000000000002</v>
      </c>
    </row>
    <row r="1753" spans="1:7" ht="14.25" customHeight="1">
      <c r="A1753" s="2" t="s">
        <v>15</v>
      </c>
      <c r="B1753" s="2">
        <v>1962</v>
      </c>
      <c r="C1753" s="2" t="s">
        <v>59</v>
      </c>
      <c r="D1753" s="2">
        <v>2017</v>
      </c>
      <c r="E1753" s="3">
        <f t="shared" si="12"/>
        <v>2.0169999999999999</v>
      </c>
      <c r="G1753" s="2">
        <f t="shared" si="13"/>
        <v>2.0169999999999999</v>
      </c>
    </row>
    <row r="1754" spans="1:7" ht="14.25" customHeight="1">
      <c r="A1754" s="2" t="s">
        <v>15</v>
      </c>
      <c r="B1754" s="2">
        <v>1963</v>
      </c>
      <c r="C1754" s="2" t="s">
        <v>59</v>
      </c>
      <c r="D1754" s="2">
        <v>1965</v>
      </c>
      <c r="E1754" s="3">
        <f t="shared" si="12"/>
        <v>1.9650000000000001</v>
      </c>
      <c r="G1754" s="2">
        <f t="shared" si="13"/>
        <v>1.9650000000000001</v>
      </c>
    </row>
    <row r="1755" spans="1:7" ht="14.25" customHeight="1">
      <c r="A1755" s="2" t="s">
        <v>15</v>
      </c>
      <c r="B1755" s="2">
        <v>1964</v>
      </c>
      <c r="C1755" s="2" t="s">
        <v>59</v>
      </c>
      <c r="D1755" s="2">
        <v>1721</v>
      </c>
      <c r="E1755" s="3">
        <f t="shared" si="12"/>
        <v>1.7210000000000001</v>
      </c>
      <c r="G1755" s="2">
        <f t="shared" si="13"/>
        <v>1.7210000000000001</v>
      </c>
    </row>
    <row r="1756" spans="1:7" ht="14.25" customHeight="1">
      <c r="A1756" s="2" t="s">
        <v>15</v>
      </c>
      <c r="B1756" s="2">
        <v>1965</v>
      </c>
      <c r="C1756" s="2" t="s">
        <v>59</v>
      </c>
      <c r="D1756" s="2">
        <v>1349</v>
      </c>
      <c r="E1756" s="3">
        <f t="shared" si="12"/>
        <v>1.349</v>
      </c>
      <c r="G1756" s="2">
        <f t="shared" si="13"/>
        <v>1.349</v>
      </c>
    </row>
    <row r="1757" spans="1:7" ht="14.25" customHeight="1">
      <c r="A1757" s="2" t="s">
        <v>15</v>
      </c>
      <c r="B1757" s="2">
        <v>1966</v>
      </c>
      <c r="C1757" s="2" t="s">
        <v>59</v>
      </c>
      <c r="D1757" s="2">
        <v>1355</v>
      </c>
      <c r="E1757" s="3">
        <f t="shared" si="12"/>
        <v>1.355</v>
      </c>
      <c r="G1757" s="2">
        <f t="shared" si="13"/>
        <v>1.355</v>
      </c>
    </row>
    <row r="1758" spans="1:7" ht="14.25" customHeight="1">
      <c r="A1758" s="2" t="s">
        <v>15</v>
      </c>
      <c r="B1758" s="2">
        <v>1967</v>
      </c>
      <c r="C1758" s="2" t="s">
        <v>59</v>
      </c>
      <c r="D1758" s="2">
        <v>729</v>
      </c>
      <c r="E1758" s="3">
        <f t="shared" si="12"/>
        <v>0.72899999999999998</v>
      </c>
      <c r="G1758" s="2">
        <f t="shared" si="13"/>
        <v>0.72899999999999998</v>
      </c>
    </row>
    <row r="1759" spans="1:7" ht="14.25" customHeight="1">
      <c r="A1759" s="2" t="s">
        <v>15</v>
      </c>
      <c r="B1759" s="2">
        <v>1968</v>
      </c>
      <c r="C1759" s="2" t="s">
        <v>59</v>
      </c>
      <c r="D1759" s="2">
        <v>721</v>
      </c>
      <c r="E1759" s="3">
        <f t="shared" si="12"/>
        <v>0.72099999999999997</v>
      </c>
      <c r="G1759" s="2">
        <f t="shared" si="13"/>
        <v>0.72099999999999997</v>
      </c>
    </row>
    <row r="1760" spans="1:7" ht="14.25" customHeight="1">
      <c r="A1760" s="2" t="s">
        <v>15</v>
      </c>
      <c r="B1760" s="2">
        <v>1969</v>
      </c>
      <c r="C1760" s="2" t="s">
        <v>59</v>
      </c>
      <c r="D1760" s="2">
        <v>673</v>
      </c>
      <c r="E1760" s="3">
        <f t="shared" si="12"/>
        <v>0.67300000000000004</v>
      </c>
      <c r="G1760" s="2">
        <f t="shared" si="13"/>
        <v>0.67300000000000004</v>
      </c>
    </row>
    <row r="1761" spans="1:7" ht="14.25" customHeight="1">
      <c r="A1761" s="2" t="s">
        <v>15</v>
      </c>
      <c r="B1761" s="2">
        <v>1970</v>
      </c>
      <c r="C1761" s="2" t="s">
        <v>59</v>
      </c>
      <c r="D1761" s="2">
        <v>890</v>
      </c>
      <c r="E1761" s="3">
        <f t="shared" si="12"/>
        <v>0.89</v>
      </c>
      <c r="G1761" s="2">
        <f t="shared" si="13"/>
        <v>0.89</v>
      </c>
    </row>
    <row r="1762" spans="1:7" ht="14.25" customHeight="1">
      <c r="A1762" s="2" t="s">
        <v>15</v>
      </c>
      <c r="B1762" s="2">
        <v>1971</v>
      </c>
      <c r="C1762" s="2" t="s">
        <v>59</v>
      </c>
      <c r="D1762" s="2">
        <v>1242</v>
      </c>
      <c r="E1762" s="3">
        <f t="shared" si="12"/>
        <v>1.242</v>
      </c>
      <c r="G1762" s="2">
        <f t="shared" si="13"/>
        <v>1.242</v>
      </c>
    </row>
    <row r="1763" spans="1:7" ht="14.25" customHeight="1">
      <c r="A1763" s="2" t="s">
        <v>15</v>
      </c>
      <c r="B1763" s="2">
        <v>1972</v>
      </c>
      <c r="C1763" s="2" t="s">
        <v>59</v>
      </c>
      <c r="D1763" s="2">
        <v>2190</v>
      </c>
      <c r="E1763" s="3">
        <f t="shared" si="12"/>
        <v>2.19</v>
      </c>
      <c r="G1763" s="2">
        <f t="shared" si="13"/>
        <v>2.19</v>
      </c>
    </row>
    <row r="1764" spans="1:7" ht="14.25" customHeight="1">
      <c r="A1764" s="2" t="s">
        <v>15</v>
      </c>
      <c r="B1764" s="2">
        <v>1973</v>
      </c>
      <c r="C1764" s="2" t="s">
        <v>59</v>
      </c>
      <c r="D1764" s="2">
        <v>2375</v>
      </c>
      <c r="E1764" s="3">
        <f t="shared" si="12"/>
        <v>2.375</v>
      </c>
      <c r="G1764" s="2">
        <f t="shared" si="13"/>
        <v>2.375</v>
      </c>
    </row>
    <row r="1765" spans="1:7" ht="14.25" customHeight="1">
      <c r="A1765" s="2" t="s">
        <v>15</v>
      </c>
      <c r="B1765" s="2">
        <v>1974</v>
      </c>
      <c r="C1765" s="2" t="s">
        <v>59</v>
      </c>
      <c r="D1765" s="2">
        <v>1280</v>
      </c>
      <c r="E1765" s="3">
        <f t="shared" si="12"/>
        <v>1.28</v>
      </c>
      <c r="G1765" s="2">
        <f t="shared" si="13"/>
        <v>1.28</v>
      </c>
    </row>
    <row r="1766" spans="1:7" ht="14.25" customHeight="1">
      <c r="A1766" s="2" t="s">
        <v>15</v>
      </c>
      <c r="B1766" s="2">
        <v>1975</v>
      </c>
      <c r="C1766" s="2" t="s">
        <v>59</v>
      </c>
      <c r="D1766" s="2">
        <v>1548</v>
      </c>
      <c r="E1766" s="3">
        <f t="shared" si="12"/>
        <v>1.548</v>
      </c>
      <c r="G1766" s="2">
        <f t="shared" si="13"/>
        <v>1.548</v>
      </c>
    </row>
    <row r="1767" spans="1:7" ht="14.25" customHeight="1">
      <c r="A1767" s="2" t="s">
        <v>15</v>
      </c>
      <c r="B1767" s="2">
        <v>1976</v>
      </c>
      <c r="C1767" s="2" t="s">
        <v>59</v>
      </c>
      <c r="D1767" s="2">
        <v>4445</v>
      </c>
      <c r="E1767" s="3">
        <f t="shared" si="12"/>
        <v>4.4450000000000003</v>
      </c>
      <c r="G1767" s="2">
        <f t="shared" si="13"/>
        <v>4.4450000000000003</v>
      </c>
    </row>
    <row r="1768" spans="1:7" ht="14.25" customHeight="1">
      <c r="A1768" s="2" t="s">
        <v>15</v>
      </c>
      <c r="B1768" s="2">
        <v>1977</v>
      </c>
      <c r="C1768" s="2" t="s">
        <v>59</v>
      </c>
      <c r="D1768" s="2">
        <v>10778</v>
      </c>
      <c r="E1768" s="3">
        <f t="shared" si="12"/>
        <v>10.778</v>
      </c>
      <c r="G1768" s="2">
        <f t="shared" si="13"/>
        <v>10.778</v>
      </c>
    </row>
    <row r="1769" spans="1:7" ht="14.25" customHeight="1">
      <c r="A1769" s="2" t="s">
        <v>15</v>
      </c>
      <c r="B1769" s="2">
        <v>1978</v>
      </c>
      <c r="C1769" s="2" t="s">
        <v>59</v>
      </c>
      <c r="D1769" s="2">
        <v>10443</v>
      </c>
      <c r="E1769" s="3">
        <f t="shared" si="12"/>
        <v>10.443</v>
      </c>
      <c r="G1769" s="2">
        <f t="shared" si="13"/>
        <v>10.443</v>
      </c>
    </row>
    <row r="1770" spans="1:7" ht="14.25" customHeight="1">
      <c r="A1770" s="2" t="s">
        <v>15</v>
      </c>
      <c r="B1770" s="2">
        <v>1979</v>
      </c>
      <c r="C1770" s="2" t="s">
        <v>59</v>
      </c>
      <c r="D1770" s="2">
        <v>9866</v>
      </c>
      <c r="E1770" s="3">
        <f t="shared" si="12"/>
        <v>9.8659999999999997</v>
      </c>
      <c r="G1770" s="2">
        <f t="shared" si="13"/>
        <v>9.8659999999999997</v>
      </c>
    </row>
    <row r="1771" spans="1:7" ht="14.25" customHeight="1">
      <c r="A1771" s="2" t="s">
        <v>15</v>
      </c>
      <c r="B1771" s="2">
        <v>1980</v>
      </c>
      <c r="C1771" s="2" t="s">
        <v>59</v>
      </c>
      <c r="D1771" s="2">
        <v>9428</v>
      </c>
      <c r="E1771" s="3">
        <f t="shared" si="12"/>
        <v>9.4280000000000008</v>
      </c>
      <c r="G1771" s="2">
        <f t="shared" si="13"/>
        <v>9.4280000000000008</v>
      </c>
    </row>
    <row r="1772" spans="1:7" ht="14.25" customHeight="1">
      <c r="A1772" s="2" t="s">
        <v>15</v>
      </c>
      <c r="B1772" s="2">
        <v>1981</v>
      </c>
      <c r="C1772" s="2" t="s">
        <v>59</v>
      </c>
      <c r="D1772" s="2">
        <v>3792</v>
      </c>
      <c r="E1772" s="3">
        <f t="shared" si="12"/>
        <v>3.7919999999999998</v>
      </c>
      <c r="G1772" s="2">
        <f t="shared" si="13"/>
        <v>3.7919999999999998</v>
      </c>
    </row>
    <row r="1773" spans="1:7" ht="14.25" customHeight="1">
      <c r="A1773" s="2" t="s">
        <v>15</v>
      </c>
      <c r="B1773" s="2">
        <v>1982</v>
      </c>
      <c r="C1773" s="2" t="s">
        <v>59</v>
      </c>
      <c r="D1773" s="2">
        <v>5518</v>
      </c>
      <c r="E1773" s="3">
        <f t="shared" si="12"/>
        <v>5.5179999999999998</v>
      </c>
      <c r="G1773" s="2">
        <f t="shared" si="13"/>
        <v>5.5179999999999998</v>
      </c>
    </row>
    <row r="1774" spans="1:7" ht="14.25" customHeight="1">
      <c r="A1774" s="2" t="s">
        <v>15</v>
      </c>
      <c r="B1774" s="2">
        <v>1983</v>
      </c>
      <c r="C1774" s="2" t="s">
        <v>59</v>
      </c>
      <c r="D1774" s="2">
        <v>7318</v>
      </c>
      <c r="E1774" s="3">
        <f t="shared" si="12"/>
        <v>7.3179999999999996</v>
      </c>
      <c r="G1774" s="2">
        <f t="shared" si="13"/>
        <v>7.3179999999999996</v>
      </c>
    </row>
    <row r="1775" spans="1:7" ht="14.25" customHeight="1">
      <c r="A1775" s="2" t="s">
        <v>15</v>
      </c>
      <c r="B1775" s="2">
        <v>1984</v>
      </c>
      <c r="C1775" s="2" t="s">
        <v>59</v>
      </c>
      <c r="D1775" s="2">
        <v>1334</v>
      </c>
      <c r="E1775" s="3">
        <f t="shared" si="12"/>
        <v>1.3340000000000001</v>
      </c>
      <c r="G1775" s="2">
        <f t="shared" si="13"/>
        <v>1.3340000000000001</v>
      </c>
    </row>
    <row r="1776" spans="1:7" ht="14.25" customHeight="1">
      <c r="A1776" s="2" t="s">
        <v>15</v>
      </c>
      <c r="B1776" s="2">
        <v>1985</v>
      </c>
      <c r="C1776" s="2" t="s">
        <v>59</v>
      </c>
      <c r="D1776" s="2">
        <v>1936</v>
      </c>
      <c r="E1776" s="3">
        <f t="shared" si="12"/>
        <v>1.9359999999999999</v>
      </c>
      <c r="G1776" s="2">
        <f t="shared" si="13"/>
        <v>1.9359999999999999</v>
      </c>
    </row>
    <row r="1777" spans="1:7" ht="14.25" customHeight="1">
      <c r="A1777" s="2" t="s">
        <v>15</v>
      </c>
      <c r="B1777" s="2">
        <v>1986</v>
      </c>
      <c r="C1777" s="2" t="s">
        <v>59</v>
      </c>
      <c r="D1777" s="2">
        <v>1374</v>
      </c>
      <c r="E1777" s="3">
        <f t="shared" si="12"/>
        <v>1.3740000000000001</v>
      </c>
      <c r="G1777" s="2">
        <f t="shared" si="13"/>
        <v>1.3740000000000001</v>
      </c>
    </row>
    <row r="1778" spans="1:7" ht="14.25" customHeight="1">
      <c r="A1778" s="2" t="s">
        <v>15</v>
      </c>
      <c r="B1778" s="2">
        <v>1987</v>
      </c>
      <c r="C1778" s="2" t="s">
        <v>59</v>
      </c>
      <c r="D1778" s="2">
        <v>1993</v>
      </c>
      <c r="E1778" s="3">
        <f t="shared" si="12"/>
        <v>1.9930000000000001</v>
      </c>
      <c r="G1778" s="2">
        <f t="shared" si="13"/>
        <v>1.9930000000000001</v>
      </c>
    </row>
    <row r="1779" spans="1:7" ht="14.25" customHeight="1">
      <c r="A1779" s="2" t="s">
        <v>15</v>
      </c>
      <c r="B1779" s="2">
        <v>1988</v>
      </c>
      <c r="C1779" s="2" t="s">
        <v>59</v>
      </c>
      <c r="D1779" s="2">
        <v>1777</v>
      </c>
      <c r="E1779" s="3">
        <f t="shared" si="12"/>
        <v>1.7769999999999999</v>
      </c>
      <c r="G1779" s="2">
        <f t="shared" si="13"/>
        <v>1.7769999999999999</v>
      </c>
    </row>
    <row r="1780" spans="1:7" ht="14.25" customHeight="1">
      <c r="A1780" s="2" t="s">
        <v>15</v>
      </c>
      <c r="B1780" s="2">
        <v>1989</v>
      </c>
      <c r="C1780" s="2" t="s">
        <v>59</v>
      </c>
      <c r="D1780" s="2">
        <v>1660</v>
      </c>
      <c r="E1780" s="3">
        <f t="shared" si="12"/>
        <v>1.66</v>
      </c>
      <c r="G1780" s="2">
        <f t="shared" si="13"/>
        <v>1.66</v>
      </c>
    </row>
    <row r="1781" spans="1:7" ht="14.25" customHeight="1">
      <c r="A1781" s="2" t="s">
        <v>15</v>
      </c>
      <c r="B1781" s="2">
        <v>1990</v>
      </c>
      <c r="C1781" s="2" t="s">
        <v>59</v>
      </c>
      <c r="D1781" s="2">
        <v>2086</v>
      </c>
      <c r="E1781" s="3">
        <f t="shared" si="12"/>
        <v>2.0859999999999999</v>
      </c>
      <c r="G1781" s="2">
        <f t="shared" si="13"/>
        <v>2.0859999999999999</v>
      </c>
    </row>
    <row r="1782" spans="1:7" ht="14.25" customHeight="1">
      <c r="A1782" s="2" t="s">
        <v>15</v>
      </c>
      <c r="B1782" s="2">
        <v>1991</v>
      </c>
      <c r="C1782" s="2" t="s">
        <v>59</v>
      </c>
      <c r="D1782" s="2">
        <v>2952</v>
      </c>
      <c r="E1782" s="3">
        <f t="shared" si="12"/>
        <v>2.952</v>
      </c>
      <c r="G1782" s="2">
        <f t="shared" si="13"/>
        <v>2.952</v>
      </c>
    </row>
    <row r="1783" spans="1:7" ht="14.25" customHeight="1">
      <c r="A1783" s="2" t="s">
        <v>15</v>
      </c>
      <c r="B1783" s="2">
        <v>1992</v>
      </c>
      <c r="C1783" s="2" t="s">
        <v>59</v>
      </c>
      <c r="D1783" s="2">
        <v>4494</v>
      </c>
      <c r="E1783" s="3">
        <f t="shared" si="12"/>
        <v>4.4939999999999998</v>
      </c>
      <c r="G1783" s="2">
        <f t="shared" si="13"/>
        <v>4.4939999999999998</v>
      </c>
    </row>
    <row r="1784" spans="1:7" ht="14.25" customHeight="1">
      <c r="A1784" s="2" t="s">
        <v>15</v>
      </c>
      <c r="B1784" s="2">
        <v>1993</v>
      </c>
      <c r="C1784" s="2" t="s">
        <v>59</v>
      </c>
      <c r="D1784" s="2">
        <v>4917</v>
      </c>
      <c r="E1784" s="3">
        <f t="shared" si="12"/>
        <v>4.9169999999999998</v>
      </c>
      <c r="G1784" s="2">
        <f t="shared" si="13"/>
        <v>4.9169999999999998</v>
      </c>
    </row>
    <row r="1785" spans="1:7" ht="14.25" customHeight="1">
      <c r="A1785" s="2" t="s">
        <v>15</v>
      </c>
      <c r="B1785" s="2">
        <v>1994</v>
      </c>
      <c r="C1785" s="2" t="s">
        <v>59</v>
      </c>
      <c r="D1785" s="2">
        <v>2081</v>
      </c>
      <c r="E1785" s="3">
        <f t="shared" si="12"/>
        <v>2.081</v>
      </c>
      <c r="G1785" s="2">
        <f t="shared" si="13"/>
        <v>2.081</v>
      </c>
    </row>
    <row r="1786" spans="1:7" ht="14.25" customHeight="1">
      <c r="A1786" s="2" t="s">
        <v>15</v>
      </c>
      <c r="B1786" s="2">
        <v>1995</v>
      </c>
      <c r="C1786" s="2" t="s">
        <v>59</v>
      </c>
      <c r="D1786" s="2">
        <v>7133</v>
      </c>
      <c r="E1786" s="3">
        <f t="shared" si="12"/>
        <v>7.133</v>
      </c>
      <c r="G1786" s="2">
        <f t="shared" si="13"/>
        <v>7.133</v>
      </c>
    </row>
    <row r="1787" spans="1:7" ht="14.25" customHeight="1">
      <c r="A1787" s="2" t="s">
        <v>15</v>
      </c>
      <c r="B1787" s="2">
        <v>1996</v>
      </c>
      <c r="C1787" s="2" t="s">
        <v>59</v>
      </c>
      <c r="D1787" s="2">
        <v>7304</v>
      </c>
      <c r="E1787" s="3">
        <f t="shared" ref="E1787:E2041" si="14">D1787/1000</f>
        <v>7.3040000000000003</v>
      </c>
      <c r="G1787" s="2">
        <f t="shared" ref="G1787:G2041" si="15">E1787+F1787</f>
        <v>7.3040000000000003</v>
      </c>
    </row>
    <row r="1788" spans="1:7" ht="14.25" customHeight="1">
      <c r="A1788" s="2" t="s">
        <v>15</v>
      </c>
      <c r="B1788" s="2">
        <v>1997</v>
      </c>
      <c r="C1788" s="2" t="s">
        <v>59</v>
      </c>
      <c r="D1788" s="2">
        <v>7400</v>
      </c>
      <c r="E1788" s="3">
        <f t="shared" si="14"/>
        <v>7.4</v>
      </c>
      <c r="G1788" s="2">
        <f t="shared" si="15"/>
        <v>7.4</v>
      </c>
    </row>
    <row r="1789" spans="1:7" ht="14.25" customHeight="1">
      <c r="A1789" s="2" t="s">
        <v>15</v>
      </c>
      <c r="B1789" s="2">
        <v>1998</v>
      </c>
      <c r="C1789" s="2" t="s">
        <v>59</v>
      </c>
      <c r="D1789" s="2">
        <v>6873</v>
      </c>
      <c r="E1789" s="3">
        <f t="shared" si="14"/>
        <v>6.8730000000000002</v>
      </c>
      <c r="G1789" s="2">
        <f t="shared" si="15"/>
        <v>6.8730000000000002</v>
      </c>
    </row>
    <row r="1790" spans="1:7" ht="14.25" customHeight="1">
      <c r="A1790" s="2" t="s">
        <v>15</v>
      </c>
      <c r="B1790" s="2">
        <v>1999</v>
      </c>
      <c r="C1790" s="2" t="s">
        <v>59</v>
      </c>
      <c r="D1790" s="2">
        <v>4815</v>
      </c>
      <c r="E1790" s="3">
        <f t="shared" si="14"/>
        <v>4.8150000000000004</v>
      </c>
      <c r="G1790" s="2">
        <f t="shared" si="15"/>
        <v>4.8150000000000004</v>
      </c>
    </row>
    <row r="1791" spans="1:7" ht="14.25" customHeight="1">
      <c r="A1791" s="2" t="s">
        <v>15</v>
      </c>
      <c r="B1791" s="2">
        <v>2000</v>
      </c>
      <c r="C1791" s="2" t="s">
        <v>59</v>
      </c>
      <c r="D1791" s="2">
        <v>4358</v>
      </c>
      <c r="E1791" s="3">
        <f t="shared" si="14"/>
        <v>4.3579999999999997</v>
      </c>
      <c r="G1791" s="2">
        <f t="shared" si="15"/>
        <v>4.3579999999999997</v>
      </c>
    </row>
    <row r="1792" spans="1:7" ht="14.25" customHeight="1">
      <c r="A1792" s="2" t="s">
        <v>15</v>
      </c>
      <c r="B1792" s="2">
        <v>2001</v>
      </c>
      <c r="C1792" s="2" t="s">
        <v>59</v>
      </c>
      <c r="D1792" s="2">
        <v>10427</v>
      </c>
      <c r="E1792" s="3">
        <f t="shared" si="14"/>
        <v>10.427</v>
      </c>
      <c r="G1792" s="2">
        <f t="shared" si="15"/>
        <v>10.427</v>
      </c>
    </row>
    <row r="1793" spans="1:7" ht="14.25" customHeight="1">
      <c r="A1793" s="2" t="s">
        <v>15</v>
      </c>
      <c r="B1793" s="2">
        <v>2002</v>
      </c>
      <c r="C1793" s="2" t="s">
        <v>59</v>
      </c>
      <c r="D1793" s="2">
        <v>9402</v>
      </c>
      <c r="E1793" s="3">
        <f t="shared" si="14"/>
        <v>9.4019999999999992</v>
      </c>
      <c r="G1793" s="2">
        <f t="shared" si="15"/>
        <v>9.4019999999999992</v>
      </c>
    </row>
    <row r="1794" spans="1:7" ht="14.25" customHeight="1">
      <c r="A1794" s="2" t="s">
        <v>15</v>
      </c>
      <c r="B1794" s="2">
        <v>2003</v>
      </c>
      <c r="C1794" s="2" t="s">
        <v>59</v>
      </c>
      <c r="D1794" s="2">
        <v>5137</v>
      </c>
      <c r="E1794" s="3">
        <f t="shared" si="14"/>
        <v>5.1369999999999996</v>
      </c>
      <c r="G1794" s="2">
        <f t="shared" si="15"/>
        <v>5.1369999999999996</v>
      </c>
    </row>
    <row r="1795" spans="1:7" ht="14.25" customHeight="1">
      <c r="A1795" s="2" t="s">
        <v>15</v>
      </c>
      <c r="B1795" s="2">
        <v>2004</v>
      </c>
      <c r="C1795" s="2" t="s">
        <v>59</v>
      </c>
      <c r="D1795" s="2">
        <v>2681</v>
      </c>
      <c r="E1795" s="3">
        <f t="shared" si="14"/>
        <v>2.681</v>
      </c>
      <c r="G1795" s="2">
        <f t="shared" si="15"/>
        <v>2.681</v>
      </c>
    </row>
    <row r="1796" spans="1:7" ht="14.25" customHeight="1">
      <c r="A1796" s="2" t="s">
        <v>15</v>
      </c>
      <c r="B1796" s="2">
        <v>2005</v>
      </c>
      <c r="C1796" s="2" t="s">
        <v>59</v>
      </c>
      <c r="D1796" s="2">
        <v>3631</v>
      </c>
      <c r="E1796" s="3">
        <f t="shared" si="14"/>
        <v>3.6309999999999998</v>
      </c>
      <c r="G1796" s="2">
        <f t="shared" si="15"/>
        <v>3.6309999999999998</v>
      </c>
    </row>
    <row r="1797" spans="1:7" ht="14.25" customHeight="1">
      <c r="A1797" s="2" t="s">
        <v>15</v>
      </c>
      <c r="B1797" s="2">
        <v>2006</v>
      </c>
      <c r="C1797" s="2" t="s">
        <v>59</v>
      </c>
      <c r="D1797" s="2">
        <v>1925.01</v>
      </c>
      <c r="E1797" s="3">
        <f t="shared" si="14"/>
        <v>1.9250099999999999</v>
      </c>
      <c r="G1797" s="2">
        <f t="shared" si="15"/>
        <v>1.9250099999999999</v>
      </c>
    </row>
    <row r="1798" spans="1:7" ht="14.25" customHeight="1">
      <c r="A1798" s="2" t="s">
        <v>15</v>
      </c>
      <c r="B1798" s="2">
        <v>2007</v>
      </c>
      <c r="C1798" s="2" t="s">
        <v>59</v>
      </c>
      <c r="D1798" s="2">
        <v>2691.21</v>
      </c>
      <c r="E1798" s="3">
        <f t="shared" si="14"/>
        <v>2.6912099999999999</v>
      </c>
      <c r="G1798" s="2">
        <f t="shared" si="15"/>
        <v>2.6912099999999999</v>
      </c>
    </row>
    <row r="1799" spans="1:7" ht="14.25" customHeight="1">
      <c r="A1799" s="2" t="s">
        <v>15</v>
      </c>
      <c r="B1799" s="2">
        <v>2008</v>
      </c>
      <c r="C1799" s="2" t="s">
        <v>59</v>
      </c>
      <c r="D1799" s="2">
        <v>3471.01</v>
      </c>
      <c r="E1799" s="3">
        <f t="shared" si="14"/>
        <v>3.4710100000000002</v>
      </c>
      <c r="G1799" s="2">
        <f t="shared" si="15"/>
        <v>3.4710100000000002</v>
      </c>
    </row>
    <row r="1800" spans="1:7" ht="14.25" customHeight="1">
      <c r="A1800" s="2" t="s">
        <v>15</v>
      </c>
      <c r="B1800" s="2">
        <v>2009</v>
      </c>
      <c r="C1800" s="2" t="s">
        <v>59</v>
      </c>
      <c r="D1800" s="2">
        <v>2540.21</v>
      </c>
      <c r="E1800" s="3">
        <f t="shared" si="14"/>
        <v>2.5402100000000001</v>
      </c>
      <c r="G1800" s="2">
        <f t="shared" si="15"/>
        <v>2.5402100000000001</v>
      </c>
    </row>
    <row r="1801" spans="1:7" ht="14.25" customHeight="1">
      <c r="A1801" s="2" t="s">
        <v>15</v>
      </c>
      <c r="B1801" s="2">
        <v>2010</v>
      </c>
      <c r="C1801" s="2" t="s">
        <v>59</v>
      </c>
      <c r="D1801" s="2">
        <v>2526.1</v>
      </c>
      <c r="E1801" s="3">
        <f t="shared" si="14"/>
        <v>2.5261</v>
      </c>
      <c r="G1801" s="2">
        <f t="shared" si="15"/>
        <v>2.5261</v>
      </c>
    </row>
    <row r="1802" spans="1:7" ht="14.25" customHeight="1">
      <c r="A1802" s="2" t="s">
        <v>15</v>
      </c>
      <c r="B1802" s="2">
        <v>2011</v>
      </c>
      <c r="C1802" s="2" t="s">
        <v>59</v>
      </c>
      <c r="D1802" s="2">
        <v>3613.9</v>
      </c>
      <c r="E1802" s="3">
        <f t="shared" si="14"/>
        <v>3.6139000000000001</v>
      </c>
      <c r="G1802" s="2">
        <f t="shared" si="15"/>
        <v>3.6139000000000001</v>
      </c>
    </row>
    <row r="1803" spans="1:7" ht="14.25" customHeight="1">
      <c r="A1803" s="2" t="s">
        <v>15</v>
      </c>
      <c r="B1803" s="2">
        <v>2012</v>
      </c>
      <c r="C1803" s="2" t="s">
        <v>59</v>
      </c>
      <c r="D1803" s="2">
        <v>4422.8</v>
      </c>
      <c r="E1803" s="3">
        <f t="shared" si="14"/>
        <v>4.4228000000000005</v>
      </c>
      <c r="G1803" s="2">
        <f t="shared" si="15"/>
        <v>4.4228000000000005</v>
      </c>
    </row>
    <row r="1804" spans="1:7" ht="14.25" customHeight="1">
      <c r="A1804" s="2" t="s">
        <v>15</v>
      </c>
      <c r="B1804" s="2">
        <v>2013</v>
      </c>
      <c r="C1804" s="2" t="s">
        <v>59</v>
      </c>
      <c r="D1804" s="2">
        <v>3976.79</v>
      </c>
      <c r="E1804" s="3">
        <f t="shared" si="14"/>
        <v>3.9767899999999998</v>
      </c>
      <c r="G1804" s="2">
        <f t="shared" si="15"/>
        <v>3.9767899999999998</v>
      </c>
    </row>
    <row r="1805" spans="1:7" ht="14.25" customHeight="1">
      <c r="A1805" s="2" t="s">
        <v>15</v>
      </c>
      <c r="B1805" s="2">
        <v>2014</v>
      </c>
      <c r="C1805" s="2" t="s">
        <v>59</v>
      </c>
      <c r="D1805" s="2">
        <v>3889.3</v>
      </c>
      <c r="E1805" s="3">
        <f t="shared" si="14"/>
        <v>3.8893</v>
      </c>
      <c r="G1805" s="2">
        <f t="shared" si="15"/>
        <v>3.8893</v>
      </c>
    </row>
    <row r="1806" spans="1:7" ht="14.25" customHeight="1">
      <c r="A1806" s="2" t="s">
        <v>15</v>
      </c>
      <c r="B1806" s="2">
        <v>2015</v>
      </c>
      <c r="C1806" s="2" t="s">
        <v>59</v>
      </c>
      <c r="D1806" s="2">
        <v>4307.49</v>
      </c>
      <c r="E1806" s="3">
        <f t="shared" si="14"/>
        <v>4.3074899999999996</v>
      </c>
      <c r="G1806" s="2">
        <f t="shared" si="15"/>
        <v>4.3074899999999996</v>
      </c>
    </row>
    <row r="1807" spans="1:7" ht="14.25" customHeight="1">
      <c r="A1807" s="2" t="s">
        <v>15</v>
      </c>
      <c r="B1807" s="2">
        <v>2016</v>
      </c>
      <c r="C1807" s="2" t="s">
        <v>59</v>
      </c>
      <c r="D1807" s="2">
        <v>9390.57</v>
      </c>
      <c r="E1807" s="3">
        <f t="shared" si="14"/>
        <v>9.3905700000000003</v>
      </c>
      <c r="G1807" s="2">
        <f t="shared" si="15"/>
        <v>9.3905700000000003</v>
      </c>
    </row>
    <row r="1808" spans="1:7" ht="14.25" customHeight="1">
      <c r="A1808" s="2" t="s">
        <v>15</v>
      </c>
      <c r="B1808" s="2">
        <v>2017</v>
      </c>
      <c r="C1808" s="2" t="s">
        <v>59</v>
      </c>
      <c r="D1808" s="2">
        <v>7598.12</v>
      </c>
      <c r="E1808" s="3">
        <f t="shared" si="14"/>
        <v>7.5981199999999998</v>
      </c>
      <c r="G1808" s="2">
        <f t="shared" si="15"/>
        <v>7.5981199999999998</v>
      </c>
    </row>
    <row r="1809" spans="1:7" ht="14.25" customHeight="1">
      <c r="A1809" s="2" t="s">
        <v>15</v>
      </c>
      <c r="B1809" s="2">
        <v>2018</v>
      </c>
      <c r="C1809" s="2" t="s">
        <v>59</v>
      </c>
      <c r="D1809" s="2">
        <v>8147.6819999999998</v>
      </c>
      <c r="E1809" s="3">
        <f t="shared" si="14"/>
        <v>8.1476819999999996</v>
      </c>
      <c r="G1809" s="2">
        <f t="shared" si="15"/>
        <v>8.1476819999999996</v>
      </c>
    </row>
    <row r="1810" spans="1:7" ht="14.25" customHeight="1">
      <c r="A1810" s="2" t="s">
        <v>15</v>
      </c>
      <c r="B1810" s="2">
        <v>1903</v>
      </c>
      <c r="C1810" s="2" t="s">
        <v>25</v>
      </c>
      <c r="D1810" s="2">
        <v>58095</v>
      </c>
      <c r="E1810" s="3">
        <f t="shared" si="14"/>
        <v>58.094999999999999</v>
      </c>
      <c r="G1810" s="2">
        <f t="shared" si="15"/>
        <v>58.094999999999999</v>
      </c>
    </row>
    <row r="1811" spans="1:7" ht="14.25" customHeight="1">
      <c r="A1811" s="2" t="s">
        <v>15</v>
      </c>
      <c r="B1811" s="2">
        <v>1904</v>
      </c>
      <c r="C1811" s="2" t="s">
        <v>25</v>
      </c>
      <c r="D1811" s="2">
        <v>61357</v>
      </c>
      <c r="E1811" s="3">
        <f t="shared" si="14"/>
        <v>61.356999999999999</v>
      </c>
      <c r="G1811" s="2">
        <f t="shared" si="15"/>
        <v>61.356999999999999</v>
      </c>
    </row>
    <row r="1812" spans="1:7" ht="14.25" customHeight="1">
      <c r="A1812" s="2" t="s">
        <v>15</v>
      </c>
      <c r="B1812" s="2">
        <v>1905</v>
      </c>
      <c r="C1812" s="2" t="s">
        <v>25</v>
      </c>
      <c r="D1812" s="2">
        <v>57903</v>
      </c>
      <c r="E1812" s="3">
        <f t="shared" si="14"/>
        <v>57.902999999999999</v>
      </c>
      <c r="G1812" s="2">
        <f t="shared" si="15"/>
        <v>57.902999999999999</v>
      </c>
    </row>
    <row r="1813" spans="1:7" ht="14.25" customHeight="1">
      <c r="A1813" s="2" t="s">
        <v>15</v>
      </c>
      <c r="B1813" s="2">
        <v>1906</v>
      </c>
      <c r="C1813" s="2" t="s">
        <v>25</v>
      </c>
      <c r="D1813" s="2">
        <v>46737</v>
      </c>
      <c r="E1813" s="3">
        <f t="shared" si="14"/>
        <v>46.737000000000002</v>
      </c>
      <c r="G1813" s="2">
        <f t="shared" si="15"/>
        <v>46.737000000000002</v>
      </c>
    </row>
    <row r="1814" spans="1:7" ht="14.25" customHeight="1">
      <c r="A1814" s="2" t="s">
        <v>15</v>
      </c>
      <c r="B1814" s="2">
        <v>1907</v>
      </c>
      <c r="C1814" s="2" t="s">
        <v>25</v>
      </c>
      <c r="D1814" s="2">
        <v>52894</v>
      </c>
      <c r="E1814" s="3">
        <f t="shared" si="14"/>
        <v>52.893999999999998</v>
      </c>
      <c r="G1814" s="2">
        <f t="shared" si="15"/>
        <v>52.893999999999998</v>
      </c>
    </row>
    <row r="1815" spans="1:7" ht="14.25" customHeight="1">
      <c r="A1815" s="2" t="s">
        <v>15</v>
      </c>
      <c r="B1815" s="2">
        <v>1908</v>
      </c>
      <c r="C1815" s="2" t="s">
        <v>25</v>
      </c>
      <c r="D1815" s="2">
        <v>50465</v>
      </c>
      <c r="E1815" s="3">
        <f t="shared" si="14"/>
        <v>50.465000000000003</v>
      </c>
      <c r="G1815" s="2">
        <f t="shared" si="15"/>
        <v>50.465000000000003</v>
      </c>
    </row>
    <row r="1816" spans="1:7" ht="14.25" customHeight="1">
      <c r="A1816" s="2" t="s">
        <v>15</v>
      </c>
      <c r="B1816" s="2">
        <v>1909</v>
      </c>
      <c r="C1816" s="2" t="s">
        <v>25</v>
      </c>
      <c r="D1816" s="2">
        <v>56872</v>
      </c>
      <c r="E1816" s="3">
        <f t="shared" si="14"/>
        <v>56.872</v>
      </c>
      <c r="G1816" s="2">
        <f t="shared" si="15"/>
        <v>56.872</v>
      </c>
    </row>
    <row r="1817" spans="1:7" ht="14.25" customHeight="1">
      <c r="A1817" s="2" t="s">
        <v>15</v>
      </c>
      <c r="B1817" s="2">
        <v>1910</v>
      </c>
      <c r="C1817" s="2" t="s">
        <v>25</v>
      </c>
      <c r="D1817" s="2">
        <v>50741</v>
      </c>
      <c r="E1817" s="3">
        <f t="shared" si="14"/>
        <v>50.741</v>
      </c>
      <c r="G1817" s="2">
        <f t="shared" si="15"/>
        <v>50.741</v>
      </c>
    </row>
    <row r="1818" spans="1:7" ht="14.25" customHeight="1">
      <c r="A1818" s="2" t="s">
        <v>15</v>
      </c>
      <c r="B1818" s="2">
        <v>1911</v>
      </c>
      <c r="C1818" s="2" t="s">
        <v>25</v>
      </c>
      <c r="D1818" s="2">
        <v>53301</v>
      </c>
      <c r="E1818" s="3">
        <f t="shared" si="14"/>
        <v>53.301000000000002</v>
      </c>
      <c r="G1818" s="2">
        <f t="shared" si="15"/>
        <v>53.301000000000002</v>
      </c>
    </row>
    <row r="1819" spans="1:7" ht="14.25" customHeight="1">
      <c r="A1819" s="2" t="s">
        <v>15</v>
      </c>
      <c r="B1819" s="2">
        <v>1912</v>
      </c>
      <c r="C1819" s="2" t="s">
        <v>25</v>
      </c>
      <c r="D1819" s="2">
        <v>45375</v>
      </c>
      <c r="E1819" s="3">
        <f t="shared" si="14"/>
        <v>45.375</v>
      </c>
      <c r="G1819" s="2">
        <f t="shared" si="15"/>
        <v>45.375</v>
      </c>
    </row>
    <row r="1820" spans="1:7" ht="14.25" customHeight="1">
      <c r="A1820" s="2" t="s">
        <v>15</v>
      </c>
      <c r="B1820" s="2">
        <v>1913</v>
      </c>
      <c r="C1820" s="2" t="s">
        <v>25</v>
      </c>
      <c r="D1820" s="2">
        <v>38266</v>
      </c>
      <c r="E1820" s="3">
        <f t="shared" si="14"/>
        <v>38.265999999999998</v>
      </c>
      <c r="G1820" s="2">
        <f t="shared" si="15"/>
        <v>38.265999999999998</v>
      </c>
    </row>
    <row r="1821" spans="1:7" ht="14.25" customHeight="1">
      <c r="A1821" s="2" t="s">
        <v>15</v>
      </c>
      <c r="B1821" s="2">
        <v>1914</v>
      </c>
      <c r="C1821" s="2" t="s">
        <v>25</v>
      </c>
      <c r="D1821" s="2">
        <v>32153</v>
      </c>
      <c r="E1821" s="3">
        <f t="shared" si="14"/>
        <v>32.152999999999999</v>
      </c>
      <c r="G1821" s="2">
        <f t="shared" si="15"/>
        <v>32.152999999999999</v>
      </c>
    </row>
    <row r="1822" spans="1:7" ht="14.25" customHeight="1">
      <c r="A1822" s="2" t="s">
        <v>15</v>
      </c>
      <c r="B1822" s="2">
        <v>1915</v>
      </c>
      <c r="C1822" s="2" t="s">
        <v>25</v>
      </c>
      <c r="D1822" s="2">
        <v>13822</v>
      </c>
      <c r="E1822" s="3">
        <f t="shared" si="14"/>
        <v>13.821999999999999</v>
      </c>
      <c r="G1822" s="2">
        <f t="shared" si="15"/>
        <v>13.821999999999999</v>
      </c>
    </row>
    <row r="1823" spans="1:7" ht="14.25" customHeight="1">
      <c r="A1823" s="2" t="s">
        <v>15</v>
      </c>
      <c r="B1823" s="2">
        <v>1916</v>
      </c>
      <c r="C1823" s="2" t="s">
        <v>25</v>
      </c>
      <c r="D1823" s="2">
        <v>14289</v>
      </c>
      <c r="E1823" s="3">
        <f t="shared" si="14"/>
        <v>14.289</v>
      </c>
      <c r="G1823" s="2">
        <f t="shared" si="15"/>
        <v>14.289</v>
      </c>
    </row>
    <row r="1824" spans="1:7" ht="14.25" customHeight="1">
      <c r="A1824" s="2" t="s">
        <v>15</v>
      </c>
      <c r="B1824" s="2">
        <v>1917</v>
      </c>
      <c r="C1824" s="2" t="s">
        <v>25</v>
      </c>
      <c r="D1824" s="2">
        <v>11768</v>
      </c>
      <c r="E1824" s="3">
        <f t="shared" si="14"/>
        <v>11.768000000000001</v>
      </c>
      <c r="G1824" s="2">
        <f t="shared" si="15"/>
        <v>11.768000000000001</v>
      </c>
    </row>
    <row r="1825" spans="1:7" ht="14.25" customHeight="1">
      <c r="A1825" s="2" t="s">
        <v>15</v>
      </c>
      <c r="B1825" s="2">
        <v>1918</v>
      </c>
      <c r="C1825" s="2" t="s">
        <v>25</v>
      </c>
      <c r="D1825" s="2">
        <v>21667</v>
      </c>
      <c r="E1825" s="3">
        <f t="shared" si="14"/>
        <v>21.667000000000002</v>
      </c>
      <c r="G1825" s="2">
        <f t="shared" si="15"/>
        <v>21.667000000000002</v>
      </c>
    </row>
    <row r="1826" spans="1:7" ht="14.25" customHeight="1">
      <c r="A1826" s="2" t="s">
        <v>15</v>
      </c>
      <c r="B1826" s="2">
        <v>1919</v>
      </c>
      <c r="C1826" s="2" t="s">
        <v>25</v>
      </c>
      <c r="D1826" s="2">
        <v>38221</v>
      </c>
      <c r="E1826" s="3">
        <f t="shared" si="14"/>
        <v>38.220999999999997</v>
      </c>
      <c r="G1826" s="2">
        <f t="shared" si="15"/>
        <v>38.220999999999997</v>
      </c>
    </row>
    <row r="1827" spans="1:7" ht="14.25" customHeight="1">
      <c r="A1827" s="2" t="s">
        <v>15</v>
      </c>
      <c r="B1827" s="2">
        <v>1920</v>
      </c>
      <c r="C1827" s="2" t="s">
        <v>25</v>
      </c>
      <c r="D1827" s="2">
        <v>51851</v>
      </c>
      <c r="E1827" s="3">
        <f t="shared" si="14"/>
        <v>51.850999999999999</v>
      </c>
      <c r="G1827" s="2">
        <f t="shared" si="15"/>
        <v>51.850999999999999</v>
      </c>
    </row>
    <row r="1828" spans="1:7" ht="14.25" customHeight="1">
      <c r="A1828" s="2" t="s">
        <v>15</v>
      </c>
      <c r="B1828" s="2">
        <v>1921</v>
      </c>
      <c r="C1828" s="2" t="s">
        <v>25</v>
      </c>
      <c r="D1828" s="2">
        <v>38790</v>
      </c>
      <c r="E1828" s="3">
        <f t="shared" si="14"/>
        <v>38.79</v>
      </c>
      <c r="G1828" s="2">
        <f t="shared" si="15"/>
        <v>38.79</v>
      </c>
    </row>
    <row r="1829" spans="1:7" ht="14.25" customHeight="1">
      <c r="A1829" s="2" t="s">
        <v>15</v>
      </c>
      <c r="B1829" s="2">
        <v>1922</v>
      </c>
      <c r="C1829" s="2" t="s">
        <v>25</v>
      </c>
      <c r="D1829" s="2">
        <v>43275</v>
      </c>
      <c r="E1829" s="3">
        <f t="shared" si="14"/>
        <v>43.274999999999999</v>
      </c>
      <c r="G1829" s="2">
        <f t="shared" si="15"/>
        <v>43.274999999999999</v>
      </c>
    </row>
    <row r="1830" spans="1:7" ht="14.25" customHeight="1">
      <c r="A1830" s="2" t="s">
        <v>15</v>
      </c>
      <c r="B1830" s="2">
        <v>1923</v>
      </c>
      <c r="C1830" s="2" t="s">
        <v>25</v>
      </c>
      <c r="D1830" s="2">
        <v>38861</v>
      </c>
      <c r="E1830" s="3">
        <f t="shared" si="14"/>
        <v>38.860999999999997</v>
      </c>
      <c r="G1830" s="2">
        <f t="shared" si="15"/>
        <v>38.860999999999997</v>
      </c>
    </row>
    <row r="1831" spans="1:7" ht="14.25" customHeight="1">
      <c r="A1831" s="2" t="s">
        <v>15</v>
      </c>
      <c r="B1831" s="2">
        <v>1924</v>
      </c>
      <c r="C1831" s="2" t="s">
        <v>25</v>
      </c>
      <c r="D1831" s="2">
        <v>37392</v>
      </c>
      <c r="E1831" s="3">
        <f t="shared" si="14"/>
        <v>37.392000000000003</v>
      </c>
      <c r="G1831" s="2">
        <f t="shared" si="15"/>
        <v>37.392000000000003</v>
      </c>
    </row>
    <row r="1832" spans="1:7" ht="14.25" customHeight="1">
      <c r="A1832" s="2" t="s">
        <v>15</v>
      </c>
      <c r="B1832" s="2">
        <v>1925</v>
      </c>
      <c r="C1832" s="2" t="s">
        <v>25</v>
      </c>
      <c r="D1832" s="2">
        <v>38454</v>
      </c>
      <c r="E1832" s="3">
        <f t="shared" si="14"/>
        <v>38.454000000000001</v>
      </c>
      <c r="G1832" s="2">
        <f t="shared" si="15"/>
        <v>38.454000000000001</v>
      </c>
    </row>
    <row r="1833" spans="1:7" ht="14.25" customHeight="1">
      <c r="A1833" s="2" t="s">
        <v>15</v>
      </c>
      <c r="B1833" s="2">
        <v>1926</v>
      </c>
      <c r="C1833" s="2" t="s">
        <v>25</v>
      </c>
      <c r="D1833" s="2">
        <v>33014</v>
      </c>
      <c r="E1833" s="3">
        <f t="shared" si="14"/>
        <v>33.014000000000003</v>
      </c>
      <c r="G1833" s="2">
        <f t="shared" si="15"/>
        <v>33.014000000000003</v>
      </c>
    </row>
    <row r="1834" spans="1:7" ht="14.25" customHeight="1">
      <c r="A1834" s="2" t="s">
        <v>15</v>
      </c>
      <c r="B1834" s="2">
        <v>1927</v>
      </c>
      <c r="C1834" s="2" t="s">
        <v>25</v>
      </c>
      <c r="D1834" s="2">
        <v>36514</v>
      </c>
      <c r="E1834" s="3">
        <f t="shared" si="14"/>
        <v>36.514000000000003</v>
      </c>
      <c r="G1834" s="2">
        <f t="shared" si="15"/>
        <v>36.514000000000003</v>
      </c>
    </row>
    <row r="1835" spans="1:7" ht="14.25" customHeight="1">
      <c r="A1835" s="2" t="s">
        <v>15</v>
      </c>
      <c r="B1835" s="2">
        <v>1928</v>
      </c>
      <c r="C1835" s="2" t="s">
        <v>25</v>
      </c>
      <c r="D1835" s="2">
        <v>33454</v>
      </c>
      <c r="E1835" s="3">
        <f t="shared" si="14"/>
        <v>33.454000000000001</v>
      </c>
      <c r="G1835" s="2">
        <f t="shared" si="15"/>
        <v>33.454000000000001</v>
      </c>
    </row>
    <row r="1836" spans="1:7" ht="14.25" customHeight="1">
      <c r="A1836" s="2" t="s">
        <v>15</v>
      </c>
      <c r="B1836" s="2">
        <v>1929</v>
      </c>
      <c r="C1836" s="2" t="s">
        <v>25</v>
      </c>
      <c r="D1836" s="2">
        <v>35620</v>
      </c>
      <c r="E1836" s="3">
        <f t="shared" si="14"/>
        <v>35.619999999999997</v>
      </c>
      <c r="G1836" s="2">
        <f t="shared" si="15"/>
        <v>35.619999999999997</v>
      </c>
    </row>
    <row r="1837" spans="1:7" ht="14.25" customHeight="1">
      <c r="A1837" s="2" t="s">
        <v>15</v>
      </c>
      <c r="B1837" s="2">
        <v>1930</v>
      </c>
      <c r="C1837" s="2" t="s">
        <v>25</v>
      </c>
      <c r="D1837" s="2">
        <v>36306</v>
      </c>
      <c r="E1837" s="3">
        <f t="shared" si="14"/>
        <v>36.305999999999997</v>
      </c>
      <c r="G1837" s="2">
        <f t="shared" si="15"/>
        <v>36.305999999999997</v>
      </c>
    </row>
    <row r="1838" spans="1:7" ht="14.25" customHeight="1">
      <c r="A1838" s="2" t="s">
        <v>15</v>
      </c>
      <c r="B1838" s="2">
        <v>1931</v>
      </c>
      <c r="C1838" s="2" t="s">
        <v>25</v>
      </c>
      <c r="D1838" s="2">
        <v>34046</v>
      </c>
      <c r="E1838" s="3">
        <f t="shared" si="14"/>
        <v>34.045999999999999</v>
      </c>
      <c r="G1838" s="2">
        <f t="shared" si="15"/>
        <v>34.045999999999999</v>
      </c>
    </row>
    <row r="1839" spans="1:7" ht="14.25" customHeight="1">
      <c r="A1839" s="2" t="s">
        <v>15</v>
      </c>
      <c r="B1839" s="2">
        <v>1932</v>
      </c>
      <c r="C1839" s="2" t="s">
        <v>25</v>
      </c>
      <c r="D1839" s="2">
        <v>30145</v>
      </c>
      <c r="E1839" s="3">
        <f t="shared" si="14"/>
        <v>30.145</v>
      </c>
      <c r="G1839" s="2">
        <f t="shared" si="15"/>
        <v>30.145</v>
      </c>
    </row>
    <row r="1840" spans="1:7" ht="14.25" customHeight="1">
      <c r="A1840" s="2" t="s">
        <v>15</v>
      </c>
      <c r="B1840" s="2">
        <v>1933</v>
      </c>
      <c r="C1840" s="2" t="s">
        <v>25</v>
      </c>
      <c r="D1840" s="2">
        <v>31531</v>
      </c>
      <c r="E1840" s="3">
        <f t="shared" si="14"/>
        <v>31.530999999999999</v>
      </c>
      <c r="G1840" s="2">
        <f t="shared" si="15"/>
        <v>31.530999999999999</v>
      </c>
    </row>
    <row r="1841" spans="1:7" ht="14.25" customHeight="1">
      <c r="A1841" s="2" t="s">
        <v>15</v>
      </c>
      <c r="B1841" s="2">
        <v>1934</v>
      </c>
      <c r="C1841" s="2" t="s">
        <v>25</v>
      </c>
      <c r="D1841" s="2">
        <v>33130</v>
      </c>
      <c r="E1841" s="3">
        <f t="shared" si="14"/>
        <v>33.130000000000003</v>
      </c>
      <c r="G1841" s="2">
        <f t="shared" si="15"/>
        <v>33.130000000000003</v>
      </c>
    </row>
    <row r="1842" spans="1:7" ht="14.25" customHeight="1">
      <c r="A1842" s="2" t="s">
        <v>15</v>
      </c>
      <c r="B1842" s="2">
        <v>1935</v>
      </c>
      <c r="C1842" s="2" t="s">
        <v>25</v>
      </c>
      <c r="D1842" s="2">
        <v>30430</v>
      </c>
      <c r="E1842" s="3">
        <f t="shared" si="14"/>
        <v>30.43</v>
      </c>
      <c r="G1842" s="2">
        <f t="shared" si="15"/>
        <v>30.43</v>
      </c>
    </row>
    <row r="1843" spans="1:7" ht="14.25" customHeight="1">
      <c r="A1843" s="2" t="s">
        <v>15</v>
      </c>
      <c r="B1843" s="2">
        <v>1936</v>
      </c>
      <c r="C1843" s="2" t="s">
        <v>25</v>
      </c>
      <c r="D1843" s="2">
        <v>32426</v>
      </c>
      <c r="E1843" s="3">
        <f t="shared" si="14"/>
        <v>32.426000000000002</v>
      </c>
      <c r="G1843" s="2">
        <f t="shared" si="15"/>
        <v>32.426000000000002</v>
      </c>
    </row>
    <row r="1844" spans="1:7" ht="14.25" customHeight="1">
      <c r="A1844" s="2" t="s">
        <v>15</v>
      </c>
      <c r="B1844" s="2">
        <v>1937</v>
      </c>
      <c r="C1844" s="2" t="s">
        <v>25</v>
      </c>
      <c r="D1844" s="2">
        <v>31121</v>
      </c>
      <c r="E1844" s="3">
        <f t="shared" si="14"/>
        <v>31.120999999999999</v>
      </c>
      <c r="G1844" s="2">
        <f t="shared" si="15"/>
        <v>31.120999999999999</v>
      </c>
    </row>
    <row r="1845" spans="1:7" ht="14.25" customHeight="1">
      <c r="A1845" s="2" t="s">
        <v>15</v>
      </c>
      <c r="B1845" s="2">
        <v>1938</v>
      </c>
      <c r="C1845" s="2" t="s">
        <v>25</v>
      </c>
      <c r="D1845" s="2">
        <v>27948</v>
      </c>
      <c r="E1845" s="3">
        <f t="shared" si="14"/>
        <v>27.948</v>
      </c>
      <c r="G1845" s="2">
        <f t="shared" si="15"/>
        <v>27.948</v>
      </c>
    </row>
    <row r="1846" spans="1:7" ht="14.25" customHeight="1">
      <c r="A1846" s="2" t="s">
        <v>15</v>
      </c>
      <c r="B1846" s="2">
        <v>1939</v>
      </c>
      <c r="C1846" s="2" t="s">
        <v>25</v>
      </c>
      <c r="D1846" s="2">
        <v>23675</v>
      </c>
      <c r="E1846" s="3">
        <f t="shared" si="14"/>
        <v>23.675000000000001</v>
      </c>
      <c r="G1846" s="2">
        <f t="shared" si="15"/>
        <v>23.675000000000001</v>
      </c>
    </row>
    <row r="1847" spans="1:7" ht="14.25" customHeight="1">
      <c r="A1847" s="2" t="s">
        <v>15</v>
      </c>
      <c r="B1847" s="2">
        <v>1940</v>
      </c>
      <c r="C1847" s="2" t="s">
        <v>25</v>
      </c>
      <c r="D1847" s="2">
        <v>9826</v>
      </c>
      <c r="E1847" s="3">
        <f t="shared" si="14"/>
        <v>9.8260000000000005</v>
      </c>
      <c r="G1847" s="2">
        <f t="shared" si="15"/>
        <v>9.8260000000000005</v>
      </c>
    </row>
    <row r="1848" spans="1:7" ht="14.25" customHeight="1">
      <c r="A1848" s="2" t="s">
        <v>15</v>
      </c>
      <c r="B1848" s="2">
        <v>1941</v>
      </c>
      <c r="C1848" s="2" t="s">
        <v>25</v>
      </c>
      <c r="D1848" s="2">
        <v>8839</v>
      </c>
      <c r="E1848" s="3">
        <f t="shared" si="14"/>
        <v>8.8390000000000004</v>
      </c>
      <c r="G1848" s="2">
        <f t="shared" si="15"/>
        <v>8.8390000000000004</v>
      </c>
    </row>
    <row r="1849" spans="1:7" ht="14.25" customHeight="1">
      <c r="A1849" s="2" t="s">
        <v>15</v>
      </c>
      <c r="B1849" s="2">
        <v>1942</v>
      </c>
      <c r="C1849" s="2" t="s">
        <v>25</v>
      </c>
      <c r="D1849" s="2">
        <v>10908</v>
      </c>
      <c r="E1849" s="3">
        <f t="shared" si="14"/>
        <v>10.907999999999999</v>
      </c>
      <c r="G1849" s="2">
        <f t="shared" si="15"/>
        <v>10.907999999999999</v>
      </c>
    </row>
    <row r="1850" spans="1:7" ht="14.25" customHeight="1">
      <c r="A1850" s="2" t="s">
        <v>15</v>
      </c>
      <c r="B1850" s="2">
        <v>1943</v>
      </c>
      <c r="C1850" s="2" t="s">
        <v>25</v>
      </c>
      <c r="D1850" s="2">
        <v>13003</v>
      </c>
      <c r="E1850" s="3">
        <f t="shared" si="14"/>
        <v>13.003</v>
      </c>
      <c r="G1850" s="2">
        <f t="shared" si="15"/>
        <v>13.003</v>
      </c>
    </row>
    <row r="1851" spans="1:7" ht="14.25" customHeight="1">
      <c r="A1851" s="2" t="s">
        <v>15</v>
      </c>
      <c r="B1851" s="2">
        <v>1944</v>
      </c>
      <c r="C1851" s="2" t="s">
        <v>25</v>
      </c>
      <c r="D1851" s="2">
        <v>21584</v>
      </c>
      <c r="E1851" s="3">
        <f t="shared" si="14"/>
        <v>21.584</v>
      </c>
      <c r="G1851" s="2">
        <f t="shared" si="15"/>
        <v>21.584</v>
      </c>
    </row>
    <row r="1852" spans="1:7" ht="14.25" customHeight="1">
      <c r="A1852" s="2" t="s">
        <v>15</v>
      </c>
      <c r="B1852" s="2">
        <v>1945</v>
      </c>
      <c r="C1852" s="2" t="s">
        <v>25</v>
      </c>
      <c r="D1852" s="2">
        <v>51064</v>
      </c>
      <c r="E1852" s="3">
        <f t="shared" si="14"/>
        <v>51.064</v>
      </c>
      <c r="G1852" s="2">
        <f t="shared" si="15"/>
        <v>51.064</v>
      </c>
    </row>
    <row r="1853" spans="1:7" ht="14.25" customHeight="1">
      <c r="A1853" s="2" t="s">
        <v>15</v>
      </c>
      <c r="B1853" s="2">
        <v>1946</v>
      </c>
      <c r="C1853" s="2" t="s">
        <v>25</v>
      </c>
      <c r="D1853" s="2">
        <v>61396</v>
      </c>
      <c r="E1853" s="3">
        <f t="shared" si="14"/>
        <v>61.396000000000001</v>
      </c>
      <c r="G1853" s="2">
        <f t="shared" si="15"/>
        <v>61.396000000000001</v>
      </c>
    </row>
    <row r="1854" spans="1:7" ht="14.25" customHeight="1">
      <c r="A1854" s="2" t="s">
        <v>15</v>
      </c>
      <c r="B1854" s="2">
        <v>1947</v>
      </c>
      <c r="C1854" s="2" t="s">
        <v>25</v>
      </c>
      <c r="D1854" s="2">
        <v>49940</v>
      </c>
      <c r="E1854" s="3">
        <f t="shared" si="14"/>
        <v>49.94</v>
      </c>
      <c r="G1854" s="2">
        <f t="shared" si="15"/>
        <v>49.94</v>
      </c>
    </row>
    <row r="1855" spans="1:7" ht="14.25" customHeight="1">
      <c r="A1855" s="2" t="s">
        <v>15</v>
      </c>
      <c r="B1855" s="2">
        <v>1948</v>
      </c>
      <c r="C1855" s="2" t="s">
        <v>25</v>
      </c>
      <c r="D1855" s="2">
        <v>40625</v>
      </c>
      <c r="E1855" s="3">
        <f t="shared" si="14"/>
        <v>40.625</v>
      </c>
      <c r="G1855" s="2">
        <f t="shared" si="15"/>
        <v>40.625</v>
      </c>
    </row>
    <row r="1856" spans="1:7" ht="14.25" customHeight="1">
      <c r="A1856" s="2" t="s">
        <v>15</v>
      </c>
      <c r="B1856" s="2">
        <v>1949</v>
      </c>
      <c r="C1856" s="2" t="s">
        <v>25</v>
      </c>
      <c r="D1856" s="2">
        <v>37400</v>
      </c>
      <c r="E1856" s="3">
        <f t="shared" si="14"/>
        <v>37.4</v>
      </c>
      <c r="G1856" s="2">
        <f t="shared" si="15"/>
        <v>37.4</v>
      </c>
    </row>
    <row r="1857" spans="1:7" ht="14.25" customHeight="1">
      <c r="A1857" s="2" t="s">
        <v>15</v>
      </c>
      <c r="B1857" s="2">
        <v>1950</v>
      </c>
      <c r="C1857" s="2" t="s">
        <v>25</v>
      </c>
      <c r="D1857" s="2">
        <v>33049</v>
      </c>
      <c r="E1857" s="3">
        <f t="shared" si="14"/>
        <v>33.048999999999999</v>
      </c>
      <c r="G1857" s="2">
        <f t="shared" si="15"/>
        <v>33.048999999999999</v>
      </c>
    </row>
    <row r="1858" spans="1:7" ht="14.25" customHeight="1">
      <c r="A1858" s="2" t="s">
        <v>15</v>
      </c>
      <c r="B1858" s="2">
        <v>1951</v>
      </c>
      <c r="C1858" s="2" t="s">
        <v>25</v>
      </c>
      <c r="D1858" s="2">
        <v>32271</v>
      </c>
      <c r="E1858" s="3">
        <f t="shared" si="14"/>
        <v>32.271000000000001</v>
      </c>
      <c r="G1858" s="2">
        <f t="shared" si="15"/>
        <v>32.271000000000001</v>
      </c>
    </row>
    <row r="1859" spans="1:7" ht="14.25" customHeight="1">
      <c r="A1859" s="2" t="s">
        <v>15</v>
      </c>
      <c r="B1859" s="2">
        <v>1952</v>
      </c>
      <c r="C1859" s="2" t="s">
        <v>25</v>
      </c>
      <c r="D1859" s="2">
        <v>33489</v>
      </c>
      <c r="E1859" s="3">
        <f t="shared" si="14"/>
        <v>33.488999999999997</v>
      </c>
      <c r="G1859" s="2">
        <f t="shared" si="15"/>
        <v>33.488999999999997</v>
      </c>
    </row>
    <row r="1860" spans="1:7" ht="14.25" customHeight="1">
      <c r="A1860" s="2" t="s">
        <v>15</v>
      </c>
      <c r="B1860" s="2">
        <v>1953</v>
      </c>
      <c r="C1860" s="2" t="s">
        <v>25</v>
      </c>
      <c r="D1860" s="2">
        <v>37262</v>
      </c>
      <c r="E1860" s="3">
        <f t="shared" si="14"/>
        <v>37.262</v>
      </c>
      <c r="G1860" s="2">
        <f t="shared" si="15"/>
        <v>37.262</v>
      </c>
    </row>
    <row r="1861" spans="1:7" ht="14.25" customHeight="1">
      <c r="A1861" s="2" t="s">
        <v>15</v>
      </c>
      <c r="B1861" s="2">
        <v>1954</v>
      </c>
      <c r="C1861" s="2" t="s">
        <v>25</v>
      </c>
      <c r="D1861" s="2">
        <v>37326</v>
      </c>
      <c r="E1861" s="3">
        <f t="shared" si="14"/>
        <v>37.326000000000001</v>
      </c>
      <c r="G1861" s="2">
        <f t="shared" si="15"/>
        <v>37.326000000000001</v>
      </c>
    </row>
    <row r="1862" spans="1:7" ht="14.25" customHeight="1">
      <c r="A1862" s="2" t="s">
        <v>15</v>
      </c>
      <c r="B1862" s="2">
        <v>1955</v>
      </c>
      <c r="C1862" s="2" t="s">
        <v>25</v>
      </c>
      <c r="D1862" s="2">
        <v>42292</v>
      </c>
      <c r="E1862" s="3">
        <f t="shared" si="14"/>
        <v>42.292000000000002</v>
      </c>
      <c r="G1862" s="2">
        <f t="shared" si="15"/>
        <v>42.292000000000002</v>
      </c>
    </row>
    <row r="1863" spans="1:7" ht="14.25" customHeight="1">
      <c r="A1863" s="2" t="s">
        <v>15</v>
      </c>
      <c r="B1863" s="2">
        <v>1956</v>
      </c>
      <c r="C1863" s="2" t="s">
        <v>25</v>
      </c>
      <c r="D1863" s="2">
        <v>38346</v>
      </c>
      <c r="E1863" s="3">
        <f t="shared" si="14"/>
        <v>38.345999999999997</v>
      </c>
      <c r="G1863" s="2">
        <f t="shared" si="15"/>
        <v>38.345999999999997</v>
      </c>
    </row>
    <row r="1864" spans="1:7" ht="14.25" customHeight="1">
      <c r="A1864" s="2" t="s">
        <v>15</v>
      </c>
      <c r="B1864" s="2">
        <v>1957</v>
      </c>
      <c r="C1864" s="2" t="s">
        <v>25</v>
      </c>
      <c r="D1864" s="2">
        <v>38539</v>
      </c>
      <c r="E1864" s="3">
        <f t="shared" si="14"/>
        <v>38.539000000000001</v>
      </c>
      <c r="G1864" s="2">
        <f t="shared" si="15"/>
        <v>38.539000000000001</v>
      </c>
    </row>
    <row r="1865" spans="1:7" ht="14.25" customHeight="1">
      <c r="A1865" s="2" t="s">
        <v>15</v>
      </c>
      <c r="B1865" s="2">
        <v>1958</v>
      </c>
      <c r="C1865" s="2" t="s">
        <v>25</v>
      </c>
      <c r="D1865" s="2">
        <v>40088</v>
      </c>
      <c r="E1865" s="3">
        <f t="shared" si="14"/>
        <v>40.088000000000001</v>
      </c>
      <c r="G1865" s="2">
        <f t="shared" si="15"/>
        <v>40.088000000000001</v>
      </c>
    </row>
    <row r="1866" spans="1:7" ht="14.25" customHeight="1">
      <c r="A1866" s="2" t="s">
        <v>15</v>
      </c>
      <c r="B1866" s="2">
        <v>1959</v>
      </c>
      <c r="C1866" s="2" t="s">
        <v>25</v>
      </c>
      <c r="D1866" s="2">
        <v>43818</v>
      </c>
      <c r="E1866" s="3">
        <f t="shared" si="14"/>
        <v>43.817999999999998</v>
      </c>
      <c r="G1866" s="2">
        <f t="shared" si="15"/>
        <v>43.817999999999998</v>
      </c>
    </row>
    <row r="1867" spans="1:7" ht="14.25" customHeight="1">
      <c r="A1867" s="2" t="s">
        <v>15</v>
      </c>
      <c r="B1867" s="2">
        <v>1960</v>
      </c>
      <c r="C1867" s="2" t="s">
        <v>25</v>
      </c>
      <c r="D1867" s="2">
        <v>41197</v>
      </c>
      <c r="E1867" s="3">
        <f t="shared" si="14"/>
        <v>41.197000000000003</v>
      </c>
      <c r="G1867" s="2">
        <f t="shared" si="15"/>
        <v>41.197000000000003</v>
      </c>
    </row>
    <row r="1868" spans="1:7" ht="14.25" customHeight="1">
      <c r="A1868" s="2" t="s">
        <v>15</v>
      </c>
      <c r="B1868" s="2">
        <v>1961</v>
      </c>
      <c r="C1868" s="2" t="s">
        <v>25</v>
      </c>
      <c r="D1868" s="2">
        <v>39717</v>
      </c>
      <c r="E1868" s="3">
        <f t="shared" si="14"/>
        <v>39.716999999999999</v>
      </c>
      <c r="G1868" s="2">
        <f t="shared" si="15"/>
        <v>39.716999999999999</v>
      </c>
    </row>
    <row r="1869" spans="1:7" ht="14.25" customHeight="1">
      <c r="A1869" s="2" t="s">
        <v>15</v>
      </c>
      <c r="B1869" s="2">
        <v>1962</v>
      </c>
      <c r="C1869" s="2" t="s">
        <v>25</v>
      </c>
      <c r="D1869" s="2">
        <v>40584</v>
      </c>
      <c r="E1869" s="3">
        <f t="shared" si="14"/>
        <v>40.584000000000003</v>
      </c>
      <c r="G1869" s="2">
        <f t="shared" si="15"/>
        <v>40.584000000000003</v>
      </c>
    </row>
    <row r="1870" spans="1:7" ht="14.25" customHeight="1">
      <c r="A1870" s="2" t="s">
        <v>15</v>
      </c>
      <c r="B1870" s="2">
        <v>1963</v>
      </c>
      <c r="C1870" s="2" t="s">
        <v>25</v>
      </c>
      <c r="D1870" s="2">
        <v>45561</v>
      </c>
      <c r="E1870" s="3">
        <f t="shared" si="14"/>
        <v>45.561</v>
      </c>
      <c r="G1870" s="2">
        <f t="shared" si="15"/>
        <v>45.561</v>
      </c>
    </row>
    <row r="1871" spans="1:7" ht="14.25" customHeight="1">
      <c r="A1871" s="2" t="s">
        <v>15</v>
      </c>
      <c r="B1871" s="2">
        <v>1964</v>
      </c>
      <c r="C1871" s="2" t="s">
        <v>25</v>
      </c>
      <c r="D1871" s="2">
        <v>47112</v>
      </c>
      <c r="E1871" s="3">
        <f t="shared" si="14"/>
        <v>47.112000000000002</v>
      </c>
      <c r="G1871" s="2">
        <f t="shared" si="15"/>
        <v>47.112000000000002</v>
      </c>
    </row>
    <row r="1872" spans="1:7" ht="14.25" customHeight="1">
      <c r="A1872" s="2" t="s">
        <v>15</v>
      </c>
      <c r="B1872" s="2">
        <v>1965</v>
      </c>
      <c r="C1872" s="2" t="s">
        <v>25</v>
      </c>
      <c r="D1872" s="2">
        <v>44965</v>
      </c>
      <c r="E1872" s="3">
        <f t="shared" si="14"/>
        <v>44.965000000000003</v>
      </c>
      <c r="G1872" s="2">
        <f t="shared" si="15"/>
        <v>44.965000000000003</v>
      </c>
    </row>
    <row r="1873" spans="1:7" ht="14.25" customHeight="1">
      <c r="A1873" s="2" t="s">
        <v>15</v>
      </c>
      <c r="B1873" s="2">
        <v>1966</v>
      </c>
      <c r="C1873" s="2" t="s">
        <v>25</v>
      </c>
      <c r="D1873" s="2">
        <v>45528</v>
      </c>
      <c r="E1873" s="3">
        <f t="shared" si="14"/>
        <v>45.527999999999999</v>
      </c>
      <c r="G1873" s="2">
        <f t="shared" si="15"/>
        <v>45.527999999999999</v>
      </c>
    </row>
    <row r="1874" spans="1:7" ht="14.25" customHeight="1">
      <c r="A1874" s="2" t="s">
        <v>15</v>
      </c>
      <c r="B1874" s="2">
        <v>1967</v>
      </c>
      <c r="C1874" s="2" t="s">
        <v>25</v>
      </c>
      <c r="D1874" s="2">
        <v>50188</v>
      </c>
      <c r="E1874" s="3">
        <f t="shared" si="14"/>
        <v>50.188000000000002</v>
      </c>
      <c r="G1874" s="2">
        <f t="shared" si="15"/>
        <v>50.188000000000002</v>
      </c>
    </row>
    <row r="1875" spans="1:7" ht="14.25" customHeight="1">
      <c r="A1875" s="2" t="s">
        <v>15</v>
      </c>
      <c r="B1875" s="2">
        <v>1968</v>
      </c>
      <c r="C1875" s="2" t="s">
        <v>25</v>
      </c>
      <c r="D1875" s="2">
        <v>47702</v>
      </c>
      <c r="E1875" s="3">
        <f t="shared" si="14"/>
        <v>47.701999999999998</v>
      </c>
      <c r="G1875" s="2">
        <f t="shared" si="15"/>
        <v>47.701999999999998</v>
      </c>
    </row>
    <row r="1876" spans="1:7" ht="14.25" customHeight="1">
      <c r="A1876" s="2" t="s">
        <v>15</v>
      </c>
      <c r="B1876" s="2">
        <v>1969</v>
      </c>
      <c r="C1876" s="2" t="s">
        <v>25</v>
      </c>
      <c r="D1876" s="2">
        <v>46916</v>
      </c>
      <c r="E1876" s="3">
        <f t="shared" si="14"/>
        <v>46.915999999999997</v>
      </c>
      <c r="G1876" s="2">
        <f t="shared" si="15"/>
        <v>46.915999999999997</v>
      </c>
    </row>
    <row r="1877" spans="1:7" ht="14.25" customHeight="1">
      <c r="A1877" s="2" t="s">
        <v>15</v>
      </c>
      <c r="B1877" s="2">
        <v>1970</v>
      </c>
      <c r="C1877" s="2" t="s">
        <v>25</v>
      </c>
      <c r="D1877" s="2">
        <v>49709</v>
      </c>
      <c r="E1877" s="3">
        <f t="shared" si="14"/>
        <v>49.709000000000003</v>
      </c>
      <c r="G1877" s="2">
        <f t="shared" si="15"/>
        <v>49.709000000000003</v>
      </c>
    </row>
    <row r="1878" spans="1:7" ht="14.25" customHeight="1">
      <c r="A1878" s="2" t="s">
        <v>15</v>
      </c>
      <c r="B1878" s="2">
        <v>1971</v>
      </c>
      <c r="C1878" s="2" t="s">
        <v>25</v>
      </c>
      <c r="D1878" s="2">
        <v>49947</v>
      </c>
      <c r="E1878" s="3">
        <f t="shared" si="14"/>
        <v>49.947000000000003</v>
      </c>
      <c r="G1878" s="2">
        <f t="shared" si="15"/>
        <v>49.947000000000003</v>
      </c>
    </row>
    <row r="1879" spans="1:7" ht="14.25" customHeight="1">
      <c r="A1879" s="2" t="s">
        <v>15</v>
      </c>
      <c r="B1879" s="2">
        <v>1972</v>
      </c>
      <c r="C1879" s="2" t="s">
        <v>25</v>
      </c>
      <c r="D1879" s="2">
        <v>45178</v>
      </c>
      <c r="E1879" s="3">
        <f t="shared" si="14"/>
        <v>45.177999999999997</v>
      </c>
      <c r="G1879" s="2">
        <f t="shared" si="15"/>
        <v>45.177999999999997</v>
      </c>
    </row>
    <row r="1880" spans="1:7" ht="14.25" customHeight="1">
      <c r="A1880" s="2" t="s">
        <v>15</v>
      </c>
      <c r="B1880" s="2">
        <v>1973</v>
      </c>
      <c r="C1880" s="2" t="s">
        <v>25</v>
      </c>
      <c r="D1880" s="2">
        <v>42640</v>
      </c>
      <c r="E1880" s="3">
        <f t="shared" si="14"/>
        <v>42.64</v>
      </c>
      <c r="G1880" s="2">
        <f t="shared" si="15"/>
        <v>42.64</v>
      </c>
    </row>
    <row r="1881" spans="1:7" ht="14.25" customHeight="1">
      <c r="A1881" s="2" t="s">
        <v>15</v>
      </c>
      <c r="B1881" s="2">
        <v>1974</v>
      </c>
      <c r="C1881" s="2" t="s">
        <v>25</v>
      </c>
      <c r="D1881" s="2">
        <v>32737</v>
      </c>
      <c r="E1881" s="3">
        <f t="shared" si="14"/>
        <v>32.737000000000002</v>
      </c>
      <c r="G1881" s="2">
        <f t="shared" si="15"/>
        <v>32.737000000000002</v>
      </c>
    </row>
    <row r="1882" spans="1:7" ht="14.25" customHeight="1">
      <c r="A1882" s="2" t="s">
        <v>15</v>
      </c>
      <c r="B1882" s="2">
        <v>1975</v>
      </c>
      <c r="C1882" s="2" t="s">
        <v>25</v>
      </c>
      <c r="D1882" s="2">
        <v>31442</v>
      </c>
      <c r="E1882" s="3">
        <f t="shared" si="14"/>
        <v>31.442</v>
      </c>
      <c r="G1882" s="2">
        <f t="shared" si="15"/>
        <v>31.442</v>
      </c>
    </row>
    <row r="1883" spans="1:7" ht="14.25" customHeight="1">
      <c r="A1883" s="2" t="s">
        <v>15</v>
      </c>
      <c r="B1883" s="2">
        <v>1976</v>
      </c>
      <c r="C1883" s="2" t="s">
        <v>25</v>
      </c>
      <c r="D1883" s="2">
        <v>35842</v>
      </c>
      <c r="E1883" s="3">
        <f t="shared" si="14"/>
        <v>35.841999999999999</v>
      </c>
      <c r="G1883" s="2">
        <f t="shared" si="15"/>
        <v>35.841999999999999</v>
      </c>
    </row>
    <row r="1884" spans="1:7" ht="14.25" customHeight="1">
      <c r="A1884" s="2" t="s">
        <v>15</v>
      </c>
      <c r="B1884" s="2">
        <v>1977</v>
      </c>
      <c r="C1884" s="2" t="s">
        <v>25</v>
      </c>
      <c r="D1884" s="2">
        <v>40169</v>
      </c>
      <c r="E1884" s="3">
        <f t="shared" si="14"/>
        <v>40.168999999999997</v>
      </c>
      <c r="G1884" s="2">
        <f t="shared" si="15"/>
        <v>40.168999999999997</v>
      </c>
    </row>
    <row r="1885" spans="1:7" ht="14.25" customHeight="1">
      <c r="A1885" s="2" t="s">
        <v>15</v>
      </c>
      <c r="B1885" s="2">
        <v>1978</v>
      </c>
      <c r="C1885" s="2" t="s">
        <v>25</v>
      </c>
      <c r="D1885" s="2">
        <v>35660</v>
      </c>
      <c r="E1885" s="3">
        <f t="shared" si="14"/>
        <v>35.659999999999997</v>
      </c>
      <c r="G1885" s="2">
        <f t="shared" si="15"/>
        <v>35.659999999999997</v>
      </c>
    </row>
    <row r="1886" spans="1:7" ht="14.25" customHeight="1">
      <c r="A1886" s="2" t="s">
        <v>15</v>
      </c>
      <c r="B1886" s="2">
        <v>1979</v>
      </c>
      <c r="C1886" s="2" t="s">
        <v>25</v>
      </c>
      <c r="D1886" s="2">
        <v>33993</v>
      </c>
      <c r="E1886" s="3">
        <f t="shared" si="14"/>
        <v>33.993000000000002</v>
      </c>
      <c r="G1886" s="2">
        <f t="shared" si="15"/>
        <v>33.993000000000002</v>
      </c>
    </row>
    <row r="1887" spans="1:7" ht="14.25" customHeight="1">
      <c r="A1887" s="2" t="s">
        <v>15</v>
      </c>
      <c r="B1887" s="2">
        <v>1980</v>
      </c>
      <c r="C1887" s="2" t="s">
        <v>25</v>
      </c>
      <c r="D1887" s="2">
        <v>27772</v>
      </c>
      <c r="E1887" s="3">
        <f t="shared" si="14"/>
        <v>27.771999999999998</v>
      </c>
      <c r="G1887" s="2">
        <f t="shared" si="15"/>
        <v>27.771999999999998</v>
      </c>
    </row>
    <row r="1888" spans="1:7" ht="14.25" customHeight="1">
      <c r="A1888" s="2" t="s">
        <v>15</v>
      </c>
      <c r="B1888" s="2">
        <v>1981</v>
      </c>
      <c r="C1888" s="2" t="s">
        <v>25</v>
      </c>
      <c r="D1888" s="2">
        <v>26868</v>
      </c>
      <c r="E1888" s="3">
        <f t="shared" si="14"/>
        <v>26.867999999999999</v>
      </c>
      <c r="G1888" s="2">
        <f t="shared" si="15"/>
        <v>26.867999999999999</v>
      </c>
    </row>
    <row r="1889" spans="1:7" ht="14.25" customHeight="1">
      <c r="A1889" s="2" t="s">
        <v>15</v>
      </c>
      <c r="B1889" s="2">
        <v>1982</v>
      </c>
      <c r="C1889" s="2" t="s">
        <v>25</v>
      </c>
      <c r="D1889" s="2">
        <v>25948</v>
      </c>
      <c r="E1889" s="3">
        <f t="shared" si="14"/>
        <v>25.948</v>
      </c>
      <c r="G1889" s="2">
        <f t="shared" si="15"/>
        <v>25.948</v>
      </c>
    </row>
    <row r="1890" spans="1:7" ht="14.25" customHeight="1">
      <c r="A1890" s="2" t="s">
        <v>15</v>
      </c>
      <c r="B1890" s="2">
        <v>1983</v>
      </c>
      <c r="C1890" s="2" t="s">
        <v>25</v>
      </c>
      <c r="D1890" s="2">
        <v>22341</v>
      </c>
      <c r="E1890" s="3">
        <f t="shared" si="14"/>
        <v>22.341000000000001</v>
      </c>
      <c r="G1890" s="2">
        <f t="shared" si="15"/>
        <v>22.341000000000001</v>
      </c>
    </row>
    <row r="1891" spans="1:7" ht="14.25" customHeight="1">
      <c r="A1891" s="2" t="s">
        <v>15</v>
      </c>
      <c r="B1891" s="2">
        <v>1984</v>
      </c>
      <c r="C1891" s="2" t="s">
        <v>25</v>
      </c>
      <c r="D1891" s="2">
        <v>23136</v>
      </c>
      <c r="E1891" s="3">
        <f t="shared" si="14"/>
        <v>23.135999999999999</v>
      </c>
      <c r="G1891" s="2">
        <f t="shared" si="15"/>
        <v>23.135999999999999</v>
      </c>
    </row>
    <row r="1892" spans="1:7" ht="14.25" customHeight="1">
      <c r="A1892" s="2" t="s">
        <v>15</v>
      </c>
      <c r="B1892" s="2">
        <v>1985</v>
      </c>
      <c r="C1892" s="2" t="s">
        <v>25</v>
      </c>
      <c r="D1892" s="2">
        <v>22149</v>
      </c>
      <c r="E1892" s="3">
        <f t="shared" si="14"/>
        <v>22.149000000000001</v>
      </c>
      <c r="G1892" s="2">
        <f t="shared" si="15"/>
        <v>22.149000000000001</v>
      </c>
    </row>
    <row r="1893" spans="1:7" ht="14.25" customHeight="1">
      <c r="A1893" s="2" t="s">
        <v>15</v>
      </c>
      <c r="B1893" s="2">
        <v>1986</v>
      </c>
      <c r="C1893" s="2" t="s">
        <v>25</v>
      </c>
      <c r="D1893" s="2">
        <v>23291</v>
      </c>
      <c r="E1893" s="3">
        <f t="shared" si="14"/>
        <v>23.291</v>
      </c>
      <c r="G1893" s="2">
        <f t="shared" si="15"/>
        <v>23.291</v>
      </c>
    </row>
    <row r="1894" spans="1:7" ht="14.25" customHeight="1">
      <c r="A1894" s="2" t="s">
        <v>15</v>
      </c>
      <c r="B1894" s="2">
        <v>1987</v>
      </c>
      <c r="C1894" s="2" t="s">
        <v>25</v>
      </c>
      <c r="D1894" s="2">
        <v>28208</v>
      </c>
      <c r="E1894" s="3">
        <f t="shared" si="14"/>
        <v>28.207999999999998</v>
      </c>
      <c r="G1894" s="2">
        <f t="shared" si="15"/>
        <v>28.207999999999998</v>
      </c>
    </row>
    <row r="1895" spans="1:7" ht="14.25" customHeight="1">
      <c r="A1895" s="2" t="s">
        <v>15</v>
      </c>
      <c r="B1895" s="2">
        <v>1988</v>
      </c>
      <c r="C1895" s="2" t="s">
        <v>25</v>
      </c>
      <c r="D1895" s="2">
        <v>31542</v>
      </c>
      <c r="E1895" s="3">
        <f t="shared" si="14"/>
        <v>31.542000000000002</v>
      </c>
      <c r="G1895" s="2">
        <f t="shared" si="15"/>
        <v>31.542000000000002</v>
      </c>
    </row>
    <row r="1896" spans="1:7" ht="14.25" customHeight="1">
      <c r="A1896" s="2" t="s">
        <v>15</v>
      </c>
      <c r="B1896" s="2">
        <v>1989</v>
      </c>
      <c r="C1896" s="2" t="s">
        <v>25</v>
      </c>
      <c r="D1896" s="2">
        <v>33456</v>
      </c>
      <c r="E1896" s="3">
        <f t="shared" si="14"/>
        <v>33.456000000000003</v>
      </c>
      <c r="G1896" s="2">
        <f t="shared" si="15"/>
        <v>33.456000000000003</v>
      </c>
    </row>
    <row r="1897" spans="1:7" ht="14.25" customHeight="1">
      <c r="A1897" s="2" t="s">
        <v>15</v>
      </c>
      <c r="B1897" s="2">
        <v>1990</v>
      </c>
      <c r="C1897" s="2" t="s">
        <v>25</v>
      </c>
      <c r="D1897" s="2">
        <v>33059</v>
      </c>
      <c r="E1897" s="3">
        <f t="shared" si="14"/>
        <v>33.058999999999997</v>
      </c>
      <c r="G1897" s="2">
        <f t="shared" si="15"/>
        <v>33.058999999999997</v>
      </c>
    </row>
    <row r="1898" spans="1:7" ht="14.25" customHeight="1">
      <c r="A1898" s="2" t="s">
        <v>15</v>
      </c>
      <c r="B1898" s="2">
        <v>1991</v>
      </c>
      <c r="C1898" s="2" t="s">
        <v>25</v>
      </c>
      <c r="D1898" s="2">
        <v>34628</v>
      </c>
      <c r="E1898" s="3">
        <f t="shared" si="14"/>
        <v>34.628</v>
      </c>
      <c r="G1898" s="2">
        <f t="shared" si="15"/>
        <v>34.628</v>
      </c>
    </row>
    <row r="1899" spans="1:7" ht="14.25" customHeight="1">
      <c r="A1899" s="2" t="s">
        <v>15</v>
      </c>
      <c r="B1899" s="2">
        <v>1992</v>
      </c>
      <c r="C1899" s="2" t="s">
        <v>25</v>
      </c>
      <c r="D1899" s="2">
        <v>37390</v>
      </c>
      <c r="E1899" s="3">
        <f t="shared" si="14"/>
        <v>37.39</v>
      </c>
      <c r="G1899" s="2">
        <f t="shared" si="15"/>
        <v>37.39</v>
      </c>
    </row>
    <row r="1900" spans="1:7" ht="14.25" customHeight="1">
      <c r="A1900" s="2" t="s">
        <v>15</v>
      </c>
      <c r="B1900" s="2">
        <v>1993</v>
      </c>
      <c r="C1900" s="2" t="s">
        <v>25</v>
      </c>
      <c r="D1900" s="2">
        <v>36278</v>
      </c>
      <c r="E1900" s="3">
        <f t="shared" si="14"/>
        <v>36.277999999999999</v>
      </c>
      <c r="G1900" s="2">
        <f t="shared" si="15"/>
        <v>36.277999999999999</v>
      </c>
    </row>
    <row r="1901" spans="1:7" ht="14.25" customHeight="1">
      <c r="A1901" s="2" t="s">
        <v>15</v>
      </c>
      <c r="B1901" s="2">
        <v>1994</v>
      </c>
      <c r="C1901" s="2" t="s">
        <v>25</v>
      </c>
      <c r="D1901" s="2">
        <v>32802</v>
      </c>
      <c r="E1901" s="3">
        <f t="shared" si="14"/>
        <v>32.802</v>
      </c>
      <c r="G1901" s="2">
        <f t="shared" si="15"/>
        <v>32.802</v>
      </c>
    </row>
    <row r="1902" spans="1:7" ht="14.25" customHeight="1">
      <c r="A1902" s="2" t="s">
        <v>15</v>
      </c>
      <c r="B1902" s="2">
        <v>1995</v>
      </c>
      <c r="C1902" s="2" t="s">
        <v>25</v>
      </c>
      <c r="D1902" s="2">
        <v>29194</v>
      </c>
      <c r="E1902" s="3">
        <f t="shared" si="14"/>
        <v>29.193999999999999</v>
      </c>
      <c r="G1902" s="2">
        <f t="shared" si="15"/>
        <v>29.193999999999999</v>
      </c>
    </row>
    <row r="1903" spans="1:7" ht="14.25" customHeight="1">
      <c r="A1903" s="2" t="s">
        <v>15</v>
      </c>
      <c r="B1903" s="2">
        <v>1996</v>
      </c>
      <c r="C1903" s="2" t="s">
        <v>25</v>
      </c>
      <c r="D1903" s="2">
        <v>25319</v>
      </c>
      <c r="E1903" s="3">
        <f t="shared" si="14"/>
        <v>25.318999999999999</v>
      </c>
      <c r="G1903" s="2">
        <f t="shared" si="15"/>
        <v>25.318999999999999</v>
      </c>
    </row>
    <row r="1904" spans="1:7" ht="14.25" customHeight="1">
      <c r="A1904" s="2" t="s">
        <v>15</v>
      </c>
      <c r="B1904" s="2">
        <v>1997</v>
      </c>
      <c r="C1904" s="2" t="s">
        <v>25</v>
      </c>
      <c r="D1904" s="2">
        <v>26599</v>
      </c>
      <c r="E1904" s="3">
        <f t="shared" si="14"/>
        <v>26.599</v>
      </c>
      <c r="G1904" s="2">
        <f t="shared" si="15"/>
        <v>26.599</v>
      </c>
    </row>
    <row r="1905" spans="1:7" ht="14.25" customHeight="1">
      <c r="A1905" s="2" t="s">
        <v>15</v>
      </c>
      <c r="B1905" s="2">
        <v>1998</v>
      </c>
      <c r="C1905" s="2" t="s">
        <v>25</v>
      </c>
      <c r="D1905" s="2">
        <v>23510</v>
      </c>
      <c r="E1905" s="3">
        <f t="shared" si="14"/>
        <v>23.51</v>
      </c>
      <c r="G1905" s="2">
        <f t="shared" si="15"/>
        <v>23.51</v>
      </c>
    </row>
    <row r="1906" spans="1:7" ht="14.25" customHeight="1">
      <c r="A1906" s="2" t="s">
        <v>15</v>
      </c>
      <c r="B1906" s="2">
        <v>1999</v>
      </c>
      <c r="C1906" s="2" t="s">
        <v>25</v>
      </c>
      <c r="D1906" s="2">
        <v>20394</v>
      </c>
      <c r="E1906" s="3">
        <f t="shared" si="14"/>
        <v>20.393999999999998</v>
      </c>
      <c r="G1906" s="2">
        <f t="shared" si="15"/>
        <v>20.393999999999998</v>
      </c>
    </row>
    <row r="1907" spans="1:7" ht="14.25" customHeight="1">
      <c r="A1907" s="2" t="s">
        <v>15</v>
      </c>
      <c r="B1907" s="2">
        <v>2000</v>
      </c>
      <c r="C1907" s="2" t="s">
        <v>25</v>
      </c>
      <c r="D1907" s="2">
        <v>23701</v>
      </c>
      <c r="E1907" s="3">
        <f t="shared" si="14"/>
        <v>23.701000000000001</v>
      </c>
      <c r="G1907" s="2">
        <f t="shared" si="15"/>
        <v>23.701000000000001</v>
      </c>
    </row>
    <row r="1908" spans="1:7" ht="14.25" customHeight="1">
      <c r="A1908" s="2" t="s">
        <v>15</v>
      </c>
      <c r="B1908" s="2">
        <v>2001</v>
      </c>
      <c r="C1908" s="2" t="s">
        <v>25</v>
      </c>
      <c r="D1908" s="2">
        <v>21935</v>
      </c>
      <c r="E1908" s="3">
        <f t="shared" si="14"/>
        <v>21.934999999999999</v>
      </c>
      <c r="G1908" s="2">
        <f t="shared" si="15"/>
        <v>21.934999999999999</v>
      </c>
    </row>
    <row r="1909" spans="1:7" ht="14.25" customHeight="1">
      <c r="A1909" s="2" t="s">
        <v>15</v>
      </c>
      <c r="B1909" s="2">
        <v>2002</v>
      </c>
      <c r="C1909" s="2" t="s">
        <v>25</v>
      </c>
      <c r="D1909" s="2">
        <v>19646</v>
      </c>
      <c r="E1909" s="3">
        <f t="shared" si="14"/>
        <v>19.646000000000001</v>
      </c>
      <c r="G1909" s="2">
        <f t="shared" si="15"/>
        <v>19.646000000000001</v>
      </c>
    </row>
    <row r="1910" spans="1:7" ht="14.25" customHeight="1">
      <c r="A1910" s="2" t="s">
        <v>15</v>
      </c>
      <c r="B1910" s="2">
        <v>2003</v>
      </c>
      <c r="C1910" s="2" t="s">
        <v>25</v>
      </c>
      <c r="D1910" s="2">
        <v>16496</v>
      </c>
      <c r="E1910" s="3">
        <f t="shared" si="14"/>
        <v>16.495999999999999</v>
      </c>
      <c r="G1910" s="2">
        <f t="shared" si="15"/>
        <v>16.495999999999999</v>
      </c>
    </row>
    <row r="1911" spans="1:7" ht="14.25" customHeight="1">
      <c r="A1911" s="2" t="s">
        <v>15</v>
      </c>
      <c r="B1911" s="2">
        <v>2004</v>
      </c>
      <c r="C1911" s="2" t="s">
        <v>25</v>
      </c>
      <c r="D1911" s="2">
        <v>17446</v>
      </c>
      <c r="E1911" s="3">
        <f t="shared" si="14"/>
        <v>17.446000000000002</v>
      </c>
      <c r="G1911" s="2">
        <f t="shared" si="15"/>
        <v>17.446000000000002</v>
      </c>
    </row>
    <row r="1912" spans="1:7" ht="14.25" customHeight="1">
      <c r="A1912" s="2" t="s">
        <v>15</v>
      </c>
      <c r="B1912" s="2">
        <v>2005</v>
      </c>
      <c r="C1912" s="2" t="s">
        <v>25</v>
      </c>
      <c r="D1912" s="2">
        <v>12274</v>
      </c>
      <c r="E1912" s="3">
        <f t="shared" si="14"/>
        <v>12.273999999999999</v>
      </c>
      <c r="G1912" s="2">
        <f t="shared" si="15"/>
        <v>12.273999999999999</v>
      </c>
    </row>
    <row r="1913" spans="1:7" ht="14.25" customHeight="1">
      <c r="A1913" s="2" t="s">
        <v>15</v>
      </c>
      <c r="B1913" s="2">
        <v>2006</v>
      </c>
      <c r="C1913" s="2" t="s">
        <v>25</v>
      </c>
      <c r="D1913" s="2">
        <v>14521.06</v>
      </c>
      <c r="E1913" s="3">
        <f t="shared" si="14"/>
        <v>14.52106</v>
      </c>
      <c r="G1913" s="2">
        <f t="shared" si="15"/>
        <v>14.52106</v>
      </c>
    </row>
    <row r="1914" spans="1:7" ht="14.25" customHeight="1">
      <c r="A1914" s="2" t="s">
        <v>15</v>
      </c>
      <c r="B1914" s="2">
        <v>2007</v>
      </c>
      <c r="C1914" s="2" t="s">
        <v>25</v>
      </c>
      <c r="D1914" s="2">
        <v>13242.13</v>
      </c>
      <c r="E1914" s="3">
        <f t="shared" si="14"/>
        <v>13.24213</v>
      </c>
      <c r="G1914" s="2">
        <f t="shared" si="15"/>
        <v>13.24213</v>
      </c>
    </row>
    <row r="1915" spans="1:7" ht="14.25" customHeight="1">
      <c r="A1915" s="2" t="s">
        <v>15</v>
      </c>
      <c r="B1915" s="2">
        <v>2008</v>
      </c>
      <c r="C1915" s="2" t="s">
        <v>25</v>
      </c>
      <c r="D1915" s="2">
        <v>12961.06</v>
      </c>
      <c r="E1915" s="3">
        <f t="shared" si="14"/>
        <v>12.96106</v>
      </c>
      <c r="G1915" s="2">
        <f t="shared" si="15"/>
        <v>12.96106</v>
      </c>
    </row>
    <row r="1916" spans="1:7" ht="14.25" customHeight="1">
      <c r="A1916" s="2" t="s">
        <v>15</v>
      </c>
      <c r="B1916" s="2">
        <v>2009</v>
      </c>
      <c r="C1916" s="2" t="s">
        <v>25</v>
      </c>
      <c r="D1916" s="2">
        <v>14792.84</v>
      </c>
      <c r="E1916" s="3">
        <f t="shared" si="14"/>
        <v>14.79284</v>
      </c>
      <c r="G1916" s="2">
        <f t="shared" si="15"/>
        <v>14.79284</v>
      </c>
    </row>
    <row r="1917" spans="1:7" ht="14.25" customHeight="1">
      <c r="A1917" s="2" t="s">
        <v>15</v>
      </c>
      <c r="B1917" s="2">
        <v>2010</v>
      </c>
      <c r="C1917" s="2" t="s">
        <v>25</v>
      </c>
      <c r="D1917" s="2">
        <v>16415.599999999999</v>
      </c>
      <c r="E1917" s="3">
        <f t="shared" si="14"/>
        <v>16.415599999999998</v>
      </c>
      <c r="G1917" s="2">
        <f t="shared" si="15"/>
        <v>16.415599999999998</v>
      </c>
    </row>
    <row r="1918" spans="1:7" ht="14.25" customHeight="1">
      <c r="A1918" s="2" t="s">
        <v>15</v>
      </c>
      <c r="B1918" s="2">
        <v>2011</v>
      </c>
      <c r="C1918" s="2" t="s">
        <v>25</v>
      </c>
      <c r="D1918" s="2">
        <v>17163.04</v>
      </c>
      <c r="E1918" s="3">
        <f t="shared" si="14"/>
        <v>17.163040000000002</v>
      </c>
      <c r="G1918" s="2">
        <f t="shared" si="15"/>
        <v>17.163040000000002</v>
      </c>
    </row>
    <row r="1919" spans="1:7" ht="14.25" customHeight="1">
      <c r="A1919" s="2" t="s">
        <v>15</v>
      </c>
      <c r="B1919" s="2">
        <v>2012</v>
      </c>
      <c r="C1919" s="2" t="s">
        <v>25</v>
      </c>
      <c r="D1919" s="2">
        <v>18742.2</v>
      </c>
      <c r="E1919" s="3">
        <f t="shared" si="14"/>
        <v>18.7422</v>
      </c>
      <c r="G1919" s="2">
        <f t="shared" si="15"/>
        <v>18.7422</v>
      </c>
    </row>
    <row r="1920" spans="1:7" ht="14.25" customHeight="1">
      <c r="A1920" s="2" t="s">
        <v>15</v>
      </c>
      <c r="B1920" s="2">
        <v>2013</v>
      </c>
      <c r="C1920" s="2" t="s">
        <v>25</v>
      </c>
      <c r="D1920" s="2">
        <v>21225.03</v>
      </c>
      <c r="E1920" s="3">
        <f t="shared" si="14"/>
        <v>21.22503</v>
      </c>
      <c r="G1920" s="2">
        <f t="shared" si="15"/>
        <v>21.22503</v>
      </c>
    </row>
    <row r="1921" spans="1:7" ht="14.25" customHeight="1">
      <c r="A1921" s="2" t="s">
        <v>15</v>
      </c>
      <c r="B1921" s="2">
        <v>2014</v>
      </c>
      <c r="C1921" s="2" t="s">
        <v>25</v>
      </c>
      <c r="D1921" s="2">
        <v>19132.79</v>
      </c>
      <c r="E1921" s="3">
        <f t="shared" si="14"/>
        <v>19.13279</v>
      </c>
      <c r="G1921" s="2">
        <f t="shared" si="15"/>
        <v>19.13279</v>
      </c>
    </row>
    <row r="1922" spans="1:7" ht="14.25" customHeight="1">
      <c r="A1922" s="2" t="s">
        <v>15</v>
      </c>
      <c r="B1922" s="2">
        <v>2015</v>
      </c>
      <c r="C1922" s="2" t="s">
        <v>25</v>
      </c>
      <c r="D1922" s="2">
        <v>18874.080000000002</v>
      </c>
      <c r="E1922" s="3">
        <f t="shared" si="14"/>
        <v>18.874080000000003</v>
      </c>
      <c r="G1922" s="2">
        <f t="shared" si="15"/>
        <v>18.874080000000003</v>
      </c>
    </row>
    <row r="1923" spans="1:7" ht="14.25" customHeight="1">
      <c r="A1923" s="2" t="s">
        <v>15</v>
      </c>
      <c r="B1923" s="2">
        <v>2016</v>
      </c>
      <c r="C1923" s="2" t="s">
        <v>25</v>
      </c>
      <c r="D1923" s="2">
        <v>21224.51</v>
      </c>
      <c r="E1923" s="3">
        <f t="shared" si="14"/>
        <v>21.224509999999999</v>
      </c>
      <c r="G1923" s="2">
        <f t="shared" si="15"/>
        <v>21.224509999999999</v>
      </c>
    </row>
    <row r="1924" spans="1:7" ht="14.25" customHeight="1">
      <c r="A1924" s="2" t="s">
        <v>15</v>
      </c>
      <c r="B1924" s="2">
        <v>2017</v>
      </c>
      <c r="C1924" s="2" t="s">
        <v>25</v>
      </c>
      <c r="D1924" s="2">
        <v>17777.73</v>
      </c>
      <c r="E1924" s="3">
        <f t="shared" si="14"/>
        <v>17.777729999999998</v>
      </c>
      <c r="G1924" s="2">
        <f t="shared" si="15"/>
        <v>17.777729999999998</v>
      </c>
    </row>
    <row r="1925" spans="1:7" ht="14.25" customHeight="1">
      <c r="A1925" s="2" t="s">
        <v>15</v>
      </c>
      <c r="B1925" s="2">
        <v>2018</v>
      </c>
      <c r="C1925" s="2" t="s">
        <v>25</v>
      </c>
      <c r="D1925" s="2">
        <v>12371.74</v>
      </c>
      <c r="E1925" s="3">
        <f t="shared" si="14"/>
        <v>12.371739999999999</v>
      </c>
      <c r="G1925" s="2">
        <f t="shared" si="15"/>
        <v>12.371739999999999</v>
      </c>
    </row>
    <row r="1926" spans="1:7" ht="14.25" customHeight="1">
      <c r="A1926" s="2" t="s">
        <v>15</v>
      </c>
      <c r="B1926" s="2">
        <v>1905</v>
      </c>
      <c r="C1926" s="2" t="s">
        <v>60</v>
      </c>
      <c r="D1926" s="2">
        <v>719</v>
      </c>
      <c r="E1926" s="3">
        <f t="shared" si="14"/>
        <v>0.71899999999999997</v>
      </c>
      <c r="G1926" s="2">
        <f t="shared" si="15"/>
        <v>0.71899999999999997</v>
      </c>
    </row>
    <row r="1927" spans="1:7" ht="14.25" customHeight="1">
      <c r="A1927" s="2" t="s">
        <v>15</v>
      </c>
      <c r="B1927" s="2">
        <v>1906</v>
      </c>
      <c r="C1927" s="2" t="s">
        <v>60</v>
      </c>
      <c r="D1927" s="2">
        <v>601</v>
      </c>
      <c r="E1927" s="3">
        <f t="shared" si="14"/>
        <v>0.60099999999999998</v>
      </c>
      <c r="G1927" s="2">
        <f t="shared" si="15"/>
        <v>0.60099999999999998</v>
      </c>
    </row>
    <row r="1928" spans="1:7" ht="14.25" customHeight="1">
      <c r="A1928" s="2" t="s">
        <v>15</v>
      </c>
      <c r="B1928" s="2">
        <v>1907</v>
      </c>
      <c r="C1928" s="2" t="s">
        <v>60</v>
      </c>
      <c r="D1928" s="2">
        <v>9963</v>
      </c>
      <c r="E1928" s="3">
        <f t="shared" si="14"/>
        <v>9.9629999999999992</v>
      </c>
      <c r="G1928" s="2">
        <f t="shared" si="15"/>
        <v>9.9629999999999992</v>
      </c>
    </row>
    <row r="1929" spans="1:7" ht="14.25" customHeight="1">
      <c r="A1929" s="2" t="s">
        <v>15</v>
      </c>
      <c r="B1929" s="2">
        <v>1908</v>
      </c>
      <c r="C1929" s="2" t="s">
        <v>60</v>
      </c>
      <c r="D1929" s="2">
        <v>1136</v>
      </c>
      <c r="E1929" s="3">
        <f t="shared" si="14"/>
        <v>1.1359999999999999</v>
      </c>
      <c r="G1929" s="2">
        <f t="shared" si="15"/>
        <v>1.1359999999999999</v>
      </c>
    </row>
    <row r="1930" spans="1:7" ht="14.25" customHeight="1">
      <c r="A1930" s="2" t="s">
        <v>15</v>
      </c>
      <c r="B1930" s="2">
        <v>1909</v>
      </c>
      <c r="C1930" s="2" t="s">
        <v>60</v>
      </c>
      <c r="D1930" s="2">
        <v>1173</v>
      </c>
      <c r="E1930" s="3">
        <f t="shared" si="14"/>
        <v>1.173</v>
      </c>
      <c r="G1930" s="2">
        <f t="shared" si="15"/>
        <v>1.173</v>
      </c>
    </row>
    <row r="1931" spans="1:7" ht="14.25" customHeight="1">
      <c r="A1931" s="2" t="s">
        <v>15</v>
      </c>
      <c r="B1931" s="2">
        <v>1910</v>
      </c>
      <c r="C1931" s="2" t="s">
        <v>60</v>
      </c>
      <c r="D1931" s="2">
        <v>1330</v>
      </c>
      <c r="E1931" s="3">
        <f t="shared" si="14"/>
        <v>1.33</v>
      </c>
      <c r="G1931" s="2">
        <f t="shared" si="15"/>
        <v>1.33</v>
      </c>
    </row>
    <row r="1932" spans="1:7" ht="14.25" customHeight="1">
      <c r="A1932" s="2" t="s">
        <v>15</v>
      </c>
      <c r="B1932" s="2">
        <v>1911</v>
      </c>
      <c r="C1932" s="2" t="s">
        <v>60</v>
      </c>
      <c r="D1932" s="2">
        <v>1222</v>
      </c>
      <c r="E1932" s="3">
        <f t="shared" si="14"/>
        <v>1.222</v>
      </c>
      <c r="G1932" s="2">
        <f t="shared" si="15"/>
        <v>1.222</v>
      </c>
    </row>
    <row r="1933" spans="1:7" ht="14.25" customHeight="1">
      <c r="A1933" s="2" t="s">
        <v>15</v>
      </c>
      <c r="B1933" s="2">
        <v>1912</v>
      </c>
      <c r="C1933" s="2" t="s">
        <v>60</v>
      </c>
      <c r="D1933" s="2">
        <v>761</v>
      </c>
      <c r="E1933" s="3">
        <f t="shared" si="14"/>
        <v>0.76100000000000001</v>
      </c>
      <c r="G1933" s="2">
        <f t="shared" si="15"/>
        <v>0.76100000000000001</v>
      </c>
    </row>
    <row r="1934" spans="1:7" ht="14.25" customHeight="1">
      <c r="A1934" s="2" t="s">
        <v>15</v>
      </c>
      <c r="B1934" s="2">
        <v>1913</v>
      </c>
      <c r="C1934" s="2" t="s">
        <v>60</v>
      </c>
      <c r="D1934" s="2">
        <v>655</v>
      </c>
      <c r="E1934" s="3">
        <f t="shared" si="14"/>
        <v>0.65500000000000003</v>
      </c>
      <c r="G1934" s="2">
        <f t="shared" si="15"/>
        <v>0.65500000000000003</v>
      </c>
    </row>
    <row r="1935" spans="1:7" ht="14.25" customHeight="1">
      <c r="A1935" s="2" t="s">
        <v>15</v>
      </c>
      <c r="B1935" s="2">
        <v>1914</v>
      </c>
      <c r="C1935" s="2" t="s">
        <v>60</v>
      </c>
      <c r="D1935" s="2">
        <v>655</v>
      </c>
      <c r="E1935" s="3">
        <f t="shared" si="14"/>
        <v>0.65500000000000003</v>
      </c>
      <c r="G1935" s="2">
        <f t="shared" si="15"/>
        <v>0.65500000000000003</v>
      </c>
    </row>
    <row r="1936" spans="1:7" ht="14.25" customHeight="1">
      <c r="A1936" s="2" t="s">
        <v>15</v>
      </c>
      <c r="B1936" s="2">
        <v>1915</v>
      </c>
      <c r="C1936" s="2" t="s">
        <v>60</v>
      </c>
      <c r="D1936" s="2">
        <v>640</v>
      </c>
      <c r="E1936" s="3">
        <f t="shared" si="14"/>
        <v>0.64</v>
      </c>
      <c r="G1936" s="2">
        <f t="shared" si="15"/>
        <v>0.64</v>
      </c>
    </row>
    <row r="1937" spans="1:7" ht="14.25" customHeight="1">
      <c r="A1937" s="2" t="s">
        <v>15</v>
      </c>
      <c r="B1937" s="2">
        <v>1916</v>
      </c>
      <c r="C1937" s="2" t="s">
        <v>60</v>
      </c>
      <c r="D1937" s="2">
        <v>258</v>
      </c>
      <c r="E1937" s="3">
        <f t="shared" si="14"/>
        <v>0.25800000000000001</v>
      </c>
      <c r="G1937" s="2">
        <f t="shared" si="15"/>
        <v>0.25800000000000001</v>
      </c>
    </row>
    <row r="1938" spans="1:7" ht="14.25" customHeight="1">
      <c r="A1938" s="2" t="s">
        <v>15</v>
      </c>
      <c r="B1938" s="2">
        <v>1917</v>
      </c>
      <c r="C1938" s="2" t="s">
        <v>60</v>
      </c>
      <c r="D1938" s="2">
        <v>345</v>
      </c>
      <c r="E1938" s="3">
        <f t="shared" si="14"/>
        <v>0.34499999999999997</v>
      </c>
      <c r="G1938" s="2">
        <f t="shared" si="15"/>
        <v>0.34499999999999997</v>
      </c>
    </row>
    <row r="1939" spans="1:7" ht="14.25" customHeight="1">
      <c r="A1939" s="2" t="s">
        <v>15</v>
      </c>
      <c r="B1939" s="2">
        <v>1918</v>
      </c>
      <c r="C1939" s="2" t="s">
        <v>60</v>
      </c>
      <c r="D1939" s="2">
        <v>431</v>
      </c>
      <c r="E1939" s="3">
        <f t="shared" si="14"/>
        <v>0.43099999999999999</v>
      </c>
      <c r="G1939" s="2">
        <f t="shared" si="15"/>
        <v>0.43099999999999999</v>
      </c>
    </row>
    <row r="1940" spans="1:7" ht="14.25" customHeight="1">
      <c r="A1940" s="2" t="s">
        <v>15</v>
      </c>
      <c r="B1940" s="2">
        <v>1919</v>
      </c>
      <c r="C1940" s="2" t="s">
        <v>60</v>
      </c>
      <c r="D1940" s="2">
        <v>400</v>
      </c>
      <c r="E1940" s="3">
        <f t="shared" si="14"/>
        <v>0.4</v>
      </c>
      <c r="G1940" s="2">
        <f t="shared" si="15"/>
        <v>0.4</v>
      </c>
    </row>
    <row r="1941" spans="1:7" ht="14.25" customHeight="1">
      <c r="A1941" s="2" t="s">
        <v>15</v>
      </c>
      <c r="B1941" s="2">
        <v>1920</v>
      </c>
      <c r="C1941" s="2" t="s">
        <v>60</v>
      </c>
      <c r="D1941" s="2">
        <v>922</v>
      </c>
      <c r="E1941" s="3">
        <f t="shared" si="14"/>
        <v>0.92200000000000004</v>
      </c>
      <c r="G1941" s="2">
        <f t="shared" si="15"/>
        <v>0.92200000000000004</v>
      </c>
    </row>
    <row r="1942" spans="1:7" ht="14.25" customHeight="1">
      <c r="A1942" s="2" t="s">
        <v>15</v>
      </c>
      <c r="B1942" s="2">
        <v>1921</v>
      </c>
      <c r="C1942" s="2" t="s">
        <v>60</v>
      </c>
      <c r="D1942" s="2">
        <v>1108</v>
      </c>
      <c r="E1942" s="3">
        <f t="shared" si="14"/>
        <v>1.1080000000000001</v>
      </c>
      <c r="G1942" s="2">
        <f t="shared" si="15"/>
        <v>1.1080000000000001</v>
      </c>
    </row>
    <row r="1943" spans="1:7" ht="14.25" customHeight="1">
      <c r="A1943" s="2" t="s">
        <v>15</v>
      </c>
      <c r="B1943" s="2">
        <v>1922</v>
      </c>
      <c r="C1943" s="2" t="s">
        <v>60</v>
      </c>
      <c r="D1943" s="2">
        <v>1874</v>
      </c>
      <c r="E1943" s="3">
        <f t="shared" si="14"/>
        <v>1.8740000000000001</v>
      </c>
      <c r="G1943" s="2">
        <f t="shared" si="15"/>
        <v>1.8740000000000001</v>
      </c>
    </row>
    <row r="1944" spans="1:7" ht="14.25" customHeight="1">
      <c r="A1944" s="2" t="s">
        <v>15</v>
      </c>
      <c r="B1944" s="2">
        <v>1923</v>
      </c>
      <c r="C1944" s="2" t="s">
        <v>60</v>
      </c>
      <c r="D1944" s="2">
        <v>1767</v>
      </c>
      <c r="E1944" s="3">
        <f t="shared" si="14"/>
        <v>1.7669999999999999</v>
      </c>
      <c r="G1944" s="2">
        <f t="shared" si="15"/>
        <v>1.7669999999999999</v>
      </c>
    </row>
    <row r="1945" spans="1:7" ht="14.25" customHeight="1">
      <c r="A1945" s="2" t="s">
        <v>15</v>
      </c>
      <c r="B1945" s="2">
        <v>1924</v>
      </c>
      <c r="C1945" s="2" t="s">
        <v>60</v>
      </c>
      <c r="D1945" s="2">
        <v>980</v>
      </c>
      <c r="E1945" s="3">
        <f t="shared" si="14"/>
        <v>0.98</v>
      </c>
      <c r="G1945" s="2">
        <f t="shared" si="15"/>
        <v>0.98</v>
      </c>
    </row>
    <row r="1946" spans="1:7" ht="14.25" customHeight="1">
      <c r="A1946" s="2" t="s">
        <v>15</v>
      </c>
      <c r="B1946" s="2">
        <v>1925</v>
      </c>
      <c r="C1946" s="2" t="s">
        <v>60</v>
      </c>
      <c r="D1946" s="2">
        <v>901</v>
      </c>
      <c r="E1946" s="3">
        <f t="shared" si="14"/>
        <v>0.90100000000000002</v>
      </c>
      <c r="G1946" s="2">
        <f t="shared" si="15"/>
        <v>0.90100000000000002</v>
      </c>
    </row>
    <row r="1947" spans="1:7" ht="14.25" customHeight="1">
      <c r="A1947" s="2" t="s">
        <v>15</v>
      </c>
      <c r="B1947" s="2">
        <v>1926</v>
      </c>
      <c r="C1947" s="2" t="s">
        <v>60</v>
      </c>
      <c r="D1947" s="2">
        <v>659</v>
      </c>
      <c r="E1947" s="3">
        <f t="shared" si="14"/>
        <v>0.65900000000000003</v>
      </c>
      <c r="G1947" s="2">
        <f t="shared" si="15"/>
        <v>0.65900000000000003</v>
      </c>
    </row>
    <row r="1948" spans="1:7" ht="14.25" customHeight="1">
      <c r="A1948" s="2" t="s">
        <v>15</v>
      </c>
      <c r="B1948" s="2">
        <v>1927</v>
      </c>
      <c r="C1948" s="2" t="s">
        <v>60</v>
      </c>
      <c r="D1948" s="2">
        <v>1130</v>
      </c>
      <c r="E1948" s="3">
        <f t="shared" si="14"/>
        <v>1.1299999999999999</v>
      </c>
      <c r="G1948" s="2">
        <f t="shared" si="15"/>
        <v>1.1299999999999999</v>
      </c>
    </row>
    <row r="1949" spans="1:7" ht="14.25" customHeight="1">
      <c r="A1949" s="2" t="s">
        <v>15</v>
      </c>
      <c r="B1949" s="2">
        <v>1928</v>
      </c>
      <c r="C1949" s="2" t="s">
        <v>60</v>
      </c>
      <c r="D1949" s="2">
        <v>1046</v>
      </c>
      <c r="E1949" s="3">
        <f t="shared" si="14"/>
        <v>1.046</v>
      </c>
      <c r="G1949" s="2">
        <f t="shared" si="15"/>
        <v>1.046</v>
      </c>
    </row>
    <row r="1950" spans="1:7" ht="14.25" customHeight="1">
      <c r="A1950" s="2" t="s">
        <v>15</v>
      </c>
      <c r="B1950" s="2">
        <v>1947</v>
      </c>
      <c r="C1950" s="2" t="s">
        <v>60</v>
      </c>
      <c r="D1950" s="2">
        <v>734</v>
      </c>
      <c r="E1950" s="3">
        <f t="shared" si="14"/>
        <v>0.73399999999999999</v>
      </c>
      <c r="G1950" s="2">
        <f t="shared" si="15"/>
        <v>0.73399999999999999</v>
      </c>
    </row>
    <row r="1951" spans="1:7" ht="14.25" customHeight="1">
      <c r="A1951" s="2" t="s">
        <v>15</v>
      </c>
      <c r="B1951" s="2">
        <v>1948</v>
      </c>
      <c r="C1951" s="2" t="s">
        <v>60</v>
      </c>
      <c r="D1951" s="2">
        <v>330</v>
      </c>
      <c r="E1951" s="3">
        <f t="shared" si="14"/>
        <v>0.33</v>
      </c>
      <c r="G1951" s="2">
        <f t="shared" si="15"/>
        <v>0.33</v>
      </c>
    </row>
    <row r="1952" spans="1:7" ht="14.25" customHeight="1">
      <c r="A1952" s="2" t="s">
        <v>15</v>
      </c>
      <c r="B1952" s="2">
        <v>1949</v>
      </c>
      <c r="C1952" s="2" t="s">
        <v>60</v>
      </c>
      <c r="D1952" s="2">
        <v>702</v>
      </c>
      <c r="E1952" s="3">
        <f t="shared" si="14"/>
        <v>0.70199999999999996</v>
      </c>
      <c r="G1952" s="2">
        <f t="shared" si="15"/>
        <v>0.70199999999999996</v>
      </c>
    </row>
    <row r="1953" spans="1:7" ht="14.25" customHeight="1">
      <c r="A1953" s="2" t="s">
        <v>15</v>
      </c>
      <c r="B1953" s="2">
        <v>1950</v>
      </c>
      <c r="C1953" s="2" t="s">
        <v>60</v>
      </c>
      <c r="D1953" s="2">
        <v>806</v>
      </c>
      <c r="E1953" s="3">
        <f t="shared" si="14"/>
        <v>0.80600000000000005</v>
      </c>
      <c r="G1953" s="2">
        <f t="shared" si="15"/>
        <v>0.80600000000000005</v>
      </c>
    </row>
    <row r="1954" spans="1:7" ht="14.25" customHeight="1">
      <c r="A1954" s="2" t="s">
        <v>15</v>
      </c>
      <c r="B1954" s="2">
        <v>1951</v>
      </c>
      <c r="C1954" s="2" t="s">
        <v>60</v>
      </c>
      <c r="D1954" s="2">
        <v>961</v>
      </c>
      <c r="E1954" s="3">
        <f t="shared" si="14"/>
        <v>0.96099999999999997</v>
      </c>
      <c r="G1954" s="2">
        <f t="shared" si="15"/>
        <v>0.96099999999999997</v>
      </c>
    </row>
    <row r="1955" spans="1:7" ht="14.25" customHeight="1">
      <c r="A1955" s="2" t="s">
        <v>15</v>
      </c>
      <c r="B1955" s="2">
        <v>1952</v>
      </c>
      <c r="C1955" s="2" t="s">
        <v>60</v>
      </c>
      <c r="D1955" s="2">
        <v>1081</v>
      </c>
      <c r="E1955" s="3">
        <f t="shared" si="14"/>
        <v>1.081</v>
      </c>
      <c r="G1955" s="2">
        <f t="shared" si="15"/>
        <v>1.081</v>
      </c>
    </row>
    <row r="1956" spans="1:7" ht="14.25" customHeight="1">
      <c r="A1956" s="2" t="s">
        <v>15</v>
      </c>
      <c r="B1956" s="2">
        <v>1953</v>
      </c>
      <c r="C1956" s="2" t="s">
        <v>60</v>
      </c>
      <c r="D1956" s="2">
        <v>795</v>
      </c>
      <c r="E1956" s="3">
        <f t="shared" si="14"/>
        <v>0.79500000000000004</v>
      </c>
      <c r="G1956" s="2">
        <f t="shared" si="15"/>
        <v>0.79500000000000004</v>
      </c>
    </row>
    <row r="1957" spans="1:7" ht="14.25" customHeight="1">
      <c r="A1957" s="2" t="s">
        <v>15</v>
      </c>
      <c r="B1957" s="2">
        <v>1954</v>
      </c>
      <c r="C1957" s="2" t="s">
        <v>60</v>
      </c>
      <c r="D1957" s="2">
        <v>906</v>
      </c>
      <c r="E1957" s="3">
        <f t="shared" si="14"/>
        <v>0.90600000000000003</v>
      </c>
      <c r="G1957" s="2">
        <f t="shared" si="15"/>
        <v>0.90600000000000003</v>
      </c>
    </row>
    <row r="1958" spans="1:7" ht="14.25" customHeight="1">
      <c r="A1958" s="2" t="s">
        <v>15</v>
      </c>
      <c r="B1958" s="2">
        <v>1955</v>
      </c>
      <c r="C1958" s="2" t="s">
        <v>60</v>
      </c>
      <c r="D1958" s="2">
        <v>1000</v>
      </c>
      <c r="E1958" s="3">
        <f t="shared" si="14"/>
        <v>1</v>
      </c>
      <c r="G1958" s="2">
        <f t="shared" si="15"/>
        <v>1</v>
      </c>
    </row>
    <row r="1959" spans="1:7" ht="14.25" customHeight="1">
      <c r="A1959" s="2" t="s">
        <v>15</v>
      </c>
      <c r="B1959" s="2">
        <v>1956</v>
      </c>
      <c r="C1959" s="2" t="s">
        <v>60</v>
      </c>
      <c r="D1959" s="2">
        <v>838</v>
      </c>
      <c r="E1959" s="3">
        <f t="shared" si="14"/>
        <v>0.83799999999999997</v>
      </c>
      <c r="G1959" s="2">
        <f t="shared" si="15"/>
        <v>0.83799999999999997</v>
      </c>
    </row>
    <row r="1960" spans="1:7" ht="14.25" customHeight="1">
      <c r="A1960" s="2" t="s">
        <v>15</v>
      </c>
      <c r="B1960" s="2">
        <v>1957</v>
      </c>
      <c r="C1960" s="2" t="s">
        <v>60</v>
      </c>
      <c r="D1960" s="2">
        <v>1074</v>
      </c>
      <c r="E1960" s="3">
        <f t="shared" si="14"/>
        <v>1.0740000000000001</v>
      </c>
      <c r="G1960" s="2">
        <f t="shared" si="15"/>
        <v>1.0740000000000001</v>
      </c>
    </row>
    <row r="1961" spans="1:7" ht="14.25" customHeight="1">
      <c r="A1961" s="2" t="s">
        <v>15</v>
      </c>
      <c r="B1961" s="2">
        <v>1958</v>
      </c>
      <c r="C1961" s="2" t="s">
        <v>60</v>
      </c>
      <c r="D1961" s="2">
        <v>1142</v>
      </c>
      <c r="E1961" s="3">
        <f t="shared" si="14"/>
        <v>1.1419999999999999</v>
      </c>
      <c r="G1961" s="2">
        <f t="shared" si="15"/>
        <v>1.1419999999999999</v>
      </c>
    </row>
    <row r="1962" spans="1:7" ht="14.25" customHeight="1">
      <c r="A1962" s="2" t="s">
        <v>15</v>
      </c>
      <c r="B1962" s="2">
        <v>1959</v>
      </c>
      <c r="C1962" s="2" t="s">
        <v>60</v>
      </c>
      <c r="D1962" s="2">
        <v>1122</v>
      </c>
      <c r="E1962" s="3">
        <f t="shared" si="14"/>
        <v>1.1220000000000001</v>
      </c>
      <c r="G1962" s="2">
        <f t="shared" si="15"/>
        <v>1.1220000000000001</v>
      </c>
    </row>
    <row r="1963" spans="1:7" ht="14.25" customHeight="1">
      <c r="A1963" s="2" t="s">
        <v>15</v>
      </c>
      <c r="B1963" s="2">
        <v>1960</v>
      </c>
      <c r="C1963" s="2" t="s">
        <v>60</v>
      </c>
      <c r="D1963" s="2">
        <v>902</v>
      </c>
      <c r="E1963" s="3">
        <f t="shared" si="14"/>
        <v>0.90200000000000002</v>
      </c>
      <c r="G1963" s="2">
        <f t="shared" si="15"/>
        <v>0.90200000000000002</v>
      </c>
    </row>
    <row r="1964" spans="1:7" ht="14.25" customHeight="1">
      <c r="A1964" s="2" t="s">
        <v>15</v>
      </c>
      <c r="B1964" s="2">
        <v>1961</v>
      </c>
      <c r="C1964" s="2" t="s">
        <v>60</v>
      </c>
      <c r="D1964" s="2">
        <v>689</v>
      </c>
      <c r="E1964" s="3">
        <f t="shared" si="14"/>
        <v>0.68899999999999995</v>
      </c>
      <c r="G1964" s="2">
        <f t="shared" si="15"/>
        <v>0.68899999999999995</v>
      </c>
    </row>
    <row r="1965" spans="1:7" ht="14.25" customHeight="1">
      <c r="A1965" s="2" t="s">
        <v>15</v>
      </c>
      <c r="B1965" s="2">
        <v>1962</v>
      </c>
      <c r="C1965" s="2" t="s">
        <v>60</v>
      </c>
      <c r="D1965" s="2">
        <v>823</v>
      </c>
      <c r="E1965" s="3">
        <f t="shared" si="14"/>
        <v>0.82299999999999995</v>
      </c>
      <c r="G1965" s="2">
        <f t="shared" si="15"/>
        <v>0.82299999999999995</v>
      </c>
    </row>
    <row r="1966" spans="1:7" ht="14.25" customHeight="1">
      <c r="A1966" s="2" t="s">
        <v>15</v>
      </c>
      <c r="B1966" s="2">
        <v>1963</v>
      </c>
      <c r="C1966" s="2" t="s">
        <v>60</v>
      </c>
      <c r="D1966" s="2">
        <v>877</v>
      </c>
      <c r="E1966" s="3">
        <f t="shared" si="14"/>
        <v>0.877</v>
      </c>
      <c r="G1966" s="2">
        <f t="shared" si="15"/>
        <v>0.877</v>
      </c>
    </row>
    <row r="1967" spans="1:7" ht="14.25" customHeight="1">
      <c r="A1967" s="2" t="s">
        <v>15</v>
      </c>
      <c r="B1967" s="2">
        <v>1964</v>
      </c>
      <c r="C1967" s="2" t="s">
        <v>60</v>
      </c>
      <c r="D1967" s="2">
        <v>835</v>
      </c>
      <c r="E1967" s="3">
        <f t="shared" si="14"/>
        <v>0.83499999999999996</v>
      </c>
      <c r="G1967" s="2">
        <f t="shared" si="15"/>
        <v>0.83499999999999996</v>
      </c>
    </row>
    <row r="1968" spans="1:7" ht="14.25" customHeight="1">
      <c r="A1968" s="2" t="s">
        <v>15</v>
      </c>
      <c r="B1968" s="2">
        <v>1965</v>
      </c>
      <c r="C1968" s="2" t="s">
        <v>60</v>
      </c>
      <c r="D1968" s="2">
        <v>907</v>
      </c>
      <c r="E1968" s="3">
        <f t="shared" si="14"/>
        <v>0.90700000000000003</v>
      </c>
      <c r="G1968" s="2">
        <f t="shared" si="15"/>
        <v>0.90700000000000003</v>
      </c>
    </row>
    <row r="1969" spans="1:7" ht="14.25" customHeight="1">
      <c r="A1969" s="2" t="s">
        <v>15</v>
      </c>
      <c r="B1969" s="2">
        <v>1966</v>
      </c>
      <c r="C1969" s="2" t="s">
        <v>60</v>
      </c>
      <c r="D1969" s="2">
        <v>805</v>
      </c>
      <c r="E1969" s="3">
        <f t="shared" si="14"/>
        <v>0.80500000000000005</v>
      </c>
      <c r="G1969" s="2">
        <f t="shared" si="15"/>
        <v>0.80500000000000005</v>
      </c>
    </row>
    <row r="1970" spans="1:7" ht="14.25" customHeight="1">
      <c r="A1970" s="2" t="s">
        <v>15</v>
      </c>
      <c r="B1970" s="2">
        <v>1967</v>
      </c>
      <c r="C1970" s="2" t="s">
        <v>60</v>
      </c>
      <c r="D1970" s="2">
        <v>936</v>
      </c>
      <c r="E1970" s="3">
        <f t="shared" si="14"/>
        <v>0.93600000000000005</v>
      </c>
      <c r="G1970" s="2">
        <f t="shared" si="15"/>
        <v>0.93600000000000005</v>
      </c>
    </row>
    <row r="1971" spans="1:7" ht="14.25" customHeight="1">
      <c r="A1971" s="2" t="s">
        <v>15</v>
      </c>
      <c r="B1971" s="2">
        <v>1968</v>
      </c>
      <c r="C1971" s="2" t="s">
        <v>60</v>
      </c>
      <c r="D1971" s="2">
        <v>1023</v>
      </c>
      <c r="E1971" s="3">
        <f t="shared" si="14"/>
        <v>1.0229999999999999</v>
      </c>
      <c r="G1971" s="2">
        <f t="shared" si="15"/>
        <v>1.0229999999999999</v>
      </c>
    </row>
    <row r="1972" spans="1:7" ht="14.25" customHeight="1">
      <c r="A1972" s="2" t="s">
        <v>15</v>
      </c>
      <c r="B1972" s="2">
        <v>1969</v>
      </c>
      <c r="C1972" s="2" t="s">
        <v>60</v>
      </c>
      <c r="D1972" s="2">
        <v>1027</v>
      </c>
      <c r="E1972" s="3">
        <f t="shared" si="14"/>
        <v>1.0269999999999999</v>
      </c>
      <c r="G1972" s="2">
        <f t="shared" si="15"/>
        <v>1.0269999999999999</v>
      </c>
    </row>
    <row r="1973" spans="1:7" ht="14.25" customHeight="1">
      <c r="A1973" s="2" t="s">
        <v>15</v>
      </c>
      <c r="B1973" s="2">
        <v>1970</v>
      </c>
      <c r="C1973" s="2" t="s">
        <v>60</v>
      </c>
      <c r="D1973" s="2">
        <v>890</v>
      </c>
      <c r="E1973" s="3">
        <f t="shared" si="14"/>
        <v>0.89</v>
      </c>
      <c r="G1973" s="2">
        <f t="shared" si="15"/>
        <v>0.89</v>
      </c>
    </row>
    <row r="1974" spans="1:7" ht="14.25" customHeight="1">
      <c r="A1974" s="2" t="s">
        <v>15</v>
      </c>
      <c r="B1974" s="2">
        <v>1971</v>
      </c>
      <c r="C1974" s="2" t="s">
        <v>60</v>
      </c>
      <c r="D1974" s="2">
        <v>677</v>
      </c>
      <c r="E1974" s="3">
        <f t="shared" si="14"/>
        <v>0.67700000000000005</v>
      </c>
      <c r="G1974" s="2">
        <f t="shared" si="15"/>
        <v>0.67700000000000005</v>
      </c>
    </row>
    <row r="1975" spans="1:7" ht="14.25" customHeight="1">
      <c r="A1975" s="2" t="s">
        <v>15</v>
      </c>
      <c r="B1975" s="2">
        <v>1972</v>
      </c>
      <c r="C1975" s="2" t="s">
        <v>60</v>
      </c>
      <c r="D1975" s="2">
        <v>787</v>
      </c>
      <c r="E1975" s="3">
        <f t="shared" si="14"/>
        <v>0.78700000000000003</v>
      </c>
      <c r="G1975" s="2">
        <f t="shared" si="15"/>
        <v>0.78700000000000003</v>
      </c>
    </row>
    <row r="1976" spans="1:7" ht="14.25" customHeight="1">
      <c r="A1976" s="2" t="s">
        <v>15</v>
      </c>
      <c r="B1976" s="2">
        <v>1973</v>
      </c>
      <c r="C1976" s="2" t="s">
        <v>60</v>
      </c>
      <c r="D1976" s="2">
        <v>931</v>
      </c>
      <c r="E1976" s="3">
        <f t="shared" si="14"/>
        <v>0.93100000000000005</v>
      </c>
      <c r="G1976" s="2">
        <f t="shared" si="15"/>
        <v>0.93100000000000005</v>
      </c>
    </row>
    <row r="1977" spans="1:7" ht="14.25" customHeight="1">
      <c r="A1977" s="2" t="s">
        <v>15</v>
      </c>
      <c r="B1977" s="2">
        <v>1974</v>
      </c>
      <c r="C1977" s="2" t="s">
        <v>60</v>
      </c>
      <c r="D1977" s="2">
        <v>1069</v>
      </c>
      <c r="E1977" s="3">
        <f t="shared" si="14"/>
        <v>1.069</v>
      </c>
      <c r="G1977" s="2">
        <f t="shared" si="15"/>
        <v>1.069</v>
      </c>
    </row>
    <row r="1978" spans="1:7" ht="14.25" customHeight="1">
      <c r="A1978" s="2" t="s">
        <v>15</v>
      </c>
      <c r="B1978" s="2">
        <v>1975</v>
      </c>
      <c r="C1978" s="2" t="s">
        <v>60</v>
      </c>
      <c r="D1978" s="2">
        <v>985</v>
      </c>
      <c r="E1978" s="3">
        <f t="shared" si="14"/>
        <v>0.98499999999999999</v>
      </c>
      <c r="G1978" s="2">
        <f t="shared" si="15"/>
        <v>0.98499999999999999</v>
      </c>
    </row>
    <row r="1979" spans="1:7" ht="14.25" customHeight="1">
      <c r="A1979" s="2" t="s">
        <v>15</v>
      </c>
      <c r="B1979" s="2">
        <v>1976</v>
      </c>
      <c r="C1979" s="2" t="s">
        <v>60</v>
      </c>
      <c r="D1979" s="2">
        <v>1170</v>
      </c>
      <c r="E1979" s="3">
        <f t="shared" si="14"/>
        <v>1.17</v>
      </c>
      <c r="G1979" s="2">
        <f t="shared" si="15"/>
        <v>1.17</v>
      </c>
    </row>
    <row r="1980" spans="1:7" ht="14.25" customHeight="1">
      <c r="A1980" s="2" t="s">
        <v>15</v>
      </c>
      <c r="B1980" s="2">
        <v>1977</v>
      </c>
      <c r="C1980" s="2" t="s">
        <v>60</v>
      </c>
      <c r="D1980" s="2">
        <v>1320</v>
      </c>
      <c r="E1980" s="3">
        <f t="shared" si="14"/>
        <v>1.32</v>
      </c>
      <c r="G1980" s="2">
        <f t="shared" si="15"/>
        <v>1.32</v>
      </c>
    </row>
    <row r="1981" spans="1:7" ht="14.25" customHeight="1">
      <c r="A1981" s="2" t="s">
        <v>15</v>
      </c>
      <c r="B1981" s="2">
        <v>1978</v>
      </c>
      <c r="C1981" s="2" t="s">
        <v>60</v>
      </c>
      <c r="D1981" s="2">
        <v>1489</v>
      </c>
      <c r="E1981" s="3">
        <f t="shared" si="14"/>
        <v>1.4890000000000001</v>
      </c>
      <c r="G1981" s="2">
        <f t="shared" si="15"/>
        <v>1.4890000000000001</v>
      </c>
    </row>
    <row r="1982" spans="1:7" ht="14.25" customHeight="1">
      <c r="A1982" s="2" t="s">
        <v>15</v>
      </c>
      <c r="B1982" s="2">
        <v>1979</v>
      </c>
      <c r="C1982" s="2" t="s">
        <v>60</v>
      </c>
      <c r="D1982" s="2">
        <v>1458</v>
      </c>
      <c r="E1982" s="3">
        <f t="shared" si="14"/>
        <v>1.458</v>
      </c>
      <c r="G1982" s="2">
        <f t="shared" si="15"/>
        <v>1.458</v>
      </c>
    </row>
    <row r="1983" spans="1:7" ht="14.25" customHeight="1">
      <c r="A1983" s="2" t="s">
        <v>15</v>
      </c>
      <c r="B1983" s="2">
        <v>1980</v>
      </c>
      <c r="C1983" s="2" t="s">
        <v>60</v>
      </c>
      <c r="D1983" s="2">
        <v>1341</v>
      </c>
      <c r="E1983" s="3">
        <f t="shared" si="14"/>
        <v>1.341</v>
      </c>
      <c r="G1983" s="2">
        <f t="shared" si="15"/>
        <v>1.341</v>
      </c>
    </row>
    <row r="1984" spans="1:7" ht="14.25" customHeight="1">
      <c r="A1984" s="2" t="s">
        <v>15</v>
      </c>
      <c r="B1984" s="2">
        <v>1981</v>
      </c>
      <c r="C1984" s="2" t="s">
        <v>60</v>
      </c>
      <c r="D1984" s="2">
        <v>1303</v>
      </c>
      <c r="E1984" s="3">
        <f t="shared" si="14"/>
        <v>1.3029999999999999</v>
      </c>
      <c r="G1984" s="2">
        <f t="shared" si="15"/>
        <v>1.3029999999999999</v>
      </c>
    </row>
    <row r="1985" spans="1:7" ht="14.25" customHeight="1">
      <c r="A1985" s="2" t="s">
        <v>15</v>
      </c>
      <c r="B1985" s="2">
        <v>1982</v>
      </c>
      <c r="C1985" s="2" t="s">
        <v>60</v>
      </c>
      <c r="D1985" s="2">
        <v>1384</v>
      </c>
      <c r="E1985" s="3">
        <f t="shared" si="14"/>
        <v>1.3839999999999999</v>
      </c>
      <c r="G1985" s="2">
        <f t="shared" si="15"/>
        <v>1.3839999999999999</v>
      </c>
    </row>
    <row r="1986" spans="1:7" ht="14.25" customHeight="1">
      <c r="A1986" s="2" t="s">
        <v>15</v>
      </c>
      <c r="B1986" s="2">
        <v>1983</v>
      </c>
      <c r="C1986" s="2" t="s">
        <v>60</v>
      </c>
      <c r="D1986" s="2">
        <v>1475</v>
      </c>
      <c r="E1986" s="3">
        <f t="shared" si="14"/>
        <v>1.4750000000000001</v>
      </c>
      <c r="G1986" s="2">
        <f t="shared" si="15"/>
        <v>1.4750000000000001</v>
      </c>
    </row>
    <row r="1987" spans="1:7" ht="14.25" customHeight="1">
      <c r="A1987" s="2" t="s">
        <v>15</v>
      </c>
      <c r="B1987" s="2">
        <v>1984</v>
      </c>
      <c r="C1987" s="2" t="s">
        <v>60</v>
      </c>
      <c r="D1987" s="2">
        <v>1596</v>
      </c>
      <c r="E1987" s="3">
        <f t="shared" si="14"/>
        <v>1.5960000000000001</v>
      </c>
      <c r="G1987" s="2">
        <f t="shared" si="15"/>
        <v>1.5960000000000001</v>
      </c>
    </row>
    <row r="1988" spans="1:7" ht="14.25" customHeight="1">
      <c r="A1988" s="2" t="s">
        <v>15</v>
      </c>
      <c r="B1988" s="2">
        <v>1985</v>
      </c>
      <c r="C1988" s="2" t="s">
        <v>60</v>
      </c>
      <c r="D1988" s="2">
        <v>1723</v>
      </c>
      <c r="E1988" s="3">
        <f t="shared" si="14"/>
        <v>1.7230000000000001</v>
      </c>
      <c r="G1988" s="2">
        <f t="shared" si="15"/>
        <v>1.7230000000000001</v>
      </c>
    </row>
    <row r="1989" spans="1:7" ht="14.25" customHeight="1">
      <c r="A1989" s="2" t="s">
        <v>15</v>
      </c>
      <c r="B1989" s="2">
        <v>1986</v>
      </c>
      <c r="C1989" s="2" t="s">
        <v>60</v>
      </c>
      <c r="D1989" s="2">
        <v>2339</v>
      </c>
      <c r="E1989" s="3">
        <f t="shared" si="14"/>
        <v>2.339</v>
      </c>
      <c r="G1989" s="2">
        <f t="shared" si="15"/>
        <v>2.339</v>
      </c>
    </row>
    <row r="1990" spans="1:7" ht="14.25" customHeight="1">
      <c r="A1990" s="2" t="s">
        <v>15</v>
      </c>
      <c r="B1990" s="2">
        <v>1987</v>
      </c>
      <c r="C1990" s="2" t="s">
        <v>60</v>
      </c>
      <c r="D1990" s="2">
        <v>2546</v>
      </c>
      <c r="E1990" s="3">
        <f t="shared" si="14"/>
        <v>2.5459999999999998</v>
      </c>
      <c r="G1990" s="2">
        <f t="shared" si="15"/>
        <v>2.5459999999999998</v>
      </c>
    </row>
    <row r="1991" spans="1:7" ht="14.25" customHeight="1">
      <c r="A1991" s="2" t="s">
        <v>15</v>
      </c>
      <c r="B1991" s="2">
        <v>1988</v>
      </c>
      <c r="C1991" s="2" t="s">
        <v>60</v>
      </c>
      <c r="D1991" s="2">
        <v>2256</v>
      </c>
      <c r="E1991" s="3">
        <f t="shared" si="14"/>
        <v>2.2559999999999998</v>
      </c>
      <c r="G1991" s="2">
        <f t="shared" si="15"/>
        <v>2.2559999999999998</v>
      </c>
    </row>
    <row r="1992" spans="1:7" ht="14.25" customHeight="1">
      <c r="A1992" s="2" t="s">
        <v>15</v>
      </c>
      <c r="B1992" s="2">
        <v>1989</v>
      </c>
      <c r="C1992" s="2" t="s">
        <v>60</v>
      </c>
      <c r="D1992" s="2">
        <v>1919</v>
      </c>
      <c r="E1992" s="3">
        <f t="shared" si="14"/>
        <v>1.919</v>
      </c>
      <c r="G1992" s="2">
        <f t="shared" si="15"/>
        <v>1.919</v>
      </c>
    </row>
    <row r="1993" spans="1:7" ht="14.25" customHeight="1">
      <c r="A1993" s="2" t="s">
        <v>15</v>
      </c>
      <c r="B1993" s="2">
        <v>1990</v>
      </c>
      <c r="C1993" s="2" t="s">
        <v>60</v>
      </c>
      <c r="D1993" s="2">
        <v>2447</v>
      </c>
      <c r="E1993" s="3">
        <f t="shared" si="14"/>
        <v>2.4470000000000001</v>
      </c>
      <c r="G1993" s="2">
        <f t="shared" si="15"/>
        <v>2.4470000000000001</v>
      </c>
    </row>
    <row r="1994" spans="1:7" ht="14.25" customHeight="1">
      <c r="A1994" s="2" t="s">
        <v>15</v>
      </c>
      <c r="B1994" s="2">
        <v>1991</v>
      </c>
      <c r="C1994" s="2" t="s">
        <v>60</v>
      </c>
      <c r="D1994" s="2">
        <v>2824</v>
      </c>
      <c r="E1994" s="3">
        <f t="shared" si="14"/>
        <v>2.8239999999999998</v>
      </c>
      <c r="G1994" s="2">
        <f t="shared" si="15"/>
        <v>2.8239999999999998</v>
      </c>
    </row>
    <row r="1995" spans="1:7" ht="14.25" customHeight="1">
      <c r="A1995" s="2" t="s">
        <v>15</v>
      </c>
      <c r="B1995" s="2">
        <v>1992</v>
      </c>
      <c r="C1995" s="2" t="s">
        <v>60</v>
      </c>
      <c r="D1995" s="2">
        <v>3378</v>
      </c>
      <c r="E1995" s="3">
        <f t="shared" si="14"/>
        <v>3.3780000000000001</v>
      </c>
      <c r="G1995" s="2">
        <f t="shared" si="15"/>
        <v>3.3780000000000001</v>
      </c>
    </row>
    <row r="1996" spans="1:7" ht="14.25" customHeight="1">
      <c r="A1996" s="2" t="s">
        <v>15</v>
      </c>
      <c r="B1996" s="2">
        <v>1993</v>
      </c>
      <c r="C1996" s="2" t="s">
        <v>60</v>
      </c>
      <c r="D1996" s="2">
        <v>3966</v>
      </c>
      <c r="E1996" s="3">
        <f t="shared" si="14"/>
        <v>3.9660000000000002</v>
      </c>
      <c r="G1996" s="2">
        <f t="shared" si="15"/>
        <v>3.9660000000000002</v>
      </c>
    </row>
    <row r="1997" spans="1:7" ht="14.25" customHeight="1">
      <c r="A1997" s="2" t="s">
        <v>15</v>
      </c>
      <c r="B1997" s="2">
        <v>1994</v>
      </c>
      <c r="C1997" s="2" t="s">
        <v>60</v>
      </c>
      <c r="D1997" s="2">
        <v>3531</v>
      </c>
      <c r="E1997" s="3">
        <f t="shared" si="14"/>
        <v>3.5310000000000001</v>
      </c>
      <c r="G1997" s="2">
        <f t="shared" si="15"/>
        <v>3.5310000000000001</v>
      </c>
    </row>
    <row r="1998" spans="1:7" ht="14.25" customHeight="1">
      <c r="A1998" s="2" t="s">
        <v>15</v>
      </c>
      <c r="B1998" s="2">
        <v>1995</v>
      </c>
      <c r="C1998" s="2" t="s">
        <v>60</v>
      </c>
      <c r="D1998" s="2">
        <v>4011</v>
      </c>
      <c r="E1998" s="3">
        <f t="shared" si="14"/>
        <v>4.0110000000000001</v>
      </c>
      <c r="G1998" s="2">
        <f t="shared" si="15"/>
        <v>4.0110000000000001</v>
      </c>
    </row>
    <row r="1999" spans="1:7" ht="14.25" customHeight="1">
      <c r="A1999" s="2" t="s">
        <v>15</v>
      </c>
      <c r="B1999" s="2">
        <v>1996</v>
      </c>
      <c r="C1999" s="2" t="s">
        <v>60</v>
      </c>
      <c r="D1999" s="2">
        <v>3634</v>
      </c>
      <c r="E1999" s="3">
        <f t="shared" si="14"/>
        <v>3.6339999999999999</v>
      </c>
      <c r="G1999" s="2">
        <f t="shared" si="15"/>
        <v>3.6339999999999999</v>
      </c>
    </row>
    <row r="2000" spans="1:7" ht="14.25" customHeight="1">
      <c r="A2000" s="2" t="s">
        <v>15</v>
      </c>
      <c r="B2000" s="2">
        <v>1997</v>
      </c>
      <c r="C2000" s="2" t="s">
        <v>60</v>
      </c>
      <c r="D2000" s="2">
        <v>3844</v>
      </c>
      <c r="E2000" s="3">
        <f t="shared" si="14"/>
        <v>3.8439999999999999</v>
      </c>
      <c r="G2000" s="2">
        <f t="shared" si="15"/>
        <v>3.8439999999999999</v>
      </c>
    </row>
    <row r="2001" spans="1:7" ht="14.25" customHeight="1">
      <c r="A2001" s="2" t="s">
        <v>15</v>
      </c>
      <c r="B2001" s="2">
        <v>1998</v>
      </c>
      <c r="C2001" s="2" t="s">
        <v>60</v>
      </c>
      <c r="D2001" s="2">
        <v>3211</v>
      </c>
      <c r="E2001" s="3">
        <f t="shared" si="14"/>
        <v>3.2109999999999999</v>
      </c>
      <c r="G2001" s="2">
        <f t="shared" si="15"/>
        <v>3.2109999999999999</v>
      </c>
    </row>
    <row r="2002" spans="1:7" ht="14.25" customHeight="1">
      <c r="A2002" s="2" t="s">
        <v>15</v>
      </c>
      <c r="B2002" s="2">
        <v>1999</v>
      </c>
      <c r="C2002" s="2" t="s">
        <v>60</v>
      </c>
      <c r="D2002" s="2">
        <v>2398</v>
      </c>
      <c r="E2002" s="3">
        <f t="shared" si="14"/>
        <v>2.3980000000000001</v>
      </c>
      <c r="G2002" s="2">
        <f t="shared" si="15"/>
        <v>2.3980000000000001</v>
      </c>
    </row>
    <row r="2003" spans="1:7" ht="14.25" customHeight="1">
      <c r="A2003" s="2" t="s">
        <v>15</v>
      </c>
      <c r="B2003" s="2">
        <v>2000</v>
      </c>
      <c r="C2003" s="2" t="s">
        <v>60</v>
      </c>
      <c r="D2003" s="2">
        <v>2706</v>
      </c>
      <c r="E2003" s="3">
        <f t="shared" si="14"/>
        <v>2.706</v>
      </c>
      <c r="G2003" s="2">
        <f t="shared" si="15"/>
        <v>2.706</v>
      </c>
    </row>
    <row r="2004" spans="1:7" ht="14.25" customHeight="1">
      <c r="A2004" s="2" t="s">
        <v>15</v>
      </c>
      <c r="B2004" s="2">
        <v>2001</v>
      </c>
      <c r="C2004" s="2" t="s">
        <v>60</v>
      </c>
      <c r="D2004" s="2">
        <v>2841</v>
      </c>
      <c r="E2004" s="3">
        <f t="shared" si="14"/>
        <v>2.8410000000000002</v>
      </c>
      <c r="G2004" s="2">
        <f t="shared" si="15"/>
        <v>2.8410000000000002</v>
      </c>
    </row>
    <row r="2005" spans="1:7" ht="14.25" customHeight="1">
      <c r="A2005" s="2" t="s">
        <v>15</v>
      </c>
      <c r="B2005" s="2">
        <v>2002</v>
      </c>
      <c r="C2005" s="2" t="s">
        <v>60</v>
      </c>
      <c r="D2005" s="2">
        <v>2764</v>
      </c>
      <c r="E2005" s="3">
        <f t="shared" si="14"/>
        <v>2.7639999999999998</v>
      </c>
      <c r="G2005" s="2">
        <f t="shared" si="15"/>
        <v>2.7639999999999998</v>
      </c>
    </row>
    <row r="2006" spans="1:7" ht="14.25" customHeight="1">
      <c r="A2006" s="2" t="s">
        <v>15</v>
      </c>
      <c r="B2006" s="2">
        <v>2003</v>
      </c>
      <c r="C2006" s="2" t="s">
        <v>60</v>
      </c>
      <c r="D2006" s="2">
        <v>2684</v>
      </c>
      <c r="E2006" s="3">
        <f t="shared" si="14"/>
        <v>2.6840000000000002</v>
      </c>
      <c r="G2006" s="2">
        <f t="shared" si="15"/>
        <v>2.6840000000000002</v>
      </c>
    </row>
    <row r="2007" spans="1:7" ht="14.25" customHeight="1">
      <c r="A2007" s="2" t="s">
        <v>15</v>
      </c>
      <c r="B2007" s="2">
        <v>2004</v>
      </c>
      <c r="C2007" s="2" t="s">
        <v>60</v>
      </c>
      <c r="D2007" s="2">
        <v>2322</v>
      </c>
      <c r="E2007" s="3">
        <f t="shared" si="14"/>
        <v>2.3220000000000001</v>
      </c>
      <c r="G2007" s="2">
        <f t="shared" si="15"/>
        <v>2.3220000000000001</v>
      </c>
    </row>
    <row r="2008" spans="1:7" ht="14.25" customHeight="1">
      <c r="A2008" s="2" t="s">
        <v>15</v>
      </c>
      <c r="B2008" s="2">
        <v>2005</v>
      </c>
      <c r="C2008" s="2" t="s">
        <v>60</v>
      </c>
      <c r="D2008" s="2">
        <v>2136</v>
      </c>
      <c r="E2008" s="3">
        <f t="shared" si="14"/>
        <v>2.1360000000000001</v>
      </c>
      <c r="G2008" s="2">
        <f t="shared" si="15"/>
        <v>2.1360000000000001</v>
      </c>
    </row>
    <row r="2009" spans="1:7" ht="14.25" customHeight="1">
      <c r="A2009" s="2" t="s">
        <v>15</v>
      </c>
      <c r="B2009" s="2">
        <v>2006</v>
      </c>
      <c r="C2009" s="2" t="s">
        <v>60</v>
      </c>
      <c r="D2009" s="2">
        <v>2248.08</v>
      </c>
      <c r="E2009" s="3">
        <f t="shared" si="14"/>
        <v>2.2480799999999999</v>
      </c>
      <c r="G2009" s="2">
        <f t="shared" si="15"/>
        <v>2.2480799999999999</v>
      </c>
    </row>
    <row r="2010" spans="1:7" ht="14.25" customHeight="1">
      <c r="A2010" s="2" t="s">
        <v>15</v>
      </c>
      <c r="B2010" s="2">
        <v>2007</v>
      </c>
      <c r="C2010" s="2" t="s">
        <v>60</v>
      </c>
      <c r="D2010" s="2">
        <v>2693.35</v>
      </c>
      <c r="E2010" s="3">
        <f t="shared" si="14"/>
        <v>2.6933499999999997</v>
      </c>
      <c r="G2010" s="2">
        <f t="shared" si="15"/>
        <v>2.6933499999999997</v>
      </c>
    </row>
    <row r="2011" spans="1:7" ht="14.25" customHeight="1">
      <c r="A2011" s="2" t="s">
        <v>15</v>
      </c>
      <c r="B2011" s="2">
        <v>2008</v>
      </c>
      <c r="C2011" s="2" t="s">
        <v>60</v>
      </c>
      <c r="D2011" s="2">
        <v>2462.0700000000002</v>
      </c>
      <c r="E2011" s="3">
        <f t="shared" si="14"/>
        <v>2.4620700000000002</v>
      </c>
      <c r="G2011" s="2">
        <f t="shared" si="15"/>
        <v>2.4620700000000002</v>
      </c>
    </row>
    <row r="2012" spans="1:7" ht="14.25" customHeight="1">
      <c r="A2012" s="2" t="s">
        <v>15</v>
      </c>
      <c r="B2012" s="2">
        <v>2009</v>
      </c>
      <c r="C2012" s="2" t="s">
        <v>60</v>
      </c>
      <c r="D2012" s="2">
        <v>2179.35</v>
      </c>
      <c r="E2012" s="3">
        <f t="shared" si="14"/>
        <v>2.1793499999999999</v>
      </c>
      <c r="G2012" s="2">
        <f t="shared" si="15"/>
        <v>2.1793499999999999</v>
      </c>
    </row>
    <row r="2013" spans="1:7" ht="14.25" customHeight="1">
      <c r="A2013" s="2" t="s">
        <v>15</v>
      </c>
      <c r="B2013" s="2">
        <v>2010</v>
      </c>
      <c r="C2013" s="2" t="s">
        <v>60</v>
      </c>
      <c r="D2013" s="2">
        <v>2003.3</v>
      </c>
      <c r="E2013" s="3">
        <f t="shared" si="14"/>
        <v>2.0032999999999999</v>
      </c>
      <c r="G2013" s="2">
        <f t="shared" si="15"/>
        <v>2.0032999999999999</v>
      </c>
    </row>
    <row r="2014" spans="1:7" ht="14.25" customHeight="1">
      <c r="A2014" s="2" t="s">
        <v>15</v>
      </c>
      <c r="B2014" s="2">
        <v>2011</v>
      </c>
      <c r="C2014" s="2" t="s">
        <v>60</v>
      </c>
      <c r="D2014" s="2">
        <v>2302.75</v>
      </c>
      <c r="E2014" s="3">
        <f t="shared" si="14"/>
        <v>2.3027500000000001</v>
      </c>
      <c r="G2014" s="2">
        <f t="shared" si="15"/>
        <v>2.3027500000000001</v>
      </c>
    </row>
    <row r="2015" spans="1:7" ht="14.25" customHeight="1">
      <c r="A2015" s="2" t="s">
        <v>15</v>
      </c>
      <c r="B2015" s="2">
        <v>2012</v>
      </c>
      <c r="C2015" s="2" t="s">
        <v>60</v>
      </c>
      <c r="D2015" s="2">
        <v>2215.9</v>
      </c>
      <c r="E2015" s="3">
        <f t="shared" si="14"/>
        <v>2.2159</v>
      </c>
      <c r="G2015" s="2">
        <f t="shared" si="15"/>
        <v>2.2159</v>
      </c>
    </row>
    <row r="2016" spans="1:7" ht="14.25" customHeight="1">
      <c r="A2016" s="2" t="s">
        <v>15</v>
      </c>
      <c r="B2016" s="2">
        <v>2013</v>
      </c>
      <c r="C2016" s="2" t="s">
        <v>60</v>
      </c>
      <c r="D2016" s="2">
        <v>2248.88</v>
      </c>
      <c r="E2016" s="3">
        <f t="shared" si="14"/>
        <v>2.2488800000000002</v>
      </c>
      <c r="G2016" s="2">
        <f t="shared" si="15"/>
        <v>2.2488800000000002</v>
      </c>
    </row>
    <row r="2017" spans="1:7" ht="14.25" customHeight="1">
      <c r="A2017" s="2" t="s">
        <v>15</v>
      </c>
      <c r="B2017" s="2">
        <v>2014</v>
      </c>
      <c r="C2017" s="2" t="s">
        <v>60</v>
      </c>
      <c r="D2017" s="2">
        <v>2469.21</v>
      </c>
      <c r="E2017" s="3">
        <f t="shared" si="14"/>
        <v>2.4692099999999999</v>
      </c>
      <c r="G2017" s="2">
        <f t="shared" si="15"/>
        <v>2.4692099999999999</v>
      </c>
    </row>
    <row r="2018" spans="1:7" ht="14.25" customHeight="1">
      <c r="A2018" s="2" t="s">
        <v>15</v>
      </c>
      <c r="B2018" s="2">
        <v>2015</v>
      </c>
      <c r="C2018" s="2" t="s">
        <v>60</v>
      </c>
      <c r="D2018" s="2">
        <v>2110.34</v>
      </c>
      <c r="E2018" s="3">
        <f t="shared" si="14"/>
        <v>2.1103400000000003</v>
      </c>
      <c r="G2018" s="2">
        <f t="shared" si="15"/>
        <v>2.1103400000000003</v>
      </c>
    </row>
    <row r="2019" spans="1:7" ht="14.25" customHeight="1">
      <c r="A2019" s="2" t="s">
        <v>15</v>
      </c>
      <c r="B2019" s="2">
        <v>2016</v>
      </c>
      <c r="C2019" s="2" t="s">
        <v>60</v>
      </c>
      <c r="D2019" s="2">
        <v>2324.4699999999998</v>
      </c>
      <c r="E2019" s="3">
        <f t="shared" si="14"/>
        <v>2.3244699999999998</v>
      </c>
      <c r="G2019" s="2">
        <f t="shared" si="15"/>
        <v>2.3244699999999998</v>
      </c>
    </row>
    <row r="2020" spans="1:7" ht="14.25" customHeight="1">
      <c r="A2020" s="2" t="s">
        <v>15</v>
      </c>
      <c r="B2020" s="2">
        <v>2017</v>
      </c>
      <c r="C2020" s="2" t="s">
        <v>60</v>
      </c>
      <c r="D2020" s="2">
        <v>1873.89</v>
      </c>
      <c r="E2020" s="3">
        <f t="shared" si="14"/>
        <v>1.8738900000000001</v>
      </c>
      <c r="G2020" s="2">
        <f t="shared" si="15"/>
        <v>1.8738900000000001</v>
      </c>
    </row>
    <row r="2021" spans="1:7" ht="14.25" customHeight="1">
      <c r="A2021" s="2" t="s">
        <v>15</v>
      </c>
      <c r="B2021" s="2">
        <v>2018</v>
      </c>
      <c r="C2021" s="2" t="s">
        <v>60</v>
      </c>
      <c r="D2021" s="2">
        <v>1738.18</v>
      </c>
      <c r="E2021" s="3">
        <f t="shared" si="14"/>
        <v>1.7381800000000001</v>
      </c>
      <c r="G2021" s="2">
        <f t="shared" si="15"/>
        <v>1.7381800000000001</v>
      </c>
    </row>
    <row r="2022" spans="1:7" ht="14.25" customHeight="1">
      <c r="A2022" s="2" t="s">
        <v>15</v>
      </c>
      <c r="B2022" s="2">
        <v>1913</v>
      </c>
      <c r="C2022" s="2" t="s">
        <v>61</v>
      </c>
      <c r="D2022" s="2">
        <v>21</v>
      </c>
      <c r="E2022" s="3">
        <f t="shared" si="14"/>
        <v>2.1000000000000001E-2</v>
      </c>
      <c r="G2022" s="2">
        <f t="shared" si="15"/>
        <v>2.1000000000000001E-2</v>
      </c>
    </row>
    <row r="2023" spans="1:7" ht="14.25" customHeight="1">
      <c r="A2023" s="2" t="s">
        <v>15</v>
      </c>
      <c r="B2023" s="2">
        <v>1919</v>
      </c>
      <c r="C2023" s="2" t="s">
        <v>61</v>
      </c>
      <c r="D2023" s="2">
        <v>5</v>
      </c>
      <c r="E2023" s="3">
        <f t="shared" si="14"/>
        <v>5.0000000000000001E-3</v>
      </c>
      <c r="G2023" s="2">
        <f t="shared" si="15"/>
        <v>5.0000000000000001E-3</v>
      </c>
    </row>
    <row r="2024" spans="1:7" ht="14.25" customHeight="1">
      <c r="A2024" s="2" t="s">
        <v>15</v>
      </c>
      <c r="B2024" s="2">
        <v>1920</v>
      </c>
      <c r="C2024" s="2" t="s">
        <v>61</v>
      </c>
      <c r="D2024" s="2">
        <v>13</v>
      </c>
      <c r="E2024" s="3">
        <f t="shared" si="14"/>
        <v>1.2999999999999999E-2</v>
      </c>
      <c r="G2024" s="2">
        <f t="shared" si="15"/>
        <v>1.2999999999999999E-2</v>
      </c>
    </row>
    <row r="2025" spans="1:7" ht="14.25" customHeight="1">
      <c r="A2025" s="2" t="s">
        <v>15</v>
      </c>
      <c r="B2025" s="2">
        <v>1921</v>
      </c>
      <c r="C2025" s="2" t="s">
        <v>61</v>
      </c>
      <c r="D2025" s="2">
        <v>25</v>
      </c>
      <c r="E2025" s="3">
        <f t="shared" si="14"/>
        <v>2.5000000000000001E-2</v>
      </c>
      <c r="G2025" s="2">
        <f t="shared" si="15"/>
        <v>2.5000000000000001E-2</v>
      </c>
    </row>
    <row r="2026" spans="1:7" ht="14.25" customHeight="1">
      <c r="A2026" s="2" t="s">
        <v>15</v>
      </c>
      <c r="B2026" s="2">
        <v>1922</v>
      </c>
      <c r="C2026" s="2" t="s">
        <v>61</v>
      </c>
      <c r="D2026" s="2">
        <v>29</v>
      </c>
      <c r="E2026" s="3">
        <f t="shared" si="14"/>
        <v>2.9000000000000001E-2</v>
      </c>
      <c r="G2026" s="2">
        <f t="shared" si="15"/>
        <v>2.9000000000000001E-2</v>
      </c>
    </row>
    <row r="2027" spans="1:7" ht="14.25" customHeight="1">
      <c r="A2027" s="2" t="s">
        <v>15</v>
      </c>
      <c r="B2027" s="2">
        <v>1923</v>
      </c>
      <c r="C2027" s="2" t="s">
        <v>61</v>
      </c>
      <c r="D2027" s="2">
        <v>7</v>
      </c>
      <c r="E2027" s="3">
        <f t="shared" si="14"/>
        <v>7.0000000000000001E-3</v>
      </c>
      <c r="G2027" s="2">
        <f t="shared" si="15"/>
        <v>7.0000000000000001E-3</v>
      </c>
    </row>
    <row r="2028" spans="1:7" ht="14.25" customHeight="1">
      <c r="A2028" s="2" t="s">
        <v>15</v>
      </c>
      <c r="B2028" s="2">
        <v>1924</v>
      </c>
      <c r="C2028" s="2" t="s">
        <v>61</v>
      </c>
      <c r="D2028" s="2">
        <v>24</v>
      </c>
      <c r="E2028" s="3">
        <f t="shared" si="14"/>
        <v>2.4E-2</v>
      </c>
      <c r="G2028" s="2">
        <f t="shared" si="15"/>
        <v>2.4E-2</v>
      </c>
    </row>
    <row r="2029" spans="1:7" ht="14.25" customHeight="1">
      <c r="A2029" s="2" t="s">
        <v>15</v>
      </c>
      <c r="B2029" s="2">
        <v>1925</v>
      </c>
      <c r="C2029" s="2" t="s">
        <v>61</v>
      </c>
      <c r="D2029" s="2">
        <v>24</v>
      </c>
      <c r="E2029" s="3">
        <f t="shared" si="14"/>
        <v>2.4E-2</v>
      </c>
      <c r="G2029" s="2">
        <f t="shared" si="15"/>
        <v>2.4E-2</v>
      </c>
    </row>
    <row r="2030" spans="1:7" ht="14.25" customHeight="1">
      <c r="A2030" s="2" t="s">
        <v>15</v>
      </c>
      <c r="B2030" s="2">
        <v>1926</v>
      </c>
      <c r="C2030" s="2" t="s">
        <v>61</v>
      </c>
      <c r="D2030" s="2">
        <v>21</v>
      </c>
      <c r="E2030" s="3">
        <f t="shared" si="14"/>
        <v>2.1000000000000001E-2</v>
      </c>
      <c r="G2030" s="2">
        <f t="shared" si="15"/>
        <v>2.1000000000000001E-2</v>
      </c>
    </row>
    <row r="2031" spans="1:7" ht="14.25" customHeight="1">
      <c r="A2031" s="2" t="s">
        <v>15</v>
      </c>
      <c r="B2031" s="2">
        <v>1927</v>
      </c>
      <c r="C2031" s="2" t="s">
        <v>61</v>
      </c>
      <c r="D2031" s="2">
        <v>19</v>
      </c>
      <c r="E2031" s="3">
        <f t="shared" si="14"/>
        <v>1.9E-2</v>
      </c>
      <c r="G2031" s="2">
        <f t="shared" si="15"/>
        <v>1.9E-2</v>
      </c>
    </row>
    <row r="2032" spans="1:7" ht="14.25" customHeight="1">
      <c r="A2032" s="2" t="s">
        <v>15</v>
      </c>
      <c r="B2032" s="2">
        <v>1928</v>
      </c>
      <c r="C2032" s="2" t="s">
        <v>61</v>
      </c>
      <c r="D2032" s="2">
        <v>19</v>
      </c>
      <c r="E2032" s="3">
        <f t="shared" si="14"/>
        <v>1.9E-2</v>
      </c>
      <c r="G2032" s="2">
        <f t="shared" si="15"/>
        <v>1.9E-2</v>
      </c>
    </row>
    <row r="2033" spans="1:7" ht="14.25" customHeight="1">
      <c r="A2033" s="2" t="s">
        <v>15</v>
      </c>
      <c r="B2033" s="2">
        <v>1929</v>
      </c>
      <c r="C2033" s="2" t="s">
        <v>61</v>
      </c>
      <c r="D2033" s="2">
        <v>20</v>
      </c>
      <c r="E2033" s="3">
        <f t="shared" si="14"/>
        <v>0.02</v>
      </c>
      <c r="G2033" s="2">
        <f t="shared" si="15"/>
        <v>0.02</v>
      </c>
    </row>
    <row r="2034" spans="1:7" ht="14.25" customHeight="1">
      <c r="A2034" s="2" t="s">
        <v>15</v>
      </c>
      <c r="B2034" s="2">
        <v>1930</v>
      </c>
      <c r="C2034" s="2" t="s">
        <v>61</v>
      </c>
      <c r="D2034" s="2">
        <v>22</v>
      </c>
      <c r="E2034" s="3">
        <f t="shared" si="14"/>
        <v>2.1999999999999999E-2</v>
      </c>
      <c r="G2034" s="2">
        <f t="shared" si="15"/>
        <v>2.1999999999999999E-2</v>
      </c>
    </row>
    <row r="2035" spans="1:7" ht="14.25" customHeight="1">
      <c r="A2035" s="2" t="s">
        <v>15</v>
      </c>
      <c r="B2035" s="2">
        <v>1931</v>
      </c>
      <c r="C2035" s="2" t="s">
        <v>61</v>
      </c>
      <c r="D2035" s="2">
        <v>13</v>
      </c>
      <c r="E2035" s="3">
        <f t="shared" si="14"/>
        <v>1.2999999999999999E-2</v>
      </c>
      <c r="G2035" s="2">
        <f t="shared" si="15"/>
        <v>1.2999999999999999E-2</v>
      </c>
    </row>
    <row r="2036" spans="1:7" ht="14.25" customHeight="1">
      <c r="A2036" s="2" t="s">
        <v>15</v>
      </c>
      <c r="B2036" s="2">
        <v>1932</v>
      </c>
      <c r="C2036" s="2" t="s">
        <v>61</v>
      </c>
      <c r="D2036" s="2">
        <v>11</v>
      </c>
      <c r="E2036" s="3">
        <f t="shared" si="14"/>
        <v>1.0999999999999999E-2</v>
      </c>
      <c r="G2036" s="2">
        <f t="shared" si="15"/>
        <v>1.0999999999999999E-2</v>
      </c>
    </row>
    <row r="2037" spans="1:7" ht="14.25" customHeight="1">
      <c r="A2037" s="2" t="s">
        <v>15</v>
      </c>
      <c r="B2037" s="2">
        <v>1933</v>
      </c>
      <c r="C2037" s="2" t="s">
        <v>61</v>
      </c>
      <c r="D2037" s="2">
        <v>14</v>
      </c>
      <c r="E2037" s="3">
        <f t="shared" si="14"/>
        <v>1.4E-2</v>
      </c>
      <c r="G2037" s="2">
        <f t="shared" si="15"/>
        <v>1.4E-2</v>
      </c>
    </row>
    <row r="2038" spans="1:7" ht="14.25" customHeight="1">
      <c r="A2038" s="2" t="s">
        <v>15</v>
      </c>
      <c r="B2038" s="2">
        <v>1934</v>
      </c>
      <c r="C2038" s="2" t="s">
        <v>61</v>
      </c>
      <c r="D2038" s="2">
        <v>18</v>
      </c>
      <c r="E2038" s="3">
        <f t="shared" si="14"/>
        <v>1.7999999999999999E-2</v>
      </c>
      <c r="G2038" s="2">
        <f t="shared" si="15"/>
        <v>1.7999999999999999E-2</v>
      </c>
    </row>
    <row r="2039" spans="1:7" ht="14.25" customHeight="1">
      <c r="A2039" s="2" t="s">
        <v>15</v>
      </c>
      <c r="B2039" s="2">
        <v>1935</v>
      </c>
      <c r="C2039" s="2" t="s">
        <v>61</v>
      </c>
      <c r="D2039" s="2">
        <v>14</v>
      </c>
      <c r="E2039" s="3">
        <f t="shared" si="14"/>
        <v>1.4E-2</v>
      </c>
      <c r="G2039" s="2">
        <f t="shared" si="15"/>
        <v>1.4E-2</v>
      </c>
    </row>
    <row r="2040" spans="1:7" ht="14.25" customHeight="1">
      <c r="A2040" s="2" t="s">
        <v>15</v>
      </c>
      <c r="B2040" s="2">
        <v>1936</v>
      </c>
      <c r="C2040" s="2" t="s">
        <v>61</v>
      </c>
      <c r="D2040" s="2">
        <v>24</v>
      </c>
      <c r="E2040" s="3">
        <f t="shared" si="14"/>
        <v>2.4E-2</v>
      </c>
      <c r="G2040" s="2">
        <f t="shared" si="15"/>
        <v>2.4E-2</v>
      </c>
    </row>
    <row r="2041" spans="1:7" ht="14.25" customHeight="1">
      <c r="A2041" s="2" t="s">
        <v>15</v>
      </c>
      <c r="B2041" s="2">
        <v>1937</v>
      </c>
      <c r="C2041" s="2" t="s">
        <v>61</v>
      </c>
      <c r="D2041" s="2">
        <v>18</v>
      </c>
      <c r="E2041" s="3">
        <f t="shared" si="14"/>
        <v>1.7999999999999999E-2</v>
      </c>
      <c r="G2041" s="2">
        <f t="shared" si="15"/>
        <v>1.7999999999999999E-2</v>
      </c>
    </row>
    <row r="2042" spans="1:7" ht="14.25" customHeight="1">
      <c r="A2042" s="2" t="s">
        <v>15</v>
      </c>
      <c r="B2042" s="2">
        <v>1938</v>
      </c>
      <c r="C2042" s="2" t="s">
        <v>61</v>
      </c>
      <c r="D2042" s="2">
        <v>10</v>
      </c>
      <c r="E2042" s="3">
        <f t="shared" ref="E2042:E2296" si="16">D2042/1000</f>
        <v>0.01</v>
      </c>
      <c r="G2042" s="2">
        <f t="shared" ref="G2042:G2296" si="17">E2042+F2042</f>
        <v>0.01</v>
      </c>
    </row>
    <row r="2043" spans="1:7" ht="14.25" customHeight="1">
      <c r="A2043" s="2" t="s">
        <v>15</v>
      </c>
      <c r="B2043" s="2">
        <v>1939</v>
      </c>
      <c r="C2043" s="2" t="s">
        <v>61</v>
      </c>
      <c r="D2043" s="2">
        <v>19</v>
      </c>
      <c r="E2043" s="3">
        <f t="shared" si="16"/>
        <v>1.9E-2</v>
      </c>
      <c r="G2043" s="2">
        <f t="shared" si="17"/>
        <v>1.9E-2</v>
      </c>
    </row>
    <row r="2044" spans="1:7" ht="14.25" customHeight="1">
      <c r="A2044" s="2" t="s">
        <v>15</v>
      </c>
      <c r="B2044" s="2">
        <v>1940</v>
      </c>
      <c r="C2044" s="2" t="s">
        <v>61</v>
      </c>
      <c r="D2044" s="2">
        <v>15</v>
      </c>
      <c r="E2044" s="3">
        <f t="shared" si="16"/>
        <v>1.4999999999999999E-2</v>
      </c>
      <c r="G2044" s="2">
        <f t="shared" si="17"/>
        <v>1.4999999999999999E-2</v>
      </c>
    </row>
    <row r="2045" spans="1:7" ht="14.25" customHeight="1">
      <c r="A2045" s="2" t="s">
        <v>15</v>
      </c>
      <c r="B2045" s="2">
        <v>1941</v>
      </c>
      <c r="C2045" s="2" t="s">
        <v>61</v>
      </c>
      <c r="D2045" s="2">
        <v>14</v>
      </c>
      <c r="E2045" s="3">
        <f t="shared" si="16"/>
        <v>1.4E-2</v>
      </c>
      <c r="G2045" s="2">
        <f t="shared" si="17"/>
        <v>1.4E-2</v>
      </c>
    </row>
    <row r="2046" spans="1:7" ht="14.25" customHeight="1">
      <c r="A2046" s="2" t="s">
        <v>15</v>
      </c>
      <c r="B2046" s="2">
        <v>1942</v>
      </c>
      <c r="C2046" s="2" t="s">
        <v>61</v>
      </c>
      <c r="D2046" s="2">
        <v>11</v>
      </c>
      <c r="E2046" s="3">
        <f t="shared" si="16"/>
        <v>1.0999999999999999E-2</v>
      </c>
      <c r="G2046" s="2">
        <f t="shared" si="17"/>
        <v>1.0999999999999999E-2</v>
      </c>
    </row>
    <row r="2047" spans="1:7" ht="14.25" customHeight="1">
      <c r="A2047" s="2" t="s">
        <v>15</v>
      </c>
      <c r="B2047" s="2">
        <v>1943</v>
      </c>
      <c r="C2047" s="2" t="s">
        <v>61</v>
      </c>
      <c r="D2047" s="2">
        <v>13</v>
      </c>
      <c r="E2047" s="3">
        <f t="shared" si="16"/>
        <v>1.2999999999999999E-2</v>
      </c>
      <c r="G2047" s="2">
        <f t="shared" si="17"/>
        <v>1.2999999999999999E-2</v>
      </c>
    </row>
    <row r="2048" spans="1:7" ht="14.25" customHeight="1">
      <c r="A2048" s="2" t="s">
        <v>15</v>
      </c>
      <c r="B2048" s="2">
        <v>1944</v>
      </c>
      <c r="C2048" s="2" t="s">
        <v>61</v>
      </c>
      <c r="D2048" s="2">
        <v>8</v>
      </c>
      <c r="E2048" s="3">
        <f t="shared" si="16"/>
        <v>8.0000000000000002E-3</v>
      </c>
      <c r="G2048" s="2">
        <f t="shared" si="17"/>
        <v>8.0000000000000002E-3</v>
      </c>
    </row>
    <row r="2049" spans="1:7" ht="14.25" customHeight="1">
      <c r="A2049" s="2" t="s">
        <v>15</v>
      </c>
      <c r="B2049" s="2">
        <v>1945</v>
      </c>
      <c r="C2049" s="2" t="s">
        <v>61</v>
      </c>
      <c r="D2049" s="2">
        <v>7</v>
      </c>
      <c r="E2049" s="3">
        <f t="shared" si="16"/>
        <v>7.0000000000000001E-3</v>
      </c>
      <c r="G2049" s="2">
        <f t="shared" si="17"/>
        <v>7.0000000000000001E-3</v>
      </c>
    </row>
    <row r="2050" spans="1:7" ht="14.25" customHeight="1">
      <c r="A2050" s="2" t="s">
        <v>15</v>
      </c>
      <c r="B2050" s="2">
        <v>1946</v>
      </c>
      <c r="C2050" s="2" t="s">
        <v>61</v>
      </c>
      <c r="D2050" s="2">
        <v>11</v>
      </c>
      <c r="E2050" s="3">
        <f t="shared" si="16"/>
        <v>1.0999999999999999E-2</v>
      </c>
      <c r="G2050" s="2">
        <f t="shared" si="17"/>
        <v>1.0999999999999999E-2</v>
      </c>
    </row>
    <row r="2051" spans="1:7" ht="14.25" customHeight="1">
      <c r="A2051" s="2" t="s">
        <v>15</v>
      </c>
      <c r="B2051" s="2">
        <v>1947</v>
      </c>
      <c r="C2051" s="2" t="s">
        <v>61</v>
      </c>
      <c r="D2051" s="2">
        <v>6</v>
      </c>
      <c r="E2051" s="3">
        <f t="shared" si="16"/>
        <v>6.0000000000000001E-3</v>
      </c>
      <c r="G2051" s="2">
        <f t="shared" si="17"/>
        <v>6.0000000000000001E-3</v>
      </c>
    </row>
    <row r="2052" spans="1:7" ht="14.25" customHeight="1">
      <c r="A2052" s="2" t="s">
        <v>15</v>
      </c>
      <c r="B2052" s="2">
        <v>1948</v>
      </c>
      <c r="C2052" s="2" t="s">
        <v>61</v>
      </c>
      <c r="D2052" s="2">
        <v>5</v>
      </c>
      <c r="E2052" s="3">
        <f t="shared" si="16"/>
        <v>5.0000000000000001E-3</v>
      </c>
      <c r="G2052" s="2">
        <f t="shared" si="17"/>
        <v>5.0000000000000001E-3</v>
      </c>
    </row>
    <row r="2053" spans="1:7" ht="14.25" customHeight="1">
      <c r="A2053" s="2" t="s">
        <v>15</v>
      </c>
      <c r="B2053" s="2">
        <v>1949</v>
      </c>
      <c r="C2053" s="2" t="s">
        <v>61</v>
      </c>
      <c r="D2053" s="2">
        <v>4</v>
      </c>
      <c r="E2053" s="3">
        <f t="shared" si="16"/>
        <v>4.0000000000000001E-3</v>
      </c>
      <c r="G2053" s="2">
        <f t="shared" si="17"/>
        <v>4.0000000000000001E-3</v>
      </c>
    </row>
    <row r="2054" spans="1:7" ht="14.25" customHeight="1">
      <c r="A2054" s="2" t="s">
        <v>15</v>
      </c>
      <c r="B2054" s="2">
        <v>1950</v>
      </c>
      <c r="C2054" s="2" t="s">
        <v>61</v>
      </c>
      <c r="D2054" s="2">
        <v>0</v>
      </c>
      <c r="E2054" s="3">
        <f t="shared" si="16"/>
        <v>0</v>
      </c>
      <c r="G2054" s="2">
        <f t="shared" si="17"/>
        <v>0</v>
      </c>
    </row>
    <row r="2055" spans="1:7" ht="14.25" customHeight="1">
      <c r="A2055" s="2" t="s">
        <v>15</v>
      </c>
      <c r="B2055" s="2">
        <v>1951</v>
      </c>
      <c r="C2055" s="2" t="s">
        <v>61</v>
      </c>
      <c r="D2055" s="2">
        <v>0</v>
      </c>
      <c r="E2055" s="3">
        <f t="shared" si="16"/>
        <v>0</v>
      </c>
      <c r="G2055" s="2">
        <f t="shared" si="17"/>
        <v>0</v>
      </c>
    </row>
    <row r="2056" spans="1:7" ht="14.25" customHeight="1">
      <c r="A2056" s="2" t="s">
        <v>15</v>
      </c>
      <c r="B2056" s="2">
        <v>1952</v>
      </c>
      <c r="C2056" s="2" t="s">
        <v>61</v>
      </c>
      <c r="D2056" s="2">
        <v>0</v>
      </c>
      <c r="E2056" s="3">
        <f t="shared" si="16"/>
        <v>0</v>
      </c>
      <c r="G2056" s="2">
        <f t="shared" si="17"/>
        <v>0</v>
      </c>
    </row>
    <row r="2057" spans="1:7" ht="14.25" customHeight="1">
      <c r="A2057" s="2" t="s">
        <v>15</v>
      </c>
      <c r="B2057" s="2">
        <v>1953</v>
      </c>
      <c r="C2057" s="2" t="s">
        <v>61</v>
      </c>
      <c r="D2057" s="2">
        <v>0</v>
      </c>
      <c r="E2057" s="3">
        <f t="shared" si="16"/>
        <v>0</v>
      </c>
      <c r="G2057" s="2">
        <f t="shared" si="17"/>
        <v>0</v>
      </c>
    </row>
    <row r="2058" spans="1:7" ht="14.25" customHeight="1">
      <c r="A2058" s="2" t="s">
        <v>15</v>
      </c>
      <c r="B2058" s="2">
        <v>1954</v>
      </c>
      <c r="C2058" s="2" t="s">
        <v>61</v>
      </c>
      <c r="D2058" s="2">
        <v>0</v>
      </c>
      <c r="E2058" s="3">
        <f t="shared" si="16"/>
        <v>0</v>
      </c>
      <c r="G2058" s="2">
        <f t="shared" si="17"/>
        <v>0</v>
      </c>
    </row>
    <row r="2059" spans="1:7" ht="14.25" customHeight="1">
      <c r="A2059" s="2" t="s">
        <v>15</v>
      </c>
      <c r="B2059" s="2">
        <v>1955</v>
      </c>
      <c r="C2059" s="2" t="s">
        <v>61</v>
      </c>
      <c r="D2059" s="2">
        <v>0</v>
      </c>
      <c r="E2059" s="3">
        <f t="shared" si="16"/>
        <v>0</v>
      </c>
      <c r="G2059" s="2">
        <f t="shared" si="17"/>
        <v>0</v>
      </c>
    </row>
    <row r="2060" spans="1:7" ht="14.25" customHeight="1">
      <c r="A2060" s="2" t="s">
        <v>15</v>
      </c>
      <c r="B2060" s="2">
        <v>1956</v>
      </c>
      <c r="C2060" s="2" t="s">
        <v>61</v>
      </c>
      <c r="D2060" s="2">
        <v>0</v>
      </c>
      <c r="E2060" s="3">
        <f t="shared" si="16"/>
        <v>0</v>
      </c>
      <c r="G2060" s="2">
        <f t="shared" si="17"/>
        <v>0</v>
      </c>
    </row>
    <row r="2061" spans="1:7" ht="14.25" customHeight="1">
      <c r="A2061" s="2" t="s">
        <v>15</v>
      </c>
      <c r="B2061" s="2">
        <v>1957</v>
      </c>
      <c r="C2061" s="2" t="s">
        <v>61</v>
      </c>
      <c r="D2061" s="2">
        <v>0</v>
      </c>
      <c r="E2061" s="3">
        <f t="shared" si="16"/>
        <v>0</v>
      </c>
      <c r="G2061" s="2">
        <f t="shared" si="17"/>
        <v>0</v>
      </c>
    </row>
    <row r="2062" spans="1:7" ht="14.25" customHeight="1">
      <c r="A2062" s="2" t="s">
        <v>15</v>
      </c>
      <c r="B2062" s="2">
        <v>1958</v>
      </c>
      <c r="C2062" s="2" t="s">
        <v>61</v>
      </c>
      <c r="D2062" s="2">
        <v>0</v>
      </c>
      <c r="E2062" s="3">
        <f t="shared" si="16"/>
        <v>0</v>
      </c>
      <c r="G2062" s="2">
        <f t="shared" si="17"/>
        <v>0</v>
      </c>
    </row>
    <row r="2063" spans="1:7" ht="14.25" customHeight="1">
      <c r="A2063" s="2" t="s">
        <v>15</v>
      </c>
      <c r="B2063" s="2">
        <v>1959</v>
      </c>
      <c r="C2063" s="2" t="s">
        <v>61</v>
      </c>
      <c r="D2063" s="2">
        <v>0</v>
      </c>
      <c r="E2063" s="3">
        <f t="shared" si="16"/>
        <v>0</v>
      </c>
      <c r="G2063" s="2">
        <f t="shared" si="17"/>
        <v>0</v>
      </c>
    </row>
    <row r="2064" spans="1:7" ht="14.25" customHeight="1">
      <c r="A2064" s="2" t="s">
        <v>15</v>
      </c>
      <c r="B2064" s="2">
        <v>1960</v>
      </c>
      <c r="C2064" s="2" t="s">
        <v>61</v>
      </c>
      <c r="D2064" s="2">
        <v>52</v>
      </c>
      <c r="E2064" s="3">
        <f t="shared" si="16"/>
        <v>5.1999999999999998E-2</v>
      </c>
      <c r="G2064" s="2">
        <f t="shared" si="17"/>
        <v>5.1999999999999998E-2</v>
      </c>
    </row>
    <row r="2065" spans="1:7" ht="14.25" customHeight="1">
      <c r="A2065" s="2" t="s">
        <v>15</v>
      </c>
      <c r="B2065" s="2">
        <v>1961</v>
      </c>
      <c r="C2065" s="2" t="s">
        <v>61</v>
      </c>
      <c r="D2065" s="2">
        <v>44</v>
      </c>
      <c r="E2065" s="3">
        <f t="shared" si="16"/>
        <v>4.3999999999999997E-2</v>
      </c>
      <c r="G2065" s="2">
        <f t="shared" si="17"/>
        <v>4.3999999999999997E-2</v>
      </c>
    </row>
    <row r="2066" spans="1:7" ht="14.25" customHeight="1">
      <c r="A2066" s="2" t="s">
        <v>15</v>
      </c>
      <c r="B2066" s="2">
        <v>1962</v>
      </c>
      <c r="C2066" s="2" t="s">
        <v>61</v>
      </c>
      <c r="D2066" s="2">
        <v>11</v>
      </c>
      <c r="E2066" s="3">
        <f t="shared" si="16"/>
        <v>1.0999999999999999E-2</v>
      </c>
      <c r="G2066" s="2">
        <f t="shared" si="17"/>
        <v>1.0999999999999999E-2</v>
      </c>
    </row>
    <row r="2067" spans="1:7" ht="14.25" customHeight="1">
      <c r="A2067" s="2" t="s">
        <v>15</v>
      </c>
      <c r="B2067" s="2">
        <v>1963</v>
      </c>
      <c r="C2067" s="2" t="s">
        <v>61</v>
      </c>
      <c r="D2067" s="2">
        <v>26</v>
      </c>
      <c r="E2067" s="3">
        <f t="shared" si="16"/>
        <v>2.5999999999999999E-2</v>
      </c>
      <c r="G2067" s="2">
        <f t="shared" si="17"/>
        <v>2.5999999999999999E-2</v>
      </c>
    </row>
    <row r="2068" spans="1:7" ht="14.25" customHeight="1">
      <c r="A2068" s="2" t="s">
        <v>15</v>
      </c>
      <c r="B2068" s="2">
        <v>1964</v>
      </c>
      <c r="C2068" s="2" t="s">
        <v>61</v>
      </c>
      <c r="D2068" s="2">
        <v>16</v>
      </c>
      <c r="E2068" s="3">
        <f t="shared" si="16"/>
        <v>1.6E-2</v>
      </c>
      <c r="G2068" s="2">
        <f t="shared" si="17"/>
        <v>1.6E-2</v>
      </c>
    </row>
    <row r="2069" spans="1:7" ht="14.25" customHeight="1">
      <c r="A2069" s="2" t="s">
        <v>15</v>
      </c>
      <c r="B2069" s="2">
        <v>1965</v>
      </c>
      <c r="C2069" s="2" t="s">
        <v>61</v>
      </c>
      <c r="D2069" s="2">
        <v>2</v>
      </c>
      <c r="E2069" s="3">
        <f t="shared" si="16"/>
        <v>2E-3</v>
      </c>
      <c r="G2069" s="2">
        <f t="shared" si="17"/>
        <v>2E-3</v>
      </c>
    </row>
    <row r="2070" spans="1:7" ht="14.25" customHeight="1">
      <c r="A2070" s="2" t="s">
        <v>15</v>
      </c>
      <c r="B2070" s="2">
        <v>1966</v>
      </c>
      <c r="C2070" s="2" t="s">
        <v>61</v>
      </c>
      <c r="D2070" s="2">
        <v>3</v>
      </c>
      <c r="E2070" s="3">
        <f t="shared" si="16"/>
        <v>3.0000000000000001E-3</v>
      </c>
      <c r="G2070" s="2">
        <f t="shared" si="17"/>
        <v>3.0000000000000001E-3</v>
      </c>
    </row>
    <row r="2071" spans="1:7" ht="14.25" customHeight="1">
      <c r="A2071" s="2" t="s">
        <v>15</v>
      </c>
      <c r="B2071" s="2">
        <v>1967</v>
      </c>
      <c r="C2071" s="2" t="s">
        <v>61</v>
      </c>
      <c r="D2071" s="2">
        <v>10</v>
      </c>
      <c r="E2071" s="3">
        <f t="shared" si="16"/>
        <v>0.01</v>
      </c>
      <c r="G2071" s="2">
        <f t="shared" si="17"/>
        <v>0.01</v>
      </c>
    </row>
    <row r="2072" spans="1:7" ht="14.25" customHeight="1">
      <c r="A2072" s="2" t="s">
        <v>15</v>
      </c>
      <c r="B2072" s="2">
        <v>1968</v>
      </c>
      <c r="C2072" s="2" t="s">
        <v>61</v>
      </c>
      <c r="D2072" s="2">
        <v>7</v>
      </c>
      <c r="E2072" s="3">
        <f t="shared" si="16"/>
        <v>7.0000000000000001E-3</v>
      </c>
      <c r="G2072" s="2">
        <f t="shared" si="17"/>
        <v>7.0000000000000001E-3</v>
      </c>
    </row>
    <row r="2073" spans="1:7" ht="14.25" customHeight="1">
      <c r="A2073" s="2" t="s">
        <v>15</v>
      </c>
      <c r="B2073" s="2">
        <v>1969</v>
      </c>
      <c r="C2073" s="2" t="s">
        <v>61</v>
      </c>
      <c r="D2073" s="2">
        <v>7</v>
      </c>
      <c r="E2073" s="3">
        <f t="shared" si="16"/>
        <v>7.0000000000000001E-3</v>
      </c>
      <c r="G2073" s="2">
        <f t="shared" si="17"/>
        <v>7.0000000000000001E-3</v>
      </c>
    </row>
    <row r="2074" spans="1:7" ht="14.25" customHeight="1">
      <c r="A2074" s="2" t="s">
        <v>15</v>
      </c>
      <c r="B2074" s="2">
        <v>1970</v>
      </c>
      <c r="C2074" s="2" t="s">
        <v>61</v>
      </c>
      <c r="D2074" s="2">
        <v>4</v>
      </c>
      <c r="E2074" s="3">
        <f t="shared" si="16"/>
        <v>4.0000000000000001E-3</v>
      </c>
      <c r="G2074" s="2">
        <f t="shared" si="17"/>
        <v>4.0000000000000001E-3</v>
      </c>
    </row>
    <row r="2075" spans="1:7" ht="14.25" customHeight="1">
      <c r="A2075" s="2" t="s">
        <v>15</v>
      </c>
      <c r="B2075" s="2">
        <v>1971</v>
      </c>
      <c r="C2075" s="2" t="s">
        <v>61</v>
      </c>
      <c r="D2075" s="2">
        <v>24</v>
      </c>
      <c r="E2075" s="3">
        <f t="shared" si="16"/>
        <v>2.4E-2</v>
      </c>
      <c r="G2075" s="2">
        <f t="shared" si="17"/>
        <v>2.4E-2</v>
      </c>
    </row>
    <row r="2076" spans="1:7" ht="14.25" customHeight="1">
      <c r="A2076" s="2" t="s">
        <v>15</v>
      </c>
      <c r="B2076" s="2">
        <v>1972</v>
      </c>
      <c r="C2076" s="2" t="s">
        <v>61</v>
      </c>
      <c r="D2076" s="2">
        <v>20</v>
      </c>
      <c r="E2076" s="3">
        <f t="shared" si="16"/>
        <v>0.02</v>
      </c>
      <c r="G2076" s="2">
        <f t="shared" si="17"/>
        <v>0.02</v>
      </c>
    </row>
    <row r="2077" spans="1:7" ht="14.25" customHeight="1">
      <c r="A2077" s="2" t="s">
        <v>15</v>
      </c>
      <c r="B2077" s="2">
        <v>1973</v>
      </c>
      <c r="C2077" s="2" t="s">
        <v>61</v>
      </c>
      <c r="D2077" s="2">
        <v>4</v>
      </c>
      <c r="E2077" s="3">
        <f t="shared" si="16"/>
        <v>4.0000000000000001E-3</v>
      </c>
      <c r="G2077" s="2">
        <f t="shared" si="17"/>
        <v>4.0000000000000001E-3</v>
      </c>
    </row>
    <row r="2078" spans="1:7" ht="14.25" customHeight="1">
      <c r="A2078" s="2" t="s">
        <v>15</v>
      </c>
      <c r="B2078" s="2">
        <v>1974</v>
      </c>
      <c r="C2078" s="2" t="s">
        <v>61</v>
      </c>
      <c r="D2078" s="2">
        <v>5</v>
      </c>
      <c r="E2078" s="3">
        <f t="shared" si="16"/>
        <v>5.0000000000000001E-3</v>
      </c>
      <c r="G2078" s="2">
        <f t="shared" si="17"/>
        <v>5.0000000000000001E-3</v>
      </c>
    </row>
    <row r="2079" spans="1:7" ht="14.25" customHeight="1">
      <c r="A2079" s="2" t="s">
        <v>15</v>
      </c>
      <c r="B2079" s="2">
        <v>1975</v>
      </c>
      <c r="C2079" s="2" t="s">
        <v>61</v>
      </c>
      <c r="D2079" s="2">
        <v>2</v>
      </c>
      <c r="E2079" s="3">
        <f t="shared" si="16"/>
        <v>2E-3</v>
      </c>
      <c r="G2079" s="2">
        <f t="shared" si="17"/>
        <v>2E-3</v>
      </c>
    </row>
    <row r="2080" spans="1:7" ht="14.25" customHeight="1">
      <c r="A2080" s="2" t="s">
        <v>15</v>
      </c>
      <c r="B2080" s="2">
        <v>1976</v>
      </c>
      <c r="C2080" s="2" t="s">
        <v>61</v>
      </c>
      <c r="D2080" s="2">
        <v>1</v>
      </c>
      <c r="E2080" s="3">
        <f t="shared" si="16"/>
        <v>1E-3</v>
      </c>
      <c r="G2080" s="2">
        <f t="shared" si="17"/>
        <v>1E-3</v>
      </c>
    </row>
    <row r="2081" spans="1:7" ht="14.25" customHeight="1">
      <c r="A2081" s="2" t="s">
        <v>15</v>
      </c>
      <c r="B2081" s="2">
        <v>1977</v>
      </c>
      <c r="C2081" s="2" t="s">
        <v>61</v>
      </c>
      <c r="D2081" s="2">
        <v>3</v>
      </c>
      <c r="E2081" s="3">
        <f t="shared" si="16"/>
        <v>3.0000000000000001E-3</v>
      </c>
      <c r="G2081" s="2">
        <f t="shared" si="17"/>
        <v>3.0000000000000001E-3</v>
      </c>
    </row>
    <row r="2082" spans="1:7" ht="14.25" customHeight="1">
      <c r="A2082" s="2" t="s">
        <v>15</v>
      </c>
      <c r="B2082" s="2">
        <v>1978</v>
      </c>
      <c r="C2082" s="2" t="s">
        <v>61</v>
      </c>
      <c r="D2082" s="2">
        <v>1</v>
      </c>
      <c r="E2082" s="3">
        <f t="shared" si="16"/>
        <v>1E-3</v>
      </c>
      <c r="G2082" s="2">
        <f t="shared" si="17"/>
        <v>1E-3</v>
      </c>
    </row>
    <row r="2083" spans="1:7" ht="14.25" customHeight="1">
      <c r="A2083" s="2" t="s">
        <v>15</v>
      </c>
      <c r="B2083" s="2">
        <v>1979</v>
      </c>
      <c r="C2083" s="2" t="s">
        <v>61</v>
      </c>
      <c r="D2083" s="2">
        <v>5</v>
      </c>
      <c r="E2083" s="3">
        <f t="shared" si="16"/>
        <v>5.0000000000000001E-3</v>
      </c>
      <c r="G2083" s="2">
        <f t="shared" si="17"/>
        <v>5.0000000000000001E-3</v>
      </c>
    </row>
    <row r="2084" spans="1:7" ht="14.25" customHeight="1">
      <c r="A2084" s="2" t="s">
        <v>15</v>
      </c>
      <c r="B2084" s="2">
        <v>1980</v>
      </c>
      <c r="C2084" s="2" t="s">
        <v>61</v>
      </c>
      <c r="D2084" s="2">
        <v>1</v>
      </c>
      <c r="E2084" s="3">
        <f t="shared" si="16"/>
        <v>1E-3</v>
      </c>
      <c r="G2084" s="2">
        <f t="shared" si="17"/>
        <v>1E-3</v>
      </c>
    </row>
    <row r="2085" spans="1:7" ht="14.25" customHeight="1">
      <c r="A2085" s="2" t="s">
        <v>15</v>
      </c>
      <c r="B2085" s="2">
        <v>1981</v>
      </c>
      <c r="C2085" s="2" t="s">
        <v>61</v>
      </c>
      <c r="D2085" s="2">
        <v>0</v>
      </c>
      <c r="E2085" s="3">
        <f t="shared" si="16"/>
        <v>0</v>
      </c>
      <c r="G2085" s="2">
        <f t="shared" si="17"/>
        <v>0</v>
      </c>
    </row>
    <row r="2086" spans="1:7" ht="14.25" customHeight="1">
      <c r="A2086" s="2" t="s">
        <v>15</v>
      </c>
      <c r="B2086" s="2">
        <v>1982</v>
      </c>
      <c r="C2086" s="2" t="s">
        <v>61</v>
      </c>
      <c r="D2086" s="2">
        <v>5</v>
      </c>
      <c r="E2086" s="3">
        <f t="shared" si="16"/>
        <v>5.0000000000000001E-3</v>
      </c>
      <c r="G2086" s="2">
        <f t="shared" si="17"/>
        <v>5.0000000000000001E-3</v>
      </c>
    </row>
    <row r="2087" spans="1:7" ht="14.25" customHeight="1">
      <c r="A2087" s="2" t="s">
        <v>15</v>
      </c>
      <c r="B2087" s="2">
        <v>1983</v>
      </c>
      <c r="C2087" s="2" t="s">
        <v>61</v>
      </c>
      <c r="D2087" s="2">
        <v>2</v>
      </c>
      <c r="E2087" s="3">
        <f t="shared" si="16"/>
        <v>2E-3</v>
      </c>
      <c r="G2087" s="2">
        <f t="shared" si="17"/>
        <v>2E-3</v>
      </c>
    </row>
    <row r="2088" spans="1:7" ht="14.25" customHeight="1">
      <c r="A2088" s="2" t="s">
        <v>15</v>
      </c>
      <c r="B2088" s="2">
        <v>1984</v>
      </c>
      <c r="C2088" s="2" t="s">
        <v>61</v>
      </c>
      <c r="D2088" s="2">
        <v>1</v>
      </c>
      <c r="E2088" s="3">
        <f t="shared" si="16"/>
        <v>1E-3</v>
      </c>
      <c r="G2088" s="2">
        <f t="shared" si="17"/>
        <v>1E-3</v>
      </c>
    </row>
    <row r="2089" spans="1:7" ht="14.25" customHeight="1">
      <c r="A2089" s="2" t="s">
        <v>15</v>
      </c>
      <c r="B2089" s="2">
        <v>1985</v>
      </c>
      <c r="C2089" s="2" t="s">
        <v>61</v>
      </c>
      <c r="D2089" s="2">
        <v>17</v>
      </c>
      <c r="E2089" s="3">
        <f t="shared" si="16"/>
        <v>1.7000000000000001E-2</v>
      </c>
      <c r="G2089" s="2">
        <f t="shared" si="17"/>
        <v>1.7000000000000001E-2</v>
      </c>
    </row>
    <row r="2090" spans="1:7" ht="14.25" customHeight="1">
      <c r="A2090" s="2" t="s">
        <v>15</v>
      </c>
      <c r="B2090" s="2">
        <v>1986</v>
      </c>
      <c r="C2090" s="2" t="s">
        <v>61</v>
      </c>
      <c r="D2090" s="2">
        <v>0</v>
      </c>
      <c r="E2090" s="3">
        <f t="shared" si="16"/>
        <v>0</v>
      </c>
      <c r="G2090" s="2">
        <f t="shared" si="17"/>
        <v>0</v>
      </c>
    </row>
    <row r="2091" spans="1:7" ht="14.25" customHeight="1">
      <c r="A2091" s="2" t="s">
        <v>15</v>
      </c>
      <c r="B2091" s="2">
        <v>1987</v>
      </c>
      <c r="C2091" s="2" t="s">
        <v>61</v>
      </c>
      <c r="D2091" s="2">
        <v>0</v>
      </c>
      <c r="E2091" s="3">
        <f t="shared" si="16"/>
        <v>0</v>
      </c>
      <c r="G2091" s="2">
        <f t="shared" si="17"/>
        <v>0</v>
      </c>
    </row>
    <row r="2092" spans="1:7" ht="14.25" customHeight="1">
      <c r="A2092" s="2" t="s">
        <v>15</v>
      </c>
      <c r="B2092" s="2">
        <v>1988</v>
      </c>
      <c r="C2092" s="2" t="s">
        <v>61</v>
      </c>
      <c r="D2092" s="2">
        <v>0</v>
      </c>
      <c r="E2092" s="3">
        <f t="shared" si="16"/>
        <v>0</v>
      </c>
      <c r="G2092" s="2">
        <f t="shared" si="17"/>
        <v>0</v>
      </c>
    </row>
    <row r="2093" spans="1:7" ht="14.25" customHeight="1">
      <c r="A2093" s="2" t="s">
        <v>15</v>
      </c>
      <c r="B2093" s="2">
        <v>1989</v>
      </c>
      <c r="C2093" s="2" t="s">
        <v>61</v>
      </c>
      <c r="D2093" s="2">
        <v>1</v>
      </c>
      <c r="E2093" s="3">
        <f t="shared" si="16"/>
        <v>1E-3</v>
      </c>
      <c r="G2093" s="2">
        <f t="shared" si="17"/>
        <v>1E-3</v>
      </c>
    </row>
    <row r="2094" spans="1:7" ht="14.25" customHeight="1">
      <c r="A2094" s="2" t="s">
        <v>15</v>
      </c>
      <c r="B2094" s="2">
        <v>1990</v>
      </c>
      <c r="C2094" s="2" t="s">
        <v>61</v>
      </c>
      <c r="D2094" s="2">
        <v>2</v>
      </c>
      <c r="E2094" s="3">
        <f t="shared" si="16"/>
        <v>2E-3</v>
      </c>
      <c r="G2094" s="2">
        <f t="shared" si="17"/>
        <v>2E-3</v>
      </c>
    </row>
    <row r="2095" spans="1:7" ht="14.25" customHeight="1">
      <c r="A2095" s="2" t="s">
        <v>15</v>
      </c>
      <c r="B2095" s="2">
        <v>1991</v>
      </c>
      <c r="C2095" s="2" t="s">
        <v>61</v>
      </c>
      <c r="D2095" s="2">
        <v>1</v>
      </c>
      <c r="E2095" s="3">
        <f t="shared" si="16"/>
        <v>1E-3</v>
      </c>
      <c r="G2095" s="2">
        <f t="shared" si="17"/>
        <v>1E-3</v>
      </c>
    </row>
    <row r="2096" spans="1:7" ht="14.25" customHeight="1">
      <c r="A2096" s="2" t="s">
        <v>15</v>
      </c>
      <c r="B2096" s="2">
        <v>1992</v>
      </c>
      <c r="C2096" s="2" t="s">
        <v>61</v>
      </c>
      <c r="D2096" s="2">
        <v>8</v>
      </c>
      <c r="E2096" s="3">
        <f t="shared" si="16"/>
        <v>8.0000000000000002E-3</v>
      </c>
      <c r="G2096" s="2">
        <f t="shared" si="17"/>
        <v>8.0000000000000002E-3</v>
      </c>
    </row>
    <row r="2097" spans="1:7" ht="14.25" customHeight="1">
      <c r="A2097" s="2" t="s">
        <v>15</v>
      </c>
      <c r="B2097" s="2">
        <v>1993</v>
      </c>
      <c r="C2097" s="2" t="s">
        <v>61</v>
      </c>
      <c r="D2097" s="2">
        <v>16</v>
      </c>
      <c r="E2097" s="3">
        <f t="shared" si="16"/>
        <v>1.6E-2</v>
      </c>
      <c r="G2097" s="2">
        <f t="shared" si="17"/>
        <v>1.6E-2</v>
      </c>
    </row>
    <row r="2098" spans="1:7" ht="14.25" customHeight="1">
      <c r="A2098" s="2" t="s">
        <v>15</v>
      </c>
      <c r="B2098" s="2">
        <v>1994</v>
      </c>
      <c r="C2098" s="2" t="s">
        <v>61</v>
      </c>
      <c r="D2098" s="2">
        <v>14</v>
      </c>
      <c r="E2098" s="3">
        <f t="shared" si="16"/>
        <v>1.4E-2</v>
      </c>
      <c r="G2098" s="2">
        <f t="shared" si="17"/>
        <v>1.4E-2</v>
      </c>
    </row>
    <row r="2099" spans="1:7" ht="14.25" customHeight="1">
      <c r="A2099" s="2" t="s">
        <v>15</v>
      </c>
      <c r="B2099" s="2">
        <v>1995</v>
      </c>
      <c r="C2099" s="2" t="s">
        <v>61</v>
      </c>
      <c r="D2099" s="2">
        <v>16</v>
      </c>
      <c r="E2099" s="3">
        <f t="shared" si="16"/>
        <v>1.6E-2</v>
      </c>
      <c r="G2099" s="2">
        <f t="shared" si="17"/>
        <v>1.6E-2</v>
      </c>
    </row>
    <row r="2100" spans="1:7" ht="14.25" customHeight="1">
      <c r="A2100" s="2" t="s">
        <v>15</v>
      </c>
      <c r="B2100" s="2">
        <v>1996</v>
      </c>
      <c r="C2100" s="2" t="s">
        <v>61</v>
      </c>
      <c r="D2100" s="2">
        <v>8</v>
      </c>
      <c r="E2100" s="3">
        <f t="shared" si="16"/>
        <v>8.0000000000000002E-3</v>
      </c>
      <c r="G2100" s="2">
        <f t="shared" si="17"/>
        <v>8.0000000000000002E-3</v>
      </c>
    </row>
    <row r="2101" spans="1:7" ht="14.25" customHeight="1">
      <c r="A2101" s="2" t="s">
        <v>15</v>
      </c>
      <c r="B2101" s="2">
        <v>1997</v>
      </c>
      <c r="C2101" s="2" t="s">
        <v>61</v>
      </c>
      <c r="D2101" s="2">
        <v>15</v>
      </c>
      <c r="E2101" s="3">
        <f t="shared" si="16"/>
        <v>1.4999999999999999E-2</v>
      </c>
      <c r="G2101" s="2">
        <f t="shared" si="17"/>
        <v>1.4999999999999999E-2</v>
      </c>
    </row>
    <row r="2102" spans="1:7" ht="14.25" customHeight="1">
      <c r="A2102" s="2" t="s">
        <v>15</v>
      </c>
      <c r="B2102" s="2">
        <v>1998</v>
      </c>
      <c r="C2102" s="2" t="s">
        <v>61</v>
      </c>
      <c r="D2102" s="2">
        <v>6</v>
      </c>
      <c r="E2102" s="3">
        <f t="shared" si="16"/>
        <v>6.0000000000000001E-3</v>
      </c>
      <c r="G2102" s="2">
        <f t="shared" si="17"/>
        <v>6.0000000000000001E-3</v>
      </c>
    </row>
    <row r="2103" spans="1:7" ht="14.25" customHeight="1">
      <c r="A2103" s="2" t="s">
        <v>15</v>
      </c>
      <c r="B2103" s="2">
        <v>1999</v>
      </c>
      <c r="C2103" s="2" t="s">
        <v>61</v>
      </c>
      <c r="D2103" s="2">
        <v>22</v>
      </c>
      <c r="E2103" s="3">
        <f t="shared" si="16"/>
        <v>2.1999999999999999E-2</v>
      </c>
      <c r="G2103" s="2">
        <f t="shared" si="17"/>
        <v>2.1999999999999999E-2</v>
      </c>
    </row>
    <row r="2104" spans="1:7" ht="14.25" customHeight="1">
      <c r="A2104" s="2" t="s">
        <v>15</v>
      </c>
      <c r="B2104" s="2">
        <v>2000</v>
      </c>
      <c r="C2104" s="2" t="s">
        <v>61</v>
      </c>
      <c r="D2104" s="2">
        <v>15</v>
      </c>
      <c r="E2104" s="3">
        <f t="shared" si="16"/>
        <v>1.4999999999999999E-2</v>
      </c>
      <c r="G2104" s="2">
        <f t="shared" si="17"/>
        <v>1.4999999999999999E-2</v>
      </c>
    </row>
    <row r="2105" spans="1:7" ht="14.25" customHeight="1">
      <c r="A2105" s="2" t="s">
        <v>15</v>
      </c>
      <c r="B2105" s="2">
        <v>2001</v>
      </c>
      <c r="C2105" s="2" t="s">
        <v>61</v>
      </c>
      <c r="D2105" s="2">
        <v>24</v>
      </c>
      <c r="E2105" s="3">
        <f t="shared" si="16"/>
        <v>2.4E-2</v>
      </c>
      <c r="G2105" s="2">
        <f t="shared" si="17"/>
        <v>2.4E-2</v>
      </c>
    </row>
    <row r="2106" spans="1:7" ht="14.25" customHeight="1">
      <c r="A2106" s="2" t="s">
        <v>15</v>
      </c>
      <c r="B2106" s="2">
        <v>2002</v>
      </c>
      <c r="C2106" s="2" t="s">
        <v>61</v>
      </c>
      <c r="D2106" s="2">
        <v>14</v>
      </c>
      <c r="E2106" s="3">
        <f t="shared" si="16"/>
        <v>1.4E-2</v>
      </c>
      <c r="G2106" s="2">
        <f t="shared" si="17"/>
        <v>1.4E-2</v>
      </c>
    </row>
    <row r="2107" spans="1:7" ht="14.25" customHeight="1">
      <c r="A2107" s="2" t="s">
        <v>15</v>
      </c>
      <c r="B2107" s="2">
        <v>2003</v>
      </c>
      <c r="C2107" s="2" t="s">
        <v>61</v>
      </c>
      <c r="D2107" s="2">
        <v>15</v>
      </c>
      <c r="E2107" s="3">
        <f t="shared" si="16"/>
        <v>1.4999999999999999E-2</v>
      </c>
      <c r="G2107" s="2">
        <f t="shared" si="17"/>
        <v>1.4999999999999999E-2</v>
      </c>
    </row>
    <row r="2108" spans="1:7" ht="14.25" customHeight="1">
      <c r="A2108" s="2" t="s">
        <v>15</v>
      </c>
      <c r="B2108" s="2">
        <v>2004</v>
      </c>
      <c r="C2108" s="2" t="s">
        <v>61</v>
      </c>
      <c r="D2108" s="2">
        <v>5</v>
      </c>
      <c r="E2108" s="3">
        <f t="shared" si="16"/>
        <v>5.0000000000000001E-3</v>
      </c>
      <c r="G2108" s="2">
        <f t="shared" si="17"/>
        <v>5.0000000000000001E-3</v>
      </c>
    </row>
    <row r="2109" spans="1:7" ht="14.25" customHeight="1">
      <c r="A2109" s="2" t="s">
        <v>15</v>
      </c>
      <c r="B2109" s="2">
        <v>2005</v>
      </c>
      <c r="C2109" s="2" t="s">
        <v>61</v>
      </c>
      <c r="D2109" s="2">
        <v>4</v>
      </c>
      <c r="E2109" s="3">
        <f t="shared" si="16"/>
        <v>4.0000000000000001E-3</v>
      </c>
      <c r="G2109" s="2">
        <f t="shared" si="17"/>
        <v>4.0000000000000001E-3</v>
      </c>
    </row>
    <row r="2110" spans="1:7" ht="14.25" customHeight="1">
      <c r="A2110" s="2" t="s">
        <v>15</v>
      </c>
      <c r="B2110" s="2">
        <v>2006</v>
      </c>
      <c r="C2110" s="2" t="s">
        <v>61</v>
      </c>
      <c r="D2110" s="2">
        <v>29.02</v>
      </c>
      <c r="E2110" s="3">
        <f t="shared" si="16"/>
        <v>2.9020000000000001E-2</v>
      </c>
      <c r="G2110" s="2">
        <f t="shared" si="17"/>
        <v>2.9020000000000001E-2</v>
      </c>
    </row>
    <row r="2111" spans="1:7" ht="14.25" customHeight="1">
      <c r="A2111" s="2" t="s">
        <v>15</v>
      </c>
      <c r="B2111" s="2">
        <v>2007</v>
      </c>
      <c r="C2111" s="2" t="s">
        <v>61</v>
      </c>
      <c r="D2111" s="2">
        <v>36.299999999999997</v>
      </c>
      <c r="E2111" s="3">
        <f t="shared" si="16"/>
        <v>3.6299999999999999E-2</v>
      </c>
      <c r="G2111" s="2">
        <f t="shared" si="17"/>
        <v>3.6299999999999999E-2</v>
      </c>
    </row>
    <row r="2112" spans="1:7" ht="14.25" customHeight="1">
      <c r="A2112" s="2" t="s">
        <v>15</v>
      </c>
      <c r="B2112" s="2">
        <v>2008</v>
      </c>
      <c r="C2112" s="2" t="s">
        <v>61</v>
      </c>
      <c r="D2112" s="2">
        <v>33.03</v>
      </c>
      <c r="E2112" s="3">
        <f t="shared" si="16"/>
        <v>3.3030000000000004E-2</v>
      </c>
      <c r="G2112" s="2">
        <f t="shared" si="17"/>
        <v>3.3030000000000004E-2</v>
      </c>
    </row>
    <row r="2113" spans="1:7" ht="14.25" customHeight="1">
      <c r="A2113" s="2" t="s">
        <v>15</v>
      </c>
      <c r="B2113" s="2">
        <v>2009</v>
      </c>
      <c r="C2113" s="2" t="s">
        <v>61</v>
      </c>
      <c r="D2113" s="2">
        <v>28.1</v>
      </c>
      <c r="E2113" s="3">
        <f t="shared" si="16"/>
        <v>2.81E-2</v>
      </c>
      <c r="G2113" s="2">
        <f t="shared" si="17"/>
        <v>2.81E-2</v>
      </c>
    </row>
    <row r="2114" spans="1:7" ht="14.25" customHeight="1">
      <c r="A2114" s="2" t="s">
        <v>15</v>
      </c>
      <c r="B2114" s="2">
        <v>2010</v>
      </c>
      <c r="C2114" s="2" t="s">
        <v>61</v>
      </c>
      <c r="D2114" s="2">
        <v>14</v>
      </c>
      <c r="E2114" s="3">
        <f t="shared" si="16"/>
        <v>1.4E-2</v>
      </c>
      <c r="G2114" s="2">
        <f t="shared" si="17"/>
        <v>1.4E-2</v>
      </c>
    </row>
    <row r="2115" spans="1:7" ht="14.25" customHeight="1">
      <c r="A2115" s="2" t="s">
        <v>15</v>
      </c>
      <c r="B2115" s="2">
        <v>2011</v>
      </c>
      <c r="C2115" s="2" t="s">
        <v>61</v>
      </c>
      <c r="D2115" s="2">
        <v>19.2</v>
      </c>
      <c r="E2115" s="3">
        <f t="shared" si="16"/>
        <v>1.9199999999999998E-2</v>
      </c>
      <c r="G2115" s="2">
        <f t="shared" si="17"/>
        <v>1.9199999999999998E-2</v>
      </c>
    </row>
    <row r="2116" spans="1:7" ht="14.25" customHeight="1">
      <c r="A2116" s="2" t="s">
        <v>15</v>
      </c>
      <c r="B2116" s="2">
        <v>2012</v>
      </c>
      <c r="C2116" s="2" t="s">
        <v>61</v>
      </c>
      <c r="D2116" s="2">
        <v>20.399999999999999</v>
      </c>
      <c r="E2116" s="3">
        <f t="shared" si="16"/>
        <v>2.0399999999999998E-2</v>
      </c>
      <c r="G2116" s="2">
        <f t="shared" si="17"/>
        <v>2.0399999999999998E-2</v>
      </c>
    </row>
    <row r="2117" spans="1:7" ht="14.25" customHeight="1">
      <c r="A2117" s="2" t="s">
        <v>15</v>
      </c>
      <c r="B2117" s="2">
        <v>2013</v>
      </c>
      <c r="C2117" s="2" t="s">
        <v>61</v>
      </c>
      <c r="D2117" s="2">
        <v>22.29</v>
      </c>
      <c r="E2117" s="3">
        <f t="shared" si="16"/>
        <v>2.2290000000000001E-2</v>
      </c>
      <c r="G2117" s="2">
        <f t="shared" si="17"/>
        <v>2.2290000000000001E-2</v>
      </c>
    </row>
    <row r="2118" spans="1:7" ht="14.25" customHeight="1">
      <c r="A2118" s="2" t="s">
        <v>15</v>
      </c>
      <c r="B2118" s="2">
        <v>2014</v>
      </c>
      <c r="C2118" s="2" t="s">
        <v>61</v>
      </c>
      <c r="D2118" s="2">
        <v>27.05</v>
      </c>
      <c r="E2118" s="3">
        <f t="shared" si="16"/>
        <v>2.7050000000000001E-2</v>
      </c>
      <c r="G2118" s="2">
        <f t="shared" si="17"/>
        <v>2.7050000000000001E-2</v>
      </c>
    </row>
    <row r="2119" spans="1:7" ht="14.25" customHeight="1">
      <c r="A2119" s="2" t="s">
        <v>15</v>
      </c>
      <c r="B2119" s="2">
        <v>2015</v>
      </c>
      <c r="C2119" s="2" t="s">
        <v>61</v>
      </c>
      <c r="D2119" s="2">
        <v>17.97</v>
      </c>
      <c r="E2119" s="3">
        <f t="shared" si="16"/>
        <v>1.797E-2</v>
      </c>
      <c r="G2119" s="2">
        <f t="shared" si="17"/>
        <v>1.797E-2</v>
      </c>
    </row>
    <row r="2120" spans="1:7" ht="14.25" customHeight="1">
      <c r="A2120" s="2" t="s">
        <v>15</v>
      </c>
      <c r="B2120" s="2">
        <v>2016</v>
      </c>
      <c r="C2120" s="2" t="s">
        <v>61</v>
      </c>
      <c r="D2120" s="2">
        <v>28.98</v>
      </c>
      <c r="E2120" s="3">
        <f t="shared" si="16"/>
        <v>2.8979999999999999E-2</v>
      </c>
      <c r="G2120" s="2">
        <f t="shared" si="17"/>
        <v>2.8979999999999999E-2</v>
      </c>
    </row>
    <row r="2121" spans="1:7" ht="14.25" customHeight="1">
      <c r="A2121" s="2" t="s">
        <v>15</v>
      </c>
      <c r="B2121" s="2">
        <v>2017</v>
      </c>
      <c r="C2121" s="2" t="s">
        <v>61</v>
      </c>
      <c r="D2121" s="2">
        <v>25.73</v>
      </c>
      <c r="E2121" s="3">
        <f t="shared" si="16"/>
        <v>2.5729999999999999E-2</v>
      </c>
      <c r="G2121" s="2">
        <f t="shared" si="17"/>
        <v>2.5729999999999999E-2</v>
      </c>
    </row>
    <row r="2122" spans="1:7" ht="14.25" customHeight="1">
      <c r="A2122" s="2" t="s">
        <v>15</v>
      </c>
      <c r="B2122" s="2">
        <v>2018</v>
      </c>
      <c r="C2122" s="2" t="s">
        <v>61</v>
      </c>
      <c r="D2122" s="2">
        <v>30.311</v>
      </c>
      <c r="E2122" s="3">
        <f t="shared" si="16"/>
        <v>3.0311000000000001E-2</v>
      </c>
      <c r="G2122" s="2">
        <f t="shared" si="17"/>
        <v>3.0311000000000001E-2</v>
      </c>
    </row>
    <row r="2123" spans="1:7" ht="14.25" customHeight="1">
      <c r="A2123" s="2" t="s">
        <v>15</v>
      </c>
      <c r="B2123" s="2">
        <v>1903</v>
      </c>
      <c r="C2123" s="2" t="s">
        <v>38</v>
      </c>
      <c r="D2123" s="2">
        <v>4249</v>
      </c>
      <c r="E2123" s="3">
        <f t="shared" si="16"/>
        <v>4.2489999999999997</v>
      </c>
      <c r="G2123" s="2">
        <f t="shared" si="17"/>
        <v>4.2489999999999997</v>
      </c>
    </row>
    <row r="2124" spans="1:7" ht="14.25" customHeight="1">
      <c r="A2124" s="2" t="s">
        <v>15</v>
      </c>
      <c r="B2124" s="2">
        <v>1904</v>
      </c>
      <c r="C2124" s="2" t="s">
        <v>38</v>
      </c>
      <c r="D2124" s="2">
        <v>4818</v>
      </c>
      <c r="E2124" s="3">
        <f t="shared" si="16"/>
        <v>4.8179999999999996</v>
      </c>
      <c r="G2124" s="2">
        <f t="shared" si="17"/>
        <v>4.8179999999999996</v>
      </c>
    </row>
    <row r="2125" spans="1:7" ht="14.25" customHeight="1">
      <c r="A2125" s="2" t="s">
        <v>15</v>
      </c>
      <c r="B2125" s="2">
        <v>1905</v>
      </c>
      <c r="C2125" s="2" t="s">
        <v>38</v>
      </c>
      <c r="D2125" s="2">
        <v>12079</v>
      </c>
      <c r="E2125" s="3">
        <f t="shared" si="16"/>
        <v>12.079000000000001</v>
      </c>
      <c r="G2125" s="2">
        <f t="shared" si="17"/>
        <v>12.079000000000001</v>
      </c>
    </row>
    <row r="2126" spans="1:7" ht="14.25" customHeight="1">
      <c r="A2126" s="2" t="s">
        <v>15</v>
      </c>
      <c r="B2126" s="2">
        <v>1906</v>
      </c>
      <c r="C2126" s="2" t="s">
        <v>38</v>
      </c>
      <c r="D2126" s="2">
        <v>12573</v>
      </c>
      <c r="E2126" s="3">
        <f t="shared" si="16"/>
        <v>12.573</v>
      </c>
      <c r="G2126" s="2">
        <f t="shared" si="17"/>
        <v>12.573</v>
      </c>
    </row>
    <row r="2127" spans="1:7" ht="14.25" customHeight="1">
      <c r="A2127" s="2" t="s">
        <v>15</v>
      </c>
      <c r="B2127" s="2">
        <v>1907</v>
      </c>
      <c r="C2127" s="2" t="s">
        <v>38</v>
      </c>
      <c r="D2127" s="2">
        <v>7883</v>
      </c>
      <c r="E2127" s="3">
        <f t="shared" si="16"/>
        <v>7.883</v>
      </c>
      <c r="G2127" s="2">
        <f t="shared" si="17"/>
        <v>7.883</v>
      </c>
    </row>
    <row r="2128" spans="1:7" ht="14.25" customHeight="1">
      <c r="A2128" s="2" t="s">
        <v>15</v>
      </c>
      <c r="B2128" s="2">
        <v>1908</v>
      </c>
      <c r="C2128" s="2" t="s">
        <v>38</v>
      </c>
      <c r="D2128" s="2">
        <v>16812</v>
      </c>
      <c r="E2128" s="3">
        <f t="shared" si="16"/>
        <v>16.812000000000001</v>
      </c>
      <c r="G2128" s="2">
        <f t="shared" si="17"/>
        <v>16.812000000000001</v>
      </c>
    </row>
    <row r="2129" spans="1:7" ht="14.25" customHeight="1">
      <c r="A2129" s="2" t="s">
        <v>15</v>
      </c>
      <c r="B2129" s="2">
        <v>1909</v>
      </c>
      <c r="C2129" s="2" t="s">
        <v>38</v>
      </c>
      <c r="D2129" s="2">
        <v>19762</v>
      </c>
      <c r="E2129" s="3">
        <f t="shared" si="16"/>
        <v>19.762</v>
      </c>
      <c r="G2129" s="2">
        <f t="shared" si="17"/>
        <v>19.762</v>
      </c>
    </row>
    <row r="2130" spans="1:7" ht="14.25" customHeight="1">
      <c r="A2130" s="2" t="s">
        <v>15</v>
      </c>
      <c r="B2130" s="2">
        <v>1910</v>
      </c>
      <c r="C2130" s="2" t="s">
        <v>38</v>
      </c>
      <c r="D2130" s="2">
        <v>25945</v>
      </c>
      <c r="E2130" s="3">
        <f t="shared" si="16"/>
        <v>25.945</v>
      </c>
      <c r="G2130" s="2">
        <f t="shared" si="17"/>
        <v>25.945</v>
      </c>
    </row>
    <row r="2131" spans="1:7" ht="14.25" customHeight="1">
      <c r="A2131" s="2" t="s">
        <v>15</v>
      </c>
      <c r="B2131" s="2">
        <v>1911</v>
      </c>
      <c r="C2131" s="2" t="s">
        <v>38</v>
      </c>
      <c r="D2131" s="2">
        <v>28734</v>
      </c>
      <c r="E2131" s="3">
        <f t="shared" si="16"/>
        <v>28.734000000000002</v>
      </c>
      <c r="G2131" s="2">
        <f t="shared" si="17"/>
        <v>28.734000000000002</v>
      </c>
    </row>
    <row r="2132" spans="1:7" ht="14.25" customHeight="1">
      <c r="A2132" s="2" t="s">
        <v>15</v>
      </c>
      <c r="B2132" s="2">
        <v>1912</v>
      </c>
      <c r="C2132" s="2" t="s">
        <v>38</v>
      </c>
      <c r="D2132" s="2">
        <v>32620</v>
      </c>
      <c r="E2132" s="3">
        <f t="shared" si="16"/>
        <v>32.619999999999997</v>
      </c>
      <c r="G2132" s="2">
        <f t="shared" si="17"/>
        <v>32.619999999999997</v>
      </c>
    </row>
    <row r="2133" spans="1:7" ht="14.25" customHeight="1">
      <c r="A2133" s="2" t="s">
        <v>15</v>
      </c>
      <c r="B2133" s="2">
        <v>1913</v>
      </c>
      <c r="C2133" s="2" t="s">
        <v>38</v>
      </c>
      <c r="D2133" s="2">
        <v>38741</v>
      </c>
      <c r="E2133" s="3">
        <f t="shared" si="16"/>
        <v>38.741</v>
      </c>
      <c r="G2133" s="2">
        <f t="shared" si="17"/>
        <v>38.741</v>
      </c>
    </row>
    <row r="2134" spans="1:7" ht="14.25" customHeight="1">
      <c r="A2134" s="2" t="s">
        <v>15</v>
      </c>
      <c r="B2134" s="2">
        <v>1914</v>
      </c>
      <c r="C2134" s="2" t="s">
        <v>38</v>
      </c>
      <c r="D2134" s="2">
        <v>44410</v>
      </c>
      <c r="E2134" s="3">
        <f t="shared" si="16"/>
        <v>44.41</v>
      </c>
      <c r="G2134" s="2">
        <f t="shared" si="17"/>
        <v>44.41</v>
      </c>
    </row>
    <row r="2135" spans="1:7" ht="14.25" customHeight="1">
      <c r="A2135" s="2" t="s">
        <v>15</v>
      </c>
      <c r="B2135" s="2">
        <v>1915</v>
      </c>
      <c r="C2135" s="2" t="s">
        <v>38</v>
      </c>
      <c r="D2135" s="2">
        <v>14075</v>
      </c>
      <c r="E2135" s="3">
        <f t="shared" si="16"/>
        <v>14.074999999999999</v>
      </c>
      <c r="G2135" s="2">
        <f t="shared" si="17"/>
        <v>14.074999999999999</v>
      </c>
    </row>
    <row r="2136" spans="1:7" ht="14.25" customHeight="1">
      <c r="A2136" s="2" t="s">
        <v>15</v>
      </c>
      <c r="B2136" s="2">
        <v>1916</v>
      </c>
      <c r="C2136" s="2" t="s">
        <v>38</v>
      </c>
      <c r="D2136" s="2">
        <v>12107</v>
      </c>
      <c r="E2136" s="3">
        <f t="shared" si="16"/>
        <v>12.106999999999999</v>
      </c>
      <c r="G2136" s="2">
        <f t="shared" si="17"/>
        <v>12.106999999999999</v>
      </c>
    </row>
    <row r="2137" spans="1:7" ht="14.25" customHeight="1">
      <c r="A2137" s="2" t="s">
        <v>15</v>
      </c>
      <c r="B2137" s="2">
        <v>1917</v>
      </c>
      <c r="C2137" s="2" t="s">
        <v>38</v>
      </c>
      <c r="D2137" s="2">
        <v>6790</v>
      </c>
      <c r="E2137" s="3">
        <f t="shared" si="16"/>
        <v>6.79</v>
      </c>
      <c r="G2137" s="2">
        <f t="shared" si="17"/>
        <v>6.79</v>
      </c>
    </row>
    <row r="2138" spans="1:7" ht="14.25" customHeight="1">
      <c r="A2138" s="2" t="s">
        <v>15</v>
      </c>
      <c r="B2138" s="2">
        <v>1918</v>
      </c>
      <c r="C2138" s="2" t="s">
        <v>38</v>
      </c>
      <c r="D2138" s="2">
        <v>4853</v>
      </c>
      <c r="E2138" s="3">
        <f t="shared" si="16"/>
        <v>4.8529999999999998</v>
      </c>
      <c r="G2138" s="2">
        <f t="shared" si="17"/>
        <v>4.8529999999999998</v>
      </c>
    </row>
    <row r="2139" spans="1:7" ht="14.25" customHeight="1">
      <c r="A2139" s="2" t="s">
        <v>15</v>
      </c>
      <c r="B2139" s="2">
        <v>1919</v>
      </c>
      <c r="C2139" s="2" t="s">
        <v>38</v>
      </c>
      <c r="D2139" s="2">
        <v>14837</v>
      </c>
      <c r="E2139" s="3">
        <f t="shared" si="16"/>
        <v>14.837</v>
      </c>
      <c r="G2139" s="2">
        <f t="shared" si="17"/>
        <v>14.837</v>
      </c>
    </row>
    <row r="2140" spans="1:7" ht="14.25" customHeight="1">
      <c r="A2140" s="2" t="s">
        <v>15</v>
      </c>
      <c r="B2140" s="2">
        <v>1920</v>
      </c>
      <c r="C2140" s="2" t="s">
        <v>38</v>
      </c>
      <c r="D2140" s="2">
        <v>23631</v>
      </c>
      <c r="E2140" s="3">
        <f t="shared" si="16"/>
        <v>23.631</v>
      </c>
      <c r="G2140" s="2">
        <f t="shared" si="17"/>
        <v>23.631</v>
      </c>
    </row>
    <row r="2141" spans="1:7" ht="14.25" customHeight="1">
      <c r="A2141" s="2" t="s">
        <v>15</v>
      </c>
      <c r="B2141" s="2">
        <v>1921</v>
      </c>
      <c r="C2141" s="2" t="s">
        <v>38</v>
      </c>
      <c r="D2141" s="2">
        <v>18550</v>
      </c>
      <c r="E2141" s="3">
        <f t="shared" si="16"/>
        <v>18.55</v>
      </c>
      <c r="G2141" s="2">
        <f t="shared" si="17"/>
        <v>18.55</v>
      </c>
    </row>
    <row r="2142" spans="1:7" ht="14.25" customHeight="1">
      <c r="A2142" s="2" t="s">
        <v>15</v>
      </c>
      <c r="B2142" s="2">
        <v>1922</v>
      </c>
      <c r="C2142" s="2" t="s">
        <v>38</v>
      </c>
      <c r="D2142" s="2">
        <v>28519</v>
      </c>
      <c r="E2142" s="3">
        <f t="shared" si="16"/>
        <v>28.518999999999998</v>
      </c>
      <c r="G2142" s="2">
        <f t="shared" si="17"/>
        <v>28.518999999999998</v>
      </c>
    </row>
    <row r="2143" spans="1:7" ht="14.25" customHeight="1">
      <c r="A2143" s="2" t="s">
        <v>15</v>
      </c>
      <c r="B2143" s="2">
        <v>1923</v>
      </c>
      <c r="C2143" s="2" t="s">
        <v>38</v>
      </c>
      <c r="D2143" s="2">
        <v>25110</v>
      </c>
      <c r="E2143" s="3">
        <f t="shared" si="16"/>
        <v>25.11</v>
      </c>
      <c r="G2143" s="2">
        <f t="shared" si="17"/>
        <v>25.11</v>
      </c>
    </row>
    <row r="2144" spans="1:7" ht="14.25" customHeight="1">
      <c r="A2144" s="2" t="s">
        <v>15</v>
      </c>
      <c r="B2144" s="2">
        <v>1924</v>
      </c>
      <c r="C2144" s="2" t="s">
        <v>38</v>
      </c>
      <c r="D2144" s="2">
        <v>28294</v>
      </c>
      <c r="E2144" s="3">
        <f t="shared" si="16"/>
        <v>28.294</v>
      </c>
      <c r="G2144" s="2">
        <f t="shared" si="17"/>
        <v>28.294</v>
      </c>
    </row>
    <row r="2145" spans="1:7" ht="14.25" customHeight="1">
      <c r="A2145" s="2" t="s">
        <v>15</v>
      </c>
      <c r="B2145" s="2">
        <v>1925</v>
      </c>
      <c r="C2145" s="2" t="s">
        <v>38</v>
      </c>
      <c r="D2145" s="2">
        <v>27877</v>
      </c>
      <c r="E2145" s="3">
        <f t="shared" si="16"/>
        <v>27.876999999999999</v>
      </c>
      <c r="G2145" s="2">
        <f t="shared" si="17"/>
        <v>27.876999999999999</v>
      </c>
    </row>
    <row r="2146" spans="1:7" ht="14.25" customHeight="1">
      <c r="A2146" s="2" t="s">
        <v>15</v>
      </c>
      <c r="B2146" s="2">
        <v>1926</v>
      </c>
      <c r="C2146" s="2" t="s">
        <v>38</v>
      </c>
      <c r="D2146" s="2">
        <v>21341</v>
      </c>
      <c r="E2146" s="3">
        <f t="shared" si="16"/>
        <v>21.341000000000001</v>
      </c>
      <c r="G2146" s="2">
        <f t="shared" si="17"/>
        <v>21.341000000000001</v>
      </c>
    </row>
    <row r="2147" spans="1:7" ht="14.25" customHeight="1">
      <c r="A2147" s="2" t="s">
        <v>15</v>
      </c>
      <c r="B2147" s="2">
        <v>1927</v>
      </c>
      <c r="C2147" s="2" t="s">
        <v>38</v>
      </c>
      <c r="D2147" s="2">
        <v>26988</v>
      </c>
      <c r="E2147" s="3">
        <f t="shared" si="16"/>
        <v>26.988</v>
      </c>
      <c r="G2147" s="2">
        <f t="shared" si="17"/>
        <v>26.988</v>
      </c>
    </row>
    <row r="2148" spans="1:7" ht="14.25" customHeight="1">
      <c r="A2148" s="2" t="s">
        <v>15</v>
      </c>
      <c r="B2148" s="2">
        <v>1928</v>
      </c>
      <c r="C2148" s="2" t="s">
        <v>38</v>
      </c>
      <c r="D2148" s="2">
        <v>26010</v>
      </c>
      <c r="E2148" s="3">
        <f t="shared" si="16"/>
        <v>26.01</v>
      </c>
      <c r="G2148" s="2">
        <f t="shared" si="17"/>
        <v>26.01</v>
      </c>
    </row>
    <row r="2149" spans="1:7" ht="14.25" customHeight="1">
      <c r="A2149" s="2" t="s">
        <v>15</v>
      </c>
      <c r="B2149" s="2">
        <v>1929</v>
      </c>
      <c r="C2149" s="2" t="s">
        <v>38</v>
      </c>
      <c r="D2149" s="2">
        <v>28319</v>
      </c>
      <c r="E2149" s="3">
        <f t="shared" si="16"/>
        <v>28.318999999999999</v>
      </c>
      <c r="G2149" s="2">
        <f t="shared" si="17"/>
        <v>28.318999999999999</v>
      </c>
    </row>
    <row r="2150" spans="1:7" ht="14.25" customHeight="1">
      <c r="A2150" s="2" t="s">
        <v>15</v>
      </c>
      <c r="B2150" s="2">
        <v>1930</v>
      </c>
      <c r="C2150" s="2" t="s">
        <v>38</v>
      </c>
      <c r="D2150" s="2">
        <v>30906</v>
      </c>
      <c r="E2150" s="3">
        <f t="shared" si="16"/>
        <v>30.905999999999999</v>
      </c>
      <c r="G2150" s="2">
        <f t="shared" si="17"/>
        <v>30.905999999999999</v>
      </c>
    </row>
    <row r="2151" spans="1:7" ht="14.25" customHeight="1">
      <c r="A2151" s="2" t="s">
        <v>15</v>
      </c>
      <c r="B2151" s="2">
        <v>1931</v>
      </c>
      <c r="C2151" s="2" t="s">
        <v>38</v>
      </c>
      <c r="D2151" s="2">
        <v>30619</v>
      </c>
      <c r="E2151" s="3">
        <f t="shared" si="16"/>
        <v>30.619</v>
      </c>
      <c r="G2151" s="2">
        <f t="shared" si="17"/>
        <v>30.619</v>
      </c>
    </row>
    <row r="2152" spans="1:7" ht="14.25" customHeight="1">
      <c r="A2152" s="2" t="s">
        <v>15</v>
      </c>
      <c r="B2152" s="2">
        <v>1932</v>
      </c>
      <c r="C2152" s="2" t="s">
        <v>38</v>
      </c>
      <c r="D2152" s="2">
        <v>30877</v>
      </c>
      <c r="E2152" s="3">
        <f t="shared" si="16"/>
        <v>30.876999999999999</v>
      </c>
      <c r="G2152" s="2">
        <f t="shared" si="17"/>
        <v>30.876999999999999</v>
      </c>
    </row>
    <row r="2153" spans="1:7" ht="14.25" customHeight="1">
      <c r="A2153" s="2" t="s">
        <v>15</v>
      </c>
      <c r="B2153" s="2">
        <v>1933</v>
      </c>
      <c r="C2153" s="2" t="s">
        <v>38</v>
      </c>
      <c r="D2153" s="2">
        <v>33797</v>
      </c>
      <c r="E2153" s="3">
        <f t="shared" si="16"/>
        <v>33.796999999999997</v>
      </c>
      <c r="G2153" s="2">
        <f t="shared" si="17"/>
        <v>33.796999999999997</v>
      </c>
    </row>
    <row r="2154" spans="1:7" ht="14.25" customHeight="1">
      <c r="A2154" s="2" t="s">
        <v>15</v>
      </c>
      <c r="B2154" s="2">
        <v>1934</v>
      </c>
      <c r="C2154" s="2" t="s">
        <v>38</v>
      </c>
      <c r="D2154" s="2">
        <v>36118</v>
      </c>
      <c r="E2154" s="3">
        <f t="shared" si="16"/>
        <v>36.118000000000002</v>
      </c>
      <c r="G2154" s="2">
        <f t="shared" si="17"/>
        <v>36.118000000000002</v>
      </c>
    </row>
    <row r="2155" spans="1:7" ht="14.25" customHeight="1">
      <c r="A2155" s="2" t="s">
        <v>15</v>
      </c>
      <c r="B2155" s="2">
        <v>1935</v>
      </c>
      <c r="C2155" s="2" t="s">
        <v>38</v>
      </c>
      <c r="D2155" s="2">
        <v>33953</v>
      </c>
      <c r="E2155" s="3">
        <f t="shared" si="16"/>
        <v>33.953000000000003</v>
      </c>
      <c r="G2155" s="2">
        <f t="shared" si="17"/>
        <v>33.953000000000003</v>
      </c>
    </row>
    <row r="2156" spans="1:7" ht="14.25" customHeight="1">
      <c r="A2156" s="2" t="s">
        <v>15</v>
      </c>
      <c r="B2156" s="2">
        <v>1936</v>
      </c>
      <c r="C2156" s="2" t="s">
        <v>38</v>
      </c>
      <c r="D2156" s="2">
        <v>36246</v>
      </c>
      <c r="E2156" s="3">
        <f t="shared" si="16"/>
        <v>36.246000000000002</v>
      </c>
      <c r="G2156" s="2">
        <f t="shared" si="17"/>
        <v>36.246000000000002</v>
      </c>
    </row>
    <row r="2157" spans="1:7" ht="14.25" customHeight="1">
      <c r="A2157" s="2" t="s">
        <v>15</v>
      </c>
      <c r="B2157" s="2">
        <v>1937</v>
      </c>
      <c r="C2157" s="2" t="s">
        <v>38</v>
      </c>
      <c r="D2157" s="2">
        <v>33929</v>
      </c>
      <c r="E2157" s="3">
        <f t="shared" si="16"/>
        <v>33.929000000000002</v>
      </c>
      <c r="G2157" s="2">
        <f t="shared" si="17"/>
        <v>33.929000000000002</v>
      </c>
    </row>
    <row r="2158" spans="1:7" ht="14.25" customHeight="1">
      <c r="A2158" s="2" t="s">
        <v>15</v>
      </c>
      <c r="B2158" s="2">
        <v>1938</v>
      </c>
      <c r="C2158" s="2" t="s">
        <v>38</v>
      </c>
      <c r="D2158" s="2">
        <v>31126</v>
      </c>
      <c r="E2158" s="3">
        <f t="shared" si="16"/>
        <v>31.126000000000001</v>
      </c>
      <c r="G2158" s="2">
        <f t="shared" si="17"/>
        <v>31.126000000000001</v>
      </c>
    </row>
    <row r="2159" spans="1:7" ht="14.25" customHeight="1">
      <c r="A2159" s="2" t="s">
        <v>15</v>
      </c>
      <c r="B2159" s="2">
        <v>1939</v>
      </c>
      <c r="C2159" s="2" t="s">
        <v>38</v>
      </c>
      <c r="D2159" s="2">
        <v>27839</v>
      </c>
      <c r="E2159" s="3">
        <f t="shared" si="16"/>
        <v>27.838999999999999</v>
      </c>
      <c r="G2159" s="2">
        <f t="shared" si="17"/>
        <v>27.838999999999999</v>
      </c>
    </row>
    <row r="2160" spans="1:7" ht="14.25" customHeight="1">
      <c r="A2160" s="2" t="s">
        <v>15</v>
      </c>
      <c r="B2160" s="2">
        <v>1940</v>
      </c>
      <c r="C2160" s="2" t="s">
        <v>38</v>
      </c>
      <c r="D2160" s="2">
        <v>10218</v>
      </c>
      <c r="E2160" s="3">
        <f t="shared" si="16"/>
        <v>10.218</v>
      </c>
      <c r="G2160" s="2">
        <f t="shared" si="17"/>
        <v>10.218</v>
      </c>
    </row>
    <row r="2161" spans="1:7" ht="14.25" customHeight="1">
      <c r="A2161" s="2" t="s">
        <v>15</v>
      </c>
      <c r="B2161" s="2">
        <v>1941</v>
      </c>
      <c r="C2161" s="2" t="s">
        <v>38</v>
      </c>
      <c r="D2161" s="2">
        <v>11282</v>
      </c>
      <c r="E2161" s="3">
        <f t="shared" si="16"/>
        <v>11.282</v>
      </c>
      <c r="G2161" s="2">
        <f t="shared" si="17"/>
        <v>11.282</v>
      </c>
    </row>
    <row r="2162" spans="1:7" ht="14.25" customHeight="1">
      <c r="A2162" s="2" t="s">
        <v>15</v>
      </c>
      <c r="B2162" s="2">
        <v>1942</v>
      </c>
      <c r="C2162" s="2" t="s">
        <v>38</v>
      </c>
      <c r="D2162" s="2">
        <v>13811</v>
      </c>
      <c r="E2162" s="3">
        <f t="shared" si="16"/>
        <v>13.811</v>
      </c>
      <c r="G2162" s="2">
        <f t="shared" si="17"/>
        <v>13.811</v>
      </c>
    </row>
    <row r="2163" spans="1:7" ht="14.25" customHeight="1">
      <c r="A2163" s="2" t="s">
        <v>15</v>
      </c>
      <c r="B2163" s="2">
        <v>1943</v>
      </c>
      <c r="C2163" s="2" t="s">
        <v>38</v>
      </c>
      <c r="D2163" s="2">
        <v>14875</v>
      </c>
      <c r="E2163" s="3">
        <f t="shared" si="16"/>
        <v>14.875</v>
      </c>
      <c r="G2163" s="2">
        <f t="shared" si="17"/>
        <v>14.875</v>
      </c>
    </row>
    <row r="2164" spans="1:7" ht="14.25" customHeight="1">
      <c r="A2164" s="2" t="s">
        <v>15</v>
      </c>
      <c r="B2164" s="2">
        <v>1944</v>
      </c>
      <c r="C2164" s="2" t="s">
        <v>38</v>
      </c>
      <c r="D2164" s="2">
        <v>13741</v>
      </c>
      <c r="E2164" s="3">
        <f t="shared" si="16"/>
        <v>13.741</v>
      </c>
      <c r="G2164" s="2">
        <f t="shared" si="17"/>
        <v>13.741</v>
      </c>
    </row>
    <row r="2165" spans="1:7" ht="14.25" customHeight="1">
      <c r="A2165" s="2" t="s">
        <v>15</v>
      </c>
      <c r="B2165" s="2">
        <v>1945</v>
      </c>
      <c r="C2165" s="2" t="s">
        <v>38</v>
      </c>
      <c r="D2165" s="2">
        <v>12220</v>
      </c>
      <c r="E2165" s="3">
        <f t="shared" si="16"/>
        <v>12.22</v>
      </c>
      <c r="G2165" s="2">
        <f t="shared" si="17"/>
        <v>12.22</v>
      </c>
    </row>
    <row r="2166" spans="1:7" ht="14.25" customHeight="1">
      <c r="A2166" s="2" t="s">
        <v>15</v>
      </c>
      <c r="B2166" s="2">
        <v>1946</v>
      </c>
      <c r="C2166" s="2" t="s">
        <v>38</v>
      </c>
      <c r="D2166" s="2">
        <v>17193</v>
      </c>
      <c r="E2166" s="3">
        <f t="shared" si="16"/>
        <v>17.193000000000001</v>
      </c>
      <c r="G2166" s="2">
        <f t="shared" si="17"/>
        <v>17.193000000000001</v>
      </c>
    </row>
    <row r="2167" spans="1:7" ht="14.25" customHeight="1">
      <c r="A2167" s="2" t="s">
        <v>15</v>
      </c>
      <c r="B2167" s="2">
        <v>1947</v>
      </c>
      <c r="C2167" s="2" t="s">
        <v>38</v>
      </c>
      <c r="D2167" s="2">
        <v>32298</v>
      </c>
      <c r="E2167" s="3">
        <f t="shared" si="16"/>
        <v>32.298000000000002</v>
      </c>
      <c r="G2167" s="2">
        <f t="shared" si="17"/>
        <v>32.298000000000002</v>
      </c>
    </row>
    <row r="2168" spans="1:7" ht="14.25" customHeight="1">
      <c r="A2168" s="2" t="s">
        <v>15</v>
      </c>
      <c r="B2168" s="2">
        <v>1948</v>
      </c>
      <c r="C2168" s="2" t="s">
        <v>38</v>
      </c>
      <c r="D2168" s="2">
        <v>34176</v>
      </c>
      <c r="E2168" s="3">
        <f t="shared" si="16"/>
        <v>34.176000000000002</v>
      </c>
      <c r="G2168" s="2">
        <f t="shared" si="17"/>
        <v>34.176000000000002</v>
      </c>
    </row>
    <row r="2169" spans="1:7" ht="14.25" customHeight="1">
      <c r="A2169" s="2" t="s">
        <v>15</v>
      </c>
      <c r="B2169" s="2">
        <v>1949</v>
      </c>
      <c r="C2169" s="2" t="s">
        <v>38</v>
      </c>
      <c r="D2169" s="2">
        <v>32567</v>
      </c>
      <c r="E2169" s="3">
        <f t="shared" si="16"/>
        <v>32.567</v>
      </c>
      <c r="G2169" s="2">
        <f t="shared" si="17"/>
        <v>32.567</v>
      </c>
    </row>
    <row r="2170" spans="1:7" ht="14.25" customHeight="1">
      <c r="A2170" s="2" t="s">
        <v>15</v>
      </c>
      <c r="B2170" s="2">
        <v>1950</v>
      </c>
      <c r="C2170" s="2" t="s">
        <v>38</v>
      </c>
      <c r="D2170" s="2">
        <v>27810</v>
      </c>
      <c r="E2170" s="3">
        <f t="shared" si="16"/>
        <v>27.81</v>
      </c>
      <c r="G2170" s="2">
        <f t="shared" si="17"/>
        <v>27.81</v>
      </c>
    </row>
    <row r="2171" spans="1:7" ht="14.25" customHeight="1">
      <c r="A2171" s="2" t="s">
        <v>15</v>
      </c>
      <c r="B2171" s="2">
        <v>1951</v>
      </c>
      <c r="C2171" s="2" t="s">
        <v>38</v>
      </c>
      <c r="D2171" s="2">
        <v>36843</v>
      </c>
      <c r="E2171" s="3">
        <f t="shared" si="16"/>
        <v>36.843000000000004</v>
      </c>
      <c r="G2171" s="2">
        <f t="shared" si="17"/>
        <v>36.843000000000004</v>
      </c>
    </row>
    <row r="2172" spans="1:7" ht="14.25" customHeight="1">
      <c r="A2172" s="2" t="s">
        <v>15</v>
      </c>
      <c r="B2172" s="2">
        <v>1952</v>
      </c>
      <c r="C2172" s="2" t="s">
        <v>38</v>
      </c>
      <c r="D2172" s="2">
        <v>39130</v>
      </c>
      <c r="E2172" s="3">
        <f t="shared" si="16"/>
        <v>39.130000000000003</v>
      </c>
      <c r="G2172" s="2">
        <f t="shared" si="17"/>
        <v>39.130000000000003</v>
      </c>
    </row>
    <row r="2173" spans="1:7" ht="14.25" customHeight="1">
      <c r="A2173" s="2" t="s">
        <v>15</v>
      </c>
      <c r="B2173" s="2">
        <v>1953</v>
      </c>
      <c r="C2173" s="2" t="s">
        <v>38</v>
      </c>
      <c r="D2173" s="2">
        <v>39690</v>
      </c>
      <c r="E2173" s="3">
        <f t="shared" si="16"/>
        <v>39.69</v>
      </c>
      <c r="G2173" s="2">
        <f t="shared" si="17"/>
        <v>39.69</v>
      </c>
    </row>
    <row r="2174" spans="1:7" ht="14.25" customHeight="1">
      <c r="A2174" s="2" t="s">
        <v>15</v>
      </c>
      <c r="B2174" s="2">
        <v>1954</v>
      </c>
      <c r="C2174" s="2" t="s">
        <v>38</v>
      </c>
      <c r="D2174" s="2">
        <v>36944</v>
      </c>
      <c r="E2174" s="3">
        <f t="shared" si="16"/>
        <v>36.944000000000003</v>
      </c>
      <c r="G2174" s="2">
        <f t="shared" si="17"/>
        <v>36.944000000000003</v>
      </c>
    </row>
    <row r="2175" spans="1:7" ht="14.25" customHeight="1">
      <c r="A2175" s="2" t="s">
        <v>15</v>
      </c>
      <c r="B2175" s="2">
        <v>1955</v>
      </c>
      <c r="C2175" s="2" t="s">
        <v>38</v>
      </c>
      <c r="D2175" s="2">
        <v>37311</v>
      </c>
      <c r="E2175" s="3">
        <f t="shared" si="16"/>
        <v>37.311</v>
      </c>
      <c r="G2175" s="2">
        <f t="shared" si="17"/>
        <v>37.311</v>
      </c>
    </row>
    <row r="2176" spans="1:7" ht="14.25" customHeight="1">
      <c r="A2176" s="2" t="s">
        <v>15</v>
      </c>
      <c r="B2176" s="2">
        <v>1956</v>
      </c>
      <c r="C2176" s="2" t="s">
        <v>38</v>
      </c>
      <c r="D2176" s="2">
        <v>38524</v>
      </c>
      <c r="E2176" s="3">
        <f t="shared" si="16"/>
        <v>38.524000000000001</v>
      </c>
      <c r="G2176" s="2">
        <f t="shared" si="17"/>
        <v>38.524000000000001</v>
      </c>
    </row>
    <row r="2177" spans="1:7" ht="14.25" customHeight="1">
      <c r="A2177" s="2" t="s">
        <v>15</v>
      </c>
      <c r="B2177" s="2">
        <v>1957</v>
      </c>
      <c r="C2177" s="2" t="s">
        <v>38</v>
      </c>
      <c r="D2177" s="2">
        <v>39290</v>
      </c>
      <c r="E2177" s="3">
        <f t="shared" si="16"/>
        <v>39.29</v>
      </c>
      <c r="G2177" s="2">
        <f t="shared" si="17"/>
        <v>39.29</v>
      </c>
    </row>
    <row r="2178" spans="1:7" ht="14.25" customHeight="1">
      <c r="A2178" s="2" t="s">
        <v>15</v>
      </c>
      <c r="B2178" s="2">
        <v>1958</v>
      </c>
      <c r="C2178" s="2" t="s">
        <v>38</v>
      </c>
      <c r="D2178" s="2">
        <v>44304</v>
      </c>
      <c r="E2178" s="3">
        <f t="shared" si="16"/>
        <v>44.304000000000002</v>
      </c>
      <c r="G2178" s="2">
        <f t="shared" si="17"/>
        <v>44.304000000000002</v>
      </c>
    </row>
    <row r="2179" spans="1:7" ht="14.25" customHeight="1">
      <c r="A2179" s="2" t="s">
        <v>15</v>
      </c>
      <c r="B2179" s="2">
        <v>1959</v>
      </c>
      <c r="C2179" s="2" t="s">
        <v>38</v>
      </c>
      <c r="D2179" s="2">
        <v>38872</v>
      </c>
      <c r="E2179" s="3">
        <f t="shared" si="16"/>
        <v>38.872</v>
      </c>
      <c r="G2179" s="2">
        <f t="shared" si="17"/>
        <v>38.872</v>
      </c>
    </row>
    <row r="2180" spans="1:7" ht="14.25" customHeight="1">
      <c r="A2180" s="2" t="s">
        <v>15</v>
      </c>
      <c r="B2180" s="2">
        <v>1960</v>
      </c>
      <c r="C2180" s="2" t="s">
        <v>38</v>
      </c>
      <c r="D2180" s="2">
        <v>41115</v>
      </c>
      <c r="E2180" s="3">
        <f t="shared" si="16"/>
        <v>41.115000000000002</v>
      </c>
      <c r="G2180" s="2">
        <f t="shared" si="17"/>
        <v>41.115000000000002</v>
      </c>
    </row>
    <row r="2181" spans="1:7" ht="14.25" customHeight="1">
      <c r="A2181" s="2" t="s">
        <v>15</v>
      </c>
      <c r="B2181" s="2">
        <v>1961</v>
      </c>
      <c r="C2181" s="2" t="s">
        <v>38</v>
      </c>
      <c r="D2181" s="2">
        <v>32821</v>
      </c>
      <c r="E2181" s="3">
        <f t="shared" si="16"/>
        <v>32.820999999999998</v>
      </c>
      <c r="G2181" s="2">
        <f t="shared" si="17"/>
        <v>32.820999999999998</v>
      </c>
    </row>
    <row r="2182" spans="1:7" ht="14.25" customHeight="1">
      <c r="A2182" s="2" t="s">
        <v>15</v>
      </c>
      <c r="B2182" s="2">
        <v>1962</v>
      </c>
      <c r="C2182" s="2" t="s">
        <v>38</v>
      </c>
      <c r="D2182" s="2">
        <v>32174</v>
      </c>
      <c r="E2182" s="3">
        <f t="shared" si="16"/>
        <v>32.173999999999999</v>
      </c>
      <c r="G2182" s="2">
        <f t="shared" si="17"/>
        <v>32.173999999999999</v>
      </c>
    </row>
    <row r="2183" spans="1:7" ht="14.25" customHeight="1">
      <c r="A2183" s="2" t="s">
        <v>15</v>
      </c>
      <c r="B2183" s="2">
        <v>1963</v>
      </c>
      <c r="C2183" s="2" t="s">
        <v>38</v>
      </c>
      <c r="D2183" s="2">
        <v>35563</v>
      </c>
      <c r="E2183" s="3">
        <f t="shared" si="16"/>
        <v>35.563000000000002</v>
      </c>
      <c r="G2183" s="2">
        <f t="shared" si="17"/>
        <v>35.563000000000002</v>
      </c>
    </row>
    <row r="2184" spans="1:7" ht="14.25" customHeight="1">
      <c r="A2184" s="2" t="s">
        <v>15</v>
      </c>
      <c r="B2184" s="2">
        <v>1964</v>
      </c>
      <c r="C2184" s="2" t="s">
        <v>38</v>
      </c>
      <c r="D2184" s="2">
        <v>47586</v>
      </c>
      <c r="E2184" s="3">
        <f t="shared" si="16"/>
        <v>47.585999999999999</v>
      </c>
      <c r="G2184" s="2">
        <f t="shared" si="17"/>
        <v>47.585999999999999</v>
      </c>
    </row>
    <row r="2185" spans="1:7" ht="14.25" customHeight="1">
      <c r="A2185" s="2" t="s">
        <v>15</v>
      </c>
      <c r="B2185" s="2">
        <v>1965</v>
      </c>
      <c r="C2185" s="2" t="s">
        <v>38</v>
      </c>
      <c r="D2185" s="2">
        <v>53950</v>
      </c>
      <c r="E2185" s="3">
        <f t="shared" si="16"/>
        <v>53.95</v>
      </c>
      <c r="G2185" s="2">
        <f t="shared" si="17"/>
        <v>53.95</v>
      </c>
    </row>
    <row r="2186" spans="1:7" ht="14.25" customHeight="1">
      <c r="A2186" s="2" t="s">
        <v>15</v>
      </c>
      <c r="B2186" s="2">
        <v>1966</v>
      </c>
      <c r="C2186" s="2" t="s">
        <v>38</v>
      </c>
      <c r="D2186" s="2">
        <v>51402</v>
      </c>
      <c r="E2186" s="3">
        <f t="shared" si="16"/>
        <v>51.402000000000001</v>
      </c>
      <c r="G2186" s="2">
        <f t="shared" si="17"/>
        <v>51.402000000000001</v>
      </c>
    </row>
    <row r="2187" spans="1:7" ht="14.25" customHeight="1">
      <c r="A2187" s="2" t="s">
        <v>15</v>
      </c>
      <c r="B2187" s="2">
        <v>1967</v>
      </c>
      <c r="C2187" s="2" t="s">
        <v>38</v>
      </c>
      <c r="D2187" s="2">
        <v>48876</v>
      </c>
      <c r="E2187" s="3">
        <f t="shared" si="16"/>
        <v>48.875999999999998</v>
      </c>
      <c r="G2187" s="2">
        <f t="shared" si="17"/>
        <v>48.875999999999998</v>
      </c>
    </row>
    <row r="2188" spans="1:7" ht="14.25" customHeight="1">
      <c r="A2188" s="2" t="s">
        <v>15</v>
      </c>
      <c r="B2188" s="2">
        <v>1968</v>
      </c>
      <c r="C2188" s="2" t="s">
        <v>38</v>
      </c>
      <c r="D2188" s="2">
        <v>49854</v>
      </c>
      <c r="E2188" s="3">
        <f t="shared" si="16"/>
        <v>49.853999999999999</v>
      </c>
      <c r="G2188" s="2">
        <f t="shared" si="17"/>
        <v>49.853999999999999</v>
      </c>
    </row>
    <row r="2189" spans="1:7" ht="14.25" customHeight="1">
      <c r="A2189" s="2" t="s">
        <v>15</v>
      </c>
      <c r="B2189" s="2">
        <v>1969</v>
      </c>
      <c r="C2189" s="2" t="s">
        <v>38</v>
      </c>
      <c r="D2189" s="2">
        <v>54072</v>
      </c>
      <c r="E2189" s="3">
        <f t="shared" si="16"/>
        <v>54.072000000000003</v>
      </c>
      <c r="G2189" s="2">
        <f t="shared" si="17"/>
        <v>54.072000000000003</v>
      </c>
    </row>
    <row r="2190" spans="1:7" ht="14.25" customHeight="1">
      <c r="A2190" s="2" t="s">
        <v>15</v>
      </c>
      <c r="B2190" s="2">
        <v>1970</v>
      </c>
      <c r="C2190" s="2" t="s">
        <v>38</v>
      </c>
      <c r="D2190" s="2">
        <v>58262</v>
      </c>
      <c r="E2190" s="3">
        <f t="shared" si="16"/>
        <v>58.262</v>
      </c>
      <c r="G2190" s="2">
        <f t="shared" si="17"/>
        <v>58.262</v>
      </c>
    </row>
    <row r="2191" spans="1:7" ht="14.25" customHeight="1">
      <c r="A2191" s="2" t="s">
        <v>15</v>
      </c>
      <c r="B2191" s="2">
        <v>1971</v>
      </c>
      <c r="C2191" s="2" t="s">
        <v>38</v>
      </c>
      <c r="D2191" s="2">
        <v>61176</v>
      </c>
      <c r="E2191" s="3">
        <f t="shared" si="16"/>
        <v>61.176000000000002</v>
      </c>
      <c r="G2191" s="2">
        <f t="shared" si="17"/>
        <v>61.176000000000002</v>
      </c>
    </row>
    <row r="2192" spans="1:7" ht="14.25" customHeight="1">
      <c r="A2192" s="2" t="s">
        <v>15</v>
      </c>
      <c r="B2192" s="2">
        <v>1972</v>
      </c>
      <c r="C2192" s="2" t="s">
        <v>38</v>
      </c>
      <c r="D2192" s="2">
        <v>54990</v>
      </c>
      <c r="E2192" s="3">
        <f t="shared" si="16"/>
        <v>54.99</v>
      </c>
      <c r="G2192" s="2">
        <f t="shared" si="17"/>
        <v>54.99</v>
      </c>
    </row>
    <row r="2193" spans="1:7" ht="14.25" customHeight="1">
      <c r="A2193" s="2" t="s">
        <v>15</v>
      </c>
      <c r="B2193" s="2">
        <v>1973</v>
      </c>
      <c r="C2193" s="2" t="s">
        <v>38</v>
      </c>
      <c r="D2193" s="2">
        <v>65414</v>
      </c>
      <c r="E2193" s="3">
        <f t="shared" si="16"/>
        <v>65.414000000000001</v>
      </c>
      <c r="G2193" s="2">
        <f t="shared" si="17"/>
        <v>65.414000000000001</v>
      </c>
    </row>
    <row r="2194" spans="1:7" ht="14.25" customHeight="1">
      <c r="A2194" s="2" t="s">
        <v>15</v>
      </c>
      <c r="B2194" s="2">
        <v>1974</v>
      </c>
      <c r="C2194" s="2" t="s">
        <v>38</v>
      </c>
      <c r="D2194" s="2">
        <v>51722</v>
      </c>
      <c r="E2194" s="3">
        <f t="shared" si="16"/>
        <v>51.722000000000001</v>
      </c>
      <c r="G2194" s="2">
        <f t="shared" si="17"/>
        <v>51.722000000000001</v>
      </c>
    </row>
    <row r="2195" spans="1:7" ht="14.25" customHeight="1">
      <c r="A2195" s="2" t="s">
        <v>15</v>
      </c>
      <c r="B2195" s="2">
        <v>1975</v>
      </c>
      <c r="C2195" s="2" t="s">
        <v>38</v>
      </c>
      <c r="D2195" s="2">
        <v>40473</v>
      </c>
      <c r="E2195" s="3">
        <f t="shared" si="16"/>
        <v>40.472999999999999</v>
      </c>
      <c r="G2195" s="2">
        <f t="shared" si="17"/>
        <v>40.472999999999999</v>
      </c>
    </row>
    <row r="2196" spans="1:7" ht="14.25" customHeight="1">
      <c r="A2196" s="2" t="s">
        <v>15</v>
      </c>
      <c r="B2196" s="2">
        <v>1976</v>
      </c>
      <c r="C2196" s="2" t="s">
        <v>38</v>
      </c>
      <c r="D2196" s="2">
        <v>47304</v>
      </c>
      <c r="E2196" s="3">
        <f t="shared" si="16"/>
        <v>47.304000000000002</v>
      </c>
      <c r="G2196" s="2">
        <f t="shared" si="17"/>
        <v>47.304000000000002</v>
      </c>
    </row>
    <row r="2197" spans="1:7" ht="14.25" customHeight="1">
      <c r="A2197" s="2" t="s">
        <v>15</v>
      </c>
      <c r="B2197" s="2">
        <v>1977</v>
      </c>
      <c r="C2197" s="2" t="s">
        <v>38</v>
      </c>
      <c r="D2197" s="2">
        <v>41330</v>
      </c>
      <c r="E2197" s="3">
        <f t="shared" si="16"/>
        <v>41.33</v>
      </c>
      <c r="G2197" s="2">
        <f t="shared" si="17"/>
        <v>41.33</v>
      </c>
    </row>
    <row r="2198" spans="1:7" ht="14.25" customHeight="1">
      <c r="A2198" s="2" t="s">
        <v>15</v>
      </c>
      <c r="B2198" s="2">
        <v>1978</v>
      </c>
      <c r="C2198" s="2" t="s">
        <v>38</v>
      </c>
      <c r="D2198" s="2">
        <v>36385</v>
      </c>
      <c r="E2198" s="3">
        <f t="shared" si="16"/>
        <v>36.384999999999998</v>
      </c>
      <c r="G2198" s="2">
        <f t="shared" si="17"/>
        <v>36.384999999999998</v>
      </c>
    </row>
    <row r="2199" spans="1:7" ht="14.25" customHeight="1">
      <c r="A2199" s="2" t="s">
        <v>15</v>
      </c>
      <c r="B2199" s="2">
        <v>1979</v>
      </c>
      <c r="C2199" s="2" t="s">
        <v>38</v>
      </c>
      <c r="D2199" s="2">
        <v>21984</v>
      </c>
      <c r="E2199" s="3">
        <f t="shared" si="16"/>
        <v>21.984000000000002</v>
      </c>
      <c r="G2199" s="2">
        <f t="shared" si="17"/>
        <v>21.984000000000002</v>
      </c>
    </row>
    <row r="2200" spans="1:7" ht="14.25" customHeight="1">
      <c r="A2200" s="2" t="s">
        <v>15</v>
      </c>
      <c r="B2200" s="2">
        <v>1980</v>
      </c>
      <c r="C2200" s="2" t="s">
        <v>38</v>
      </c>
      <c r="D2200" s="2">
        <v>17220</v>
      </c>
      <c r="E2200" s="3">
        <f t="shared" si="16"/>
        <v>17.22</v>
      </c>
      <c r="G2200" s="2">
        <f t="shared" si="17"/>
        <v>17.22</v>
      </c>
    </row>
    <row r="2201" spans="1:7" ht="14.25" customHeight="1">
      <c r="A2201" s="2" t="s">
        <v>15</v>
      </c>
      <c r="B2201" s="2">
        <v>1981</v>
      </c>
      <c r="C2201" s="2" t="s">
        <v>38</v>
      </c>
      <c r="D2201" s="2">
        <v>16640</v>
      </c>
      <c r="E2201" s="3">
        <f t="shared" si="16"/>
        <v>16.64</v>
      </c>
      <c r="G2201" s="2">
        <f t="shared" si="17"/>
        <v>16.64</v>
      </c>
    </row>
    <row r="2202" spans="1:7" ht="14.25" customHeight="1">
      <c r="A2202" s="2" t="s">
        <v>15</v>
      </c>
      <c r="B2202" s="2">
        <v>1982</v>
      </c>
      <c r="C2202" s="2" t="s">
        <v>38</v>
      </c>
      <c r="D2202" s="2">
        <v>20123</v>
      </c>
      <c r="E2202" s="3">
        <f t="shared" si="16"/>
        <v>20.123000000000001</v>
      </c>
      <c r="G2202" s="2">
        <f t="shared" si="17"/>
        <v>20.123000000000001</v>
      </c>
    </row>
    <row r="2203" spans="1:7" ht="14.25" customHeight="1">
      <c r="A2203" s="2" t="s">
        <v>15</v>
      </c>
      <c r="B2203" s="2">
        <v>1983</v>
      </c>
      <c r="C2203" s="2" t="s">
        <v>38</v>
      </c>
      <c r="D2203" s="2">
        <v>20867</v>
      </c>
      <c r="E2203" s="3">
        <f t="shared" si="16"/>
        <v>20.867000000000001</v>
      </c>
      <c r="G2203" s="2">
        <f t="shared" si="17"/>
        <v>20.867000000000001</v>
      </c>
    </row>
    <row r="2204" spans="1:7" ht="14.25" customHeight="1">
      <c r="A2204" s="2" t="s">
        <v>15</v>
      </c>
      <c r="B2204" s="2">
        <v>1984</v>
      </c>
      <c r="C2204" s="2" t="s">
        <v>38</v>
      </c>
      <c r="D2204" s="2">
        <v>22026</v>
      </c>
      <c r="E2204" s="3">
        <f t="shared" si="16"/>
        <v>22.026</v>
      </c>
      <c r="G2204" s="2">
        <f t="shared" si="17"/>
        <v>22.026</v>
      </c>
    </row>
    <row r="2205" spans="1:7" ht="14.25" customHeight="1">
      <c r="A2205" s="2" t="s">
        <v>15</v>
      </c>
      <c r="B2205" s="2">
        <v>1985</v>
      </c>
      <c r="C2205" s="2" t="s">
        <v>38</v>
      </c>
      <c r="D2205" s="2">
        <v>22604</v>
      </c>
      <c r="E2205" s="3">
        <f t="shared" si="16"/>
        <v>22.603999999999999</v>
      </c>
      <c r="G2205" s="2">
        <f t="shared" si="17"/>
        <v>22.603999999999999</v>
      </c>
    </row>
    <row r="2206" spans="1:7" ht="14.25" customHeight="1">
      <c r="A2206" s="2" t="s">
        <v>15</v>
      </c>
      <c r="B2206" s="2">
        <v>1986</v>
      </c>
      <c r="C2206" s="2" t="s">
        <v>38</v>
      </c>
      <c r="D2206" s="2">
        <v>28161</v>
      </c>
      <c r="E2206" s="3">
        <f t="shared" si="16"/>
        <v>28.161000000000001</v>
      </c>
      <c r="G2206" s="2">
        <f t="shared" si="17"/>
        <v>28.161000000000001</v>
      </c>
    </row>
    <row r="2207" spans="1:7" ht="14.25" customHeight="1">
      <c r="A2207" s="2" t="s">
        <v>15</v>
      </c>
      <c r="B2207" s="2">
        <v>1987</v>
      </c>
      <c r="C2207" s="2" t="s">
        <v>38</v>
      </c>
      <c r="D2207" s="2">
        <v>22635</v>
      </c>
      <c r="E2207" s="3">
        <f t="shared" si="16"/>
        <v>22.635000000000002</v>
      </c>
      <c r="G2207" s="2">
        <f t="shared" si="17"/>
        <v>22.635000000000002</v>
      </c>
    </row>
    <row r="2208" spans="1:7" ht="14.25" customHeight="1">
      <c r="A2208" s="2" t="s">
        <v>15</v>
      </c>
      <c r="B2208" s="2">
        <v>1988</v>
      </c>
      <c r="C2208" s="2" t="s">
        <v>38</v>
      </c>
      <c r="D2208" s="2">
        <v>21705</v>
      </c>
      <c r="E2208" s="3">
        <f t="shared" si="16"/>
        <v>21.704999999999998</v>
      </c>
      <c r="G2208" s="2">
        <f t="shared" si="17"/>
        <v>21.704999999999998</v>
      </c>
    </row>
    <row r="2209" spans="1:7" ht="14.25" customHeight="1">
      <c r="A2209" s="2" t="s">
        <v>15</v>
      </c>
      <c r="B2209" s="2">
        <v>1989</v>
      </c>
      <c r="C2209" s="2" t="s">
        <v>38</v>
      </c>
      <c r="D2209" s="2">
        <v>18658</v>
      </c>
      <c r="E2209" s="3">
        <f t="shared" si="16"/>
        <v>18.658000000000001</v>
      </c>
      <c r="G2209" s="2">
        <f t="shared" si="17"/>
        <v>18.658000000000001</v>
      </c>
    </row>
    <row r="2210" spans="1:7" ht="14.25" customHeight="1">
      <c r="A2210" s="2" t="s">
        <v>15</v>
      </c>
      <c r="B2210" s="2">
        <v>1990</v>
      </c>
      <c r="C2210" s="2" t="s">
        <v>38</v>
      </c>
      <c r="D2210" s="2">
        <v>18026</v>
      </c>
      <c r="E2210" s="3">
        <f t="shared" si="16"/>
        <v>18.026</v>
      </c>
      <c r="G2210" s="2">
        <f t="shared" si="17"/>
        <v>18.026</v>
      </c>
    </row>
    <row r="2211" spans="1:7" ht="14.25" customHeight="1">
      <c r="A2211" s="2" t="s">
        <v>15</v>
      </c>
      <c r="B2211" s="2">
        <v>1991</v>
      </c>
      <c r="C2211" s="2" t="s">
        <v>38</v>
      </c>
      <c r="D2211" s="2">
        <v>19868</v>
      </c>
      <c r="E2211" s="3">
        <f t="shared" si="16"/>
        <v>19.867999999999999</v>
      </c>
      <c r="G2211" s="2">
        <f t="shared" si="17"/>
        <v>19.867999999999999</v>
      </c>
    </row>
    <row r="2212" spans="1:7" ht="14.25" customHeight="1">
      <c r="A2212" s="2" t="s">
        <v>15</v>
      </c>
      <c r="B2212" s="2">
        <v>1992</v>
      </c>
      <c r="C2212" s="2" t="s">
        <v>38</v>
      </c>
      <c r="D2212" s="2">
        <v>15783</v>
      </c>
      <c r="E2212" s="3">
        <f t="shared" si="16"/>
        <v>15.782999999999999</v>
      </c>
      <c r="G2212" s="2">
        <f t="shared" si="17"/>
        <v>15.782999999999999</v>
      </c>
    </row>
    <row r="2213" spans="1:7" ht="14.25" customHeight="1">
      <c r="A2213" s="2" t="s">
        <v>15</v>
      </c>
      <c r="B2213" s="2">
        <v>1993</v>
      </c>
      <c r="C2213" s="2" t="s">
        <v>38</v>
      </c>
      <c r="D2213" s="2">
        <v>15278</v>
      </c>
      <c r="E2213" s="3">
        <f t="shared" si="16"/>
        <v>15.278</v>
      </c>
      <c r="G2213" s="2">
        <f t="shared" si="17"/>
        <v>15.278</v>
      </c>
    </row>
    <row r="2214" spans="1:7" ht="14.25" customHeight="1">
      <c r="A2214" s="2" t="s">
        <v>15</v>
      </c>
      <c r="B2214" s="2">
        <v>1994</v>
      </c>
      <c r="C2214" s="2" t="s">
        <v>38</v>
      </c>
      <c r="D2214" s="2">
        <v>14678</v>
      </c>
      <c r="E2214" s="3">
        <f t="shared" si="16"/>
        <v>14.678000000000001</v>
      </c>
      <c r="G2214" s="2">
        <f t="shared" si="17"/>
        <v>14.678000000000001</v>
      </c>
    </row>
    <row r="2215" spans="1:7" ht="14.25" customHeight="1">
      <c r="A2215" s="2" t="s">
        <v>15</v>
      </c>
      <c r="B2215" s="2">
        <v>1995</v>
      </c>
      <c r="C2215" s="2" t="s">
        <v>38</v>
      </c>
      <c r="D2215" s="2">
        <v>15220</v>
      </c>
      <c r="E2215" s="3">
        <f t="shared" si="16"/>
        <v>15.22</v>
      </c>
      <c r="G2215" s="2">
        <f t="shared" si="17"/>
        <v>15.22</v>
      </c>
    </row>
    <row r="2216" spans="1:7" ht="14.25" customHeight="1">
      <c r="A2216" s="2" t="s">
        <v>15</v>
      </c>
      <c r="B2216" s="2">
        <v>1996</v>
      </c>
      <c r="C2216" s="2" t="s">
        <v>38</v>
      </c>
      <c r="D2216" s="2">
        <v>15413</v>
      </c>
      <c r="E2216" s="3">
        <f t="shared" si="16"/>
        <v>15.413</v>
      </c>
      <c r="G2216" s="2">
        <f t="shared" si="17"/>
        <v>15.413</v>
      </c>
    </row>
    <row r="2217" spans="1:7" ht="14.25" customHeight="1">
      <c r="A2217" s="2" t="s">
        <v>15</v>
      </c>
      <c r="B2217" s="2">
        <v>1997</v>
      </c>
      <c r="C2217" s="2" t="s">
        <v>38</v>
      </c>
      <c r="D2217" s="2">
        <v>14608</v>
      </c>
      <c r="E2217" s="3">
        <f t="shared" si="16"/>
        <v>14.608000000000001</v>
      </c>
      <c r="G2217" s="2">
        <f t="shared" si="17"/>
        <v>14.608000000000001</v>
      </c>
    </row>
    <row r="2218" spans="1:7" ht="14.25" customHeight="1">
      <c r="A2218" s="2" t="s">
        <v>15</v>
      </c>
      <c r="B2218" s="2">
        <v>1998</v>
      </c>
      <c r="C2218" s="2" t="s">
        <v>38</v>
      </c>
      <c r="D2218" s="2">
        <v>12261</v>
      </c>
      <c r="E2218" s="3">
        <f t="shared" si="16"/>
        <v>12.260999999999999</v>
      </c>
      <c r="G2218" s="2">
        <f t="shared" si="17"/>
        <v>12.260999999999999</v>
      </c>
    </row>
    <row r="2219" spans="1:7" ht="14.25" customHeight="1">
      <c r="A2219" s="2" t="s">
        <v>15</v>
      </c>
      <c r="B2219" s="2">
        <v>1999</v>
      </c>
      <c r="C2219" s="2" t="s">
        <v>38</v>
      </c>
      <c r="D2219" s="2">
        <v>12442</v>
      </c>
      <c r="E2219" s="3">
        <f t="shared" si="16"/>
        <v>12.442</v>
      </c>
      <c r="G2219" s="2">
        <f t="shared" si="17"/>
        <v>12.442</v>
      </c>
    </row>
    <row r="2220" spans="1:7" ht="14.25" customHeight="1">
      <c r="A2220" s="2" t="s">
        <v>15</v>
      </c>
      <c r="B2220" s="2">
        <v>2000</v>
      </c>
      <c r="C2220" s="2" t="s">
        <v>38</v>
      </c>
      <c r="D2220" s="2">
        <v>10924</v>
      </c>
      <c r="E2220" s="3">
        <f t="shared" si="16"/>
        <v>10.923999999999999</v>
      </c>
      <c r="G2220" s="2">
        <f t="shared" si="17"/>
        <v>10.923999999999999</v>
      </c>
    </row>
    <row r="2221" spans="1:7" ht="14.25" customHeight="1">
      <c r="A2221" s="2" t="s">
        <v>15</v>
      </c>
      <c r="B2221" s="2">
        <v>2001</v>
      </c>
      <c r="C2221" s="2" t="s">
        <v>38</v>
      </c>
      <c r="D2221" s="2">
        <v>10588</v>
      </c>
      <c r="E2221" s="3">
        <f t="shared" si="16"/>
        <v>10.587999999999999</v>
      </c>
      <c r="G2221" s="2">
        <f t="shared" si="17"/>
        <v>10.587999999999999</v>
      </c>
    </row>
    <row r="2222" spans="1:7" ht="14.25" customHeight="1">
      <c r="A2222" s="2" t="s">
        <v>15</v>
      </c>
      <c r="B2222" s="2">
        <v>2002</v>
      </c>
      <c r="C2222" s="2" t="s">
        <v>38</v>
      </c>
      <c r="D2222" s="2">
        <v>12310</v>
      </c>
      <c r="E2222" s="3">
        <f t="shared" si="16"/>
        <v>12.31</v>
      </c>
      <c r="G2222" s="2">
        <f t="shared" si="17"/>
        <v>12.31</v>
      </c>
    </row>
    <row r="2223" spans="1:7" ht="14.25" customHeight="1">
      <c r="A2223" s="2" t="s">
        <v>15</v>
      </c>
      <c r="B2223" s="2">
        <v>2003</v>
      </c>
      <c r="C2223" s="2" t="s">
        <v>38</v>
      </c>
      <c r="D2223" s="2">
        <v>9879</v>
      </c>
      <c r="E2223" s="3">
        <f t="shared" si="16"/>
        <v>9.8789999999999996</v>
      </c>
      <c r="G2223" s="2">
        <f t="shared" si="17"/>
        <v>9.8789999999999996</v>
      </c>
    </row>
    <row r="2224" spans="1:7" ht="14.25" customHeight="1">
      <c r="A2224" s="2" t="s">
        <v>15</v>
      </c>
      <c r="B2224" s="2">
        <v>2004</v>
      </c>
      <c r="C2224" s="2" t="s">
        <v>38</v>
      </c>
      <c r="D2224" s="2">
        <v>9815</v>
      </c>
      <c r="E2224" s="3">
        <f t="shared" si="16"/>
        <v>9.8149999999999995</v>
      </c>
      <c r="G2224" s="2">
        <f t="shared" si="17"/>
        <v>9.8149999999999995</v>
      </c>
    </row>
    <row r="2225" spans="1:7" ht="14.25" customHeight="1">
      <c r="A2225" s="2" t="s">
        <v>15</v>
      </c>
      <c r="B2225" s="2">
        <v>2005</v>
      </c>
      <c r="C2225" s="2" t="s">
        <v>38</v>
      </c>
      <c r="D2225" s="2">
        <v>15616</v>
      </c>
      <c r="E2225" s="3">
        <f t="shared" si="16"/>
        <v>15.616</v>
      </c>
      <c r="G2225" s="2">
        <f t="shared" si="17"/>
        <v>15.616</v>
      </c>
    </row>
    <row r="2226" spans="1:7" ht="14.25" customHeight="1">
      <c r="A2226" s="2" t="s">
        <v>15</v>
      </c>
      <c r="B2226" s="2">
        <v>2006</v>
      </c>
      <c r="C2226" s="2" t="s">
        <v>38</v>
      </c>
      <c r="D2226" s="2">
        <v>13639.1</v>
      </c>
      <c r="E2226" s="3">
        <f t="shared" si="16"/>
        <v>13.639100000000001</v>
      </c>
      <c r="G2226" s="2">
        <f t="shared" si="17"/>
        <v>13.639100000000001</v>
      </c>
    </row>
    <row r="2227" spans="1:7" ht="14.25" customHeight="1">
      <c r="A2227" s="2" t="s">
        <v>15</v>
      </c>
      <c r="B2227" s="2">
        <v>2007</v>
      </c>
      <c r="C2227" s="2" t="s">
        <v>38</v>
      </c>
      <c r="D2227" s="2">
        <v>11772.83</v>
      </c>
      <c r="E2227" s="3">
        <f t="shared" si="16"/>
        <v>11.772830000000001</v>
      </c>
      <c r="G2227" s="2">
        <f t="shared" si="17"/>
        <v>11.772830000000001</v>
      </c>
    </row>
    <row r="2228" spans="1:7" ht="14.25" customHeight="1">
      <c r="A2228" s="2" t="s">
        <v>15</v>
      </c>
      <c r="B2228" s="2">
        <v>2008</v>
      </c>
      <c r="C2228" s="2" t="s">
        <v>38</v>
      </c>
      <c r="D2228" s="2">
        <v>15740.07</v>
      </c>
      <c r="E2228" s="3">
        <f t="shared" si="16"/>
        <v>15.740069999999999</v>
      </c>
      <c r="G2228" s="2">
        <f t="shared" si="17"/>
        <v>15.740069999999999</v>
      </c>
    </row>
    <row r="2229" spans="1:7" ht="14.25" customHeight="1">
      <c r="A2229" s="2" t="s">
        <v>15</v>
      </c>
      <c r="B2229" s="2">
        <v>2009</v>
      </c>
      <c r="C2229" s="2" t="s">
        <v>38</v>
      </c>
      <c r="D2229" s="2">
        <v>17248.669999999998</v>
      </c>
      <c r="E2229" s="3">
        <f t="shared" si="16"/>
        <v>17.248669999999997</v>
      </c>
      <c r="G2229" s="2">
        <f t="shared" si="17"/>
        <v>17.248669999999997</v>
      </c>
    </row>
    <row r="2230" spans="1:7" ht="14.25" customHeight="1">
      <c r="A2230" s="2" t="s">
        <v>15</v>
      </c>
      <c r="B2230" s="2">
        <v>2010</v>
      </c>
      <c r="C2230" s="2" t="s">
        <v>38</v>
      </c>
      <c r="D2230" s="2">
        <v>16126.4</v>
      </c>
      <c r="E2230" s="3">
        <f t="shared" si="16"/>
        <v>16.1264</v>
      </c>
      <c r="G2230" s="2">
        <f t="shared" si="17"/>
        <v>16.1264</v>
      </c>
    </row>
    <row r="2231" spans="1:7" ht="14.25" customHeight="1">
      <c r="A2231" s="2" t="s">
        <v>15</v>
      </c>
      <c r="B2231" s="2">
        <v>2011</v>
      </c>
      <c r="C2231" s="2" t="s">
        <v>38</v>
      </c>
      <c r="D2231" s="2">
        <v>15814.12</v>
      </c>
      <c r="E2231" s="3">
        <f t="shared" si="16"/>
        <v>15.814120000000001</v>
      </c>
      <c r="G2231" s="2">
        <f t="shared" si="17"/>
        <v>15.814120000000001</v>
      </c>
    </row>
    <row r="2232" spans="1:7" ht="14.25" customHeight="1">
      <c r="A2232" s="2" t="s">
        <v>15</v>
      </c>
      <c r="B2232" s="2">
        <v>2012</v>
      </c>
      <c r="C2232" s="2" t="s">
        <v>38</v>
      </c>
      <c r="D2232" s="2">
        <v>13070.6</v>
      </c>
      <c r="E2232" s="3">
        <f t="shared" si="16"/>
        <v>13.070600000000001</v>
      </c>
      <c r="G2232" s="2">
        <f t="shared" si="17"/>
        <v>13.070600000000001</v>
      </c>
    </row>
    <row r="2233" spans="1:7" ht="14.25" customHeight="1">
      <c r="A2233" s="2" t="s">
        <v>15</v>
      </c>
      <c r="B2233" s="2">
        <v>2013</v>
      </c>
      <c r="C2233" s="2" t="s">
        <v>38</v>
      </c>
      <c r="D2233" s="2">
        <v>14679.88</v>
      </c>
      <c r="E2233" s="3">
        <f t="shared" si="16"/>
        <v>14.679879999999999</v>
      </c>
      <c r="G2233" s="2">
        <f t="shared" si="17"/>
        <v>14.679879999999999</v>
      </c>
    </row>
    <row r="2234" spans="1:7" ht="14.25" customHeight="1">
      <c r="A2234" s="2" t="s">
        <v>15</v>
      </c>
      <c r="B2234" s="2">
        <v>2014</v>
      </c>
      <c r="C2234" s="2" t="s">
        <v>38</v>
      </c>
      <c r="D2234" s="2">
        <v>12705.41</v>
      </c>
      <c r="E2234" s="3">
        <f t="shared" si="16"/>
        <v>12.705410000000001</v>
      </c>
      <c r="G2234" s="2">
        <f t="shared" si="17"/>
        <v>12.705410000000001</v>
      </c>
    </row>
    <row r="2235" spans="1:7" ht="14.25" customHeight="1">
      <c r="A2235" s="2" t="s">
        <v>15</v>
      </c>
      <c r="B2235" s="2">
        <v>2015</v>
      </c>
      <c r="C2235" s="2" t="s">
        <v>38</v>
      </c>
      <c r="D2235" s="2">
        <v>13023.56</v>
      </c>
      <c r="E2235" s="3">
        <f t="shared" si="16"/>
        <v>13.02356</v>
      </c>
      <c r="G2235" s="2">
        <f t="shared" si="17"/>
        <v>13.02356</v>
      </c>
    </row>
    <row r="2236" spans="1:7" ht="14.25" customHeight="1">
      <c r="A2236" s="2" t="s">
        <v>15</v>
      </c>
      <c r="B2236" s="2">
        <v>2016</v>
      </c>
      <c r="C2236" s="2" t="s">
        <v>38</v>
      </c>
      <c r="D2236" s="2">
        <v>12354.73</v>
      </c>
      <c r="E2236" s="3">
        <f t="shared" si="16"/>
        <v>12.35473</v>
      </c>
      <c r="G2236" s="2">
        <f t="shared" si="17"/>
        <v>12.35473</v>
      </c>
    </row>
    <row r="2237" spans="1:7" ht="14.25" customHeight="1">
      <c r="A2237" s="2" t="s">
        <v>15</v>
      </c>
      <c r="B2237" s="2">
        <v>2017</v>
      </c>
      <c r="C2237" s="2" t="s">
        <v>38</v>
      </c>
      <c r="D2237" s="2">
        <v>12100.84</v>
      </c>
      <c r="E2237" s="3">
        <f t="shared" si="16"/>
        <v>12.10084</v>
      </c>
      <c r="G2237" s="2">
        <f t="shared" si="17"/>
        <v>12.10084</v>
      </c>
    </row>
    <row r="2238" spans="1:7" ht="14.25" customHeight="1">
      <c r="A2238" s="2" t="s">
        <v>15</v>
      </c>
      <c r="B2238" s="2">
        <v>2018</v>
      </c>
      <c r="C2238" s="2" t="s">
        <v>38</v>
      </c>
      <c r="D2238" s="2">
        <v>16094.484</v>
      </c>
      <c r="E2238" s="3">
        <f t="shared" si="16"/>
        <v>16.094484000000001</v>
      </c>
      <c r="G2238" s="2">
        <f t="shared" si="17"/>
        <v>16.094484000000001</v>
      </c>
    </row>
    <row r="2239" spans="1:7" ht="14.25" customHeight="1">
      <c r="A2239" s="2" t="s">
        <v>15</v>
      </c>
      <c r="B2239" s="2">
        <v>1942</v>
      </c>
      <c r="C2239" s="2" t="s">
        <v>29</v>
      </c>
      <c r="D2239" s="2">
        <v>1069</v>
      </c>
      <c r="E2239" s="3">
        <f t="shared" si="16"/>
        <v>1.069</v>
      </c>
      <c r="G2239" s="2">
        <f t="shared" si="17"/>
        <v>1.069</v>
      </c>
    </row>
    <row r="2240" spans="1:7" ht="14.25" customHeight="1">
      <c r="A2240" s="2" t="s">
        <v>15</v>
      </c>
      <c r="B2240" s="2">
        <v>1950</v>
      </c>
      <c r="C2240" s="2" t="s">
        <v>29</v>
      </c>
      <c r="D2240" s="2">
        <v>1234</v>
      </c>
      <c r="E2240" s="3">
        <f t="shared" si="16"/>
        <v>1.234</v>
      </c>
      <c r="F2240" s="2">
        <v>0</v>
      </c>
      <c r="G2240" s="2">
        <f t="shared" si="17"/>
        <v>1.234</v>
      </c>
    </row>
    <row r="2241" spans="1:7" ht="14.25" customHeight="1">
      <c r="A2241" s="2" t="s">
        <v>15</v>
      </c>
      <c r="B2241" s="2">
        <v>1951</v>
      </c>
      <c r="C2241" s="2" t="s">
        <v>29</v>
      </c>
      <c r="D2241" s="2">
        <v>1198</v>
      </c>
      <c r="E2241" s="3">
        <f t="shared" si="16"/>
        <v>1.198</v>
      </c>
      <c r="F2241" s="2">
        <v>0</v>
      </c>
      <c r="G2241" s="2">
        <f t="shared" si="17"/>
        <v>1.198</v>
      </c>
    </row>
    <row r="2242" spans="1:7" ht="14.25" customHeight="1">
      <c r="A2242" s="2" t="s">
        <v>15</v>
      </c>
      <c r="B2242" s="2">
        <v>1952</v>
      </c>
      <c r="C2242" s="2" t="s">
        <v>29</v>
      </c>
      <c r="D2242" s="2">
        <v>1460</v>
      </c>
      <c r="E2242" s="3">
        <f t="shared" si="16"/>
        <v>1.46</v>
      </c>
      <c r="F2242" s="2">
        <v>0</v>
      </c>
      <c r="G2242" s="2">
        <f t="shared" si="17"/>
        <v>1.46</v>
      </c>
    </row>
    <row r="2243" spans="1:7" ht="14.25" customHeight="1">
      <c r="A2243" s="2" t="s">
        <v>15</v>
      </c>
      <c r="B2243" s="2">
        <v>1953</v>
      </c>
      <c r="C2243" s="2" t="s">
        <v>29</v>
      </c>
      <c r="D2243" s="2">
        <v>1604</v>
      </c>
      <c r="E2243" s="3">
        <f t="shared" si="16"/>
        <v>1.6040000000000001</v>
      </c>
      <c r="F2243" s="2">
        <v>0</v>
      </c>
      <c r="G2243" s="2">
        <f t="shared" si="17"/>
        <v>1.6040000000000001</v>
      </c>
    </row>
    <row r="2244" spans="1:7" ht="14.25" customHeight="1">
      <c r="A2244" s="2" t="s">
        <v>15</v>
      </c>
      <c r="B2244" s="2">
        <v>1954</v>
      </c>
      <c r="C2244" s="2" t="s">
        <v>29</v>
      </c>
      <c r="D2244" s="2">
        <v>1721</v>
      </c>
      <c r="E2244" s="3">
        <f t="shared" si="16"/>
        <v>1.7210000000000001</v>
      </c>
      <c r="F2244" s="2">
        <v>0</v>
      </c>
      <c r="G2244" s="2">
        <f t="shared" si="17"/>
        <v>1.7210000000000001</v>
      </c>
    </row>
    <row r="2245" spans="1:7" ht="14.25" customHeight="1">
      <c r="A2245" s="2" t="s">
        <v>15</v>
      </c>
      <c r="B2245" s="2">
        <v>1955</v>
      </c>
      <c r="C2245" s="2" t="s">
        <v>29</v>
      </c>
      <c r="D2245" s="2">
        <v>1554</v>
      </c>
      <c r="E2245" s="3">
        <f t="shared" si="16"/>
        <v>1.554</v>
      </c>
      <c r="F2245" s="2">
        <v>0</v>
      </c>
      <c r="G2245" s="2">
        <f t="shared" si="17"/>
        <v>1.554</v>
      </c>
    </row>
    <row r="2246" spans="1:7" ht="14.25" customHeight="1">
      <c r="A2246" s="2" t="s">
        <v>15</v>
      </c>
      <c r="B2246" s="2">
        <v>1956</v>
      </c>
      <c r="C2246" s="2" t="s">
        <v>29</v>
      </c>
      <c r="D2246" s="2">
        <v>1409</v>
      </c>
      <c r="E2246" s="3">
        <f t="shared" si="16"/>
        <v>1.409</v>
      </c>
      <c r="F2246" s="2">
        <v>0</v>
      </c>
      <c r="G2246" s="2">
        <f t="shared" si="17"/>
        <v>1.409</v>
      </c>
    </row>
    <row r="2247" spans="1:7" ht="14.25" customHeight="1">
      <c r="A2247" s="2" t="s">
        <v>15</v>
      </c>
      <c r="B2247" s="2">
        <v>1957</v>
      </c>
      <c r="C2247" s="2" t="s">
        <v>29</v>
      </c>
      <c r="D2247" s="2">
        <v>1751</v>
      </c>
      <c r="E2247" s="3">
        <f t="shared" si="16"/>
        <v>1.7509999999999999</v>
      </c>
      <c r="F2247" s="2">
        <v>0</v>
      </c>
      <c r="G2247" s="2">
        <f t="shared" si="17"/>
        <v>1.7509999999999999</v>
      </c>
    </row>
    <row r="2248" spans="1:7" ht="14.25" customHeight="1">
      <c r="A2248" s="2" t="s">
        <v>15</v>
      </c>
      <c r="B2248" s="2">
        <v>1958</v>
      </c>
      <c r="C2248" s="2" t="s">
        <v>29</v>
      </c>
      <c r="D2248" s="2">
        <v>1829</v>
      </c>
      <c r="E2248" s="3">
        <f t="shared" si="16"/>
        <v>1.829</v>
      </c>
      <c r="F2248" s="2">
        <v>0</v>
      </c>
      <c r="G2248" s="2">
        <f t="shared" si="17"/>
        <v>1.829</v>
      </c>
    </row>
    <row r="2249" spans="1:7" ht="14.25" customHeight="1">
      <c r="A2249" s="2" t="s">
        <v>15</v>
      </c>
      <c r="B2249" s="2">
        <v>1959</v>
      </c>
      <c r="C2249" s="2" t="s">
        <v>29</v>
      </c>
      <c r="D2249" s="2">
        <v>1695</v>
      </c>
      <c r="E2249" s="3">
        <f t="shared" si="16"/>
        <v>1.6950000000000001</v>
      </c>
      <c r="F2249" s="2">
        <v>0</v>
      </c>
      <c r="G2249" s="2">
        <f t="shared" si="17"/>
        <v>1.6950000000000001</v>
      </c>
    </row>
    <row r="2250" spans="1:7" ht="14.25" customHeight="1">
      <c r="A2250" s="2" t="s">
        <v>15</v>
      </c>
      <c r="B2250" s="2">
        <v>1960</v>
      </c>
      <c r="C2250" s="2" t="s">
        <v>29</v>
      </c>
      <c r="D2250" s="2">
        <v>1530</v>
      </c>
      <c r="E2250" s="3">
        <f t="shared" si="16"/>
        <v>1.53</v>
      </c>
      <c r="F2250" s="2">
        <v>0</v>
      </c>
      <c r="G2250" s="2">
        <f t="shared" si="17"/>
        <v>1.53</v>
      </c>
    </row>
    <row r="2251" spans="1:7" ht="14.25" customHeight="1">
      <c r="A2251" s="2" t="s">
        <v>15</v>
      </c>
      <c r="B2251" s="2">
        <v>1961</v>
      </c>
      <c r="C2251" s="2" t="s">
        <v>29</v>
      </c>
      <c r="D2251" s="2">
        <v>1110</v>
      </c>
      <c r="E2251" s="3">
        <f t="shared" si="16"/>
        <v>1.1100000000000001</v>
      </c>
      <c r="F2251" s="2">
        <v>0</v>
      </c>
      <c r="G2251" s="2">
        <f t="shared" si="17"/>
        <v>1.1100000000000001</v>
      </c>
    </row>
    <row r="2252" spans="1:7" ht="14.25" customHeight="1">
      <c r="A2252" s="2" t="s">
        <v>15</v>
      </c>
      <c r="B2252" s="2">
        <v>1962</v>
      </c>
      <c r="C2252" s="2" t="s">
        <v>29</v>
      </c>
      <c r="D2252" s="2">
        <v>1863</v>
      </c>
      <c r="E2252" s="3">
        <f t="shared" si="16"/>
        <v>1.863</v>
      </c>
      <c r="F2252" s="2">
        <v>0</v>
      </c>
      <c r="G2252" s="2">
        <f t="shared" si="17"/>
        <v>1.863</v>
      </c>
    </row>
    <row r="2253" spans="1:7" ht="14.25" customHeight="1">
      <c r="A2253" s="2" t="s">
        <v>15</v>
      </c>
      <c r="B2253" s="2">
        <v>1963</v>
      </c>
      <c r="C2253" s="2" t="s">
        <v>29</v>
      </c>
      <c r="D2253" s="2">
        <v>1412</v>
      </c>
      <c r="E2253" s="3">
        <f t="shared" si="16"/>
        <v>1.4119999999999999</v>
      </c>
      <c r="F2253" s="2">
        <v>0</v>
      </c>
      <c r="G2253" s="2">
        <f t="shared" si="17"/>
        <v>1.4119999999999999</v>
      </c>
    </row>
    <row r="2254" spans="1:7" ht="14.25" customHeight="1">
      <c r="A2254" s="2" t="s">
        <v>15</v>
      </c>
      <c r="B2254" s="2">
        <v>1964</v>
      </c>
      <c r="C2254" s="2" t="s">
        <v>29</v>
      </c>
      <c r="D2254" s="2">
        <v>1974</v>
      </c>
      <c r="E2254" s="3">
        <f t="shared" si="16"/>
        <v>1.974</v>
      </c>
      <c r="F2254" s="2">
        <v>0</v>
      </c>
      <c r="G2254" s="2">
        <f t="shared" si="17"/>
        <v>1.974</v>
      </c>
    </row>
    <row r="2255" spans="1:7" ht="14.25" customHeight="1">
      <c r="A2255" s="2" t="s">
        <v>15</v>
      </c>
      <c r="B2255" s="2">
        <v>1965</v>
      </c>
      <c r="C2255" s="2" t="s">
        <v>29</v>
      </c>
      <c r="D2255" s="2">
        <v>1385</v>
      </c>
      <c r="E2255" s="3">
        <f t="shared" si="16"/>
        <v>1.385</v>
      </c>
      <c r="F2255" s="2">
        <v>0</v>
      </c>
      <c r="G2255" s="2">
        <f t="shared" si="17"/>
        <v>1.385</v>
      </c>
    </row>
    <row r="2256" spans="1:7" ht="14.25" customHeight="1">
      <c r="A2256" s="2" t="s">
        <v>15</v>
      </c>
      <c r="B2256" s="2">
        <v>1966</v>
      </c>
      <c r="C2256" s="2" t="s">
        <v>29</v>
      </c>
      <c r="D2256" s="2">
        <v>1816</v>
      </c>
      <c r="E2256" s="3">
        <f t="shared" si="16"/>
        <v>1.8160000000000001</v>
      </c>
      <c r="F2256" s="2">
        <v>0</v>
      </c>
      <c r="G2256" s="2">
        <f t="shared" si="17"/>
        <v>1.8160000000000001</v>
      </c>
    </row>
    <row r="2257" spans="1:7" ht="14.25" customHeight="1">
      <c r="A2257" s="2" t="s">
        <v>15</v>
      </c>
      <c r="B2257" s="2">
        <v>1967</v>
      </c>
      <c r="C2257" s="2" t="s">
        <v>29</v>
      </c>
      <c r="D2257" s="2">
        <v>2327</v>
      </c>
      <c r="E2257" s="3">
        <f t="shared" si="16"/>
        <v>2.327</v>
      </c>
      <c r="F2257" s="2">
        <v>0</v>
      </c>
      <c r="G2257" s="2">
        <f t="shared" si="17"/>
        <v>2.327</v>
      </c>
    </row>
    <row r="2258" spans="1:7" ht="14.25" customHeight="1">
      <c r="A2258" s="2" t="s">
        <v>15</v>
      </c>
      <c r="B2258" s="2">
        <v>1968</v>
      </c>
      <c r="C2258" s="2" t="s">
        <v>29</v>
      </c>
      <c r="D2258" s="2">
        <v>1874</v>
      </c>
      <c r="E2258" s="3">
        <f t="shared" si="16"/>
        <v>1.8740000000000001</v>
      </c>
      <c r="F2258" s="2">
        <v>0</v>
      </c>
      <c r="G2258" s="2">
        <f t="shared" si="17"/>
        <v>1.8740000000000001</v>
      </c>
    </row>
    <row r="2259" spans="1:7" ht="14.25" customHeight="1">
      <c r="A2259" s="2" t="s">
        <v>15</v>
      </c>
      <c r="B2259" s="2">
        <v>1969</v>
      </c>
      <c r="C2259" s="2" t="s">
        <v>29</v>
      </c>
      <c r="D2259" s="2">
        <v>2365</v>
      </c>
      <c r="E2259" s="3">
        <f t="shared" si="16"/>
        <v>2.3650000000000002</v>
      </c>
      <c r="F2259" s="2">
        <v>0</v>
      </c>
      <c r="G2259" s="2">
        <f t="shared" si="17"/>
        <v>2.3650000000000002</v>
      </c>
    </row>
    <row r="2260" spans="1:7" ht="14.25" customHeight="1">
      <c r="A2260" s="2" t="s">
        <v>15</v>
      </c>
      <c r="B2260" s="2">
        <v>1970</v>
      </c>
      <c r="C2260" s="2" t="s">
        <v>29</v>
      </c>
      <c r="D2260" s="2">
        <v>1856</v>
      </c>
      <c r="E2260" s="3">
        <f t="shared" si="16"/>
        <v>1.8560000000000001</v>
      </c>
      <c r="F2260" s="2">
        <v>0.24399999999999999</v>
      </c>
      <c r="G2260" s="2">
        <f t="shared" si="17"/>
        <v>2.1</v>
      </c>
    </row>
    <row r="2261" spans="1:7" ht="14.25" customHeight="1">
      <c r="A2261" s="2" t="s">
        <v>15</v>
      </c>
      <c r="B2261" s="2">
        <v>1971</v>
      </c>
      <c r="C2261" s="2" t="s">
        <v>29</v>
      </c>
      <c r="D2261" s="2">
        <v>1784</v>
      </c>
      <c r="E2261" s="3">
        <f t="shared" si="16"/>
        <v>1.784</v>
      </c>
      <c r="F2261" s="2">
        <v>0.216</v>
      </c>
      <c r="G2261" s="2">
        <f t="shared" si="17"/>
        <v>2</v>
      </c>
    </row>
    <row r="2262" spans="1:7" ht="14.25" customHeight="1">
      <c r="A2262" s="2" t="s">
        <v>15</v>
      </c>
      <c r="B2262" s="2">
        <v>1972</v>
      </c>
      <c r="C2262" s="2" t="s">
        <v>29</v>
      </c>
      <c r="D2262" s="2">
        <v>2087</v>
      </c>
      <c r="E2262" s="3">
        <f t="shared" si="16"/>
        <v>2.0870000000000002</v>
      </c>
      <c r="F2262" s="2">
        <v>0.21299999999999999</v>
      </c>
      <c r="G2262" s="2">
        <f t="shared" si="17"/>
        <v>2.3000000000000003</v>
      </c>
    </row>
    <row r="2263" spans="1:7" ht="14.25" customHeight="1">
      <c r="A2263" s="2" t="s">
        <v>15</v>
      </c>
      <c r="B2263" s="2">
        <v>1973</v>
      </c>
      <c r="C2263" s="2" t="s">
        <v>29</v>
      </c>
      <c r="D2263" s="2">
        <v>2299</v>
      </c>
      <c r="E2263" s="3">
        <f t="shared" si="16"/>
        <v>2.2989999999999999</v>
      </c>
      <c r="F2263" s="2">
        <v>0.40100000000000002</v>
      </c>
      <c r="G2263" s="2">
        <f t="shared" si="17"/>
        <v>2.7</v>
      </c>
    </row>
    <row r="2264" spans="1:7" ht="14.25" customHeight="1">
      <c r="A2264" s="2" t="s">
        <v>15</v>
      </c>
      <c r="B2264" s="2">
        <v>1974</v>
      </c>
      <c r="C2264" s="2" t="s">
        <v>29</v>
      </c>
      <c r="D2264" s="2">
        <v>1826</v>
      </c>
      <c r="E2264" s="3">
        <f t="shared" si="16"/>
        <v>1.8260000000000001</v>
      </c>
      <c r="F2264" s="2">
        <v>0.372</v>
      </c>
      <c r="G2264" s="2">
        <f t="shared" si="17"/>
        <v>2.198</v>
      </c>
    </row>
    <row r="2265" spans="1:7" ht="14.25" customHeight="1">
      <c r="A2265" s="2" t="s">
        <v>15</v>
      </c>
      <c r="B2265" s="2">
        <v>1975</v>
      </c>
      <c r="C2265" s="2" t="s">
        <v>29</v>
      </c>
      <c r="D2265" s="2">
        <v>1779</v>
      </c>
      <c r="E2265" s="3">
        <f t="shared" si="16"/>
        <v>1.7789999999999999</v>
      </c>
      <c r="F2265" s="2">
        <v>0.39300000000000002</v>
      </c>
      <c r="G2265" s="2">
        <f t="shared" si="17"/>
        <v>2.1719999999999997</v>
      </c>
    </row>
    <row r="2266" spans="1:7" ht="14.25" customHeight="1">
      <c r="A2266" s="2" t="s">
        <v>15</v>
      </c>
      <c r="B2266" s="2">
        <v>1976</v>
      </c>
      <c r="C2266" s="2" t="s">
        <v>29</v>
      </c>
      <c r="D2266" s="2">
        <v>904</v>
      </c>
      <c r="E2266" s="3">
        <f t="shared" si="16"/>
        <v>0.90400000000000003</v>
      </c>
      <c r="F2266" s="2">
        <v>0.20899999999999999</v>
      </c>
      <c r="G2266" s="2">
        <f t="shared" si="17"/>
        <v>1.113</v>
      </c>
    </row>
    <row r="2267" spans="1:7" ht="14.25" customHeight="1">
      <c r="A2267" s="2" t="s">
        <v>15</v>
      </c>
      <c r="B2267" s="2">
        <v>1977</v>
      </c>
      <c r="C2267" s="2" t="s">
        <v>29</v>
      </c>
      <c r="D2267" s="2">
        <v>573</v>
      </c>
      <c r="E2267" s="3">
        <f t="shared" si="16"/>
        <v>0.57299999999999995</v>
      </c>
      <c r="F2267" s="2">
        <v>0.115</v>
      </c>
      <c r="G2267" s="2">
        <f t="shared" si="17"/>
        <v>0.68799999999999994</v>
      </c>
    </row>
    <row r="2268" spans="1:7" ht="14.25" customHeight="1">
      <c r="A2268" s="2" t="s">
        <v>15</v>
      </c>
      <c r="B2268" s="2">
        <v>1978</v>
      </c>
      <c r="C2268" s="2" t="s">
        <v>29</v>
      </c>
      <c r="D2268" s="2">
        <v>655</v>
      </c>
      <c r="E2268" s="3">
        <f t="shared" si="16"/>
        <v>0.65500000000000003</v>
      </c>
      <c r="F2268" s="2">
        <v>0.378</v>
      </c>
      <c r="G2268" s="2">
        <f t="shared" si="17"/>
        <v>1.0329999999999999</v>
      </c>
    </row>
    <row r="2269" spans="1:7" ht="14.25" customHeight="1">
      <c r="A2269" s="2" t="s">
        <v>15</v>
      </c>
      <c r="B2269" s="2">
        <v>1979</v>
      </c>
      <c r="C2269" s="2" t="s">
        <v>29</v>
      </c>
      <c r="D2269" s="2">
        <v>473</v>
      </c>
      <c r="E2269" s="3">
        <f t="shared" si="16"/>
        <v>0.47299999999999998</v>
      </c>
      <c r="F2269" s="2">
        <v>0.52</v>
      </c>
      <c r="G2269" s="2">
        <f t="shared" si="17"/>
        <v>0.99299999999999999</v>
      </c>
    </row>
    <row r="2270" spans="1:7" ht="14.25" customHeight="1">
      <c r="A2270" s="2" t="s">
        <v>15</v>
      </c>
      <c r="B2270" s="2">
        <v>1980</v>
      </c>
      <c r="C2270" s="2" t="s">
        <v>29</v>
      </c>
      <c r="D2270" s="2">
        <v>544</v>
      </c>
      <c r="E2270" s="3">
        <f t="shared" si="16"/>
        <v>0.54400000000000004</v>
      </c>
      <c r="F2270" s="2">
        <v>0.59799999999999998</v>
      </c>
      <c r="G2270" s="2">
        <f t="shared" si="17"/>
        <v>1.1419999999999999</v>
      </c>
    </row>
    <row r="2271" spans="1:7" ht="14.25" customHeight="1">
      <c r="A2271" s="2" t="s">
        <v>15</v>
      </c>
      <c r="B2271" s="2">
        <v>1981</v>
      </c>
      <c r="C2271" s="2" t="s">
        <v>29</v>
      </c>
      <c r="D2271" s="2">
        <v>622</v>
      </c>
      <c r="E2271" s="3">
        <f t="shared" si="16"/>
        <v>0.622</v>
      </c>
      <c r="F2271" s="2">
        <v>1.133</v>
      </c>
      <c r="G2271" s="2">
        <f t="shared" si="17"/>
        <v>1.7549999999999999</v>
      </c>
    </row>
    <row r="2272" spans="1:7" ht="14.25" customHeight="1">
      <c r="A2272" s="2" t="s">
        <v>15</v>
      </c>
      <c r="B2272" s="2">
        <v>1982</v>
      </c>
      <c r="C2272" s="2" t="s">
        <v>29</v>
      </c>
      <c r="D2272" s="2">
        <v>597</v>
      </c>
      <c r="E2272" s="3">
        <f t="shared" si="16"/>
        <v>0.59699999999999998</v>
      </c>
      <c r="F2272" s="2">
        <v>2.1520000000000001</v>
      </c>
      <c r="G2272" s="2">
        <f t="shared" si="17"/>
        <v>2.7490000000000001</v>
      </c>
    </row>
    <row r="2273" spans="1:7" ht="14.25" customHeight="1">
      <c r="A2273" s="2" t="s">
        <v>15</v>
      </c>
      <c r="B2273" s="2">
        <v>1983</v>
      </c>
      <c r="C2273" s="2" t="s">
        <v>29</v>
      </c>
      <c r="D2273" s="2">
        <v>1045</v>
      </c>
      <c r="E2273" s="3">
        <f t="shared" si="16"/>
        <v>1.0449999999999999</v>
      </c>
      <c r="F2273" s="2">
        <v>2.536</v>
      </c>
      <c r="G2273" s="2">
        <f t="shared" si="17"/>
        <v>3.581</v>
      </c>
    </row>
    <row r="2274" spans="1:7" ht="14.25" customHeight="1">
      <c r="A2274" s="2" t="s">
        <v>15</v>
      </c>
      <c r="B2274" s="2">
        <v>1984</v>
      </c>
      <c r="C2274" s="2" t="s">
        <v>29</v>
      </c>
      <c r="D2274" s="2">
        <v>831</v>
      </c>
      <c r="E2274" s="3">
        <f t="shared" si="16"/>
        <v>0.83099999999999996</v>
      </c>
      <c r="F2274" s="2">
        <v>3.9119999999999999</v>
      </c>
      <c r="G2274" s="2">
        <f t="shared" si="17"/>
        <v>4.7430000000000003</v>
      </c>
    </row>
    <row r="2275" spans="1:7" ht="14.25" customHeight="1">
      <c r="A2275" s="2" t="s">
        <v>15</v>
      </c>
      <c r="B2275" s="2">
        <v>1985</v>
      </c>
      <c r="C2275" s="2" t="s">
        <v>29</v>
      </c>
      <c r="D2275" s="2">
        <v>729</v>
      </c>
      <c r="E2275" s="3">
        <f t="shared" si="16"/>
        <v>0.72899999999999998</v>
      </c>
      <c r="F2275" s="2">
        <v>6.9210000000000003</v>
      </c>
      <c r="G2275" s="2">
        <f t="shared" si="17"/>
        <v>7.65</v>
      </c>
    </row>
    <row r="2276" spans="1:7" ht="14.25" customHeight="1">
      <c r="A2276" s="2" t="s">
        <v>15</v>
      </c>
      <c r="B2276" s="2">
        <v>1986</v>
      </c>
      <c r="C2276" s="2" t="s">
        <v>29</v>
      </c>
      <c r="D2276" s="2">
        <v>1045</v>
      </c>
      <c r="E2276" s="3">
        <f t="shared" si="16"/>
        <v>1.0449999999999999</v>
      </c>
      <c r="F2276" s="2">
        <v>10.337</v>
      </c>
      <c r="G2276" s="2">
        <f t="shared" si="17"/>
        <v>11.382</v>
      </c>
    </row>
    <row r="2277" spans="1:7" ht="14.25" customHeight="1">
      <c r="A2277" s="2" t="s">
        <v>15</v>
      </c>
      <c r="B2277" s="2">
        <v>1987</v>
      </c>
      <c r="C2277" s="2" t="s">
        <v>29</v>
      </c>
      <c r="D2277" s="2">
        <v>710</v>
      </c>
      <c r="E2277" s="3">
        <f t="shared" si="16"/>
        <v>0.71</v>
      </c>
      <c r="F2277" s="2">
        <v>12.721</v>
      </c>
      <c r="G2277" s="2">
        <f t="shared" si="17"/>
        <v>13.431000000000001</v>
      </c>
    </row>
    <row r="2278" spans="1:7" ht="14.25" customHeight="1">
      <c r="A2278" s="2" t="s">
        <v>15</v>
      </c>
      <c r="B2278" s="2">
        <v>1988</v>
      </c>
      <c r="C2278" s="2" t="s">
        <v>29</v>
      </c>
      <c r="D2278" s="2">
        <v>763</v>
      </c>
      <c r="E2278" s="3">
        <f t="shared" si="16"/>
        <v>0.76300000000000001</v>
      </c>
      <c r="F2278" s="2">
        <v>17.951000000000001</v>
      </c>
      <c r="G2278" s="2">
        <f t="shared" si="17"/>
        <v>18.714000000000002</v>
      </c>
    </row>
    <row r="2279" spans="1:7" ht="14.25" customHeight="1">
      <c r="A2279" s="2" t="s">
        <v>15</v>
      </c>
      <c r="B2279" s="2">
        <v>1989</v>
      </c>
      <c r="C2279" s="2" t="s">
        <v>29</v>
      </c>
      <c r="D2279" s="2">
        <v>280</v>
      </c>
      <c r="E2279" s="3">
        <f t="shared" si="16"/>
        <v>0.28000000000000003</v>
      </c>
      <c r="F2279" s="2">
        <v>28.603000000000002</v>
      </c>
      <c r="G2279" s="2">
        <f t="shared" si="17"/>
        <v>28.883000000000003</v>
      </c>
    </row>
    <row r="2280" spans="1:7" ht="14.25" customHeight="1">
      <c r="A2280" s="2" t="s">
        <v>15</v>
      </c>
      <c r="B2280" s="2">
        <v>1990</v>
      </c>
      <c r="C2280" s="2" t="s">
        <v>29</v>
      </c>
      <c r="D2280" s="2">
        <v>157</v>
      </c>
      <c r="E2280" s="3">
        <f t="shared" si="16"/>
        <v>0.157</v>
      </c>
      <c r="F2280" s="2">
        <v>32.003999999999998</v>
      </c>
      <c r="G2280" s="2">
        <f t="shared" si="17"/>
        <v>32.160999999999994</v>
      </c>
    </row>
    <row r="2281" spans="1:7" ht="14.25" customHeight="1">
      <c r="A2281" s="2" t="s">
        <v>15</v>
      </c>
      <c r="B2281" s="2">
        <v>1991</v>
      </c>
      <c r="C2281" s="2" t="s">
        <v>29</v>
      </c>
      <c r="D2281" s="2">
        <v>0</v>
      </c>
      <c r="E2281" s="3">
        <f t="shared" si="16"/>
        <v>0</v>
      </c>
      <c r="F2281" s="2">
        <v>40.656999999999996</v>
      </c>
      <c r="G2281" s="2">
        <f t="shared" si="17"/>
        <v>40.656999999999996</v>
      </c>
    </row>
    <row r="2282" spans="1:7" ht="14.25" customHeight="1">
      <c r="A2282" s="2" t="s">
        <v>15</v>
      </c>
      <c r="B2282" s="2">
        <v>1992</v>
      </c>
      <c r="C2282" s="2" t="s">
        <v>29</v>
      </c>
      <c r="D2282" s="2">
        <v>0</v>
      </c>
      <c r="E2282" s="3">
        <f t="shared" si="16"/>
        <v>0</v>
      </c>
      <c r="F2282" s="2">
        <v>36.302</v>
      </c>
      <c r="G2282" s="2">
        <f t="shared" si="17"/>
        <v>36.302</v>
      </c>
    </row>
    <row r="2283" spans="1:7" ht="14.25" customHeight="1">
      <c r="A2283" s="2" t="s">
        <v>15</v>
      </c>
      <c r="B2283" s="2">
        <v>1993</v>
      </c>
      <c r="C2283" s="2" t="s">
        <v>29</v>
      </c>
      <c r="D2283" s="2">
        <v>0</v>
      </c>
      <c r="E2283" s="3">
        <f t="shared" si="16"/>
        <v>0</v>
      </c>
      <c r="F2283" s="2">
        <v>48.790999999999997</v>
      </c>
      <c r="G2283" s="2">
        <f t="shared" si="17"/>
        <v>48.790999999999997</v>
      </c>
    </row>
    <row r="2284" spans="1:7" ht="14.25" customHeight="1">
      <c r="A2284" s="2" t="s">
        <v>15</v>
      </c>
      <c r="B2284" s="2">
        <v>1994</v>
      </c>
      <c r="C2284" s="2" t="s">
        <v>29</v>
      </c>
      <c r="D2284" s="2">
        <v>0</v>
      </c>
      <c r="E2284" s="3">
        <f t="shared" si="16"/>
        <v>0</v>
      </c>
      <c r="F2284" s="2">
        <v>64.266000000000005</v>
      </c>
      <c r="G2284" s="2">
        <f t="shared" si="17"/>
        <v>64.266000000000005</v>
      </c>
    </row>
    <row r="2285" spans="1:7" ht="14.25" customHeight="1">
      <c r="A2285" s="2" t="s">
        <v>15</v>
      </c>
      <c r="B2285" s="2">
        <v>1995</v>
      </c>
      <c r="C2285" s="2" t="s">
        <v>29</v>
      </c>
      <c r="D2285" s="2">
        <v>0</v>
      </c>
      <c r="E2285" s="3">
        <f t="shared" si="16"/>
        <v>0</v>
      </c>
      <c r="F2285" s="2">
        <v>70.322000000000003</v>
      </c>
      <c r="G2285" s="2">
        <f t="shared" si="17"/>
        <v>70.322000000000003</v>
      </c>
    </row>
    <row r="2286" spans="1:7" ht="14.25" customHeight="1">
      <c r="A2286" s="2" t="s">
        <v>15</v>
      </c>
      <c r="B2286" s="2">
        <v>1996</v>
      </c>
      <c r="C2286" s="2" t="s">
        <v>29</v>
      </c>
      <c r="D2286" s="2">
        <v>0</v>
      </c>
      <c r="E2286" s="3">
        <f t="shared" si="16"/>
        <v>0</v>
      </c>
      <c r="F2286" s="2">
        <v>83.343999999999994</v>
      </c>
      <c r="G2286" s="2">
        <f t="shared" si="17"/>
        <v>83.343999999999994</v>
      </c>
    </row>
    <row r="2287" spans="1:7" ht="14.25" customHeight="1">
      <c r="A2287" s="2" t="s">
        <v>15</v>
      </c>
      <c r="B2287" s="2">
        <v>1997</v>
      </c>
      <c r="C2287" s="2" t="s">
        <v>29</v>
      </c>
      <c r="D2287" s="2">
        <v>0</v>
      </c>
      <c r="E2287" s="3">
        <f t="shared" si="16"/>
        <v>0</v>
      </c>
      <c r="F2287" s="2">
        <v>99.421999999999997</v>
      </c>
      <c r="G2287" s="2">
        <f t="shared" si="17"/>
        <v>99.421999999999997</v>
      </c>
    </row>
    <row r="2288" spans="1:7" ht="14.25" customHeight="1">
      <c r="A2288" s="2" t="s">
        <v>15</v>
      </c>
      <c r="B2288" s="2">
        <v>1998</v>
      </c>
      <c r="C2288" s="2" t="s">
        <v>29</v>
      </c>
      <c r="D2288" s="2">
        <v>0</v>
      </c>
      <c r="E2288" s="3">
        <f t="shared" si="16"/>
        <v>0</v>
      </c>
      <c r="F2288" s="2">
        <v>110.917</v>
      </c>
      <c r="G2288" s="2">
        <f t="shared" si="17"/>
        <v>110.917</v>
      </c>
    </row>
    <row r="2289" spans="1:7" ht="14.25" customHeight="1">
      <c r="A2289" s="2" t="s">
        <v>15</v>
      </c>
      <c r="B2289" s="2">
        <v>1999</v>
      </c>
      <c r="C2289" s="2" t="s">
        <v>29</v>
      </c>
      <c r="D2289" s="2">
        <v>0</v>
      </c>
      <c r="E2289" s="3">
        <f t="shared" si="16"/>
        <v>0</v>
      </c>
      <c r="F2289" s="2">
        <v>126.68600000000001</v>
      </c>
      <c r="G2289" s="2">
        <f t="shared" si="17"/>
        <v>126.68600000000001</v>
      </c>
    </row>
    <row r="2290" spans="1:7" ht="14.25" customHeight="1">
      <c r="A2290" s="2" t="s">
        <v>15</v>
      </c>
      <c r="B2290" s="2">
        <v>2000</v>
      </c>
      <c r="C2290" s="2" t="s">
        <v>29</v>
      </c>
      <c r="D2290" s="2">
        <v>33</v>
      </c>
      <c r="E2290" s="3">
        <f t="shared" si="16"/>
        <v>3.3000000000000002E-2</v>
      </c>
      <c r="F2290" s="2">
        <v>128.959</v>
      </c>
      <c r="G2290" s="2">
        <f t="shared" si="17"/>
        <v>128.99199999999999</v>
      </c>
    </row>
    <row r="2291" spans="1:7" ht="14.25" customHeight="1">
      <c r="A2291" s="2" t="s">
        <v>15</v>
      </c>
      <c r="B2291" s="2">
        <v>2001</v>
      </c>
      <c r="C2291" s="2" t="s">
        <v>29</v>
      </c>
      <c r="D2291" s="2">
        <v>37</v>
      </c>
      <c r="E2291" s="3">
        <f t="shared" si="16"/>
        <v>3.6999999999999998E-2</v>
      </c>
      <c r="F2291" s="2">
        <v>138.51900000000001</v>
      </c>
      <c r="G2291" s="2">
        <f t="shared" si="17"/>
        <v>138.55600000000001</v>
      </c>
    </row>
    <row r="2292" spans="1:7" ht="14.25" customHeight="1">
      <c r="A2292" s="2" t="s">
        <v>15</v>
      </c>
      <c r="B2292" s="2">
        <v>2002</v>
      </c>
      <c r="C2292" s="2" t="s">
        <v>29</v>
      </c>
      <c r="D2292" s="2">
        <v>31</v>
      </c>
      <c r="E2292" s="3">
        <f t="shared" si="16"/>
        <v>3.1E-2</v>
      </c>
      <c r="F2292" s="2">
        <v>145.60900000000001</v>
      </c>
      <c r="G2292" s="2">
        <f t="shared" si="17"/>
        <v>145.64000000000001</v>
      </c>
    </row>
    <row r="2293" spans="1:7" ht="14.25" customHeight="1">
      <c r="A2293" s="2" t="s">
        <v>15</v>
      </c>
      <c r="B2293" s="2">
        <v>2003</v>
      </c>
      <c r="C2293" s="2" t="s">
        <v>29</v>
      </c>
      <c r="D2293" s="2">
        <v>2</v>
      </c>
      <c r="E2293" s="3">
        <f t="shared" si="16"/>
        <v>2E-3</v>
      </c>
      <c r="F2293" s="2">
        <v>145.60900000000001</v>
      </c>
      <c r="G2293" s="2">
        <f t="shared" si="17"/>
        <v>145.61100000000002</v>
      </c>
    </row>
    <row r="2294" spans="1:7" ht="14.25" customHeight="1">
      <c r="A2294" s="2" t="s">
        <v>15</v>
      </c>
      <c r="B2294" s="2">
        <v>2004</v>
      </c>
      <c r="C2294" s="2" t="s">
        <v>29</v>
      </c>
      <c r="D2294" s="2">
        <v>2</v>
      </c>
      <c r="E2294" s="3">
        <f t="shared" si="16"/>
        <v>2E-3</v>
      </c>
      <c r="F2294" s="2">
        <v>158.09899999999999</v>
      </c>
      <c r="G2294" s="2">
        <f t="shared" si="17"/>
        <v>158.101</v>
      </c>
    </row>
    <row r="2295" spans="1:7" ht="14.25" customHeight="1">
      <c r="A2295" s="2" t="s">
        <v>15</v>
      </c>
      <c r="B2295" s="2">
        <v>2005</v>
      </c>
      <c r="C2295" s="2" t="s">
        <v>29</v>
      </c>
      <c r="D2295" s="2">
        <v>2</v>
      </c>
      <c r="E2295" s="3">
        <f t="shared" si="16"/>
        <v>2E-3</v>
      </c>
      <c r="F2295" s="2">
        <v>129.82300000000001</v>
      </c>
      <c r="G2295" s="2">
        <f t="shared" si="17"/>
        <v>129.82500000000002</v>
      </c>
    </row>
    <row r="2296" spans="1:7" ht="14.25" customHeight="1">
      <c r="A2296" s="2" t="s">
        <v>15</v>
      </c>
      <c r="B2296" s="2">
        <v>2006</v>
      </c>
      <c r="C2296" s="2" t="s">
        <v>29</v>
      </c>
      <c r="D2296" s="2">
        <v>7.03</v>
      </c>
      <c r="E2296" s="3">
        <f t="shared" si="16"/>
        <v>7.0300000000000007E-3</v>
      </c>
      <c r="F2296" s="2">
        <v>131.97300000000001</v>
      </c>
      <c r="G2296" s="2">
        <f t="shared" si="17"/>
        <v>131.98003</v>
      </c>
    </row>
    <row r="2297" spans="1:7" ht="14.25" customHeight="1">
      <c r="A2297" s="2" t="s">
        <v>15</v>
      </c>
      <c r="B2297" s="2">
        <v>2007</v>
      </c>
      <c r="C2297" s="2" t="s">
        <v>29</v>
      </c>
      <c r="D2297" s="2">
        <v>8.0299999999999994</v>
      </c>
      <c r="E2297" s="3">
        <f t="shared" ref="E2297:E2551" si="18">D2297/1000</f>
        <v>8.0299999999999989E-3</v>
      </c>
      <c r="F2297" s="2">
        <v>130.10400000000001</v>
      </c>
      <c r="G2297" s="2">
        <f t="shared" ref="G2297:G2551" si="19">E2297+F2297</f>
        <v>130.11203</v>
      </c>
    </row>
    <row r="2298" spans="1:7" ht="14.25" customHeight="1">
      <c r="A2298" s="2" t="s">
        <v>15</v>
      </c>
      <c r="B2298" s="2">
        <v>2008</v>
      </c>
      <c r="C2298" s="2" t="s">
        <v>29</v>
      </c>
      <c r="D2298" s="2">
        <v>5.0199999999999996</v>
      </c>
      <c r="E2298" s="3">
        <f t="shared" si="18"/>
        <v>5.0199999999999993E-3</v>
      </c>
      <c r="F2298" s="2">
        <v>128.744</v>
      </c>
      <c r="G2298" s="2">
        <f t="shared" si="19"/>
        <v>128.74902</v>
      </c>
    </row>
    <row r="2299" spans="1:7" ht="14.25" customHeight="1">
      <c r="A2299" s="2" t="s">
        <v>15</v>
      </c>
      <c r="B2299" s="2">
        <v>2009</v>
      </c>
      <c r="C2299" s="2" t="s">
        <v>29</v>
      </c>
      <c r="D2299" s="2">
        <v>0.42</v>
      </c>
      <c r="E2299" s="3">
        <f t="shared" si="18"/>
        <v>4.1999999999999996E-4</v>
      </c>
      <c r="F2299" s="2">
        <v>144.66300000000001</v>
      </c>
      <c r="G2299" s="2">
        <f t="shared" si="19"/>
        <v>144.66342</v>
      </c>
    </row>
    <row r="2300" spans="1:7" ht="14.25" customHeight="1">
      <c r="A2300" s="2" t="s">
        <v>15</v>
      </c>
      <c r="B2300" s="2">
        <v>2010</v>
      </c>
      <c r="C2300" s="2" t="s">
        <v>29</v>
      </c>
      <c r="D2300" s="2">
        <v>0.1</v>
      </c>
      <c r="E2300" s="3">
        <f t="shared" si="18"/>
        <v>1E-4</v>
      </c>
      <c r="F2300" s="2">
        <v>154.63300000000001</v>
      </c>
      <c r="G2300" s="2">
        <f t="shared" si="19"/>
        <v>154.63310000000001</v>
      </c>
    </row>
    <row r="2301" spans="1:7" ht="14.25" customHeight="1">
      <c r="A2301" s="2" t="s">
        <v>15</v>
      </c>
      <c r="B2301" s="2">
        <v>2011</v>
      </c>
      <c r="C2301" s="2" t="s">
        <v>29</v>
      </c>
      <c r="D2301" s="2">
        <v>7.8</v>
      </c>
      <c r="E2301" s="3">
        <f t="shared" si="18"/>
        <v>7.7999999999999996E-3</v>
      </c>
      <c r="F2301" s="2">
        <v>158.30950000000001</v>
      </c>
      <c r="G2301" s="2">
        <f t="shared" si="19"/>
        <v>158.31730000000002</v>
      </c>
    </row>
    <row r="2302" spans="1:7" ht="14.25" customHeight="1">
      <c r="A2302" s="2" t="s">
        <v>15</v>
      </c>
      <c r="B2302" s="2">
        <v>2012</v>
      </c>
      <c r="C2302" s="2" t="s">
        <v>29</v>
      </c>
      <c r="D2302" s="2">
        <v>4.7</v>
      </c>
      <c r="E2302" s="3">
        <f t="shared" si="18"/>
        <v>4.7000000000000002E-3</v>
      </c>
      <c r="F2302" s="2">
        <v>162.547</v>
      </c>
      <c r="G2302" s="2">
        <f t="shared" si="19"/>
        <v>162.55170000000001</v>
      </c>
    </row>
    <row r="2303" spans="1:7" ht="14.25" customHeight="1">
      <c r="A2303" s="2" t="s">
        <v>15</v>
      </c>
      <c r="B2303" s="2">
        <v>2013</v>
      </c>
      <c r="C2303" s="2" t="s">
        <v>29</v>
      </c>
      <c r="D2303" s="2">
        <v>3.94</v>
      </c>
      <c r="E2303" s="3">
        <f t="shared" si="18"/>
        <v>3.9399999999999999E-3</v>
      </c>
      <c r="F2303" s="2">
        <v>163.518</v>
      </c>
      <c r="G2303" s="2">
        <f t="shared" si="19"/>
        <v>163.52194</v>
      </c>
    </row>
    <row r="2304" spans="1:7" ht="14.25" customHeight="1">
      <c r="A2304" s="2" t="s">
        <v>15</v>
      </c>
      <c r="B2304" s="2">
        <v>2014</v>
      </c>
      <c r="C2304" s="2" t="s">
        <v>29</v>
      </c>
      <c r="D2304" s="2">
        <v>0.16</v>
      </c>
      <c r="E2304" s="3">
        <f t="shared" si="18"/>
        <v>1.6000000000000001E-4</v>
      </c>
      <c r="F2304" s="2">
        <v>179.39699999999999</v>
      </c>
      <c r="G2304" s="2">
        <f t="shared" si="19"/>
        <v>179.39715999999999</v>
      </c>
    </row>
    <row r="2305" spans="1:9" ht="14.25" customHeight="1">
      <c r="A2305" s="2" t="s">
        <v>15</v>
      </c>
      <c r="B2305" s="2">
        <v>2015</v>
      </c>
      <c r="C2305" s="2" t="s">
        <v>29</v>
      </c>
      <c r="D2305" s="2">
        <v>0.11</v>
      </c>
      <c r="E2305" s="3">
        <f t="shared" si="18"/>
        <v>1.1E-4</v>
      </c>
      <c r="F2305" s="2">
        <v>172.14626000000001</v>
      </c>
      <c r="G2305" s="2">
        <f t="shared" si="19"/>
        <v>172.14637000000002</v>
      </c>
    </row>
    <row r="2306" spans="1:9" ht="14.25" customHeight="1">
      <c r="A2306" s="2" t="s">
        <v>15</v>
      </c>
      <c r="B2306" s="2">
        <v>2016</v>
      </c>
      <c r="C2306" s="2" t="s">
        <v>29</v>
      </c>
      <c r="D2306" s="2">
        <v>3.8</v>
      </c>
      <c r="E2306" s="3">
        <f t="shared" si="18"/>
        <v>3.8E-3</v>
      </c>
      <c r="F2306" s="2">
        <v>163.13451999999998</v>
      </c>
      <c r="G2306" s="2">
        <f t="shared" si="19"/>
        <v>163.13831999999999</v>
      </c>
    </row>
    <row r="2307" spans="1:9" ht="14.25" customHeight="1">
      <c r="A2307" s="2" t="s">
        <v>15</v>
      </c>
      <c r="B2307" s="2">
        <v>2017</v>
      </c>
      <c r="C2307" s="2" t="s">
        <v>29</v>
      </c>
      <c r="D2307" s="2">
        <v>0.33</v>
      </c>
      <c r="E2307" s="3">
        <f t="shared" si="18"/>
        <v>3.3E-4</v>
      </c>
      <c r="F2307" s="2">
        <v>189.70699999999999</v>
      </c>
      <c r="G2307" s="2">
        <f t="shared" si="19"/>
        <v>189.70732999999998</v>
      </c>
    </row>
    <row r="2308" spans="1:9" ht="14.25" customHeight="1">
      <c r="A2308" s="2" t="s">
        <v>15</v>
      </c>
      <c r="B2308" s="2">
        <v>2018</v>
      </c>
      <c r="C2308" s="2" t="s">
        <v>29</v>
      </c>
      <c r="D2308" s="2">
        <v>9.4E-2</v>
      </c>
      <c r="E2308" s="3">
        <f t="shared" si="18"/>
        <v>9.3999999999999994E-5</v>
      </c>
      <c r="F2308" s="2">
        <v>156.02500000000001</v>
      </c>
      <c r="G2308" s="2">
        <f t="shared" si="19"/>
        <v>156.025094</v>
      </c>
    </row>
    <row r="2309" spans="1:9" ht="14.25" customHeight="1">
      <c r="A2309" s="2" t="s">
        <v>15</v>
      </c>
      <c r="B2309" s="2">
        <v>1903</v>
      </c>
      <c r="C2309" s="2" t="s">
        <v>28</v>
      </c>
      <c r="D2309" s="2">
        <v>29337</v>
      </c>
      <c r="E2309" s="3">
        <f t="shared" si="18"/>
        <v>29.337</v>
      </c>
      <c r="G2309" s="2">
        <f t="shared" si="19"/>
        <v>29.337</v>
      </c>
      <c r="H2309" s="2">
        <f t="shared" ref="H2309:H2340" si="20">E2309</f>
        <v>29.337</v>
      </c>
      <c r="I2309" s="2">
        <f t="shared" ref="I2309:I2424" si="21">H2309*0.28</f>
        <v>8.214360000000001</v>
      </c>
    </row>
    <row r="2310" spans="1:9" ht="14.25" customHeight="1">
      <c r="A2310" s="2" t="s">
        <v>15</v>
      </c>
      <c r="B2310" s="2">
        <v>1904</v>
      </c>
      <c r="C2310" s="2" t="s">
        <v>28</v>
      </c>
      <c r="D2310" s="2">
        <v>30877</v>
      </c>
      <c r="E2310" s="3">
        <f t="shared" si="18"/>
        <v>30.876999999999999</v>
      </c>
      <c r="G2310" s="2">
        <f t="shared" si="19"/>
        <v>30.876999999999999</v>
      </c>
      <c r="H2310" s="2">
        <f t="shared" si="20"/>
        <v>30.876999999999999</v>
      </c>
      <c r="I2310" s="2">
        <f t="shared" si="21"/>
        <v>8.6455599999999997</v>
      </c>
    </row>
    <row r="2311" spans="1:9" ht="14.25" customHeight="1">
      <c r="A2311" s="2" t="s">
        <v>15</v>
      </c>
      <c r="B2311" s="2">
        <v>1905</v>
      </c>
      <c r="C2311" s="2" t="s">
        <v>28</v>
      </c>
      <c r="D2311" s="2">
        <v>14480</v>
      </c>
      <c r="E2311" s="3">
        <f t="shared" si="18"/>
        <v>14.48</v>
      </c>
      <c r="G2311" s="2">
        <f t="shared" si="19"/>
        <v>14.48</v>
      </c>
      <c r="H2311" s="2">
        <f t="shared" si="20"/>
        <v>14.48</v>
      </c>
      <c r="I2311" s="2">
        <f t="shared" si="21"/>
        <v>4.0544000000000002</v>
      </c>
    </row>
    <row r="2312" spans="1:9" ht="14.25" customHeight="1">
      <c r="A2312" s="2" t="s">
        <v>15</v>
      </c>
      <c r="B2312" s="2">
        <v>1906</v>
      </c>
      <c r="C2312" s="2" t="s">
        <v>28</v>
      </c>
      <c r="D2312" s="2">
        <v>40414</v>
      </c>
      <c r="E2312" s="3">
        <f t="shared" si="18"/>
        <v>40.414000000000001</v>
      </c>
      <c r="G2312" s="2">
        <f t="shared" si="19"/>
        <v>40.414000000000001</v>
      </c>
      <c r="H2312" s="2">
        <f t="shared" si="20"/>
        <v>40.414000000000001</v>
      </c>
      <c r="I2312" s="2">
        <f t="shared" si="21"/>
        <v>11.315920000000002</v>
      </c>
    </row>
    <row r="2313" spans="1:9" ht="14.25" customHeight="1">
      <c r="A2313" s="2" t="s">
        <v>15</v>
      </c>
      <c r="B2313" s="2">
        <v>1907</v>
      </c>
      <c r="C2313" s="2" t="s">
        <v>28</v>
      </c>
      <c r="D2313" s="2">
        <v>40834</v>
      </c>
      <c r="E2313" s="3">
        <f t="shared" si="18"/>
        <v>40.834000000000003</v>
      </c>
      <c r="G2313" s="2">
        <f t="shared" si="19"/>
        <v>40.834000000000003</v>
      </c>
      <c r="H2313" s="2">
        <f t="shared" si="20"/>
        <v>40.834000000000003</v>
      </c>
      <c r="I2313" s="2">
        <f t="shared" si="21"/>
        <v>11.433520000000001</v>
      </c>
    </row>
    <row r="2314" spans="1:9" ht="14.25" customHeight="1">
      <c r="A2314" s="2" t="s">
        <v>15</v>
      </c>
      <c r="B2314" s="2">
        <v>1908</v>
      </c>
      <c r="C2314" s="2" t="s">
        <v>28</v>
      </c>
      <c r="D2314" s="2">
        <v>39070</v>
      </c>
      <c r="E2314" s="3">
        <f t="shared" si="18"/>
        <v>39.07</v>
      </c>
      <c r="G2314" s="2">
        <f t="shared" si="19"/>
        <v>39.07</v>
      </c>
      <c r="H2314" s="2">
        <f t="shared" si="20"/>
        <v>39.07</v>
      </c>
      <c r="I2314" s="2">
        <f t="shared" si="21"/>
        <v>10.9396</v>
      </c>
    </row>
    <row r="2315" spans="1:9" ht="14.25" customHeight="1">
      <c r="A2315" s="2" t="s">
        <v>15</v>
      </c>
      <c r="B2315" s="2">
        <v>1909</v>
      </c>
      <c r="C2315" s="2" t="s">
        <v>28</v>
      </c>
      <c r="D2315" s="2">
        <v>32691</v>
      </c>
      <c r="E2315" s="3">
        <f t="shared" si="18"/>
        <v>32.691000000000003</v>
      </c>
      <c r="G2315" s="2">
        <f t="shared" si="19"/>
        <v>32.691000000000003</v>
      </c>
      <c r="H2315" s="2">
        <f t="shared" si="20"/>
        <v>32.691000000000003</v>
      </c>
      <c r="I2315" s="2">
        <f t="shared" si="21"/>
        <v>9.1534800000000018</v>
      </c>
    </row>
    <row r="2316" spans="1:9" ht="14.25" customHeight="1">
      <c r="A2316" s="2" t="s">
        <v>15</v>
      </c>
      <c r="B2316" s="2">
        <v>1910</v>
      </c>
      <c r="C2316" s="2" t="s">
        <v>28</v>
      </c>
      <c r="D2316" s="2">
        <v>33399</v>
      </c>
      <c r="E2316" s="3">
        <f t="shared" si="18"/>
        <v>33.399000000000001</v>
      </c>
      <c r="G2316" s="2">
        <f t="shared" si="19"/>
        <v>33.399000000000001</v>
      </c>
      <c r="H2316" s="2">
        <f t="shared" si="20"/>
        <v>33.399000000000001</v>
      </c>
      <c r="I2316" s="2">
        <f t="shared" si="21"/>
        <v>9.351720000000002</v>
      </c>
    </row>
    <row r="2317" spans="1:9" ht="14.25" customHeight="1">
      <c r="A2317" s="2" t="s">
        <v>15</v>
      </c>
      <c r="B2317" s="2">
        <v>1911</v>
      </c>
      <c r="C2317" s="2" t="s">
        <v>28</v>
      </c>
      <c r="D2317" s="2">
        <v>33384</v>
      </c>
      <c r="E2317" s="3">
        <f t="shared" si="18"/>
        <v>33.384</v>
      </c>
      <c r="G2317" s="2">
        <f t="shared" si="19"/>
        <v>33.384</v>
      </c>
      <c r="H2317" s="2">
        <f t="shared" si="20"/>
        <v>33.384</v>
      </c>
      <c r="I2317" s="2">
        <f t="shared" si="21"/>
        <v>9.3475200000000012</v>
      </c>
    </row>
    <row r="2318" spans="1:9" ht="14.25" customHeight="1">
      <c r="A2318" s="2" t="s">
        <v>15</v>
      </c>
      <c r="B2318" s="2">
        <v>1912</v>
      </c>
      <c r="C2318" s="2" t="s">
        <v>28</v>
      </c>
      <c r="D2318" s="2">
        <v>37126</v>
      </c>
      <c r="E2318" s="3">
        <f t="shared" si="18"/>
        <v>37.125999999999998</v>
      </c>
      <c r="G2318" s="2">
        <f t="shared" si="19"/>
        <v>37.125999999999998</v>
      </c>
      <c r="H2318" s="2">
        <f t="shared" si="20"/>
        <v>37.125999999999998</v>
      </c>
      <c r="I2318" s="2">
        <f t="shared" si="21"/>
        <v>10.39528</v>
      </c>
    </row>
    <row r="2319" spans="1:9" ht="14.25" customHeight="1">
      <c r="A2319" s="2" t="s">
        <v>15</v>
      </c>
      <c r="B2319" s="2">
        <v>1913</v>
      </c>
      <c r="C2319" s="2" t="s">
        <v>28</v>
      </c>
      <c r="D2319" s="2">
        <v>38906</v>
      </c>
      <c r="E2319" s="3">
        <f t="shared" si="18"/>
        <v>38.905999999999999</v>
      </c>
      <c r="G2319" s="2">
        <f t="shared" si="19"/>
        <v>38.905999999999999</v>
      </c>
      <c r="H2319" s="2">
        <f t="shared" si="20"/>
        <v>38.905999999999999</v>
      </c>
      <c r="I2319" s="2">
        <f t="shared" si="21"/>
        <v>10.893680000000002</v>
      </c>
    </row>
    <row r="2320" spans="1:9" ht="14.25" customHeight="1">
      <c r="A2320" s="2" t="s">
        <v>15</v>
      </c>
      <c r="B2320" s="2">
        <v>1914</v>
      </c>
      <c r="C2320" s="2" t="s">
        <v>28</v>
      </c>
      <c r="D2320" s="2">
        <v>39680</v>
      </c>
      <c r="E2320" s="3">
        <f t="shared" si="18"/>
        <v>39.68</v>
      </c>
      <c r="G2320" s="2">
        <f t="shared" si="19"/>
        <v>39.68</v>
      </c>
      <c r="H2320" s="2">
        <f t="shared" si="20"/>
        <v>39.68</v>
      </c>
      <c r="I2320" s="2">
        <f t="shared" si="21"/>
        <v>11.1104</v>
      </c>
    </row>
    <row r="2321" spans="1:9" ht="14.25" customHeight="1">
      <c r="A2321" s="2" t="s">
        <v>15</v>
      </c>
      <c r="B2321" s="2">
        <v>1915</v>
      </c>
      <c r="C2321" s="2" t="s">
        <v>28</v>
      </c>
      <c r="D2321" s="2">
        <v>38909</v>
      </c>
      <c r="E2321" s="3">
        <f t="shared" si="18"/>
        <v>38.908999999999999</v>
      </c>
      <c r="G2321" s="2">
        <f t="shared" si="19"/>
        <v>38.908999999999999</v>
      </c>
      <c r="H2321" s="2">
        <f t="shared" si="20"/>
        <v>38.908999999999999</v>
      </c>
      <c r="I2321" s="2">
        <f t="shared" si="21"/>
        <v>10.89452</v>
      </c>
    </row>
    <row r="2322" spans="1:9" ht="14.25" customHeight="1">
      <c r="A2322" s="2" t="s">
        <v>15</v>
      </c>
      <c r="B2322" s="2">
        <v>1916</v>
      </c>
      <c r="C2322" s="2" t="s">
        <v>28</v>
      </c>
      <c r="D2322" s="2">
        <v>32709</v>
      </c>
      <c r="E2322" s="3">
        <f t="shared" si="18"/>
        <v>32.709000000000003</v>
      </c>
      <c r="G2322" s="2">
        <f t="shared" si="19"/>
        <v>32.709000000000003</v>
      </c>
      <c r="H2322" s="2">
        <f t="shared" si="20"/>
        <v>32.709000000000003</v>
      </c>
      <c r="I2322" s="2">
        <f t="shared" si="21"/>
        <v>9.1585200000000011</v>
      </c>
    </row>
    <row r="2323" spans="1:9" ht="14.25" customHeight="1">
      <c r="A2323" s="2" t="s">
        <v>15</v>
      </c>
      <c r="B2323" s="2">
        <v>1917</v>
      </c>
      <c r="C2323" s="2" t="s">
        <v>28</v>
      </c>
      <c r="D2323" s="2">
        <v>35099</v>
      </c>
      <c r="E2323" s="3">
        <f t="shared" si="18"/>
        <v>35.098999999999997</v>
      </c>
      <c r="G2323" s="2">
        <f t="shared" si="19"/>
        <v>35.098999999999997</v>
      </c>
      <c r="H2323" s="2">
        <f t="shared" si="20"/>
        <v>35.098999999999997</v>
      </c>
      <c r="I2323" s="2">
        <f t="shared" si="21"/>
        <v>9.8277199999999993</v>
      </c>
    </row>
    <row r="2324" spans="1:9" ht="14.25" customHeight="1">
      <c r="A2324" s="2" t="s">
        <v>15</v>
      </c>
      <c r="B2324" s="2">
        <v>1918</v>
      </c>
      <c r="C2324" s="2" t="s">
        <v>28</v>
      </c>
      <c r="D2324" s="2">
        <v>32720</v>
      </c>
      <c r="E2324" s="3">
        <f t="shared" si="18"/>
        <v>32.72</v>
      </c>
      <c r="G2324" s="2">
        <f t="shared" si="19"/>
        <v>32.72</v>
      </c>
      <c r="H2324" s="2">
        <f t="shared" si="20"/>
        <v>32.72</v>
      </c>
      <c r="I2324" s="2">
        <f t="shared" si="21"/>
        <v>9.1616</v>
      </c>
    </row>
    <row r="2325" spans="1:9" ht="14.25" customHeight="1">
      <c r="A2325" s="2" t="s">
        <v>15</v>
      </c>
      <c r="B2325" s="2">
        <v>1919</v>
      </c>
      <c r="C2325" s="2" t="s">
        <v>28</v>
      </c>
      <c r="D2325" s="2">
        <v>34753</v>
      </c>
      <c r="E2325" s="3">
        <f t="shared" si="18"/>
        <v>34.753</v>
      </c>
      <c r="G2325" s="2">
        <f t="shared" si="19"/>
        <v>34.753</v>
      </c>
      <c r="H2325" s="2">
        <f t="shared" si="20"/>
        <v>34.753</v>
      </c>
      <c r="I2325" s="2">
        <f t="shared" si="21"/>
        <v>9.7308400000000006</v>
      </c>
    </row>
    <row r="2326" spans="1:9" ht="14.25" customHeight="1">
      <c r="A2326" s="2" t="s">
        <v>15</v>
      </c>
      <c r="B2326" s="2">
        <v>1920</v>
      </c>
      <c r="C2326" s="2" t="s">
        <v>28</v>
      </c>
      <c r="D2326" s="2">
        <v>31690</v>
      </c>
      <c r="E2326" s="3">
        <f t="shared" si="18"/>
        <v>31.69</v>
      </c>
      <c r="G2326" s="2">
        <f t="shared" si="19"/>
        <v>31.69</v>
      </c>
      <c r="H2326" s="2">
        <f t="shared" si="20"/>
        <v>31.69</v>
      </c>
      <c r="I2326" s="2">
        <f t="shared" si="21"/>
        <v>8.8732000000000006</v>
      </c>
    </row>
    <row r="2327" spans="1:9" ht="14.25" customHeight="1">
      <c r="A2327" s="2" t="s">
        <v>15</v>
      </c>
      <c r="B2327" s="2">
        <v>1921</v>
      </c>
      <c r="C2327" s="2" t="s">
        <v>28</v>
      </c>
      <c r="D2327" s="2">
        <v>28878</v>
      </c>
      <c r="E2327" s="3">
        <f t="shared" si="18"/>
        <v>28.878</v>
      </c>
      <c r="G2327" s="2">
        <f t="shared" si="19"/>
        <v>28.878</v>
      </c>
      <c r="H2327" s="2">
        <f t="shared" si="20"/>
        <v>28.878</v>
      </c>
      <c r="I2327" s="2">
        <f t="shared" si="21"/>
        <v>8.085840000000001</v>
      </c>
    </row>
    <row r="2328" spans="1:9" ht="14.25" customHeight="1">
      <c r="A2328" s="2" t="s">
        <v>15</v>
      </c>
      <c r="B2328" s="2">
        <v>1922</v>
      </c>
      <c r="C2328" s="2" t="s">
        <v>28</v>
      </c>
      <c r="D2328" s="2">
        <v>30129</v>
      </c>
      <c r="E2328" s="3">
        <f t="shared" si="18"/>
        <v>30.129000000000001</v>
      </c>
      <c r="G2328" s="2">
        <f t="shared" si="19"/>
        <v>30.129000000000001</v>
      </c>
      <c r="H2328" s="2">
        <f t="shared" si="20"/>
        <v>30.129000000000001</v>
      </c>
      <c r="I2328" s="2">
        <f t="shared" si="21"/>
        <v>8.4361200000000007</v>
      </c>
    </row>
    <row r="2329" spans="1:9" ht="14.25" customHeight="1">
      <c r="A2329" s="2" t="s">
        <v>15</v>
      </c>
      <c r="B2329" s="2">
        <v>1923</v>
      </c>
      <c r="C2329" s="2" t="s">
        <v>28</v>
      </c>
      <c r="D2329" s="2">
        <v>27810</v>
      </c>
      <c r="E2329" s="3">
        <f t="shared" si="18"/>
        <v>27.81</v>
      </c>
      <c r="G2329" s="2">
        <f t="shared" si="19"/>
        <v>27.81</v>
      </c>
      <c r="H2329" s="2">
        <f t="shared" si="20"/>
        <v>27.81</v>
      </c>
      <c r="I2329" s="2">
        <f t="shared" si="21"/>
        <v>7.7868000000000004</v>
      </c>
    </row>
    <row r="2330" spans="1:9" ht="14.25" customHeight="1">
      <c r="A2330" s="2" t="s">
        <v>15</v>
      </c>
      <c r="B2330" s="2">
        <v>1924</v>
      </c>
      <c r="C2330" s="2" t="s">
        <v>28</v>
      </c>
      <c r="D2330" s="2">
        <v>30731</v>
      </c>
      <c r="E2330" s="3">
        <f t="shared" si="18"/>
        <v>30.731000000000002</v>
      </c>
      <c r="G2330" s="2">
        <f t="shared" si="19"/>
        <v>30.731000000000002</v>
      </c>
      <c r="H2330" s="2">
        <f t="shared" si="20"/>
        <v>30.731000000000002</v>
      </c>
      <c r="I2330" s="2">
        <f t="shared" si="21"/>
        <v>8.6046800000000019</v>
      </c>
    </row>
    <row r="2331" spans="1:9" ht="14.25" customHeight="1">
      <c r="A2331" s="2" t="s">
        <v>15</v>
      </c>
      <c r="B2331" s="2">
        <v>1925</v>
      </c>
      <c r="C2331" s="2" t="s">
        <v>28</v>
      </c>
      <c r="D2331" s="2">
        <v>39187</v>
      </c>
      <c r="E2331" s="3">
        <f t="shared" si="18"/>
        <v>39.186999999999998</v>
      </c>
      <c r="G2331" s="2">
        <f t="shared" si="19"/>
        <v>39.186999999999998</v>
      </c>
      <c r="H2331" s="2">
        <f t="shared" si="20"/>
        <v>39.186999999999998</v>
      </c>
      <c r="I2331" s="2">
        <f t="shared" si="21"/>
        <v>10.97236</v>
      </c>
    </row>
    <row r="2332" spans="1:9" ht="14.25" customHeight="1">
      <c r="A2332" s="2" t="s">
        <v>15</v>
      </c>
      <c r="B2332" s="2">
        <v>1926</v>
      </c>
      <c r="C2332" s="2" t="s">
        <v>28</v>
      </c>
      <c r="D2332" s="2">
        <v>37966</v>
      </c>
      <c r="E2332" s="3">
        <f t="shared" si="18"/>
        <v>37.966000000000001</v>
      </c>
      <c r="G2332" s="2">
        <f t="shared" si="19"/>
        <v>37.966000000000001</v>
      </c>
      <c r="H2332" s="2">
        <f t="shared" si="20"/>
        <v>37.966000000000001</v>
      </c>
      <c r="I2332" s="2">
        <f t="shared" si="21"/>
        <v>10.630480000000002</v>
      </c>
    </row>
    <row r="2333" spans="1:9" ht="14.25" customHeight="1">
      <c r="A2333" s="2" t="s">
        <v>15</v>
      </c>
      <c r="B2333" s="2">
        <v>1927</v>
      </c>
      <c r="C2333" s="2" t="s">
        <v>28</v>
      </c>
      <c r="D2333" s="2">
        <v>33514</v>
      </c>
      <c r="E2333" s="3">
        <f t="shared" si="18"/>
        <v>33.514000000000003</v>
      </c>
      <c r="G2333" s="2">
        <f t="shared" si="19"/>
        <v>33.514000000000003</v>
      </c>
      <c r="H2333" s="2">
        <f t="shared" si="20"/>
        <v>33.514000000000003</v>
      </c>
      <c r="I2333" s="2">
        <f t="shared" si="21"/>
        <v>9.3839200000000016</v>
      </c>
    </row>
    <row r="2334" spans="1:9" ht="14.25" customHeight="1">
      <c r="A2334" s="2" t="s">
        <v>15</v>
      </c>
      <c r="B2334" s="2">
        <v>1928</v>
      </c>
      <c r="C2334" s="2" t="s">
        <v>28</v>
      </c>
      <c r="D2334" s="2">
        <v>35327</v>
      </c>
      <c r="E2334" s="3">
        <f t="shared" si="18"/>
        <v>35.326999999999998</v>
      </c>
      <c r="G2334" s="2">
        <f t="shared" si="19"/>
        <v>35.326999999999998</v>
      </c>
      <c r="H2334" s="2">
        <f t="shared" si="20"/>
        <v>35.326999999999998</v>
      </c>
      <c r="I2334" s="2">
        <f t="shared" si="21"/>
        <v>9.8915600000000001</v>
      </c>
    </row>
    <row r="2335" spans="1:9" ht="14.25" customHeight="1">
      <c r="A2335" s="2" t="s">
        <v>15</v>
      </c>
      <c r="B2335" s="2">
        <v>1929</v>
      </c>
      <c r="C2335" s="2" t="s">
        <v>28</v>
      </c>
      <c r="D2335" s="2">
        <v>34583</v>
      </c>
      <c r="E2335" s="3">
        <f t="shared" si="18"/>
        <v>34.582999999999998</v>
      </c>
      <c r="G2335" s="2">
        <f t="shared" si="19"/>
        <v>34.582999999999998</v>
      </c>
      <c r="H2335" s="2">
        <f t="shared" si="20"/>
        <v>34.582999999999998</v>
      </c>
      <c r="I2335" s="2">
        <f t="shared" si="21"/>
        <v>9.6832399999999996</v>
      </c>
    </row>
    <row r="2336" spans="1:9" ht="14.25" customHeight="1">
      <c r="A2336" s="2" t="s">
        <v>15</v>
      </c>
      <c r="B2336" s="2">
        <v>1930</v>
      </c>
      <c r="C2336" s="2" t="s">
        <v>28</v>
      </c>
      <c r="D2336" s="2">
        <v>34781</v>
      </c>
      <c r="E2336" s="3">
        <f t="shared" si="18"/>
        <v>34.780999999999999</v>
      </c>
      <c r="G2336" s="2">
        <f t="shared" si="19"/>
        <v>34.780999999999999</v>
      </c>
      <c r="H2336" s="2">
        <f t="shared" si="20"/>
        <v>34.780999999999999</v>
      </c>
      <c r="I2336" s="2">
        <f t="shared" si="21"/>
        <v>9.7386800000000004</v>
      </c>
    </row>
    <row r="2337" spans="1:9" ht="14.25" customHeight="1">
      <c r="A2337" s="2" t="s">
        <v>15</v>
      </c>
      <c r="B2337" s="2">
        <v>1931</v>
      </c>
      <c r="C2337" s="2" t="s">
        <v>28</v>
      </c>
      <c r="D2337" s="2">
        <v>28916</v>
      </c>
      <c r="E2337" s="3">
        <f t="shared" si="18"/>
        <v>28.916</v>
      </c>
      <c r="G2337" s="2">
        <f t="shared" si="19"/>
        <v>28.916</v>
      </c>
      <c r="H2337" s="2">
        <f t="shared" si="20"/>
        <v>28.916</v>
      </c>
      <c r="I2337" s="2">
        <f t="shared" si="21"/>
        <v>8.0964800000000015</v>
      </c>
    </row>
    <row r="2338" spans="1:9" ht="14.25" customHeight="1">
      <c r="A2338" s="2" t="s">
        <v>15</v>
      </c>
      <c r="B2338" s="2">
        <v>1932</v>
      </c>
      <c r="C2338" s="2" t="s">
        <v>28</v>
      </c>
      <c r="D2338" s="2">
        <v>27469</v>
      </c>
      <c r="E2338" s="3">
        <f t="shared" si="18"/>
        <v>27.469000000000001</v>
      </c>
      <c r="G2338" s="2">
        <f t="shared" si="19"/>
        <v>27.469000000000001</v>
      </c>
      <c r="H2338" s="2">
        <f t="shared" si="20"/>
        <v>27.469000000000001</v>
      </c>
      <c r="I2338" s="2">
        <f t="shared" si="21"/>
        <v>7.691320000000001</v>
      </c>
    </row>
    <row r="2339" spans="1:9" ht="14.25" customHeight="1">
      <c r="A2339" s="2" t="s">
        <v>15</v>
      </c>
      <c r="B2339" s="2">
        <v>1933</v>
      </c>
      <c r="C2339" s="2" t="s">
        <v>28</v>
      </c>
      <c r="D2339" s="2">
        <v>27053</v>
      </c>
      <c r="E2339" s="3">
        <f t="shared" si="18"/>
        <v>27.053000000000001</v>
      </c>
      <c r="G2339" s="2">
        <f t="shared" si="19"/>
        <v>27.053000000000001</v>
      </c>
      <c r="H2339" s="2">
        <f t="shared" si="20"/>
        <v>27.053000000000001</v>
      </c>
      <c r="I2339" s="2">
        <f t="shared" si="21"/>
        <v>7.5748400000000009</v>
      </c>
    </row>
    <row r="2340" spans="1:9" ht="14.25" customHeight="1">
      <c r="A2340" s="2" t="s">
        <v>15</v>
      </c>
      <c r="B2340" s="2">
        <v>1934</v>
      </c>
      <c r="C2340" s="2" t="s">
        <v>28</v>
      </c>
      <c r="D2340" s="2">
        <v>28494</v>
      </c>
      <c r="E2340" s="3">
        <f t="shared" si="18"/>
        <v>28.494</v>
      </c>
      <c r="G2340" s="2">
        <f t="shared" si="19"/>
        <v>28.494</v>
      </c>
      <c r="H2340" s="2">
        <f t="shared" si="20"/>
        <v>28.494</v>
      </c>
      <c r="I2340" s="2">
        <f t="shared" si="21"/>
        <v>7.978320000000001</v>
      </c>
    </row>
    <row r="2341" spans="1:9" ht="14.25" customHeight="1">
      <c r="A2341" s="2" t="s">
        <v>15</v>
      </c>
      <c r="B2341" s="2">
        <v>1935</v>
      </c>
      <c r="C2341" s="2" t="s">
        <v>28</v>
      </c>
      <c r="D2341" s="2">
        <v>27363</v>
      </c>
      <c r="E2341" s="3">
        <f t="shared" si="18"/>
        <v>27.363</v>
      </c>
      <c r="G2341" s="2">
        <f t="shared" si="19"/>
        <v>27.363</v>
      </c>
      <c r="H2341" s="2">
        <f t="shared" ref="H2341:H2372" si="22">E2341</f>
        <v>27.363</v>
      </c>
      <c r="I2341" s="2">
        <f t="shared" si="21"/>
        <v>7.6616400000000002</v>
      </c>
    </row>
    <row r="2342" spans="1:9" ht="14.25" customHeight="1">
      <c r="A2342" s="2" t="s">
        <v>15</v>
      </c>
      <c r="B2342" s="2">
        <v>1936</v>
      </c>
      <c r="C2342" s="2" t="s">
        <v>28</v>
      </c>
      <c r="D2342" s="2">
        <v>26366</v>
      </c>
      <c r="E2342" s="3">
        <f t="shared" si="18"/>
        <v>26.366</v>
      </c>
      <c r="G2342" s="2">
        <f t="shared" si="19"/>
        <v>26.366</v>
      </c>
      <c r="H2342" s="2">
        <f t="shared" si="22"/>
        <v>26.366</v>
      </c>
      <c r="I2342" s="2">
        <f t="shared" si="21"/>
        <v>7.382480000000001</v>
      </c>
    </row>
    <row r="2343" spans="1:9" ht="14.25" customHeight="1">
      <c r="A2343" s="2" t="s">
        <v>15</v>
      </c>
      <c r="B2343" s="2">
        <v>1937</v>
      </c>
      <c r="C2343" s="2" t="s">
        <v>28</v>
      </c>
      <c r="D2343" s="2">
        <v>29517</v>
      </c>
      <c r="E2343" s="3">
        <f t="shared" si="18"/>
        <v>29.516999999999999</v>
      </c>
      <c r="G2343" s="2">
        <f t="shared" si="19"/>
        <v>29.516999999999999</v>
      </c>
      <c r="H2343" s="2">
        <f t="shared" si="22"/>
        <v>29.516999999999999</v>
      </c>
      <c r="I2343" s="2">
        <f t="shared" si="21"/>
        <v>8.2647600000000008</v>
      </c>
    </row>
    <row r="2344" spans="1:9" ht="14.25" customHeight="1">
      <c r="A2344" s="2" t="s">
        <v>15</v>
      </c>
      <c r="B2344" s="2">
        <v>1938</v>
      </c>
      <c r="C2344" s="2" t="s">
        <v>28</v>
      </c>
      <c r="D2344" s="2">
        <v>24658</v>
      </c>
      <c r="E2344" s="3">
        <f t="shared" si="18"/>
        <v>24.658000000000001</v>
      </c>
      <c r="G2344" s="2">
        <f t="shared" si="19"/>
        <v>24.658000000000001</v>
      </c>
      <c r="H2344" s="2">
        <f t="shared" si="22"/>
        <v>24.658000000000001</v>
      </c>
      <c r="I2344" s="2">
        <f t="shared" si="21"/>
        <v>6.9042400000000006</v>
      </c>
    </row>
    <row r="2345" spans="1:9" ht="14.25" customHeight="1">
      <c r="A2345" s="2" t="s">
        <v>15</v>
      </c>
      <c r="B2345" s="2">
        <v>1939</v>
      </c>
      <c r="C2345" s="2" t="s">
        <v>28</v>
      </c>
      <c r="D2345" s="2">
        <v>26272</v>
      </c>
      <c r="E2345" s="3">
        <f t="shared" si="18"/>
        <v>26.271999999999998</v>
      </c>
      <c r="G2345" s="2">
        <f t="shared" si="19"/>
        <v>26.271999999999998</v>
      </c>
      <c r="H2345" s="2">
        <f t="shared" si="22"/>
        <v>26.271999999999998</v>
      </c>
      <c r="I2345" s="2">
        <f t="shared" si="21"/>
        <v>7.35616</v>
      </c>
    </row>
    <row r="2346" spans="1:9" ht="14.25" customHeight="1">
      <c r="A2346" s="2" t="s">
        <v>15</v>
      </c>
      <c r="B2346" s="2">
        <v>1940</v>
      </c>
      <c r="C2346" s="2" t="s">
        <v>28</v>
      </c>
      <c r="D2346" s="2">
        <v>21115</v>
      </c>
      <c r="E2346" s="3">
        <f t="shared" si="18"/>
        <v>21.114999999999998</v>
      </c>
      <c r="G2346" s="2">
        <f t="shared" si="19"/>
        <v>21.114999999999998</v>
      </c>
      <c r="H2346" s="2">
        <f t="shared" si="22"/>
        <v>21.114999999999998</v>
      </c>
      <c r="I2346" s="2">
        <f t="shared" si="21"/>
        <v>5.9122000000000003</v>
      </c>
    </row>
    <row r="2347" spans="1:9" ht="14.25" customHeight="1">
      <c r="A2347" s="2" t="s">
        <v>15</v>
      </c>
      <c r="B2347" s="2">
        <v>1941</v>
      </c>
      <c r="C2347" s="2" t="s">
        <v>28</v>
      </c>
      <c r="D2347" s="2">
        <v>22495</v>
      </c>
      <c r="E2347" s="3">
        <f t="shared" si="18"/>
        <v>22.495000000000001</v>
      </c>
      <c r="G2347" s="2">
        <f t="shared" si="19"/>
        <v>22.495000000000001</v>
      </c>
      <c r="H2347" s="2">
        <f t="shared" si="22"/>
        <v>22.495000000000001</v>
      </c>
      <c r="I2347" s="2">
        <f t="shared" si="21"/>
        <v>6.2986000000000013</v>
      </c>
    </row>
    <row r="2348" spans="1:9" ht="14.25" customHeight="1">
      <c r="A2348" s="2" t="s">
        <v>15</v>
      </c>
      <c r="B2348" s="2">
        <v>1942</v>
      </c>
      <c r="C2348" s="2" t="s">
        <v>28</v>
      </c>
      <c r="D2348" s="2">
        <v>22818</v>
      </c>
      <c r="E2348" s="3">
        <f t="shared" si="18"/>
        <v>22.818000000000001</v>
      </c>
      <c r="G2348" s="2">
        <f t="shared" si="19"/>
        <v>22.818000000000001</v>
      </c>
      <c r="H2348" s="2">
        <f t="shared" si="22"/>
        <v>22.818000000000001</v>
      </c>
      <c r="I2348" s="2">
        <f t="shared" si="21"/>
        <v>6.3890400000000014</v>
      </c>
    </row>
    <row r="2349" spans="1:9" ht="14.25" customHeight="1">
      <c r="A2349" s="2" t="s">
        <v>15</v>
      </c>
      <c r="B2349" s="2">
        <v>1943</v>
      </c>
      <c r="C2349" s="2" t="s">
        <v>28</v>
      </c>
      <c r="D2349" s="2">
        <v>21496</v>
      </c>
      <c r="E2349" s="3">
        <f t="shared" si="18"/>
        <v>21.495999999999999</v>
      </c>
      <c r="G2349" s="2">
        <f t="shared" si="19"/>
        <v>21.495999999999999</v>
      </c>
      <c r="H2349" s="2">
        <f t="shared" si="22"/>
        <v>21.495999999999999</v>
      </c>
      <c r="I2349" s="2">
        <f t="shared" si="21"/>
        <v>6.0188800000000002</v>
      </c>
    </row>
    <row r="2350" spans="1:9" ht="14.25" customHeight="1">
      <c r="A2350" s="2" t="s">
        <v>15</v>
      </c>
      <c r="B2350" s="2">
        <v>1944</v>
      </c>
      <c r="C2350" s="2" t="s">
        <v>28</v>
      </c>
      <c r="D2350" s="2">
        <v>19895</v>
      </c>
      <c r="E2350" s="3">
        <f t="shared" si="18"/>
        <v>19.895</v>
      </c>
      <c r="G2350" s="2">
        <f t="shared" si="19"/>
        <v>19.895</v>
      </c>
      <c r="H2350" s="2">
        <f t="shared" si="22"/>
        <v>19.895</v>
      </c>
      <c r="I2350" s="2">
        <f t="shared" si="21"/>
        <v>5.5706000000000007</v>
      </c>
    </row>
    <row r="2351" spans="1:9" ht="14.25" customHeight="1">
      <c r="A2351" s="2" t="s">
        <v>15</v>
      </c>
      <c r="B2351" s="2">
        <v>1945</v>
      </c>
      <c r="C2351" s="2" t="s">
        <v>28</v>
      </c>
      <c r="D2351" s="2">
        <v>20870</v>
      </c>
      <c r="E2351" s="3">
        <f t="shared" si="18"/>
        <v>20.87</v>
      </c>
      <c r="G2351" s="2">
        <f t="shared" si="19"/>
        <v>20.87</v>
      </c>
      <c r="H2351" s="2">
        <f t="shared" si="22"/>
        <v>20.87</v>
      </c>
      <c r="I2351" s="2">
        <f t="shared" si="21"/>
        <v>5.8436000000000012</v>
      </c>
    </row>
    <row r="2352" spans="1:9" ht="14.25" customHeight="1">
      <c r="A2352" s="2" t="s">
        <v>15</v>
      </c>
      <c r="B2352" s="2">
        <v>1946</v>
      </c>
      <c r="C2352" s="2" t="s">
        <v>28</v>
      </c>
      <c r="D2352" s="2">
        <v>26256</v>
      </c>
      <c r="E2352" s="3">
        <f t="shared" si="18"/>
        <v>26.256</v>
      </c>
      <c r="G2352" s="2">
        <f t="shared" si="19"/>
        <v>26.256</v>
      </c>
      <c r="H2352" s="2">
        <f t="shared" si="22"/>
        <v>26.256</v>
      </c>
      <c r="I2352" s="2">
        <f t="shared" si="21"/>
        <v>7.3516800000000009</v>
      </c>
    </row>
    <row r="2353" spans="1:9" ht="14.25" customHeight="1">
      <c r="A2353" s="2" t="s">
        <v>15</v>
      </c>
      <c r="B2353" s="2">
        <v>1947</v>
      </c>
      <c r="C2353" s="2" t="s">
        <v>28</v>
      </c>
      <c r="D2353" s="2">
        <v>26665</v>
      </c>
      <c r="E2353" s="3">
        <f t="shared" si="18"/>
        <v>26.664999999999999</v>
      </c>
      <c r="G2353" s="2">
        <f t="shared" si="19"/>
        <v>26.664999999999999</v>
      </c>
      <c r="H2353" s="2">
        <f t="shared" si="22"/>
        <v>26.664999999999999</v>
      </c>
      <c r="I2353" s="2">
        <f t="shared" si="21"/>
        <v>7.4662000000000006</v>
      </c>
    </row>
    <row r="2354" spans="1:9" ht="14.25" customHeight="1">
      <c r="A2354" s="2" t="s">
        <v>15</v>
      </c>
      <c r="B2354" s="2">
        <v>1948</v>
      </c>
      <c r="C2354" s="2" t="s">
        <v>28</v>
      </c>
      <c r="D2354" s="2">
        <v>26654</v>
      </c>
      <c r="E2354" s="3">
        <f t="shared" si="18"/>
        <v>26.654</v>
      </c>
      <c r="G2354" s="2">
        <f t="shared" si="19"/>
        <v>26.654</v>
      </c>
      <c r="H2354" s="2">
        <f t="shared" si="22"/>
        <v>26.654</v>
      </c>
      <c r="I2354" s="2">
        <f t="shared" si="21"/>
        <v>7.4631200000000009</v>
      </c>
    </row>
    <row r="2355" spans="1:9" ht="14.25" customHeight="1">
      <c r="A2355" s="2" t="s">
        <v>15</v>
      </c>
      <c r="B2355" s="2">
        <v>1949</v>
      </c>
      <c r="C2355" s="2" t="s">
        <v>28</v>
      </c>
      <c r="D2355" s="2">
        <v>22548</v>
      </c>
      <c r="E2355" s="3">
        <f t="shared" si="18"/>
        <v>22.547999999999998</v>
      </c>
      <c r="G2355" s="2">
        <f t="shared" si="19"/>
        <v>22.547999999999998</v>
      </c>
      <c r="H2355" s="2">
        <f t="shared" si="22"/>
        <v>22.547999999999998</v>
      </c>
      <c r="I2355" s="2">
        <f t="shared" si="21"/>
        <v>6.3134399999999999</v>
      </c>
    </row>
    <row r="2356" spans="1:9" ht="14.25" customHeight="1">
      <c r="A2356" s="2" t="s">
        <v>15</v>
      </c>
      <c r="B2356" s="2">
        <v>1950</v>
      </c>
      <c r="C2356" s="2" t="s">
        <v>28</v>
      </c>
      <c r="D2356" s="2">
        <v>18710</v>
      </c>
      <c r="E2356" s="3">
        <f t="shared" si="18"/>
        <v>18.71</v>
      </c>
      <c r="F2356" s="2">
        <v>0</v>
      </c>
      <c r="G2356" s="2">
        <f t="shared" si="19"/>
        <v>18.71</v>
      </c>
      <c r="H2356" s="2">
        <f t="shared" si="22"/>
        <v>18.71</v>
      </c>
      <c r="I2356" s="2">
        <f t="shared" si="21"/>
        <v>5.2388000000000003</v>
      </c>
    </row>
    <row r="2357" spans="1:9" ht="14.25" customHeight="1">
      <c r="A2357" s="2" t="s">
        <v>15</v>
      </c>
      <c r="B2357" s="2">
        <v>1951</v>
      </c>
      <c r="C2357" s="2" t="s">
        <v>28</v>
      </c>
      <c r="D2357" s="2">
        <v>26287</v>
      </c>
      <c r="E2357" s="3">
        <f t="shared" si="18"/>
        <v>26.286999999999999</v>
      </c>
      <c r="F2357" s="2">
        <v>0</v>
      </c>
      <c r="G2357" s="2">
        <f t="shared" si="19"/>
        <v>26.286999999999999</v>
      </c>
      <c r="H2357" s="2">
        <f t="shared" si="22"/>
        <v>26.286999999999999</v>
      </c>
      <c r="I2357" s="2">
        <f t="shared" si="21"/>
        <v>7.36036</v>
      </c>
    </row>
    <row r="2358" spans="1:9" ht="14.25" customHeight="1">
      <c r="A2358" s="2" t="s">
        <v>15</v>
      </c>
      <c r="B2358" s="2">
        <v>1952</v>
      </c>
      <c r="C2358" s="2" t="s">
        <v>28</v>
      </c>
      <c r="D2358" s="2">
        <v>26213</v>
      </c>
      <c r="E2358" s="3">
        <f t="shared" si="18"/>
        <v>26.213000000000001</v>
      </c>
      <c r="F2358" s="2">
        <v>0</v>
      </c>
      <c r="G2358" s="2">
        <f t="shared" si="19"/>
        <v>26.213000000000001</v>
      </c>
      <c r="H2358" s="2">
        <f t="shared" si="22"/>
        <v>26.213000000000001</v>
      </c>
      <c r="I2358" s="2">
        <f t="shared" si="21"/>
        <v>7.3396400000000011</v>
      </c>
    </row>
    <row r="2359" spans="1:9" ht="14.25" customHeight="1">
      <c r="A2359" s="2" t="s">
        <v>15</v>
      </c>
      <c r="B2359" s="2">
        <v>1953</v>
      </c>
      <c r="C2359" s="2" t="s">
        <v>28</v>
      </c>
      <c r="D2359" s="2">
        <v>26064</v>
      </c>
      <c r="E2359" s="3">
        <f t="shared" si="18"/>
        <v>26.064</v>
      </c>
      <c r="F2359" s="2">
        <v>0</v>
      </c>
      <c r="G2359" s="2">
        <f t="shared" si="19"/>
        <v>26.064</v>
      </c>
      <c r="H2359" s="2">
        <f t="shared" si="22"/>
        <v>26.064</v>
      </c>
      <c r="I2359" s="2">
        <f t="shared" si="21"/>
        <v>7.2979200000000004</v>
      </c>
    </row>
    <row r="2360" spans="1:9" ht="14.25" customHeight="1">
      <c r="A2360" s="2" t="s">
        <v>15</v>
      </c>
      <c r="B2360" s="2">
        <v>1954</v>
      </c>
      <c r="C2360" s="2" t="s">
        <v>28</v>
      </c>
      <c r="D2360" s="2">
        <v>23880</v>
      </c>
      <c r="E2360" s="3">
        <f t="shared" si="18"/>
        <v>23.88</v>
      </c>
      <c r="F2360" s="2">
        <v>0</v>
      </c>
      <c r="G2360" s="2">
        <f t="shared" si="19"/>
        <v>23.88</v>
      </c>
      <c r="H2360" s="2">
        <f t="shared" si="22"/>
        <v>23.88</v>
      </c>
      <c r="I2360" s="2">
        <f t="shared" si="21"/>
        <v>6.6864000000000008</v>
      </c>
    </row>
    <row r="2361" spans="1:9" ht="14.25" customHeight="1">
      <c r="A2361" s="2" t="s">
        <v>15</v>
      </c>
      <c r="B2361" s="2">
        <v>1955</v>
      </c>
      <c r="C2361" s="2" t="s">
        <v>28</v>
      </c>
      <c r="D2361" s="2">
        <v>26561</v>
      </c>
      <c r="E2361" s="3">
        <f t="shared" si="18"/>
        <v>26.561</v>
      </c>
      <c r="F2361" s="2">
        <v>0</v>
      </c>
      <c r="G2361" s="2">
        <f t="shared" si="19"/>
        <v>26.561</v>
      </c>
      <c r="H2361" s="2">
        <f t="shared" si="22"/>
        <v>26.561</v>
      </c>
      <c r="I2361" s="2">
        <f t="shared" si="21"/>
        <v>7.4370800000000008</v>
      </c>
    </row>
    <row r="2362" spans="1:9" ht="14.25" customHeight="1">
      <c r="A2362" s="2" t="s">
        <v>15</v>
      </c>
      <c r="B2362" s="2">
        <v>1956</v>
      </c>
      <c r="C2362" s="2" t="s">
        <v>28</v>
      </c>
      <c r="D2362" s="2">
        <v>24399</v>
      </c>
      <c r="E2362" s="3">
        <f t="shared" si="18"/>
        <v>24.399000000000001</v>
      </c>
      <c r="F2362" s="2">
        <v>0</v>
      </c>
      <c r="G2362" s="2">
        <f t="shared" si="19"/>
        <v>24.399000000000001</v>
      </c>
      <c r="H2362" s="2">
        <f t="shared" si="22"/>
        <v>24.399000000000001</v>
      </c>
      <c r="I2362" s="2">
        <f t="shared" si="21"/>
        <v>6.8317200000000007</v>
      </c>
    </row>
    <row r="2363" spans="1:9" ht="14.25" customHeight="1">
      <c r="A2363" s="2" t="s">
        <v>15</v>
      </c>
      <c r="B2363" s="2">
        <v>1957</v>
      </c>
      <c r="C2363" s="2" t="s">
        <v>28</v>
      </c>
      <c r="D2363" s="2">
        <v>25704</v>
      </c>
      <c r="E2363" s="3">
        <f t="shared" si="18"/>
        <v>25.704000000000001</v>
      </c>
      <c r="F2363" s="2">
        <v>0</v>
      </c>
      <c r="G2363" s="2">
        <f t="shared" si="19"/>
        <v>25.704000000000001</v>
      </c>
      <c r="H2363" s="2">
        <f t="shared" si="22"/>
        <v>25.704000000000001</v>
      </c>
      <c r="I2363" s="2">
        <f t="shared" si="21"/>
        <v>7.1971200000000009</v>
      </c>
    </row>
    <row r="2364" spans="1:9" ht="14.25" customHeight="1">
      <c r="A2364" s="2" t="s">
        <v>15</v>
      </c>
      <c r="B2364" s="2">
        <v>1958</v>
      </c>
      <c r="C2364" s="2" t="s">
        <v>28</v>
      </c>
      <c r="D2364" s="2">
        <v>23577</v>
      </c>
      <c r="E2364" s="3">
        <f t="shared" si="18"/>
        <v>23.577000000000002</v>
      </c>
      <c r="F2364" s="2">
        <v>0</v>
      </c>
      <c r="G2364" s="2">
        <f t="shared" si="19"/>
        <v>23.577000000000002</v>
      </c>
      <c r="H2364" s="2">
        <f t="shared" si="22"/>
        <v>23.577000000000002</v>
      </c>
      <c r="I2364" s="2">
        <f t="shared" si="21"/>
        <v>6.601560000000001</v>
      </c>
    </row>
    <row r="2365" spans="1:9" ht="14.25" customHeight="1">
      <c r="A2365" s="2" t="s">
        <v>15</v>
      </c>
      <c r="B2365" s="2">
        <v>1959</v>
      </c>
      <c r="C2365" s="2" t="s">
        <v>28</v>
      </c>
      <c r="D2365" s="2">
        <v>25124</v>
      </c>
      <c r="E2365" s="3">
        <f t="shared" si="18"/>
        <v>25.123999999999999</v>
      </c>
      <c r="F2365" s="2">
        <v>0</v>
      </c>
      <c r="G2365" s="2">
        <f t="shared" si="19"/>
        <v>25.123999999999999</v>
      </c>
      <c r="H2365" s="2">
        <f t="shared" si="22"/>
        <v>25.123999999999999</v>
      </c>
      <c r="I2365" s="2">
        <f t="shared" si="21"/>
        <v>7.0347200000000001</v>
      </c>
    </row>
    <row r="2366" spans="1:9" ht="14.25" customHeight="1">
      <c r="A2366" s="2" t="s">
        <v>15</v>
      </c>
      <c r="B2366" s="2">
        <v>1960</v>
      </c>
      <c r="C2366" s="2" t="s">
        <v>28</v>
      </c>
      <c r="D2366" s="2">
        <v>28052</v>
      </c>
      <c r="E2366" s="3">
        <f t="shared" si="18"/>
        <v>28.052</v>
      </c>
      <c r="F2366" s="2">
        <v>0</v>
      </c>
      <c r="G2366" s="2">
        <f t="shared" si="19"/>
        <v>28.052</v>
      </c>
      <c r="H2366" s="2">
        <f t="shared" si="22"/>
        <v>28.052</v>
      </c>
      <c r="I2366" s="2">
        <f t="shared" si="21"/>
        <v>7.8545600000000002</v>
      </c>
    </row>
    <row r="2367" spans="1:9" ht="14.25" customHeight="1">
      <c r="A2367" s="2" t="s">
        <v>15</v>
      </c>
      <c r="B2367" s="2">
        <v>1961</v>
      </c>
      <c r="C2367" s="2" t="s">
        <v>28</v>
      </c>
      <c r="D2367" s="2">
        <v>29067</v>
      </c>
      <c r="E2367" s="3">
        <f t="shared" si="18"/>
        <v>29.067</v>
      </c>
      <c r="F2367" s="2">
        <v>0.1</v>
      </c>
      <c r="G2367" s="2">
        <f t="shared" si="19"/>
        <v>29.167000000000002</v>
      </c>
      <c r="H2367" s="2">
        <f t="shared" si="22"/>
        <v>29.067</v>
      </c>
      <c r="I2367" s="2">
        <f t="shared" si="21"/>
        <v>8.1387600000000013</v>
      </c>
    </row>
    <row r="2368" spans="1:9" ht="14.25" customHeight="1">
      <c r="A2368" s="2" t="s">
        <v>15</v>
      </c>
      <c r="B2368" s="2">
        <v>1962</v>
      </c>
      <c r="C2368" s="2" t="s">
        <v>28</v>
      </c>
      <c r="D2368" s="2">
        <v>30100</v>
      </c>
      <c r="E2368" s="3">
        <f t="shared" si="18"/>
        <v>30.1</v>
      </c>
      <c r="F2368" s="2">
        <v>0</v>
      </c>
      <c r="G2368" s="2">
        <f t="shared" si="19"/>
        <v>30.1</v>
      </c>
      <c r="H2368" s="2">
        <f t="shared" si="22"/>
        <v>30.1</v>
      </c>
      <c r="I2368" s="2">
        <f t="shared" si="21"/>
        <v>8.4280000000000008</v>
      </c>
    </row>
    <row r="2369" spans="1:9" ht="14.25" customHeight="1">
      <c r="A2369" s="2" t="s">
        <v>15</v>
      </c>
      <c r="B2369" s="2">
        <v>1963</v>
      </c>
      <c r="C2369" s="2" t="s">
        <v>28</v>
      </c>
      <c r="D2369" s="2">
        <v>28291</v>
      </c>
      <c r="E2369" s="3">
        <f t="shared" si="18"/>
        <v>28.291</v>
      </c>
      <c r="F2369" s="2">
        <v>0</v>
      </c>
      <c r="G2369" s="2">
        <f t="shared" si="19"/>
        <v>28.291</v>
      </c>
      <c r="H2369" s="2">
        <f t="shared" si="22"/>
        <v>28.291</v>
      </c>
      <c r="I2369" s="2">
        <f t="shared" si="21"/>
        <v>7.9214800000000007</v>
      </c>
    </row>
    <row r="2370" spans="1:9" ht="14.25" customHeight="1">
      <c r="A2370" s="2" t="s">
        <v>15</v>
      </c>
      <c r="B2370" s="2">
        <v>1964</v>
      </c>
      <c r="C2370" s="2" t="s">
        <v>28</v>
      </c>
      <c r="D2370" s="2">
        <v>28577</v>
      </c>
      <c r="E2370" s="3">
        <f t="shared" si="18"/>
        <v>28.577000000000002</v>
      </c>
      <c r="F2370" s="2">
        <v>0.1</v>
      </c>
      <c r="G2370" s="2">
        <f t="shared" si="19"/>
        <v>28.677000000000003</v>
      </c>
      <c r="H2370" s="2">
        <f t="shared" si="22"/>
        <v>28.577000000000002</v>
      </c>
      <c r="I2370" s="2">
        <f t="shared" si="21"/>
        <v>8.0015600000000013</v>
      </c>
    </row>
    <row r="2371" spans="1:9" ht="14.25" customHeight="1">
      <c r="A2371" s="2" t="s">
        <v>15</v>
      </c>
      <c r="B2371" s="2">
        <v>1965</v>
      </c>
      <c r="C2371" s="2" t="s">
        <v>28</v>
      </c>
      <c r="D2371" s="2">
        <v>27860</v>
      </c>
      <c r="E2371" s="3">
        <f t="shared" si="18"/>
        <v>27.86</v>
      </c>
      <c r="F2371" s="2">
        <v>0.1</v>
      </c>
      <c r="G2371" s="2">
        <f t="shared" si="19"/>
        <v>27.96</v>
      </c>
      <c r="H2371" s="2">
        <f t="shared" si="22"/>
        <v>27.86</v>
      </c>
      <c r="I2371" s="2">
        <f t="shared" si="21"/>
        <v>7.8008000000000006</v>
      </c>
    </row>
    <row r="2372" spans="1:9" ht="14.25" customHeight="1">
      <c r="A2372" s="2" t="s">
        <v>15</v>
      </c>
      <c r="B2372" s="2">
        <v>1966</v>
      </c>
      <c r="C2372" s="2" t="s">
        <v>28</v>
      </c>
      <c r="D2372" s="2">
        <v>34154</v>
      </c>
      <c r="E2372" s="3">
        <f t="shared" si="18"/>
        <v>34.154000000000003</v>
      </c>
      <c r="F2372" s="2">
        <v>0.1</v>
      </c>
      <c r="G2372" s="2">
        <f t="shared" si="19"/>
        <v>34.254000000000005</v>
      </c>
      <c r="H2372" s="2">
        <f t="shared" si="22"/>
        <v>34.154000000000003</v>
      </c>
      <c r="I2372" s="2">
        <f t="shared" si="21"/>
        <v>9.5631200000000014</v>
      </c>
    </row>
    <row r="2373" spans="1:9" ht="14.25" customHeight="1">
      <c r="A2373" s="2" t="s">
        <v>15</v>
      </c>
      <c r="B2373" s="2">
        <v>1967</v>
      </c>
      <c r="C2373" s="2" t="s">
        <v>28</v>
      </c>
      <c r="D2373" s="2">
        <v>42146</v>
      </c>
      <c r="E2373" s="3">
        <f t="shared" si="18"/>
        <v>42.146000000000001</v>
      </c>
      <c r="F2373" s="2">
        <v>0.1</v>
      </c>
      <c r="G2373" s="2">
        <f t="shared" si="19"/>
        <v>42.246000000000002</v>
      </c>
      <c r="H2373" s="2">
        <f t="shared" ref="H2373:H2404" si="23">E2373</f>
        <v>42.146000000000001</v>
      </c>
      <c r="I2373" s="2">
        <f t="shared" si="21"/>
        <v>11.800880000000001</v>
      </c>
    </row>
    <row r="2374" spans="1:9" ht="14.25" customHeight="1">
      <c r="A2374" s="2" t="s">
        <v>15</v>
      </c>
      <c r="B2374" s="2">
        <v>1968</v>
      </c>
      <c r="C2374" s="2" t="s">
        <v>28</v>
      </c>
      <c r="D2374" s="2">
        <v>41785</v>
      </c>
      <c r="E2374" s="3">
        <f t="shared" si="18"/>
        <v>41.784999999999997</v>
      </c>
      <c r="F2374" s="2">
        <v>0.1</v>
      </c>
      <c r="G2374" s="2">
        <f t="shared" si="19"/>
        <v>41.884999999999998</v>
      </c>
      <c r="H2374" s="2">
        <f t="shared" si="23"/>
        <v>41.784999999999997</v>
      </c>
      <c r="I2374" s="2">
        <f t="shared" si="21"/>
        <v>11.6998</v>
      </c>
    </row>
    <row r="2375" spans="1:9" ht="14.25" customHeight="1">
      <c r="A2375" s="2" t="s">
        <v>15</v>
      </c>
      <c r="B2375" s="2">
        <v>1969</v>
      </c>
      <c r="C2375" s="2" t="s">
        <v>28</v>
      </c>
      <c r="D2375" s="2">
        <v>50460</v>
      </c>
      <c r="E2375" s="3">
        <f t="shared" si="18"/>
        <v>50.46</v>
      </c>
      <c r="F2375" s="2">
        <v>0.1</v>
      </c>
      <c r="G2375" s="2">
        <f t="shared" si="19"/>
        <v>50.56</v>
      </c>
      <c r="H2375" s="2">
        <f t="shared" si="23"/>
        <v>50.46</v>
      </c>
      <c r="I2375" s="2">
        <f t="shared" si="21"/>
        <v>14.128800000000002</v>
      </c>
    </row>
    <row r="2376" spans="1:9" ht="14.25" customHeight="1">
      <c r="A2376" s="2" t="s">
        <v>15</v>
      </c>
      <c r="B2376" s="2">
        <v>1970</v>
      </c>
      <c r="C2376" s="2" t="s">
        <v>28</v>
      </c>
      <c r="D2376" s="2">
        <v>56406</v>
      </c>
      <c r="E2376" s="3">
        <f t="shared" si="18"/>
        <v>56.405999999999999</v>
      </c>
      <c r="F2376" s="2">
        <v>0.1</v>
      </c>
      <c r="G2376" s="2">
        <f t="shared" si="19"/>
        <v>56.506</v>
      </c>
      <c r="H2376" s="2">
        <f t="shared" si="23"/>
        <v>56.405999999999999</v>
      </c>
      <c r="I2376" s="2">
        <f t="shared" si="21"/>
        <v>15.793680000000002</v>
      </c>
    </row>
    <row r="2377" spans="1:9" ht="14.25" customHeight="1">
      <c r="A2377" s="2" t="s">
        <v>15</v>
      </c>
      <c r="B2377" s="2">
        <v>1971</v>
      </c>
      <c r="C2377" s="2" t="s">
        <v>28</v>
      </c>
      <c r="D2377" s="2">
        <v>54400</v>
      </c>
      <c r="E2377" s="3">
        <f t="shared" si="18"/>
        <v>54.4</v>
      </c>
      <c r="F2377" s="2">
        <v>0.1</v>
      </c>
      <c r="G2377" s="2">
        <f t="shared" si="19"/>
        <v>54.5</v>
      </c>
      <c r="H2377" s="2">
        <f t="shared" si="23"/>
        <v>54.4</v>
      </c>
      <c r="I2377" s="2">
        <f t="shared" si="21"/>
        <v>15.232000000000001</v>
      </c>
    </row>
    <row r="2378" spans="1:9" ht="14.25" customHeight="1">
      <c r="A2378" s="2" t="s">
        <v>15</v>
      </c>
      <c r="B2378" s="2">
        <v>1972</v>
      </c>
      <c r="C2378" s="2" t="s">
        <v>28</v>
      </c>
      <c r="D2378" s="2">
        <v>59285</v>
      </c>
      <c r="E2378" s="3">
        <f t="shared" si="18"/>
        <v>59.284999999999997</v>
      </c>
      <c r="F2378" s="2">
        <v>0</v>
      </c>
      <c r="G2378" s="2">
        <f t="shared" si="19"/>
        <v>59.284999999999997</v>
      </c>
      <c r="H2378" s="2">
        <f t="shared" si="23"/>
        <v>59.284999999999997</v>
      </c>
      <c r="I2378" s="2">
        <f t="shared" si="21"/>
        <v>16.599800000000002</v>
      </c>
    </row>
    <row r="2379" spans="1:9" ht="14.25" customHeight="1">
      <c r="A2379" s="2" t="s">
        <v>15</v>
      </c>
      <c r="B2379" s="2">
        <v>1973</v>
      </c>
      <c r="C2379" s="2" t="s">
        <v>28</v>
      </c>
      <c r="D2379" s="2">
        <v>70751</v>
      </c>
      <c r="E2379" s="3">
        <f t="shared" si="18"/>
        <v>70.751000000000005</v>
      </c>
      <c r="F2379" s="2">
        <v>0</v>
      </c>
      <c r="G2379" s="2">
        <f t="shared" si="19"/>
        <v>70.751000000000005</v>
      </c>
      <c r="H2379" s="2">
        <f t="shared" si="23"/>
        <v>70.751000000000005</v>
      </c>
      <c r="I2379" s="2">
        <f t="shared" si="21"/>
        <v>19.810280000000002</v>
      </c>
    </row>
    <row r="2380" spans="1:9" ht="14.25" customHeight="1">
      <c r="A2380" s="2" t="s">
        <v>15</v>
      </c>
      <c r="B2380" s="2">
        <v>1974</v>
      </c>
      <c r="C2380" s="2" t="s">
        <v>28</v>
      </c>
      <c r="D2380" s="2">
        <v>63491</v>
      </c>
      <c r="E2380" s="3">
        <f t="shared" si="18"/>
        <v>63.491</v>
      </c>
      <c r="F2380" s="2">
        <v>1E-3</v>
      </c>
      <c r="G2380" s="2">
        <f t="shared" si="19"/>
        <v>63.491999999999997</v>
      </c>
      <c r="H2380" s="2">
        <f t="shared" si="23"/>
        <v>63.491</v>
      </c>
      <c r="I2380" s="2">
        <f t="shared" si="21"/>
        <v>17.777480000000001</v>
      </c>
    </row>
    <row r="2381" spans="1:9" ht="14.25" customHeight="1">
      <c r="A2381" s="2" t="s">
        <v>15</v>
      </c>
      <c r="B2381" s="2">
        <v>1975</v>
      </c>
      <c r="C2381" s="2" t="s">
        <v>28</v>
      </c>
      <c r="D2381" s="2">
        <v>67208</v>
      </c>
      <c r="E2381" s="3">
        <f t="shared" si="18"/>
        <v>67.207999999999998</v>
      </c>
      <c r="F2381" s="2">
        <v>3.0000000000000001E-3</v>
      </c>
      <c r="G2381" s="2">
        <f t="shared" si="19"/>
        <v>67.210999999999999</v>
      </c>
      <c r="H2381" s="2">
        <f t="shared" si="23"/>
        <v>67.207999999999998</v>
      </c>
      <c r="I2381" s="2">
        <f t="shared" si="21"/>
        <v>18.818240000000003</v>
      </c>
    </row>
    <row r="2382" spans="1:9" ht="14.25" customHeight="1">
      <c r="A2382" s="2" t="s">
        <v>15</v>
      </c>
      <c r="B2382" s="2">
        <v>1976</v>
      </c>
      <c r="C2382" s="2" t="s">
        <v>28</v>
      </c>
      <c r="D2382" s="2">
        <v>82814</v>
      </c>
      <c r="E2382" s="3">
        <f t="shared" si="18"/>
        <v>82.813999999999993</v>
      </c>
      <c r="F2382" s="2">
        <v>6.0000000000000001E-3</v>
      </c>
      <c r="G2382" s="2">
        <f t="shared" si="19"/>
        <v>82.82</v>
      </c>
      <c r="H2382" s="2">
        <f t="shared" si="23"/>
        <v>82.813999999999993</v>
      </c>
      <c r="I2382" s="2">
        <f t="shared" si="21"/>
        <v>23.187920000000002</v>
      </c>
    </row>
    <row r="2383" spans="1:9" ht="14.25" customHeight="1">
      <c r="A2383" s="2" t="s">
        <v>15</v>
      </c>
      <c r="B2383" s="2">
        <v>1977</v>
      </c>
      <c r="C2383" s="2" t="s">
        <v>28</v>
      </c>
      <c r="D2383" s="2">
        <v>77656</v>
      </c>
      <c r="E2383" s="3">
        <f t="shared" si="18"/>
        <v>77.656000000000006</v>
      </c>
      <c r="F2383" s="2">
        <v>0</v>
      </c>
      <c r="G2383" s="2">
        <f t="shared" si="19"/>
        <v>77.656000000000006</v>
      </c>
      <c r="H2383" s="2">
        <f t="shared" si="23"/>
        <v>77.656000000000006</v>
      </c>
      <c r="I2383" s="2">
        <f t="shared" si="21"/>
        <v>21.743680000000005</v>
      </c>
    </row>
    <row r="2384" spans="1:9" ht="14.25" customHeight="1">
      <c r="A2384" s="2" t="s">
        <v>15</v>
      </c>
      <c r="B2384" s="2">
        <v>1978</v>
      </c>
      <c r="C2384" s="2" t="s">
        <v>28</v>
      </c>
      <c r="D2384" s="2">
        <v>69096</v>
      </c>
      <c r="E2384" s="3">
        <f t="shared" si="18"/>
        <v>69.096000000000004</v>
      </c>
      <c r="F2384" s="2">
        <v>0.01</v>
      </c>
      <c r="G2384" s="2">
        <f t="shared" si="19"/>
        <v>69.106000000000009</v>
      </c>
      <c r="H2384" s="2">
        <f t="shared" si="23"/>
        <v>69.096000000000004</v>
      </c>
      <c r="I2384" s="2">
        <f t="shared" si="21"/>
        <v>19.346880000000002</v>
      </c>
    </row>
    <row r="2385" spans="1:9" ht="14.25" customHeight="1">
      <c r="A2385" s="2" t="s">
        <v>15</v>
      </c>
      <c r="B2385" s="2">
        <v>1979</v>
      </c>
      <c r="C2385" s="2" t="s">
        <v>28</v>
      </c>
      <c r="D2385" s="2">
        <v>67319</v>
      </c>
      <c r="E2385" s="3">
        <f t="shared" si="18"/>
        <v>67.319000000000003</v>
      </c>
      <c r="F2385" s="2">
        <v>1.7000000000000001E-2</v>
      </c>
      <c r="G2385" s="2">
        <f t="shared" si="19"/>
        <v>67.335999999999999</v>
      </c>
      <c r="H2385" s="2">
        <f t="shared" si="23"/>
        <v>67.319000000000003</v>
      </c>
      <c r="I2385" s="2">
        <f t="shared" si="21"/>
        <v>18.849320000000002</v>
      </c>
    </row>
    <row r="2386" spans="1:9" ht="14.25" customHeight="1">
      <c r="A2386" s="2" t="s">
        <v>15</v>
      </c>
      <c r="B2386" s="2">
        <v>1980</v>
      </c>
      <c r="C2386" s="2" t="s">
        <v>28</v>
      </c>
      <c r="D2386" s="2">
        <v>71700</v>
      </c>
      <c r="E2386" s="3">
        <f t="shared" si="18"/>
        <v>71.7</v>
      </c>
      <c r="F2386" s="2">
        <v>0.03</v>
      </c>
      <c r="G2386" s="2">
        <f t="shared" si="19"/>
        <v>71.73</v>
      </c>
      <c r="H2386" s="2">
        <f t="shared" si="23"/>
        <v>71.7</v>
      </c>
      <c r="I2386" s="2">
        <f t="shared" si="21"/>
        <v>20.076000000000004</v>
      </c>
    </row>
    <row r="2387" spans="1:9" ht="14.25" customHeight="1">
      <c r="A2387" s="2" t="s">
        <v>15</v>
      </c>
      <c r="B2387" s="2">
        <v>1981</v>
      </c>
      <c r="C2387" s="2" t="s">
        <v>28</v>
      </c>
      <c r="D2387" s="2">
        <v>66962</v>
      </c>
      <c r="E2387" s="3">
        <f t="shared" si="18"/>
        <v>66.962000000000003</v>
      </c>
      <c r="F2387" s="2">
        <v>4.4999999999999998E-2</v>
      </c>
      <c r="G2387" s="2">
        <f t="shared" si="19"/>
        <v>67.007000000000005</v>
      </c>
      <c r="H2387" s="2">
        <f t="shared" si="23"/>
        <v>66.962000000000003</v>
      </c>
      <c r="I2387" s="2">
        <f t="shared" si="21"/>
        <v>18.749360000000003</v>
      </c>
    </row>
    <row r="2388" spans="1:9" ht="14.25" customHeight="1">
      <c r="A2388" s="2" t="s">
        <v>15</v>
      </c>
      <c r="B2388" s="2">
        <v>1982</v>
      </c>
      <c r="C2388" s="2" t="s">
        <v>28</v>
      </c>
      <c r="D2388" s="2">
        <v>64366</v>
      </c>
      <c r="E2388" s="3">
        <f t="shared" si="18"/>
        <v>64.366</v>
      </c>
      <c r="F2388" s="2">
        <v>3.9E-2</v>
      </c>
      <c r="G2388" s="2">
        <f t="shared" si="19"/>
        <v>64.405000000000001</v>
      </c>
      <c r="H2388" s="2">
        <f t="shared" si="23"/>
        <v>64.366</v>
      </c>
      <c r="I2388" s="2">
        <f t="shared" si="21"/>
        <v>18.022480000000002</v>
      </c>
    </row>
    <row r="2389" spans="1:9" ht="14.25" customHeight="1">
      <c r="A2389" s="2" t="s">
        <v>15</v>
      </c>
      <c r="B2389" s="2">
        <v>1983</v>
      </c>
      <c r="C2389" s="2" t="s">
        <v>28</v>
      </c>
      <c r="D2389" s="2">
        <v>72206</v>
      </c>
      <c r="E2389" s="3">
        <f t="shared" si="18"/>
        <v>72.206000000000003</v>
      </c>
      <c r="F2389" s="2">
        <v>4.9000000000000002E-2</v>
      </c>
      <c r="G2389" s="2">
        <f t="shared" si="19"/>
        <v>72.25500000000001</v>
      </c>
      <c r="H2389" s="2">
        <f t="shared" si="23"/>
        <v>72.206000000000003</v>
      </c>
      <c r="I2389" s="2">
        <f t="shared" si="21"/>
        <v>20.217680000000001</v>
      </c>
    </row>
    <row r="2390" spans="1:9" ht="14.25" customHeight="1">
      <c r="A2390" s="2" t="s">
        <v>15</v>
      </c>
      <c r="B2390" s="2">
        <v>1984</v>
      </c>
      <c r="C2390" s="2" t="s">
        <v>28</v>
      </c>
      <c r="D2390" s="2">
        <v>73120</v>
      </c>
      <c r="E2390" s="3">
        <f t="shared" si="18"/>
        <v>73.12</v>
      </c>
      <c r="F2390" s="2">
        <v>1.127</v>
      </c>
      <c r="G2390" s="2">
        <f t="shared" si="19"/>
        <v>74.247</v>
      </c>
      <c r="H2390" s="2">
        <f t="shared" si="23"/>
        <v>73.12</v>
      </c>
      <c r="I2390" s="2">
        <f t="shared" si="21"/>
        <v>20.473600000000005</v>
      </c>
    </row>
    <row r="2391" spans="1:9" ht="14.25" customHeight="1">
      <c r="A2391" s="2" t="s">
        <v>15</v>
      </c>
      <c r="B2391" s="2">
        <v>1985</v>
      </c>
      <c r="C2391" s="2" t="s">
        <v>28</v>
      </c>
      <c r="D2391" s="2">
        <v>74942</v>
      </c>
      <c r="E2391" s="3">
        <f t="shared" si="18"/>
        <v>74.941999999999993</v>
      </c>
      <c r="F2391" s="2">
        <v>1.327</v>
      </c>
      <c r="G2391" s="2">
        <f t="shared" si="19"/>
        <v>76.268999999999991</v>
      </c>
      <c r="H2391" s="2">
        <f t="shared" si="23"/>
        <v>74.941999999999993</v>
      </c>
      <c r="I2391" s="2">
        <f t="shared" si="21"/>
        <v>20.98376</v>
      </c>
    </row>
    <row r="2392" spans="1:9" ht="14.25" customHeight="1">
      <c r="A2392" s="2" t="s">
        <v>15</v>
      </c>
      <c r="B2392" s="2">
        <v>1986</v>
      </c>
      <c r="C2392" s="2" t="s">
        <v>28</v>
      </c>
      <c r="D2392" s="2">
        <v>87722</v>
      </c>
      <c r="E2392" s="3">
        <f t="shared" si="18"/>
        <v>87.721999999999994</v>
      </c>
      <c r="F2392" s="2">
        <v>1.806</v>
      </c>
      <c r="G2392" s="2">
        <f t="shared" si="19"/>
        <v>89.527999999999992</v>
      </c>
      <c r="H2392" s="2">
        <f t="shared" si="23"/>
        <v>87.721999999999994</v>
      </c>
      <c r="I2392" s="2">
        <f t="shared" si="21"/>
        <v>24.562160000000002</v>
      </c>
    </row>
    <row r="2393" spans="1:9" ht="14.25" customHeight="1">
      <c r="A2393" s="2" t="s">
        <v>15</v>
      </c>
      <c r="B2393" s="2">
        <v>1987</v>
      </c>
      <c r="C2393" s="2" t="s">
        <v>28</v>
      </c>
      <c r="D2393" s="2">
        <v>111273</v>
      </c>
      <c r="E2393" s="3">
        <f t="shared" si="18"/>
        <v>111.273</v>
      </c>
      <c r="F2393" s="2">
        <v>2.6379999999999999</v>
      </c>
      <c r="G2393" s="2">
        <f t="shared" si="19"/>
        <v>113.911</v>
      </c>
      <c r="H2393" s="2">
        <f t="shared" si="23"/>
        <v>111.273</v>
      </c>
      <c r="I2393" s="2">
        <f t="shared" si="21"/>
        <v>31.156440000000003</v>
      </c>
    </row>
    <row r="2394" spans="1:9" ht="14.25" customHeight="1">
      <c r="A2394" s="2" t="s">
        <v>15</v>
      </c>
      <c r="B2394" s="2">
        <v>1988</v>
      </c>
      <c r="C2394" s="2" t="s">
        <v>28</v>
      </c>
      <c r="D2394" s="2">
        <v>97406</v>
      </c>
      <c r="E2394" s="3">
        <f t="shared" si="18"/>
        <v>97.406000000000006</v>
      </c>
      <c r="F2394" s="2">
        <v>2.8860000000000001</v>
      </c>
      <c r="G2394" s="2">
        <f t="shared" si="19"/>
        <v>100.292</v>
      </c>
      <c r="H2394" s="2">
        <f t="shared" si="23"/>
        <v>97.406000000000006</v>
      </c>
      <c r="I2394" s="2">
        <f t="shared" si="21"/>
        <v>27.273680000000006</v>
      </c>
    </row>
    <row r="2395" spans="1:9" ht="14.25" customHeight="1">
      <c r="A2395" s="2" t="s">
        <v>15</v>
      </c>
      <c r="B2395" s="2">
        <v>1989</v>
      </c>
      <c r="C2395" s="2" t="s">
        <v>28</v>
      </c>
      <c r="D2395" s="2">
        <v>93064</v>
      </c>
      <c r="E2395" s="3">
        <f t="shared" si="18"/>
        <v>93.063999999999993</v>
      </c>
      <c r="F2395" s="2">
        <v>2.9809999999999999</v>
      </c>
      <c r="G2395" s="2">
        <f t="shared" si="19"/>
        <v>96.044999999999987</v>
      </c>
      <c r="H2395" s="2">
        <f t="shared" si="23"/>
        <v>93.063999999999993</v>
      </c>
      <c r="I2395" s="2">
        <f t="shared" si="21"/>
        <v>26.057919999999999</v>
      </c>
    </row>
    <row r="2396" spans="1:9" ht="14.25" customHeight="1">
      <c r="A2396" s="2" t="s">
        <v>15</v>
      </c>
      <c r="B2396" s="2">
        <v>1990</v>
      </c>
      <c r="C2396" s="2" t="s">
        <v>28</v>
      </c>
      <c r="D2396" s="2">
        <v>98677</v>
      </c>
      <c r="E2396" s="3">
        <f t="shared" si="18"/>
        <v>98.677000000000007</v>
      </c>
      <c r="F2396" s="2">
        <v>2.8410000000000002</v>
      </c>
      <c r="G2396" s="2">
        <f t="shared" si="19"/>
        <v>101.518</v>
      </c>
      <c r="H2396" s="2">
        <f t="shared" si="23"/>
        <v>98.677000000000007</v>
      </c>
      <c r="I2396" s="2">
        <f t="shared" si="21"/>
        <v>27.629560000000005</v>
      </c>
    </row>
    <row r="2397" spans="1:9" ht="14.25" customHeight="1">
      <c r="A2397" s="2" t="s">
        <v>15</v>
      </c>
      <c r="B2397" s="2">
        <v>1991</v>
      </c>
      <c r="C2397" s="2" t="s">
        <v>28</v>
      </c>
      <c r="D2397" s="2">
        <v>125676</v>
      </c>
      <c r="E2397" s="3">
        <f t="shared" si="18"/>
        <v>125.676</v>
      </c>
      <c r="F2397" s="2">
        <v>5.6459999999999999</v>
      </c>
      <c r="G2397" s="2">
        <f t="shared" si="19"/>
        <v>131.322</v>
      </c>
      <c r="H2397" s="2">
        <f t="shared" si="23"/>
        <v>125.676</v>
      </c>
      <c r="I2397" s="2">
        <f t="shared" si="21"/>
        <v>35.189280000000004</v>
      </c>
    </row>
    <row r="2398" spans="1:9" ht="14.25" customHeight="1">
      <c r="A2398" s="2" t="s">
        <v>15</v>
      </c>
      <c r="B2398" s="2">
        <v>1992</v>
      </c>
      <c r="C2398" s="2" t="s">
        <v>28</v>
      </c>
      <c r="D2398" s="2">
        <v>109686</v>
      </c>
      <c r="E2398" s="3">
        <f t="shared" si="18"/>
        <v>109.68600000000001</v>
      </c>
      <c r="F2398" s="2">
        <v>5.0270000000000001</v>
      </c>
      <c r="G2398" s="2">
        <f t="shared" si="19"/>
        <v>114.71300000000001</v>
      </c>
      <c r="H2398" s="2">
        <f t="shared" si="23"/>
        <v>109.68600000000001</v>
      </c>
      <c r="I2398" s="2">
        <f t="shared" si="21"/>
        <v>30.712080000000004</v>
      </c>
    </row>
    <row r="2399" spans="1:9" ht="14.25" customHeight="1">
      <c r="A2399" s="2" t="s">
        <v>15</v>
      </c>
      <c r="B2399" s="2">
        <v>1993</v>
      </c>
      <c r="C2399" s="2" t="s">
        <v>28</v>
      </c>
      <c r="D2399" s="2">
        <v>104695</v>
      </c>
      <c r="E2399" s="3">
        <f t="shared" si="18"/>
        <v>104.69499999999999</v>
      </c>
      <c r="F2399" s="2">
        <v>5.4279999999999999</v>
      </c>
      <c r="G2399" s="2">
        <f t="shared" si="19"/>
        <v>110.12299999999999</v>
      </c>
      <c r="H2399" s="2">
        <f t="shared" si="23"/>
        <v>104.69499999999999</v>
      </c>
      <c r="I2399" s="2">
        <f t="shared" si="21"/>
        <v>29.314600000000002</v>
      </c>
    </row>
    <row r="2400" spans="1:9" ht="14.25" customHeight="1">
      <c r="A2400" s="2" t="s">
        <v>15</v>
      </c>
      <c r="B2400" s="2">
        <v>1994</v>
      </c>
      <c r="C2400" s="2" t="s">
        <v>28</v>
      </c>
      <c r="D2400" s="2">
        <v>114498</v>
      </c>
      <c r="E2400" s="3">
        <f t="shared" si="18"/>
        <v>114.498</v>
      </c>
      <c r="F2400" s="2">
        <v>5.0679999999999996</v>
      </c>
      <c r="G2400" s="2">
        <f t="shared" si="19"/>
        <v>119.566</v>
      </c>
      <c r="H2400" s="2">
        <f t="shared" si="23"/>
        <v>114.498</v>
      </c>
      <c r="I2400" s="2">
        <f t="shared" si="21"/>
        <v>32.059440000000002</v>
      </c>
    </row>
    <row r="2401" spans="1:9" ht="14.25" customHeight="1">
      <c r="A2401" s="2" t="s">
        <v>15</v>
      </c>
      <c r="B2401" s="2">
        <v>1995</v>
      </c>
      <c r="C2401" s="2" t="s">
        <v>28</v>
      </c>
      <c r="D2401" s="2">
        <v>125773</v>
      </c>
      <c r="E2401" s="3">
        <f t="shared" si="18"/>
        <v>125.773</v>
      </c>
      <c r="F2401" s="2">
        <v>6.899</v>
      </c>
      <c r="G2401" s="2">
        <f t="shared" si="19"/>
        <v>132.672</v>
      </c>
      <c r="H2401" s="2">
        <f t="shared" si="23"/>
        <v>125.773</v>
      </c>
      <c r="I2401" s="2">
        <f t="shared" si="21"/>
        <v>35.216440000000006</v>
      </c>
    </row>
    <row r="2402" spans="1:9" ht="14.25" customHeight="1">
      <c r="A2402" s="2" t="s">
        <v>15</v>
      </c>
      <c r="B2402" s="2">
        <v>1996</v>
      </c>
      <c r="C2402" s="2" t="s">
        <v>28</v>
      </c>
      <c r="D2402" s="2">
        <v>129485</v>
      </c>
      <c r="E2402" s="3">
        <f t="shared" si="18"/>
        <v>129.48500000000001</v>
      </c>
      <c r="F2402" s="2">
        <v>9.7460000000000004</v>
      </c>
      <c r="G2402" s="2">
        <f t="shared" si="19"/>
        <v>139.23100000000002</v>
      </c>
      <c r="H2402" s="2">
        <f t="shared" si="23"/>
        <v>129.48500000000001</v>
      </c>
      <c r="I2402" s="2">
        <f t="shared" si="21"/>
        <v>36.255800000000008</v>
      </c>
    </row>
    <row r="2403" spans="1:9" ht="14.25" customHeight="1">
      <c r="A2403" s="2" t="s">
        <v>15</v>
      </c>
      <c r="B2403" s="2">
        <v>1997</v>
      </c>
      <c r="C2403" s="2" t="s">
        <v>28</v>
      </c>
      <c r="D2403" s="2">
        <v>139622</v>
      </c>
      <c r="E2403" s="3">
        <f t="shared" si="18"/>
        <v>139.62200000000001</v>
      </c>
      <c r="F2403" s="2">
        <v>14.343</v>
      </c>
      <c r="G2403" s="2">
        <f t="shared" si="19"/>
        <v>153.965</v>
      </c>
      <c r="H2403" s="2">
        <f t="shared" si="23"/>
        <v>139.62200000000001</v>
      </c>
      <c r="I2403" s="2">
        <f t="shared" si="21"/>
        <v>39.094160000000009</v>
      </c>
    </row>
    <row r="2404" spans="1:9" ht="14.25" customHeight="1">
      <c r="A2404" s="2" t="s">
        <v>15</v>
      </c>
      <c r="B2404" s="2">
        <v>1998</v>
      </c>
      <c r="C2404" s="2" t="s">
        <v>28</v>
      </c>
      <c r="D2404" s="2">
        <v>125389</v>
      </c>
      <c r="E2404" s="3">
        <f t="shared" si="18"/>
        <v>125.389</v>
      </c>
      <c r="F2404" s="2">
        <v>9.9410000000000007</v>
      </c>
      <c r="G2404" s="2">
        <f t="shared" si="19"/>
        <v>135.32999999999998</v>
      </c>
      <c r="H2404" s="2">
        <f t="shared" si="23"/>
        <v>125.389</v>
      </c>
      <c r="I2404" s="2">
        <f t="shared" si="21"/>
        <v>35.108920000000005</v>
      </c>
    </row>
    <row r="2405" spans="1:9" ht="14.25" customHeight="1">
      <c r="A2405" s="2" t="s">
        <v>15</v>
      </c>
      <c r="B2405" s="2">
        <v>1999</v>
      </c>
      <c r="C2405" s="2" t="s">
        <v>28</v>
      </c>
      <c r="D2405" s="2">
        <v>120908</v>
      </c>
      <c r="E2405" s="3">
        <f t="shared" si="18"/>
        <v>120.908</v>
      </c>
      <c r="F2405" s="2">
        <v>10.901</v>
      </c>
      <c r="G2405" s="2">
        <f t="shared" si="19"/>
        <v>131.809</v>
      </c>
      <c r="H2405" s="2">
        <f t="shared" ref="H2405:H2424" si="24">E2405</f>
        <v>120.908</v>
      </c>
      <c r="I2405" s="2">
        <f t="shared" si="21"/>
        <v>33.854240000000004</v>
      </c>
    </row>
    <row r="2406" spans="1:9" ht="14.25" customHeight="1">
      <c r="A2406" s="2" t="s">
        <v>15</v>
      </c>
      <c r="B2406" s="2">
        <v>2000</v>
      </c>
      <c r="C2406" s="2" t="s">
        <v>28</v>
      </c>
      <c r="D2406" s="2">
        <v>127227</v>
      </c>
      <c r="E2406" s="3">
        <f t="shared" si="18"/>
        <v>127.227</v>
      </c>
      <c r="F2406" s="2">
        <v>12.394</v>
      </c>
      <c r="G2406" s="2">
        <f t="shared" si="19"/>
        <v>139.62100000000001</v>
      </c>
      <c r="H2406" s="2">
        <f t="shared" si="24"/>
        <v>127.227</v>
      </c>
      <c r="I2406" s="2">
        <f t="shared" si="21"/>
        <v>35.623560000000005</v>
      </c>
    </row>
    <row r="2407" spans="1:9" ht="14.25" customHeight="1">
      <c r="A2407" s="2" t="s">
        <v>15</v>
      </c>
      <c r="B2407" s="2">
        <v>2001</v>
      </c>
      <c r="C2407" s="2" t="s">
        <v>28</v>
      </c>
      <c r="D2407" s="2">
        <v>139094</v>
      </c>
      <c r="E2407" s="3">
        <f t="shared" si="18"/>
        <v>139.09399999999999</v>
      </c>
      <c r="F2407" s="2">
        <v>18.518999999999998</v>
      </c>
      <c r="G2407" s="2">
        <f t="shared" si="19"/>
        <v>157.613</v>
      </c>
      <c r="H2407" s="2">
        <f t="shared" si="24"/>
        <v>139.09399999999999</v>
      </c>
      <c r="I2407" s="2">
        <f t="shared" si="21"/>
        <v>38.94632</v>
      </c>
    </row>
    <row r="2408" spans="1:9" ht="14.25" customHeight="1">
      <c r="A2408" s="2" t="s">
        <v>15</v>
      </c>
      <c r="B2408" s="2">
        <v>2002</v>
      </c>
      <c r="C2408" s="2" t="s">
        <v>28</v>
      </c>
      <c r="D2408" s="2">
        <v>133886</v>
      </c>
      <c r="E2408" s="3">
        <f t="shared" si="18"/>
        <v>133.886</v>
      </c>
      <c r="F2408" s="2">
        <v>18.707000000000001</v>
      </c>
      <c r="G2408" s="2">
        <f t="shared" si="19"/>
        <v>152.59299999999999</v>
      </c>
      <c r="H2408" s="2">
        <f t="shared" si="24"/>
        <v>133.886</v>
      </c>
      <c r="I2408" s="2">
        <f t="shared" si="21"/>
        <v>37.488080000000004</v>
      </c>
    </row>
    <row r="2409" spans="1:9" ht="14.25" customHeight="1">
      <c r="A2409" s="2" t="s">
        <v>15</v>
      </c>
      <c r="B2409" s="2">
        <v>2003</v>
      </c>
      <c r="C2409" s="2" t="s">
        <v>28</v>
      </c>
      <c r="D2409" s="2">
        <v>132390</v>
      </c>
      <c r="E2409" s="3">
        <f t="shared" si="18"/>
        <v>132.38999999999999</v>
      </c>
      <c r="F2409" s="2">
        <v>20.492000000000001</v>
      </c>
      <c r="G2409" s="2">
        <f t="shared" si="19"/>
        <v>152.88199999999998</v>
      </c>
      <c r="H2409" s="2">
        <f t="shared" si="24"/>
        <v>132.38999999999999</v>
      </c>
      <c r="I2409" s="2">
        <f t="shared" si="21"/>
        <v>37.069200000000002</v>
      </c>
    </row>
    <row r="2410" spans="1:9" ht="14.25" customHeight="1">
      <c r="A2410" s="2" t="s">
        <v>15</v>
      </c>
      <c r="B2410" s="2">
        <v>2004</v>
      </c>
      <c r="C2410" s="2" t="s">
        <v>28</v>
      </c>
      <c r="D2410" s="2">
        <v>129132</v>
      </c>
      <c r="E2410" s="3">
        <f t="shared" si="18"/>
        <v>129.13200000000001</v>
      </c>
      <c r="F2410" s="2">
        <v>32.5</v>
      </c>
      <c r="G2410" s="2">
        <f t="shared" si="19"/>
        <v>161.63200000000001</v>
      </c>
      <c r="H2410" s="2">
        <f t="shared" si="24"/>
        <v>129.13200000000001</v>
      </c>
      <c r="I2410" s="2">
        <f t="shared" si="21"/>
        <v>36.156960000000005</v>
      </c>
    </row>
    <row r="2411" spans="1:9" ht="14.25" customHeight="1">
      <c r="A2411" s="2" t="s">
        <v>15</v>
      </c>
      <c r="B2411" s="2">
        <v>2005</v>
      </c>
      <c r="C2411" s="2" t="s">
        <v>28</v>
      </c>
      <c r="D2411" s="2">
        <v>109868</v>
      </c>
      <c r="E2411" s="3">
        <f t="shared" si="18"/>
        <v>109.86799999999999</v>
      </c>
      <c r="F2411" s="2">
        <v>29.800999999999998</v>
      </c>
      <c r="G2411" s="2">
        <f t="shared" si="19"/>
        <v>139.66899999999998</v>
      </c>
      <c r="H2411" s="2">
        <f t="shared" si="24"/>
        <v>109.86799999999999</v>
      </c>
      <c r="I2411" s="2">
        <f t="shared" si="21"/>
        <v>30.76304</v>
      </c>
    </row>
    <row r="2412" spans="1:9" ht="14.25" customHeight="1">
      <c r="A2412" s="2" t="s">
        <v>15</v>
      </c>
      <c r="B2412" s="2">
        <v>2006</v>
      </c>
      <c r="C2412" s="2" t="s">
        <v>28</v>
      </c>
      <c r="D2412" s="2">
        <v>138022.84</v>
      </c>
      <c r="E2412" s="3">
        <f t="shared" si="18"/>
        <v>138.02284</v>
      </c>
      <c r="F2412" s="2">
        <v>25.513999999999999</v>
      </c>
      <c r="G2412" s="2">
        <f t="shared" si="19"/>
        <v>163.53684000000001</v>
      </c>
      <c r="H2412" s="2">
        <f t="shared" si="24"/>
        <v>138.02284</v>
      </c>
      <c r="I2412" s="2">
        <f t="shared" si="21"/>
        <v>38.646395200000008</v>
      </c>
    </row>
    <row r="2413" spans="1:9" ht="14.25" customHeight="1">
      <c r="A2413" s="2" t="s">
        <v>15</v>
      </c>
      <c r="B2413" s="2">
        <v>2007</v>
      </c>
      <c r="C2413" s="2" t="s">
        <v>28</v>
      </c>
      <c r="D2413" s="2">
        <v>144885.31</v>
      </c>
      <c r="E2413" s="3">
        <f t="shared" si="18"/>
        <v>144.88531</v>
      </c>
      <c r="F2413" s="2">
        <v>26.821000000000002</v>
      </c>
      <c r="G2413" s="2">
        <f t="shared" si="19"/>
        <v>171.70631</v>
      </c>
      <c r="H2413" s="2">
        <f t="shared" si="24"/>
        <v>144.88531</v>
      </c>
      <c r="I2413" s="2">
        <f t="shared" si="21"/>
        <v>40.567886800000004</v>
      </c>
    </row>
    <row r="2414" spans="1:9" ht="14.25" customHeight="1">
      <c r="A2414" s="2" t="s">
        <v>15</v>
      </c>
      <c r="B2414" s="2">
        <v>2008</v>
      </c>
      <c r="C2414" s="2" t="s">
        <v>28</v>
      </c>
      <c r="D2414" s="2">
        <v>146435.94</v>
      </c>
      <c r="E2414" s="3">
        <f t="shared" si="18"/>
        <v>146.43594000000002</v>
      </c>
      <c r="F2414" s="2">
        <v>31.388000000000002</v>
      </c>
      <c r="G2414" s="2">
        <f t="shared" si="19"/>
        <v>177.82394000000002</v>
      </c>
      <c r="H2414" s="2">
        <f t="shared" si="24"/>
        <v>146.43594000000002</v>
      </c>
      <c r="I2414" s="2">
        <f t="shared" si="21"/>
        <v>41.002063200000009</v>
      </c>
    </row>
    <row r="2415" spans="1:9" ht="14.25" customHeight="1">
      <c r="A2415" s="2" t="s">
        <v>15</v>
      </c>
      <c r="B2415" s="2">
        <v>2009</v>
      </c>
      <c r="C2415" s="2" t="s">
        <v>28</v>
      </c>
      <c r="D2415" s="2">
        <v>134103.45000000001</v>
      </c>
      <c r="E2415" s="3">
        <f t="shared" si="18"/>
        <v>134.10345000000001</v>
      </c>
      <c r="F2415" s="2">
        <v>35.610519999999994</v>
      </c>
      <c r="G2415" s="2">
        <f t="shared" si="19"/>
        <v>169.71397000000002</v>
      </c>
      <c r="H2415" s="2">
        <f t="shared" si="24"/>
        <v>134.10345000000001</v>
      </c>
      <c r="I2415" s="2">
        <f t="shared" si="21"/>
        <v>37.548966000000007</v>
      </c>
    </row>
    <row r="2416" spans="1:9" ht="14.25" customHeight="1">
      <c r="A2416" s="2" t="s">
        <v>15</v>
      </c>
      <c r="B2416" s="2">
        <v>2010</v>
      </c>
      <c r="C2416" s="2" t="s">
        <v>28</v>
      </c>
      <c r="D2416" s="2">
        <v>145596.1</v>
      </c>
      <c r="E2416" s="3">
        <f t="shared" si="18"/>
        <v>145.59610000000001</v>
      </c>
      <c r="F2416" s="2">
        <v>31.519549999999999</v>
      </c>
      <c r="G2416" s="2">
        <f t="shared" si="19"/>
        <v>177.11565000000002</v>
      </c>
      <c r="H2416" s="2">
        <f t="shared" si="24"/>
        <v>145.59610000000001</v>
      </c>
      <c r="I2416" s="2">
        <f t="shared" si="21"/>
        <v>40.766908000000008</v>
      </c>
    </row>
    <row r="2417" spans="1:9" ht="14.25" customHeight="1">
      <c r="A2417" s="2" t="s">
        <v>15</v>
      </c>
      <c r="B2417" s="2">
        <v>2011</v>
      </c>
      <c r="C2417" s="2" t="s">
        <v>28</v>
      </c>
      <c r="D2417" s="2">
        <v>152149.81</v>
      </c>
      <c r="E2417" s="3">
        <f t="shared" si="18"/>
        <v>152.14981</v>
      </c>
      <c r="F2417" s="2">
        <v>27.0578</v>
      </c>
      <c r="G2417" s="2">
        <f t="shared" si="19"/>
        <v>179.20760999999999</v>
      </c>
      <c r="H2417" s="2">
        <f t="shared" si="24"/>
        <v>152.14981</v>
      </c>
      <c r="I2417" s="2">
        <f t="shared" si="21"/>
        <v>42.601946800000007</v>
      </c>
    </row>
    <row r="2418" spans="1:9" ht="14.25" customHeight="1">
      <c r="A2418" s="2" t="s">
        <v>15</v>
      </c>
      <c r="B2418" s="2">
        <v>2012</v>
      </c>
      <c r="C2418" s="2" t="s">
        <v>28</v>
      </c>
      <c r="D2418" s="2">
        <v>157386.6</v>
      </c>
      <c r="E2418" s="3">
        <f t="shared" si="18"/>
        <v>157.38660000000002</v>
      </c>
      <c r="F2418" s="2">
        <v>27.359400000000001</v>
      </c>
      <c r="G2418" s="2">
        <f t="shared" si="19"/>
        <v>184.74600000000001</v>
      </c>
      <c r="H2418" s="2">
        <f t="shared" si="24"/>
        <v>157.38660000000002</v>
      </c>
      <c r="I2418" s="2">
        <f t="shared" si="21"/>
        <v>44.068248000000011</v>
      </c>
    </row>
    <row r="2419" spans="1:9" ht="14.25" customHeight="1">
      <c r="A2419" s="2" t="s">
        <v>15</v>
      </c>
      <c r="B2419" s="2">
        <v>2013</v>
      </c>
      <c r="C2419" s="2" t="s">
        <v>28</v>
      </c>
      <c r="D2419" s="2">
        <v>147107.04999999999</v>
      </c>
      <c r="E2419" s="3">
        <f t="shared" si="18"/>
        <v>147.10704999999999</v>
      </c>
      <c r="F2419" s="2">
        <v>26.318000000000001</v>
      </c>
      <c r="G2419" s="2">
        <f t="shared" si="19"/>
        <v>173.42505</v>
      </c>
      <c r="H2419" s="2">
        <f t="shared" si="24"/>
        <v>147.10704999999999</v>
      </c>
      <c r="I2419" s="2">
        <f t="shared" si="21"/>
        <v>41.189973999999999</v>
      </c>
    </row>
    <row r="2420" spans="1:9" ht="14.25" customHeight="1">
      <c r="A2420" s="2" t="s">
        <v>15</v>
      </c>
      <c r="B2420" s="2">
        <v>2014</v>
      </c>
      <c r="C2420" s="2" t="s">
        <v>28</v>
      </c>
      <c r="D2420" s="2">
        <v>142590.12</v>
      </c>
      <c r="E2420" s="3">
        <f t="shared" si="18"/>
        <v>142.59011999999998</v>
      </c>
      <c r="F2420" s="2">
        <v>21.6187</v>
      </c>
      <c r="G2420" s="2">
        <f t="shared" si="19"/>
        <v>164.20881999999997</v>
      </c>
      <c r="H2420" s="2">
        <f t="shared" si="24"/>
        <v>142.59011999999998</v>
      </c>
      <c r="I2420" s="2">
        <f t="shared" si="21"/>
        <v>39.925233599999999</v>
      </c>
    </row>
    <row r="2421" spans="1:9" ht="14.25" customHeight="1">
      <c r="A2421" s="2" t="s">
        <v>15</v>
      </c>
      <c r="B2421" s="2">
        <v>2015</v>
      </c>
      <c r="C2421" s="2" t="s">
        <v>28</v>
      </c>
      <c r="D2421" s="2">
        <v>139682.21</v>
      </c>
      <c r="E2421" s="3">
        <f t="shared" si="18"/>
        <v>139.68221</v>
      </c>
      <c r="F2421" s="2">
        <v>24.157091000000001</v>
      </c>
      <c r="G2421" s="2">
        <f t="shared" si="19"/>
        <v>163.83930100000001</v>
      </c>
      <c r="H2421" s="2">
        <f t="shared" si="24"/>
        <v>139.68221</v>
      </c>
      <c r="I2421" s="2">
        <f t="shared" si="21"/>
        <v>39.111018800000004</v>
      </c>
    </row>
    <row r="2422" spans="1:9" ht="14.25" customHeight="1">
      <c r="A2422" s="2" t="s">
        <v>15</v>
      </c>
      <c r="B2422" s="2">
        <v>2016</v>
      </c>
      <c r="C2422" s="2" t="s">
        <v>28</v>
      </c>
      <c r="D2422" s="2">
        <v>149129.82999999999</v>
      </c>
      <c r="E2422" s="3">
        <f t="shared" si="18"/>
        <v>149.12983</v>
      </c>
      <c r="F2422" s="2">
        <v>16.88823</v>
      </c>
      <c r="G2422" s="2">
        <f t="shared" si="19"/>
        <v>166.01805999999999</v>
      </c>
      <c r="H2422" s="2">
        <f t="shared" si="24"/>
        <v>149.12983</v>
      </c>
      <c r="I2422" s="2">
        <f t="shared" si="21"/>
        <v>41.756352400000004</v>
      </c>
    </row>
    <row r="2423" spans="1:9" ht="14.25" customHeight="1">
      <c r="A2423" s="2" t="s">
        <v>15</v>
      </c>
      <c r="B2423" s="2">
        <v>2017</v>
      </c>
      <c r="C2423" s="2" t="s">
        <v>28</v>
      </c>
      <c r="D2423" s="2">
        <v>139192.89000000001</v>
      </c>
      <c r="E2423" s="3">
        <f t="shared" si="18"/>
        <v>139.19289000000001</v>
      </c>
      <c r="F2423" s="2">
        <v>18.512080000000001</v>
      </c>
      <c r="G2423" s="2">
        <f t="shared" si="19"/>
        <v>157.70497</v>
      </c>
      <c r="H2423" s="2">
        <f t="shared" si="24"/>
        <v>139.19289000000001</v>
      </c>
      <c r="I2423" s="2">
        <f t="shared" si="21"/>
        <v>38.974009200000005</v>
      </c>
    </row>
    <row r="2424" spans="1:9" ht="14.25" customHeight="1">
      <c r="A2424" s="2" t="s">
        <v>15</v>
      </c>
      <c r="B2424" s="2">
        <v>2018</v>
      </c>
      <c r="C2424" s="2" t="s">
        <v>28</v>
      </c>
      <c r="D2424" s="2">
        <v>126734.702</v>
      </c>
      <c r="E2424" s="3">
        <f t="shared" si="18"/>
        <v>126.734702</v>
      </c>
      <c r="F2424" s="23">
        <v>16.490749999999998</v>
      </c>
      <c r="G2424" s="2">
        <f t="shared" si="19"/>
        <v>143.22545199999999</v>
      </c>
      <c r="H2424" s="2">
        <f t="shared" si="24"/>
        <v>126.734702</v>
      </c>
      <c r="I2424" s="2">
        <f t="shared" si="21"/>
        <v>35.48571656</v>
      </c>
    </row>
    <row r="2425" spans="1:9" ht="14.25" customHeight="1">
      <c r="A2425" s="2" t="s">
        <v>15</v>
      </c>
      <c r="B2425" s="2">
        <v>1913</v>
      </c>
      <c r="C2425" s="2" t="s">
        <v>62</v>
      </c>
      <c r="D2425" s="2">
        <v>3721</v>
      </c>
      <c r="E2425" s="3">
        <f t="shared" si="18"/>
        <v>3.7210000000000001</v>
      </c>
      <c r="G2425" s="2">
        <f t="shared" si="19"/>
        <v>3.7210000000000001</v>
      </c>
    </row>
    <row r="2426" spans="1:9" ht="14.25" customHeight="1">
      <c r="A2426" s="2" t="s">
        <v>15</v>
      </c>
      <c r="B2426" s="2">
        <v>1919</v>
      </c>
      <c r="C2426" s="2" t="s">
        <v>62</v>
      </c>
      <c r="D2426" s="2">
        <v>1986</v>
      </c>
      <c r="E2426" s="3">
        <f t="shared" si="18"/>
        <v>1.986</v>
      </c>
      <c r="G2426" s="2">
        <f t="shared" si="19"/>
        <v>1.986</v>
      </c>
    </row>
    <row r="2427" spans="1:9" ht="14.25" customHeight="1">
      <c r="A2427" s="2" t="s">
        <v>15</v>
      </c>
      <c r="B2427" s="2">
        <v>1920</v>
      </c>
      <c r="C2427" s="2" t="s">
        <v>62</v>
      </c>
      <c r="D2427" s="2">
        <v>1904</v>
      </c>
      <c r="E2427" s="3">
        <f t="shared" si="18"/>
        <v>1.9039999999999999</v>
      </c>
      <c r="G2427" s="2">
        <f t="shared" si="19"/>
        <v>1.9039999999999999</v>
      </c>
    </row>
    <row r="2428" spans="1:9" ht="14.25" customHeight="1">
      <c r="A2428" s="2" t="s">
        <v>15</v>
      </c>
      <c r="B2428" s="2">
        <v>1921</v>
      </c>
      <c r="C2428" s="2" t="s">
        <v>62</v>
      </c>
      <c r="D2428" s="2">
        <v>1920</v>
      </c>
      <c r="E2428" s="3">
        <f t="shared" si="18"/>
        <v>1.92</v>
      </c>
      <c r="G2428" s="2">
        <f t="shared" si="19"/>
        <v>1.92</v>
      </c>
    </row>
    <row r="2429" spans="1:9" ht="14.25" customHeight="1">
      <c r="A2429" s="2" t="s">
        <v>15</v>
      </c>
      <c r="B2429" s="2">
        <v>1922</v>
      </c>
      <c r="C2429" s="2" t="s">
        <v>62</v>
      </c>
      <c r="D2429" s="2">
        <v>2121</v>
      </c>
      <c r="E2429" s="3">
        <f t="shared" si="18"/>
        <v>2.121</v>
      </c>
      <c r="G2429" s="2">
        <f t="shared" si="19"/>
        <v>2.121</v>
      </c>
    </row>
    <row r="2430" spans="1:9" ht="14.25" customHeight="1">
      <c r="A2430" s="2" t="s">
        <v>15</v>
      </c>
      <c r="B2430" s="2">
        <v>1923</v>
      </c>
      <c r="C2430" s="2" t="s">
        <v>62</v>
      </c>
      <c r="D2430" s="2">
        <v>2622</v>
      </c>
      <c r="E2430" s="3">
        <f t="shared" si="18"/>
        <v>2.6219999999999999</v>
      </c>
      <c r="G2430" s="2">
        <f t="shared" si="19"/>
        <v>2.6219999999999999</v>
      </c>
    </row>
    <row r="2431" spans="1:9" ht="14.25" customHeight="1">
      <c r="A2431" s="2" t="s">
        <v>15</v>
      </c>
      <c r="B2431" s="2">
        <v>1924</v>
      </c>
      <c r="C2431" s="2" t="s">
        <v>62</v>
      </c>
      <c r="D2431" s="2">
        <v>2873</v>
      </c>
      <c r="E2431" s="3">
        <f t="shared" si="18"/>
        <v>2.8730000000000002</v>
      </c>
      <c r="G2431" s="2">
        <f t="shared" si="19"/>
        <v>2.8730000000000002</v>
      </c>
    </row>
    <row r="2432" spans="1:9" ht="14.25" customHeight="1">
      <c r="A2432" s="2" t="s">
        <v>15</v>
      </c>
      <c r="B2432" s="2">
        <v>1925</v>
      </c>
      <c r="C2432" s="2" t="s">
        <v>62</v>
      </c>
      <c r="D2432" s="2">
        <v>2770</v>
      </c>
      <c r="E2432" s="3">
        <f t="shared" si="18"/>
        <v>2.77</v>
      </c>
      <c r="G2432" s="2">
        <f t="shared" si="19"/>
        <v>2.77</v>
      </c>
    </row>
    <row r="2433" spans="1:7" ht="14.25" customHeight="1">
      <c r="A2433" s="2" t="s">
        <v>15</v>
      </c>
      <c r="B2433" s="2">
        <v>1926</v>
      </c>
      <c r="C2433" s="2" t="s">
        <v>62</v>
      </c>
      <c r="D2433" s="2">
        <v>3094</v>
      </c>
      <c r="E2433" s="3">
        <f t="shared" si="18"/>
        <v>3.0939999999999999</v>
      </c>
      <c r="G2433" s="2">
        <f t="shared" si="19"/>
        <v>3.0939999999999999</v>
      </c>
    </row>
    <row r="2434" spans="1:7" ht="14.25" customHeight="1">
      <c r="A2434" s="2" t="s">
        <v>15</v>
      </c>
      <c r="B2434" s="2">
        <v>1927</v>
      </c>
      <c r="C2434" s="2" t="s">
        <v>62</v>
      </c>
      <c r="D2434" s="2">
        <v>2495</v>
      </c>
      <c r="E2434" s="3">
        <f t="shared" si="18"/>
        <v>2.4950000000000001</v>
      </c>
      <c r="G2434" s="2">
        <f t="shared" si="19"/>
        <v>2.4950000000000001</v>
      </c>
    </row>
    <row r="2435" spans="1:7" ht="14.25" customHeight="1">
      <c r="A2435" s="2" t="s">
        <v>15</v>
      </c>
      <c r="B2435" s="2">
        <v>1928</v>
      </c>
      <c r="C2435" s="2" t="s">
        <v>62</v>
      </c>
      <c r="D2435" s="2">
        <v>2690</v>
      </c>
      <c r="E2435" s="3">
        <f t="shared" si="18"/>
        <v>2.69</v>
      </c>
      <c r="G2435" s="2">
        <f t="shared" si="19"/>
        <v>2.69</v>
      </c>
    </row>
    <row r="2436" spans="1:7" ht="14.25" customHeight="1">
      <c r="A2436" s="2" t="s">
        <v>15</v>
      </c>
      <c r="B2436" s="2">
        <v>1929</v>
      </c>
      <c r="C2436" s="2" t="s">
        <v>62</v>
      </c>
      <c r="D2436" s="2">
        <v>2612</v>
      </c>
      <c r="E2436" s="3">
        <f t="shared" si="18"/>
        <v>2.6120000000000001</v>
      </c>
      <c r="G2436" s="2">
        <f t="shared" si="19"/>
        <v>2.6120000000000001</v>
      </c>
    </row>
    <row r="2437" spans="1:7" ht="14.25" customHeight="1">
      <c r="A2437" s="2" t="s">
        <v>15</v>
      </c>
      <c r="B2437" s="2">
        <v>1930</v>
      </c>
      <c r="C2437" s="2" t="s">
        <v>62</v>
      </c>
      <c r="D2437" s="2">
        <v>2672</v>
      </c>
      <c r="E2437" s="3">
        <f t="shared" si="18"/>
        <v>2.6720000000000002</v>
      </c>
      <c r="G2437" s="2">
        <f t="shared" si="19"/>
        <v>2.6720000000000002</v>
      </c>
    </row>
    <row r="2438" spans="1:7" ht="14.25" customHeight="1">
      <c r="A2438" s="2" t="s">
        <v>15</v>
      </c>
      <c r="B2438" s="2">
        <v>1931</v>
      </c>
      <c r="C2438" s="2" t="s">
        <v>62</v>
      </c>
      <c r="D2438" s="2">
        <v>2404</v>
      </c>
      <c r="E2438" s="3">
        <f t="shared" si="18"/>
        <v>2.4039999999999999</v>
      </c>
      <c r="G2438" s="2">
        <f t="shared" si="19"/>
        <v>2.4039999999999999</v>
      </c>
    </row>
    <row r="2439" spans="1:7" ht="14.25" customHeight="1">
      <c r="A2439" s="2" t="s">
        <v>15</v>
      </c>
      <c r="B2439" s="2">
        <v>1932</v>
      </c>
      <c r="C2439" s="2" t="s">
        <v>62</v>
      </c>
      <c r="D2439" s="2">
        <v>1679</v>
      </c>
      <c r="E2439" s="3">
        <f t="shared" si="18"/>
        <v>1.679</v>
      </c>
      <c r="G2439" s="2">
        <f t="shared" si="19"/>
        <v>1.679</v>
      </c>
    </row>
    <row r="2440" spans="1:7" ht="14.25" customHeight="1">
      <c r="A2440" s="2" t="s">
        <v>15</v>
      </c>
      <c r="B2440" s="2">
        <v>1933</v>
      </c>
      <c r="C2440" s="2" t="s">
        <v>62</v>
      </c>
      <c r="D2440" s="2">
        <v>2237</v>
      </c>
      <c r="E2440" s="3">
        <f t="shared" si="18"/>
        <v>2.2370000000000001</v>
      </c>
      <c r="G2440" s="2">
        <f t="shared" si="19"/>
        <v>2.2370000000000001</v>
      </c>
    </row>
    <row r="2441" spans="1:7" ht="14.25" customHeight="1">
      <c r="A2441" s="2" t="s">
        <v>15</v>
      </c>
      <c r="B2441" s="2">
        <v>1934</v>
      </c>
      <c r="C2441" s="2" t="s">
        <v>62</v>
      </c>
      <c r="D2441" s="2">
        <v>2381</v>
      </c>
      <c r="E2441" s="3">
        <f t="shared" si="18"/>
        <v>2.3809999999999998</v>
      </c>
      <c r="G2441" s="2">
        <f t="shared" si="19"/>
        <v>2.3809999999999998</v>
      </c>
    </row>
    <row r="2442" spans="1:7" ht="14.25" customHeight="1">
      <c r="A2442" s="2" t="s">
        <v>15</v>
      </c>
      <c r="B2442" s="2">
        <v>1935</v>
      </c>
      <c r="C2442" s="2" t="s">
        <v>62</v>
      </c>
      <c r="D2442" s="2">
        <v>2020</v>
      </c>
      <c r="E2442" s="3">
        <f t="shared" si="18"/>
        <v>2.02</v>
      </c>
      <c r="G2442" s="2">
        <f t="shared" si="19"/>
        <v>2.02</v>
      </c>
    </row>
    <row r="2443" spans="1:7" ht="14.25" customHeight="1">
      <c r="A2443" s="2" t="s">
        <v>15</v>
      </c>
      <c r="B2443" s="2">
        <v>1936</v>
      </c>
      <c r="C2443" s="2" t="s">
        <v>62</v>
      </c>
      <c r="D2443" s="2">
        <v>1965</v>
      </c>
      <c r="E2443" s="3">
        <f t="shared" si="18"/>
        <v>1.9650000000000001</v>
      </c>
      <c r="G2443" s="2">
        <f t="shared" si="19"/>
        <v>1.9650000000000001</v>
      </c>
    </row>
    <row r="2444" spans="1:7" ht="14.25" customHeight="1">
      <c r="A2444" s="2" t="s">
        <v>15</v>
      </c>
      <c r="B2444" s="2">
        <v>1937</v>
      </c>
      <c r="C2444" s="2" t="s">
        <v>62</v>
      </c>
      <c r="D2444" s="2">
        <v>2758</v>
      </c>
      <c r="E2444" s="3">
        <f t="shared" si="18"/>
        <v>2.758</v>
      </c>
      <c r="G2444" s="2">
        <f t="shared" si="19"/>
        <v>2.758</v>
      </c>
    </row>
    <row r="2445" spans="1:7" ht="14.25" customHeight="1">
      <c r="A2445" s="2" t="s">
        <v>15</v>
      </c>
      <c r="B2445" s="2">
        <v>1938</v>
      </c>
      <c r="C2445" s="2" t="s">
        <v>62</v>
      </c>
      <c r="D2445" s="2">
        <v>2407</v>
      </c>
      <c r="E2445" s="3">
        <f t="shared" si="18"/>
        <v>2.407</v>
      </c>
      <c r="G2445" s="2">
        <f t="shared" si="19"/>
        <v>2.407</v>
      </c>
    </row>
    <row r="2446" spans="1:7" ht="14.25" customHeight="1">
      <c r="A2446" s="2" t="s">
        <v>15</v>
      </c>
      <c r="B2446" s="2">
        <v>1939</v>
      </c>
      <c r="C2446" s="2" t="s">
        <v>62</v>
      </c>
      <c r="D2446" s="2">
        <v>1924</v>
      </c>
      <c r="E2446" s="3">
        <f t="shared" si="18"/>
        <v>1.9239999999999999</v>
      </c>
      <c r="G2446" s="2">
        <f t="shared" si="19"/>
        <v>1.9239999999999999</v>
      </c>
    </row>
    <row r="2447" spans="1:7" ht="14.25" customHeight="1">
      <c r="A2447" s="2" t="s">
        <v>15</v>
      </c>
      <c r="B2447" s="2">
        <v>1940</v>
      </c>
      <c r="C2447" s="2" t="s">
        <v>62</v>
      </c>
      <c r="D2447" s="2">
        <v>1781</v>
      </c>
      <c r="E2447" s="3">
        <f t="shared" si="18"/>
        <v>1.7809999999999999</v>
      </c>
      <c r="G2447" s="2">
        <f t="shared" si="19"/>
        <v>1.7809999999999999</v>
      </c>
    </row>
    <row r="2448" spans="1:7" ht="14.25" customHeight="1">
      <c r="A2448" s="2" t="s">
        <v>15</v>
      </c>
      <c r="B2448" s="2">
        <v>1941</v>
      </c>
      <c r="C2448" s="2" t="s">
        <v>62</v>
      </c>
      <c r="D2448" s="2">
        <v>2006</v>
      </c>
      <c r="E2448" s="3">
        <f t="shared" si="18"/>
        <v>2.0059999999999998</v>
      </c>
      <c r="G2448" s="2">
        <f t="shared" si="19"/>
        <v>2.0059999999999998</v>
      </c>
    </row>
    <row r="2449" spans="1:7" ht="14.25" customHeight="1">
      <c r="A2449" s="2" t="s">
        <v>15</v>
      </c>
      <c r="B2449" s="2">
        <v>1942</v>
      </c>
      <c r="C2449" s="2" t="s">
        <v>62</v>
      </c>
      <c r="D2449" s="2">
        <v>1643</v>
      </c>
      <c r="E2449" s="3">
        <f t="shared" si="18"/>
        <v>1.643</v>
      </c>
      <c r="G2449" s="2">
        <f t="shared" si="19"/>
        <v>1.643</v>
      </c>
    </row>
    <row r="2450" spans="1:7" ht="14.25" customHeight="1">
      <c r="A2450" s="2" t="s">
        <v>15</v>
      </c>
      <c r="B2450" s="2">
        <v>1943</v>
      </c>
      <c r="C2450" s="2" t="s">
        <v>62</v>
      </c>
      <c r="D2450" s="2">
        <v>1143</v>
      </c>
      <c r="E2450" s="3">
        <f t="shared" si="18"/>
        <v>1.143</v>
      </c>
      <c r="G2450" s="2">
        <f t="shared" si="19"/>
        <v>1.143</v>
      </c>
    </row>
    <row r="2451" spans="1:7" ht="14.25" customHeight="1">
      <c r="A2451" s="2" t="s">
        <v>15</v>
      </c>
      <c r="B2451" s="2">
        <v>1944</v>
      </c>
      <c r="C2451" s="2" t="s">
        <v>62</v>
      </c>
      <c r="D2451" s="2">
        <v>886</v>
      </c>
      <c r="E2451" s="3">
        <f t="shared" si="18"/>
        <v>0.88600000000000001</v>
      </c>
      <c r="G2451" s="2">
        <f t="shared" si="19"/>
        <v>0.88600000000000001</v>
      </c>
    </row>
    <row r="2452" spans="1:7" ht="14.25" customHeight="1">
      <c r="A2452" s="2" t="s">
        <v>15</v>
      </c>
      <c r="B2452" s="2">
        <v>1945</v>
      </c>
      <c r="C2452" s="2" t="s">
        <v>62</v>
      </c>
      <c r="D2452" s="2">
        <v>1405</v>
      </c>
      <c r="E2452" s="3">
        <f t="shared" si="18"/>
        <v>1.405</v>
      </c>
      <c r="G2452" s="2">
        <f t="shared" si="19"/>
        <v>1.405</v>
      </c>
    </row>
    <row r="2453" spans="1:7" ht="14.25" customHeight="1">
      <c r="A2453" s="2" t="s">
        <v>15</v>
      </c>
      <c r="B2453" s="2">
        <v>1946</v>
      </c>
      <c r="C2453" s="2" t="s">
        <v>62</v>
      </c>
      <c r="D2453" s="2">
        <v>1645</v>
      </c>
      <c r="E2453" s="3">
        <f t="shared" si="18"/>
        <v>1.645</v>
      </c>
      <c r="G2453" s="2">
        <f t="shared" si="19"/>
        <v>1.645</v>
      </c>
    </row>
    <row r="2454" spans="1:7" ht="14.25" customHeight="1">
      <c r="A2454" s="2" t="s">
        <v>15</v>
      </c>
      <c r="B2454" s="2">
        <v>1947</v>
      </c>
      <c r="C2454" s="2" t="s">
        <v>62</v>
      </c>
      <c r="D2454" s="2">
        <v>2200</v>
      </c>
      <c r="E2454" s="3">
        <f t="shared" si="18"/>
        <v>2.2000000000000002</v>
      </c>
      <c r="G2454" s="2">
        <f t="shared" si="19"/>
        <v>2.2000000000000002</v>
      </c>
    </row>
    <row r="2455" spans="1:7" ht="14.25" customHeight="1">
      <c r="A2455" s="2" t="s">
        <v>15</v>
      </c>
      <c r="B2455" s="2">
        <v>1948</v>
      </c>
      <c r="C2455" s="2" t="s">
        <v>62</v>
      </c>
      <c r="D2455" s="2">
        <v>2589</v>
      </c>
      <c r="E2455" s="3">
        <f t="shared" si="18"/>
        <v>2.589</v>
      </c>
      <c r="G2455" s="2">
        <f t="shared" si="19"/>
        <v>2.589</v>
      </c>
    </row>
    <row r="2456" spans="1:7" ht="14.25" customHeight="1">
      <c r="A2456" s="2" t="s">
        <v>15</v>
      </c>
      <c r="B2456" s="2">
        <v>1949</v>
      </c>
      <c r="C2456" s="2" t="s">
        <v>62</v>
      </c>
      <c r="D2456" s="2">
        <v>1958</v>
      </c>
      <c r="E2456" s="3">
        <f t="shared" si="18"/>
        <v>1.958</v>
      </c>
      <c r="G2456" s="2">
        <f t="shared" si="19"/>
        <v>1.958</v>
      </c>
    </row>
    <row r="2457" spans="1:7" ht="14.25" customHeight="1">
      <c r="A2457" s="2" t="s">
        <v>15</v>
      </c>
      <c r="B2457" s="2">
        <v>1950</v>
      </c>
      <c r="C2457" s="2" t="s">
        <v>62</v>
      </c>
      <c r="D2457" s="2">
        <v>1385</v>
      </c>
      <c r="E2457" s="3">
        <f t="shared" si="18"/>
        <v>1.385</v>
      </c>
      <c r="G2457" s="2">
        <f t="shared" si="19"/>
        <v>1.385</v>
      </c>
    </row>
    <row r="2458" spans="1:7" ht="14.25" customHeight="1">
      <c r="A2458" s="2" t="s">
        <v>15</v>
      </c>
      <c r="B2458" s="2">
        <v>1951</v>
      </c>
      <c r="C2458" s="2" t="s">
        <v>62</v>
      </c>
      <c r="D2458" s="2">
        <v>2106</v>
      </c>
      <c r="E2458" s="3">
        <f t="shared" si="18"/>
        <v>2.1059999999999999</v>
      </c>
      <c r="G2458" s="2">
        <f t="shared" si="19"/>
        <v>2.1059999999999999</v>
      </c>
    </row>
    <row r="2459" spans="1:7" ht="14.25" customHeight="1">
      <c r="A2459" s="2" t="s">
        <v>15</v>
      </c>
      <c r="B2459" s="2">
        <v>1952</v>
      </c>
      <c r="C2459" s="2" t="s">
        <v>62</v>
      </c>
      <c r="D2459" s="2">
        <v>1719</v>
      </c>
      <c r="E2459" s="3">
        <f t="shared" si="18"/>
        <v>1.7190000000000001</v>
      </c>
      <c r="G2459" s="2">
        <f t="shared" si="19"/>
        <v>1.7190000000000001</v>
      </c>
    </row>
    <row r="2460" spans="1:7" ht="14.25" customHeight="1">
      <c r="A2460" s="2" t="s">
        <v>15</v>
      </c>
      <c r="B2460" s="2">
        <v>1953</v>
      </c>
      <c r="C2460" s="2" t="s">
        <v>62</v>
      </c>
      <c r="D2460" s="2">
        <v>1891</v>
      </c>
      <c r="E2460" s="3">
        <f t="shared" si="18"/>
        <v>1.891</v>
      </c>
      <c r="G2460" s="2">
        <f t="shared" si="19"/>
        <v>1.891</v>
      </c>
    </row>
    <row r="2461" spans="1:7" ht="14.25" customHeight="1">
      <c r="A2461" s="2" t="s">
        <v>15</v>
      </c>
      <c r="B2461" s="2">
        <v>1954</v>
      </c>
      <c r="C2461" s="2" t="s">
        <v>62</v>
      </c>
      <c r="D2461" s="2">
        <v>1832</v>
      </c>
      <c r="E2461" s="3">
        <f t="shared" si="18"/>
        <v>1.8320000000000001</v>
      </c>
      <c r="G2461" s="2">
        <f t="shared" si="19"/>
        <v>1.8320000000000001</v>
      </c>
    </row>
    <row r="2462" spans="1:7" ht="14.25" customHeight="1">
      <c r="A2462" s="2" t="s">
        <v>15</v>
      </c>
      <c r="B2462" s="2">
        <v>1955</v>
      </c>
      <c r="C2462" s="2" t="s">
        <v>62</v>
      </c>
      <c r="D2462" s="2">
        <v>2303</v>
      </c>
      <c r="E2462" s="3">
        <f t="shared" si="18"/>
        <v>2.3029999999999999</v>
      </c>
      <c r="G2462" s="2">
        <f t="shared" si="19"/>
        <v>2.3029999999999999</v>
      </c>
    </row>
    <row r="2463" spans="1:7" ht="14.25" customHeight="1">
      <c r="A2463" s="2" t="s">
        <v>15</v>
      </c>
      <c r="B2463" s="2">
        <v>1956</v>
      </c>
      <c r="C2463" s="2" t="s">
        <v>62</v>
      </c>
      <c r="D2463" s="2">
        <v>2097</v>
      </c>
      <c r="E2463" s="3">
        <f t="shared" si="18"/>
        <v>2.097</v>
      </c>
      <c r="G2463" s="2">
        <f t="shared" si="19"/>
        <v>2.097</v>
      </c>
    </row>
    <row r="2464" spans="1:7" ht="14.25" customHeight="1">
      <c r="A2464" s="2" t="s">
        <v>15</v>
      </c>
      <c r="B2464" s="2">
        <v>1957</v>
      </c>
      <c r="C2464" s="2" t="s">
        <v>62</v>
      </c>
      <c r="D2464" s="2">
        <v>2287</v>
      </c>
      <c r="E2464" s="3">
        <f t="shared" si="18"/>
        <v>2.2869999999999999</v>
      </c>
      <c r="G2464" s="2">
        <f t="shared" si="19"/>
        <v>2.2869999999999999</v>
      </c>
    </row>
    <row r="2465" spans="1:7" ht="14.25" customHeight="1">
      <c r="A2465" s="2" t="s">
        <v>15</v>
      </c>
      <c r="B2465" s="2">
        <v>1958</v>
      </c>
      <c r="C2465" s="2" t="s">
        <v>62</v>
      </c>
      <c r="D2465" s="2">
        <v>2022</v>
      </c>
      <c r="E2465" s="3">
        <f t="shared" si="18"/>
        <v>2.0219999999999998</v>
      </c>
      <c r="G2465" s="2">
        <f t="shared" si="19"/>
        <v>2.0219999999999998</v>
      </c>
    </row>
    <row r="2466" spans="1:7" ht="14.25" customHeight="1">
      <c r="A2466" s="2" t="s">
        <v>15</v>
      </c>
      <c r="B2466" s="2">
        <v>1959</v>
      </c>
      <c r="C2466" s="2" t="s">
        <v>62</v>
      </c>
      <c r="D2466" s="2">
        <v>1829</v>
      </c>
      <c r="E2466" s="3">
        <f t="shared" si="18"/>
        <v>1.829</v>
      </c>
      <c r="G2466" s="2">
        <f t="shared" si="19"/>
        <v>1.829</v>
      </c>
    </row>
    <row r="2467" spans="1:7" ht="14.25" customHeight="1">
      <c r="A2467" s="2" t="s">
        <v>15</v>
      </c>
      <c r="B2467" s="2">
        <v>1960</v>
      </c>
      <c r="C2467" s="2" t="s">
        <v>62</v>
      </c>
      <c r="D2467" s="2">
        <v>1516</v>
      </c>
      <c r="E2467" s="3">
        <f t="shared" si="18"/>
        <v>1.516</v>
      </c>
      <c r="G2467" s="2">
        <f t="shared" si="19"/>
        <v>1.516</v>
      </c>
    </row>
    <row r="2468" spans="1:7" ht="14.25" customHeight="1">
      <c r="A2468" s="2" t="s">
        <v>15</v>
      </c>
      <c r="B2468" s="2">
        <v>1961</v>
      </c>
      <c r="C2468" s="2" t="s">
        <v>62</v>
      </c>
      <c r="D2468" s="2">
        <v>1038</v>
      </c>
      <c r="E2468" s="3">
        <f t="shared" si="18"/>
        <v>1.038</v>
      </c>
      <c r="G2468" s="2">
        <f t="shared" si="19"/>
        <v>1.038</v>
      </c>
    </row>
    <row r="2469" spans="1:7" ht="14.25" customHeight="1">
      <c r="A2469" s="2" t="s">
        <v>15</v>
      </c>
      <c r="B2469" s="2">
        <v>1962</v>
      </c>
      <c r="C2469" s="2" t="s">
        <v>62</v>
      </c>
      <c r="D2469" s="2">
        <v>1168</v>
      </c>
      <c r="E2469" s="3">
        <f t="shared" si="18"/>
        <v>1.1679999999999999</v>
      </c>
      <c r="G2469" s="2">
        <f t="shared" si="19"/>
        <v>1.1679999999999999</v>
      </c>
    </row>
    <row r="2470" spans="1:7" ht="14.25" customHeight="1">
      <c r="A2470" s="2" t="s">
        <v>15</v>
      </c>
      <c r="B2470" s="2">
        <v>1963</v>
      </c>
      <c r="C2470" s="2" t="s">
        <v>62</v>
      </c>
      <c r="D2470" s="2">
        <v>1503</v>
      </c>
      <c r="E2470" s="3">
        <f t="shared" si="18"/>
        <v>1.5029999999999999</v>
      </c>
      <c r="G2470" s="2">
        <f t="shared" si="19"/>
        <v>1.5029999999999999</v>
      </c>
    </row>
    <row r="2471" spans="1:7" ht="14.25" customHeight="1">
      <c r="A2471" s="2" t="s">
        <v>15</v>
      </c>
      <c r="B2471" s="2">
        <v>1964</v>
      </c>
      <c r="C2471" s="2" t="s">
        <v>62</v>
      </c>
      <c r="D2471" s="2">
        <v>1744</v>
      </c>
      <c r="E2471" s="3">
        <f t="shared" si="18"/>
        <v>1.744</v>
      </c>
      <c r="G2471" s="2">
        <f t="shared" si="19"/>
        <v>1.744</v>
      </c>
    </row>
    <row r="2472" spans="1:7" ht="14.25" customHeight="1">
      <c r="A2472" s="2" t="s">
        <v>15</v>
      </c>
      <c r="B2472" s="2">
        <v>1965</v>
      </c>
      <c r="C2472" s="2" t="s">
        <v>62</v>
      </c>
      <c r="D2472" s="2">
        <v>1452</v>
      </c>
      <c r="E2472" s="3">
        <f t="shared" si="18"/>
        <v>1.452</v>
      </c>
      <c r="G2472" s="2">
        <f t="shared" si="19"/>
        <v>1.452</v>
      </c>
    </row>
    <row r="2473" spans="1:7" ht="14.25" customHeight="1">
      <c r="A2473" s="2" t="s">
        <v>15</v>
      </c>
      <c r="B2473" s="2">
        <v>1966</v>
      </c>
      <c r="C2473" s="2" t="s">
        <v>62</v>
      </c>
      <c r="D2473" s="2">
        <v>1493</v>
      </c>
      <c r="E2473" s="3">
        <f t="shared" si="18"/>
        <v>1.4930000000000001</v>
      </c>
      <c r="G2473" s="2">
        <f t="shared" si="19"/>
        <v>1.4930000000000001</v>
      </c>
    </row>
    <row r="2474" spans="1:7" ht="14.25" customHeight="1">
      <c r="A2474" s="2" t="s">
        <v>15</v>
      </c>
      <c r="B2474" s="2">
        <v>1967</v>
      </c>
      <c r="C2474" s="2" t="s">
        <v>62</v>
      </c>
      <c r="D2474" s="2">
        <v>1502</v>
      </c>
      <c r="E2474" s="3">
        <f t="shared" si="18"/>
        <v>1.502</v>
      </c>
      <c r="G2474" s="2">
        <f t="shared" si="19"/>
        <v>1.502</v>
      </c>
    </row>
    <row r="2475" spans="1:7" ht="14.25" customHeight="1">
      <c r="A2475" s="2" t="s">
        <v>15</v>
      </c>
      <c r="B2475" s="2">
        <v>1968</v>
      </c>
      <c r="C2475" s="2" t="s">
        <v>62</v>
      </c>
      <c r="D2475" s="2">
        <v>1331</v>
      </c>
      <c r="E2475" s="3">
        <f t="shared" si="18"/>
        <v>1.331</v>
      </c>
      <c r="G2475" s="2">
        <f t="shared" si="19"/>
        <v>1.331</v>
      </c>
    </row>
    <row r="2476" spans="1:7" ht="14.25" customHeight="1">
      <c r="A2476" s="2" t="s">
        <v>15</v>
      </c>
      <c r="B2476" s="2">
        <v>1969</v>
      </c>
      <c r="C2476" s="2" t="s">
        <v>62</v>
      </c>
      <c r="D2476" s="2">
        <v>1255</v>
      </c>
      <c r="E2476" s="3">
        <f t="shared" si="18"/>
        <v>1.2549999999999999</v>
      </c>
      <c r="G2476" s="2">
        <f t="shared" si="19"/>
        <v>1.2549999999999999</v>
      </c>
    </row>
    <row r="2477" spans="1:7" ht="14.25" customHeight="1">
      <c r="A2477" s="2" t="s">
        <v>15</v>
      </c>
      <c r="B2477" s="2">
        <v>1970</v>
      </c>
      <c r="C2477" s="2" t="s">
        <v>62</v>
      </c>
      <c r="D2477" s="2">
        <v>1290</v>
      </c>
      <c r="E2477" s="3">
        <f t="shared" si="18"/>
        <v>1.29</v>
      </c>
      <c r="G2477" s="2">
        <f t="shared" si="19"/>
        <v>1.29</v>
      </c>
    </row>
    <row r="2478" spans="1:7" ht="14.25" customHeight="1">
      <c r="A2478" s="2" t="s">
        <v>15</v>
      </c>
      <c r="B2478" s="2">
        <v>1971</v>
      </c>
      <c r="C2478" s="2" t="s">
        <v>62</v>
      </c>
      <c r="D2478" s="2">
        <v>1195</v>
      </c>
      <c r="E2478" s="3">
        <f t="shared" si="18"/>
        <v>1.1950000000000001</v>
      </c>
      <c r="G2478" s="2">
        <f t="shared" si="19"/>
        <v>1.1950000000000001</v>
      </c>
    </row>
    <row r="2479" spans="1:7" ht="14.25" customHeight="1">
      <c r="A2479" s="2" t="s">
        <v>15</v>
      </c>
      <c r="B2479" s="2">
        <v>1972</v>
      </c>
      <c r="C2479" s="2" t="s">
        <v>62</v>
      </c>
      <c r="D2479" s="2">
        <v>10</v>
      </c>
      <c r="E2479" s="3">
        <f t="shared" si="18"/>
        <v>0.01</v>
      </c>
      <c r="G2479" s="2">
        <f t="shared" si="19"/>
        <v>0.01</v>
      </c>
    </row>
    <row r="2480" spans="1:7" ht="14.25" customHeight="1">
      <c r="A2480" s="2" t="s">
        <v>15</v>
      </c>
      <c r="B2480" s="2">
        <v>1973</v>
      </c>
      <c r="C2480" s="2" t="s">
        <v>62</v>
      </c>
      <c r="D2480" s="2">
        <v>7</v>
      </c>
      <c r="E2480" s="3">
        <f t="shared" si="18"/>
        <v>7.0000000000000001E-3</v>
      </c>
      <c r="G2480" s="2">
        <f t="shared" si="19"/>
        <v>7.0000000000000001E-3</v>
      </c>
    </row>
    <row r="2481" spans="1:7" ht="14.25" customHeight="1">
      <c r="A2481" s="2" t="s">
        <v>15</v>
      </c>
      <c r="B2481" s="2">
        <v>1974</v>
      </c>
      <c r="C2481" s="2" t="s">
        <v>62</v>
      </c>
      <c r="D2481" s="2">
        <v>9</v>
      </c>
      <c r="E2481" s="3">
        <f t="shared" si="18"/>
        <v>8.9999999999999993E-3</v>
      </c>
      <c r="G2481" s="2">
        <f t="shared" si="19"/>
        <v>8.9999999999999993E-3</v>
      </c>
    </row>
    <row r="2482" spans="1:7" ht="14.25" customHeight="1">
      <c r="A2482" s="2" t="s">
        <v>15</v>
      </c>
      <c r="B2482" s="2">
        <v>1975</v>
      </c>
      <c r="C2482" s="2" t="s">
        <v>62</v>
      </c>
      <c r="D2482" s="2">
        <v>13</v>
      </c>
      <c r="E2482" s="3">
        <f t="shared" si="18"/>
        <v>1.2999999999999999E-2</v>
      </c>
      <c r="G2482" s="2">
        <f t="shared" si="19"/>
        <v>1.2999999999999999E-2</v>
      </c>
    </row>
    <row r="2483" spans="1:7" ht="14.25" customHeight="1">
      <c r="A2483" s="2" t="s">
        <v>15</v>
      </c>
      <c r="B2483" s="2">
        <v>1976</v>
      </c>
      <c r="C2483" s="2" t="s">
        <v>62</v>
      </c>
      <c r="D2483" s="2">
        <v>21</v>
      </c>
      <c r="E2483" s="3">
        <f t="shared" si="18"/>
        <v>2.1000000000000001E-2</v>
      </c>
      <c r="G2483" s="2">
        <f t="shared" si="19"/>
        <v>2.1000000000000001E-2</v>
      </c>
    </row>
    <row r="2484" spans="1:7" ht="14.25" customHeight="1">
      <c r="A2484" s="2" t="s">
        <v>15</v>
      </c>
      <c r="B2484" s="2">
        <v>1977</v>
      </c>
      <c r="C2484" s="2" t="s">
        <v>62</v>
      </c>
      <c r="D2484" s="2">
        <v>23</v>
      </c>
      <c r="E2484" s="3">
        <f t="shared" si="18"/>
        <v>2.3E-2</v>
      </c>
      <c r="G2484" s="2">
        <f t="shared" si="19"/>
        <v>2.3E-2</v>
      </c>
    </row>
    <row r="2485" spans="1:7" ht="14.25" customHeight="1">
      <c r="A2485" s="2" t="s">
        <v>15</v>
      </c>
      <c r="B2485" s="2">
        <v>1978</v>
      </c>
      <c r="C2485" s="2" t="s">
        <v>62</v>
      </c>
      <c r="D2485" s="2">
        <v>20</v>
      </c>
      <c r="E2485" s="3">
        <f t="shared" si="18"/>
        <v>0.02</v>
      </c>
      <c r="G2485" s="2">
        <f t="shared" si="19"/>
        <v>0.02</v>
      </c>
    </row>
    <row r="2486" spans="1:7" ht="14.25" customHeight="1">
      <c r="A2486" s="2" t="s">
        <v>15</v>
      </c>
      <c r="B2486" s="2">
        <v>1979</v>
      </c>
      <c r="C2486" s="2" t="s">
        <v>62</v>
      </c>
      <c r="D2486" s="2">
        <v>39</v>
      </c>
      <c r="E2486" s="3">
        <f t="shared" si="18"/>
        <v>3.9E-2</v>
      </c>
      <c r="G2486" s="2">
        <f t="shared" si="19"/>
        <v>3.9E-2</v>
      </c>
    </row>
    <row r="2487" spans="1:7" ht="14.25" customHeight="1">
      <c r="A2487" s="2" t="s">
        <v>15</v>
      </c>
      <c r="B2487" s="2">
        <v>1980</v>
      </c>
      <c r="C2487" s="2" t="s">
        <v>62</v>
      </c>
      <c r="D2487" s="2">
        <v>31</v>
      </c>
      <c r="E2487" s="3">
        <f t="shared" si="18"/>
        <v>3.1E-2</v>
      </c>
      <c r="G2487" s="2">
        <f t="shared" si="19"/>
        <v>3.1E-2</v>
      </c>
    </row>
    <row r="2488" spans="1:7" ht="14.25" customHeight="1">
      <c r="A2488" s="2" t="s">
        <v>15</v>
      </c>
      <c r="B2488" s="2">
        <v>1981</v>
      </c>
      <c r="C2488" s="2" t="s">
        <v>62</v>
      </c>
      <c r="D2488" s="2">
        <v>25</v>
      </c>
      <c r="E2488" s="3">
        <f t="shared" si="18"/>
        <v>2.5000000000000001E-2</v>
      </c>
      <c r="G2488" s="2">
        <f t="shared" si="19"/>
        <v>2.5000000000000001E-2</v>
      </c>
    </row>
    <row r="2489" spans="1:7" ht="14.25" customHeight="1">
      <c r="A2489" s="2" t="s">
        <v>15</v>
      </c>
      <c r="B2489" s="2">
        <v>1982</v>
      </c>
      <c r="C2489" s="2" t="s">
        <v>62</v>
      </c>
      <c r="D2489" s="2">
        <v>27</v>
      </c>
      <c r="E2489" s="3">
        <f t="shared" si="18"/>
        <v>2.7E-2</v>
      </c>
      <c r="G2489" s="2">
        <f t="shared" si="19"/>
        <v>2.7E-2</v>
      </c>
    </row>
    <row r="2490" spans="1:7" ht="14.25" customHeight="1">
      <c r="A2490" s="2" t="s">
        <v>15</v>
      </c>
      <c r="B2490" s="2">
        <v>1983</v>
      </c>
      <c r="C2490" s="2" t="s">
        <v>62</v>
      </c>
      <c r="D2490" s="2">
        <v>758</v>
      </c>
      <c r="E2490" s="3">
        <f t="shared" si="18"/>
        <v>0.75800000000000001</v>
      </c>
      <c r="G2490" s="2">
        <f t="shared" si="19"/>
        <v>0.75800000000000001</v>
      </c>
    </row>
    <row r="2491" spans="1:7" ht="14.25" customHeight="1">
      <c r="A2491" s="2" t="s">
        <v>15</v>
      </c>
      <c r="B2491" s="2">
        <v>1984</v>
      </c>
      <c r="C2491" s="2" t="s">
        <v>62</v>
      </c>
      <c r="D2491" s="2">
        <v>407</v>
      </c>
      <c r="E2491" s="3">
        <f t="shared" si="18"/>
        <v>0.40699999999999997</v>
      </c>
      <c r="G2491" s="2">
        <f t="shared" si="19"/>
        <v>0.40699999999999997</v>
      </c>
    </row>
    <row r="2492" spans="1:7" ht="14.25" customHeight="1">
      <c r="A2492" s="2" t="s">
        <v>15</v>
      </c>
      <c r="B2492" s="2">
        <v>1985</v>
      </c>
      <c r="C2492" s="2" t="s">
        <v>62</v>
      </c>
      <c r="D2492" s="2">
        <v>418</v>
      </c>
      <c r="E2492" s="3">
        <f t="shared" si="18"/>
        <v>0.41799999999999998</v>
      </c>
      <c r="G2492" s="2">
        <f t="shared" si="19"/>
        <v>0.41799999999999998</v>
      </c>
    </row>
    <row r="2493" spans="1:7" ht="14.25" customHeight="1">
      <c r="A2493" s="2" t="s">
        <v>15</v>
      </c>
      <c r="B2493" s="2">
        <v>1986</v>
      </c>
      <c r="C2493" s="2" t="s">
        <v>62</v>
      </c>
      <c r="D2493" s="2">
        <v>973</v>
      </c>
      <c r="E2493" s="3">
        <f t="shared" si="18"/>
        <v>0.97299999999999998</v>
      </c>
      <c r="G2493" s="2">
        <f t="shared" si="19"/>
        <v>0.97299999999999998</v>
      </c>
    </row>
    <row r="2494" spans="1:7" ht="14.25" customHeight="1">
      <c r="A2494" s="2" t="s">
        <v>15</v>
      </c>
      <c r="B2494" s="2">
        <v>1987</v>
      </c>
      <c r="C2494" s="2" t="s">
        <v>62</v>
      </c>
      <c r="D2494" s="2">
        <v>2032</v>
      </c>
      <c r="E2494" s="3">
        <f t="shared" si="18"/>
        <v>2.032</v>
      </c>
      <c r="G2494" s="2">
        <f t="shared" si="19"/>
        <v>2.032</v>
      </c>
    </row>
    <row r="2495" spans="1:7" ht="14.25" customHeight="1">
      <c r="A2495" s="2" t="s">
        <v>15</v>
      </c>
      <c r="B2495" s="2">
        <v>1988</v>
      </c>
      <c r="C2495" s="2" t="s">
        <v>62</v>
      </c>
      <c r="D2495" s="2">
        <v>1192</v>
      </c>
      <c r="E2495" s="3">
        <f t="shared" si="18"/>
        <v>1.1919999999999999</v>
      </c>
      <c r="G2495" s="2">
        <f t="shared" si="19"/>
        <v>1.1919999999999999</v>
      </c>
    </row>
    <row r="2496" spans="1:7" ht="14.25" customHeight="1">
      <c r="A2496" s="2" t="s">
        <v>15</v>
      </c>
      <c r="B2496" s="2">
        <v>1989</v>
      </c>
      <c r="C2496" s="2" t="s">
        <v>62</v>
      </c>
      <c r="D2496" s="2">
        <v>1048</v>
      </c>
      <c r="E2496" s="3">
        <f t="shared" si="18"/>
        <v>1.048</v>
      </c>
      <c r="G2496" s="2">
        <f t="shared" si="19"/>
        <v>1.048</v>
      </c>
    </row>
    <row r="2497" spans="1:7" ht="14.25" customHeight="1">
      <c r="A2497" s="2" t="s">
        <v>15</v>
      </c>
      <c r="B2497" s="2">
        <v>1990</v>
      </c>
      <c r="C2497" s="2" t="s">
        <v>62</v>
      </c>
      <c r="D2497" s="2">
        <v>712</v>
      </c>
      <c r="E2497" s="3">
        <f t="shared" si="18"/>
        <v>0.71199999999999997</v>
      </c>
      <c r="G2497" s="2">
        <f t="shared" si="19"/>
        <v>0.71199999999999997</v>
      </c>
    </row>
    <row r="2498" spans="1:7" ht="14.25" customHeight="1">
      <c r="A2498" s="2" t="s">
        <v>15</v>
      </c>
      <c r="B2498" s="2">
        <v>1991</v>
      </c>
      <c r="C2498" s="2" t="s">
        <v>62</v>
      </c>
      <c r="D2498" s="2">
        <v>574</v>
      </c>
      <c r="E2498" s="3">
        <f t="shared" si="18"/>
        <v>0.57399999999999995</v>
      </c>
      <c r="G2498" s="2">
        <f t="shared" si="19"/>
        <v>0.57399999999999995</v>
      </c>
    </row>
    <row r="2499" spans="1:7" ht="14.25" customHeight="1">
      <c r="A2499" s="2" t="s">
        <v>15</v>
      </c>
      <c r="B2499" s="2">
        <v>1992</v>
      </c>
      <c r="C2499" s="2" t="s">
        <v>62</v>
      </c>
      <c r="D2499" s="2">
        <v>560</v>
      </c>
      <c r="E2499" s="3">
        <f t="shared" si="18"/>
        <v>0.56000000000000005</v>
      </c>
      <c r="G2499" s="2">
        <f t="shared" si="19"/>
        <v>0.56000000000000005</v>
      </c>
    </row>
    <row r="2500" spans="1:7" ht="14.25" customHeight="1">
      <c r="A2500" s="2" t="s">
        <v>15</v>
      </c>
      <c r="B2500" s="2">
        <v>1993</v>
      </c>
      <c r="C2500" s="2" t="s">
        <v>62</v>
      </c>
      <c r="D2500" s="2">
        <v>1004</v>
      </c>
      <c r="E2500" s="3">
        <f t="shared" si="18"/>
        <v>1.004</v>
      </c>
      <c r="G2500" s="2">
        <f t="shared" si="19"/>
        <v>1.004</v>
      </c>
    </row>
    <row r="2501" spans="1:7" ht="14.25" customHeight="1">
      <c r="A2501" s="2" t="s">
        <v>15</v>
      </c>
      <c r="B2501" s="2">
        <v>1994</v>
      </c>
      <c r="C2501" s="2" t="s">
        <v>62</v>
      </c>
      <c r="D2501" s="2">
        <v>1346</v>
      </c>
      <c r="E2501" s="3">
        <f t="shared" si="18"/>
        <v>1.3460000000000001</v>
      </c>
      <c r="G2501" s="2">
        <f t="shared" si="19"/>
        <v>1.3460000000000001</v>
      </c>
    </row>
    <row r="2502" spans="1:7" ht="14.25" customHeight="1">
      <c r="A2502" s="2" t="s">
        <v>15</v>
      </c>
      <c r="B2502" s="2">
        <v>1995</v>
      </c>
      <c r="C2502" s="2" t="s">
        <v>62</v>
      </c>
      <c r="D2502" s="2">
        <v>1131</v>
      </c>
      <c r="E2502" s="3">
        <f t="shared" si="18"/>
        <v>1.131</v>
      </c>
      <c r="G2502" s="2">
        <f t="shared" si="19"/>
        <v>1.131</v>
      </c>
    </row>
    <row r="2503" spans="1:7" ht="14.25" customHeight="1">
      <c r="A2503" s="2" t="s">
        <v>15</v>
      </c>
      <c r="B2503" s="2">
        <v>1996</v>
      </c>
      <c r="C2503" s="2" t="s">
        <v>62</v>
      </c>
      <c r="D2503" s="2">
        <v>740</v>
      </c>
      <c r="E2503" s="3">
        <f t="shared" si="18"/>
        <v>0.74</v>
      </c>
      <c r="G2503" s="2">
        <f t="shared" si="19"/>
        <v>0.74</v>
      </c>
    </row>
    <row r="2504" spans="1:7" ht="14.25" customHeight="1">
      <c r="A2504" s="2" t="s">
        <v>15</v>
      </c>
      <c r="B2504" s="2">
        <v>1997</v>
      </c>
      <c r="C2504" s="2" t="s">
        <v>62</v>
      </c>
      <c r="D2504" s="2">
        <v>598</v>
      </c>
      <c r="E2504" s="3">
        <f t="shared" si="18"/>
        <v>0.59799999999999998</v>
      </c>
      <c r="G2504" s="2">
        <f t="shared" si="19"/>
        <v>0.59799999999999998</v>
      </c>
    </row>
    <row r="2505" spans="1:7" ht="14.25" customHeight="1">
      <c r="A2505" s="2" t="s">
        <v>15</v>
      </c>
      <c r="B2505" s="2">
        <v>1998</v>
      </c>
      <c r="C2505" s="2" t="s">
        <v>62</v>
      </c>
      <c r="D2505" s="2">
        <v>739</v>
      </c>
      <c r="E2505" s="3">
        <f t="shared" si="18"/>
        <v>0.73899999999999999</v>
      </c>
      <c r="G2505" s="2">
        <f t="shared" si="19"/>
        <v>0.73899999999999999</v>
      </c>
    </row>
    <row r="2506" spans="1:7" ht="14.25" customHeight="1">
      <c r="A2506" s="2" t="s">
        <v>15</v>
      </c>
      <c r="B2506" s="2">
        <v>1999</v>
      </c>
      <c r="C2506" s="2" t="s">
        <v>62</v>
      </c>
      <c r="D2506" s="2">
        <v>1453</v>
      </c>
      <c r="E2506" s="3">
        <f t="shared" si="18"/>
        <v>1.4530000000000001</v>
      </c>
      <c r="G2506" s="2">
        <f t="shared" si="19"/>
        <v>1.4530000000000001</v>
      </c>
    </row>
    <row r="2507" spans="1:7" ht="14.25" customHeight="1">
      <c r="A2507" s="2" t="s">
        <v>15</v>
      </c>
      <c r="B2507" s="2">
        <v>2000</v>
      </c>
      <c r="C2507" s="2" t="s">
        <v>62</v>
      </c>
      <c r="D2507" s="2">
        <v>1129</v>
      </c>
      <c r="E2507" s="3">
        <f t="shared" si="18"/>
        <v>1.129</v>
      </c>
      <c r="G2507" s="2">
        <f t="shared" si="19"/>
        <v>1.129</v>
      </c>
    </row>
    <row r="2508" spans="1:7" ht="14.25" customHeight="1">
      <c r="A2508" s="2" t="s">
        <v>15</v>
      </c>
      <c r="B2508" s="2">
        <v>2001</v>
      </c>
      <c r="C2508" s="2" t="s">
        <v>62</v>
      </c>
      <c r="D2508" s="2">
        <v>2290</v>
      </c>
      <c r="E2508" s="3">
        <f t="shared" si="18"/>
        <v>2.29</v>
      </c>
      <c r="G2508" s="2">
        <f t="shared" si="19"/>
        <v>2.29</v>
      </c>
    </row>
    <row r="2509" spans="1:7" ht="14.25" customHeight="1">
      <c r="A2509" s="2" t="s">
        <v>15</v>
      </c>
      <c r="B2509" s="2">
        <v>2002</v>
      </c>
      <c r="C2509" s="2" t="s">
        <v>62</v>
      </c>
      <c r="D2509" s="2">
        <v>1430</v>
      </c>
      <c r="E2509" s="3">
        <f t="shared" si="18"/>
        <v>1.43</v>
      </c>
      <c r="G2509" s="2">
        <f t="shared" si="19"/>
        <v>1.43</v>
      </c>
    </row>
    <row r="2510" spans="1:7" ht="14.25" customHeight="1">
      <c r="A2510" s="2" t="s">
        <v>15</v>
      </c>
      <c r="B2510" s="2">
        <v>2003</v>
      </c>
      <c r="C2510" s="2" t="s">
        <v>62</v>
      </c>
      <c r="D2510" s="2">
        <v>627</v>
      </c>
      <c r="E2510" s="3">
        <f t="shared" si="18"/>
        <v>0.627</v>
      </c>
      <c r="G2510" s="2">
        <f t="shared" si="19"/>
        <v>0.627</v>
      </c>
    </row>
    <row r="2511" spans="1:7" ht="14.25" customHeight="1">
      <c r="A2511" s="2" t="s">
        <v>15</v>
      </c>
      <c r="B2511" s="2">
        <v>2004</v>
      </c>
      <c r="C2511" s="2" t="s">
        <v>62</v>
      </c>
      <c r="D2511" s="2">
        <v>506</v>
      </c>
      <c r="E2511" s="3">
        <f t="shared" si="18"/>
        <v>0.50600000000000001</v>
      </c>
      <c r="G2511" s="2">
        <f t="shared" si="19"/>
        <v>0.50600000000000001</v>
      </c>
    </row>
    <row r="2512" spans="1:7" ht="14.25" customHeight="1">
      <c r="A2512" s="2" t="s">
        <v>15</v>
      </c>
      <c r="B2512" s="2">
        <v>2005</v>
      </c>
      <c r="C2512" s="2" t="s">
        <v>62</v>
      </c>
      <c r="D2512" s="2">
        <v>516</v>
      </c>
      <c r="E2512" s="3">
        <f t="shared" si="18"/>
        <v>0.51600000000000001</v>
      </c>
      <c r="G2512" s="2">
        <f t="shared" si="19"/>
        <v>0.51600000000000001</v>
      </c>
    </row>
    <row r="2513" spans="1:7" ht="14.25" customHeight="1">
      <c r="A2513" s="2" t="s">
        <v>15</v>
      </c>
      <c r="B2513" s="2">
        <v>2006</v>
      </c>
      <c r="C2513" s="2" t="s">
        <v>62</v>
      </c>
      <c r="D2513" s="2">
        <v>460.02</v>
      </c>
      <c r="E2513" s="3">
        <f t="shared" si="18"/>
        <v>0.46001999999999998</v>
      </c>
      <c r="G2513" s="2">
        <f t="shared" si="19"/>
        <v>0.46001999999999998</v>
      </c>
    </row>
    <row r="2514" spans="1:7" ht="14.25" customHeight="1">
      <c r="A2514" s="2" t="s">
        <v>15</v>
      </c>
      <c r="B2514" s="2">
        <v>2007</v>
      </c>
      <c r="C2514" s="2" t="s">
        <v>62</v>
      </c>
      <c r="D2514" s="2">
        <v>1391.9</v>
      </c>
      <c r="E2514" s="3">
        <f t="shared" si="18"/>
        <v>1.3919000000000001</v>
      </c>
      <c r="G2514" s="2">
        <f t="shared" si="19"/>
        <v>1.3919000000000001</v>
      </c>
    </row>
    <row r="2515" spans="1:7" ht="14.25" customHeight="1">
      <c r="A2515" s="2" t="s">
        <v>15</v>
      </c>
      <c r="B2515" s="2">
        <v>2008</v>
      </c>
      <c r="C2515" s="2" t="s">
        <v>62</v>
      </c>
      <c r="D2515" s="2">
        <v>874.03</v>
      </c>
      <c r="E2515" s="3">
        <f t="shared" si="18"/>
        <v>0.87402999999999997</v>
      </c>
      <c r="G2515" s="2">
        <f t="shared" si="19"/>
        <v>0.87402999999999997</v>
      </c>
    </row>
    <row r="2516" spans="1:7" ht="14.25" customHeight="1">
      <c r="A2516" s="2" t="s">
        <v>15</v>
      </c>
      <c r="B2516" s="2">
        <v>2009</v>
      </c>
      <c r="C2516" s="2" t="s">
        <v>62</v>
      </c>
      <c r="D2516" s="2">
        <v>1063.5999999999999</v>
      </c>
      <c r="E2516" s="3">
        <f t="shared" si="18"/>
        <v>1.0635999999999999</v>
      </c>
      <c r="G2516" s="2">
        <f t="shared" si="19"/>
        <v>1.0635999999999999</v>
      </c>
    </row>
    <row r="2517" spans="1:7" ht="14.25" customHeight="1">
      <c r="A2517" s="2" t="s">
        <v>15</v>
      </c>
      <c r="B2517" s="2">
        <v>2010</v>
      </c>
      <c r="C2517" s="2" t="s">
        <v>62</v>
      </c>
      <c r="D2517" s="2">
        <v>920.5</v>
      </c>
      <c r="E2517" s="3">
        <f t="shared" si="18"/>
        <v>0.92049999999999998</v>
      </c>
      <c r="G2517" s="2">
        <f t="shared" si="19"/>
        <v>0.92049999999999998</v>
      </c>
    </row>
    <row r="2518" spans="1:7" ht="14.25" customHeight="1">
      <c r="A2518" s="2" t="s">
        <v>15</v>
      </c>
      <c r="B2518" s="2">
        <v>2011</v>
      </c>
      <c r="C2518" s="2" t="s">
        <v>62</v>
      </c>
      <c r="D2518" s="2">
        <v>397.35</v>
      </c>
      <c r="E2518" s="3">
        <f t="shared" si="18"/>
        <v>0.39735000000000004</v>
      </c>
      <c r="G2518" s="2">
        <f t="shared" si="19"/>
        <v>0.39735000000000004</v>
      </c>
    </row>
    <row r="2519" spans="1:7" ht="14.25" customHeight="1">
      <c r="A2519" s="2" t="s">
        <v>15</v>
      </c>
      <c r="B2519" s="2">
        <v>2012</v>
      </c>
      <c r="C2519" s="2" t="s">
        <v>62</v>
      </c>
      <c r="D2519" s="2">
        <v>926.4</v>
      </c>
      <c r="E2519" s="3">
        <f t="shared" si="18"/>
        <v>0.9264</v>
      </c>
      <c r="G2519" s="2">
        <f t="shared" si="19"/>
        <v>0.9264</v>
      </c>
    </row>
    <row r="2520" spans="1:7" ht="14.25" customHeight="1">
      <c r="A2520" s="2" t="s">
        <v>15</v>
      </c>
      <c r="B2520" s="2">
        <v>2013</v>
      </c>
      <c r="C2520" s="2" t="s">
        <v>62</v>
      </c>
      <c r="D2520" s="2">
        <v>859.84</v>
      </c>
      <c r="E2520" s="3">
        <f t="shared" si="18"/>
        <v>0.85984000000000005</v>
      </c>
      <c r="G2520" s="2">
        <f t="shared" si="19"/>
        <v>0.85984000000000005</v>
      </c>
    </row>
    <row r="2521" spans="1:7" ht="14.25" customHeight="1">
      <c r="A2521" s="2" t="s">
        <v>15</v>
      </c>
      <c r="B2521" s="2">
        <v>2014</v>
      </c>
      <c r="C2521" s="2" t="s">
        <v>62</v>
      </c>
      <c r="D2521" s="2">
        <v>594.76</v>
      </c>
      <c r="E2521" s="3">
        <f t="shared" si="18"/>
        <v>0.59475999999999996</v>
      </c>
      <c r="G2521" s="2">
        <f t="shared" si="19"/>
        <v>0.59475999999999996</v>
      </c>
    </row>
    <row r="2522" spans="1:7" ht="14.25" customHeight="1">
      <c r="A2522" s="2" t="s">
        <v>15</v>
      </c>
      <c r="B2522" s="2">
        <v>2015</v>
      </c>
      <c r="C2522" s="2" t="s">
        <v>62</v>
      </c>
      <c r="D2522" s="2">
        <v>324.49</v>
      </c>
      <c r="E2522" s="3">
        <f t="shared" si="18"/>
        <v>0.32449</v>
      </c>
      <c r="G2522" s="2">
        <f t="shared" si="19"/>
        <v>0.32449</v>
      </c>
    </row>
    <row r="2523" spans="1:7" ht="14.25" customHeight="1">
      <c r="A2523" s="2" t="s">
        <v>15</v>
      </c>
      <c r="B2523" s="2">
        <v>2016</v>
      </c>
      <c r="C2523" s="2" t="s">
        <v>62</v>
      </c>
      <c r="D2523" s="2">
        <v>805.93</v>
      </c>
      <c r="E2523" s="3">
        <f t="shared" si="18"/>
        <v>0.80592999999999992</v>
      </c>
      <c r="G2523" s="2">
        <f t="shared" si="19"/>
        <v>0.80592999999999992</v>
      </c>
    </row>
    <row r="2524" spans="1:7" ht="14.25" customHeight="1">
      <c r="A2524" s="2" t="s">
        <v>15</v>
      </c>
      <c r="B2524" s="2">
        <v>2017</v>
      </c>
      <c r="C2524" s="2" t="s">
        <v>62</v>
      </c>
      <c r="D2524" s="2">
        <v>570.36</v>
      </c>
      <c r="E2524" s="3">
        <f t="shared" si="18"/>
        <v>0.57035999999999998</v>
      </c>
      <c r="G2524" s="2">
        <f t="shared" si="19"/>
        <v>0.57035999999999998</v>
      </c>
    </row>
    <row r="2525" spans="1:7" ht="14.25" customHeight="1">
      <c r="A2525" s="2" t="s">
        <v>15</v>
      </c>
      <c r="B2525" s="2">
        <v>2018</v>
      </c>
      <c r="C2525" s="2" t="s">
        <v>62</v>
      </c>
      <c r="D2525" s="2">
        <v>1125.29</v>
      </c>
      <c r="E2525" s="3">
        <f t="shared" si="18"/>
        <v>1.1252899999999999</v>
      </c>
      <c r="G2525" s="2">
        <f t="shared" si="19"/>
        <v>1.1252899999999999</v>
      </c>
    </row>
    <row r="2526" spans="1:7" ht="14.25" customHeight="1">
      <c r="A2526" s="2" t="s">
        <v>15</v>
      </c>
      <c r="B2526" s="2">
        <v>1913</v>
      </c>
      <c r="C2526" s="2" t="s">
        <v>30</v>
      </c>
      <c r="D2526" s="2">
        <v>3742</v>
      </c>
      <c r="E2526" s="3">
        <f t="shared" si="18"/>
        <v>3.742</v>
      </c>
      <c r="G2526" s="2">
        <f t="shared" si="19"/>
        <v>3.742</v>
      </c>
    </row>
    <row r="2527" spans="1:7" ht="14.25" customHeight="1">
      <c r="A2527" s="2" t="s">
        <v>15</v>
      </c>
      <c r="B2527" s="2">
        <v>1919</v>
      </c>
      <c r="C2527" s="2" t="s">
        <v>30</v>
      </c>
      <c r="D2527" s="2">
        <v>1991</v>
      </c>
      <c r="E2527" s="3">
        <f t="shared" si="18"/>
        <v>1.9910000000000001</v>
      </c>
      <c r="G2527" s="2">
        <f t="shared" si="19"/>
        <v>1.9910000000000001</v>
      </c>
    </row>
    <row r="2528" spans="1:7" ht="14.25" customHeight="1">
      <c r="A2528" s="2" t="s">
        <v>15</v>
      </c>
      <c r="B2528" s="2">
        <v>1920</v>
      </c>
      <c r="C2528" s="2" t="s">
        <v>30</v>
      </c>
      <c r="D2528" s="2">
        <v>1917</v>
      </c>
      <c r="E2528" s="3">
        <f t="shared" si="18"/>
        <v>1.917</v>
      </c>
      <c r="G2528" s="2">
        <f t="shared" si="19"/>
        <v>1.917</v>
      </c>
    </row>
    <row r="2529" spans="1:7" ht="14.25" customHeight="1">
      <c r="A2529" s="2" t="s">
        <v>15</v>
      </c>
      <c r="B2529" s="2">
        <v>1921</v>
      </c>
      <c r="C2529" s="2" t="s">
        <v>30</v>
      </c>
      <c r="D2529" s="2">
        <v>1945</v>
      </c>
      <c r="E2529" s="3">
        <f t="shared" si="18"/>
        <v>1.9450000000000001</v>
      </c>
      <c r="G2529" s="2">
        <f t="shared" si="19"/>
        <v>1.9450000000000001</v>
      </c>
    </row>
    <row r="2530" spans="1:7" ht="14.25" customHeight="1">
      <c r="A2530" s="2" t="s">
        <v>15</v>
      </c>
      <c r="B2530" s="2">
        <v>1922</v>
      </c>
      <c r="C2530" s="2" t="s">
        <v>30</v>
      </c>
      <c r="D2530" s="2">
        <v>2150</v>
      </c>
      <c r="E2530" s="3">
        <f t="shared" si="18"/>
        <v>2.15</v>
      </c>
      <c r="G2530" s="2">
        <f t="shared" si="19"/>
        <v>2.15</v>
      </c>
    </row>
    <row r="2531" spans="1:7" ht="14.25" customHeight="1">
      <c r="A2531" s="2" t="s">
        <v>15</v>
      </c>
      <c r="B2531" s="2">
        <v>1923</v>
      </c>
      <c r="C2531" s="2" t="s">
        <v>30</v>
      </c>
      <c r="D2531" s="2">
        <v>2629</v>
      </c>
      <c r="E2531" s="3">
        <f t="shared" si="18"/>
        <v>2.629</v>
      </c>
      <c r="G2531" s="2">
        <f t="shared" si="19"/>
        <v>2.629</v>
      </c>
    </row>
    <row r="2532" spans="1:7" ht="14.25" customHeight="1">
      <c r="A2532" s="2" t="s">
        <v>15</v>
      </c>
      <c r="B2532" s="2">
        <v>1924</v>
      </c>
      <c r="C2532" s="2" t="s">
        <v>30</v>
      </c>
      <c r="D2532" s="2">
        <v>2897</v>
      </c>
      <c r="E2532" s="3">
        <f t="shared" si="18"/>
        <v>2.8969999999999998</v>
      </c>
      <c r="G2532" s="2">
        <f t="shared" si="19"/>
        <v>2.8969999999999998</v>
      </c>
    </row>
    <row r="2533" spans="1:7" ht="14.25" customHeight="1">
      <c r="A2533" s="2" t="s">
        <v>15</v>
      </c>
      <c r="B2533" s="2">
        <v>1925</v>
      </c>
      <c r="C2533" s="2" t="s">
        <v>30</v>
      </c>
      <c r="D2533" s="2">
        <v>2794</v>
      </c>
      <c r="E2533" s="3">
        <f t="shared" si="18"/>
        <v>2.794</v>
      </c>
      <c r="G2533" s="2">
        <f t="shared" si="19"/>
        <v>2.794</v>
      </c>
    </row>
    <row r="2534" spans="1:7" ht="14.25" customHeight="1">
      <c r="A2534" s="2" t="s">
        <v>15</v>
      </c>
      <c r="B2534" s="2">
        <v>1926</v>
      </c>
      <c r="C2534" s="2" t="s">
        <v>30</v>
      </c>
      <c r="D2534" s="2">
        <v>3115</v>
      </c>
      <c r="E2534" s="3">
        <f t="shared" si="18"/>
        <v>3.1150000000000002</v>
      </c>
      <c r="G2534" s="2">
        <f t="shared" si="19"/>
        <v>3.1150000000000002</v>
      </c>
    </row>
    <row r="2535" spans="1:7" ht="14.25" customHeight="1">
      <c r="A2535" s="2" t="s">
        <v>15</v>
      </c>
      <c r="B2535" s="2">
        <v>1927</v>
      </c>
      <c r="C2535" s="2" t="s">
        <v>30</v>
      </c>
      <c r="D2535" s="2">
        <v>2514</v>
      </c>
      <c r="E2535" s="3">
        <f t="shared" si="18"/>
        <v>2.5139999999999998</v>
      </c>
      <c r="G2535" s="2">
        <f t="shared" si="19"/>
        <v>2.5139999999999998</v>
      </c>
    </row>
    <row r="2536" spans="1:7" ht="14.25" customHeight="1">
      <c r="A2536" s="2" t="s">
        <v>15</v>
      </c>
      <c r="B2536" s="2">
        <v>1928</v>
      </c>
      <c r="C2536" s="2" t="s">
        <v>30</v>
      </c>
      <c r="D2536" s="2">
        <v>2709</v>
      </c>
      <c r="E2536" s="3">
        <f t="shared" si="18"/>
        <v>2.7090000000000001</v>
      </c>
      <c r="G2536" s="2">
        <f t="shared" si="19"/>
        <v>2.7090000000000001</v>
      </c>
    </row>
    <row r="2537" spans="1:7" ht="14.25" customHeight="1">
      <c r="A2537" s="2" t="s">
        <v>15</v>
      </c>
      <c r="B2537" s="2">
        <v>1929</v>
      </c>
      <c r="C2537" s="2" t="s">
        <v>30</v>
      </c>
      <c r="D2537" s="2">
        <v>2632</v>
      </c>
      <c r="E2537" s="3">
        <f t="shared" si="18"/>
        <v>2.6320000000000001</v>
      </c>
      <c r="G2537" s="2">
        <f t="shared" si="19"/>
        <v>2.6320000000000001</v>
      </c>
    </row>
    <row r="2538" spans="1:7" ht="14.25" customHeight="1">
      <c r="A2538" s="2" t="s">
        <v>15</v>
      </c>
      <c r="B2538" s="2">
        <v>1930</v>
      </c>
      <c r="C2538" s="2" t="s">
        <v>30</v>
      </c>
      <c r="D2538" s="2">
        <v>2694</v>
      </c>
      <c r="E2538" s="3">
        <f t="shared" si="18"/>
        <v>2.694</v>
      </c>
      <c r="G2538" s="2">
        <f t="shared" si="19"/>
        <v>2.694</v>
      </c>
    </row>
    <row r="2539" spans="1:7" ht="14.25" customHeight="1">
      <c r="A2539" s="2" t="s">
        <v>15</v>
      </c>
      <c r="B2539" s="2">
        <v>1931</v>
      </c>
      <c r="C2539" s="2" t="s">
        <v>30</v>
      </c>
      <c r="D2539" s="2">
        <v>2417</v>
      </c>
      <c r="E2539" s="3">
        <f t="shared" si="18"/>
        <v>2.4169999999999998</v>
      </c>
      <c r="G2539" s="2">
        <f t="shared" si="19"/>
        <v>2.4169999999999998</v>
      </c>
    </row>
    <row r="2540" spans="1:7" ht="14.25" customHeight="1">
      <c r="A2540" s="2" t="s">
        <v>15</v>
      </c>
      <c r="B2540" s="2">
        <v>1932</v>
      </c>
      <c r="C2540" s="2" t="s">
        <v>30</v>
      </c>
      <c r="D2540" s="2">
        <v>1690</v>
      </c>
      <c r="E2540" s="3">
        <f t="shared" si="18"/>
        <v>1.69</v>
      </c>
      <c r="G2540" s="2">
        <f t="shared" si="19"/>
        <v>1.69</v>
      </c>
    </row>
    <row r="2541" spans="1:7" ht="14.25" customHeight="1">
      <c r="A2541" s="2" t="s">
        <v>15</v>
      </c>
      <c r="B2541" s="2">
        <v>1933</v>
      </c>
      <c r="C2541" s="2" t="s">
        <v>30</v>
      </c>
      <c r="D2541" s="2">
        <v>2251</v>
      </c>
      <c r="E2541" s="3">
        <f t="shared" si="18"/>
        <v>2.2509999999999999</v>
      </c>
      <c r="G2541" s="2">
        <f t="shared" si="19"/>
        <v>2.2509999999999999</v>
      </c>
    </row>
    <row r="2542" spans="1:7" ht="14.25" customHeight="1">
      <c r="A2542" s="2" t="s">
        <v>15</v>
      </c>
      <c r="B2542" s="2">
        <v>1934</v>
      </c>
      <c r="C2542" s="2" t="s">
        <v>30</v>
      </c>
      <c r="D2542" s="2">
        <v>2399</v>
      </c>
      <c r="E2542" s="3">
        <f t="shared" si="18"/>
        <v>2.399</v>
      </c>
      <c r="G2542" s="2">
        <f t="shared" si="19"/>
        <v>2.399</v>
      </c>
    </row>
    <row r="2543" spans="1:7" ht="14.25" customHeight="1">
      <c r="A2543" s="2" t="s">
        <v>15</v>
      </c>
      <c r="B2543" s="2">
        <v>1935</v>
      </c>
      <c r="C2543" s="2" t="s">
        <v>30</v>
      </c>
      <c r="D2543" s="2">
        <v>2034</v>
      </c>
      <c r="E2543" s="3">
        <f t="shared" si="18"/>
        <v>2.0339999999999998</v>
      </c>
      <c r="G2543" s="2">
        <f t="shared" si="19"/>
        <v>2.0339999999999998</v>
      </c>
    </row>
    <row r="2544" spans="1:7" ht="14.25" customHeight="1">
      <c r="A2544" s="2" t="s">
        <v>15</v>
      </c>
      <c r="B2544" s="2">
        <v>1936</v>
      </c>
      <c r="C2544" s="2" t="s">
        <v>30</v>
      </c>
      <c r="D2544" s="2">
        <v>1989</v>
      </c>
      <c r="E2544" s="3">
        <f t="shared" si="18"/>
        <v>1.9890000000000001</v>
      </c>
      <c r="G2544" s="2">
        <f t="shared" si="19"/>
        <v>1.9890000000000001</v>
      </c>
    </row>
    <row r="2545" spans="1:7" ht="14.25" customHeight="1">
      <c r="A2545" s="2" t="s">
        <v>15</v>
      </c>
      <c r="B2545" s="2">
        <v>1937</v>
      </c>
      <c r="C2545" s="2" t="s">
        <v>30</v>
      </c>
      <c r="D2545" s="2">
        <v>2776</v>
      </c>
      <c r="E2545" s="3">
        <f t="shared" si="18"/>
        <v>2.7759999999999998</v>
      </c>
      <c r="G2545" s="2">
        <f t="shared" si="19"/>
        <v>2.7759999999999998</v>
      </c>
    </row>
    <row r="2546" spans="1:7" ht="14.25" customHeight="1">
      <c r="A2546" s="2" t="s">
        <v>15</v>
      </c>
      <c r="B2546" s="2">
        <v>1938</v>
      </c>
      <c r="C2546" s="2" t="s">
        <v>30</v>
      </c>
      <c r="D2546" s="2">
        <v>2417</v>
      </c>
      <c r="E2546" s="3">
        <f t="shared" si="18"/>
        <v>2.4169999999999998</v>
      </c>
      <c r="G2546" s="2">
        <f t="shared" si="19"/>
        <v>2.4169999999999998</v>
      </c>
    </row>
    <row r="2547" spans="1:7" ht="14.25" customHeight="1">
      <c r="A2547" s="2" t="s">
        <v>15</v>
      </c>
      <c r="B2547" s="2">
        <v>1939</v>
      </c>
      <c r="C2547" s="2" t="s">
        <v>30</v>
      </c>
      <c r="D2547" s="2">
        <v>1943</v>
      </c>
      <c r="E2547" s="3">
        <f t="shared" si="18"/>
        <v>1.9430000000000001</v>
      </c>
      <c r="G2547" s="2">
        <f t="shared" si="19"/>
        <v>1.9430000000000001</v>
      </c>
    </row>
    <row r="2548" spans="1:7" ht="14.25" customHeight="1">
      <c r="A2548" s="2" t="s">
        <v>15</v>
      </c>
      <c r="B2548" s="2">
        <v>1940</v>
      </c>
      <c r="C2548" s="2" t="s">
        <v>30</v>
      </c>
      <c r="D2548" s="2">
        <v>1796</v>
      </c>
      <c r="E2548" s="3">
        <f t="shared" si="18"/>
        <v>1.796</v>
      </c>
      <c r="G2548" s="2">
        <f t="shared" si="19"/>
        <v>1.796</v>
      </c>
    </row>
    <row r="2549" spans="1:7" ht="14.25" customHeight="1">
      <c r="A2549" s="2" t="s">
        <v>15</v>
      </c>
      <c r="B2549" s="2">
        <v>1941</v>
      </c>
      <c r="C2549" s="2" t="s">
        <v>30</v>
      </c>
      <c r="D2549" s="2">
        <v>2020</v>
      </c>
      <c r="E2549" s="3">
        <f t="shared" si="18"/>
        <v>2.02</v>
      </c>
      <c r="G2549" s="2">
        <f t="shared" si="19"/>
        <v>2.02</v>
      </c>
    </row>
    <row r="2550" spans="1:7" ht="14.25" customHeight="1">
      <c r="A2550" s="2" t="s">
        <v>15</v>
      </c>
      <c r="B2550" s="2">
        <v>1942</v>
      </c>
      <c r="C2550" s="2" t="s">
        <v>30</v>
      </c>
      <c r="D2550" s="2">
        <v>1654</v>
      </c>
      <c r="E2550" s="3">
        <f t="shared" si="18"/>
        <v>1.6539999999999999</v>
      </c>
      <c r="G2550" s="2">
        <f t="shared" si="19"/>
        <v>1.6539999999999999</v>
      </c>
    </row>
    <row r="2551" spans="1:7" ht="14.25" customHeight="1">
      <c r="A2551" s="2" t="s">
        <v>15</v>
      </c>
      <c r="B2551" s="2">
        <v>1943</v>
      </c>
      <c r="C2551" s="2" t="s">
        <v>30</v>
      </c>
      <c r="D2551" s="2">
        <v>1156</v>
      </c>
      <c r="E2551" s="3">
        <f t="shared" si="18"/>
        <v>1.1559999999999999</v>
      </c>
      <c r="G2551" s="2">
        <f t="shared" si="19"/>
        <v>1.1559999999999999</v>
      </c>
    </row>
    <row r="2552" spans="1:7" ht="14.25" customHeight="1">
      <c r="A2552" s="2" t="s">
        <v>15</v>
      </c>
      <c r="B2552" s="2">
        <v>1944</v>
      </c>
      <c r="C2552" s="2" t="s">
        <v>30</v>
      </c>
      <c r="D2552" s="2">
        <v>894</v>
      </c>
      <c r="E2552" s="3">
        <f t="shared" ref="E2552:E2806" si="25">D2552/1000</f>
        <v>0.89400000000000002</v>
      </c>
      <c r="G2552" s="2">
        <f t="shared" ref="G2552:G2806" si="26">E2552+F2552</f>
        <v>0.89400000000000002</v>
      </c>
    </row>
    <row r="2553" spans="1:7" ht="14.25" customHeight="1">
      <c r="A2553" s="2" t="s">
        <v>15</v>
      </c>
      <c r="B2553" s="2">
        <v>1945</v>
      </c>
      <c r="C2553" s="2" t="s">
        <v>30</v>
      </c>
      <c r="D2553" s="2">
        <v>1412</v>
      </c>
      <c r="E2553" s="3">
        <f t="shared" si="25"/>
        <v>1.4119999999999999</v>
      </c>
      <c r="G2553" s="2">
        <f t="shared" si="26"/>
        <v>1.4119999999999999</v>
      </c>
    </row>
    <row r="2554" spans="1:7" ht="14.25" customHeight="1">
      <c r="A2554" s="2" t="s">
        <v>15</v>
      </c>
      <c r="B2554" s="2">
        <v>1946</v>
      </c>
      <c r="C2554" s="2" t="s">
        <v>30</v>
      </c>
      <c r="D2554" s="2">
        <v>1656</v>
      </c>
      <c r="E2554" s="3">
        <f t="shared" si="25"/>
        <v>1.6559999999999999</v>
      </c>
      <c r="G2554" s="2">
        <f t="shared" si="26"/>
        <v>1.6559999999999999</v>
      </c>
    </row>
    <row r="2555" spans="1:7" ht="14.25" customHeight="1">
      <c r="A2555" s="2" t="s">
        <v>15</v>
      </c>
      <c r="B2555" s="2">
        <v>1947</v>
      </c>
      <c r="C2555" s="2" t="s">
        <v>30</v>
      </c>
      <c r="D2555" s="2">
        <v>2206</v>
      </c>
      <c r="E2555" s="3">
        <f t="shared" si="25"/>
        <v>2.206</v>
      </c>
      <c r="G2555" s="2">
        <f t="shared" si="26"/>
        <v>2.206</v>
      </c>
    </row>
    <row r="2556" spans="1:7" ht="14.25" customHeight="1">
      <c r="A2556" s="2" t="s">
        <v>15</v>
      </c>
      <c r="B2556" s="2">
        <v>1948</v>
      </c>
      <c r="C2556" s="2" t="s">
        <v>30</v>
      </c>
      <c r="D2556" s="2">
        <v>2594</v>
      </c>
      <c r="E2556" s="3">
        <f t="shared" si="25"/>
        <v>2.5939999999999999</v>
      </c>
      <c r="G2556" s="2">
        <f t="shared" si="26"/>
        <v>2.5939999999999999</v>
      </c>
    </row>
    <row r="2557" spans="1:7" ht="14.25" customHeight="1">
      <c r="A2557" s="2" t="s">
        <v>15</v>
      </c>
      <c r="B2557" s="2">
        <v>1949</v>
      </c>
      <c r="C2557" s="2" t="s">
        <v>30</v>
      </c>
      <c r="D2557" s="2">
        <v>1962</v>
      </c>
      <c r="E2557" s="3">
        <f t="shared" si="25"/>
        <v>1.962</v>
      </c>
      <c r="G2557" s="2">
        <f t="shared" si="26"/>
        <v>1.962</v>
      </c>
    </row>
    <row r="2558" spans="1:7" ht="14.25" customHeight="1">
      <c r="A2558" s="2" t="s">
        <v>15</v>
      </c>
      <c r="B2558" s="2">
        <v>1950</v>
      </c>
      <c r="C2558" s="2" t="s">
        <v>30</v>
      </c>
      <c r="D2558" s="2">
        <v>1385</v>
      </c>
      <c r="E2558" s="3">
        <f t="shared" si="25"/>
        <v>1.385</v>
      </c>
      <c r="G2558" s="2">
        <f t="shared" si="26"/>
        <v>1.385</v>
      </c>
    </row>
    <row r="2559" spans="1:7" ht="14.25" customHeight="1">
      <c r="A2559" s="2" t="s">
        <v>15</v>
      </c>
      <c r="B2559" s="2">
        <v>1951</v>
      </c>
      <c r="C2559" s="2" t="s">
        <v>30</v>
      </c>
      <c r="D2559" s="2">
        <v>2106</v>
      </c>
      <c r="E2559" s="3">
        <f t="shared" si="25"/>
        <v>2.1059999999999999</v>
      </c>
      <c r="G2559" s="2">
        <f t="shared" si="26"/>
        <v>2.1059999999999999</v>
      </c>
    </row>
    <row r="2560" spans="1:7" ht="14.25" customHeight="1">
      <c r="A2560" s="2" t="s">
        <v>15</v>
      </c>
      <c r="B2560" s="2">
        <v>1952</v>
      </c>
      <c r="C2560" s="2" t="s">
        <v>30</v>
      </c>
      <c r="D2560" s="2">
        <v>1719</v>
      </c>
      <c r="E2560" s="3">
        <f t="shared" si="25"/>
        <v>1.7190000000000001</v>
      </c>
      <c r="G2560" s="2">
        <f t="shared" si="26"/>
        <v>1.7190000000000001</v>
      </c>
    </row>
    <row r="2561" spans="1:7" ht="14.25" customHeight="1">
      <c r="A2561" s="2" t="s">
        <v>15</v>
      </c>
      <c r="B2561" s="2">
        <v>1953</v>
      </c>
      <c r="C2561" s="2" t="s">
        <v>30</v>
      </c>
      <c r="D2561" s="2">
        <v>1891</v>
      </c>
      <c r="E2561" s="3">
        <f t="shared" si="25"/>
        <v>1.891</v>
      </c>
      <c r="G2561" s="2">
        <f t="shared" si="26"/>
        <v>1.891</v>
      </c>
    </row>
    <row r="2562" spans="1:7" ht="14.25" customHeight="1">
      <c r="A2562" s="2" t="s">
        <v>15</v>
      </c>
      <c r="B2562" s="2">
        <v>1954</v>
      </c>
      <c r="C2562" s="2" t="s">
        <v>30</v>
      </c>
      <c r="D2562" s="2">
        <v>1832</v>
      </c>
      <c r="E2562" s="3">
        <f t="shared" si="25"/>
        <v>1.8320000000000001</v>
      </c>
      <c r="G2562" s="2">
        <f t="shared" si="26"/>
        <v>1.8320000000000001</v>
      </c>
    </row>
    <row r="2563" spans="1:7" ht="14.25" customHeight="1">
      <c r="A2563" s="2" t="s">
        <v>15</v>
      </c>
      <c r="B2563" s="2">
        <v>1955</v>
      </c>
      <c r="C2563" s="2" t="s">
        <v>30</v>
      </c>
      <c r="D2563" s="2">
        <v>2303</v>
      </c>
      <c r="E2563" s="3">
        <f t="shared" si="25"/>
        <v>2.3029999999999999</v>
      </c>
      <c r="G2563" s="2">
        <f t="shared" si="26"/>
        <v>2.3029999999999999</v>
      </c>
    </row>
    <row r="2564" spans="1:7" ht="14.25" customHeight="1">
      <c r="A2564" s="2" t="s">
        <v>15</v>
      </c>
      <c r="B2564" s="2">
        <v>1956</v>
      </c>
      <c r="C2564" s="2" t="s">
        <v>30</v>
      </c>
      <c r="D2564" s="2">
        <v>2097</v>
      </c>
      <c r="E2564" s="3">
        <f t="shared" si="25"/>
        <v>2.097</v>
      </c>
      <c r="G2564" s="2">
        <f t="shared" si="26"/>
        <v>2.097</v>
      </c>
    </row>
    <row r="2565" spans="1:7" ht="14.25" customHeight="1">
      <c r="A2565" s="2" t="s">
        <v>15</v>
      </c>
      <c r="B2565" s="2">
        <v>1957</v>
      </c>
      <c r="C2565" s="2" t="s">
        <v>30</v>
      </c>
      <c r="D2565" s="2">
        <v>2287</v>
      </c>
      <c r="E2565" s="3">
        <f t="shared" si="25"/>
        <v>2.2869999999999999</v>
      </c>
      <c r="G2565" s="2">
        <f t="shared" si="26"/>
        <v>2.2869999999999999</v>
      </c>
    </row>
    <row r="2566" spans="1:7" ht="14.25" customHeight="1">
      <c r="A2566" s="2" t="s">
        <v>15</v>
      </c>
      <c r="B2566" s="2">
        <v>1958</v>
      </c>
      <c r="C2566" s="2" t="s">
        <v>30</v>
      </c>
      <c r="D2566" s="2">
        <v>2022</v>
      </c>
      <c r="E2566" s="3">
        <f t="shared" si="25"/>
        <v>2.0219999999999998</v>
      </c>
      <c r="G2566" s="2">
        <f t="shared" si="26"/>
        <v>2.0219999999999998</v>
      </c>
    </row>
    <row r="2567" spans="1:7" ht="14.25" customHeight="1">
      <c r="A2567" s="2" t="s">
        <v>15</v>
      </c>
      <c r="B2567" s="2">
        <v>1959</v>
      </c>
      <c r="C2567" s="2" t="s">
        <v>30</v>
      </c>
      <c r="D2567" s="2">
        <v>1829</v>
      </c>
      <c r="E2567" s="3">
        <f t="shared" si="25"/>
        <v>1.829</v>
      </c>
      <c r="G2567" s="2">
        <f t="shared" si="26"/>
        <v>1.829</v>
      </c>
    </row>
    <row r="2568" spans="1:7" ht="14.25" customHeight="1">
      <c r="A2568" s="2" t="s">
        <v>15</v>
      </c>
      <c r="B2568" s="2">
        <v>1960</v>
      </c>
      <c r="C2568" s="2" t="s">
        <v>30</v>
      </c>
      <c r="D2568" s="2">
        <v>1568</v>
      </c>
      <c r="E2568" s="3">
        <f t="shared" si="25"/>
        <v>1.5680000000000001</v>
      </c>
      <c r="G2568" s="2">
        <f t="shared" si="26"/>
        <v>1.5680000000000001</v>
      </c>
    </row>
    <row r="2569" spans="1:7" ht="14.25" customHeight="1">
      <c r="A2569" s="2" t="s">
        <v>15</v>
      </c>
      <c r="B2569" s="2">
        <v>1961</v>
      </c>
      <c r="C2569" s="2" t="s">
        <v>30</v>
      </c>
      <c r="D2569" s="2">
        <v>1082</v>
      </c>
      <c r="E2569" s="3">
        <f t="shared" si="25"/>
        <v>1.0820000000000001</v>
      </c>
      <c r="G2569" s="2">
        <f t="shared" si="26"/>
        <v>1.0820000000000001</v>
      </c>
    </row>
    <row r="2570" spans="1:7" ht="14.25" customHeight="1">
      <c r="A2570" s="2" t="s">
        <v>15</v>
      </c>
      <c r="B2570" s="2">
        <v>1962</v>
      </c>
      <c r="C2570" s="2" t="s">
        <v>30</v>
      </c>
      <c r="D2570" s="2">
        <v>1179</v>
      </c>
      <c r="E2570" s="3">
        <f t="shared" si="25"/>
        <v>1.179</v>
      </c>
      <c r="G2570" s="2">
        <f t="shared" si="26"/>
        <v>1.179</v>
      </c>
    </row>
    <row r="2571" spans="1:7" ht="14.25" customHeight="1">
      <c r="A2571" s="2" t="s">
        <v>15</v>
      </c>
      <c r="B2571" s="2">
        <v>1963</v>
      </c>
      <c r="C2571" s="2" t="s">
        <v>30</v>
      </c>
      <c r="D2571" s="2">
        <v>1529</v>
      </c>
      <c r="E2571" s="3">
        <f t="shared" si="25"/>
        <v>1.5289999999999999</v>
      </c>
      <c r="G2571" s="2">
        <f t="shared" si="26"/>
        <v>1.5289999999999999</v>
      </c>
    </row>
    <row r="2572" spans="1:7" ht="14.25" customHeight="1">
      <c r="A2572" s="2" t="s">
        <v>15</v>
      </c>
      <c r="B2572" s="2">
        <v>1964</v>
      </c>
      <c r="C2572" s="2" t="s">
        <v>30</v>
      </c>
      <c r="D2572" s="2">
        <v>1760</v>
      </c>
      <c r="E2572" s="3">
        <f t="shared" si="25"/>
        <v>1.76</v>
      </c>
      <c r="G2572" s="2">
        <f t="shared" si="26"/>
        <v>1.76</v>
      </c>
    </row>
    <row r="2573" spans="1:7" ht="14.25" customHeight="1">
      <c r="A2573" s="2" t="s">
        <v>15</v>
      </c>
      <c r="B2573" s="2">
        <v>1965</v>
      </c>
      <c r="C2573" s="2" t="s">
        <v>30</v>
      </c>
      <c r="D2573" s="2">
        <v>1454</v>
      </c>
      <c r="E2573" s="3">
        <f t="shared" si="25"/>
        <v>1.454</v>
      </c>
      <c r="G2573" s="2">
        <f t="shared" si="26"/>
        <v>1.454</v>
      </c>
    </row>
    <row r="2574" spans="1:7" ht="14.25" customHeight="1">
      <c r="A2574" s="2" t="s">
        <v>15</v>
      </c>
      <c r="B2574" s="2">
        <v>1966</v>
      </c>
      <c r="C2574" s="2" t="s">
        <v>30</v>
      </c>
      <c r="D2574" s="2">
        <v>1496</v>
      </c>
      <c r="E2574" s="3">
        <f t="shared" si="25"/>
        <v>1.496</v>
      </c>
      <c r="G2574" s="2">
        <f t="shared" si="26"/>
        <v>1.496</v>
      </c>
    </row>
    <row r="2575" spans="1:7" ht="14.25" customHeight="1">
      <c r="A2575" s="2" t="s">
        <v>15</v>
      </c>
      <c r="B2575" s="2">
        <v>1967</v>
      </c>
      <c r="C2575" s="2" t="s">
        <v>30</v>
      </c>
      <c r="D2575" s="2">
        <v>1512</v>
      </c>
      <c r="E2575" s="3">
        <f t="shared" si="25"/>
        <v>1.512</v>
      </c>
      <c r="G2575" s="2">
        <f t="shared" si="26"/>
        <v>1.512</v>
      </c>
    </row>
    <row r="2576" spans="1:7" ht="14.25" customHeight="1">
      <c r="A2576" s="2" t="s">
        <v>15</v>
      </c>
      <c r="B2576" s="2">
        <v>1968</v>
      </c>
      <c r="C2576" s="2" t="s">
        <v>30</v>
      </c>
      <c r="D2576" s="2">
        <v>1338</v>
      </c>
      <c r="E2576" s="3">
        <f t="shared" si="25"/>
        <v>1.3380000000000001</v>
      </c>
      <c r="G2576" s="2">
        <f t="shared" si="26"/>
        <v>1.3380000000000001</v>
      </c>
    </row>
    <row r="2577" spans="1:7" ht="14.25" customHeight="1">
      <c r="A2577" s="2" t="s">
        <v>15</v>
      </c>
      <c r="B2577" s="2">
        <v>1969</v>
      </c>
      <c r="C2577" s="2" t="s">
        <v>30</v>
      </c>
      <c r="D2577" s="2">
        <v>1262</v>
      </c>
      <c r="E2577" s="3">
        <f t="shared" si="25"/>
        <v>1.262</v>
      </c>
      <c r="G2577" s="2">
        <f t="shared" si="26"/>
        <v>1.262</v>
      </c>
    </row>
    <row r="2578" spans="1:7" ht="14.25" customHeight="1">
      <c r="A2578" s="2" t="s">
        <v>15</v>
      </c>
      <c r="B2578" s="2">
        <v>1970</v>
      </c>
      <c r="C2578" s="2" t="s">
        <v>30</v>
      </c>
      <c r="D2578" s="2">
        <v>1294</v>
      </c>
      <c r="E2578" s="3">
        <f t="shared" si="25"/>
        <v>1.294</v>
      </c>
      <c r="G2578" s="2">
        <f t="shared" si="26"/>
        <v>1.294</v>
      </c>
    </row>
    <row r="2579" spans="1:7" ht="14.25" customHeight="1">
      <c r="A2579" s="2" t="s">
        <v>15</v>
      </c>
      <c r="B2579" s="2">
        <v>1971</v>
      </c>
      <c r="C2579" s="2" t="s">
        <v>30</v>
      </c>
      <c r="D2579" s="2">
        <v>1219</v>
      </c>
      <c r="E2579" s="3">
        <f t="shared" si="25"/>
        <v>1.2190000000000001</v>
      </c>
      <c r="G2579" s="2">
        <f t="shared" si="26"/>
        <v>1.2190000000000001</v>
      </c>
    </row>
    <row r="2580" spans="1:7" ht="14.25" customHeight="1">
      <c r="A2580" s="2" t="s">
        <v>15</v>
      </c>
      <c r="B2580" s="2">
        <v>1972</v>
      </c>
      <c r="C2580" s="2" t="s">
        <v>30</v>
      </c>
      <c r="D2580" s="2">
        <v>30</v>
      </c>
      <c r="E2580" s="3">
        <f t="shared" si="25"/>
        <v>0.03</v>
      </c>
      <c r="G2580" s="2">
        <f t="shared" si="26"/>
        <v>0.03</v>
      </c>
    </row>
    <row r="2581" spans="1:7" ht="14.25" customHeight="1">
      <c r="A2581" s="2" t="s">
        <v>15</v>
      </c>
      <c r="B2581" s="2">
        <v>1973</v>
      </c>
      <c r="C2581" s="2" t="s">
        <v>30</v>
      </c>
      <c r="D2581" s="2">
        <v>11</v>
      </c>
      <c r="E2581" s="3">
        <f t="shared" si="25"/>
        <v>1.0999999999999999E-2</v>
      </c>
      <c r="G2581" s="2">
        <f t="shared" si="26"/>
        <v>1.0999999999999999E-2</v>
      </c>
    </row>
    <row r="2582" spans="1:7" ht="14.25" customHeight="1">
      <c r="A2582" s="2" t="s">
        <v>15</v>
      </c>
      <c r="B2582" s="2">
        <v>1974</v>
      </c>
      <c r="C2582" s="2" t="s">
        <v>30</v>
      </c>
      <c r="D2582" s="2">
        <v>14</v>
      </c>
      <c r="E2582" s="3">
        <f t="shared" si="25"/>
        <v>1.4E-2</v>
      </c>
      <c r="G2582" s="2">
        <f t="shared" si="26"/>
        <v>1.4E-2</v>
      </c>
    </row>
    <row r="2583" spans="1:7" ht="14.25" customHeight="1">
      <c r="A2583" s="2" t="s">
        <v>15</v>
      </c>
      <c r="B2583" s="2">
        <v>1975</v>
      </c>
      <c r="C2583" s="2" t="s">
        <v>30</v>
      </c>
      <c r="D2583" s="2">
        <v>15</v>
      </c>
      <c r="E2583" s="3">
        <f t="shared" si="25"/>
        <v>1.4999999999999999E-2</v>
      </c>
      <c r="G2583" s="2">
        <f t="shared" si="26"/>
        <v>1.4999999999999999E-2</v>
      </c>
    </row>
    <row r="2584" spans="1:7" ht="14.25" customHeight="1">
      <c r="A2584" s="2" t="s">
        <v>15</v>
      </c>
      <c r="B2584" s="2">
        <v>1976</v>
      </c>
      <c r="C2584" s="2" t="s">
        <v>30</v>
      </c>
      <c r="D2584" s="2">
        <v>22</v>
      </c>
      <c r="E2584" s="3">
        <f t="shared" si="25"/>
        <v>2.1999999999999999E-2</v>
      </c>
      <c r="G2584" s="2">
        <f t="shared" si="26"/>
        <v>2.1999999999999999E-2</v>
      </c>
    </row>
    <row r="2585" spans="1:7" ht="14.25" customHeight="1">
      <c r="A2585" s="2" t="s">
        <v>15</v>
      </c>
      <c r="B2585" s="2">
        <v>1977</v>
      </c>
      <c r="C2585" s="2" t="s">
        <v>30</v>
      </c>
      <c r="D2585" s="2">
        <v>26</v>
      </c>
      <c r="E2585" s="3">
        <f t="shared" si="25"/>
        <v>2.5999999999999999E-2</v>
      </c>
      <c r="G2585" s="2">
        <f t="shared" si="26"/>
        <v>2.5999999999999999E-2</v>
      </c>
    </row>
    <row r="2586" spans="1:7" ht="14.25" customHeight="1">
      <c r="A2586" s="2" t="s">
        <v>15</v>
      </c>
      <c r="B2586" s="2">
        <v>1978</v>
      </c>
      <c r="C2586" s="2" t="s">
        <v>30</v>
      </c>
      <c r="D2586" s="2">
        <v>21</v>
      </c>
      <c r="E2586" s="3">
        <f t="shared" si="25"/>
        <v>2.1000000000000001E-2</v>
      </c>
      <c r="G2586" s="2">
        <f t="shared" si="26"/>
        <v>2.1000000000000001E-2</v>
      </c>
    </row>
    <row r="2587" spans="1:7" ht="14.25" customHeight="1">
      <c r="A2587" s="2" t="s">
        <v>15</v>
      </c>
      <c r="B2587" s="2">
        <v>1979</v>
      </c>
      <c r="C2587" s="2" t="s">
        <v>30</v>
      </c>
      <c r="D2587" s="2">
        <v>44</v>
      </c>
      <c r="E2587" s="3">
        <f t="shared" si="25"/>
        <v>4.3999999999999997E-2</v>
      </c>
      <c r="G2587" s="2">
        <f t="shared" si="26"/>
        <v>4.3999999999999997E-2</v>
      </c>
    </row>
    <row r="2588" spans="1:7" ht="14.25" customHeight="1">
      <c r="A2588" s="2" t="s">
        <v>15</v>
      </c>
      <c r="B2588" s="2">
        <v>1980</v>
      </c>
      <c r="C2588" s="2" t="s">
        <v>30</v>
      </c>
      <c r="D2588" s="2">
        <v>32</v>
      </c>
      <c r="E2588" s="3">
        <f t="shared" si="25"/>
        <v>3.2000000000000001E-2</v>
      </c>
      <c r="G2588" s="2">
        <f t="shared" si="26"/>
        <v>3.2000000000000001E-2</v>
      </c>
    </row>
    <row r="2589" spans="1:7" ht="14.25" customHeight="1">
      <c r="A2589" s="2" t="s">
        <v>15</v>
      </c>
      <c r="B2589" s="2">
        <v>1981</v>
      </c>
      <c r="C2589" s="2" t="s">
        <v>30</v>
      </c>
      <c r="D2589" s="2">
        <v>25</v>
      </c>
      <c r="E2589" s="3">
        <f t="shared" si="25"/>
        <v>2.5000000000000001E-2</v>
      </c>
      <c r="G2589" s="2">
        <f t="shared" si="26"/>
        <v>2.5000000000000001E-2</v>
      </c>
    </row>
    <row r="2590" spans="1:7" ht="14.25" customHeight="1">
      <c r="A2590" s="2" t="s">
        <v>15</v>
      </c>
      <c r="B2590" s="2">
        <v>1982</v>
      </c>
      <c r="C2590" s="2" t="s">
        <v>30</v>
      </c>
      <c r="D2590" s="2">
        <v>32</v>
      </c>
      <c r="E2590" s="3">
        <f t="shared" si="25"/>
        <v>3.2000000000000001E-2</v>
      </c>
      <c r="G2590" s="2">
        <f t="shared" si="26"/>
        <v>3.2000000000000001E-2</v>
      </c>
    </row>
    <row r="2591" spans="1:7" ht="14.25" customHeight="1">
      <c r="A2591" s="2" t="s">
        <v>15</v>
      </c>
      <c r="B2591" s="2">
        <v>1983</v>
      </c>
      <c r="C2591" s="2" t="s">
        <v>30</v>
      </c>
      <c r="D2591" s="2">
        <v>760</v>
      </c>
      <c r="E2591" s="3">
        <f t="shared" si="25"/>
        <v>0.76</v>
      </c>
      <c r="G2591" s="2">
        <f t="shared" si="26"/>
        <v>0.76</v>
      </c>
    </row>
    <row r="2592" spans="1:7" ht="14.25" customHeight="1">
      <c r="A2592" s="2" t="s">
        <v>15</v>
      </c>
      <c r="B2592" s="2">
        <v>1984</v>
      </c>
      <c r="C2592" s="2" t="s">
        <v>30</v>
      </c>
      <c r="D2592" s="2">
        <v>408</v>
      </c>
      <c r="E2592" s="3">
        <f t="shared" si="25"/>
        <v>0.40799999999999997</v>
      </c>
      <c r="G2592" s="2">
        <f t="shared" si="26"/>
        <v>0.40799999999999997</v>
      </c>
    </row>
    <row r="2593" spans="1:7" ht="14.25" customHeight="1">
      <c r="A2593" s="2" t="s">
        <v>15</v>
      </c>
      <c r="B2593" s="2">
        <v>1985</v>
      </c>
      <c r="C2593" s="2" t="s">
        <v>30</v>
      </c>
      <c r="D2593" s="2">
        <v>435</v>
      </c>
      <c r="E2593" s="3">
        <f t="shared" si="25"/>
        <v>0.435</v>
      </c>
      <c r="G2593" s="2">
        <f t="shared" si="26"/>
        <v>0.435</v>
      </c>
    </row>
    <row r="2594" spans="1:7" ht="14.25" customHeight="1">
      <c r="A2594" s="2" t="s">
        <v>15</v>
      </c>
      <c r="B2594" s="2">
        <v>1986</v>
      </c>
      <c r="C2594" s="2" t="s">
        <v>30</v>
      </c>
      <c r="D2594" s="2">
        <v>973</v>
      </c>
      <c r="E2594" s="3">
        <f t="shared" si="25"/>
        <v>0.97299999999999998</v>
      </c>
      <c r="G2594" s="2">
        <f t="shared" si="26"/>
        <v>0.97299999999999998</v>
      </c>
    </row>
    <row r="2595" spans="1:7" ht="14.25" customHeight="1">
      <c r="A2595" s="2" t="s">
        <v>15</v>
      </c>
      <c r="B2595" s="2">
        <v>1987</v>
      </c>
      <c r="C2595" s="2" t="s">
        <v>30</v>
      </c>
      <c r="D2595" s="2">
        <v>2032</v>
      </c>
      <c r="E2595" s="3">
        <f t="shared" si="25"/>
        <v>2.032</v>
      </c>
      <c r="G2595" s="2">
        <f t="shared" si="26"/>
        <v>2.032</v>
      </c>
    </row>
    <row r="2596" spans="1:7" ht="14.25" customHeight="1">
      <c r="A2596" s="2" t="s">
        <v>15</v>
      </c>
      <c r="B2596" s="2">
        <v>1988</v>
      </c>
      <c r="C2596" s="2" t="s">
        <v>30</v>
      </c>
      <c r="D2596" s="2">
        <v>1192</v>
      </c>
      <c r="E2596" s="3">
        <f t="shared" si="25"/>
        <v>1.1919999999999999</v>
      </c>
      <c r="G2596" s="2">
        <f t="shared" si="26"/>
        <v>1.1919999999999999</v>
      </c>
    </row>
    <row r="2597" spans="1:7" ht="14.25" customHeight="1">
      <c r="A2597" s="2" t="s">
        <v>15</v>
      </c>
      <c r="B2597" s="2">
        <v>1989</v>
      </c>
      <c r="C2597" s="2" t="s">
        <v>30</v>
      </c>
      <c r="D2597" s="2">
        <v>1049</v>
      </c>
      <c r="E2597" s="3">
        <f t="shared" si="25"/>
        <v>1.0489999999999999</v>
      </c>
      <c r="G2597" s="2">
        <f t="shared" si="26"/>
        <v>1.0489999999999999</v>
      </c>
    </row>
    <row r="2598" spans="1:7" ht="14.25" customHeight="1">
      <c r="A2598" s="2" t="s">
        <v>15</v>
      </c>
      <c r="B2598" s="2">
        <v>1990</v>
      </c>
      <c r="C2598" s="2" t="s">
        <v>30</v>
      </c>
      <c r="D2598" s="2">
        <v>714</v>
      </c>
      <c r="E2598" s="3">
        <f t="shared" si="25"/>
        <v>0.71399999999999997</v>
      </c>
      <c r="G2598" s="2">
        <f t="shared" si="26"/>
        <v>0.71399999999999997</v>
      </c>
    </row>
    <row r="2599" spans="1:7" ht="14.25" customHeight="1">
      <c r="A2599" s="2" t="s">
        <v>15</v>
      </c>
      <c r="B2599" s="2">
        <v>1991</v>
      </c>
      <c r="C2599" s="2" t="s">
        <v>30</v>
      </c>
      <c r="D2599" s="2">
        <v>575</v>
      </c>
      <c r="E2599" s="3">
        <f t="shared" si="25"/>
        <v>0.57499999999999996</v>
      </c>
      <c r="G2599" s="2">
        <f t="shared" si="26"/>
        <v>0.57499999999999996</v>
      </c>
    </row>
    <row r="2600" spans="1:7" ht="14.25" customHeight="1">
      <c r="A2600" s="2" t="s">
        <v>15</v>
      </c>
      <c r="B2600" s="2">
        <v>1992</v>
      </c>
      <c r="C2600" s="2" t="s">
        <v>30</v>
      </c>
      <c r="D2600" s="2">
        <v>568</v>
      </c>
      <c r="E2600" s="3">
        <f t="shared" si="25"/>
        <v>0.56799999999999995</v>
      </c>
      <c r="G2600" s="2">
        <f t="shared" si="26"/>
        <v>0.56799999999999995</v>
      </c>
    </row>
    <row r="2601" spans="1:7" ht="14.25" customHeight="1">
      <c r="A2601" s="2" t="s">
        <v>15</v>
      </c>
      <c r="B2601" s="2">
        <v>1993</v>
      </c>
      <c r="C2601" s="2" t="s">
        <v>30</v>
      </c>
      <c r="D2601" s="2">
        <v>1020</v>
      </c>
      <c r="E2601" s="3">
        <f t="shared" si="25"/>
        <v>1.02</v>
      </c>
      <c r="G2601" s="2">
        <f t="shared" si="26"/>
        <v>1.02</v>
      </c>
    </row>
    <row r="2602" spans="1:7" ht="14.25" customHeight="1">
      <c r="A2602" s="2" t="s">
        <v>15</v>
      </c>
      <c r="B2602" s="2">
        <v>1994</v>
      </c>
      <c r="C2602" s="2" t="s">
        <v>30</v>
      </c>
      <c r="D2602" s="2">
        <v>1360</v>
      </c>
      <c r="E2602" s="3">
        <f t="shared" si="25"/>
        <v>1.36</v>
      </c>
      <c r="G2602" s="2">
        <f t="shared" si="26"/>
        <v>1.36</v>
      </c>
    </row>
    <row r="2603" spans="1:7" ht="14.25" customHeight="1">
      <c r="A2603" s="2" t="s">
        <v>15</v>
      </c>
      <c r="B2603" s="2">
        <v>1995</v>
      </c>
      <c r="C2603" s="2" t="s">
        <v>30</v>
      </c>
      <c r="D2603" s="2">
        <v>1147</v>
      </c>
      <c r="E2603" s="3">
        <f t="shared" si="25"/>
        <v>1.147</v>
      </c>
      <c r="G2603" s="2">
        <f t="shared" si="26"/>
        <v>1.147</v>
      </c>
    </row>
    <row r="2604" spans="1:7" ht="14.25" customHeight="1">
      <c r="A2604" s="2" t="s">
        <v>15</v>
      </c>
      <c r="B2604" s="2">
        <v>1996</v>
      </c>
      <c r="C2604" s="2" t="s">
        <v>30</v>
      </c>
      <c r="D2604" s="2">
        <v>748</v>
      </c>
      <c r="E2604" s="3">
        <f t="shared" si="25"/>
        <v>0.748</v>
      </c>
      <c r="G2604" s="2">
        <f t="shared" si="26"/>
        <v>0.748</v>
      </c>
    </row>
    <row r="2605" spans="1:7" ht="14.25" customHeight="1">
      <c r="A2605" s="2" t="s">
        <v>15</v>
      </c>
      <c r="B2605" s="2">
        <v>1997</v>
      </c>
      <c r="C2605" s="2" t="s">
        <v>30</v>
      </c>
      <c r="D2605" s="2">
        <v>613</v>
      </c>
      <c r="E2605" s="3">
        <f t="shared" si="25"/>
        <v>0.61299999999999999</v>
      </c>
      <c r="G2605" s="2">
        <f t="shared" si="26"/>
        <v>0.61299999999999999</v>
      </c>
    </row>
    <row r="2606" spans="1:7" ht="14.25" customHeight="1">
      <c r="A2606" s="2" t="s">
        <v>15</v>
      </c>
      <c r="B2606" s="2">
        <v>1998</v>
      </c>
      <c r="C2606" s="2" t="s">
        <v>30</v>
      </c>
      <c r="D2606" s="2">
        <v>745</v>
      </c>
      <c r="E2606" s="3">
        <f t="shared" si="25"/>
        <v>0.745</v>
      </c>
      <c r="G2606" s="2">
        <f t="shared" si="26"/>
        <v>0.745</v>
      </c>
    </row>
    <row r="2607" spans="1:7" ht="14.25" customHeight="1">
      <c r="A2607" s="2" t="s">
        <v>15</v>
      </c>
      <c r="B2607" s="2">
        <v>1999</v>
      </c>
      <c r="C2607" s="2" t="s">
        <v>30</v>
      </c>
      <c r="D2607" s="2">
        <v>1475</v>
      </c>
      <c r="E2607" s="3">
        <f t="shared" si="25"/>
        <v>1.4750000000000001</v>
      </c>
      <c r="G2607" s="2">
        <f t="shared" si="26"/>
        <v>1.4750000000000001</v>
      </c>
    </row>
    <row r="2608" spans="1:7" ht="14.25" customHeight="1">
      <c r="A2608" s="2" t="s">
        <v>15</v>
      </c>
      <c r="B2608" s="2">
        <v>2000</v>
      </c>
      <c r="C2608" s="2" t="s">
        <v>30</v>
      </c>
      <c r="D2608" s="2">
        <v>1144</v>
      </c>
      <c r="E2608" s="3">
        <f t="shared" si="25"/>
        <v>1.1439999999999999</v>
      </c>
      <c r="G2608" s="2">
        <f t="shared" si="26"/>
        <v>1.1439999999999999</v>
      </c>
    </row>
    <row r="2609" spans="1:7" ht="14.25" customHeight="1">
      <c r="A2609" s="2" t="s">
        <v>15</v>
      </c>
      <c r="B2609" s="2">
        <v>2001</v>
      </c>
      <c r="C2609" s="2" t="s">
        <v>30</v>
      </c>
      <c r="D2609" s="2">
        <v>2314</v>
      </c>
      <c r="E2609" s="3">
        <f t="shared" si="25"/>
        <v>2.3140000000000001</v>
      </c>
      <c r="G2609" s="2">
        <f t="shared" si="26"/>
        <v>2.3140000000000001</v>
      </c>
    </row>
    <row r="2610" spans="1:7" ht="14.25" customHeight="1">
      <c r="A2610" s="2" t="s">
        <v>15</v>
      </c>
      <c r="B2610" s="2">
        <v>2002</v>
      </c>
      <c r="C2610" s="2" t="s">
        <v>30</v>
      </c>
      <c r="D2610" s="2">
        <v>1444</v>
      </c>
      <c r="E2610" s="3">
        <f t="shared" si="25"/>
        <v>1.444</v>
      </c>
      <c r="G2610" s="2">
        <f t="shared" si="26"/>
        <v>1.444</v>
      </c>
    </row>
    <row r="2611" spans="1:7" ht="14.25" customHeight="1">
      <c r="A2611" s="2" t="s">
        <v>15</v>
      </c>
      <c r="B2611" s="2">
        <v>2003</v>
      </c>
      <c r="C2611" s="2" t="s">
        <v>30</v>
      </c>
      <c r="D2611" s="2">
        <v>642</v>
      </c>
      <c r="E2611" s="3">
        <f t="shared" si="25"/>
        <v>0.64200000000000002</v>
      </c>
      <c r="G2611" s="2">
        <f t="shared" si="26"/>
        <v>0.64200000000000002</v>
      </c>
    </row>
    <row r="2612" spans="1:7" ht="14.25" customHeight="1">
      <c r="A2612" s="2" t="s">
        <v>15</v>
      </c>
      <c r="B2612" s="2">
        <v>2004</v>
      </c>
      <c r="C2612" s="2" t="s">
        <v>30</v>
      </c>
      <c r="D2612" s="2">
        <v>511</v>
      </c>
      <c r="E2612" s="3">
        <f t="shared" si="25"/>
        <v>0.51100000000000001</v>
      </c>
      <c r="G2612" s="2">
        <f t="shared" si="26"/>
        <v>0.51100000000000001</v>
      </c>
    </row>
    <row r="2613" spans="1:7" ht="14.25" customHeight="1">
      <c r="A2613" s="2" t="s">
        <v>15</v>
      </c>
      <c r="B2613" s="2">
        <v>2005</v>
      </c>
      <c r="C2613" s="2" t="s">
        <v>30</v>
      </c>
      <c r="D2613" s="2">
        <v>520</v>
      </c>
      <c r="E2613" s="3">
        <f t="shared" si="25"/>
        <v>0.52</v>
      </c>
      <c r="G2613" s="2">
        <f t="shared" si="26"/>
        <v>0.52</v>
      </c>
    </row>
    <row r="2614" spans="1:7" ht="14.25" customHeight="1">
      <c r="A2614" s="2" t="s">
        <v>15</v>
      </c>
      <c r="B2614" s="2">
        <v>2006</v>
      </c>
      <c r="C2614" s="2" t="s">
        <v>30</v>
      </c>
      <c r="D2614" s="2">
        <v>489.04</v>
      </c>
      <c r="E2614" s="3">
        <f t="shared" si="25"/>
        <v>0.48904000000000003</v>
      </c>
      <c r="G2614" s="2">
        <f t="shared" si="26"/>
        <v>0.48904000000000003</v>
      </c>
    </row>
    <row r="2615" spans="1:7" ht="14.25" customHeight="1">
      <c r="A2615" s="2" t="s">
        <v>15</v>
      </c>
      <c r="B2615" s="2">
        <v>2007</v>
      </c>
      <c r="C2615" s="2" t="s">
        <v>30</v>
      </c>
      <c r="D2615" s="2">
        <v>1428.2</v>
      </c>
      <c r="E2615" s="3">
        <f t="shared" si="25"/>
        <v>1.4282000000000001</v>
      </c>
      <c r="G2615" s="2">
        <f t="shared" si="26"/>
        <v>1.4282000000000001</v>
      </c>
    </row>
    <row r="2616" spans="1:7" ht="14.25" customHeight="1">
      <c r="A2616" s="2" t="s">
        <v>15</v>
      </c>
      <c r="B2616" s="2">
        <v>2008</v>
      </c>
      <c r="C2616" s="2" t="s">
        <v>30</v>
      </c>
      <c r="D2616" s="2">
        <v>907.06</v>
      </c>
      <c r="E2616" s="3">
        <f t="shared" si="25"/>
        <v>0.90705999999999998</v>
      </c>
      <c r="G2616" s="2">
        <f t="shared" si="26"/>
        <v>0.90705999999999998</v>
      </c>
    </row>
    <row r="2617" spans="1:7" ht="14.25" customHeight="1">
      <c r="A2617" s="2" t="s">
        <v>15</v>
      </c>
      <c r="B2617" s="2">
        <v>2009</v>
      </c>
      <c r="C2617" s="2" t="s">
        <v>30</v>
      </c>
      <c r="D2617" s="2">
        <v>1091.7</v>
      </c>
      <c r="E2617" s="3">
        <f t="shared" si="25"/>
        <v>1.0917000000000001</v>
      </c>
      <c r="G2617" s="2">
        <f t="shared" si="26"/>
        <v>1.0917000000000001</v>
      </c>
    </row>
    <row r="2618" spans="1:7" ht="14.25" customHeight="1">
      <c r="A2618" s="2" t="s">
        <v>15</v>
      </c>
      <c r="B2618" s="2">
        <v>2010</v>
      </c>
      <c r="C2618" s="2" t="s">
        <v>30</v>
      </c>
      <c r="D2618" s="2">
        <v>934.5</v>
      </c>
      <c r="E2618" s="3">
        <f t="shared" si="25"/>
        <v>0.9345</v>
      </c>
      <c r="G2618" s="2">
        <f t="shared" si="26"/>
        <v>0.9345</v>
      </c>
    </row>
    <row r="2619" spans="1:7" ht="14.25" customHeight="1">
      <c r="A2619" s="2" t="s">
        <v>15</v>
      </c>
      <c r="B2619" s="2">
        <v>2011</v>
      </c>
      <c r="C2619" s="2" t="s">
        <v>30</v>
      </c>
      <c r="D2619" s="2">
        <v>416.55</v>
      </c>
      <c r="E2619" s="3">
        <f t="shared" si="25"/>
        <v>0.41655000000000003</v>
      </c>
      <c r="G2619" s="2">
        <f t="shared" si="26"/>
        <v>0.41655000000000003</v>
      </c>
    </row>
    <row r="2620" spans="1:7" ht="14.25" customHeight="1">
      <c r="A2620" s="2" t="s">
        <v>15</v>
      </c>
      <c r="B2620" s="2">
        <v>2012</v>
      </c>
      <c r="C2620" s="2" t="s">
        <v>30</v>
      </c>
      <c r="D2620" s="2">
        <v>946.8</v>
      </c>
      <c r="E2620" s="3">
        <f t="shared" si="25"/>
        <v>0.94679999999999997</v>
      </c>
      <c r="G2620" s="2">
        <f t="shared" si="26"/>
        <v>0.94679999999999997</v>
      </c>
    </row>
    <row r="2621" spans="1:7" ht="14.25" customHeight="1">
      <c r="A2621" s="2" t="s">
        <v>15</v>
      </c>
      <c r="B2621" s="2">
        <v>2013</v>
      </c>
      <c r="C2621" s="2" t="s">
        <v>30</v>
      </c>
      <c r="D2621" s="2">
        <v>882.13</v>
      </c>
      <c r="E2621" s="3">
        <f t="shared" si="25"/>
        <v>0.88212999999999997</v>
      </c>
      <c r="G2621" s="2">
        <f t="shared" si="26"/>
        <v>0.88212999999999997</v>
      </c>
    </row>
    <row r="2622" spans="1:7" ht="14.25" customHeight="1">
      <c r="A2622" s="2" t="s">
        <v>15</v>
      </c>
      <c r="B2622" s="2">
        <v>2014</v>
      </c>
      <c r="C2622" s="2" t="s">
        <v>30</v>
      </c>
      <c r="D2622" s="2">
        <v>621.80999999999995</v>
      </c>
      <c r="E2622" s="3">
        <f t="shared" si="25"/>
        <v>0.62180999999999997</v>
      </c>
      <c r="G2622" s="2">
        <f t="shared" si="26"/>
        <v>0.62180999999999997</v>
      </c>
    </row>
    <row r="2623" spans="1:7" ht="14.25" customHeight="1">
      <c r="A2623" s="2" t="s">
        <v>15</v>
      </c>
      <c r="B2623" s="2">
        <v>2015</v>
      </c>
      <c r="C2623" s="2" t="s">
        <v>30</v>
      </c>
      <c r="D2623" s="2">
        <v>342.46</v>
      </c>
      <c r="E2623" s="3">
        <f t="shared" si="25"/>
        <v>0.34245999999999999</v>
      </c>
      <c r="G2623" s="2">
        <f t="shared" si="26"/>
        <v>0.34245999999999999</v>
      </c>
    </row>
    <row r="2624" spans="1:7" ht="14.25" customHeight="1">
      <c r="A2624" s="2" t="s">
        <v>15</v>
      </c>
      <c r="B2624" s="2">
        <v>2016</v>
      </c>
      <c r="C2624" s="2" t="s">
        <v>30</v>
      </c>
      <c r="D2624" s="2">
        <v>834.91</v>
      </c>
      <c r="E2624" s="3">
        <f t="shared" si="25"/>
        <v>0.83490999999999993</v>
      </c>
      <c r="G2624" s="2">
        <f t="shared" si="26"/>
        <v>0.83490999999999993</v>
      </c>
    </row>
    <row r="2625" spans="1:7" ht="14.25" customHeight="1">
      <c r="A2625" s="2" t="s">
        <v>15</v>
      </c>
      <c r="B2625" s="2">
        <v>2017</v>
      </c>
      <c r="C2625" s="2" t="s">
        <v>30</v>
      </c>
      <c r="D2625" s="2">
        <v>596.09</v>
      </c>
      <c r="E2625" s="3">
        <f t="shared" si="25"/>
        <v>0.59609000000000001</v>
      </c>
      <c r="G2625" s="2">
        <f t="shared" si="26"/>
        <v>0.59609000000000001</v>
      </c>
    </row>
    <row r="2626" spans="1:7" ht="14.25" customHeight="1">
      <c r="A2626" s="2" t="s">
        <v>15</v>
      </c>
      <c r="B2626" s="2">
        <v>2018</v>
      </c>
      <c r="C2626" s="2" t="s">
        <v>30</v>
      </c>
      <c r="D2626" s="2">
        <v>1155.6010000000001</v>
      </c>
      <c r="E2626" s="3">
        <f t="shared" si="25"/>
        <v>1.1556010000000001</v>
      </c>
      <c r="G2626" s="2">
        <f t="shared" si="26"/>
        <v>1.1556010000000001</v>
      </c>
    </row>
    <row r="2627" spans="1:7" ht="14.25" customHeight="1">
      <c r="A2627" s="2" t="s">
        <v>15</v>
      </c>
      <c r="B2627" s="2">
        <v>1903</v>
      </c>
      <c r="C2627" s="2" t="s">
        <v>63</v>
      </c>
      <c r="D2627" s="2">
        <v>4293</v>
      </c>
      <c r="E2627" s="3">
        <f t="shared" si="25"/>
        <v>4.2930000000000001</v>
      </c>
      <c r="G2627" s="2">
        <f t="shared" si="26"/>
        <v>4.2930000000000001</v>
      </c>
    </row>
    <row r="2628" spans="1:7" ht="14.25" customHeight="1">
      <c r="A2628" s="2" t="s">
        <v>15</v>
      </c>
      <c r="B2628" s="2">
        <v>1904</v>
      </c>
      <c r="C2628" s="2" t="s">
        <v>63</v>
      </c>
      <c r="D2628" s="2">
        <v>4087</v>
      </c>
      <c r="E2628" s="3">
        <f t="shared" si="25"/>
        <v>4.0869999999999997</v>
      </c>
      <c r="G2628" s="2">
        <f t="shared" si="26"/>
        <v>4.0869999999999997</v>
      </c>
    </row>
    <row r="2629" spans="1:7" ht="14.25" customHeight="1">
      <c r="A2629" s="2" t="s">
        <v>15</v>
      </c>
      <c r="B2629" s="2">
        <v>1905</v>
      </c>
      <c r="C2629" s="2" t="s">
        <v>63</v>
      </c>
      <c r="D2629" s="2">
        <v>4251</v>
      </c>
      <c r="E2629" s="3">
        <f t="shared" si="25"/>
        <v>4.2510000000000003</v>
      </c>
      <c r="G2629" s="2">
        <f t="shared" si="26"/>
        <v>4.2510000000000003</v>
      </c>
    </row>
    <row r="2630" spans="1:7" ht="14.25" customHeight="1">
      <c r="A2630" s="2" t="s">
        <v>15</v>
      </c>
      <c r="B2630" s="2">
        <v>1906</v>
      </c>
      <c r="C2630" s="2" t="s">
        <v>63</v>
      </c>
      <c r="D2630" s="2">
        <v>3113</v>
      </c>
      <c r="E2630" s="3">
        <f t="shared" si="25"/>
        <v>3.113</v>
      </c>
      <c r="G2630" s="2">
        <f t="shared" si="26"/>
        <v>3.113</v>
      </c>
    </row>
    <row r="2631" spans="1:7" ht="14.25" customHeight="1">
      <c r="A2631" s="2" t="s">
        <v>15</v>
      </c>
      <c r="B2631" s="2">
        <v>1907</v>
      </c>
      <c r="C2631" s="2" t="s">
        <v>63</v>
      </c>
      <c r="D2631" s="2">
        <v>3156</v>
      </c>
      <c r="E2631" s="3">
        <f t="shared" si="25"/>
        <v>3.1560000000000001</v>
      </c>
      <c r="G2631" s="2">
        <f t="shared" si="26"/>
        <v>3.1560000000000001</v>
      </c>
    </row>
    <row r="2632" spans="1:7" ht="14.25" customHeight="1">
      <c r="A2632" s="2" t="s">
        <v>15</v>
      </c>
      <c r="B2632" s="2">
        <v>1908</v>
      </c>
      <c r="C2632" s="2" t="s">
        <v>63</v>
      </c>
      <c r="D2632" s="2">
        <v>3229</v>
      </c>
      <c r="E2632" s="3">
        <f t="shared" si="25"/>
        <v>3.2290000000000001</v>
      </c>
      <c r="G2632" s="2">
        <f t="shared" si="26"/>
        <v>3.2290000000000001</v>
      </c>
    </row>
    <row r="2633" spans="1:7" ht="14.25" customHeight="1">
      <c r="A2633" s="2" t="s">
        <v>15</v>
      </c>
      <c r="B2633" s="2">
        <v>1909</v>
      </c>
      <c r="C2633" s="2" t="s">
        <v>63</v>
      </c>
      <c r="D2633" s="2">
        <v>2038</v>
      </c>
      <c r="E2633" s="3">
        <f t="shared" si="25"/>
        <v>2.0379999999999998</v>
      </c>
      <c r="G2633" s="2">
        <f t="shared" si="26"/>
        <v>2.0379999999999998</v>
      </c>
    </row>
    <row r="2634" spans="1:7" ht="14.25" customHeight="1">
      <c r="A2634" s="2" t="s">
        <v>15</v>
      </c>
      <c r="B2634" s="2">
        <v>1910</v>
      </c>
      <c r="C2634" s="2" t="s">
        <v>63</v>
      </c>
      <c r="D2634" s="2">
        <v>2911</v>
      </c>
      <c r="E2634" s="3">
        <f t="shared" si="25"/>
        <v>2.911</v>
      </c>
      <c r="G2634" s="2">
        <f t="shared" si="26"/>
        <v>2.911</v>
      </c>
    </row>
    <row r="2635" spans="1:7" ht="14.25" customHeight="1">
      <c r="A2635" s="2" t="s">
        <v>15</v>
      </c>
      <c r="B2635" s="2">
        <v>1911</v>
      </c>
      <c r="C2635" s="2" t="s">
        <v>63</v>
      </c>
      <c r="D2635" s="2">
        <v>3275</v>
      </c>
      <c r="E2635" s="3">
        <f t="shared" si="25"/>
        <v>3.2749999999999999</v>
      </c>
      <c r="G2635" s="2">
        <f t="shared" si="26"/>
        <v>3.2749999999999999</v>
      </c>
    </row>
    <row r="2636" spans="1:7" ht="14.25" customHeight="1">
      <c r="A2636" s="2" t="s">
        <v>15</v>
      </c>
      <c r="B2636" s="2">
        <v>1912</v>
      </c>
      <c r="C2636" s="2" t="s">
        <v>63</v>
      </c>
      <c r="D2636" s="2">
        <v>3737</v>
      </c>
      <c r="E2636" s="3">
        <f t="shared" si="25"/>
        <v>3.7370000000000001</v>
      </c>
      <c r="G2636" s="2">
        <f t="shared" si="26"/>
        <v>3.7370000000000001</v>
      </c>
    </row>
    <row r="2637" spans="1:7" ht="14.25" customHeight="1">
      <c r="A2637" s="2" t="s">
        <v>15</v>
      </c>
      <c r="B2637" s="2">
        <v>1913</v>
      </c>
      <c r="C2637" s="2" t="s">
        <v>63</v>
      </c>
      <c r="D2637" s="2">
        <v>3491</v>
      </c>
      <c r="E2637" s="3">
        <f t="shared" si="25"/>
        <v>3.4910000000000001</v>
      </c>
      <c r="G2637" s="2">
        <f t="shared" si="26"/>
        <v>3.4910000000000001</v>
      </c>
    </row>
    <row r="2638" spans="1:7" ht="14.25" customHeight="1">
      <c r="A2638" s="2" t="s">
        <v>15</v>
      </c>
      <c r="B2638" s="2">
        <v>1914</v>
      </c>
      <c r="C2638" s="2" t="s">
        <v>63</v>
      </c>
      <c r="D2638" s="2">
        <v>3160</v>
      </c>
      <c r="E2638" s="3">
        <f t="shared" si="25"/>
        <v>3.16</v>
      </c>
      <c r="G2638" s="2">
        <f t="shared" si="26"/>
        <v>3.16</v>
      </c>
    </row>
    <row r="2639" spans="1:7" ht="14.25" customHeight="1">
      <c r="A2639" s="2" t="s">
        <v>15</v>
      </c>
      <c r="B2639" s="2">
        <v>1915</v>
      </c>
      <c r="C2639" s="2" t="s">
        <v>63</v>
      </c>
      <c r="D2639" s="2">
        <v>1468</v>
      </c>
      <c r="E2639" s="3">
        <f t="shared" si="25"/>
        <v>1.468</v>
      </c>
      <c r="G2639" s="2">
        <f t="shared" si="26"/>
        <v>1.468</v>
      </c>
    </row>
    <row r="2640" spans="1:7" ht="14.25" customHeight="1">
      <c r="A2640" s="2" t="s">
        <v>15</v>
      </c>
      <c r="B2640" s="2">
        <v>1916</v>
      </c>
      <c r="C2640" s="2" t="s">
        <v>63</v>
      </c>
      <c r="D2640" s="2">
        <v>1239</v>
      </c>
      <c r="E2640" s="3">
        <f t="shared" si="25"/>
        <v>1.2390000000000001</v>
      </c>
      <c r="G2640" s="2">
        <f t="shared" si="26"/>
        <v>1.2390000000000001</v>
      </c>
    </row>
    <row r="2641" spans="1:7" ht="14.25" customHeight="1">
      <c r="A2641" s="2" t="s">
        <v>15</v>
      </c>
      <c r="B2641" s="2">
        <v>1917</v>
      </c>
      <c r="C2641" s="2" t="s">
        <v>63</v>
      </c>
      <c r="D2641" s="2">
        <v>968</v>
      </c>
      <c r="E2641" s="3">
        <f t="shared" si="25"/>
        <v>0.96799999999999997</v>
      </c>
      <c r="G2641" s="2">
        <f t="shared" si="26"/>
        <v>0.96799999999999997</v>
      </c>
    </row>
    <row r="2642" spans="1:7" ht="14.25" customHeight="1">
      <c r="A2642" s="2" t="s">
        <v>15</v>
      </c>
      <c r="B2642" s="2">
        <v>1918</v>
      </c>
      <c r="C2642" s="2" t="s">
        <v>63</v>
      </c>
      <c r="D2642" s="2">
        <v>1136</v>
      </c>
      <c r="E2642" s="3">
        <f t="shared" si="25"/>
        <v>1.1359999999999999</v>
      </c>
      <c r="G2642" s="2">
        <f t="shared" si="26"/>
        <v>1.1359999999999999</v>
      </c>
    </row>
    <row r="2643" spans="1:7" ht="14.25" customHeight="1">
      <c r="A2643" s="2" t="s">
        <v>15</v>
      </c>
      <c r="B2643" s="2">
        <v>1919</v>
      </c>
      <c r="C2643" s="2" t="s">
        <v>63</v>
      </c>
      <c r="D2643" s="2">
        <v>2358</v>
      </c>
      <c r="E2643" s="3">
        <f t="shared" si="25"/>
        <v>2.3580000000000001</v>
      </c>
      <c r="G2643" s="2">
        <f t="shared" si="26"/>
        <v>2.3580000000000001</v>
      </c>
    </row>
    <row r="2644" spans="1:7" ht="14.25" customHeight="1">
      <c r="A2644" s="2" t="s">
        <v>15</v>
      </c>
      <c r="B2644" s="2">
        <v>1920</v>
      </c>
      <c r="C2644" s="2" t="s">
        <v>63</v>
      </c>
      <c r="D2644" s="2">
        <v>4225</v>
      </c>
      <c r="E2644" s="3">
        <f t="shared" si="25"/>
        <v>4.2249999999999996</v>
      </c>
      <c r="G2644" s="2">
        <f t="shared" si="26"/>
        <v>4.2249999999999996</v>
      </c>
    </row>
    <row r="2645" spans="1:7" ht="14.25" customHeight="1">
      <c r="A2645" s="2" t="s">
        <v>15</v>
      </c>
      <c r="B2645" s="2">
        <v>1921</v>
      </c>
      <c r="C2645" s="2" t="s">
        <v>63</v>
      </c>
      <c r="D2645" s="2">
        <v>4280</v>
      </c>
      <c r="E2645" s="3">
        <f t="shared" si="25"/>
        <v>4.28</v>
      </c>
      <c r="G2645" s="2">
        <f t="shared" si="26"/>
        <v>4.28</v>
      </c>
    </row>
    <row r="2646" spans="1:7" ht="14.25" customHeight="1">
      <c r="A2646" s="2" t="s">
        <v>15</v>
      </c>
      <c r="B2646" s="2">
        <v>1922</v>
      </c>
      <c r="C2646" s="2" t="s">
        <v>63</v>
      </c>
      <c r="D2646" s="2">
        <v>5222</v>
      </c>
      <c r="E2646" s="3">
        <f t="shared" si="25"/>
        <v>5.2220000000000004</v>
      </c>
      <c r="G2646" s="2">
        <f t="shared" si="26"/>
        <v>5.2220000000000004</v>
      </c>
    </row>
    <row r="2647" spans="1:7" ht="14.25" customHeight="1">
      <c r="A2647" s="2" t="s">
        <v>15</v>
      </c>
      <c r="B2647" s="2">
        <v>1923</v>
      </c>
      <c r="C2647" s="2" t="s">
        <v>63</v>
      </c>
      <c r="D2647" s="2">
        <v>4481</v>
      </c>
      <c r="E2647" s="3">
        <f t="shared" si="25"/>
        <v>4.4809999999999999</v>
      </c>
      <c r="G2647" s="2">
        <f t="shared" si="26"/>
        <v>4.4809999999999999</v>
      </c>
    </row>
    <row r="2648" spans="1:7" ht="14.25" customHeight="1">
      <c r="A2648" s="2" t="s">
        <v>15</v>
      </c>
      <c r="B2648" s="2">
        <v>1924</v>
      </c>
      <c r="C2648" s="2" t="s">
        <v>63</v>
      </c>
      <c r="D2648" s="2">
        <v>3640</v>
      </c>
      <c r="E2648" s="3">
        <f t="shared" si="25"/>
        <v>3.64</v>
      </c>
      <c r="G2648" s="2">
        <f t="shared" si="26"/>
        <v>3.64</v>
      </c>
    </row>
    <row r="2649" spans="1:7" ht="14.25" customHeight="1">
      <c r="A2649" s="2" t="s">
        <v>15</v>
      </c>
      <c r="B2649" s="2">
        <v>1925</v>
      </c>
      <c r="C2649" s="2" t="s">
        <v>63</v>
      </c>
      <c r="D2649" s="2">
        <v>3123</v>
      </c>
      <c r="E2649" s="3">
        <f t="shared" si="25"/>
        <v>3.1230000000000002</v>
      </c>
      <c r="G2649" s="2">
        <f t="shared" si="26"/>
        <v>3.1230000000000002</v>
      </c>
    </row>
    <row r="2650" spans="1:7" ht="14.25" customHeight="1">
      <c r="A2650" s="2" t="s">
        <v>15</v>
      </c>
      <c r="B2650" s="2">
        <v>1926</v>
      </c>
      <c r="C2650" s="2" t="s">
        <v>63</v>
      </c>
      <c r="D2650" s="2">
        <v>2550</v>
      </c>
      <c r="E2650" s="3">
        <f t="shared" si="25"/>
        <v>2.5499999999999998</v>
      </c>
      <c r="G2650" s="2">
        <f t="shared" si="26"/>
        <v>2.5499999999999998</v>
      </c>
    </row>
    <row r="2651" spans="1:7" ht="14.25" customHeight="1">
      <c r="A2651" s="2" t="s">
        <v>15</v>
      </c>
      <c r="B2651" s="2">
        <v>1927</v>
      </c>
      <c r="C2651" s="2" t="s">
        <v>63</v>
      </c>
      <c r="D2651" s="2">
        <v>3300</v>
      </c>
      <c r="E2651" s="3">
        <f t="shared" si="25"/>
        <v>3.3</v>
      </c>
      <c r="G2651" s="2">
        <f t="shared" si="26"/>
        <v>3.3</v>
      </c>
    </row>
    <row r="2652" spans="1:7" ht="14.25" customHeight="1">
      <c r="A2652" s="2" t="s">
        <v>15</v>
      </c>
      <c r="B2652" s="2">
        <v>1928</v>
      </c>
      <c r="C2652" s="2" t="s">
        <v>63</v>
      </c>
      <c r="D2652" s="2">
        <v>3580</v>
      </c>
      <c r="E2652" s="3">
        <f t="shared" si="25"/>
        <v>3.58</v>
      </c>
      <c r="G2652" s="2">
        <f t="shared" si="26"/>
        <v>3.58</v>
      </c>
    </row>
    <row r="2653" spans="1:7" ht="14.25" customHeight="1">
      <c r="A2653" s="2" t="s">
        <v>15</v>
      </c>
      <c r="B2653" s="2">
        <v>1929</v>
      </c>
      <c r="C2653" s="2" t="s">
        <v>63</v>
      </c>
      <c r="D2653" s="2">
        <v>4272</v>
      </c>
      <c r="E2653" s="3">
        <f t="shared" si="25"/>
        <v>4.2720000000000002</v>
      </c>
      <c r="G2653" s="2">
        <f t="shared" si="26"/>
        <v>4.2720000000000002</v>
      </c>
    </row>
    <row r="2654" spans="1:7" ht="14.25" customHeight="1">
      <c r="A2654" s="2" t="s">
        <v>15</v>
      </c>
      <c r="B2654" s="2">
        <v>1930</v>
      </c>
      <c r="C2654" s="2" t="s">
        <v>63</v>
      </c>
      <c r="D2654" s="2">
        <v>3391</v>
      </c>
      <c r="E2654" s="3">
        <f t="shared" si="25"/>
        <v>3.391</v>
      </c>
      <c r="G2654" s="2">
        <f t="shared" si="26"/>
        <v>3.391</v>
      </c>
    </row>
    <row r="2655" spans="1:7" ht="14.25" customHeight="1">
      <c r="A2655" s="2" t="s">
        <v>15</v>
      </c>
      <c r="B2655" s="2">
        <v>1931</v>
      </c>
      <c r="C2655" s="2" t="s">
        <v>63</v>
      </c>
      <c r="D2655" s="2">
        <v>3459</v>
      </c>
      <c r="E2655" s="3">
        <f t="shared" si="25"/>
        <v>3.4590000000000001</v>
      </c>
      <c r="G2655" s="2">
        <f t="shared" si="26"/>
        <v>3.4590000000000001</v>
      </c>
    </row>
    <row r="2656" spans="1:7" ht="14.25" customHeight="1">
      <c r="A2656" s="2" t="s">
        <v>15</v>
      </c>
      <c r="B2656" s="2">
        <v>1932</v>
      </c>
      <c r="C2656" s="2" t="s">
        <v>63</v>
      </c>
      <c r="D2656" s="2">
        <v>3450</v>
      </c>
      <c r="E2656" s="3">
        <f t="shared" si="25"/>
        <v>3.45</v>
      </c>
      <c r="G2656" s="2">
        <f t="shared" si="26"/>
        <v>3.45</v>
      </c>
    </row>
    <row r="2657" spans="1:7" ht="14.25" customHeight="1">
      <c r="A2657" s="2" t="s">
        <v>15</v>
      </c>
      <c r="B2657" s="2">
        <v>1933</v>
      </c>
      <c r="C2657" s="2" t="s">
        <v>63</v>
      </c>
      <c r="D2657" s="2">
        <v>4155</v>
      </c>
      <c r="E2657" s="3">
        <f t="shared" si="25"/>
        <v>4.1550000000000002</v>
      </c>
      <c r="G2657" s="2">
        <f t="shared" si="26"/>
        <v>4.1550000000000002</v>
      </c>
    </row>
    <row r="2658" spans="1:7" ht="14.25" customHeight="1">
      <c r="A2658" s="2" t="s">
        <v>15</v>
      </c>
      <c r="B2658" s="2">
        <v>1934</v>
      </c>
      <c r="C2658" s="2" t="s">
        <v>63</v>
      </c>
      <c r="D2658" s="2">
        <v>4461</v>
      </c>
      <c r="E2658" s="3">
        <f t="shared" si="25"/>
        <v>4.4610000000000003</v>
      </c>
      <c r="G2658" s="2">
        <f t="shared" si="26"/>
        <v>4.4610000000000003</v>
      </c>
    </row>
    <row r="2659" spans="1:7" ht="14.25" customHeight="1">
      <c r="A2659" s="2" t="s">
        <v>15</v>
      </c>
      <c r="B2659" s="2">
        <v>1935</v>
      </c>
      <c r="C2659" s="2" t="s">
        <v>63</v>
      </c>
      <c r="D2659" s="2">
        <v>4274</v>
      </c>
      <c r="E2659" s="3">
        <f t="shared" si="25"/>
        <v>4.274</v>
      </c>
      <c r="G2659" s="2">
        <f t="shared" si="26"/>
        <v>4.274</v>
      </c>
    </row>
    <row r="2660" spans="1:7" ht="14.25" customHeight="1">
      <c r="A2660" s="2" t="s">
        <v>15</v>
      </c>
      <c r="B2660" s="2">
        <v>1936</v>
      </c>
      <c r="C2660" s="2" t="s">
        <v>63</v>
      </c>
      <c r="D2660" s="2">
        <v>4188</v>
      </c>
      <c r="E2660" s="3">
        <f t="shared" si="25"/>
        <v>4.1879999999999997</v>
      </c>
      <c r="G2660" s="2">
        <f t="shared" si="26"/>
        <v>4.1879999999999997</v>
      </c>
    </row>
    <row r="2661" spans="1:7" ht="14.25" customHeight="1">
      <c r="A2661" s="2" t="s">
        <v>15</v>
      </c>
      <c r="B2661" s="2">
        <v>1937</v>
      </c>
      <c r="C2661" s="2" t="s">
        <v>63</v>
      </c>
      <c r="D2661" s="2">
        <v>3890</v>
      </c>
      <c r="E2661" s="3">
        <f t="shared" si="25"/>
        <v>3.89</v>
      </c>
      <c r="G2661" s="2">
        <f t="shared" si="26"/>
        <v>3.89</v>
      </c>
    </row>
    <row r="2662" spans="1:7" ht="14.25" customHeight="1">
      <c r="A2662" s="2" t="s">
        <v>15</v>
      </c>
      <c r="B2662" s="2">
        <v>1938</v>
      </c>
      <c r="C2662" s="2" t="s">
        <v>63</v>
      </c>
      <c r="D2662" s="2">
        <v>3228</v>
      </c>
      <c r="E2662" s="3">
        <f t="shared" si="25"/>
        <v>3.2280000000000002</v>
      </c>
      <c r="G2662" s="2">
        <f t="shared" si="26"/>
        <v>3.2280000000000002</v>
      </c>
    </row>
    <row r="2663" spans="1:7" ht="14.25" customHeight="1">
      <c r="A2663" s="2" t="s">
        <v>15</v>
      </c>
      <c r="B2663" s="2">
        <v>1939</v>
      </c>
      <c r="C2663" s="2" t="s">
        <v>63</v>
      </c>
      <c r="D2663" s="2">
        <v>3246</v>
      </c>
      <c r="E2663" s="3">
        <f t="shared" si="25"/>
        <v>3.246</v>
      </c>
      <c r="G2663" s="2">
        <f t="shared" si="26"/>
        <v>3.246</v>
      </c>
    </row>
    <row r="2664" spans="1:7" ht="14.25" customHeight="1">
      <c r="A2664" s="2" t="s">
        <v>15</v>
      </c>
      <c r="B2664" s="2">
        <v>1940</v>
      </c>
      <c r="C2664" s="2" t="s">
        <v>63</v>
      </c>
      <c r="D2664" s="2">
        <v>1749</v>
      </c>
      <c r="E2664" s="3">
        <f t="shared" si="25"/>
        <v>1.7490000000000001</v>
      </c>
      <c r="G2664" s="2">
        <f t="shared" si="26"/>
        <v>1.7490000000000001</v>
      </c>
    </row>
    <row r="2665" spans="1:7" ht="14.25" customHeight="1">
      <c r="A2665" s="2" t="s">
        <v>15</v>
      </c>
      <c r="B2665" s="2">
        <v>1941</v>
      </c>
      <c r="C2665" s="2" t="s">
        <v>63</v>
      </c>
      <c r="D2665" s="2">
        <v>602</v>
      </c>
      <c r="E2665" s="3">
        <f t="shared" si="25"/>
        <v>0.60199999999999998</v>
      </c>
      <c r="G2665" s="2">
        <f t="shared" si="26"/>
        <v>0.60199999999999998</v>
      </c>
    </row>
    <row r="2666" spans="1:7" ht="14.25" customHeight="1">
      <c r="A2666" s="2" t="s">
        <v>15</v>
      </c>
      <c r="B2666" s="2">
        <v>1942</v>
      </c>
      <c r="C2666" s="2" t="s">
        <v>63</v>
      </c>
      <c r="D2666" s="2">
        <v>567</v>
      </c>
      <c r="E2666" s="3">
        <f t="shared" si="25"/>
        <v>0.56699999999999995</v>
      </c>
      <c r="G2666" s="2">
        <f t="shared" si="26"/>
        <v>0.56699999999999995</v>
      </c>
    </row>
    <row r="2667" spans="1:7" ht="14.25" customHeight="1">
      <c r="A2667" s="2" t="s">
        <v>15</v>
      </c>
      <c r="B2667" s="2">
        <v>1943</v>
      </c>
      <c r="C2667" s="2" t="s">
        <v>63</v>
      </c>
      <c r="D2667" s="2">
        <v>743</v>
      </c>
      <c r="E2667" s="3">
        <f t="shared" si="25"/>
        <v>0.74299999999999999</v>
      </c>
      <c r="G2667" s="2">
        <f t="shared" si="26"/>
        <v>0.74299999999999999</v>
      </c>
    </row>
    <row r="2668" spans="1:7" ht="14.25" customHeight="1">
      <c r="A2668" s="2" t="s">
        <v>15</v>
      </c>
      <c r="B2668" s="2">
        <v>1944</v>
      </c>
      <c r="C2668" s="2" t="s">
        <v>63</v>
      </c>
      <c r="D2668" s="2">
        <v>976</v>
      </c>
      <c r="E2668" s="3">
        <f t="shared" si="25"/>
        <v>0.97599999999999998</v>
      </c>
      <c r="G2668" s="2">
        <f t="shared" si="26"/>
        <v>0.97599999999999998</v>
      </c>
    </row>
    <row r="2669" spans="1:7" ht="14.25" customHeight="1">
      <c r="A2669" s="2" t="s">
        <v>15</v>
      </c>
      <c r="B2669" s="2">
        <v>1945</v>
      </c>
      <c r="C2669" s="2" t="s">
        <v>63</v>
      </c>
      <c r="D2669" s="2">
        <v>2479</v>
      </c>
      <c r="E2669" s="3">
        <f t="shared" si="25"/>
        <v>2.4790000000000001</v>
      </c>
      <c r="G2669" s="2">
        <f t="shared" si="26"/>
        <v>2.4790000000000001</v>
      </c>
    </row>
    <row r="2670" spans="1:7" ht="14.25" customHeight="1">
      <c r="A2670" s="2" t="s">
        <v>15</v>
      </c>
      <c r="B2670" s="2">
        <v>1946</v>
      </c>
      <c r="C2670" s="2" t="s">
        <v>63</v>
      </c>
      <c r="D2670" s="2">
        <v>4856</v>
      </c>
      <c r="E2670" s="3">
        <f t="shared" si="25"/>
        <v>4.8559999999999999</v>
      </c>
      <c r="G2670" s="2">
        <f t="shared" si="26"/>
        <v>4.8559999999999999</v>
      </c>
    </row>
    <row r="2671" spans="1:7" ht="14.25" customHeight="1">
      <c r="A2671" s="2" t="s">
        <v>15</v>
      </c>
      <c r="B2671" s="2">
        <v>1947</v>
      </c>
      <c r="C2671" s="2" t="s">
        <v>63</v>
      </c>
      <c r="D2671" s="2">
        <v>4446</v>
      </c>
      <c r="E2671" s="3">
        <f t="shared" si="25"/>
        <v>4.4459999999999997</v>
      </c>
      <c r="G2671" s="2">
        <f t="shared" si="26"/>
        <v>4.4459999999999997</v>
      </c>
    </row>
    <row r="2672" spans="1:7" ht="14.25" customHeight="1">
      <c r="A2672" s="2" t="s">
        <v>15</v>
      </c>
      <c r="B2672" s="2">
        <v>1948</v>
      </c>
      <c r="C2672" s="2" t="s">
        <v>63</v>
      </c>
      <c r="D2672" s="2">
        <v>3087</v>
      </c>
      <c r="E2672" s="3">
        <f t="shared" si="25"/>
        <v>3.0870000000000002</v>
      </c>
      <c r="G2672" s="2">
        <f t="shared" si="26"/>
        <v>3.0870000000000002</v>
      </c>
    </row>
    <row r="2673" spans="1:7" ht="14.25" customHeight="1">
      <c r="A2673" s="2" t="s">
        <v>15</v>
      </c>
      <c r="B2673" s="2">
        <v>1949</v>
      </c>
      <c r="C2673" s="2" t="s">
        <v>63</v>
      </c>
      <c r="D2673" s="2">
        <v>3328</v>
      </c>
      <c r="E2673" s="3">
        <f t="shared" si="25"/>
        <v>3.3279999999999998</v>
      </c>
      <c r="G2673" s="2">
        <f t="shared" si="26"/>
        <v>3.3279999999999998</v>
      </c>
    </row>
    <row r="2674" spans="1:7" ht="14.25" customHeight="1">
      <c r="A2674" s="2" t="s">
        <v>15</v>
      </c>
      <c r="B2674" s="2">
        <v>1950</v>
      </c>
      <c r="C2674" s="2" t="s">
        <v>63</v>
      </c>
      <c r="D2674" s="2">
        <v>4426</v>
      </c>
      <c r="E2674" s="3">
        <f t="shared" si="25"/>
        <v>4.4260000000000002</v>
      </c>
      <c r="G2674" s="2">
        <f t="shared" si="26"/>
        <v>4.4260000000000002</v>
      </c>
    </row>
    <row r="2675" spans="1:7" ht="14.25" customHeight="1">
      <c r="A2675" s="2" t="s">
        <v>15</v>
      </c>
      <c r="B2675" s="2">
        <v>1951</v>
      </c>
      <c r="C2675" s="2" t="s">
        <v>63</v>
      </c>
      <c r="D2675" s="2">
        <v>4454</v>
      </c>
      <c r="E2675" s="3">
        <f t="shared" si="25"/>
        <v>4.4539999999999997</v>
      </c>
      <c r="G2675" s="2">
        <f t="shared" si="26"/>
        <v>4.4539999999999997</v>
      </c>
    </row>
    <row r="2676" spans="1:7" ht="14.25" customHeight="1">
      <c r="A2676" s="2" t="s">
        <v>15</v>
      </c>
      <c r="B2676" s="2">
        <v>1952</v>
      </c>
      <c r="C2676" s="2" t="s">
        <v>63</v>
      </c>
      <c r="D2676" s="2">
        <v>3602</v>
      </c>
      <c r="E2676" s="3">
        <f t="shared" si="25"/>
        <v>3.6019999999999999</v>
      </c>
      <c r="G2676" s="2">
        <f t="shared" si="26"/>
        <v>3.6019999999999999</v>
      </c>
    </row>
    <row r="2677" spans="1:7" ht="14.25" customHeight="1">
      <c r="A2677" s="2" t="s">
        <v>15</v>
      </c>
      <c r="B2677" s="2">
        <v>1953</v>
      </c>
      <c r="C2677" s="2" t="s">
        <v>63</v>
      </c>
      <c r="D2677" s="2">
        <v>4031</v>
      </c>
      <c r="E2677" s="3">
        <f t="shared" si="25"/>
        <v>4.0309999999999997</v>
      </c>
      <c r="G2677" s="2">
        <f t="shared" si="26"/>
        <v>4.0309999999999997</v>
      </c>
    </row>
    <row r="2678" spans="1:7" ht="14.25" customHeight="1">
      <c r="A2678" s="2" t="s">
        <v>15</v>
      </c>
      <c r="B2678" s="2">
        <v>1954</v>
      </c>
      <c r="C2678" s="2" t="s">
        <v>63</v>
      </c>
      <c r="D2678" s="2">
        <v>3999</v>
      </c>
      <c r="E2678" s="3">
        <f t="shared" si="25"/>
        <v>3.9990000000000001</v>
      </c>
      <c r="G2678" s="2">
        <f t="shared" si="26"/>
        <v>3.9990000000000001</v>
      </c>
    </row>
    <row r="2679" spans="1:7" ht="14.25" customHeight="1">
      <c r="A2679" s="2" t="s">
        <v>15</v>
      </c>
      <c r="B2679" s="2">
        <v>1955</v>
      </c>
      <c r="C2679" s="2" t="s">
        <v>63</v>
      </c>
      <c r="D2679" s="2">
        <v>3518</v>
      </c>
      <c r="E2679" s="3">
        <f t="shared" si="25"/>
        <v>3.5179999999999998</v>
      </c>
      <c r="G2679" s="2">
        <f t="shared" si="26"/>
        <v>3.5179999999999998</v>
      </c>
    </row>
    <row r="2680" spans="1:7" ht="14.25" customHeight="1">
      <c r="A2680" s="2" t="s">
        <v>15</v>
      </c>
      <c r="B2680" s="2">
        <v>1956</v>
      </c>
      <c r="C2680" s="2" t="s">
        <v>63</v>
      </c>
      <c r="D2680" s="2">
        <v>3189</v>
      </c>
      <c r="E2680" s="3">
        <f t="shared" si="25"/>
        <v>3.1890000000000001</v>
      </c>
      <c r="G2680" s="2">
        <f t="shared" si="26"/>
        <v>3.1890000000000001</v>
      </c>
    </row>
    <row r="2681" spans="1:7" ht="14.25" customHeight="1">
      <c r="A2681" s="2" t="s">
        <v>15</v>
      </c>
      <c r="B2681" s="2">
        <v>1957</v>
      </c>
      <c r="C2681" s="2" t="s">
        <v>63</v>
      </c>
      <c r="D2681" s="2">
        <v>2798</v>
      </c>
      <c r="E2681" s="3">
        <f t="shared" si="25"/>
        <v>2.798</v>
      </c>
      <c r="G2681" s="2">
        <f t="shared" si="26"/>
        <v>2.798</v>
      </c>
    </row>
    <row r="2682" spans="1:7" ht="14.25" customHeight="1">
      <c r="A2682" s="2" t="s">
        <v>15</v>
      </c>
      <c r="B2682" s="2">
        <v>1958</v>
      </c>
      <c r="C2682" s="2" t="s">
        <v>63</v>
      </c>
      <c r="D2682" s="2">
        <v>2667</v>
      </c>
      <c r="E2682" s="3">
        <f t="shared" si="25"/>
        <v>2.6669999999999998</v>
      </c>
      <c r="G2682" s="2">
        <f t="shared" si="26"/>
        <v>2.6669999999999998</v>
      </c>
    </row>
    <row r="2683" spans="1:7" ht="14.25" customHeight="1">
      <c r="A2683" s="2" t="s">
        <v>15</v>
      </c>
      <c r="B2683" s="2">
        <v>1959</v>
      </c>
      <c r="C2683" s="2" t="s">
        <v>63</v>
      </c>
      <c r="D2683" s="2">
        <v>2450</v>
      </c>
      <c r="E2683" s="3">
        <f t="shared" si="25"/>
        <v>2.4500000000000002</v>
      </c>
      <c r="G2683" s="2">
        <f t="shared" si="26"/>
        <v>2.4500000000000002</v>
      </c>
    </row>
    <row r="2684" spans="1:7" ht="14.25" customHeight="1">
      <c r="A2684" s="2" t="s">
        <v>15</v>
      </c>
      <c r="B2684" s="2">
        <v>1960</v>
      </c>
      <c r="C2684" s="2" t="s">
        <v>63</v>
      </c>
      <c r="D2684" s="2">
        <v>2485</v>
      </c>
      <c r="E2684" s="3">
        <f t="shared" si="25"/>
        <v>2.4849999999999999</v>
      </c>
      <c r="G2684" s="2">
        <f t="shared" si="26"/>
        <v>2.4849999999999999</v>
      </c>
    </row>
    <row r="2685" spans="1:7" ht="14.25" customHeight="1">
      <c r="A2685" s="2" t="s">
        <v>15</v>
      </c>
      <c r="B2685" s="2">
        <v>1961</v>
      </c>
      <c r="C2685" s="2" t="s">
        <v>63</v>
      </c>
      <c r="D2685" s="2">
        <v>2610</v>
      </c>
      <c r="E2685" s="3">
        <f t="shared" si="25"/>
        <v>2.61</v>
      </c>
      <c r="G2685" s="2">
        <f t="shared" si="26"/>
        <v>2.61</v>
      </c>
    </row>
    <row r="2686" spans="1:7" ht="14.25" customHeight="1">
      <c r="A2686" s="2" t="s">
        <v>15</v>
      </c>
      <c r="B2686" s="2">
        <v>1962</v>
      </c>
      <c r="C2686" s="2" t="s">
        <v>63</v>
      </c>
      <c r="D2686" s="2">
        <v>2678</v>
      </c>
      <c r="E2686" s="3">
        <f t="shared" si="25"/>
        <v>2.6779999999999999</v>
      </c>
      <c r="G2686" s="2">
        <f t="shared" si="26"/>
        <v>2.6779999999999999</v>
      </c>
    </row>
    <row r="2687" spans="1:7" ht="14.25" customHeight="1">
      <c r="A2687" s="2" t="s">
        <v>15</v>
      </c>
      <c r="B2687" s="2">
        <v>1963</v>
      </c>
      <c r="C2687" s="2" t="s">
        <v>63</v>
      </c>
      <c r="D2687" s="2">
        <v>4216</v>
      </c>
      <c r="E2687" s="3">
        <f t="shared" si="25"/>
        <v>4.2160000000000002</v>
      </c>
      <c r="G2687" s="2">
        <f t="shared" si="26"/>
        <v>4.2160000000000002</v>
      </c>
    </row>
    <row r="2688" spans="1:7" ht="14.25" customHeight="1">
      <c r="A2688" s="2" t="s">
        <v>15</v>
      </c>
      <c r="B2688" s="2">
        <v>1964</v>
      </c>
      <c r="C2688" s="2" t="s">
        <v>63</v>
      </c>
      <c r="D2688" s="2">
        <v>1515</v>
      </c>
      <c r="E2688" s="3">
        <f t="shared" si="25"/>
        <v>1.5149999999999999</v>
      </c>
      <c r="G2688" s="2">
        <f t="shared" si="26"/>
        <v>1.5149999999999999</v>
      </c>
    </row>
    <row r="2689" spans="1:7" ht="14.25" customHeight="1">
      <c r="A2689" s="2" t="s">
        <v>15</v>
      </c>
      <c r="B2689" s="2">
        <v>1965</v>
      </c>
      <c r="C2689" s="2" t="s">
        <v>63</v>
      </c>
      <c r="D2689" s="2">
        <v>1354</v>
      </c>
      <c r="E2689" s="3">
        <f t="shared" si="25"/>
        <v>1.3540000000000001</v>
      </c>
      <c r="G2689" s="2">
        <f t="shared" si="26"/>
        <v>1.3540000000000001</v>
      </c>
    </row>
    <row r="2690" spans="1:7" ht="14.25" customHeight="1">
      <c r="A2690" s="2" t="s">
        <v>15</v>
      </c>
      <c r="B2690" s="2">
        <v>1966</v>
      </c>
      <c r="C2690" s="2" t="s">
        <v>63</v>
      </c>
      <c r="D2690" s="2">
        <v>1595</v>
      </c>
      <c r="E2690" s="3">
        <f t="shared" si="25"/>
        <v>1.595</v>
      </c>
      <c r="G2690" s="2">
        <f t="shared" si="26"/>
        <v>1.595</v>
      </c>
    </row>
    <row r="2691" spans="1:7" ht="14.25" customHeight="1">
      <c r="A2691" s="2" t="s">
        <v>15</v>
      </c>
      <c r="B2691" s="2">
        <v>1967</v>
      </c>
      <c r="C2691" s="2" t="s">
        <v>63</v>
      </c>
      <c r="D2691" s="2">
        <v>1839</v>
      </c>
      <c r="E2691" s="3">
        <f t="shared" si="25"/>
        <v>1.839</v>
      </c>
      <c r="G2691" s="2">
        <f t="shared" si="26"/>
        <v>1.839</v>
      </c>
    </row>
    <row r="2692" spans="1:7" ht="14.25" customHeight="1">
      <c r="A2692" s="2" t="s">
        <v>15</v>
      </c>
      <c r="B2692" s="2">
        <v>1968</v>
      </c>
      <c r="C2692" s="2" t="s">
        <v>63</v>
      </c>
      <c r="D2692" s="2">
        <v>1997</v>
      </c>
      <c r="E2692" s="3">
        <f t="shared" si="25"/>
        <v>1.9970000000000001</v>
      </c>
      <c r="G2692" s="2">
        <f t="shared" si="26"/>
        <v>1.9970000000000001</v>
      </c>
    </row>
    <row r="2693" spans="1:7" ht="14.25" customHeight="1">
      <c r="A2693" s="2" t="s">
        <v>15</v>
      </c>
      <c r="B2693" s="2">
        <v>1969</v>
      </c>
      <c r="C2693" s="2" t="s">
        <v>63</v>
      </c>
      <c r="D2693" s="2">
        <v>1855</v>
      </c>
      <c r="E2693" s="3">
        <f t="shared" si="25"/>
        <v>1.855</v>
      </c>
      <c r="G2693" s="2">
        <f t="shared" si="26"/>
        <v>1.855</v>
      </c>
    </row>
    <row r="2694" spans="1:7" ht="14.25" customHeight="1">
      <c r="A2694" s="2" t="s">
        <v>15</v>
      </c>
      <c r="B2694" s="2">
        <v>1970</v>
      </c>
      <c r="C2694" s="2" t="s">
        <v>63</v>
      </c>
      <c r="D2694" s="2">
        <v>1481</v>
      </c>
      <c r="E2694" s="3">
        <f t="shared" si="25"/>
        <v>1.4810000000000001</v>
      </c>
      <c r="G2694" s="2">
        <f t="shared" si="26"/>
        <v>1.4810000000000001</v>
      </c>
    </row>
    <row r="2695" spans="1:7" ht="14.25" customHeight="1">
      <c r="A2695" s="2" t="s">
        <v>15</v>
      </c>
      <c r="B2695" s="2">
        <v>1971</v>
      </c>
      <c r="C2695" s="2" t="s">
        <v>63</v>
      </c>
      <c r="D2695" s="2">
        <v>1401</v>
      </c>
      <c r="E2695" s="3">
        <f t="shared" si="25"/>
        <v>1.401</v>
      </c>
      <c r="G2695" s="2">
        <f t="shared" si="26"/>
        <v>1.401</v>
      </c>
    </row>
    <row r="2696" spans="1:7" ht="14.25" customHeight="1">
      <c r="A2696" s="2" t="s">
        <v>15</v>
      </c>
      <c r="B2696" s="2">
        <v>1972</v>
      </c>
      <c r="C2696" s="2" t="s">
        <v>63</v>
      </c>
      <c r="D2696" s="2">
        <v>1407</v>
      </c>
      <c r="E2696" s="3">
        <f t="shared" si="25"/>
        <v>1.407</v>
      </c>
      <c r="G2696" s="2">
        <f t="shared" si="26"/>
        <v>1.407</v>
      </c>
    </row>
    <row r="2697" spans="1:7" ht="14.25" customHeight="1">
      <c r="A2697" s="2" t="s">
        <v>15</v>
      </c>
      <c r="B2697" s="2">
        <v>1973</v>
      </c>
      <c r="C2697" s="2" t="s">
        <v>63</v>
      </c>
      <c r="D2697" s="2">
        <v>1397</v>
      </c>
      <c r="E2697" s="3">
        <f t="shared" si="25"/>
        <v>1.397</v>
      </c>
      <c r="G2697" s="2">
        <f t="shared" si="26"/>
        <v>1.397</v>
      </c>
    </row>
    <row r="2698" spans="1:7" ht="14.25" customHeight="1">
      <c r="A2698" s="2" t="s">
        <v>15</v>
      </c>
      <c r="B2698" s="2">
        <v>1974</v>
      </c>
      <c r="C2698" s="2" t="s">
        <v>63</v>
      </c>
      <c r="D2698" s="2">
        <v>1174</v>
      </c>
      <c r="E2698" s="3">
        <f t="shared" si="25"/>
        <v>1.1739999999999999</v>
      </c>
      <c r="G2698" s="2">
        <f t="shared" si="26"/>
        <v>1.1739999999999999</v>
      </c>
    </row>
    <row r="2699" spans="1:7" ht="14.25" customHeight="1">
      <c r="A2699" s="2" t="s">
        <v>15</v>
      </c>
      <c r="B2699" s="2">
        <v>1975</v>
      </c>
      <c r="C2699" s="2" t="s">
        <v>63</v>
      </c>
      <c r="D2699" s="2">
        <v>1334</v>
      </c>
      <c r="E2699" s="3">
        <f t="shared" si="25"/>
        <v>1.3340000000000001</v>
      </c>
      <c r="G2699" s="2">
        <f t="shared" si="26"/>
        <v>1.3340000000000001</v>
      </c>
    </row>
    <row r="2700" spans="1:7" ht="14.25" customHeight="1">
      <c r="A2700" s="2" t="s">
        <v>15</v>
      </c>
      <c r="B2700" s="2">
        <v>1976</v>
      </c>
      <c r="C2700" s="2" t="s">
        <v>63</v>
      </c>
      <c r="D2700" s="2">
        <v>1493</v>
      </c>
      <c r="E2700" s="3">
        <f t="shared" si="25"/>
        <v>1.4930000000000001</v>
      </c>
      <c r="G2700" s="2">
        <f t="shared" si="26"/>
        <v>1.4930000000000001</v>
      </c>
    </row>
    <row r="2701" spans="1:7" ht="14.25" customHeight="1">
      <c r="A2701" s="2" t="s">
        <v>15</v>
      </c>
      <c r="B2701" s="2">
        <v>1977</v>
      </c>
      <c r="C2701" s="2" t="s">
        <v>63</v>
      </c>
      <c r="D2701" s="2">
        <v>1414</v>
      </c>
      <c r="E2701" s="3">
        <f t="shared" si="25"/>
        <v>1.4139999999999999</v>
      </c>
      <c r="G2701" s="2">
        <f t="shared" si="26"/>
        <v>1.4139999999999999</v>
      </c>
    </row>
    <row r="2702" spans="1:7" ht="14.25" customHeight="1">
      <c r="A2702" s="2" t="s">
        <v>15</v>
      </c>
      <c r="B2702" s="2">
        <v>1978</v>
      </c>
      <c r="C2702" s="2" t="s">
        <v>63</v>
      </c>
      <c r="D2702" s="2">
        <v>1844</v>
      </c>
      <c r="E2702" s="3">
        <f t="shared" si="25"/>
        <v>1.8440000000000001</v>
      </c>
      <c r="G2702" s="2">
        <f t="shared" si="26"/>
        <v>1.8440000000000001</v>
      </c>
    </row>
    <row r="2703" spans="1:7" ht="14.25" customHeight="1">
      <c r="A2703" s="2" t="s">
        <v>15</v>
      </c>
      <c r="B2703" s="2">
        <v>1979</v>
      </c>
      <c r="C2703" s="2" t="s">
        <v>63</v>
      </c>
      <c r="D2703" s="2">
        <v>2223</v>
      </c>
      <c r="E2703" s="3">
        <f t="shared" si="25"/>
        <v>2.2229999999999999</v>
      </c>
      <c r="G2703" s="2">
        <f t="shared" si="26"/>
        <v>2.2229999999999999</v>
      </c>
    </row>
    <row r="2704" spans="1:7" ht="14.25" customHeight="1">
      <c r="A2704" s="2" t="s">
        <v>15</v>
      </c>
      <c r="B2704" s="2">
        <v>1980</v>
      </c>
      <c r="C2704" s="2" t="s">
        <v>63</v>
      </c>
      <c r="D2704" s="2">
        <v>2047</v>
      </c>
      <c r="E2704" s="3">
        <f t="shared" si="25"/>
        <v>2.0470000000000002</v>
      </c>
      <c r="G2704" s="2">
        <f t="shared" si="26"/>
        <v>2.0470000000000002</v>
      </c>
    </row>
    <row r="2705" spans="1:7" ht="14.25" customHeight="1">
      <c r="A2705" s="2" t="s">
        <v>15</v>
      </c>
      <c r="B2705" s="2">
        <v>1981</v>
      </c>
      <c r="C2705" s="2" t="s">
        <v>63</v>
      </c>
      <c r="D2705" s="2">
        <v>1992</v>
      </c>
      <c r="E2705" s="3">
        <f t="shared" si="25"/>
        <v>1.992</v>
      </c>
      <c r="G2705" s="2">
        <f t="shared" si="26"/>
        <v>1.992</v>
      </c>
    </row>
    <row r="2706" spans="1:7" ht="14.25" customHeight="1">
      <c r="A2706" s="2" t="s">
        <v>15</v>
      </c>
      <c r="B2706" s="2">
        <v>1982</v>
      </c>
      <c r="C2706" s="2" t="s">
        <v>63</v>
      </c>
      <c r="D2706" s="2">
        <v>2391</v>
      </c>
      <c r="E2706" s="3">
        <f t="shared" si="25"/>
        <v>2.391</v>
      </c>
      <c r="G2706" s="2">
        <f t="shared" si="26"/>
        <v>2.391</v>
      </c>
    </row>
    <row r="2707" spans="1:7" ht="14.25" customHeight="1">
      <c r="A2707" s="2" t="s">
        <v>15</v>
      </c>
      <c r="B2707" s="2">
        <v>1983</v>
      </c>
      <c r="C2707" s="2" t="s">
        <v>63</v>
      </c>
      <c r="D2707" s="2">
        <v>2544</v>
      </c>
      <c r="E2707" s="3">
        <f t="shared" si="25"/>
        <v>2.544</v>
      </c>
      <c r="G2707" s="2">
        <f t="shared" si="26"/>
        <v>2.544</v>
      </c>
    </row>
    <row r="2708" spans="1:7" ht="14.25" customHeight="1">
      <c r="A2708" s="2" t="s">
        <v>15</v>
      </c>
      <c r="B2708" s="2">
        <v>1984</v>
      </c>
      <c r="C2708" s="2" t="s">
        <v>63</v>
      </c>
      <c r="D2708" s="2">
        <v>2729</v>
      </c>
      <c r="E2708" s="3">
        <f t="shared" si="25"/>
        <v>2.7290000000000001</v>
      </c>
      <c r="G2708" s="2">
        <f t="shared" si="26"/>
        <v>2.7290000000000001</v>
      </c>
    </row>
    <row r="2709" spans="1:7" ht="14.25" customHeight="1">
      <c r="A2709" s="2" t="s">
        <v>15</v>
      </c>
      <c r="B2709" s="2">
        <v>1985</v>
      </c>
      <c r="C2709" s="2" t="s">
        <v>63</v>
      </c>
      <c r="D2709" s="2">
        <v>3063</v>
      </c>
      <c r="E2709" s="3">
        <f t="shared" si="25"/>
        <v>3.0630000000000002</v>
      </c>
      <c r="G2709" s="2">
        <f t="shared" si="26"/>
        <v>3.0630000000000002</v>
      </c>
    </row>
    <row r="2710" spans="1:7" ht="14.25" customHeight="1">
      <c r="A2710" s="2" t="s">
        <v>15</v>
      </c>
      <c r="B2710" s="2">
        <v>1986</v>
      </c>
      <c r="C2710" s="2" t="s">
        <v>63</v>
      </c>
      <c r="D2710" s="2">
        <v>3393</v>
      </c>
      <c r="E2710" s="3">
        <f t="shared" si="25"/>
        <v>3.3929999999999998</v>
      </c>
      <c r="G2710" s="2">
        <f t="shared" si="26"/>
        <v>3.3929999999999998</v>
      </c>
    </row>
    <row r="2711" spans="1:7" ht="14.25" customHeight="1">
      <c r="A2711" s="2" t="s">
        <v>15</v>
      </c>
      <c r="B2711" s="2">
        <v>1987</v>
      </c>
      <c r="C2711" s="2" t="s">
        <v>63</v>
      </c>
      <c r="D2711" s="2">
        <v>3344</v>
      </c>
      <c r="E2711" s="3">
        <f t="shared" si="25"/>
        <v>3.3439999999999999</v>
      </c>
      <c r="G2711" s="2">
        <f t="shared" si="26"/>
        <v>3.3439999999999999</v>
      </c>
    </row>
    <row r="2712" spans="1:7" ht="14.25" customHeight="1">
      <c r="A2712" s="2" t="s">
        <v>15</v>
      </c>
      <c r="B2712" s="2">
        <v>1988</v>
      </c>
      <c r="C2712" s="2" t="s">
        <v>63</v>
      </c>
      <c r="D2712" s="2">
        <v>3222</v>
      </c>
      <c r="E2712" s="3">
        <f t="shared" si="25"/>
        <v>3.222</v>
      </c>
      <c r="G2712" s="2">
        <f t="shared" si="26"/>
        <v>3.222</v>
      </c>
    </row>
    <row r="2713" spans="1:7" ht="14.25" customHeight="1">
      <c r="A2713" s="2" t="s">
        <v>15</v>
      </c>
      <c r="B2713" s="2">
        <v>1989</v>
      </c>
      <c r="C2713" s="2" t="s">
        <v>63</v>
      </c>
      <c r="D2713" s="2">
        <v>3432</v>
      </c>
      <c r="E2713" s="3">
        <f t="shared" si="25"/>
        <v>3.4319999999999999</v>
      </c>
      <c r="G2713" s="2">
        <f t="shared" si="26"/>
        <v>3.4319999999999999</v>
      </c>
    </row>
    <row r="2714" spans="1:7" ht="14.25" customHeight="1">
      <c r="A2714" s="2" t="s">
        <v>15</v>
      </c>
      <c r="B2714" s="2">
        <v>1990</v>
      </c>
      <c r="C2714" s="2" t="s">
        <v>63</v>
      </c>
      <c r="D2714" s="2">
        <v>4359</v>
      </c>
      <c r="E2714" s="3">
        <f t="shared" si="25"/>
        <v>4.359</v>
      </c>
      <c r="G2714" s="2">
        <f t="shared" si="26"/>
        <v>4.359</v>
      </c>
    </row>
    <row r="2715" spans="1:7" ht="14.25" customHeight="1">
      <c r="A2715" s="2" t="s">
        <v>15</v>
      </c>
      <c r="B2715" s="2">
        <v>1991</v>
      </c>
      <c r="C2715" s="2" t="s">
        <v>63</v>
      </c>
      <c r="D2715" s="2">
        <v>4486</v>
      </c>
      <c r="E2715" s="3">
        <f t="shared" si="25"/>
        <v>4.4859999999999998</v>
      </c>
      <c r="G2715" s="2">
        <f t="shared" si="26"/>
        <v>4.4859999999999998</v>
      </c>
    </row>
    <row r="2716" spans="1:7" ht="14.25" customHeight="1">
      <c r="A2716" s="2" t="s">
        <v>15</v>
      </c>
      <c r="B2716" s="2">
        <v>1992</v>
      </c>
      <c r="C2716" s="2" t="s">
        <v>63</v>
      </c>
      <c r="D2716" s="2">
        <v>3793</v>
      </c>
      <c r="E2716" s="3">
        <f t="shared" si="25"/>
        <v>3.7930000000000001</v>
      </c>
      <c r="G2716" s="2">
        <f t="shared" si="26"/>
        <v>3.7930000000000001</v>
      </c>
    </row>
    <row r="2717" spans="1:7" ht="14.25" customHeight="1">
      <c r="A2717" s="2" t="s">
        <v>15</v>
      </c>
      <c r="B2717" s="2">
        <v>1993</v>
      </c>
      <c r="C2717" s="2" t="s">
        <v>63</v>
      </c>
      <c r="D2717" s="2">
        <v>3433</v>
      </c>
      <c r="E2717" s="3">
        <f t="shared" si="25"/>
        <v>3.4329999999999998</v>
      </c>
      <c r="G2717" s="2">
        <f t="shared" si="26"/>
        <v>3.4329999999999998</v>
      </c>
    </row>
    <row r="2718" spans="1:7" ht="14.25" customHeight="1">
      <c r="A2718" s="2" t="s">
        <v>15</v>
      </c>
      <c r="B2718" s="2">
        <v>1994</v>
      </c>
      <c r="C2718" s="2" t="s">
        <v>63</v>
      </c>
      <c r="D2718" s="2">
        <v>3589</v>
      </c>
      <c r="E2718" s="3">
        <f t="shared" si="25"/>
        <v>3.589</v>
      </c>
      <c r="G2718" s="2">
        <f t="shared" si="26"/>
        <v>3.589</v>
      </c>
    </row>
    <row r="2719" spans="1:7" ht="14.25" customHeight="1">
      <c r="A2719" s="2" t="s">
        <v>15</v>
      </c>
      <c r="B2719" s="2">
        <v>1995</v>
      </c>
      <c r="C2719" s="2" t="s">
        <v>63</v>
      </c>
      <c r="D2719" s="2">
        <v>3530</v>
      </c>
      <c r="E2719" s="3">
        <f t="shared" si="25"/>
        <v>3.53</v>
      </c>
      <c r="G2719" s="2">
        <f t="shared" si="26"/>
        <v>3.53</v>
      </c>
    </row>
    <row r="2720" spans="1:7" ht="14.25" customHeight="1">
      <c r="A2720" s="2" t="s">
        <v>15</v>
      </c>
      <c r="B2720" s="2">
        <v>1996</v>
      </c>
      <c r="C2720" s="2" t="s">
        <v>63</v>
      </c>
      <c r="D2720" s="2">
        <v>3023</v>
      </c>
      <c r="E2720" s="3">
        <f t="shared" si="25"/>
        <v>3.0230000000000001</v>
      </c>
      <c r="G2720" s="2">
        <f t="shared" si="26"/>
        <v>3.0230000000000001</v>
      </c>
    </row>
    <row r="2721" spans="1:7" ht="14.25" customHeight="1">
      <c r="A2721" s="2" t="s">
        <v>15</v>
      </c>
      <c r="B2721" s="2">
        <v>1997</v>
      </c>
      <c r="C2721" s="2" t="s">
        <v>63</v>
      </c>
      <c r="D2721" s="2">
        <v>2672</v>
      </c>
      <c r="E2721" s="3">
        <f t="shared" si="25"/>
        <v>2.6720000000000002</v>
      </c>
      <c r="G2721" s="2">
        <f t="shared" si="26"/>
        <v>2.6720000000000002</v>
      </c>
    </row>
    <row r="2722" spans="1:7" ht="14.25" customHeight="1">
      <c r="A2722" s="2" t="s">
        <v>15</v>
      </c>
      <c r="B2722" s="2">
        <v>1998</v>
      </c>
      <c r="C2722" s="2" t="s">
        <v>63</v>
      </c>
      <c r="D2722" s="2">
        <v>2561</v>
      </c>
      <c r="E2722" s="3">
        <f t="shared" si="25"/>
        <v>2.5609999999999999</v>
      </c>
      <c r="G2722" s="2">
        <f t="shared" si="26"/>
        <v>2.5609999999999999</v>
      </c>
    </row>
    <row r="2723" spans="1:7" ht="14.25" customHeight="1">
      <c r="A2723" s="2" t="s">
        <v>15</v>
      </c>
      <c r="B2723" s="2">
        <v>1999</v>
      </c>
      <c r="C2723" s="2" t="s">
        <v>63</v>
      </c>
      <c r="D2723" s="2">
        <v>2808</v>
      </c>
      <c r="E2723" s="3">
        <f t="shared" si="25"/>
        <v>2.8079999999999998</v>
      </c>
      <c r="G2723" s="2">
        <f t="shared" si="26"/>
        <v>2.8079999999999998</v>
      </c>
    </row>
    <row r="2724" spans="1:7" ht="14.25" customHeight="1">
      <c r="A2724" s="2" t="s">
        <v>15</v>
      </c>
      <c r="B2724" s="2">
        <v>2000</v>
      </c>
      <c r="C2724" s="2" t="s">
        <v>63</v>
      </c>
      <c r="D2724" s="2">
        <v>2443</v>
      </c>
      <c r="E2724" s="3">
        <f t="shared" si="25"/>
        <v>2.4430000000000001</v>
      </c>
      <c r="G2724" s="2">
        <f t="shared" si="26"/>
        <v>2.4430000000000001</v>
      </c>
    </row>
    <row r="2725" spans="1:7" ht="14.25" customHeight="1">
      <c r="A2725" s="2" t="s">
        <v>15</v>
      </c>
      <c r="B2725" s="2">
        <v>2001</v>
      </c>
      <c r="C2725" s="2" t="s">
        <v>63</v>
      </c>
      <c r="D2725" s="2">
        <v>2719</v>
      </c>
      <c r="E2725" s="3">
        <f t="shared" si="25"/>
        <v>2.7189999999999999</v>
      </c>
      <c r="G2725" s="2">
        <f t="shared" si="26"/>
        <v>2.7189999999999999</v>
      </c>
    </row>
    <row r="2726" spans="1:7" ht="14.25" customHeight="1">
      <c r="A2726" s="2" t="s">
        <v>15</v>
      </c>
      <c r="B2726" s="2">
        <v>2002</v>
      </c>
      <c r="C2726" s="2" t="s">
        <v>63</v>
      </c>
      <c r="D2726" s="2">
        <v>2574</v>
      </c>
      <c r="E2726" s="3">
        <f t="shared" si="25"/>
        <v>2.5739999999999998</v>
      </c>
      <c r="G2726" s="2">
        <f t="shared" si="26"/>
        <v>2.5739999999999998</v>
      </c>
    </row>
    <row r="2727" spans="1:7" ht="14.25" customHeight="1">
      <c r="A2727" s="2" t="s">
        <v>15</v>
      </c>
      <c r="B2727" s="2">
        <v>2003</v>
      </c>
      <c r="C2727" s="2" t="s">
        <v>63</v>
      </c>
      <c r="D2727" s="2">
        <v>2758</v>
      </c>
      <c r="E2727" s="3">
        <f t="shared" si="25"/>
        <v>2.758</v>
      </c>
      <c r="G2727" s="2">
        <f t="shared" si="26"/>
        <v>2.758</v>
      </c>
    </row>
    <row r="2728" spans="1:7" ht="14.25" customHeight="1">
      <c r="A2728" s="2" t="s">
        <v>15</v>
      </c>
      <c r="B2728" s="2">
        <v>2004</v>
      </c>
      <c r="C2728" s="2" t="s">
        <v>63</v>
      </c>
      <c r="D2728" s="2">
        <v>2651</v>
      </c>
      <c r="E2728" s="3">
        <f t="shared" si="25"/>
        <v>2.6509999999999998</v>
      </c>
      <c r="G2728" s="2">
        <f t="shared" si="26"/>
        <v>2.6509999999999998</v>
      </c>
    </row>
    <row r="2729" spans="1:7" ht="14.25" customHeight="1">
      <c r="A2729" s="2" t="s">
        <v>15</v>
      </c>
      <c r="B2729" s="2">
        <v>2005</v>
      </c>
      <c r="C2729" s="2" t="s">
        <v>63</v>
      </c>
      <c r="D2729" s="2">
        <v>2329</v>
      </c>
      <c r="E2729" s="3">
        <f t="shared" si="25"/>
        <v>2.3290000000000002</v>
      </c>
      <c r="G2729" s="2">
        <f t="shared" si="26"/>
        <v>2.3290000000000002</v>
      </c>
    </row>
    <row r="2730" spans="1:7" ht="14.25" customHeight="1">
      <c r="A2730" s="2" t="s">
        <v>15</v>
      </c>
      <c r="B2730" s="2">
        <v>2006</v>
      </c>
      <c r="C2730" s="2" t="s">
        <v>63</v>
      </c>
      <c r="D2730" s="2">
        <v>2529.04</v>
      </c>
      <c r="E2730" s="3">
        <f t="shared" si="25"/>
        <v>2.5290400000000002</v>
      </c>
      <c r="G2730" s="2">
        <f t="shared" si="26"/>
        <v>2.5290400000000002</v>
      </c>
    </row>
    <row r="2731" spans="1:7" ht="14.25" customHeight="1">
      <c r="A2731" s="2" t="s">
        <v>15</v>
      </c>
      <c r="B2731" s="2">
        <v>2007</v>
      </c>
      <c r="C2731" s="2" t="s">
        <v>63</v>
      </c>
      <c r="D2731" s="2">
        <v>2945.74</v>
      </c>
      <c r="E2731" s="3">
        <f t="shared" si="25"/>
        <v>2.9457399999999998</v>
      </c>
      <c r="G2731" s="2">
        <f t="shared" si="26"/>
        <v>2.9457399999999998</v>
      </c>
    </row>
    <row r="2732" spans="1:7" ht="14.25" customHeight="1">
      <c r="A2732" s="2" t="s">
        <v>15</v>
      </c>
      <c r="B2732" s="2">
        <v>2008</v>
      </c>
      <c r="C2732" s="2" t="s">
        <v>63</v>
      </c>
      <c r="D2732" s="2">
        <v>2376.09</v>
      </c>
      <c r="E2732" s="3">
        <f t="shared" si="25"/>
        <v>2.37609</v>
      </c>
      <c r="G2732" s="2">
        <f t="shared" si="26"/>
        <v>2.37609</v>
      </c>
    </row>
    <row r="2733" spans="1:7" ht="14.25" customHeight="1">
      <c r="A2733" s="2" t="s">
        <v>15</v>
      </c>
      <c r="B2733" s="2">
        <v>2009</v>
      </c>
      <c r="C2733" s="2" t="s">
        <v>63</v>
      </c>
      <c r="D2733" s="2">
        <v>2361.46</v>
      </c>
      <c r="E2733" s="3">
        <f t="shared" si="25"/>
        <v>2.3614600000000001</v>
      </c>
      <c r="G2733" s="2">
        <f t="shared" si="26"/>
        <v>2.3614600000000001</v>
      </c>
    </row>
    <row r="2734" spans="1:7" ht="14.25" customHeight="1">
      <c r="A2734" s="2" t="s">
        <v>15</v>
      </c>
      <c r="B2734" s="2">
        <v>2010</v>
      </c>
      <c r="C2734" s="2" t="s">
        <v>63</v>
      </c>
      <c r="D2734" s="2">
        <v>2228.1999999999998</v>
      </c>
      <c r="E2734" s="3">
        <f t="shared" si="25"/>
        <v>2.2281999999999997</v>
      </c>
      <c r="G2734" s="2">
        <f t="shared" si="26"/>
        <v>2.2281999999999997</v>
      </c>
    </row>
    <row r="2735" spans="1:7" ht="14.25" customHeight="1">
      <c r="A2735" s="2" t="s">
        <v>15</v>
      </c>
      <c r="B2735" s="2">
        <v>2011</v>
      </c>
      <c r="C2735" s="2" t="s">
        <v>63</v>
      </c>
      <c r="D2735" s="2">
        <v>2201.23</v>
      </c>
      <c r="E2735" s="3">
        <f t="shared" si="25"/>
        <v>2.2012299999999998</v>
      </c>
      <c r="G2735" s="2">
        <f t="shared" si="26"/>
        <v>2.2012299999999998</v>
      </c>
    </row>
    <row r="2736" spans="1:7" ht="14.25" customHeight="1">
      <c r="A2736" s="2" t="s">
        <v>15</v>
      </c>
      <c r="B2736" s="2">
        <v>2012</v>
      </c>
      <c r="C2736" s="2" t="s">
        <v>63</v>
      </c>
      <c r="D2736" s="2">
        <v>1987.8</v>
      </c>
      <c r="E2736" s="3">
        <f t="shared" si="25"/>
        <v>1.9878</v>
      </c>
      <c r="G2736" s="2">
        <f t="shared" si="26"/>
        <v>1.9878</v>
      </c>
    </row>
    <row r="2737" spans="1:7" ht="14.25" customHeight="1">
      <c r="A2737" s="2" t="s">
        <v>15</v>
      </c>
      <c r="B2737" s="2">
        <v>2013</v>
      </c>
      <c r="C2737" s="2" t="s">
        <v>63</v>
      </c>
      <c r="D2737" s="2">
        <v>2272.7800000000002</v>
      </c>
      <c r="E2737" s="3">
        <f t="shared" si="25"/>
        <v>2.27278</v>
      </c>
      <c r="G2737" s="2">
        <f t="shared" si="26"/>
        <v>2.27278</v>
      </c>
    </row>
    <row r="2738" spans="1:7" ht="14.25" customHeight="1">
      <c r="A2738" s="2" t="s">
        <v>15</v>
      </c>
      <c r="B2738" s="2">
        <v>2014</v>
      </c>
      <c r="C2738" s="2" t="s">
        <v>63</v>
      </c>
      <c r="D2738" s="2">
        <v>2312.5500000000002</v>
      </c>
      <c r="E2738" s="3">
        <f t="shared" si="25"/>
        <v>2.3125500000000003</v>
      </c>
      <c r="G2738" s="2">
        <f t="shared" si="26"/>
        <v>2.3125500000000003</v>
      </c>
    </row>
    <row r="2739" spans="1:7" ht="14.25" customHeight="1">
      <c r="A2739" s="2" t="s">
        <v>15</v>
      </c>
      <c r="B2739" s="2">
        <v>2015</v>
      </c>
      <c r="C2739" s="2" t="s">
        <v>63</v>
      </c>
      <c r="D2739" s="2">
        <v>1937.46</v>
      </c>
      <c r="E2739" s="3">
        <f t="shared" si="25"/>
        <v>1.93746</v>
      </c>
      <c r="G2739" s="2">
        <f t="shared" si="26"/>
        <v>1.93746</v>
      </c>
    </row>
    <row r="2740" spans="1:7" ht="14.25" customHeight="1">
      <c r="A2740" s="2" t="s">
        <v>15</v>
      </c>
      <c r="B2740" s="2">
        <v>2016</v>
      </c>
      <c r="C2740" s="2" t="s">
        <v>63</v>
      </c>
      <c r="D2740" s="2">
        <v>1965.23</v>
      </c>
      <c r="E2740" s="3">
        <f t="shared" si="25"/>
        <v>1.96523</v>
      </c>
      <c r="G2740" s="2">
        <f t="shared" si="26"/>
        <v>1.96523</v>
      </c>
    </row>
    <row r="2741" spans="1:7" ht="14.25" customHeight="1">
      <c r="A2741" s="2" t="s">
        <v>15</v>
      </c>
      <c r="B2741" s="2">
        <v>2017</v>
      </c>
      <c r="C2741" s="2" t="s">
        <v>63</v>
      </c>
      <c r="D2741" s="2">
        <v>1799.29</v>
      </c>
      <c r="E2741" s="3">
        <f t="shared" si="25"/>
        <v>1.7992900000000001</v>
      </c>
      <c r="G2741" s="2">
        <f t="shared" si="26"/>
        <v>1.7992900000000001</v>
      </c>
    </row>
    <row r="2742" spans="1:7" ht="14.25" customHeight="1">
      <c r="A2742" s="2" t="s">
        <v>15</v>
      </c>
      <c r="B2742" s="2">
        <v>2018</v>
      </c>
      <c r="C2742" s="2" t="s">
        <v>63</v>
      </c>
      <c r="D2742" s="2">
        <v>1830.0440000000001</v>
      </c>
      <c r="E2742" s="3">
        <f t="shared" si="25"/>
        <v>1.830044</v>
      </c>
      <c r="G2742" s="2">
        <f t="shared" si="26"/>
        <v>1.830044</v>
      </c>
    </row>
    <row r="2743" spans="1:7" ht="14.25" customHeight="1">
      <c r="A2743" s="2" t="s">
        <v>15</v>
      </c>
      <c r="B2743" s="2">
        <v>1903</v>
      </c>
      <c r="C2743" s="2" t="s">
        <v>21</v>
      </c>
      <c r="D2743" s="2">
        <v>6829</v>
      </c>
      <c r="E2743" s="3">
        <f t="shared" si="25"/>
        <v>6.8289999999999997</v>
      </c>
      <c r="G2743" s="2">
        <f t="shared" si="26"/>
        <v>6.8289999999999997</v>
      </c>
    </row>
    <row r="2744" spans="1:7" ht="14.25" customHeight="1">
      <c r="A2744" s="2" t="s">
        <v>15</v>
      </c>
      <c r="B2744" s="2">
        <v>1904</v>
      </c>
      <c r="C2744" s="2" t="s">
        <v>21</v>
      </c>
      <c r="D2744" s="2">
        <v>6578</v>
      </c>
      <c r="E2744" s="3">
        <f t="shared" si="25"/>
        <v>6.5780000000000003</v>
      </c>
      <c r="G2744" s="2">
        <f t="shared" si="26"/>
        <v>6.5780000000000003</v>
      </c>
    </row>
    <row r="2745" spans="1:7" ht="14.25" customHeight="1">
      <c r="A2745" s="2" t="s">
        <v>15</v>
      </c>
      <c r="B2745" s="2">
        <v>1905</v>
      </c>
      <c r="C2745" s="2" t="s">
        <v>21</v>
      </c>
      <c r="D2745" s="2">
        <v>4626</v>
      </c>
      <c r="E2745" s="3">
        <f t="shared" si="25"/>
        <v>4.6260000000000003</v>
      </c>
      <c r="G2745" s="2">
        <f t="shared" si="26"/>
        <v>4.6260000000000003</v>
      </c>
    </row>
    <row r="2746" spans="1:7" ht="14.25" customHeight="1">
      <c r="A2746" s="2" t="s">
        <v>15</v>
      </c>
      <c r="B2746" s="2">
        <v>1906</v>
      </c>
      <c r="C2746" s="2" t="s">
        <v>21</v>
      </c>
      <c r="D2746" s="2">
        <v>2627</v>
      </c>
      <c r="E2746" s="3">
        <f t="shared" si="25"/>
        <v>2.6269999999999998</v>
      </c>
      <c r="G2746" s="2">
        <f t="shared" si="26"/>
        <v>2.6269999999999998</v>
      </c>
    </row>
    <row r="2747" spans="1:7" ht="14.25" customHeight="1">
      <c r="A2747" s="2" t="s">
        <v>15</v>
      </c>
      <c r="B2747" s="2">
        <v>1907</v>
      </c>
      <c r="C2747" s="2" t="s">
        <v>21</v>
      </c>
      <c r="D2747" s="2">
        <v>3810</v>
      </c>
      <c r="E2747" s="3">
        <f t="shared" si="25"/>
        <v>3.81</v>
      </c>
      <c r="G2747" s="2">
        <f t="shared" si="26"/>
        <v>3.81</v>
      </c>
    </row>
    <row r="2748" spans="1:7" ht="14.25" customHeight="1">
      <c r="A2748" s="2" t="s">
        <v>15</v>
      </c>
      <c r="B2748" s="2">
        <v>1908</v>
      </c>
      <c r="C2748" s="2" t="s">
        <v>21</v>
      </c>
      <c r="D2748" s="2">
        <v>4329</v>
      </c>
      <c r="E2748" s="3">
        <f t="shared" si="25"/>
        <v>4.3289999999999997</v>
      </c>
      <c r="G2748" s="2">
        <f t="shared" si="26"/>
        <v>4.3289999999999997</v>
      </c>
    </row>
    <row r="2749" spans="1:7" ht="14.25" customHeight="1">
      <c r="A2749" s="2" t="s">
        <v>15</v>
      </c>
      <c r="B2749" s="2">
        <v>1909</v>
      </c>
      <c r="C2749" s="2" t="s">
        <v>21</v>
      </c>
      <c r="D2749" s="2">
        <v>4869</v>
      </c>
      <c r="E2749" s="3">
        <f t="shared" si="25"/>
        <v>4.8689999999999998</v>
      </c>
      <c r="G2749" s="2">
        <f t="shared" si="26"/>
        <v>4.8689999999999998</v>
      </c>
    </row>
    <row r="2750" spans="1:7" ht="14.25" customHeight="1">
      <c r="A2750" s="2" t="s">
        <v>15</v>
      </c>
      <c r="B2750" s="2">
        <v>1910</v>
      </c>
      <c r="C2750" s="2" t="s">
        <v>21</v>
      </c>
      <c r="D2750" s="2">
        <v>4246</v>
      </c>
      <c r="E2750" s="3">
        <f t="shared" si="25"/>
        <v>4.2460000000000004</v>
      </c>
      <c r="G2750" s="2">
        <f t="shared" si="26"/>
        <v>4.2460000000000004</v>
      </c>
    </row>
    <row r="2751" spans="1:7" ht="14.25" customHeight="1">
      <c r="A2751" s="2" t="s">
        <v>15</v>
      </c>
      <c r="B2751" s="2">
        <v>1911</v>
      </c>
      <c r="C2751" s="2" t="s">
        <v>21</v>
      </c>
      <c r="D2751" s="2">
        <v>5054</v>
      </c>
      <c r="E2751" s="3">
        <f t="shared" si="25"/>
        <v>5.0540000000000003</v>
      </c>
      <c r="G2751" s="2">
        <f t="shared" si="26"/>
        <v>5.0540000000000003</v>
      </c>
    </row>
    <row r="2752" spans="1:7" ht="14.25" customHeight="1">
      <c r="A2752" s="2" t="s">
        <v>15</v>
      </c>
      <c r="B2752" s="2">
        <v>1912</v>
      </c>
      <c r="C2752" s="2" t="s">
        <v>21</v>
      </c>
      <c r="D2752" s="2">
        <v>4103</v>
      </c>
      <c r="E2752" s="3">
        <f t="shared" si="25"/>
        <v>4.1029999999999998</v>
      </c>
      <c r="G2752" s="2">
        <f t="shared" si="26"/>
        <v>4.1029999999999998</v>
      </c>
    </row>
    <row r="2753" spans="1:7" ht="14.25" customHeight="1">
      <c r="A2753" s="2" t="s">
        <v>15</v>
      </c>
      <c r="B2753" s="2">
        <v>1913</v>
      </c>
      <c r="C2753" s="2" t="s">
        <v>21</v>
      </c>
      <c r="D2753" s="2">
        <v>4303</v>
      </c>
      <c r="E2753" s="3">
        <f t="shared" si="25"/>
        <v>4.3029999999999999</v>
      </c>
      <c r="G2753" s="2">
        <f t="shared" si="26"/>
        <v>4.3029999999999999</v>
      </c>
    </row>
    <row r="2754" spans="1:7" ht="14.25" customHeight="1">
      <c r="A2754" s="2" t="s">
        <v>15</v>
      </c>
      <c r="B2754" s="2">
        <v>1914</v>
      </c>
      <c r="C2754" s="2" t="s">
        <v>21</v>
      </c>
      <c r="D2754" s="2">
        <v>5886</v>
      </c>
      <c r="E2754" s="3">
        <f t="shared" si="25"/>
        <v>5.8860000000000001</v>
      </c>
      <c r="G2754" s="2">
        <f t="shared" si="26"/>
        <v>5.8860000000000001</v>
      </c>
    </row>
    <row r="2755" spans="1:7" ht="14.25" customHeight="1">
      <c r="A2755" s="2" t="s">
        <v>15</v>
      </c>
      <c r="B2755" s="2">
        <v>1915</v>
      </c>
      <c r="C2755" s="2" t="s">
        <v>21</v>
      </c>
      <c r="D2755" s="2">
        <v>4987</v>
      </c>
      <c r="E2755" s="3">
        <f t="shared" si="25"/>
        <v>4.9870000000000001</v>
      </c>
      <c r="G2755" s="2">
        <f t="shared" si="26"/>
        <v>4.9870000000000001</v>
      </c>
    </row>
    <row r="2756" spans="1:7" ht="14.25" customHeight="1">
      <c r="A2756" s="2" t="s">
        <v>15</v>
      </c>
      <c r="B2756" s="2">
        <v>1916</v>
      </c>
      <c r="C2756" s="2" t="s">
        <v>21</v>
      </c>
      <c r="D2756" s="2">
        <v>3063</v>
      </c>
      <c r="E2756" s="3">
        <f t="shared" si="25"/>
        <v>3.0630000000000002</v>
      </c>
      <c r="G2756" s="2">
        <f t="shared" si="26"/>
        <v>3.0630000000000002</v>
      </c>
    </row>
    <row r="2757" spans="1:7" ht="14.25" customHeight="1">
      <c r="A2757" s="2" t="s">
        <v>15</v>
      </c>
      <c r="B2757" s="2">
        <v>1917</v>
      </c>
      <c r="C2757" s="2" t="s">
        <v>21</v>
      </c>
      <c r="D2757" s="2">
        <v>5301</v>
      </c>
      <c r="E2757" s="3">
        <f t="shared" si="25"/>
        <v>5.3010000000000002</v>
      </c>
      <c r="G2757" s="2">
        <f t="shared" si="26"/>
        <v>5.3010000000000002</v>
      </c>
    </row>
    <row r="2758" spans="1:7" ht="14.25" customHeight="1">
      <c r="A2758" s="2" t="s">
        <v>15</v>
      </c>
      <c r="B2758" s="2">
        <v>1918</v>
      </c>
      <c r="C2758" s="2" t="s">
        <v>21</v>
      </c>
      <c r="D2758" s="2">
        <v>7000</v>
      </c>
      <c r="E2758" s="3">
        <f t="shared" si="25"/>
        <v>7</v>
      </c>
      <c r="G2758" s="2">
        <f t="shared" si="26"/>
        <v>7</v>
      </c>
    </row>
    <row r="2759" spans="1:7" ht="14.25" customHeight="1">
      <c r="A2759" s="2" t="s">
        <v>15</v>
      </c>
      <c r="B2759" s="2">
        <v>1919</v>
      </c>
      <c r="C2759" s="2" t="s">
        <v>21</v>
      </c>
      <c r="D2759" s="2">
        <v>7417</v>
      </c>
      <c r="E2759" s="3">
        <f t="shared" si="25"/>
        <v>7.4169999999999998</v>
      </c>
      <c r="G2759" s="2">
        <f t="shared" si="26"/>
        <v>7.4169999999999998</v>
      </c>
    </row>
    <row r="2760" spans="1:7" ht="14.25" customHeight="1">
      <c r="A2760" s="2" t="s">
        <v>15</v>
      </c>
      <c r="B2760" s="2">
        <v>1920</v>
      </c>
      <c r="C2760" s="2" t="s">
        <v>21</v>
      </c>
      <c r="D2760" s="2">
        <v>5540</v>
      </c>
      <c r="E2760" s="3">
        <f t="shared" si="25"/>
        <v>5.54</v>
      </c>
      <c r="G2760" s="2">
        <f t="shared" si="26"/>
        <v>5.54</v>
      </c>
    </row>
    <row r="2761" spans="1:7" ht="14.25" customHeight="1">
      <c r="A2761" s="2" t="s">
        <v>15</v>
      </c>
      <c r="B2761" s="2">
        <v>1921</v>
      </c>
      <c r="C2761" s="2" t="s">
        <v>21</v>
      </c>
      <c r="D2761" s="2">
        <v>6752</v>
      </c>
      <c r="E2761" s="3">
        <f t="shared" si="25"/>
        <v>6.7519999999999998</v>
      </c>
      <c r="G2761" s="2">
        <f t="shared" si="26"/>
        <v>6.7519999999999998</v>
      </c>
    </row>
    <row r="2762" spans="1:7" ht="14.25" customHeight="1">
      <c r="A2762" s="2" t="s">
        <v>15</v>
      </c>
      <c r="B2762" s="2">
        <v>1922</v>
      </c>
      <c r="C2762" s="2" t="s">
        <v>21</v>
      </c>
      <c r="D2762" s="2">
        <v>6362</v>
      </c>
      <c r="E2762" s="3">
        <f t="shared" si="25"/>
        <v>6.3620000000000001</v>
      </c>
      <c r="G2762" s="2">
        <f t="shared" si="26"/>
        <v>6.3620000000000001</v>
      </c>
    </row>
    <row r="2763" spans="1:7" ht="14.25" customHeight="1">
      <c r="A2763" s="2" t="s">
        <v>15</v>
      </c>
      <c r="B2763" s="2">
        <v>1923</v>
      </c>
      <c r="C2763" s="2" t="s">
        <v>21</v>
      </c>
      <c r="D2763" s="2">
        <v>6125</v>
      </c>
      <c r="E2763" s="3">
        <f t="shared" si="25"/>
        <v>6.125</v>
      </c>
      <c r="G2763" s="2">
        <f t="shared" si="26"/>
        <v>6.125</v>
      </c>
    </row>
    <row r="2764" spans="1:7" ht="14.25" customHeight="1">
      <c r="A2764" s="2" t="s">
        <v>15</v>
      </c>
      <c r="B2764" s="2">
        <v>1924</v>
      </c>
      <c r="C2764" s="2" t="s">
        <v>21</v>
      </c>
      <c r="D2764" s="2">
        <v>12420</v>
      </c>
      <c r="E2764" s="3">
        <f t="shared" si="25"/>
        <v>12.42</v>
      </c>
      <c r="G2764" s="2">
        <f t="shared" si="26"/>
        <v>12.42</v>
      </c>
    </row>
    <row r="2765" spans="1:7" ht="14.25" customHeight="1">
      <c r="A2765" s="2" t="s">
        <v>15</v>
      </c>
      <c r="B2765" s="2">
        <v>1925</v>
      </c>
      <c r="C2765" s="2" t="s">
        <v>21</v>
      </c>
      <c r="D2765" s="2">
        <v>4110</v>
      </c>
      <c r="E2765" s="3">
        <f t="shared" si="25"/>
        <v>4.1100000000000003</v>
      </c>
      <c r="G2765" s="2">
        <f t="shared" si="26"/>
        <v>4.1100000000000003</v>
      </c>
    </row>
    <row r="2766" spans="1:7" ht="14.25" customHeight="1">
      <c r="A2766" s="2" t="s">
        <v>15</v>
      </c>
      <c r="B2766" s="2">
        <v>1926</v>
      </c>
      <c r="C2766" s="2" t="s">
        <v>21</v>
      </c>
      <c r="D2766" s="2">
        <v>4327</v>
      </c>
      <c r="E2766" s="3">
        <f t="shared" si="25"/>
        <v>4.327</v>
      </c>
      <c r="G2766" s="2">
        <f t="shared" si="26"/>
        <v>4.327</v>
      </c>
    </row>
    <row r="2767" spans="1:7" ht="14.25" customHeight="1">
      <c r="A2767" s="2" t="s">
        <v>15</v>
      </c>
      <c r="B2767" s="2">
        <v>1927</v>
      </c>
      <c r="C2767" s="2" t="s">
        <v>21</v>
      </c>
      <c r="D2767" s="2">
        <v>4929</v>
      </c>
      <c r="E2767" s="3">
        <f t="shared" si="25"/>
        <v>4.9290000000000003</v>
      </c>
      <c r="G2767" s="2">
        <f t="shared" si="26"/>
        <v>4.9290000000000003</v>
      </c>
    </row>
    <row r="2768" spans="1:7" ht="14.25" customHeight="1">
      <c r="A2768" s="2" t="s">
        <v>15</v>
      </c>
      <c r="B2768" s="2">
        <v>1928</v>
      </c>
      <c r="C2768" s="2" t="s">
        <v>21</v>
      </c>
      <c r="D2768" s="2">
        <v>2989</v>
      </c>
      <c r="E2768" s="3">
        <f t="shared" si="25"/>
        <v>2.9889999999999999</v>
      </c>
      <c r="G2768" s="2">
        <f t="shared" si="26"/>
        <v>2.9889999999999999</v>
      </c>
    </row>
    <row r="2769" spans="1:7" ht="14.25" customHeight="1">
      <c r="A2769" s="2" t="s">
        <v>15</v>
      </c>
      <c r="B2769" s="2">
        <v>1929</v>
      </c>
      <c r="C2769" s="2" t="s">
        <v>21</v>
      </c>
      <c r="D2769" s="2">
        <v>7508</v>
      </c>
      <c r="E2769" s="3">
        <f t="shared" si="25"/>
        <v>7.508</v>
      </c>
      <c r="G2769" s="2">
        <f t="shared" si="26"/>
        <v>7.508</v>
      </c>
    </row>
    <row r="2770" spans="1:7" ht="14.25" customHeight="1">
      <c r="A2770" s="2" t="s">
        <v>15</v>
      </c>
      <c r="B2770" s="2">
        <v>1930</v>
      </c>
      <c r="C2770" s="2" t="s">
        <v>21</v>
      </c>
      <c r="D2770" s="2">
        <v>6405</v>
      </c>
      <c r="E2770" s="3">
        <f t="shared" si="25"/>
        <v>6.4050000000000002</v>
      </c>
      <c r="G2770" s="2">
        <f t="shared" si="26"/>
        <v>6.4050000000000002</v>
      </c>
    </row>
    <row r="2771" spans="1:7" ht="14.25" customHeight="1">
      <c r="A2771" s="2" t="s">
        <v>15</v>
      </c>
      <c r="B2771" s="2">
        <v>1931</v>
      </c>
      <c r="C2771" s="2" t="s">
        <v>21</v>
      </c>
      <c r="D2771" s="2">
        <v>6124</v>
      </c>
      <c r="E2771" s="3">
        <f t="shared" si="25"/>
        <v>6.1239999999999997</v>
      </c>
      <c r="G2771" s="2">
        <f t="shared" si="26"/>
        <v>6.1239999999999997</v>
      </c>
    </row>
    <row r="2772" spans="1:7" ht="14.25" customHeight="1">
      <c r="A2772" s="2" t="s">
        <v>15</v>
      </c>
      <c r="B2772" s="2">
        <v>1932</v>
      </c>
      <c r="C2772" s="2" t="s">
        <v>21</v>
      </c>
      <c r="D2772" s="2">
        <v>5629</v>
      </c>
      <c r="E2772" s="3">
        <f t="shared" si="25"/>
        <v>5.6289999999999996</v>
      </c>
      <c r="G2772" s="2">
        <f t="shared" si="26"/>
        <v>5.6289999999999996</v>
      </c>
    </row>
    <row r="2773" spans="1:7" ht="14.25" customHeight="1">
      <c r="A2773" s="2" t="s">
        <v>15</v>
      </c>
      <c r="B2773" s="2">
        <v>1933</v>
      </c>
      <c r="C2773" s="2" t="s">
        <v>21</v>
      </c>
      <c r="D2773" s="2">
        <v>5166</v>
      </c>
      <c r="E2773" s="3">
        <f t="shared" si="25"/>
        <v>5.1660000000000004</v>
      </c>
      <c r="G2773" s="2">
        <f t="shared" si="26"/>
        <v>5.1660000000000004</v>
      </c>
    </row>
    <row r="2774" spans="1:7" ht="14.25" customHeight="1">
      <c r="A2774" s="2" t="s">
        <v>15</v>
      </c>
      <c r="B2774" s="2">
        <v>1934</v>
      </c>
      <c r="C2774" s="2" t="s">
        <v>21</v>
      </c>
      <c r="D2774" s="2">
        <v>6755</v>
      </c>
      <c r="E2774" s="3">
        <f t="shared" si="25"/>
        <v>6.7549999999999999</v>
      </c>
      <c r="G2774" s="2">
        <f t="shared" si="26"/>
        <v>6.7549999999999999</v>
      </c>
    </row>
    <row r="2775" spans="1:7" ht="14.25" customHeight="1">
      <c r="A2775" s="2" t="s">
        <v>15</v>
      </c>
      <c r="B2775" s="2">
        <v>1935</v>
      </c>
      <c r="C2775" s="2" t="s">
        <v>21</v>
      </c>
      <c r="D2775" s="2">
        <v>5321</v>
      </c>
      <c r="E2775" s="3">
        <f t="shared" si="25"/>
        <v>5.3209999999999997</v>
      </c>
      <c r="G2775" s="2">
        <f t="shared" si="26"/>
        <v>5.3209999999999997</v>
      </c>
    </row>
    <row r="2776" spans="1:7" ht="14.25" customHeight="1">
      <c r="A2776" s="2" t="s">
        <v>15</v>
      </c>
      <c r="B2776" s="2">
        <v>1936</v>
      </c>
      <c r="C2776" s="2" t="s">
        <v>21</v>
      </c>
      <c r="D2776" s="2">
        <v>6557</v>
      </c>
      <c r="E2776" s="3">
        <f t="shared" si="25"/>
        <v>6.5570000000000004</v>
      </c>
      <c r="G2776" s="2">
        <f t="shared" si="26"/>
        <v>6.5570000000000004</v>
      </c>
    </row>
    <row r="2777" spans="1:7" ht="14.25" customHeight="1">
      <c r="A2777" s="2" t="s">
        <v>15</v>
      </c>
      <c r="B2777" s="2">
        <v>1937</v>
      </c>
      <c r="C2777" s="2" t="s">
        <v>21</v>
      </c>
      <c r="D2777" s="2">
        <v>7680</v>
      </c>
      <c r="E2777" s="3">
        <f t="shared" si="25"/>
        <v>7.68</v>
      </c>
      <c r="G2777" s="2">
        <f t="shared" si="26"/>
        <v>7.68</v>
      </c>
    </row>
    <row r="2778" spans="1:7" ht="14.25" customHeight="1">
      <c r="A2778" s="2" t="s">
        <v>15</v>
      </c>
      <c r="B2778" s="2">
        <v>1938</v>
      </c>
      <c r="C2778" s="2" t="s">
        <v>21</v>
      </c>
      <c r="D2778" s="2">
        <v>6291</v>
      </c>
      <c r="E2778" s="3">
        <f t="shared" si="25"/>
        <v>6.2910000000000004</v>
      </c>
      <c r="G2778" s="2">
        <f t="shared" si="26"/>
        <v>6.2910000000000004</v>
      </c>
    </row>
    <row r="2779" spans="1:7" ht="14.25" customHeight="1">
      <c r="A2779" s="2" t="s">
        <v>15</v>
      </c>
      <c r="B2779" s="2">
        <v>1939</v>
      </c>
      <c r="C2779" s="2" t="s">
        <v>21</v>
      </c>
      <c r="D2779" s="2">
        <v>6185</v>
      </c>
      <c r="E2779" s="3">
        <f t="shared" si="25"/>
        <v>6.1849999999999996</v>
      </c>
      <c r="G2779" s="2">
        <f t="shared" si="26"/>
        <v>6.1849999999999996</v>
      </c>
    </row>
    <row r="2780" spans="1:7" ht="14.25" customHeight="1">
      <c r="A2780" s="2" t="s">
        <v>15</v>
      </c>
      <c r="B2780" s="2">
        <v>1940</v>
      </c>
      <c r="C2780" s="2" t="s">
        <v>21</v>
      </c>
      <c r="D2780" s="2">
        <v>3265</v>
      </c>
      <c r="E2780" s="3">
        <f t="shared" si="25"/>
        <v>3.2650000000000001</v>
      </c>
      <c r="G2780" s="2">
        <f t="shared" si="26"/>
        <v>3.2650000000000001</v>
      </c>
    </row>
    <row r="2781" spans="1:7" ht="14.25" customHeight="1">
      <c r="A2781" s="2" t="s">
        <v>15</v>
      </c>
      <c r="B2781" s="2">
        <v>1941</v>
      </c>
      <c r="C2781" s="2" t="s">
        <v>21</v>
      </c>
      <c r="D2781" s="2">
        <v>4342</v>
      </c>
      <c r="E2781" s="3">
        <f t="shared" si="25"/>
        <v>4.3419999999999996</v>
      </c>
      <c r="G2781" s="2">
        <f t="shared" si="26"/>
        <v>4.3419999999999996</v>
      </c>
    </row>
    <row r="2782" spans="1:7" ht="14.25" customHeight="1">
      <c r="A2782" s="2" t="s">
        <v>15</v>
      </c>
      <c r="B2782" s="2">
        <v>1942</v>
      </c>
      <c r="C2782" s="2" t="s">
        <v>21</v>
      </c>
      <c r="D2782" s="2">
        <v>1743</v>
      </c>
      <c r="E2782" s="3">
        <f t="shared" si="25"/>
        <v>1.7430000000000001</v>
      </c>
      <c r="G2782" s="2">
        <f t="shared" si="26"/>
        <v>1.7430000000000001</v>
      </c>
    </row>
    <row r="2783" spans="1:7" ht="14.25" customHeight="1">
      <c r="A2783" s="2" t="s">
        <v>15</v>
      </c>
      <c r="B2783" s="2">
        <v>1943</v>
      </c>
      <c r="C2783" s="2" t="s">
        <v>21</v>
      </c>
      <c r="D2783" s="2">
        <v>1910</v>
      </c>
      <c r="E2783" s="3">
        <f t="shared" si="25"/>
        <v>1.91</v>
      </c>
      <c r="G2783" s="2">
        <f t="shared" si="26"/>
        <v>1.91</v>
      </c>
    </row>
    <row r="2784" spans="1:7" ht="14.25" customHeight="1">
      <c r="A2784" s="2" t="s">
        <v>15</v>
      </c>
      <c r="B2784" s="2">
        <v>1944</v>
      </c>
      <c r="C2784" s="2" t="s">
        <v>21</v>
      </c>
      <c r="D2784" s="2">
        <v>3612</v>
      </c>
      <c r="E2784" s="3">
        <f t="shared" si="25"/>
        <v>3.6120000000000001</v>
      </c>
      <c r="G2784" s="2">
        <f t="shared" si="26"/>
        <v>3.6120000000000001</v>
      </c>
    </row>
    <row r="2785" spans="1:7" ht="14.25" customHeight="1">
      <c r="A2785" s="2" t="s">
        <v>15</v>
      </c>
      <c r="B2785" s="2">
        <v>1945</v>
      </c>
      <c r="C2785" s="2" t="s">
        <v>21</v>
      </c>
      <c r="D2785" s="2">
        <v>3343</v>
      </c>
      <c r="E2785" s="3">
        <f t="shared" si="25"/>
        <v>3.343</v>
      </c>
      <c r="G2785" s="2">
        <f t="shared" si="26"/>
        <v>3.343</v>
      </c>
    </row>
    <row r="2786" spans="1:7" ht="14.25" customHeight="1">
      <c r="A2786" s="2" t="s">
        <v>15</v>
      </c>
      <c r="B2786" s="2">
        <v>1946</v>
      </c>
      <c r="C2786" s="2" t="s">
        <v>21</v>
      </c>
      <c r="D2786" s="2">
        <v>2521</v>
      </c>
      <c r="E2786" s="3">
        <f t="shared" si="25"/>
        <v>2.5209999999999999</v>
      </c>
      <c r="G2786" s="2">
        <f t="shared" si="26"/>
        <v>2.5209999999999999</v>
      </c>
    </row>
    <row r="2787" spans="1:7" ht="14.25" customHeight="1">
      <c r="A2787" s="2" t="s">
        <v>15</v>
      </c>
      <c r="B2787" s="2">
        <v>1947</v>
      </c>
      <c r="C2787" s="2" t="s">
        <v>21</v>
      </c>
      <c r="D2787" s="2">
        <v>2940</v>
      </c>
      <c r="E2787" s="3">
        <f t="shared" si="25"/>
        <v>2.94</v>
      </c>
      <c r="G2787" s="2">
        <f t="shared" si="26"/>
        <v>2.94</v>
      </c>
    </row>
    <row r="2788" spans="1:7" ht="14.25" customHeight="1">
      <c r="A2788" s="2" t="s">
        <v>15</v>
      </c>
      <c r="B2788" s="2">
        <v>1948</v>
      </c>
      <c r="C2788" s="2" t="s">
        <v>21</v>
      </c>
      <c r="D2788" s="2">
        <v>4083</v>
      </c>
      <c r="E2788" s="3">
        <f t="shared" si="25"/>
        <v>4.0830000000000002</v>
      </c>
      <c r="G2788" s="2">
        <f t="shared" si="26"/>
        <v>4.0830000000000002</v>
      </c>
    </row>
    <row r="2789" spans="1:7" ht="14.25" customHeight="1">
      <c r="A2789" s="2" t="s">
        <v>15</v>
      </c>
      <c r="B2789" s="2">
        <v>1949</v>
      </c>
      <c r="C2789" s="2" t="s">
        <v>21</v>
      </c>
      <c r="D2789" s="2">
        <v>4406</v>
      </c>
      <c r="E2789" s="3">
        <f t="shared" si="25"/>
        <v>4.4059999999999997</v>
      </c>
      <c r="G2789" s="2">
        <f t="shared" si="26"/>
        <v>4.4059999999999997</v>
      </c>
    </row>
    <row r="2790" spans="1:7" ht="14.25" customHeight="1">
      <c r="A2790" s="2" t="s">
        <v>15</v>
      </c>
      <c r="B2790" s="2">
        <v>1950</v>
      </c>
      <c r="C2790" s="2" t="s">
        <v>21</v>
      </c>
      <c r="D2790" s="2">
        <v>3311</v>
      </c>
      <c r="E2790" s="3">
        <f t="shared" si="25"/>
        <v>3.3109999999999999</v>
      </c>
      <c r="G2790" s="2">
        <f t="shared" si="26"/>
        <v>3.3109999999999999</v>
      </c>
    </row>
    <row r="2791" spans="1:7" ht="14.25" customHeight="1">
      <c r="A2791" s="2" t="s">
        <v>15</v>
      </c>
      <c r="B2791" s="2">
        <v>1951</v>
      </c>
      <c r="C2791" s="2" t="s">
        <v>21</v>
      </c>
      <c r="D2791" s="2">
        <v>4443</v>
      </c>
      <c r="E2791" s="3">
        <f t="shared" si="25"/>
        <v>4.4429999999999996</v>
      </c>
      <c r="G2791" s="2">
        <f t="shared" si="26"/>
        <v>4.4429999999999996</v>
      </c>
    </row>
    <row r="2792" spans="1:7" ht="14.25" customHeight="1">
      <c r="A2792" s="2" t="s">
        <v>15</v>
      </c>
      <c r="B2792" s="2">
        <v>1952</v>
      </c>
      <c r="C2792" s="2" t="s">
        <v>21</v>
      </c>
      <c r="D2792" s="2">
        <v>12203</v>
      </c>
      <c r="E2792" s="3">
        <f t="shared" si="25"/>
        <v>12.202999999999999</v>
      </c>
      <c r="G2792" s="2">
        <f t="shared" si="26"/>
        <v>12.202999999999999</v>
      </c>
    </row>
    <row r="2793" spans="1:7" ht="14.25" customHeight="1">
      <c r="A2793" s="2" t="s">
        <v>15</v>
      </c>
      <c r="B2793" s="2">
        <v>1953</v>
      </c>
      <c r="C2793" s="2" t="s">
        <v>21</v>
      </c>
      <c r="D2793" s="2">
        <v>12291</v>
      </c>
      <c r="E2793" s="3">
        <f t="shared" si="25"/>
        <v>12.291</v>
      </c>
      <c r="G2793" s="2">
        <f t="shared" si="26"/>
        <v>12.291</v>
      </c>
    </row>
    <row r="2794" spans="1:7" ht="14.25" customHeight="1">
      <c r="A2794" s="2" t="s">
        <v>15</v>
      </c>
      <c r="B2794" s="2">
        <v>1954</v>
      </c>
      <c r="C2794" s="2" t="s">
        <v>21</v>
      </c>
      <c r="D2794" s="2">
        <v>6467</v>
      </c>
      <c r="E2794" s="3">
        <f t="shared" si="25"/>
        <v>6.4669999999999996</v>
      </c>
      <c r="G2794" s="2">
        <f t="shared" si="26"/>
        <v>6.4669999999999996</v>
      </c>
    </row>
    <row r="2795" spans="1:7" ht="14.25" customHeight="1">
      <c r="A2795" s="2" t="s">
        <v>15</v>
      </c>
      <c r="B2795" s="2">
        <v>1955</v>
      </c>
      <c r="C2795" s="2" t="s">
        <v>21</v>
      </c>
      <c r="D2795" s="2">
        <v>10939</v>
      </c>
      <c r="E2795" s="3">
        <f t="shared" si="25"/>
        <v>10.939</v>
      </c>
      <c r="G2795" s="2">
        <f t="shared" si="26"/>
        <v>10.939</v>
      </c>
    </row>
    <row r="2796" spans="1:7" ht="14.25" customHeight="1">
      <c r="A2796" s="2" t="s">
        <v>15</v>
      </c>
      <c r="B2796" s="2">
        <v>1956</v>
      </c>
      <c r="C2796" s="2" t="s">
        <v>21</v>
      </c>
      <c r="D2796" s="2">
        <v>7685</v>
      </c>
      <c r="E2796" s="3">
        <f t="shared" si="25"/>
        <v>7.6849999999999996</v>
      </c>
      <c r="G2796" s="2">
        <f t="shared" si="26"/>
        <v>7.6849999999999996</v>
      </c>
    </row>
    <row r="2797" spans="1:7" ht="14.25" customHeight="1">
      <c r="A2797" s="2" t="s">
        <v>15</v>
      </c>
      <c r="B2797" s="2">
        <v>1957</v>
      </c>
      <c r="C2797" s="2" t="s">
        <v>21</v>
      </c>
      <c r="D2797" s="2">
        <v>5714</v>
      </c>
      <c r="E2797" s="3">
        <f t="shared" si="25"/>
        <v>5.7140000000000004</v>
      </c>
      <c r="G2797" s="2">
        <f t="shared" si="26"/>
        <v>5.7140000000000004</v>
      </c>
    </row>
    <row r="2798" spans="1:7" ht="14.25" customHeight="1">
      <c r="A2798" s="2" t="s">
        <v>15</v>
      </c>
      <c r="B2798" s="2">
        <v>1958</v>
      </c>
      <c r="C2798" s="2" t="s">
        <v>21</v>
      </c>
      <c r="D2798" s="2">
        <v>6499</v>
      </c>
      <c r="E2798" s="3">
        <f t="shared" si="25"/>
        <v>6.4989999999999997</v>
      </c>
      <c r="G2798" s="2">
        <f t="shared" si="26"/>
        <v>6.4989999999999997</v>
      </c>
    </row>
    <row r="2799" spans="1:7" ht="14.25" customHeight="1">
      <c r="A2799" s="2" t="s">
        <v>15</v>
      </c>
      <c r="B2799" s="2">
        <v>1959</v>
      </c>
      <c r="C2799" s="2" t="s">
        <v>21</v>
      </c>
      <c r="D2799" s="2">
        <v>8002</v>
      </c>
      <c r="E2799" s="3">
        <f t="shared" si="25"/>
        <v>8.0020000000000007</v>
      </c>
      <c r="G2799" s="2">
        <f t="shared" si="26"/>
        <v>8.0020000000000007</v>
      </c>
    </row>
    <row r="2800" spans="1:7" ht="14.25" customHeight="1">
      <c r="A2800" s="2" t="s">
        <v>15</v>
      </c>
      <c r="B2800" s="2">
        <v>1960</v>
      </c>
      <c r="C2800" s="2" t="s">
        <v>21</v>
      </c>
      <c r="D2800" s="2">
        <v>3852</v>
      </c>
      <c r="E2800" s="3">
        <f t="shared" si="25"/>
        <v>3.8519999999999999</v>
      </c>
      <c r="G2800" s="2">
        <f t="shared" si="26"/>
        <v>3.8519999999999999</v>
      </c>
    </row>
    <row r="2801" spans="1:7" ht="14.25" customHeight="1">
      <c r="A2801" s="2" t="s">
        <v>15</v>
      </c>
      <c r="B2801" s="2">
        <v>1961</v>
      </c>
      <c r="C2801" s="2" t="s">
        <v>21</v>
      </c>
      <c r="D2801" s="2">
        <v>5312</v>
      </c>
      <c r="E2801" s="3">
        <f t="shared" si="25"/>
        <v>5.3120000000000003</v>
      </c>
      <c r="G2801" s="2">
        <f t="shared" si="26"/>
        <v>5.3120000000000003</v>
      </c>
    </row>
    <row r="2802" spans="1:7" ht="14.25" customHeight="1">
      <c r="A2802" s="2" t="s">
        <v>15</v>
      </c>
      <c r="B2802" s="2">
        <v>1962</v>
      </c>
      <c r="C2802" s="2" t="s">
        <v>21</v>
      </c>
      <c r="D2802" s="2">
        <v>13230</v>
      </c>
      <c r="E2802" s="3">
        <f t="shared" si="25"/>
        <v>13.23</v>
      </c>
      <c r="G2802" s="2">
        <f t="shared" si="26"/>
        <v>13.23</v>
      </c>
    </row>
    <row r="2803" spans="1:7" ht="14.25" customHeight="1">
      <c r="A2803" s="2" t="s">
        <v>15</v>
      </c>
      <c r="B2803" s="2">
        <v>1963</v>
      </c>
      <c r="C2803" s="2" t="s">
        <v>21</v>
      </c>
      <c r="D2803" s="2">
        <v>36700</v>
      </c>
      <c r="E2803" s="3">
        <f t="shared" si="25"/>
        <v>36.700000000000003</v>
      </c>
      <c r="G2803" s="2">
        <f t="shared" si="26"/>
        <v>36.700000000000003</v>
      </c>
    </row>
    <row r="2804" spans="1:7" ht="14.25" customHeight="1">
      <c r="A2804" s="2" t="s">
        <v>15</v>
      </c>
      <c r="B2804" s="2">
        <v>1964</v>
      </c>
      <c r="C2804" s="2" t="s">
        <v>21</v>
      </c>
      <c r="D2804" s="2">
        <v>37618</v>
      </c>
      <c r="E2804" s="3">
        <f t="shared" si="25"/>
        <v>37.618000000000002</v>
      </c>
      <c r="G2804" s="2">
        <f t="shared" si="26"/>
        <v>37.618000000000002</v>
      </c>
    </row>
    <row r="2805" spans="1:7" ht="14.25" customHeight="1">
      <c r="A2805" s="2" t="s">
        <v>15</v>
      </c>
      <c r="B2805" s="2">
        <v>1965</v>
      </c>
      <c r="C2805" s="2" t="s">
        <v>21</v>
      </c>
      <c r="D2805" s="2">
        <v>60076</v>
      </c>
      <c r="E2805" s="3">
        <f t="shared" si="25"/>
        <v>60.076000000000001</v>
      </c>
      <c r="G2805" s="2">
        <f t="shared" si="26"/>
        <v>60.076000000000001</v>
      </c>
    </row>
    <row r="2806" spans="1:7" ht="14.25" customHeight="1">
      <c r="A2806" s="2" t="s">
        <v>15</v>
      </c>
      <c r="B2806" s="2">
        <v>1966</v>
      </c>
      <c r="C2806" s="2" t="s">
        <v>21</v>
      </c>
      <c r="D2806" s="2">
        <v>79841</v>
      </c>
      <c r="E2806" s="3">
        <f t="shared" si="25"/>
        <v>79.840999999999994</v>
      </c>
      <c r="G2806" s="2">
        <f t="shared" si="26"/>
        <v>79.840999999999994</v>
      </c>
    </row>
    <row r="2807" spans="1:7" ht="14.25" customHeight="1">
      <c r="A2807" s="2" t="s">
        <v>15</v>
      </c>
      <c r="B2807" s="2">
        <v>1967</v>
      </c>
      <c r="C2807" s="2" t="s">
        <v>21</v>
      </c>
      <c r="D2807" s="2">
        <v>44174</v>
      </c>
      <c r="E2807" s="3">
        <f t="shared" ref="E2807:E2974" si="27">D2807/1000</f>
        <v>44.173999999999999</v>
      </c>
      <c r="G2807" s="2">
        <f t="shared" ref="G2807:G2974" si="28">E2807+F2807</f>
        <v>44.173999999999999</v>
      </c>
    </row>
    <row r="2808" spans="1:7" ht="14.25" customHeight="1">
      <c r="A2808" s="2" t="s">
        <v>15</v>
      </c>
      <c r="B2808" s="2">
        <v>1968</v>
      </c>
      <c r="C2808" s="2" t="s">
        <v>21</v>
      </c>
      <c r="D2808" s="2">
        <v>41420</v>
      </c>
      <c r="E2808" s="3">
        <f t="shared" si="27"/>
        <v>41.42</v>
      </c>
      <c r="G2808" s="2">
        <f t="shared" si="28"/>
        <v>41.42</v>
      </c>
    </row>
    <row r="2809" spans="1:7" ht="14.25" customHeight="1">
      <c r="A2809" s="2" t="s">
        <v>15</v>
      </c>
      <c r="B2809" s="2">
        <v>1969</v>
      </c>
      <c r="C2809" s="2" t="s">
        <v>21</v>
      </c>
      <c r="D2809" s="2">
        <v>47279</v>
      </c>
      <c r="E2809" s="3">
        <f t="shared" si="27"/>
        <v>47.279000000000003</v>
      </c>
      <c r="G2809" s="2">
        <f t="shared" si="28"/>
        <v>47.279000000000003</v>
      </c>
    </row>
    <row r="2810" spans="1:7" ht="14.25" customHeight="1">
      <c r="A2810" s="2" t="s">
        <v>15</v>
      </c>
      <c r="B2810" s="2">
        <v>1970</v>
      </c>
      <c r="C2810" s="2" t="s">
        <v>21</v>
      </c>
      <c r="D2810" s="2">
        <v>36326</v>
      </c>
      <c r="E2810" s="3">
        <f t="shared" si="27"/>
        <v>36.326000000000001</v>
      </c>
      <c r="G2810" s="2">
        <f t="shared" si="28"/>
        <v>36.326000000000001</v>
      </c>
    </row>
    <row r="2811" spans="1:7" ht="14.25" customHeight="1">
      <c r="A2811" s="2" t="s">
        <v>15</v>
      </c>
      <c r="B2811" s="2">
        <v>1971</v>
      </c>
      <c r="C2811" s="2" t="s">
        <v>21</v>
      </c>
      <c r="D2811" s="2">
        <v>51373</v>
      </c>
      <c r="E2811" s="3">
        <f t="shared" si="27"/>
        <v>51.372999999999998</v>
      </c>
      <c r="G2811" s="2">
        <f t="shared" si="28"/>
        <v>51.372999999999998</v>
      </c>
    </row>
    <row r="2812" spans="1:7" ht="14.25" customHeight="1">
      <c r="A2812" s="2" t="s">
        <v>15</v>
      </c>
      <c r="B2812" s="2">
        <v>1972</v>
      </c>
      <c r="C2812" s="2" t="s">
        <v>21</v>
      </c>
      <c r="D2812" s="2">
        <v>61776</v>
      </c>
      <c r="E2812" s="3">
        <f t="shared" si="27"/>
        <v>61.776000000000003</v>
      </c>
      <c r="G2812" s="2">
        <f t="shared" si="28"/>
        <v>61.776000000000003</v>
      </c>
    </row>
    <row r="2813" spans="1:7" ht="14.25" customHeight="1">
      <c r="A2813" s="2" t="s">
        <v>15</v>
      </c>
      <c r="B2813" s="2">
        <v>1973</v>
      </c>
      <c r="C2813" s="2" t="s">
        <v>21</v>
      </c>
      <c r="D2813" s="2">
        <v>97470</v>
      </c>
      <c r="E2813" s="3">
        <f t="shared" si="27"/>
        <v>97.47</v>
      </c>
      <c r="G2813" s="2">
        <f t="shared" si="28"/>
        <v>97.47</v>
      </c>
    </row>
    <row r="2814" spans="1:7" ht="14.25" customHeight="1">
      <c r="A2814" s="2" t="s">
        <v>15</v>
      </c>
      <c r="B2814" s="2">
        <v>1974</v>
      </c>
      <c r="C2814" s="2" t="s">
        <v>21</v>
      </c>
      <c r="D2814" s="2">
        <v>82710</v>
      </c>
      <c r="E2814" s="3">
        <f t="shared" si="27"/>
        <v>82.71</v>
      </c>
      <c r="G2814" s="2">
        <f t="shared" si="28"/>
        <v>82.71</v>
      </c>
    </row>
    <row r="2815" spans="1:7" ht="14.25" customHeight="1">
      <c r="A2815" s="2" t="s">
        <v>15</v>
      </c>
      <c r="B2815" s="2">
        <v>1975</v>
      </c>
      <c r="C2815" s="2" t="s">
        <v>21</v>
      </c>
      <c r="D2815" s="2">
        <v>58695</v>
      </c>
      <c r="E2815" s="3">
        <f t="shared" si="27"/>
        <v>58.695</v>
      </c>
      <c r="G2815" s="2">
        <f t="shared" si="28"/>
        <v>58.695</v>
      </c>
    </row>
    <row r="2816" spans="1:7" ht="14.25" customHeight="1">
      <c r="A2816" s="2" t="s">
        <v>15</v>
      </c>
      <c r="B2816" s="2">
        <v>1976</v>
      </c>
      <c r="C2816" s="2" t="s">
        <v>21</v>
      </c>
      <c r="D2816" s="2">
        <v>89738</v>
      </c>
      <c r="E2816" s="3">
        <f t="shared" si="27"/>
        <v>89.738</v>
      </c>
      <c r="G2816" s="2">
        <f t="shared" si="28"/>
        <v>89.738</v>
      </c>
    </row>
    <row r="2817" spans="1:7" ht="14.25" customHeight="1">
      <c r="A2817" s="2" t="s">
        <v>15</v>
      </c>
      <c r="B2817" s="2">
        <v>1977</v>
      </c>
      <c r="C2817" s="2" t="s">
        <v>21</v>
      </c>
      <c r="D2817" s="2">
        <v>97019</v>
      </c>
      <c r="E2817" s="3">
        <f t="shared" si="27"/>
        <v>97.019000000000005</v>
      </c>
      <c r="G2817" s="2">
        <f t="shared" si="28"/>
        <v>97.019000000000005</v>
      </c>
    </row>
    <row r="2818" spans="1:7" ht="14.25" customHeight="1">
      <c r="A2818" s="2" t="s">
        <v>15</v>
      </c>
      <c r="B2818" s="2">
        <v>1978</v>
      </c>
      <c r="C2818" s="2" t="s">
        <v>21</v>
      </c>
      <c r="D2818" s="2">
        <v>102398</v>
      </c>
      <c r="E2818" s="3">
        <f t="shared" si="27"/>
        <v>102.398</v>
      </c>
      <c r="G2818" s="2">
        <f t="shared" si="28"/>
        <v>102.398</v>
      </c>
    </row>
    <row r="2819" spans="1:7" ht="14.25" customHeight="1">
      <c r="A2819" s="2" t="s">
        <v>15</v>
      </c>
      <c r="B2819" s="2">
        <v>1979</v>
      </c>
      <c r="C2819" s="2" t="s">
        <v>21</v>
      </c>
      <c r="D2819" s="2">
        <v>31675</v>
      </c>
      <c r="E2819" s="3">
        <f t="shared" si="27"/>
        <v>31.675000000000001</v>
      </c>
      <c r="G2819" s="2">
        <f t="shared" si="28"/>
        <v>31.675000000000001</v>
      </c>
    </row>
    <row r="2820" spans="1:7" ht="14.25" customHeight="1">
      <c r="A2820" s="2" t="s">
        <v>15</v>
      </c>
      <c r="B2820" s="2">
        <v>1980</v>
      </c>
      <c r="C2820" s="2" t="s">
        <v>21</v>
      </c>
      <c r="D2820" s="2">
        <v>24109</v>
      </c>
      <c r="E2820" s="3">
        <f t="shared" si="27"/>
        <v>24.109000000000002</v>
      </c>
      <c r="G2820" s="2">
        <f t="shared" si="28"/>
        <v>24.109000000000002</v>
      </c>
    </row>
    <row r="2821" spans="1:7" ht="14.25" customHeight="1">
      <c r="A2821" s="2" t="s">
        <v>15</v>
      </c>
      <c r="B2821" s="2">
        <v>1981</v>
      </c>
      <c r="C2821" s="2" t="s">
        <v>21</v>
      </c>
      <c r="D2821" s="2">
        <v>27638</v>
      </c>
      <c r="E2821" s="3">
        <f t="shared" si="27"/>
        <v>27.638000000000002</v>
      </c>
      <c r="G2821" s="2">
        <f t="shared" si="28"/>
        <v>27.638000000000002</v>
      </c>
    </row>
    <row r="2822" spans="1:7" ht="14.25" customHeight="1">
      <c r="A2822" s="2" t="s">
        <v>15</v>
      </c>
      <c r="B2822" s="2">
        <v>1982</v>
      </c>
      <c r="C2822" s="2" t="s">
        <v>21</v>
      </c>
      <c r="D2822" s="2">
        <v>19562</v>
      </c>
      <c r="E2822" s="3">
        <f t="shared" si="27"/>
        <v>19.562000000000001</v>
      </c>
      <c r="G2822" s="2">
        <f t="shared" si="28"/>
        <v>19.562000000000001</v>
      </c>
    </row>
    <row r="2823" spans="1:7" ht="14.25" customHeight="1">
      <c r="A2823" s="2" t="s">
        <v>15</v>
      </c>
      <c r="B2823" s="2">
        <v>1983</v>
      </c>
      <c r="C2823" s="2" t="s">
        <v>21</v>
      </c>
      <c r="D2823" s="2">
        <v>10421</v>
      </c>
      <c r="E2823" s="3">
        <f t="shared" si="27"/>
        <v>10.420999999999999</v>
      </c>
      <c r="G2823" s="2">
        <f t="shared" si="28"/>
        <v>10.420999999999999</v>
      </c>
    </row>
    <row r="2824" spans="1:7" ht="14.25" customHeight="1">
      <c r="A2824" s="2" t="s">
        <v>15</v>
      </c>
      <c r="B2824" s="2">
        <v>1984</v>
      </c>
      <c r="C2824" s="2" t="s">
        <v>21</v>
      </c>
      <c r="D2824" s="2">
        <v>5786</v>
      </c>
      <c r="E2824" s="3">
        <f t="shared" si="27"/>
        <v>5.7859999999999996</v>
      </c>
      <c r="G2824" s="2">
        <f t="shared" si="28"/>
        <v>5.7859999999999996</v>
      </c>
    </row>
    <row r="2825" spans="1:7" ht="14.25" customHeight="1">
      <c r="A2825" s="2" t="s">
        <v>15</v>
      </c>
      <c r="B2825" s="2">
        <v>1985</v>
      </c>
      <c r="C2825" s="2" t="s">
        <v>21</v>
      </c>
      <c r="D2825" s="2">
        <v>10462</v>
      </c>
      <c r="E2825" s="3">
        <f t="shared" si="27"/>
        <v>10.462</v>
      </c>
      <c r="G2825" s="2">
        <f t="shared" si="28"/>
        <v>10.462</v>
      </c>
    </row>
    <row r="2826" spans="1:7" ht="14.25" customHeight="1">
      <c r="A2826" s="2" t="s">
        <v>15</v>
      </c>
      <c r="B2826" s="2">
        <v>1986</v>
      </c>
      <c r="C2826" s="2" t="s">
        <v>21</v>
      </c>
      <c r="D2826" s="2">
        <v>5842</v>
      </c>
      <c r="E2826" s="3">
        <f t="shared" si="27"/>
        <v>5.8419999999999996</v>
      </c>
      <c r="G2826" s="2">
        <f t="shared" si="28"/>
        <v>5.8419999999999996</v>
      </c>
    </row>
    <row r="2827" spans="1:7" ht="14.25" customHeight="1">
      <c r="A2827" s="2" t="s">
        <v>15</v>
      </c>
      <c r="B2827" s="2">
        <v>1987</v>
      </c>
      <c r="C2827" s="2" t="s">
        <v>21</v>
      </c>
      <c r="D2827" s="2">
        <v>3826</v>
      </c>
      <c r="E2827" s="3">
        <f t="shared" si="27"/>
        <v>3.8260000000000001</v>
      </c>
      <c r="G2827" s="2">
        <f t="shared" si="28"/>
        <v>3.8260000000000001</v>
      </c>
    </row>
    <row r="2828" spans="1:7" ht="14.25" customHeight="1">
      <c r="A2828" s="2" t="s">
        <v>15</v>
      </c>
      <c r="B2828" s="2">
        <v>1988</v>
      </c>
      <c r="C2828" s="2" t="s">
        <v>21</v>
      </c>
      <c r="D2828" s="2">
        <v>7401</v>
      </c>
      <c r="E2828" s="3">
        <f t="shared" si="27"/>
        <v>7.4009999999999998</v>
      </c>
      <c r="G2828" s="2">
        <f t="shared" si="28"/>
        <v>7.4009999999999998</v>
      </c>
    </row>
    <row r="2829" spans="1:7" ht="14.25" customHeight="1">
      <c r="A2829" s="2" t="s">
        <v>15</v>
      </c>
      <c r="B2829" s="2">
        <v>1989</v>
      </c>
      <c r="C2829" s="2" t="s">
        <v>21</v>
      </c>
      <c r="D2829" s="2">
        <v>3586</v>
      </c>
      <c r="E2829" s="3">
        <f t="shared" si="27"/>
        <v>3.5859999999999999</v>
      </c>
      <c r="G2829" s="2">
        <f t="shared" si="28"/>
        <v>3.5859999999999999</v>
      </c>
    </row>
    <row r="2830" spans="1:7" ht="14.25" customHeight="1">
      <c r="A2830" s="2" t="s">
        <v>15</v>
      </c>
      <c r="B2830" s="2">
        <v>1990</v>
      </c>
      <c r="C2830" s="2" t="s">
        <v>21</v>
      </c>
      <c r="D2830" s="2">
        <v>2578</v>
      </c>
      <c r="E2830" s="3">
        <f t="shared" si="27"/>
        <v>2.5779999999999998</v>
      </c>
      <c r="G2830" s="2">
        <f t="shared" si="28"/>
        <v>2.5779999999999998</v>
      </c>
    </row>
    <row r="2831" spans="1:7" ht="14.25" customHeight="1">
      <c r="A2831" s="2" t="s">
        <v>15</v>
      </c>
      <c r="B2831" s="2">
        <v>1991</v>
      </c>
      <c r="C2831" s="2" t="s">
        <v>21</v>
      </c>
      <c r="D2831" s="2">
        <v>5980</v>
      </c>
      <c r="E2831" s="3">
        <f t="shared" si="27"/>
        <v>5.98</v>
      </c>
      <c r="G2831" s="2">
        <f t="shared" si="28"/>
        <v>5.98</v>
      </c>
    </row>
    <row r="2832" spans="1:7" ht="14.25" customHeight="1">
      <c r="A2832" s="2" t="s">
        <v>15</v>
      </c>
      <c r="B2832" s="2">
        <v>1992</v>
      </c>
      <c r="C2832" s="2" t="s">
        <v>21</v>
      </c>
      <c r="D2832" s="2">
        <v>10217</v>
      </c>
      <c r="E2832" s="3">
        <f t="shared" si="27"/>
        <v>10.217000000000001</v>
      </c>
      <c r="G2832" s="2">
        <f t="shared" si="28"/>
        <v>10.217000000000001</v>
      </c>
    </row>
    <row r="2833" spans="1:7" ht="14.25" customHeight="1">
      <c r="A2833" s="2" t="s">
        <v>15</v>
      </c>
      <c r="B2833" s="2">
        <v>1993</v>
      </c>
      <c r="C2833" s="2" t="s">
        <v>21</v>
      </c>
      <c r="D2833" s="2">
        <v>7352</v>
      </c>
      <c r="E2833" s="3">
        <f t="shared" si="27"/>
        <v>7.3520000000000003</v>
      </c>
      <c r="G2833" s="2">
        <f t="shared" si="28"/>
        <v>7.3520000000000003</v>
      </c>
    </row>
    <row r="2834" spans="1:7" ht="14.25" customHeight="1">
      <c r="A2834" s="2" t="s">
        <v>15</v>
      </c>
      <c r="B2834" s="2">
        <v>1994</v>
      </c>
      <c r="C2834" s="2" t="s">
        <v>21</v>
      </c>
      <c r="D2834" s="2">
        <v>9338</v>
      </c>
      <c r="E2834" s="3">
        <f t="shared" si="27"/>
        <v>9.3379999999999992</v>
      </c>
      <c r="G2834" s="2">
        <f t="shared" si="28"/>
        <v>9.3379999999999992</v>
      </c>
    </row>
    <row r="2835" spans="1:7" ht="14.25" customHeight="1">
      <c r="A2835" s="2" t="s">
        <v>15</v>
      </c>
      <c r="B2835" s="2">
        <v>1995</v>
      </c>
      <c r="C2835" s="2" t="s">
        <v>21</v>
      </c>
      <c r="D2835" s="2">
        <v>5906</v>
      </c>
      <c r="E2835" s="3">
        <f t="shared" si="27"/>
        <v>5.9059999999999997</v>
      </c>
      <c r="G2835" s="2">
        <f t="shared" si="28"/>
        <v>5.9059999999999997</v>
      </c>
    </row>
    <row r="2836" spans="1:7" ht="14.25" customHeight="1">
      <c r="A2836" s="2" t="s">
        <v>15</v>
      </c>
      <c r="B2836" s="2">
        <v>1996</v>
      </c>
      <c r="C2836" s="2" t="s">
        <v>21</v>
      </c>
      <c r="D2836" s="2">
        <v>7172</v>
      </c>
      <c r="E2836" s="3">
        <f t="shared" si="27"/>
        <v>7.1719999999999997</v>
      </c>
      <c r="G2836" s="2">
        <f t="shared" si="28"/>
        <v>7.1719999999999997</v>
      </c>
    </row>
    <row r="2837" spans="1:7" ht="14.25" customHeight="1">
      <c r="A2837" s="2" t="s">
        <v>15</v>
      </c>
      <c r="B2837" s="2">
        <v>1997</v>
      </c>
      <c r="C2837" s="2" t="s">
        <v>21</v>
      </c>
      <c r="D2837" s="2">
        <v>8317</v>
      </c>
      <c r="E2837" s="3">
        <f t="shared" si="27"/>
        <v>8.3170000000000002</v>
      </c>
      <c r="G2837" s="2">
        <f t="shared" si="28"/>
        <v>8.3170000000000002</v>
      </c>
    </row>
    <row r="2838" spans="1:7" ht="14.25" customHeight="1">
      <c r="A2838" s="2" t="s">
        <v>15</v>
      </c>
      <c r="B2838" s="2">
        <v>1998</v>
      </c>
      <c r="C2838" s="2" t="s">
        <v>21</v>
      </c>
      <c r="D2838" s="2">
        <v>7021</v>
      </c>
      <c r="E2838" s="3">
        <f t="shared" si="27"/>
        <v>7.0209999999999999</v>
      </c>
      <c r="G2838" s="2">
        <f t="shared" si="28"/>
        <v>7.0209999999999999</v>
      </c>
    </row>
    <row r="2839" spans="1:7" ht="14.25" customHeight="1">
      <c r="A2839" s="2" t="s">
        <v>15</v>
      </c>
      <c r="B2839" s="2">
        <v>1999</v>
      </c>
      <c r="C2839" s="2" t="s">
        <v>21</v>
      </c>
      <c r="D2839" s="2">
        <v>15168</v>
      </c>
      <c r="E2839" s="3">
        <f t="shared" si="27"/>
        <v>15.167999999999999</v>
      </c>
      <c r="G2839" s="2">
        <f t="shared" si="28"/>
        <v>15.167999999999999</v>
      </c>
    </row>
    <row r="2840" spans="1:7" ht="14.25" customHeight="1">
      <c r="A2840" s="2" t="s">
        <v>15</v>
      </c>
      <c r="B2840" s="2">
        <v>2000</v>
      </c>
      <c r="C2840" s="2" t="s">
        <v>21</v>
      </c>
      <c r="D2840" s="2">
        <v>8336</v>
      </c>
      <c r="E2840" s="3">
        <f t="shared" si="27"/>
        <v>8.3360000000000003</v>
      </c>
      <c r="G2840" s="2">
        <f t="shared" si="28"/>
        <v>8.3360000000000003</v>
      </c>
    </row>
    <row r="2841" spans="1:7" ht="14.25" customHeight="1">
      <c r="A2841" s="2" t="s">
        <v>15</v>
      </c>
      <c r="B2841" s="2">
        <v>2001</v>
      </c>
      <c r="C2841" s="2" t="s">
        <v>21</v>
      </c>
      <c r="D2841" s="2">
        <v>5091</v>
      </c>
      <c r="E2841" s="3">
        <f t="shared" si="27"/>
        <v>5.0910000000000002</v>
      </c>
      <c r="G2841" s="2">
        <f t="shared" si="28"/>
        <v>5.0910000000000002</v>
      </c>
    </row>
    <row r="2842" spans="1:7" ht="14.25" customHeight="1">
      <c r="A2842" s="2" t="s">
        <v>15</v>
      </c>
      <c r="B2842" s="2">
        <v>2002</v>
      </c>
      <c r="C2842" s="2" t="s">
        <v>21</v>
      </c>
      <c r="D2842" s="2">
        <v>5792</v>
      </c>
      <c r="E2842" s="3">
        <f t="shared" si="27"/>
        <v>5.7919999999999998</v>
      </c>
      <c r="G2842" s="2">
        <f t="shared" si="28"/>
        <v>5.7919999999999998</v>
      </c>
    </row>
    <row r="2843" spans="1:7" ht="14.25" customHeight="1">
      <c r="A2843" s="2" t="s">
        <v>15</v>
      </c>
      <c r="B2843" s="2">
        <v>2003</v>
      </c>
      <c r="C2843" s="2" t="s">
        <v>21</v>
      </c>
      <c r="D2843" s="2">
        <v>5863</v>
      </c>
      <c r="E2843" s="3">
        <f t="shared" si="27"/>
        <v>5.8630000000000004</v>
      </c>
      <c r="G2843" s="2">
        <f t="shared" si="28"/>
        <v>5.8630000000000004</v>
      </c>
    </row>
    <row r="2844" spans="1:7" ht="14.25" customHeight="1">
      <c r="A2844" s="2" t="s">
        <v>15</v>
      </c>
      <c r="B2844" s="2">
        <v>2004</v>
      </c>
      <c r="C2844" s="2" t="s">
        <v>21</v>
      </c>
      <c r="D2844" s="2">
        <v>3882</v>
      </c>
      <c r="E2844" s="3">
        <f t="shared" si="27"/>
        <v>3.8820000000000001</v>
      </c>
      <c r="G2844" s="2">
        <f t="shared" si="28"/>
        <v>3.8820000000000001</v>
      </c>
    </row>
    <row r="2845" spans="1:7" ht="14.25" customHeight="1">
      <c r="A2845" s="2" t="s">
        <v>15</v>
      </c>
      <c r="B2845" s="2">
        <v>2005</v>
      </c>
      <c r="C2845" s="2" t="s">
        <v>21</v>
      </c>
      <c r="D2845" s="2">
        <v>3854</v>
      </c>
      <c r="E2845" s="3">
        <f t="shared" si="27"/>
        <v>3.8540000000000001</v>
      </c>
      <c r="G2845" s="2">
        <f t="shared" si="28"/>
        <v>3.8540000000000001</v>
      </c>
    </row>
    <row r="2846" spans="1:7" ht="14.25" customHeight="1">
      <c r="A2846" s="2" t="s">
        <v>15</v>
      </c>
      <c r="B2846" s="2">
        <v>2006</v>
      </c>
      <c r="C2846" s="2" t="s">
        <v>21</v>
      </c>
      <c r="D2846" s="2">
        <v>2707.01</v>
      </c>
      <c r="E2846" s="3">
        <f t="shared" si="27"/>
        <v>2.7070100000000004</v>
      </c>
      <c r="G2846" s="2">
        <f t="shared" si="28"/>
        <v>2.7070100000000004</v>
      </c>
    </row>
    <row r="2847" spans="1:7" ht="14.25" customHeight="1">
      <c r="A2847" s="2" t="s">
        <v>15</v>
      </c>
      <c r="B2847" s="2">
        <v>2007</v>
      </c>
      <c r="C2847" s="2" t="s">
        <v>21</v>
      </c>
      <c r="D2847" s="2">
        <v>3050.4</v>
      </c>
      <c r="E2847" s="3">
        <f t="shared" si="27"/>
        <v>3.0504000000000002</v>
      </c>
      <c r="G2847" s="2">
        <f t="shared" si="28"/>
        <v>3.0504000000000002</v>
      </c>
    </row>
    <row r="2848" spans="1:7" ht="14.25" customHeight="1">
      <c r="A2848" s="2" t="s">
        <v>15</v>
      </c>
      <c r="B2848" s="2">
        <v>2008</v>
      </c>
      <c r="C2848" s="2" t="s">
        <v>21</v>
      </c>
      <c r="D2848" s="2">
        <v>3601.02</v>
      </c>
      <c r="E2848" s="3">
        <f t="shared" si="27"/>
        <v>3.6010200000000001</v>
      </c>
      <c r="G2848" s="2">
        <f t="shared" si="28"/>
        <v>3.6010200000000001</v>
      </c>
    </row>
    <row r="2849" spans="1:9" ht="14.25" customHeight="1">
      <c r="A2849" s="2" t="s">
        <v>15</v>
      </c>
      <c r="B2849" s="2">
        <v>2009</v>
      </c>
      <c r="C2849" s="2" t="s">
        <v>21</v>
      </c>
      <c r="D2849" s="2">
        <v>5447.61</v>
      </c>
      <c r="E2849" s="3">
        <f t="shared" si="27"/>
        <v>5.4476100000000001</v>
      </c>
      <c r="G2849" s="2">
        <f t="shared" si="28"/>
        <v>5.4476100000000001</v>
      </c>
    </row>
    <row r="2850" spans="1:9" ht="14.25" customHeight="1">
      <c r="A2850" s="2" t="s">
        <v>15</v>
      </c>
      <c r="B2850" s="2">
        <v>2010</v>
      </c>
      <c r="C2850" s="2" t="s">
        <v>21</v>
      </c>
      <c r="D2850" s="2">
        <v>6822</v>
      </c>
      <c r="E2850" s="3">
        <f t="shared" si="27"/>
        <v>6.8220000000000001</v>
      </c>
      <c r="G2850" s="2">
        <f t="shared" si="28"/>
        <v>6.8220000000000001</v>
      </c>
    </row>
    <row r="2851" spans="1:9" ht="14.25" customHeight="1">
      <c r="A2851" s="2" t="s">
        <v>15</v>
      </c>
      <c r="B2851" s="2">
        <v>2011</v>
      </c>
      <c r="C2851" s="2" t="s">
        <v>21</v>
      </c>
      <c r="D2851" s="2">
        <v>7271.3</v>
      </c>
      <c r="E2851" s="3">
        <f t="shared" si="27"/>
        <v>7.2713000000000001</v>
      </c>
      <c r="G2851" s="2">
        <f t="shared" si="28"/>
        <v>7.2713000000000001</v>
      </c>
    </row>
    <row r="2852" spans="1:9" ht="14.25" customHeight="1">
      <c r="A2852" s="2" t="s">
        <v>15</v>
      </c>
      <c r="B2852" s="2">
        <v>2012</v>
      </c>
      <c r="C2852" s="2" t="s">
        <v>21</v>
      </c>
      <c r="D2852" s="2">
        <v>7283.9</v>
      </c>
      <c r="E2852" s="3">
        <f t="shared" si="27"/>
        <v>7.2839</v>
      </c>
      <c r="G2852" s="2">
        <f t="shared" si="28"/>
        <v>7.2839</v>
      </c>
    </row>
    <row r="2853" spans="1:9" ht="14.25" customHeight="1">
      <c r="A2853" s="2" t="s">
        <v>15</v>
      </c>
      <c r="B2853" s="2">
        <v>2013</v>
      </c>
      <c r="C2853" s="2" t="s">
        <v>21</v>
      </c>
      <c r="D2853" s="2">
        <v>4800.16</v>
      </c>
      <c r="E2853" s="3">
        <f t="shared" si="27"/>
        <v>4.80016</v>
      </c>
      <c r="G2853" s="2">
        <f t="shared" si="28"/>
        <v>4.80016</v>
      </c>
    </row>
    <row r="2854" spans="1:9" ht="14.25" customHeight="1">
      <c r="A2854" s="2" t="s">
        <v>15</v>
      </c>
      <c r="B2854" s="2">
        <v>2014</v>
      </c>
      <c r="C2854" s="2" t="s">
        <v>21</v>
      </c>
      <c r="D2854" s="2">
        <v>4935.87</v>
      </c>
      <c r="E2854" s="3">
        <f t="shared" si="27"/>
        <v>4.9358699999999995</v>
      </c>
      <c r="G2854" s="2">
        <f t="shared" si="28"/>
        <v>4.9358699999999995</v>
      </c>
    </row>
    <row r="2855" spans="1:9" ht="14.25" customHeight="1">
      <c r="A2855" s="2" t="s">
        <v>15</v>
      </c>
      <c r="B2855" s="2">
        <v>2015</v>
      </c>
      <c r="C2855" s="2" t="s">
        <v>21</v>
      </c>
      <c r="D2855" s="2">
        <v>3752.42</v>
      </c>
      <c r="E2855" s="3">
        <f t="shared" si="27"/>
        <v>3.7524199999999999</v>
      </c>
      <c r="G2855" s="2">
        <f t="shared" si="28"/>
        <v>3.7524199999999999</v>
      </c>
    </row>
    <row r="2856" spans="1:9" ht="14.25" customHeight="1">
      <c r="A2856" s="2" t="s">
        <v>15</v>
      </c>
      <c r="B2856" s="2">
        <v>2016</v>
      </c>
      <c r="C2856" s="2" t="s">
        <v>21</v>
      </c>
      <c r="D2856" s="2">
        <v>5067.0600000000004</v>
      </c>
      <c r="E2856" s="3">
        <f t="shared" si="27"/>
        <v>5.0670600000000006</v>
      </c>
      <c r="G2856" s="2">
        <f t="shared" si="28"/>
        <v>5.0670600000000006</v>
      </c>
    </row>
    <row r="2857" spans="1:9" ht="14.25" customHeight="1">
      <c r="A2857" s="2" t="s">
        <v>15</v>
      </c>
      <c r="B2857" s="2">
        <v>2017</v>
      </c>
      <c r="C2857" s="2" t="s">
        <v>21</v>
      </c>
      <c r="D2857" s="2">
        <v>3983.08</v>
      </c>
      <c r="E2857" s="3">
        <f t="shared" si="27"/>
        <v>3.9830799999999997</v>
      </c>
      <c r="G2857" s="2">
        <f t="shared" si="28"/>
        <v>3.9830799999999997</v>
      </c>
    </row>
    <row r="2858" spans="1:9" ht="14.25" customHeight="1">
      <c r="A2858" s="2" t="s">
        <v>15</v>
      </c>
      <c r="B2858" s="2">
        <v>2018</v>
      </c>
      <c r="C2858" s="2" t="s">
        <v>21</v>
      </c>
      <c r="D2858" s="2">
        <v>1873.037</v>
      </c>
      <c r="E2858" s="3">
        <f t="shared" si="27"/>
        <v>1.8730370000000001</v>
      </c>
      <c r="G2858" s="2">
        <f t="shared" si="28"/>
        <v>1.8730370000000001</v>
      </c>
    </row>
    <row r="2859" spans="1:9" ht="14.25" customHeight="1">
      <c r="A2859" s="2" t="s">
        <v>15</v>
      </c>
      <c r="B2859" s="2">
        <v>1903</v>
      </c>
      <c r="C2859" s="2" t="s">
        <v>16</v>
      </c>
      <c r="D2859" s="2">
        <v>979505</v>
      </c>
      <c r="E2859" s="3">
        <f t="shared" si="27"/>
        <v>979.505</v>
      </c>
      <c r="G2859" s="2">
        <f t="shared" si="28"/>
        <v>979.505</v>
      </c>
      <c r="H2859" s="2">
        <f t="shared" ref="H2859:I2878" si="29">H2309+H3276</f>
        <v>872.25480086377968</v>
      </c>
      <c r="I2859" s="2">
        <f t="shared" si="29"/>
        <v>421.24408242325205</v>
      </c>
    </row>
    <row r="2860" spans="1:9" ht="14.25" customHeight="1">
      <c r="A2860" s="2" t="s">
        <v>15</v>
      </c>
      <c r="B2860" s="2">
        <v>1904</v>
      </c>
      <c r="C2860" s="2" t="s">
        <v>16</v>
      </c>
      <c r="D2860" s="2">
        <v>1052574</v>
      </c>
      <c r="E2860" s="3">
        <f t="shared" si="27"/>
        <v>1052.5740000000001</v>
      </c>
      <c r="G2860" s="2">
        <f t="shared" si="28"/>
        <v>1052.5740000000001</v>
      </c>
      <c r="H2860" s="2">
        <f t="shared" si="29"/>
        <v>937.24996603245017</v>
      </c>
      <c r="I2860" s="2">
        <f t="shared" si="29"/>
        <v>452.7683133559006</v>
      </c>
    </row>
    <row r="2861" spans="1:9" ht="14.25" customHeight="1">
      <c r="A2861" s="2" t="s">
        <v>15</v>
      </c>
      <c r="B2861" s="2">
        <v>1905</v>
      </c>
      <c r="C2861" s="2" t="s">
        <v>16</v>
      </c>
      <c r="D2861" s="2">
        <v>1030347</v>
      </c>
      <c r="E2861" s="3">
        <f t="shared" si="27"/>
        <v>1030.347</v>
      </c>
      <c r="G2861" s="2">
        <f t="shared" si="28"/>
        <v>1030.347</v>
      </c>
      <c r="H2861" s="2">
        <f t="shared" si="29"/>
        <v>915.68102719738533</v>
      </c>
      <c r="I2861" s="2">
        <f t="shared" si="29"/>
        <v>445.64290332671879</v>
      </c>
    </row>
    <row r="2862" spans="1:9" ht="14.25" customHeight="1">
      <c r="A2862" s="2" t="s">
        <v>15</v>
      </c>
      <c r="B2862" s="2">
        <v>1906</v>
      </c>
      <c r="C2862" s="2" t="s">
        <v>16</v>
      </c>
      <c r="D2862" s="2">
        <v>1052260</v>
      </c>
      <c r="E2862" s="3">
        <f t="shared" si="27"/>
        <v>1052.26</v>
      </c>
      <c r="G2862" s="2">
        <f t="shared" si="28"/>
        <v>1052.26</v>
      </c>
      <c r="H2862" s="2">
        <f t="shared" si="29"/>
        <v>938.0478975137155</v>
      </c>
      <c r="I2862" s="2">
        <f t="shared" si="29"/>
        <v>451.15652978172062</v>
      </c>
    </row>
    <row r="2863" spans="1:9" ht="14.25" customHeight="1">
      <c r="A2863" s="2" t="s">
        <v>15</v>
      </c>
      <c r="B2863" s="2">
        <v>1907</v>
      </c>
      <c r="C2863" s="2" t="s">
        <v>16</v>
      </c>
      <c r="D2863" s="2">
        <v>1314215</v>
      </c>
      <c r="E2863" s="3">
        <f t="shared" si="27"/>
        <v>1314.2149999999999</v>
      </c>
      <c r="G2863" s="2">
        <f t="shared" si="28"/>
        <v>1314.2149999999999</v>
      </c>
      <c r="H2863" s="2">
        <f t="shared" si="29"/>
        <v>1170.4821382047392</v>
      </c>
      <c r="I2863" s="2">
        <f t="shared" si="29"/>
        <v>564.96110772032216</v>
      </c>
    </row>
    <row r="2864" spans="1:9" ht="14.25" customHeight="1">
      <c r="A2864" s="2" t="s">
        <v>15</v>
      </c>
      <c r="B2864" s="2">
        <v>1908</v>
      </c>
      <c r="C2864" s="2" t="s">
        <v>16</v>
      </c>
      <c r="D2864" s="2">
        <v>1175932</v>
      </c>
      <c r="E2864" s="3">
        <f t="shared" si="27"/>
        <v>1175.932</v>
      </c>
      <c r="G2864" s="2">
        <f t="shared" si="28"/>
        <v>1175.932</v>
      </c>
      <c r="H2864" s="2">
        <f t="shared" si="29"/>
        <v>1047.6087183378079</v>
      </c>
      <c r="I2864" s="2">
        <f t="shared" si="29"/>
        <v>505.12357198552587</v>
      </c>
    </row>
    <row r="2865" spans="1:9" ht="14.25" customHeight="1">
      <c r="A2865" s="2" t="s">
        <v>15</v>
      </c>
      <c r="B2865" s="2">
        <v>1909</v>
      </c>
      <c r="C2865" s="2" t="s">
        <v>16</v>
      </c>
      <c r="D2865" s="2">
        <v>1156137</v>
      </c>
      <c r="E2865" s="3">
        <f t="shared" si="27"/>
        <v>1156.1369999999999</v>
      </c>
      <c r="G2865" s="2">
        <f t="shared" si="28"/>
        <v>1156.1369999999999</v>
      </c>
      <c r="H2865" s="2">
        <f t="shared" si="29"/>
        <v>1029.3280491420567</v>
      </c>
      <c r="I2865" s="2">
        <f t="shared" si="29"/>
        <v>497.50563407960783</v>
      </c>
    </row>
    <row r="2866" spans="1:9" ht="14.25" customHeight="1">
      <c r="A2866" s="2" t="s">
        <v>15</v>
      </c>
      <c r="B2866" s="2">
        <v>1910</v>
      </c>
      <c r="C2866" s="2" t="s">
        <v>16</v>
      </c>
      <c r="D2866" s="2">
        <v>1166530</v>
      </c>
      <c r="E2866" s="3">
        <f t="shared" si="27"/>
        <v>1166.53</v>
      </c>
      <c r="G2866" s="2">
        <f t="shared" si="28"/>
        <v>1166.53</v>
      </c>
      <c r="H2866" s="2">
        <f t="shared" si="29"/>
        <v>1038.6278549083693</v>
      </c>
      <c r="I2866" s="2">
        <f t="shared" si="29"/>
        <v>501.91385890510094</v>
      </c>
    </row>
    <row r="2867" spans="1:9" ht="14.25" customHeight="1">
      <c r="A2867" s="2" t="s">
        <v>15</v>
      </c>
      <c r="B2867" s="2">
        <v>1911</v>
      </c>
      <c r="C2867" s="2" t="s">
        <v>16</v>
      </c>
      <c r="D2867" s="2">
        <v>1235321</v>
      </c>
      <c r="E2867" s="3">
        <f t="shared" si="27"/>
        <v>1235.3209999999999</v>
      </c>
      <c r="G2867" s="2">
        <f t="shared" si="28"/>
        <v>1235.3209999999999</v>
      </c>
      <c r="H2867" s="2">
        <f t="shared" si="29"/>
        <v>1099.6523786623088</v>
      </c>
      <c r="I2867" s="2">
        <f t="shared" si="29"/>
        <v>531.81902554453131</v>
      </c>
    </row>
    <row r="2868" spans="1:9" ht="14.25" customHeight="1">
      <c r="A2868" s="2" t="s">
        <v>15</v>
      </c>
      <c r="B2868" s="2">
        <v>1912</v>
      </c>
      <c r="C2868" s="2" t="s">
        <v>16</v>
      </c>
      <c r="D2868" s="2">
        <v>1250444</v>
      </c>
      <c r="E2868" s="3">
        <f t="shared" si="27"/>
        <v>1250.444</v>
      </c>
      <c r="G2868" s="2">
        <f t="shared" si="28"/>
        <v>1250.444</v>
      </c>
      <c r="H2868" s="2">
        <f t="shared" si="29"/>
        <v>1113.4907484533676</v>
      </c>
      <c r="I2868" s="2">
        <f t="shared" si="29"/>
        <v>537.81400674215013</v>
      </c>
    </row>
    <row r="2869" spans="1:9" ht="14.25" customHeight="1">
      <c r="A2869" s="2" t="s">
        <v>15</v>
      </c>
      <c r="B2869" s="2">
        <v>1913</v>
      </c>
      <c r="C2869" s="2" t="s">
        <v>16</v>
      </c>
      <c r="D2869" s="2">
        <v>1269228</v>
      </c>
      <c r="E2869" s="3">
        <f t="shared" si="27"/>
        <v>1269.2280000000001</v>
      </c>
      <c r="G2869" s="2">
        <f t="shared" si="28"/>
        <v>1269.2280000000001</v>
      </c>
      <c r="H2869" s="2">
        <f t="shared" si="29"/>
        <v>1130.3554222014709</v>
      </c>
      <c r="I2869" s="2">
        <f t="shared" si="29"/>
        <v>545.7038968787208</v>
      </c>
    </row>
    <row r="2870" spans="1:9" ht="14.25" customHeight="1">
      <c r="A2870" s="2" t="s">
        <v>15</v>
      </c>
      <c r="B2870" s="2">
        <v>1914</v>
      </c>
      <c r="C2870" s="2" t="s">
        <v>16</v>
      </c>
      <c r="D2870" s="2">
        <v>1012054</v>
      </c>
      <c r="E2870" s="3">
        <f t="shared" si="27"/>
        <v>1012.054</v>
      </c>
      <c r="G2870" s="2">
        <f t="shared" si="28"/>
        <v>1012.054</v>
      </c>
      <c r="H2870" s="2">
        <f t="shared" si="29"/>
        <v>902.2972989377846</v>
      </c>
      <c r="I2870" s="2">
        <f t="shared" si="29"/>
        <v>433.79287647951452</v>
      </c>
    </row>
    <row r="2871" spans="1:9" ht="14.25" customHeight="1">
      <c r="A2871" s="2" t="s">
        <v>15</v>
      </c>
      <c r="B2871" s="2">
        <v>1915</v>
      </c>
      <c r="C2871" s="2" t="s">
        <v>16</v>
      </c>
      <c r="D2871" s="2">
        <v>479005</v>
      </c>
      <c r="E2871" s="3">
        <f t="shared" si="27"/>
        <v>479.005</v>
      </c>
      <c r="G2871" s="2">
        <f t="shared" si="28"/>
        <v>479.005</v>
      </c>
      <c r="H2871" s="2">
        <f t="shared" si="29"/>
        <v>429.32917042138439</v>
      </c>
      <c r="I2871" s="2">
        <f t="shared" si="29"/>
        <v>202.20040350647835</v>
      </c>
    </row>
    <row r="2872" spans="1:9" ht="14.25" customHeight="1">
      <c r="A2872" s="2" t="s">
        <v>15</v>
      </c>
      <c r="B2872" s="2">
        <v>1916</v>
      </c>
      <c r="C2872" s="2" t="s">
        <v>16</v>
      </c>
      <c r="D2872" s="2">
        <v>450375</v>
      </c>
      <c r="E2872" s="3">
        <f t="shared" si="27"/>
        <v>450.375</v>
      </c>
      <c r="G2872" s="2">
        <f t="shared" si="28"/>
        <v>450.375</v>
      </c>
      <c r="H2872" s="2">
        <f t="shared" si="29"/>
        <v>403.23095634411112</v>
      </c>
      <c r="I2872" s="2">
        <f t="shared" si="29"/>
        <v>190.71427860861445</v>
      </c>
    </row>
    <row r="2873" spans="1:9" ht="14.25" customHeight="1">
      <c r="A2873" s="2" t="s">
        <v>15</v>
      </c>
      <c r="B2873" s="2">
        <v>1917</v>
      </c>
      <c r="C2873" s="2" t="s">
        <v>16</v>
      </c>
      <c r="D2873" s="2">
        <v>431012</v>
      </c>
      <c r="E2873" s="3">
        <f t="shared" si="27"/>
        <v>431.012</v>
      </c>
      <c r="G2873" s="2">
        <f t="shared" si="28"/>
        <v>431.012</v>
      </c>
      <c r="H2873" s="2">
        <f t="shared" si="29"/>
        <v>386.32332590171592</v>
      </c>
      <c r="I2873" s="2">
        <f t="shared" si="29"/>
        <v>181.9276396918408</v>
      </c>
    </row>
    <row r="2874" spans="1:9" ht="14.25" customHeight="1">
      <c r="A2874" s="2" t="s">
        <v>15</v>
      </c>
      <c r="B2874" s="2">
        <v>1918</v>
      </c>
      <c r="C2874" s="2" t="s">
        <v>16</v>
      </c>
      <c r="D2874" s="2">
        <v>477451</v>
      </c>
      <c r="E2874" s="3">
        <f t="shared" si="27"/>
        <v>477.45100000000002</v>
      </c>
      <c r="G2874" s="2">
        <f t="shared" si="28"/>
        <v>477.45100000000002</v>
      </c>
      <c r="H2874" s="2">
        <f t="shared" si="29"/>
        <v>427.25199486401311</v>
      </c>
      <c r="I2874" s="2">
        <f t="shared" si="29"/>
        <v>202.4822774833664</v>
      </c>
    </row>
    <row r="2875" spans="1:9" ht="14.25" customHeight="1">
      <c r="A2875" s="2" t="s">
        <v>15</v>
      </c>
      <c r="B2875" s="2">
        <v>1919</v>
      </c>
      <c r="C2875" s="2" t="s">
        <v>16</v>
      </c>
      <c r="D2875" s="2">
        <v>902817</v>
      </c>
      <c r="E2875" s="3">
        <f t="shared" si="27"/>
        <v>902.81700000000001</v>
      </c>
      <c r="G2875" s="2">
        <f t="shared" si="28"/>
        <v>902.81700000000001</v>
      </c>
      <c r="H2875" s="2">
        <f t="shared" si="29"/>
        <v>804.83428866581073</v>
      </c>
      <c r="I2875" s="2">
        <f t="shared" si="29"/>
        <v>387.07067144624722</v>
      </c>
    </row>
    <row r="2876" spans="1:9" ht="14.25" customHeight="1">
      <c r="A2876" s="2" t="s">
        <v>15</v>
      </c>
      <c r="B2876" s="2">
        <v>1920</v>
      </c>
      <c r="C2876" s="2" t="s">
        <v>16</v>
      </c>
      <c r="D2876" s="2">
        <v>1128096</v>
      </c>
      <c r="E2876" s="3">
        <f t="shared" si="27"/>
        <v>1128.096</v>
      </c>
      <c r="G2876" s="2">
        <f t="shared" si="28"/>
        <v>1128.096</v>
      </c>
      <c r="H2876" s="2">
        <f t="shared" si="29"/>
        <v>1004.3391887475196</v>
      </c>
      <c r="I2876" s="2">
        <f t="shared" si="29"/>
        <v>485.47130248628457</v>
      </c>
    </row>
    <row r="2877" spans="1:9" ht="14.25" customHeight="1">
      <c r="A2877" s="2" t="s">
        <v>15</v>
      </c>
      <c r="B2877" s="2">
        <v>1921</v>
      </c>
      <c r="C2877" s="2" t="s">
        <v>16</v>
      </c>
      <c r="D2877" s="2">
        <v>887929</v>
      </c>
      <c r="E2877" s="3">
        <f t="shared" si="27"/>
        <v>887.92899999999997</v>
      </c>
      <c r="G2877" s="2">
        <f t="shared" si="28"/>
        <v>887.92899999999997</v>
      </c>
      <c r="H2877" s="2">
        <f t="shared" si="29"/>
        <v>790.96363090930322</v>
      </c>
      <c r="I2877" s="2">
        <f t="shared" si="29"/>
        <v>381.50779914555858</v>
      </c>
    </row>
    <row r="2878" spans="1:9" ht="14.25" customHeight="1">
      <c r="A2878" s="2" t="s">
        <v>15</v>
      </c>
      <c r="B2878" s="2">
        <v>1922</v>
      </c>
      <c r="C2878" s="2" t="s">
        <v>16</v>
      </c>
      <c r="D2878" s="2">
        <v>971780</v>
      </c>
      <c r="E2878" s="3">
        <f t="shared" si="27"/>
        <v>971.78</v>
      </c>
      <c r="G2878" s="2">
        <f t="shared" si="28"/>
        <v>971.78</v>
      </c>
      <c r="H2878" s="2">
        <f t="shared" si="29"/>
        <v>865.49115711450918</v>
      </c>
      <c r="I2878" s="2">
        <f t="shared" si="29"/>
        <v>417.76357698610951</v>
      </c>
    </row>
    <row r="2879" spans="1:9" ht="14.25" customHeight="1">
      <c r="A2879" s="2" t="s">
        <v>15</v>
      </c>
      <c r="B2879" s="2">
        <v>1923</v>
      </c>
      <c r="C2879" s="2" t="s">
        <v>16</v>
      </c>
      <c r="D2879" s="2">
        <v>943346</v>
      </c>
      <c r="E2879" s="3">
        <f t="shared" si="27"/>
        <v>943.346</v>
      </c>
      <c r="G2879" s="2">
        <f t="shared" si="28"/>
        <v>943.346</v>
      </c>
      <c r="H2879" s="2">
        <f t="shared" ref="H2879:I2898" si="30">H2329+H3296</f>
        <v>840.00488735846864</v>
      </c>
      <c r="I2879" s="2">
        <f t="shared" si="30"/>
        <v>405.76229480564967</v>
      </c>
    </row>
    <row r="2880" spans="1:9" ht="14.25" customHeight="1">
      <c r="A2880" s="2" t="s">
        <v>15</v>
      </c>
      <c r="B2880" s="2">
        <v>1924</v>
      </c>
      <c r="C2880" s="2" t="s">
        <v>16</v>
      </c>
      <c r="D2880" s="2">
        <v>1132373</v>
      </c>
      <c r="E2880" s="3">
        <f t="shared" si="27"/>
        <v>1132.373</v>
      </c>
      <c r="G2880" s="2">
        <f t="shared" si="28"/>
        <v>1132.373</v>
      </c>
      <c r="H2880" s="2">
        <f t="shared" si="30"/>
        <v>1008.0251753239174</v>
      </c>
      <c r="I2880" s="2">
        <f t="shared" si="30"/>
        <v>487.4788259087195</v>
      </c>
    </row>
    <row r="2881" spans="1:9" ht="14.25" customHeight="1">
      <c r="A2881" s="2" t="s">
        <v>15</v>
      </c>
      <c r="B2881" s="2">
        <v>1925</v>
      </c>
      <c r="C2881" s="2" t="s">
        <v>16</v>
      </c>
      <c r="D2881" s="2">
        <v>1082314</v>
      </c>
      <c r="E2881" s="3">
        <f t="shared" si="27"/>
        <v>1082.3140000000001</v>
      </c>
      <c r="G2881" s="2">
        <f t="shared" si="28"/>
        <v>1082.3140000000001</v>
      </c>
      <c r="H2881" s="2">
        <f t="shared" si="30"/>
        <v>964.57105509513269</v>
      </c>
      <c r="I2881" s="2">
        <f t="shared" si="30"/>
        <v>464.41054699661498</v>
      </c>
    </row>
    <row r="2882" spans="1:9" ht="14.25" customHeight="1">
      <c r="A2882" s="2" t="s">
        <v>15</v>
      </c>
      <c r="B2882" s="2">
        <v>1926</v>
      </c>
      <c r="C2882" s="2" t="s">
        <v>16</v>
      </c>
      <c r="D2882" s="2">
        <v>1067454</v>
      </c>
      <c r="E2882" s="3">
        <f t="shared" si="27"/>
        <v>1067.454</v>
      </c>
      <c r="G2882" s="2">
        <f t="shared" si="28"/>
        <v>1067.454</v>
      </c>
      <c r="H2882" s="2">
        <f t="shared" si="30"/>
        <v>951.25055702112775</v>
      </c>
      <c r="I2882" s="2">
        <f t="shared" si="30"/>
        <v>458.13991294035259</v>
      </c>
    </row>
    <row r="2883" spans="1:9" ht="14.25" customHeight="1">
      <c r="A2883" s="2" t="s">
        <v>15</v>
      </c>
      <c r="B2883" s="2">
        <v>1927</v>
      </c>
      <c r="C2883" s="2" t="s">
        <v>16</v>
      </c>
      <c r="D2883" s="2">
        <v>1102166</v>
      </c>
      <c r="E2883" s="3">
        <f t="shared" si="27"/>
        <v>1102.1659999999999</v>
      </c>
      <c r="G2883" s="2">
        <f t="shared" si="28"/>
        <v>1102.1659999999999</v>
      </c>
      <c r="H2883" s="2">
        <f t="shared" si="30"/>
        <v>981.54192109256462</v>
      </c>
      <c r="I2883" s="2">
        <f t="shared" si="30"/>
        <v>473.91760133535666</v>
      </c>
    </row>
    <row r="2884" spans="1:9" ht="14.25" customHeight="1">
      <c r="A2884" s="2" t="s">
        <v>15</v>
      </c>
      <c r="B2884" s="2">
        <v>1928</v>
      </c>
      <c r="C2884" s="2" t="s">
        <v>16</v>
      </c>
      <c r="D2884" s="2">
        <v>1070643</v>
      </c>
      <c r="E2884" s="3">
        <f t="shared" si="27"/>
        <v>1070.643</v>
      </c>
      <c r="G2884" s="2">
        <f t="shared" si="28"/>
        <v>1070.643</v>
      </c>
      <c r="H2884" s="2">
        <f t="shared" si="30"/>
        <v>953.78172160616327</v>
      </c>
      <c r="I2884" s="2">
        <f t="shared" si="30"/>
        <v>459.93437358702005</v>
      </c>
    </row>
    <row r="2885" spans="1:9" ht="14.25" customHeight="1">
      <c r="A2885" s="2" t="s">
        <v>15</v>
      </c>
      <c r="B2885" s="2">
        <v>1929</v>
      </c>
      <c r="C2885" s="2" t="s">
        <v>16</v>
      </c>
      <c r="D2885" s="2">
        <v>1096946</v>
      </c>
      <c r="E2885" s="3">
        <f t="shared" si="27"/>
        <v>1096.9459999999999</v>
      </c>
      <c r="G2885" s="2">
        <f t="shared" si="28"/>
        <v>1096.9459999999999</v>
      </c>
      <c r="H2885" s="2">
        <f t="shared" si="30"/>
        <v>977.03179187580236</v>
      </c>
      <c r="I2885" s="2">
        <f t="shared" si="30"/>
        <v>471.48314801914319</v>
      </c>
    </row>
    <row r="2886" spans="1:9" ht="14.25" customHeight="1">
      <c r="A2886" s="2" t="s">
        <v>15</v>
      </c>
      <c r="B2886" s="2">
        <v>1930</v>
      </c>
      <c r="C2886" s="2" t="s">
        <v>16</v>
      </c>
      <c r="D2886" s="2">
        <v>1112523</v>
      </c>
      <c r="E2886" s="3">
        <f t="shared" si="27"/>
        <v>1112.5229999999999</v>
      </c>
      <c r="G2886" s="2">
        <f t="shared" si="28"/>
        <v>1112.5229999999999</v>
      </c>
      <c r="H2886" s="2">
        <f t="shared" si="30"/>
        <v>990.87288747519551</v>
      </c>
      <c r="I2886" s="2">
        <f t="shared" si="30"/>
        <v>478.22370486284581</v>
      </c>
    </row>
    <row r="2887" spans="1:9" ht="14.25" customHeight="1">
      <c r="A2887" s="2" t="s">
        <v>15</v>
      </c>
      <c r="B2887" s="2">
        <v>1931</v>
      </c>
      <c r="C2887" s="2" t="s">
        <v>16</v>
      </c>
      <c r="D2887" s="2">
        <v>1013763</v>
      </c>
      <c r="E2887" s="3">
        <f t="shared" si="27"/>
        <v>1013.763</v>
      </c>
      <c r="G2887" s="2">
        <f t="shared" si="28"/>
        <v>1013.763</v>
      </c>
      <c r="H2887" s="2">
        <f t="shared" si="30"/>
        <v>902.59840924477658</v>
      </c>
      <c r="I2887" s="2">
        <f t="shared" si="30"/>
        <v>436.20086052994048</v>
      </c>
    </row>
    <row r="2888" spans="1:9" ht="14.25" customHeight="1">
      <c r="A2888" s="2" t="s">
        <v>15</v>
      </c>
      <c r="B2888" s="2">
        <v>1932</v>
      </c>
      <c r="C2888" s="2" t="s">
        <v>16</v>
      </c>
      <c r="D2888" s="2">
        <v>1018655</v>
      </c>
      <c r="E2888" s="3">
        <f t="shared" si="27"/>
        <v>1018.655</v>
      </c>
      <c r="G2888" s="2">
        <f t="shared" si="28"/>
        <v>1018.655</v>
      </c>
      <c r="H2888" s="2">
        <f t="shared" si="30"/>
        <v>906.77489471226806</v>
      </c>
      <c r="I2888" s="2">
        <f t="shared" si="30"/>
        <v>438.55120840901134</v>
      </c>
    </row>
    <row r="2889" spans="1:9" ht="14.25" customHeight="1">
      <c r="A2889" s="2" t="s">
        <v>15</v>
      </c>
      <c r="B2889" s="2">
        <v>1933</v>
      </c>
      <c r="C2889" s="2" t="s">
        <v>16</v>
      </c>
      <c r="D2889" s="2">
        <v>979971</v>
      </c>
      <c r="E2889" s="3">
        <f t="shared" si="27"/>
        <v>979.971</v>
      </c>
      <c r="G2889" s="2">
        <f t="shared" si="28"/>
        <v>979.971</v>
      </c>
      <c r="H2889" s="2">
        <f t="shared" si="30"/>
        <v>872.41039465390452</v>
      </c>
      <c r="I2889" s="2">
        <f t="shared" si="30"/>
        <v>421.7999633804132</v>
      </c>
    </row>
    <row r="2890" spans="1:9" ht="14.25" customHeight="1">
      <c r="A2890" s="2" t="s">
        <v>15</v>
      </c>
      <c r="B2890" s="2">
        <v>1934</v>
      </c>
      <c r="C2890" s="2" t="s">
        <v>16</v>
      </c>
      <c r="D2890" s="2">
        <v>974534</v>
      </c>
      <c r="E2890" s="3">
        <f t="shared" si="27"/>
        <v>974.53399999999999</v>
      </c>
      <c r="G2890" s="2">
        <f t="shared" si="28"/>
        <v>974.53399999999999</v>
      </c>
      <c r="H2890" s="2">
        <f t="shared" si="30"/>
        <v>867.74974880354853</v>
      </c>
      <c r="I2890" s="2">
        <f t="shared" si="30"/>
        <v>419.21363691373875</v>
      </c>
    </row>
    <row r="2891" spans="1:9" ht="14.25" customHeight="1">
      <c r="A2891" s="2" t="s">
        <v>15</v>
      </c>
      <c r="B2891" s="2">
        <v>1935</v>
      </c>
      <c r="C2891" s="2" t="s">
        <v>16</v>
      </c>
      <c r="D2891" s="2">
        <v>1035083</v>
      </c>
      <c r="E2891" s="3">
        <f t="shared" si="27"/>
        <v>1035.0830000000001</v>
      </c>
      <c r="G2891" s="2">
        <f t="shared" si="28"/>
        <v>1035.0830000000001</v>
      </c>
      <c r="H2891" s="2">
        <f t="shared" si="30"/>
        <v>921.33661970351363</v>
      </c>
      <c r="I2891" s="2">
        <f t="shared" si="30"/>
        <v>445.70871365472163</v>
      </c>
    </row>
    <row r="2892" spans="1:9" ht="14.25" customHeight="1">
      <c r="A2892" s="2" t="s">
        <v>15</v>
      </c>
      <c r="B2892" s="2">
        <v>1936</v>
      </c>
      <c r="C2892" s="2" t="s">
        <v>16</v>
      </c>
      <c r="D2892" s="2">
        <v>1083276</v>
      </c>
      <c r="E2892" s="3">
        <f t="shared" si="27"/>
        <v>1083.2760000000001</v>
      </c>
      <c r="G2892" s="2">
        <f t="shared" si="28"/>
        <v>1083.2760000000001</v>
      </c>
      <c r="H2892" s="2">
        <f t="shared" si="30"/>
        <v>963.97729917123854</v>
      </c>
      <c r="I2892" s="2">
        <f t="shared" si="30"/>
        <v>466.81201659390689</v>
      </c>
    </row>
    <row r="2893" spans="1:9" ht="14.25" customHeight="1">
      <c r="A2893" s="2" t="s">
        <v>15</v>
      </c>
      <c r="B2893" s="2">
        <v>1937</v>
      </c>
      <c r="C2893" s="2" t="s">
        <v>16</v>
      </c>
      <c r="D2893" s="2">
        <v>1134769</v>
      </c>
      <c r="E2893" s="3">
        <f t="shared" si="27"/>
        <v>1134.769</v>
      </c>
      <c r="G2893" s="2">
        <f t="shared" si="28"/>
        <v>1134.769</v>
      </c>
      <c r="H2893" s="2">
        <f t="shared" si="30"/>
        <v>1010.0136966265904</v>
      </c>
      <c r="I2893" s="2">
        <f t="shared" si="30"/>
        <v>488.70814134702931</v>
      </c>
    </row>
    <row r="2894" spans="1:9" ht="14.25" customHeight="1">
      <c r="A2894" s="2" t="s">
        <v>15</v>
      </c>
      <c r="B2894" s="2">
        <v>1938</v>
      </c>
      <c r="C2894" s="2" t="s">
        <v>16</v>
      </c>
      <c r="D2894" s="2">
        <v>1091801</v>
      </c>
      <c r="E2894" s="3">
        <f t="shared" si="27"/>
        <v>1091.8009999999999</v>
      </c>
      <c r="G2894" s="2">
        <f t="shared" si="28"/>
        <v>1091.8009999999999</v>
      </c>
      <c r="H2894" s="2">
        <f t="shared" si="30"/>
        <v>971.34724944554694</v>
      </c>
      <c r="I2894" s="2">
        <f t="shared" si="30"/>
        <v>470.78197222831801</v>
      </c>
    </row>
    <row r="2895" spans="1:9" ht="14.25" customHeight="1">
      <c r="A2895" s="2" t="s">
        <v>15</v>
      </c>
      <c r="B2895" s="2">
        <v>1939</v>
      </c>
      <c r="C2895" s="2" t="s">
        <v>16</v>
      </c>
      <c r="D2895" s="2">
        <v>826005</v>
      </c>
      <c r="E2895" s="3">
        <f t="shared" si="27"/>
        <v>826.005</v>
      </c>
      <c r="G2895" s="2">
        <f t="shared" si="28"/>
        <v>826.005</v>
      </c>
      <c r="H2895" s="2">
        <f t="shared" si="30"/>
        <v>735.7351492938019</v>
      </c>
      <c r="I2895" s="2">
        <f t="shared" si="30"/>
        <v>354.99310315396286</v>
      </c>
    </row>
    <row r="2896" spans="1:9" ht="14.25" customHeight="1">
      <c r="A2896" s="2" t="s">
        <v>15</v>
      </c>
      <c r="B2896" s="2">
        <v>1940</v>
      </c>
      <c r="C2896" s="2" t="s">
        <v>16</v>
      </c>
      <c r="D2896" s="2">
        <v>341763</v>
      </c>
      <c r="E2896" s="3">
        <f t="shared" si="27"/>
        <v>341.76299999999998</v>
      </c>
      <c r="G2896" s="2">
        <f t="shared" si="28"/>
        <v>341.76299999999998</v>
      </c>
      <c r="H2896" s="2">
        <f t="shared" si="30"/>
        <v>305.56986167853393</v>
      </c>
      <c r="I2896" s="2">
        <f t="shared" si="30"/>
        <v>145.29508222248162</v>
      </c>
    </row>
    <row r="2897" spans="1:9" ht="14.25" customHeight="1">
      <c r="A2897" s="2" t="s">
        <v>15</v>
      </c>
      <c r="B2897" s="2">
        <v>1941</v>
      </c>
      <c r="C2897" s="2" t="s">
        <v>16</v>
      </c>
      <c r="D2897" s="2">
        <v>273508</v>
      </c>
      <c r="E2897" s="3">
        <f t="shared" si="27"/>
        <v>273.50799999999998</v>
      </c>
      <c r="G2897" s="2">
        <f t="shared" si="28"/>
        <v>273.50799999999998</v>
      </c>
      <c r="H2897" s="2">
        <f t="shared" si="30"/>
        <v>245.17491128749853</v>
      </c>
      <c r="I2897" s="2">
        <f t="shared" si="30"/>
        <v>115.41175653087429</v>
      </c>
    </row>
    <row r="2898" spans="1:9" ht="14.25" customHeight="1">
      <c r="A2898" s="2" t="s">
        <v>15</v>
      </c>
      <c r="B2898" s="2">
        <v>1942</v>
      </c>
      <c r="C2898" s="2" t="s">
        <v>16</v>
      </c>
      <c r="D2898" s="2">
        <v>332592</v>
      </c>
      <c r="E2898" s="3">
        <f t="shared" si="27"/>
        <v>332.59199999999998</v>
      </c>
      <c r="G2898" s="2">
        <f t="shared" si="28"/>
        <v>332.59199999999998</v>
      </c>
      <c r="H2898" s="2">
        <f t="shared" si="30"/>
        <v>297.62626426987276</v>
      </c>
      <c r="I2898" s="2">
        <f t="shared" si="30"/>
        <v>141.04508949223765</v>
      </c>
    </row>
    <row r="2899" spans="1:9" ht="14.25" customHeight="1">
      <c r="A2899" s="2" t="s">
        <v>15</v>
      </c>
      <c r="B2899" s="2">
        <v>1943</v>
      </c>
      <c r="C2899" s="2" t="s">
        <v>16</v>
      </c>
      <c r="D2899" s="2">
        <v>337289</v>
      </c>
      <c r="E2899" s="3">
        <f t="shared" si="27"/>
        <v>337.28899999999999</v>
      </c>
      <c r="G2899" s="2">
        <f t="shared" si="28"/>
        <v>337.28899999999999</v>
      </c>
      <c r="H2899" s="2">
        <f t="shared" ref="H2899:I2918" si="31">H2349+H3316</f>
        <v>301.64386973269524</v>
      </c>
      <c r="I2899" s="2">
        <f t="shared" si="31"/>
        <v>143.29133616902067</v>
      </c>
    </row>
    <row r="2900" spans="1:9" ht="14.25" customHeight="1">
      <c r="A2900" s="2" t="s">
        <v>15</v>
      </c>
      <c r="B2900" s="2">
        <v>1944</v>
      </c>
      <c r="C2900" s="2" t="s">
        <v>16</v>
      </c>
      <c r="D2900" s="2">
        <v>352963</v>
      </c>
      <c r="E2900" s="3">
        <f t="shared" si="27"/>
        <v>352.96300000000002</v>
      </c>
      <c r="G2900" s="2">
        <f t="shared" si="28"/>
        <v>352.96300000000002</v>
      </c>
      <c r="H2900" s="2">
        <f t="shared" si="31"/>
        <v>315.36795435975256</v>
      </c>
      <c r="I2900" s="2">
        <f t="shared" si="31"/>
        <v>150.35234763627878</v>
      </c>
    </row>
    <row r="2901" spans="1:9" ht="14.25" customHeight="1">
      <c r="A2901" s="2" t="s">
        <v>15</v>
      </c>
      <c r="B2901" s="2">
        <v>1945</v>
      </c>
      <c r="C2901" s="2" t="s">
        <v>16</v>
      </c>
      <c r="D2901" s="2">
        <v>526998</v>
      </c>
      <c r="E2901" s="3">
        <f t="shared" si="27"/>
        <v>526.99800000000005</v>
      </c>
      <c r="G2901" s="2">
        <f t="shared" si="28"/>
        <v>526.99800000000005</v>
      </c>
      <c r="H2901" s="2">
        <f t="shared" si="31"/>
        <v>469.86880938484893</v>
      </c>
      <c r="I2901" s="2">
        <f t="shared" si="31"/>
        <v>225.85301659857598</v>
      </c>
    </row>
    <row r="2902" spans="1:9" ht="14.25" customHeight="1">
      <c r="A2902" s="2" t="s">
        <v>15</v>
      </c>
      <c r="B2902" s="2">
        <v>1946</v>
      </c>
      <c r="C2902" s="2" t="s">
        <v>16</v>
      </c>
      <c r="D2902" s="2">
        <v>949643</v>
      </c>
      <c r="E2902" s="3">
        <f t="shared" si="27"/>
        <v>949.64300000000003</v>
      </c>
      <c r="G2902" s="2">
        <f t="shared" si="28"/>
        <v>949.64300000000003</v>
      </c>
      <c r="H2902" s="2">
        <f t="shared" si="31"/>
        <v>845.4157058480215</v>
      </c>
      <c r="I2902" s="2">
        <f t="shared" si="31"/>
        <v>408.73993586553053</v>
      </c>
    </row>
    <row r="2903" spans="1:9" ht="14.25" customHeight="1">
      <c r="A2903" s="2" t="s">
        <v>15</v>
      </c>
      <c r="B2903" s="2">
        <v>1947</v>
      </c>
      <c r="C2903" s="2" t="s">
        <v>16</v>
      </c>
      <c r="D2903" s="2">
        <v>1044530</v>
      </c>
      <c r="E2903" s="3">
        <f t="shared" si="27"/>
        <v>1044.53</v>
      </c>
      <c r="G2903" s="2">
        <f t="shared" si="28"/>
        <v>1044.53</v>
      </c>
      <c r="H2903" s="2">
        <f t="shared" si="31"/>
        <v>929.63850297653789</v>
      </c>
      <c r="I2903" s="2">
        <f t="shared" si="31"/>
        <v>449.92321645850359</v>
      </c>
    </row>
    <row r="2904" spans="1:9" ht="14.25" customHeight="1">
      <c r="A2904" s="2" t="s">
        <v>15</v>
      </c>
      <c r="B2904" s="2">
        <v>1948</v>
      </c>
      <c r="C2904" s="2" t="s">
        <v>16</v>
      </c>
      <c r="D2904" s="2">
        <v>1082856</v>
      </c>
      <c r="E2904" s="3">
        <f t="shared" si="27"/>
        <v>1082.856</v>
      </c>
      <c r="G2904" s="2">
        <f t="shared" si="28"/>
        <v>1082.856</v>
      </c>
      <c r="H2904" s="2">
        <f t="shared" si="31"/>
        <v>963.63721466090817</v>
      </c>
      <c r="I2904" s="2">
        <f t="shared" si="31"/>
        <v>466.58489518384499</v>
      </c>
    </row>
    <row r="2905" spans="1:9" ht="14.25" customHeight="1">
      <c r="A2905" s="2" t="s">
        <v>15</v>
      </c>
      <c r="B2905" s="2">
        <v>1949</v>
      </c>
      <c r="C2905" s="2" t="s">
        <v>16</v>
      </c>
      <c r="D2905" s="2">
        <v>1003837</v>
      </c>
      <c r="E2905" s="3">
        <f t="shared" si="27"/>
        <v>1003.837</v>
      </c>
      <c r="G2905" s="2">
        <f t="shared" si="28"/>
        <v>1003.837</v>
      </c>
      <c r="H2905" s="2">
        <f t="shared" si="31"/>
        <v>893.07401844286221</v>
      </c>
      <c r="I2905" s="2">
        <f t="shared" si="31"/>
        <v>432.87118903700247</v>
      </c>
    </row>
    <row r="2906" spans="1:9" ht="14.25" customHeight="1">
      <c r="A2906" s="2" t="s">
        <v>15</v>
      </c>
      <c r="B2906" s="2">
        <v>1950</v>
      </c>
      <c r="C2906" s="2" t="s">
        <v>16</v>
      </c>
      <c r="D2906" s="2">
        <v>892871</v>
      </c>
      <c r="E2906" s="3">
        <f t="shared" si="27"/>
        <v>892.87099999999998</v>
      </c>
      <c r="F2906" s="2">
        <v>0.03</v>
      </c>
      <c r="G2906" s="2">
        <f t="shared" si="28"/>
        <v>892.90099999999995</v>
      </c>
      <c r="H2906" s="2">
        <f t="shared" si="31"/>
        <v>794.20008987977121</v>
      </c>
      <c r="I2906" s="2">
        <f t="shared" si="31"/>
        <v>385.22894404108791</v>
      </c>
    </row>
    <row r="2907" spans="1:9" ht="14.25" customHeight="1">
      <c r="A2907" s="2" t="s">
        <v>15</v>
      </c>
      <c r="B2907" s="2">
        <v>1951</v>
      </c>
      <c r="C2907" s="2" t="s">
        <v>16</v>
      </c>
      <c r="D2907" s="2">
        <v>1083049</v>
      </c>
      <c r="E2907" s="3">
        <f t="shared" si="27"/>
        <v>1083.049</v>
      </c>
      <c r="F2907" s="2">
        <v>0.03</v>
      </c>
      <c r="G2907" s="2">
        <f t="shared" si="28"/>
        <v>1083.079</v>
      </c>
      <c r="H2907" s="2">
        <f t="shared" si="31"/>
        <v>963.76700466907903</v>
      </c>
      <c r="I2907" s="2">
        <f t="shared" si="31"/>
        <v>466.72556228784873</v>
      </c>
    </row>
    <row r="2908" spans="1:9" ht="14.25" customHeight="1">
      <c r="A2908" s="2" t="s">
        <v>15</v>
      </c>
      <c r="B2908" s="2">
        <v>1952</v>
      </c>
      <c r="C2908" s="2" t="s">
        <v>16</v>
      </c>
      <c r="D2908" s="2">
        <v>1078470</v>
      </c>
      <c r="E2908" s="3">
        <f t="shared" si="27"/>
        <v>1078.47</v>
      </c>
      <c r="F2908" s="2">
        <v>0.03</v>
      </c>
      <c r="G2908" s="2">
        <f t="shared" si="28"/>
        <v>1078.5</v>
      </c>
      <c r="H2908" s="2">
        <f t="shared" si="31"/>
        <v>959.69650647834726</v>
      </c>
      <c r="I2908" s="2">
        <f t="shared" si="31"/>
        <v>464.74655817439015</v>
      </c>
    </row>
    <row r="2909" spans="1:9" ht="14.25" customHeight="1">
      <c r="A2909" s="2" t="s">
        <v>15</v>
      </c>
      <c r="B2909" s="2">
        <v>1953</v>
      </c>
      <c r="C2909" s="2" t="s">
        <v>16</v>
      </c>
      <c r="D2909" s="2">
        <v>1082625</v>
      </c>
      <c r="E2909" s="3">
        <f t="shared" si="27"/>
        <v>1082.625</v>
      </c>
      <c r="F2909" s="2">
        <v>0.03</v>
      </c>
      <c r="G2909" s="2">
        <f t="shared" si="28"/>
        <v>1082.655</v>
      </c>
      <c r="H2909" s="2">
        <f t="shared" si="31"/>
        <v>963.36569254114625</v>
      </c>
      <c r="I2909" s="2">
        <f t="shared" si="31"/>
        <v>466.57574934516163</v>
      </c>
    </row>
    <row r="2910" spans="1:9" ht="14.25" customHeight="1">
      <c r="A2910" s="2" t="s">
        <v>15</v>
      </c>
      <c r="B2910" s="2">
        <v>1954</v>
      </c>
      <c r="C2910" s="2" t="s">
        <v>16</v>
      </c>
      <c r="D2910" s="2">
        <v>1046537</v>
      </c>
      <c r="E2910" s="3">
        <f t="shared" si="27"/>
        <v>1046.537</v>
      </c>
      <c r="F2910" s="2">
        <v>0.03</v>
      </c>
      <c r="G2910" s="2">
        <f t="shared" si="28"/>
        <v>1046.567</v>
      </c>
      <c r="H2910" s="2">
        <f t="shared" si="31"/>
        <v>931.10460604645743</v>
      </c>
      <c r="I2910" s="2">
        <f t="shared" si="31"/>
        <v>451.22645696276413</v>
      </c>
    </row>
    <row r="2911" spans="1:9" ht="14.25" customHeight="1">
      <c r="A2911" s="2" t="s">
        <v>15</v>
      </c>
      <c r="B2911" s="2">
        <v>1955</v>
      </c>
      <c r="C2911" s="2" t="s">
        <v>16</v>
      </c>
      <c r="D2911" s="2">
        <v>1045335</v>
      </c>
      <c r="E2911" s="3">
        <f t="shared" si="27"/>
        <v>1045.335</v>
      </c>
      <c r="F2911" s="2">
        <v>3.5000000000000003E-2</v>
      </c>
      <c r="G2911" s="2">
        <f t="shared" si="28"/>
        <v>1045.3700000000001</v>
      </c>
      <c r="H2911" s="2">
        <f t="shared" si="31"/>
        <v>930.34089961480106</v>
      </c>
      <c r="I2911" s="2">
        <f t="shared" si="31"/>
        <v>450.28923081125248</v>
      </c>
    </row>
    <row r="2912" spans="1:9" ht="14.25" customHeight="1">
      <c r="A2912" s="2" t="s">
        <v>15</v>
      </c>
      <c r="B2912" s="2">
        <v>1956</v>
      </c>
      <c r="C2912" s="2" t="s">
        <v>16</v>
      </c>
      <c r="D2912" s="2">
        <v>1069622</v>
      </c>
      <c r="E2912" s="3">
        <f t="shared" si="27"/>
        <v>1069.6220000000001</v>
      </c>
      <c r="F2912" s="2">
        <v>3.5000000000000003E-2</v>
      </c>
      <c r="G2912" s="2">
        <f t="shared" si="28"/>
        <v>1069.6570000000002</v>
      </c>
      <c r="H2912" s="2">
        <f t="shared" si="31"/>
        <v>951.64246912571502</v>
      </c>
      <c r="I2912" s="2">
        <f t="shared" si="31"/>
        <v>461.18101987160037</v>
      </c>
    </row>
    <row r="2913" spans="1:9" ht="14.25" customHeight="1">
      <c r="A2913" s="2" t="s">
        <v>15</v>
      </c>
      <c r="B2913" s="2">
        <v>1957</v>
      </c>
      <c r="C2913" s="2" t="s">
        <v>16</v>
      </c>
      <c r="D2913" s="2">
        <v>996825</v>
      </c>
      <c r="E2913" s="3">
        <f t="shared" si="27"/>
        <v>996.82500000000005</v>
      </c>
      <c r="F2913" s="2">
        <v>3.5000000000000003E-2</v>
      </c>
      <c r="G2913" s="2">
        <f t="shared" si="28"/>
        <v>996.86</v>
      </c>
      <c r="H2913" s="2">
        <f t="shared" si="31"/>
        <v>887.20973129450226</v>
      </c>
      <c r="I2913" s="2">
        <f t="shared" si="31"/>
        <v>429.33492833430608</v>
      </c>
    </row>
    <row r="2914" spans="1:9" ht="14.25" customHeight="1">
      <c r="A2914" s="2" t="s">
        <v>15</v>
      </c>
      <c r="B2914" s="2">
        <v>1958</v>
      </c>
      <c r="C2914" s="2" t="s">
        <v>16</v>
      </c>
      <c r="D2914" s="2">
        <v>982926</v>
      </c>
      <c r="E2914" s="3">
        <f t="shared" si="27"/>
        <v>982.92600000000004</v>
      </c>
      <c r="F2914" s="2">
        <v>3.5000000000000003E-2</v>
      </c>
      <c r="G2914" s="2">
        <f t="shared" si="28"/>
        <v>982.96100000000001</v>
      </c>
      <c r="H2914" s="2">
        <f t="shared" si="31"/>
        <v>874.63949562273854</v>
      </c>
      <c r="I2914" s="2">
        <f t="shared" si="31"/>
        <v>423.62218285514189</v>
      </c>
    </row>
    <row r="2915" spans="1:9" ht="14.25" customHeight="1">
      <c r="A2915" s="2" t="s">
        <v>15</v>
      </c>
      <c r="B2915" s="2">
        <v>1959</v>
      </c>
      <c r="C2915" s="2" t="s">
        <v>16</v>
      </c>
      <c r="D2915" s="2">
        <v>966821</v>
      </c>
      <c r="E2915" s="3">
        <f t="shared" si="27"/>
        <v>966.82100000000003</v>
      </c>
      <c r="F2915" s="2">
        <v>3.5000000000000003E-2</v>
      </c>
      <c r="G2915" s="2">
        <f t="shared" si="28"/>
        <v>966.85599999999999</v>
      </c>
      <c r="H2915" s="2">
        <f t="shared" si="31"/>
        <v>860.52696486518039</v>
      </c>
      <c r="I2915" s="2">
        <f t="shared" si="31"/>
        <v>416.38217278393836</v>
      </c>
    </row>
    <row r="2916" spans="1:9" ht="14.25" customHeight="1">
      <c r="A2916" s="2" t="s">
        <v>15</v>
      </c>
      <c r="B2916" s="2">
        <v>1960</v>
      </c>
      <c r="C2916" s="2" t="s">
        <v>16</v>
      </c>
      <c r="D2916" s="2">
        <v>900329</v>
      </c>
      <c r="E2916" s="3">
        <f t="shared" si="27"/>
        <v>900.32899999999995</v>
      </c>
      <c r="F2916" s="2">
        <v>3.5000000000000003E-2</v>
      </c>
      <c r="G2916" s="2">
        <f t="shared" si="28"/>
        <v>900.36399999999992</v>
      </c>
      <c r="H2916" s="2">
        <f t="shared" si="31"/>
        <v>801.87074635228203</v>
      </c>
      <c r="I2916" s="2">
        <f t="shared" si="31"/>
        <v>387.02574571261817</v>
      </c>
    </row>
    <row r="2917" spans="1:9" ht="14.25" customHeight="1">
      <c r="A2917" s="2" t="s">
        <v>15</v>
      </c>
      <c r="B2917" s="2">
        <v>1961</v>
      </c>
      <c r="C2917" s="2" t="s">
        <v>16</v>
      </c>
      <c r="D2917" s="2">
        <v>846074</v>
      </c>
      <c r="E2917" s="3">
        <f t="shared" si="27"/>
        <v>846.07399999999996</v>
      </c>
      <c r="F2917" s="2">
        <v>0.13500000000000001</v>
      </c>
      <c r="G2917" s="2">
        <f t="shared" si="28"/>
        <v>846.20899999999995</v>
      </c>
      <c r="H2917" s="2">
        <f t="shared" si="31"/>
        <v>753.85434679584455</v>
      </c>
      <c r="I2917" s="2">
        <f t="shared" si="31"/>
        <v>363.28455992996379</v>
      </c>
    </row>
    <row r="2918" spans="1:9" ht="14.25" customHeight="1">
      <c r="A2918" s="2" t="s">
        <v>15</v>
      </c>
      <c r="B2918" s="2">
        <v>1962</v>
      </c>
      <c r="C2918" s="2" t="s">
        <v>16</v>
      </c>
      <c r="D2918" s="2">
        <v>915212</v>
      </c>
      <c r="E2918" s="3">
        <f t="shared" si="27"/>
        <v>915.21199999999999</v>
      </c>
      <c r="F2918" s="2">
        <v>3.5000000000000003E-2</v>
      </c>
      <c r="G2918" s="2">
        <f t="shared" si="28"/>
        <v>915.24699999999996</v>
      </c>
      <c r="H2918" s="2">
        <f t="shared" si="31"/>
        <v>815.30499591455589</v>
      </c>
      <c r="I2918" s="2">
        <f t="shared" si="31"/>
        <v>393.17844799813236</v>
      </c>
    </row>
    <row r="2919" spans="1:9" ht="14.25" customHeight="1">
      <c r="A2919" s="2" t="s">
        <v>15</v>
      </c>
      <c r="B2919" s="2">
        <v>1963</v>
      </c>
      <c r="C2919" s="2" t="s">
        <v>16</v>
      </c>
      <c r="D2919" s="2">
        <v>916279</v>
      </c>
      <c r="E2919" s="3">
        <f t="shared" si="27"/>
        <v>916.279</v>
      </c>
      <c r="F2919" s="2">
        <v>3.5000000000000003E-2</v>
      </c>
      <c r="G2919" s="2">
        <f t="shared" si="28"/>
        <v>916.31399999999996</v>
      </c>
      <c r="H2919" s="2">
        <f t="shared" ref="H2919:I2938" si="32">H2369+H3336</f>
        <v>816.04736745651928</v>
      </c>
      <c r="I2919" s="2">
        <f t="shared" si="32"/>
        <v>393.92210005369441</v>
      </c>
    </row>
    <row r="2920" spans="1:9" ht="14.25" customHeight="1">
      <c r="A2920" s="2" t="s">
        <v>15</v>
      </c>
      <c r="B2920" s="2">
        <v>1964</v>
      </c>
      <c r="C2920" s="2" t="s">
        <v>16</v>
      </c>
      <c r="D2920" s="2">
        <v>921406</v>
      </c>
      <c r="E2920" s="3">
        <f t="shared" si="27"/>
        <v>921.40599999999995</v>
      </c>
      <c r="F2920" s="2">
        <v>0.2</v>
      </c>
      <c r="G2920" s="2">
        <f t="shared" si="28"/>
        <v>921.60599999999999</v>
      </c>
      <c r="H2920" s="2">
        <f t="shared" si="32"/>
        <v>820.6279396521536</v>
      </c>
      <c r="I2920" s="2">
        <f t="shared" si="32"/>
        <v>396.10652042955525</v>
      </c>
    </row>
    <row r="2921" spans="1:9" ht="14.25" customHeight="1">
      <c r="A2921" s="2" t="s">
        <v>15</v>
      </c>
      <c r="B2921" s="2">
        <v>1965</v>
      </c>
      <c r="C2921" s="2" t="s">
        <v>16</v>
      </c>
      <c r="D2921" s="2">
        <v>989194</v>
      </c>
      <c r="E2921" s="3">
        <f t="shared" si="27"/>
        <v>989.19399999999996</v>
      </c>
      <c r="F2921" s="2">
        <v>0.3</v>
      </c>
      <c r="G2921" s="2">
        <f t="shared" si="28"/>
        <v>989.49399999999991</v>
      </c>
      <c r="H2921" s="2">
        <f t="shared" si="32"/>
        <v>880.68343877670134</v>
      </c>
      <c r="I2921" s="2">
        <f t="shared" si="32"/>
        <v>425.6842850005836</v>
      </c>
    </row>
    <row r="2922" spans="1:9" ht="14.25" customHeight="1">
      <c r="A2922" s="2" t="s">
        <v>15</v>
      </c>
      <c r="B2922" s="2">
        <v>1966</v>
      </c>
      <c r="C2922" s="2" t="s">
        <v>16</v>
      </c>
      <c r="D2922" s="2">
        <v>1010460</v>
      </c>
      <c r="E2922" s="3">
        <f t="shared" si="27"/>
        <v>1010.46</v>
      </c>
      <c r="F2922" s="2">
        <v>0.2</v>
      </c>
      <c r="G2922" s="2">
        <f t="shared" si="28"/>
        <v>1010.6600000000001</v>
      </c>
      <c r="H2922" s="2">
        <f t="shared" si="32"/>
        <v>900.25947449515593</v>
      </c>
      <c r="I2922" s="2">
        <f t="shared" si="32"/>
        <v>433.95480250262642</v>
      </c>
    </row>
    <row r="2923" spans="1:9" ht="14.25" customHeight="1">
      <c r="A2923" s="2" t="s">
        <v>15</v>
      </c>
      <c r="B2923" s="2">
        <v>1967</v>
      </c>
      <c r="C2923" s="2" t="s">
        <v>16</v>
      </c>
      <c r="D2923" s="2">
        <v>945862</v>
      </c>
      <c r="E2923" s="3">
        <f t="shared" si="27"/>
        <v>945.86199999999997</v>
      </c>
      <c r="F2923" s="2">
        <v>0.2</v>
      </c>
      <c r="G2923" s="2">
        <f t="shared" si="28"/>
        <v>946.06200000000001</v>
      </c>
      <c r="H2923" s="2">
        <f t="shared" si="32"/>
        <v>843.85506968600441</v>
      </c>
      <c r="I2923" s="2">
        <f t="shared" si="32"/>
        <v>404.63832414614217</v>
      </c>
    </row>
    <row r="2924" spans="1:9" ht="14.25" customHeight="1">
      <c r="A2924" s="2" t="s">
        <v>15</v>
      </c>
      <c r="B2924" s="2">
        <v>1968</v>
      </c>
      <c r="C2924" s="2" t="s">
        <v>16</v>
      </c>
      <c r="D2924" s="2">
        <v>993502</v>
      </c>
      <c r="E2924" s="3">
        <f t="shared" si="27"/>
        <v>993.50199999999995</v>
      </c>
      <c r="F2924" s="2">
        <v>0.2</v>
      </c>
      <c r="G2924" s="2">
        <f t="shared" si="28"/>
        <v>993.702</v>
      </c>
      <c r="H2924" s="2">
        <f t="shared" si="32"/>
        <v>886.0769575113809</v>
      </c>
      <c r="I2924" s="2">
        <f t="shared" si="32"/>
        <v>425.40285918057663</v>
      </c>
    </row>
    <row r="2925" spans="1:9" ht="14.25" customHeight="1">
      <c r="A2925" s="2" t="s">
        <v>15</v>
      </c>
      <c r="B2925" s="2">
        <v>1969</v>
      </c>
      <c r="C2925" s="2" t="s">
        <v>16</v>
      </c>
      <c r="D2925" s="2">
        <v>1078058</v>
      </c>
      <c r="E2925" s="3">
        <f t="shared" si="27"/>
        <v>1078.058</v>
      </c>
      <c r="F2925" s="2">
        <v>0.2</v>
      </c>
      <c r="G2925" s="2">
        <f t="shared" si="28"/>
        <v>1078.258</v>
      </c>
      <c r="H2925" s="2">
        <f t="shared" si="32"/>
        <v>962.06789074355095</v>
      </c>
      <c r="I2925" s="2">
        <f t="shared" si="32"/>
        <v>460.81666646433996</v>
      </c>
    </row>
    <row r="2926" spans="1:9" ht="14.25" customHeight="1">
      <c r="A2926" s="2" t="s">
        <v>15</v>
      </c>
      <c r="B2926" s="2">
        <v>1970</v>
      </c>
      <c r="C2926" s="2" t="s">
        <v>16</v>
      </c>
      <c r="D2926" s="2">
        <v>1093420</v>
      </c>
      <c r="E2926" s="3">
        <f t="shared" si="27"/>
        <v>1093.42</v>
      </c>
      <c r="F2926" s="2">
        <v>0.44400000000000001</v>
      </c>
      <c r="G2926" s="2">
        <f t="shared" si="28"/>
        <v>1093.864</v>
      </c>
      <c r="H2926" s="2">
        <f t="shared" si="32"/>
        <v>976.36705988093865</v>
      </c>
      <c r="I2926" s="2">
        <f t="shared" si="32"/>
        <v>466.57459934165996</v>
      </c>
    </row>
    <row r="2927" spans="1:9" ht="14.25" customHeight="1">
      <c r="A2927" s="2" t="s">
        <v>15</v>
      </c>
      <c r="B2927" s="2">
        <v>1971</v>
      </c>
      <c r="C2927" s="2" t="s">
        <v>16</v>
      </c>
      <c r="D2927" s="2">
        <v>1100715</v>
      </c>
      <c r="E2927" s="3">
        <f t="shared" si="27"/>
        <v>1100.7149999999999</v>
      </c>
      <c r="F2927" s="2">
        <v>0.51600000000000001</v>
      </c>
      <c r="G2927" s="2">
        <f t="shared" si="28"/>
        <v>1101.231</v>
      </c>
      <c r="H2927" s="2">
        <f t="shared" si="32"/>
        <v>982.61220964164806</v>
      </c>
      <c r="I2927" s="2">
        <f t="shared" si="32"/>
        <v>470.05598272440756</v>
      </c>
    </row>
    <row r="2928" spans="1:9" ht="14.25" customHeight="1">
      <c r="A2928" s="2" t="s">
        <v>15</v>
      </c>
      <c r="B2928" s="2">
        <v>1972</v>
      </c>
      <c r="C2928" s="2" t="s">
        <v>16</v>
      </c>
      <c r="D2928" s="2">
        <v>1065497</v>
      </c>
      <c r="E2928" s="3">
        <f t="shared" si="27"/>
        <v>1065.4970000000001</v>
      </c>
      <c r="F2928" s="2">
        <v>0.21299999999999999</v>
      </c>
      <c r="G2928" s="2">
        <f t="shared" si="28"/>
        <v>1065.71</v>
      </c>
      <c r="H2928" s="2">
        <f t="shared" si="32"/>
        <v>951.9208351815106</v>
      </c>
      <c r="I2928" s="2">
        <f t="shared" si="32"/>
        <v>453.99135923894022</v>
      </c>
    </row>
    <row r="2929" spans="1:9" ht="14.25" customHeight="1">
      <c r="A2929" s="2" t="s">
        <v>15</v>
      </c>
      <c r="B2929" s="2">
        <v>1973</v>
      </c>
      <c r="C2929" s="2" t="s">
        <v>16</v>
      </c>
      <c r="D2929" s="2">
        <v>1100894</v>
      </c>
      <c r="E2929" s="3">
        <f t="shared" si="27"/>
        <v>1100.894</v>
      </c>
      <c r="F2929" s="2">
        <v>0.40100000000000002</v>
      </c>
      <c r="G2929" s="2">
        <f t="shared" si="28"/>
        <v>1101.2950000000001</v>
      </c>
      <c r="H2929" s="2">
        <f t="shared" si="32"/>
        <v>984.61662390568472</v>
      </c>
      <c r="I2929" s="2">
        <f t="shared" si="32"/>
        <v>467.60443571378551</v>
      </c>
    </row>
    <row r="2930" spans="1:9" ht="14.25" customHeight="1">
      <c r="A2930" s="2" t="s">
        <v>15</v>
      </c>
      <c r="B2930" s="2">
        <v>1974</v>
      </c>
      <c r="C2930" s="2" t="s">
        <v>16</v>
      </c>
      <c r="D2930" s="2">
        <v>1043740</v>
      </c>
      <c r="E2930" s="3">
        <f t="shared" si="27"/>
        <v>1043.74</v>
      </c>
      <c r="F2930" s="2">
        <v>0.55600000000000005</v>
      </c>
      <c r="G2930" s="2">
        <f t="shared" si="28"/>
        <v>1044.296</v>
      </c>
      <c r="H2930" s="2">
        <f t="shared" si="32"/>
        <v>933.09440842768765</v>
      </c>
      <c r="I2930" s="2">
        <f t="shared" si="32"/>
        <v>443.88315012956696</v>
      </c>
    </row>
    <row r="2931" spans="1:9" ht="14.25" customHeight="1">
      <c r="A2931" s="2" t="s">
        <v>15</v>
      </c>
      <c r="B2931" s="2">
        <v>1975</v>
      </c>
      <c r="C2931" s="2" t="s">
        <v>16</v>
      </c>
      <c r="D2931" s="2">
        <v>950591</v>
      </c>
      <c r="E2931" s="3">
        <f t="shared" si="27"/>
        <v>950.59100000000001</v>
      </c>
      <c r="F2931" s="2">
        <v>0.876</v>
      </c>
      <c r="G2931" s="2">
        <f t="shared" si="28"/>
        <v>951.46699999999998</v>
      </c>
      <c r="H2931" s="2">
        <f t="shared" si="32"/>
        <v>850.87915676432829</v>
      </c>
      <c r="I2931" s="2">
        <f t="shared" si="32"/>
        <v>402.81710681452086</v>
      </c>
    </row>
    <row r="2932" spans="1:9" ht="14.25" customHeight="1">
      <c r="A2932" s="2" t="s">
        <v>15</v>
      </c>
      <c r="B2932" s="2">
        <v>1976</v>
      </c>
      <c r="C2932" s="2" t="s">
        <v>16</v>
      </c>
      <c r="D2932" s="2">
        <v>1014037</v>
      </c>
      <c r="E2932" s="3">
        <f t="shared" si="27"/>
        <v>1014.037</v>
      </c>
      <c r="F2932" s="2">
        <v>0.69</v>
      </c>
      <c r="G2932" s="2">
        <f t="shared" si="28"/>
        <v>1014.7270000000001</v>
      </c>
      <c r="H2932" s="2">
        <f t="shared" si="32"/>
        <v>908.92521746235559</v>
      </c>
      <c r="I2932" s="2">
        <f t="shared" si="32"/>
        <v>427.98241655655426</v>
      </c>
    </row>
    <row r="2933" spans="1:9" ht="14.25" customHeight="1">
      <c r="A2933" s="2" t="s">
        <v>15</v>
      </c>
      <c r="B2933" s="2">
        <v>1977</v>
      </c>
      <c r="C2933" s="2" t="s">
        <v>16</v>
      </c>
      <c r="D2933" s="2">
        <v>1002628</v>
      </c>
      <c r="E2933" s="3">
        <f t="shared" si="27"/>
        <v>1002.628</v>
      </c>
      <c r="F2933" s="2">
        <v>0.58499999999999996</v>
      </c>
      <c r="G2933" s="2">
        <f t="shared" si="28"/>
        <v>1003.2130000000001</v>
      </c>
      <c r="H2933" s="2">
        <f t="shared" si="32"/>
        <v>898.22179899614798</v>
      </c>
      <c r="I2933" s="2">
        <f t="shared" si="32"/>
        <v>423.82092150811252</v>
      </c>
    </row>
    <row r="2934" spans="1:9" ht="14.25" customHeight="1">
      <c r="A2934" s="2" t="s">
        <v>15</v>
      </c>
      <c r="B2934" s="2">
        <v>1978</v>
      </c>
      <c r="C2934" s="2" t="s">
        <v>16</v>
      </c>
      <c r="D2934" s="2">
        <v>1038580</v>
      </c>
      <c r="E2934" s="3">
        <f t="shared" si="27"/>
        <v>1038.58</v>
      </c>
      <c r="F2934" s="2">
        <v>0.88800000000000001</v>
      </c>
      <c r="G2934" s="2">
        <f t="shared" si="28"/>
        <v>1039.4679999999998</v>
      </c>
      <c r="H2934" s="2">
        <f t="shared" si="32"/>
        <v>929.14950764561695</v>
      </c>
      <c r="I2934" s="2">
        <f t="shared" si="32"/>
        <v>440.77309874635228</v>
      </c>
    </row>
    <row r="2935" spans="1:9" ht="14.25" customHeight="1">
      <c r="A2935" s="2" t="s">
        <v>15</v>
      </c>
      <c r="B2935" s="2">
        <v>1979</v>
      </c>
      <c r="C2935" s="2" t="s">
        <v>16</v>
      </c>
      <c r="D2935" s="2">
        <v>912543</v>
      </c>
      <c r="E2935" s="3">
        <f t="shared" si="27"/>
        <v>912.54300000000001</v>
      </c>
      <c r="F2935" s="2">
        <v>2.351</v>
      </c>
      <c r="G2935" s="2">
        <f t="shared" si="28"/>
        <v>914.89400000000001</v>
      </c>
      <c r="H2935" s="2">
        <f t="shared" si="32"/>
        <v>817.1383533325552</v>
      </c>
      <c r="I2935" s="2">
        <f t="shared" si="32"/>
        <v>386.26080313295205</v>
      </c>
    </row>
    <row r="2936" spans="1:9" ht="14.25" customHeight="1">
      <c r="A2936" s="2" t="s">
        <v>15</v>
      </c>
      <c r="B2936" s="2">
        <v>1980</v>
      </c>
      <c r="C2936" s="2" t="s">
        <v>16</v>
      </c>
      <c r="D2936" s="2">
        <v>890725</v>
      </c>
      <c r="E2936" s="3">
        <f t="shared" si="27"/>
        <v>890.72500000000002</v>
      </c>
      <c r="F2936" s="2">
        <v>2.855</v>
      </c>
      <c r="G2936" s="2">
        <f t="shared" si="28"/>
        <v>893.58</v>
      </c>
      <c r="H2936" s="2">
        <f t="shared" si="32"/>
        <v>798.27756507528898</v>
      </c>
      <c r="I2936" s="2">
        <f t="shared" si="32"/>
        <v>376.09900688689157</v>
      </c>
    </row>
    <row r="2937" spans="1:9" ht="14.25" customHeight="1">
      <c r="A2937" s="2" t="s">
        <v>15</v>
      </c>
      <c r="B2937" s="2">
        <v>1981</v>
      </c>
      <c r="C2937" s="2" t="s">
        <v>16</v>
      </c>
      <c r="D2937" s="2">
        <v>875625</v>
      </c>
      <c r="E2937" s="3">
        <f t="shared" si="27"/>
        <v>875.625</v>
      </c>
      <c r="F2937" s="2">
        <v>4.0490000000000004</v>
      </c>
      <c r="G2937" s="2">
        <f t="shared" si="28"/>
        <v>879.67399999999998</v>
      </c>
      <c r="H2937" s="2">
        <f t="shared" si="32"/>
        <v>784.34717567409837</v>
      </c>
      <c r="I2937" s="2">
        <f t="shared" si="32"/>
        <v>370.26809608030823</v>
      </c>
    </row>
    <row r="2938" spans="1:9" ht="14.25" customHeight="1">
      <c r="A2938" s="2" t="s">
        <v>15</v>
      </c>
      <c r="B2938" s="2">
        <v>1982</v>
      </c>
      <c r="C2938" s="2" t="s">
        <v>16</v>
      </c>
      <c r="D2938" s="2">
        <v>901395</v>
      </c>
      <c r="E2938" s="3">
        <f t="shared" si="27"/>
        <v>901.39499999999998</v>
      </c>
      <c r="F2938" s="2">
        <v>11.987</v>
      </c>
      <c r="G2938" s="2">
        <f t="shared" si="28"/>
        <v>913.38199999999995</v>
      </c>
      <c r="H2938" s="2">
        <f t="shared" si="32"/>
        <v>806.91536383798302</v>
      </c>
      <c r="I2938" s="2">
        <f t="shared" si="32"/>
        <v>381.87166828061163</v>
      </c>
    </row>
    <row r="2939" spans="1:9" ht="14.25" customHeight="1">
      <c r="A2939" s="2" t="s">
        <v>15</v>
      </c>
      <c r="B2939" s="2">
        <v>1983</v>
      </c>
      <c r="C2939" s="2" t="s">
        <v>16</v>
      </c>
      <c r="D2939" s="2">
        <v>836849</v>
      </c>
      <c r="E2939" s="3">
        <f t="shared" si="27"/>
        <v>836.84900000000005</v>
      </c>
      <c r="F2939" s="2">
        <v>11.683999999999999</v>
      </c>
      <c r="G2939" s="2">
        <f t="shared" si="28"/>
        <v>848.53300000000002</v>
      </c>
      <c r="H2939" s="2">
        <f t="shared" ref="H2939:I2958" si="33">H2389+H3356</f>
        <v>750.53993253180818</v>
      </c>
      <c r="I2939" s="2">
        <f t="shared" si="33"/>
        <v>352.60130694058603</v>
      </c>
    </row>
    <row r="2940" spans="1:9" ht="14.25" customHeight="1">
      <c r="A2940" s="2" t="s">
        <v>15</v>
      </c>
      <c r="B2940" s="2">
        <v>1984</v>
      </c>
      <c r="C2940" s="2" t="s">
        <v>16</v>
      </c>
      <c r="D2940" s="2">
        <v>828998</v>
      </c>
      <c r="E2940" s="3">
        <f t="shared" si="27"/>
        <v>828.99800000000005</v>
      </c>
      <c r="F2940" s="2">
        <v>17.611999999999998</v>
      </c>
      <c r="G2940" s="2">
        <f t="shared" si="28"/>
        <v>846.61</v>
      </c>
      <c r="H2940" s="2">
        <f t="shared" si="33"/>
        <v>743.6782817789192</v>
      </c>
      <c r="I2940" s="2">
        <f t="shared" si="33"/>
        <v>349.04715807167042</v>
      </c>
    </row>
    <row r="2941" spans="1:9" ht="14.25" customHeight="1">
      <c r="A2941" s="2" t="s">
        <v>15</v>
      </c>
      <c r="B2941" s="2">
        <v>1985</v>
      </c>
      <c r="C2941" s="2" t="s">
        <v>16</v>
      </c>
      <c r="D2941" s="2">
        <v>881585</v>
      </c>
      <c r="E2941" s="3">
        <f t="shared" si="27"/>
        <v>881.58500000000004</v>
      </c>
      <c r="F2941" s="2">
        <v>20.103999999999999</v>
      </c>
      <c r="G2941" s="2">
        <f t="shared" si="28"/>
        <v>901.68900000000008</v>
      </c>
      <c r="H2941" s="2">
        <f t="shared" si="33"/>
        <v>790.53518314462485</v>
      </c>
      <c r="I2941" s="2">
        <f t="shared" si="33"/>
        <v>371.62441974086619</v>
      </c>
    </row>
    <row r="2942" spans="1:9" ht="14.25" customHeight="1">
      <c r="A2942" s="2" t="s">
        <v>15</v>
      </c>
      <c r="B2942" s="2">
        <v>1986</v>
      </c>
      <c r="C2942" s="2" t="s">
        <v>16</v>
      </c>
      <c r="D2942" s="2">
        <v>836702</v>
      </c>
      <c r="E2942" s="3">
        <f t="shared" si="27"/>
        <v>836.702</v>
      </c>
      <c r="F2942" s="2">
        <v>24.013000000000002</v>
      </c>
      <c r="G2942" s="2">
        <f t="shared" si="28"/>
        <v>860.71500000000003</v>
      </c>
      <c r="H2942" s="2">
        <f t="shared" si="33"/>
        <v>752.16089342827127</v>
      </c>
      <c r="I2942" s="2">
        <f t="shared" si="33"/>
        <v>350.1372177798529</v>
      </c>
    </row>
    <row r="2943" spans="1:9" ht="14.25" customHeight="1">
      <c r="A2943" s="2" t="s">
        <v>15</v>
      </c>
      <c r="B2943" s="2">
        <v>1987</v>
      </c>
      <c r="C2943" s="2" t="s">
        <v>16</v>
      </c>
      <c r="D2943" s="2">
        <v>920404</v>
      </c>
      <c r="E2943" s="3">
        <f t="shared" si="27"/>
        <v>920.404</v>
      </c>
      <c r="F2943" s="2">
        <v>29.434999999999999</v>
      </c>
      <c r="G2943" s="2">
        <f t="shared" si="28"/>
        <v>949.83899999999994</v>
      </c>
      <c r="H2943" s="2">
        <f t="shared" si="33"/>
        <v>829.07335018092681</v>
      </c>
      <c r="I2943" s="2">
        <f t="shared" si="33"/>
        <v>382.87861158865417</v>
      </c>
    </row>
    <row r="2944" spans="1:9" ht="14.25" customHeight="1">
      <c r="A2944" s="2" t="s">
        <v>15</v>
      </c>
      <c r="B2944" s="2">
        <v>1988</v>
      </c>
      <c r="C2944" s="2" t="s">
        <v>16</v>
      </c>
      <c r="D2944" s="2">
        <v>905721</v>
      </c>
      <c r="E2944" s="3">
        <f t="shared" si="27"/>
        <v>905.721</v>
      </c>
      <c r="F2944" s="2">
        <v>36.392000000000003</v>
      </c>
      <c r="G2944" s="2">
        <f t="shared" si="28"/>
        <v>942.11300000000006</v>
      </c>
      <c r="H2944" s="2">
        <f t="shared" si="33"/>
        <v>814.48245616902068</v>
      </c>
      <c r="I2944" s="2">
        <f t="shared" si="33"/>
        <v>378.64114352282019</v>
      </c>
    </row>
    <row r="2945" spans="1:9" ht="14.25" customHeight="1">
      <c r="A2945" s="2" t="s">
        <v>15</v>
      </c>
      <c r="B2945" s="2">
        <v>1989</v>
      </c>
      <c r="C2945" s="2" t="s">
        <v>16</v>
      </c>
      <c r="D2945" s="2">
        <v>839129</v>
      </c>
      <c r="E2945" s="3">
        <f t="shared" si="27"/>
        <v>839.12900000000002</v>
      </c>
      <c r="F2945" s="2">
        <v>49.316000000000003</v>
      </c>
      <c r="G2945" s="2">
        <f t="shared" si="28"/>
        <v>888.44500000000005</v>
      </c>
      <c r="H2945" s="2">
        <f t="shared" si="33"/>
        <v>754.91692401073897</v>
      </c>
      <c r="I2945" s="2">
        <f t="shared" si="33"/>
        <v>350.3658527652621</v>
      </c>
    </row>
    <row r="2946" spans="1:9" ht="14.25" customHeight="1">
      <c r="A2946" s="2" t="s">
        <v>15</v>
      </c>
      <c r="B2946" s="2">
        <v>1990</v>
      </c>
      <c r="C2946" s="2" t="s">
        <v>16</v>
      </c>
      <c r="D2946" s="2">
        <v>761318</v>
      </c>
      <c r="E2946" s="3">
        <f t="shared" si="27"/>
        <v>761.31799999999998</v>
      </c>
      <c r="F2946" s="2">
        <v>50.043999999999997</v>
      </c>
      <c r="G2946" s="2">
        <f t="shared" si="28"/>
        <v>811.36199999999997</v>
      </c>
      <c r="H2946" s="2">
        <f t="shared" si="33"/>
        <v>686.52240679350996</v>
      </c>
      <c r="I2946" s="2">
        <f t="shared" si="33"/>
        <v>315.67380932881991</v>
      </c>
    </row>
    <row r="2947" spans="1:9" ht="14.25" customHeight="1">
      <c r="A2947" s="2" t="s">
        <v>15</v>
      </c>
      <c r="B2947" s="2">
        <v>1991</v>
      </c>
      <c r="C2947" s="2" t="s">
        <v>16</v>
      </c>
      <c r="D2947" s="2">
        <v>786519</v>
      </c>
      <c r="E2947" s="3">
        <f t="shared" si="27"/>
        <v>786.51900000000001</v>
      </c>
      <c r="F2947" s="2">
        <v>60.887</v>
      </c>
      <c r="G2947" s="2">
        <f t="shared" si="28"/>
        <v>847.40599999999995</v>
      </c>
      <c r="H2947" s="2">
        <f t="shared" si="33"/>
        <v>711.92635601727568</v>
      </c>
      <c r="I2947" s="2">
        <f t="shared" si="33"/>
        <v>322.45195444846507</v>
      </c>
    </row>
    <row r="2948" spans="1:9" ht="14.25" customHeight="1">
      <c r="A2948" s="2" t="s">
        <v>15</v>
      </c>
      <c r="B2948" s="2">
        <v>1992</v>
      </c>
      <c r="C2948" s="2" t="s">
        <v>16</v>
      </c>
      <c r="D2948" s="2">
        <v>810924</v>
      </c>
      <c r="E2948" s="3">
        <f t="shared" si="27"/>
        <v>810.92399999999998</v>
      </c>
      <c r="F2948" s="2">
        <v>56.823999999999998</v>
      </c>
      <c r="G2948" s="2">
        <f t="shared" si="28"/>
        <v>867.74799999999993</v>
      </c>
      <c r="H2948" s="2">
        <f t="shared" si="33"/>
        <v>731.77177098167385</v>
      </c>
      <c r="I2948" s="2">
        <f t="shared" si="33"/>
        <v>335.53410778102017</v>
      </c>
    </row>
    <row r="2949" spans="1:9" ht="14.25" customHeight="1">
      <c r="A2949" s="2" t="s">
        <v>15</v>
      </c>
      <c r="B2949" s="2">
        <v>1993</v>
      </c>
      <c r="C2949" s="2" t="s">
        <v>16</v>
      </c>
      <c r="D2949" s="2">
        <v>857872</v>
      </c>
      <c r="E2949" s="3">
        <f t="shared" si="27"/>
        <v>857.87199999999996</v>
      </c>
      <c r="F2949" s="2">
        <v>68.774000000000001</v>
      </c>
      <c r="G2949" s="2">
        <f t="shared" si="28"/>
        <v>926.64599999999996</v>
      </c>
      <c r="H2949" s="2">
        <f t="shared" si="33"/>
        <v>772.85715711450916</v>
      </c>
      <c r="I2949" s="2">
        <f t="shared" si="33"/>
        <v>356.71405698610943</v>
      </c>
    </row>
    <row r="2950" spans="1:9" ht="14.25" customHeight="1">
      <c r="A2950" s="2" t="s">
        <v>15</v>
      </c>
      <c r="B2950" s="2">
        <v>1994</v>
      </c>
      <c r="C2950" s="2" t="s">
        <v>16</v>
      </c>
      <c r="D2950" s="2">
        <v>874473</v>
      </c>
      <c r="E2950" s="3">
        <f t="shared" si="27"/>
        <v>874.47299999999996</v>
      </c>
      <c r="F2950" s="2">
        <v>85.700999999999993</v>
      </c>
      <c r="G2950" s="2">
        <f t="shared" si="28"/>
        <v>960.17399999999998</v>
      </c>
      <c r="H2950" s="2">
        <f t="shared" si="33"/>
        <v>788.69083296369797</v>
      </c>
      <c r="I2950" s="2">
        <f t="shared" si="33"/>
        <v>362.41392815221195</v>
      </c>
    </row>
    <row r="2951" spans="1:9" ht="14.25" customHeight="1">
      <c r="A2951" s="2" t="s">
        <v>15</v>
      </c>
      <c r="B2951" s="2">
        <v>1995</v>
      </c>
      <c r="C2951" s="2" t="s">
        <v>16</v>
      </c>
      <c r="D2951" s="2">
        <v>905721</v>
      </c>
      <c r="E2951" s="3">
        <f t="shared" si="27"/>
        <v>905.721</v>
      </c>
      <c r="F2951" s="2">
        <v>93.837999999999994</v>
      </c>
      <c r="G2951" s="2">
        <f t="shared" si="28"/>
        <v>999.55899999999997</v>
      </c>
      <c r="H2951" s="2">
        <f t="shared" si="33"/>
        <v>817.68438088012147</v>
      </c>
      <c r="I2951" s="2">
        <f t="shared" si="33"/>
        <v>374.25301663125947</v>
      </c>
    </row>
    <row r="2952" spans="1:9" ht="14.25" customHeight="1">
      <c r="A2952" s="2" t="s">
        <v>15</v>
      </c>
      <c r="B2952" s="2">
        <v>1996</v>
      </c>
      <c r="C2952" s="2" t="s">
        <v>16</v>
      </c>
      <c r="D2952" s="2">
        <v>861252</v>
      </c>
      <c r="E2952" s="3">
        <f t="shared" si="27"/>
        <v>861.25199999999995</v>
      </c>
      <c r="F2952" s="2">
        <v>109.901</v>
      </c>
      <c r="G2952" s="2">
        <f t="shared" si="28"/>
        <v>971.15299999999991</v>
      </c>
      <c r="H2952" s="2">
        <f t="shared" si="33"/>
        <v>778.65381055211856</v>
      </c>
      <c r="I2952" s="2">
        <f t="shared" si="33"/>
        <v>354.34851717053812</v>
      </c>
    </row>
    <row r="2953" spans="1:9" ht="14.25" customHeight="1">
      <c r="A2953" s="2" t="s">
        <v>15</v>
      </c>
      <c r="B2953" s="2">
        <v>1997</v>
      </c>
      <c r="C2953" s="2" t="s">
        <v>16</v>
      </c>
      <c r="D2953" s="2">
        <v>886791</v>
      </c>
      <c r="E2953" s="3">
        <f t="shared" si="27"/>
        <v>886.79100000000005</v>
      </c>
      <c r="F2953" s="2">
        <v>129.715</v>
      </c>
      <c r="G2953" s="2">
        <f t="shared" si="28"/>
        <v>1016.5060000000001</v>
      </c>
      <c r="H2953" s="2">
        <f t="shared" si="33"/>
        <v>802.45431002684745</v>
      </c>
      <c r="I2953" s="2">
        <f t="shared" si="33"/>
        <v>363.88199191315522</v>
      </c>
    </row>
    <row r="2954" spans="1:9" ht="14.25" customHeight="1">
      <c r="A2954" s="2" t="s">
        <v>15</v>
      </c>
      <c r="B2954" s="2">
        <v>1998</v>
      </c>
      <c r="C2954" s="2" t="s">
        <v>16</v>
      </c>
      <c r="D2954" s="2">
        <v>913342</v>
      </c>
      <c r="E2954" s="3">
        <f t="shared" si="27"/>
        <v>913.34199999999998</v>
      </c>
      <c r="F2954" s="2">
        <v>137.42099999999999</v>
      </c>
      <c r="G2954" s="2">
        <f t="shared" si="28"/>
        <v>1050.7629999999999</v>
      </c>
      <c r="H2954" s="2">
        <f t="shared" si="33"/>
        <v>824.4018166219214</v>
      </c>
      <c r="I2954" s="2">
        <f t="shared" si="33"/>
        <v>377.62520014474148</v>
      </c>
    </row>
    <row r="2955" spans="1:9" ht="14.25" customHeight="1">
      <c r="A2955" s="2" t="s">
        <v>15</v>
      </c>
      <c r="B2955" s="2">
        <v>1999</v>
      </c>
      <c r="C2955" s="2" t="s">
        <v>16</v>
      </c>
      <c r="D2955" s="2">
        <v>831579</v>
      </c>
      <c r="E2955" s="3">
        <f t="shared" si="27"/>
        <v>831.57899999999995</v>
      </c>
      <c r="F2955" s="2">
        <v>154.80000000000001</v>
      </c>
      <c r="G2955" s="2">
        <f t="shared" si="28"/>
        <v>986.37899999999991</v>
      </c>
      <c r="H2955" s="2">
        <f t="shared" si="33"/>
        <v>751.36202124430952</v>
      </c>
      <c r="I2955" s="2">
        <f t="shared" si="33"/>
        <v>342.77671040971165</v>
      </c>
    </row>
    <row r="2956" spans="1:9" ht="14.25" customHeight="1">
      <c r="A2956" s="2" t="s">
        <v>15</v>
      </c>
      <c r="B2956" s="2">
        <v>2000</v>
      </c>
      <c r="C2956" s="2" t="s">
        <v>16</v>
      </c>
      <c r="D2956" s="2">
        <v>737945</v>
      </c>
      <c r="E2956" s="3">
        <f t="shared" si="27"/>
        <v>737.94500000000005</v>
      </c>
      <c r="F2956" s="2">
        <v>152.48500000000001</v>
      </c>
      <c r="G2956" s="2">
        <f t="shared" si="28"/>
        <v>890.43000000000006</v>
      </c>
      <c r="H2956" s="2">
        <f t="shared" si="33"/>
        <v>669.01021466090822</v>
      </c>
      <c r="I2956" s="2">
        <f t="shared" si="33"/>
        <v>301.09733518384502</v>
      </c>
    </row>
    <row r="2957" spans="1:9" ht="14.25" customHeight="1">
      <c r="A2957" s="2" t="s">
        <v>15</v>
      </c>
      <c r="B2957" s="2">
        <v>2001</v>
      </c>
      <c r="C2957" s="2" t="s">
        <v>16</v>
      </c>
      <c r="D2957" s="2">
        <v>728566</v>
      </c>
      <c r="E2957" s="3">
        <f t="shared" si="27"/>
        <v>728.56600000000003</v>
      </c>
      <c r="F2957" s="2">
        <v>170.51599999999999</v>
      </c>
      <c r="G2957" s="2">
        <f t="shared" si="28"/>
        <v>899.08199999999999</v>
      </c>
      <c r="H2957" s="2">
        <f t="shared" si="33"/>
        <v>662.02935660091043</v>
      </c>
      <c r="I2957" s="2">
        <f t="shared" si="33"/>
        <v>295.18464473444612</v>
      </c>
    </row>
    <row r="2958" spans="1:9" ht="14.25" customHeight="1">
      <c r="A2958" s="2" t="s">
        <v>15</v>
      </c>
      <c r="B2958" s="2">
        <v>2002</v>
      </c>
      <c r="C2958" s="2" t="s">
        <v>16</v>
      </c>
      <c r="D2958" s="2">
        <v>679089</v>
      </c>
      <c r="E2958" s="3">
        <f t="shared" si="27"/>
        <v>679.08900000000006</v>
      </c>
      <c r="F2958" s="2">
        <v>179.036</v>
      </c>
      <c r="G2958" s="2">
        <f t="shared" si="28"/>
        <v>858.125</v>
      </c>
      <c r="H2958" s="2">
        <f t="shared" si="33"/>
        <v>617.5492193299873</v>
      </c>
      <c r="I2958" s="2">
        <f t="shared" si="33"/>
        <v>274.48305747169377</v>
      </c>
    </row>
    <row r="2959" spans="1:9" ht="14.25" customHeight="1">
      <c r="A2959" s="2" t="s">
        <v>15</v>
      </c>
      <c r="B2959" s="2">
        <v>2003</v>
      </c>
      <c r="C2959" s="2" t="s">
        <v>16</v>
      </c>
      <c r="D2959" s="2">
        <v>625404</v>
      </c>
      <c r="E2959" s="3">
        <f t="shared" si="27"/>
        <v>625.404</v>
      </c>
      <c r="F2959" s="2">
        <v>181.83799999999999</v>
      </c>
      <c r="G2959" s="2">
        <f t="shared" si="28"/>
        <v>807.24199999999996</v>
      </c>
      <c r="H2959" s="2">
        <f t="shared" ref="H2959:I2974" si="34">H2409+H3376</f>
        <v>569.75505194350421</v>
      </c>
      <c r="I2959" s="2">
        <f t="shared" si="34"/>
        <v>251.37807545231703</v>
      </c>
    </row>
    <row r="2960" spans="1:9" ht="14.25" customHeight="1">
      <c r="A2960" s="2" t="s">
        <v>15</v>
      </c>
      <c r="B2960" s="2">
        <v>2004</v>
      </c>
      <c r="C2960" s="2" t="s">
        <v>16</v>
      </c>
      <c r="D2960" s="2">
        <v>649533</v>
      </c>
      <c r="E2960" s="3">
        <f t="shared" si="27"/>
        <v>649.53300000000002</v>
      </c>
      <c r="F2960" s="2">
        <v>207.203</v>
      </c>
      <c r="G2960" s="2">
        <f t="shared" si="28"/>
        <v>856.73599999999999</v>
      </c>
      <c r="H2960" s="2">
        <f t="shared" si="34"/>
        <v>590.79274471810447</v>
      </c>
      <c r="I2960" s="2">
        <f t="shared" si="34"/>
        <v>262.37072491187121</v>
      </c>
    </row>
    <row r="2961" spans="1:9" ht="14.25" customHeight="1">
      <c r="A2961" s="2" t="s">
        <v>15</v>
      </c>
      <c r="B2961" s="2">
        <v>2005</v>
      </c>
      <c r="C2961" s="2" t="s">
        <v>16</v>
      </c>
      <c r="D2961" s="2">
        <v>658833</v>
      </c>
      <c r="E2961" s="3">
        <f t="shared" si="27"/>
        <v>658.83299999999997</v>
      </c>
      <c r="F2961" s="2">
        <v>172.81299999999999</v>
      </c>
      <c r="G2961" s="2">
        <f t="shared" si="28"/>
        <v>831.64599999999996</v>
      </c>
      <c r="H2961" s="2">
        <f t="shared" si="34"/>
        <v>596.86858363487795</v>
      </c>
      <c r="I2961" s="2">
        <f t="shared" si="34"/>
        <v>269.39332598109019</v>
      </c>
    </row>
    <row r="2962" spans="1:9" ht="14.25" customHeight="1">
      <c r="A2962" s="2" t="s">
        <v>15</v>
      </c>
      <c r="B2962" s="2">
        <v>2006</v>
      </c>
      <c r="C2962" s="2" t="s">
        <v>16</v>
      </c>
      <c r="D2962" s="2">
        <v>603726.41</v>
      </c>
      <c r="E2962" s="3">
        <f t="shared" si="27"/>
        <v>603.72640999999999</v>
      </c>
      <c r="F2962" s="2">
        <v>171.84800000000001</v>
      </c>
      <c r="G2962" s="2">
        <f t="shared" si="28"/>
        <v>775.57440999999994</v>
      </c>
      <c r="H2962" s="2">
        <f t="shared" si="34"/>
        <v>551.16012633127116</v>
      </c>
      <c r="I2962" s="2">
        <f t="shared" si="34"/>
        <v>241.08366550232287</v>
      </c>
    </row>
    <row r="2963" spans="1:9" ht="14.25" customHeight="1">
      <c r="A2963" s="2" t="s">
        <v>15</v>
      </c>
      <c r="B2963" s="2">
        <v>2007</v>
      </c>
      <c r="C2963" s="2" t="s">
        <v>16</v>
      </c>
      <c r="D2963" s="2">
        <v>594283.75</v>
      </c>
      <c r="E2963" s="3">
        <f t="shared" si="27"/>
        <v>594.28375000000005</v>
      </c>
      <c r="F2963" s="2">
        <v>174.2</v>
      </c>
      <c r="G2963" s="2">
        <f t="shared" si="28"/>
        <v>768.4837500000001</v>
      </c>
      <c r="H2963" s="2">
        <f t="shared" si="34"/>
        <v>543.5579076421152</v>
      </c>
      <c r="I2963" s="2">
        <f t="shared" si="34"/>
        <v>235.91745964463641</v>
      </c>
    </row>
    <row r="2964" spans="1:9" ht="14.25" customHeight="1">
      <c r="A2964" s="2" t="s">
        <v>15</v>
      </c>
      <c r="B2964" s="2">
        <v>2008</v>
      </c>
      <c r="C2964" s="2" t="s">
        <v>16</v>
      </c>
      <c r="D2964" s="2">
        <v>544868.81999999995</v>
      </c>
      <c r="E2964" s="3">
        <f t="shared" si="27"/>
        <v>544.86881999999991</v>
      </c>
      <c r="F2964" s="2">
        <v>175.702</v>
      </c>
      <c r="G2964" s="2">
        <f t="shared" si="28"/>
        <v>720.57081999999991</v>
      </c>
      <c r="H2964" s="2">
        <f t="shared" si="34"/>
        <v>499.89571448348306</v>
      </c>
      <c r="I2964" s="2">
        <f t="shared" si="34"/>
        <v>214.19735269690671</v>
      </c>
    </row>
    <row r="2965" spans="1:9" ht="14.25" customHeight="1">
      <c r="A2965" s="2" t="s">
        <v>15</v>
      </c>
      <c r="B2965" s="2">
        <v>2009</v>
      </c>
      <c r="C2965" s="2" t="s">
        <v>16</v>
      </c>
      <c r="D2965" s="2">
        <v>564104.95999999996</v>
      </c>
      <c r="E2965" s="3">
        <f t="shared" si="27"/>
        <v>564.10496000000001</v>
      </c>
      <c r="F2965" s="2">
        <v>196.59782000000001</v>
      </c>
      <c r="G2965" s="2">
        <f t="shared" si="28"/>
        <v>760.70278000000008</v>
      </c>
      <c r="H2965" s="2">
        <f t="shared" si="34"/>
        <v>515.56854583284701</v>
      </c>
      <c r="I2965" s="2">
        <f t="shared" si="34"/>
        <v>224.46686295809502</v>
      </c>
    </row>
    <row r="2966" spans="1:9" ht="14.25" customHeight="1">
      <c r="A2966" s="2" t="s">
        <v>15</v>
      </c>
      <c r="B2966" s="2">
        <v>2010</v>
      </c>
      <c r="C2966" s="2" t="s">
        <v>16</v>
      </c>
      <c r="D2966" s="2">
        <v>575064.5</v>
      </c>
      <c r="E2966" s="3">
        <f t="shared" si="27"/>
        <v>575.06449999999995</v>
      </c>
      <c r="F2966" s="2">
        <v>201.36385000000001</v>
      </c>
      <c r="G2966" s="2">
        <f t="shared" si="28"/>
        <v>776.42834999999991</v>
      </c>
      <c r="H2966" s="2">
        <f t="shared" si="34"/>
        <v>526.58826061631839</v>
      </c>
      <c r="I2966" s="2">
        <f t="shared" si="34"/>
        <v>227.45306670199602</v>
      </c>
    </row>
    <row r="2967" spans="1:9" ht="14.25" customHeight="1">
      <c r="A2967" s="2" t="s">
        <v>15</v>
      </c>
      <c r="B2967" s="2">
        <v>2011</v>
      </c>
      <c r="C2967" s="2" t="s">
        <v>16</v>
      </c>
      <c r="D2967" s="2">
        <v>582117.25</v>
      </c>
      <c r="E2967" s="3">
        <f t="shared" si="27"/>
        <v>582.11725000000001</v>
      </c>
      <c r="F2967" s="2">
        <v>198.9676</v>
      </c>
      <c r="G2967" s="2">
        <f t="shared" si="28"/>
        <v>781.08484999999996</v>
      </c>
      <c r="H2967" s="2">
        <f t="shared" si="34"/>
        <v>533.58468148359998</v>
      </c>
      <c r="I2967" s="2">
        <f t="shared" si="34"/>
        <v>229.50503382696397</v>
      </c>
    </row>
    <row r="2968" spans="1:9" ht="14.25" customHeight="1">
      <c r="A2968" s="2" t="s">
        <v>15</v>
      </c>
      <c r="B2968" s="2">
        <v>2012</v>
      </c>
      <c r="C2968" s="2" t="s">
        <v>16</v>
      </c>
      <c r="D2968" s="2">
        <v>613966.80000000005</v>
      </c>
      <c r="E2968" s="3">
        <f t="shared" si="27"/>
        <v>613.96680000000003</v>
      </c>
      <c r="F2968" s="2">
        <v>205.59470000000002</v>
      </c>
      <c r="G2968" s="2">
        <f t="shared" si="28"/>
        <v>819.56150000000002</v>
      </c>
      <c r="H2968" s="2">
        <f t="shared" si="34"/>
        <v>562.43031658690325</v>
      </c>
      <c r="I2968" s="2">
        <f t="shared" si="34"/>
        <v>242.53966912758261</v>
      </c>
    </row>
    <row r="2969" spans="1:9" ht="14.25" customHeight="1">
      <c r="A2969" s="2" t="s">
        <v>15</v>
      </c>
      <c r="B2969" s="2">
        <v>2013</v>
      </c>
      <c r="C2969" s="2" t="s">
        <v>16</v>
      </c>
      <c r="D2969" s="2">
        <v>615505.29</v>
      </c>
      <c r="E2969" s="3">
        <f t="shared" si="27"/>
        <v>615.50529000000006</v>
      </c>
      <c r="F2969" s="2">
        <v>203.26300000000001</v>
      </c>
      <c r="G2969" s="2">
        <f t="shared" si="28"/>
        <v>818.76829000000009</v>
      </c>
      <c r="H2969" s="2">
        <f t="shared" si="34"/>
        <v>562.63484549433883</v>
      </c>
      <c r="I2969" s="2">
        <f t="shared" si="34"/>
        <v>244.79859379222606</v>
      </c>
    </row>
    <row r="2970" spans="1:9" ht="14.25" customHeight="1">
      <c r="A2970" s="2" t="s">
        <v>15</v>
      </c>
      <c r="B2970" s="2">
        <v>2014</v>
      </c>
      <c r="C2970" s="2" t="s">
        <v>16</v>
      </c>
      <c r="D2970" s="2">
        <v>747779.33</v>
      </c>
      <c r="E2970" s="3">
        <f t="shared" si="27"/>
        <v>747.77932999999996</v>
      </c>
      <c r="F2970" s="2">
        <v>214.70735000000002</v>
      </c>
      <c r="G2970" s="2">
        <f t="shared" si="28"/>
        <v>962.48667999999998</v>
      </c>
      <c r="H2970" s="2">
        <f t="shared" si="34"/>
        <v>679.46860675148821</v>
      </c>
      <c r="I2970" s="2">
        <f t="shared" si="34"/>
        <v>302.99569210822926</v>
      </c>
    </row>
    <row r="2971" spans="1:9" ht="14.25" customHeight="1">
      <c r="A2971" s="2" t="s">
        <v>15</v>
      </c>
      <c r="B2971" s="2">
        <v>2015</v>
      </c>
      <c r="C2971" s="2" t="s">
        <v>16</v>
      </c>
      <c r="D2971" s="2">
        <v>697299.09</v>
      </c>
      <c r="E2971" s="3">
        <f t="shared" si="27"/>
        <v>697.29908999999998</v>
      </c>
      <c r="F2971" s="2">
        <v>211.74941799999999</v>
      </c>
      <c r="G2971" s="2">
        <f t="shared" si="28"/>
        <v>909.04850799999997</v>
      </c>
      <c r="H2971" s="2">
        <f t="shared" si="34"/>
        <v>634.35809280611647</v>
      </c>
      <c r="I2971" s="2">
        <f t="shared" si="34"/>
        <v>281.50220137499707</v>
      </c>
    </row>
    <row r="2972" spans="1:9" ht="14.25" customHeight="1">
      <c r="A2972" s="2" t="s">
        <v>15</v>
      </c>
      <c r="B2972" s="2">
        <v>2016</v>
      </c>
      <c r="C2972" s="2" t="s">
        <v>16</v>
      </c>
      <c r="D2972" s="2">
        <v>695938.98</v>
      </c>
      <c r="E2972" s="3">
        <f t="shared" si="27"/>
        <v>695.93898000000002</v>
      </c>
      <c r="F2972" s="2">
        <v>194.492176</v>
      </c>
      <c r="G2972" s="2">
        <f t="shared" si="28"/>
        <v>890.43115599999999</v>
      </c>
      <c r="H2972" s="2">
        <f t="shared" si="34"/>
        <v>634.21790517217232</v>
      </c>
      <c r="I2972" s="2">
        <f t="shared" si="34"/>
        <v>279.44950923436448</v>
      </c>
    </row>
    <row r="2973" spans="1:9" ht="14.25" customHeight="1">
      <c r="A2973" s="2" t="s">
        <v>15</v>
      </c>
      <c r="B2973" s="2">
        <v>2017</v>
      </c>
      <c r="C2973" s="2" t="s">
        <v>16</v>
      </c>
      <c r="D2973" s="2">
        <v>717551.14</v>
      </c>
      <c r="E2973" s="3">
        <f t="shared" si="27"/>
        <v>717.55114000000003</v>
      </c>
      <c r="F2973" s="2">
        <v>222.61111</v>
      </c>
      <c r="G2973" s="2">
        <f t="shared" si="28"/>
        <v>940.16225000000009</v>
      </c>
      <c r="H2973" s="2">
        <f t="shared" si="34"/>
        <v>652.26896097000122</v>
      </c>
      <c r="I2973" s="2">
        <f t="shared" si="34"/>
        <v>290.38128397530056</v>
      </c>
    </row>
    <row r="2974" spans="1:9" ht="14.25" customHeight="1">
      <c r="A2974" s="2" t="s">
        <v>15</v>
      </c>
      <c r="B2974" s="2">
        <v>2018</v>
      </c>
      <c r="C2974" s="2" t="s">
        <v>16</v>
      </c>
      <c r="D2974" s="2">
        <v>689851.30900000001</v>
      </c>
      <c r="E2974" s="3">
        <f t="shared" si="27"/>
        <v>689.85130900000001</v>
      </c>
      <c r="F2974" s="2">
        <v>184.93200200000001</v>
      </c>
      <c r="G2974" s="2">
        <f t="shared" si="28"/>
        <v>874.78331100000003</v>
      </c>
      <c r="H2974" s="2">
        <f t="shared" si="34"/>
        <v>626.28953020123743</v>
      </c>
      <c r="I2974" s="2">
        <f t="shared" si="34"/>
        <v>280.26758237860633</v>
      </c>
    </row>
    <row r="2975" spans="1:9" ht="14.25" customHeight="1">
      <c r="A2975" s="2" t="s">
        <v>15</v>
      </c>
      <c r="B2975" s="2">
        <v>1950</v>
      </c>
      <c r="C2975" s="2" t="s">
        <v>43</v>
      </c>
      <c r="D2975" s="2">
        <v>0</v>
      </c>
      <c r="E2975" s="3">
        <f t="shared" ref="E2975:E3229" si="35">D2975/1000</f>
        <v>0</v>
      </c>
      <c r="G2975" s="2">
        <f t="shared" ref="G2975:G3229" si="36">E2975+F2975</f>
        <v>0</v>
      </c>
    </row>
    <row r="2976" spans="1:9" ht="14.25" customHeight="1">
      <c r="A2976" s="2" t="s">
        <v>15</v>
      </c>
      <c r="B2976" s="2">
        <v>1951</v>
      </c>
      <c r="C2976" s="2" t="s">
        <v>43</v>
      </c>
      <c r="D2976" s="2">
        <v>0</v>
      </c>
      <c r="E2976" s="3">
        <f t="shared" si="35"/>
        <v>0</v>
      </c>
      <c r="G2976" s="2">
        <f t="shared" si="36"/>
        <v>0</v>
      </c>
    </row>
    <row r="2977" spans="1:7" ht="14.25" customHeight="1">
      <c r="A2977" s="2" t="s">
        <v>15</v>
      </c>
      <c r="B2977" s="2">
        <v>1952</v>
      </c>
      <c r="C2977" s="2" t="s">
        <v>43</v>
      </c>
      <c r="D2977" s="2">
        <v>0</v>
      </c>
      <c r="E2977" s="3">
        <f t="shared" si="35"/>
        <v>0</v>
      </c>
      <c r="G2977" s="2">
        <f t="shared" si="36"/>
        <v>0</v>
      </c>
    </row>
    <row r="2978" spans="1:7" ht="14.25" customHeight="1">
      <c r="A2978" s="2" t="s">
        <v>15</v>
      </c>
      <c r="B2978" s="2">
        <v>1953</v>
      </c>
      <c r="C2978" s="2" t="s">
        <v>43</v>
      </c>
      <c r="D2978" s="2">
        <v>0</v>
      </c>
      <c r="E2978" s="3">
        <f t="shared" si="35"/>
        <v>0</v>
      </c>
      <c r="G2978" s="2">
        <f t="shared" si="36"/>
        <v>0</v>
      </c>
    </row>
    <row r="2979" spans="1:7" ht="14.25" customHeight="1">
      <c r="A2979" s="2" t="s">
        <v>15</v>
      </c>
      <c r="B2979" s="2">
        <v>1954</v>
      </c>
      <c r="C2979" s="2" t="s">
        <v>43</v>
      </c>
      <c r="D2979" s="2">
        <v>0</v>
      </c>
      <c r="E2979" s="3">
        <f t="shared" si="35"/>
        <v>0</v>
      </c>
      <c r="G2979" s="2">
        <f t="shared" si="36"/>
        <v>0</v>
      </c>
    </row>
    <row r="2980" spans="1:7" ht="14.25" customHeight="1">
      <c r="A2980" s="2" t="s">
        <v>15</v>
      </c>
      <c r="B2980" s="2">
        <v>1955</v>
      </c>
      <c r="C2980" s="2" t="s">
        <v>43</v>
      </c>
      <c r="D2980" s="2">
        <v>0</v>
      </c>
      <c r="E2980" s="3">
        <f t="shared" si="35"/>
        <v>0</v>
      </c>
      <c r="G2980" s="2">
        <f t="shared" si="36"/>
        <v>0</v>
      </c>
    </row>
    <row r="2981" spans="1:7" ht="14.25" customHeight="1">
      <c r="A2981" s="2" t="s">
        <v>15</v>
      </c>
      <c r="B2981" s="2">
        <v>1956</v>
      </c>
      <c r="C2981" s="2" t="s">
        <v>43</v>
      </c>
      <c r="D2981" s="2">
        <v>0</v>
      </c>
      <c r="E2981" s="3">
        <f t="shared" si="35"/>
        <v>0</v>
      </c>
      <c r="G2981" s="2">
        <f t="shared" si="36"/>
        <v>0</v>
      </c>
    </row>
    <row r="2982" spans="1:7" ht="14.25" customHeight="1">
      <c r="A2982" s="2" t="s">
        <v>15</v>
      </c>
      <c r="B2982" s="2">
        <v>1957</v>
      </c>
      <c r="C2982" s="2" t="s">
        <v>43</v>
      </c>
      <c r="D2982" s="2">
        <v>0</v>
      </c>
      <c r="E2982" s="3">
        <f t="shared" si="35"/>
        <v>0</v>
      </c>
      <c r="G2982" s="2">
        <f t="shared" si="36"/>
        <v>0</v>
      </c>
    </row>
    <row r="2983" spans="1:7" ht="14.25" customHeight="1">
      <c r="A2983" s="2" t="s">
        <v>15</v>
      </c>
      <c r="B2983" s="2">
        <v>1958</v>
      </c>
      <c r="C2983" s="2" t="s">
        <v>43</v>
      </c>
      <c r="D2983" s="2">
        <v>0</v>
      </c>
      <c r="E2983" s="3">
        <f t="shared" si="35"/>
        <v>0</v>
      </c>
      <c r="G2983" s="2">
        <f t="shared" si="36"/>
        <v>0</v>
      </c>
    </row>
    <row r="2984" spans="1:7" ht="14.25" customHeight="1">
      <c r="A2984" s="2" t="s">
        <v>15</v>
      </c>
      <c r="B2984" s="2">
        <v>1959</v>
      </c>
      <c r="C2984" s="2" t="s">
        <v>43</v>
      </c>
      <c r="D2984" s="2">
        <v>0</v>
      </c>
      <c r="E2984" s="3">
        <f t="shared" si="35"/>
        <v>0</v>
      </c>
      <c r="G2984" s="2">
        <f t="shared" si="36"/>
        <v>0</v>
      </c>
    </row>
    <row r="2985" spans="1:7" ht="14.25" customHeight="1">
      <c r="A2985" s="2" t="s">
        <v>15</v>
      </c>
      <c r="B2985" s="2">
        <v>1960</v>
      </c>
      <c r="C2985" s="2" t="s">
        <v>43</v>
      </c>
      <c r="D2985" s="2">
        <v>0</v>
      </c>
      <c r="E2985" s="3">
        <f t="shared" si="35"/>
        <v>0</v>
      </c>
      <c r="G2985" s="2">
        <f t="shared" si="36"/>
        <v>0</v>
      </c>
    </row>
    <row r="2986" spans="1:7" ht="14.25" customHeight="1">
      <c r="A2986" s="2" t="s">
        <v>15</v>
      </c>
      <c r="B2986" s="2">
        <v>1961</v>
      </c>
      <c r="C2986" s="2" t="s">
        <v>43</v>
      </c>
      <c r="D2986" s="2">
        <v>0</v>
      </c>
      <c r="E2986" s="3">
        <f t="shared" si="35"/>
        <v>0</v>
      </c>
      <c r="G2986" s="2">
        <f t="shared" si="36"/>
        <v>0</v>
      </c>
    </row>
    <row r="2987" spans="1:7" ht="14.25" customHeight="1">
      <c r="A2987" s="2" t="s">
        <v>15</v>
      </c>
      <c r="B2987" s="2">
        <v>1962</v>
      </c>
      <c r="C2987" s="2" t="s">
        <v>43</v>
      </c>
      <c r="D2987" s="2">
        <v>0</v>
      </c>
      <c r="E2987" s="3">
        <f t="shared" si="35"/>
        <v>0</v>
      </c>
      <c r="G2987" s="2">
        <f t="shared" si="36"/>
        <v>0</v>
      </c>
    </row>
    <row r="2988" spans="1:7" ht="14.25" customHeight="1">
      <c r="A2988" s="2" t="s">
        <v>15</v>
      </c>
      <c r="B2988" s="2">
        <v>1963</v>
      </c>
      <c r="C2988" s="2" t="s">
        <v>43</v>
      </c>
      <c r="D2988" s="2">
        <v>0</v>
      </c>
      <c r="E2988" s="3">
        <f t="shared" si="35"/>
        <v>0</v>
      </c>
      <c r="G2988" s="2">
        <f t="shared" si="36"/>
        <v>0</v>
      </c>
    </row>
    <row r="2989" spans="1:7" ht="14.25" customHeight="1">
      <c r="A2989" s="2" t="s">
        <v>15</v>
      </c>
      <c r="B2989" s="2">
        <v>1964</v>
      </c>
      <c r="C2989" s="2" t="s">
        <v>43</v>
      </c>
      <c r="D2989" s="2">
        <v>0</v>
      </c>
      <c r="E2989" s="3">
        <f t="shared" si="35"/>
        <v>0</v>
      </c>
      <c r="G2989" s="2">
        <f t="shared" si="36"/>
        <v>0</v>
      </c>
    </row>
    <row r="2990" spans="1:7" ht="14.25" customHeight="1">
      <c r="A2990" s="2" t="s">
        <v>15</v>
      </c>
      <c r="B2990" s="2">
        <v>1965</v>
      </c>
      <c r="C2990" s="2" t="s">
        <v>43</v>
      </c>
      <c r="D2990" s="2">
        <v>0</v>
      </c>
      <c r="E2990" s="3">
        <f t="shared" si="35"/>
        <v>0</v>
      </c>
      <c r="G2990" s="2">
        <f t="shared" si="36"/>
        <v>0</v>
      </c>
    </row>
    <row r="2991" spans="1:7" ht="14.25" customHeight="1">
      <c r="A2991" s="2" t="s">
        <v>15</v>
      </c>
      <c r="B2991" s="2">
        <v>1966</v>
      </c>
      <c r="C2991" s="2" t="s">
        <v>43</v>
      </c>
      <c r="D2991" s="2">
        <v>0</v>
      </c>
      <c r="E2991" s="3">
        <f t="shared" si="35"/>
        <v>0</v>
      </c>
      <c r="G2991" s="2">
        <f t="shared" si="36"/>
        <v>0</v>
      </c>
    </row>
    <row r="2992" spans="1:7" ht="14.25" customHeight="1">
      <c r="A2992" s="2" t="s">
        <v>15</v>
      </c>
      <c r="B2992" s="2">
        <v>1967</v>
      </c>
      <c r="C2992" s="2" t="s">
        <v>43</v>
      </c>
      <c r="D2992" s="2">
        <v>0</v>
      </c>
      <c r="E2992" s="3">
        <f t="shared" si="35"/>
        <v>0</v>
      </c>
      <c r="G2992" s="2">
        <f t="shared" si="36"/>
        <v>0</v>
      </c>
    </row>
    <row r="2993" spans="1:7" ht="14.25" customHeight="1">
      <c r="A2993" s="2" t="s">
        <v>15</v>
      </c>
      <c r="B2993" s="2">
        <v>1968</v>
      </c>
      <c r="C2993" s="2" t="s">
        <v>43</v>
      </c>
      <c r="D2993" s="2">
        <v>0</v>
      </c>
      <c r="E2993" s="3">
        <f t="shared" si="35"/>
        <v>0</v>
      </c>
      <c r="G2993" s="2">
        <f t="shared" si="36"/>
        <v>0</v>
      </c>
    </row>
    <row r="2994" spans="1:7" ht="14.25" customHeight="1">
      <c r="A2994" s="2" t="s">
        <v>15</v>
      </c>
      <c r="B2994" s="2">
        <v>1969</v>
      </c>
      <c r="C2994" s="2" t="s">
        <v>43</v>
      </c>
      <c r="D2994" s="2">
        <v>0</v>
      </c>
      <c r="E2994" s="3">
        <f t="shared" si="35"/>
        <v>0</v>
      </c>
      <c r="G2994" s="2">
        <f t="shared" si="36"/>
        <v>0</v>
      </c>
    </row>
    <row r="2995" spans="1:7" ht="14.25" customHeight="1">
      <c r="A2995" s="2" t="s">
        <v>15</v>
      </c>
      <c r="B2995" s="2">
        <v>1970</v>
      </c>
      <c r="C2995" s="2" t="s">
        <v>43</v>
      </c>
      <c r="D2995" s="2">
        <v>0</v>
      </c>
      <c r="E2995" s="3">
        <f t="shared" si="35"/>
        <v>0</v>
      </c>
      <c r="G2995" s="2">
        <f t="shared" si="36"/>
        <v>0</v>
      </c>
    </row>
    <row r="2996" spans="1:7" ht="14.25" customHeight="1">
      <c r="A2996" s="2" t="s">
        <v>15</v>
      </c>
      <c r="B2996" s="2">
        <v>1971</v>
      </c>
      <c r="C2996" s="2" t="s">
        <v>43</v>
      </c>
      <c r="D2996" s="2">
        <v>0</v>
      </c>
      <c r="E2996" s="3">
        <f t="shared" si="35"/>
        <v>0</v>
      </c>
      <c r="G2996" s="2">
        <f t="shared" si="36"/>
        <v>0</v>
      </c>
    </row>
    <row r="2997" spans="1:7" ht="14.25" customHeight="1">
      <c r="A2997" s="2" t="s">
        <v>15</v>
      </c>
      <c r="B2997" s="2">
        <v>1972</v>
      </c>
      <c r="C2997" s="2" t="s">
        <v>43</v>
      </c>
      <c r="D2997" s="2">
        <v>0</v>
      </c>
      <c r="E2997" s="3">
        <f t="shared" si="35"/>
        <v>0</v>
      </c>
      <c r="G2997" s="2">
        <f t="shared" si="36"/>
        <v>0</v>
      </c>
    </row>
    <row r="2998" spans="1:7" ht="14.25" customHeight="1">
      <c r="A2998" s="2" t="s">
        <v>15</v>
      </c>
      <c r="B2998" s="2">
        <v>1973</v>
      </c>
      <c r="C2998" s="2" t="s">
        <v>43</v>
      </c>
      <c r="D2998" s="2">
        <v>0</v>
      </c>
      <c r="E2998" s="3">
        <f t="shared" si="35"/>
        <v>0</v>
      </c>
      <c r="G2998" s="2">
        <f t="shared" si="36"/>
        <v>0</v>
      </c>
    </row>
    <row r="2999" spans="1:7" ht="14.25" customHeight="1">
      <c r="A2999" s="2" t="s">
        <v>15</v>
      </c>
      <c r="B2999" s="2">
        <v>1974</v>
      </c>
      <c r="C2999" s="2" t="s">
        <v>43</v>
      </c>
      <c r="D2999" s="2">
        <v>0</v>
      </c>
      <c r="E2999" s="3">
        <f t="shared" si="35"/>
        <v>0</v>
      </c>
      <c r="G2999" s="2">
        <f t="shared" si="36"/>
        <v>0</v>
      </c>
    </row>
    <row r="3000" spans="1:7" ht="14.25" customHeight="1">
      <c r="A3000" s="2" t="s">
        <v>15</v>
      </c>
      <c r="B3000" s="2">
        <v>1975</v>
      </c>
      <c r="C3000" s="2" t="s">
        <v>43</v>
      </c>
      <c r="D3000" s="2">
        <v>0</v>
      </c>
      <c r="E3000" s="3">
        <f t="shared" si="35"/>
        <v>0</v>
      </c>
      <c r="G3000" s="2">
        <f t="shared" si="36"/>
        <v>0</v>
      </c>
    </row>
    <row r="3001" spans="1:7" ht="14.25" customHeight="1">
      <c r="A3001" s="2" t="s">
        <v>15</v>
      </c>
      <c r="B3001" s="2">
        <v>1976</v>
      </c>
      <c r="C3001" s="2" t="s">
        <v>43</v>
      </c>
      <c r="D3001" s="2">
        <v>0</v>
      </c>
      <c r="E3001" s="3">
        <f t="shared" si="35"/>
        <v>0</v>
      </c>
      <c r="G3001" s="2">
        <f t="shared" si="36"/>
        <v>0</v>
      </c>
    </row>
    <row r="3002" spans="1:7" ht="14.25" customHeight="1">
      <c r="A3002" s="2" t="s">
        <v>15</v>
      </c>
      <c r="B3002" s="2">
        <v>1977</v>
      </c>
      <c r="C3002" s="2" t="s">
        <v>43</v>
      </c>
      <c r="D3002" s="2">
        <v>0</v>
      </c>
      <c r="E3002" s="3">
        <f t="shared" si="35"/>
        <v>0</v>
      </c>
      <c r="G3002" s="2">
        <f t="shared" si="36"/>
        <v>0</v>
      </c>
    </row>
    <row r="3003" spans="1:7" ht="14.25" customHeight="1">
      <c r="A3003" s="2" t="s">
        <v>15</v>
      </c>
      <c r="B3003" s="2">
        <v>1978</v>
      </c>
      <c r="C3003" s="2" t="s">
        <v>43</v>
      </c>
      <c r="D3003" s="2">
        <v>0</v>
      </c>
      <c r="E3003" s="3">
        <f t="shared" si="35"/>
        <v>0</v>
      </c>
      <c r="G3003" s="2">
        <f t="shared" si="36"/>
        <v>0</v>
      </c>
    </row>
    <row r="3004" spans="1:7" ht="14.25" customHeight="1">
      <c r="A3004" s="2" t="s">
        <v>15</v>
      </c>
      <c r="B3004" s="2">
        <v>1979</v>
      </c>
      <c r="C3004" s="2" t="s">
        <v>43</v>
      </c>
      <c r="D3004" s="2">
        <v>0</v>
      </c>
      <c r="E3004" s="3">
        <f t="shared" si="35"/>
        <v>0</v>
      </c>
      <c r="G3004" s="2">
        <f t="shared" si="36"/>
        <v>0</v>
      </c>
    </row>
    <row r="3005" spans="1:7" ht="14.25" customHeight="1">
      <c r="A3005" s="2" t="s">
        <v>15</v>
      </c>
      <c r="B3005" s="2">
        <v>1980</v>
      </c>
      <c r="C3005" s="2" t="s">
        <v>43</v>
      </c>
      <c r="D3005" s="2">
        <v>0</v>
      </c>
      <c r="E3005" s="3">
        <f t="shared" si="35"/>
        <v>0</v>
      </c>
      <c r="G3005" s="2">
        <f t="shared" si="36"/>
        <v>0</v>
      </c>
    </row>
    <row r="3006" spans="1:7" ht="14.25" customHeight="1">
      <c r="A3006" s="2" t="s">
        <v>15</v>
      </c>
      <c r="B3006" s="2">
        <v>1981</v>
      </c>
      <c r="C3006" s="2" t="s">
        <v>43</v>
      </c>
      <c r="D3006" s="2">
        <v>0</v>
      </c>
      <c r="E3006" s="3">
        <f t="shared" si="35"/>
        <v>0</v>
      </c>
      <c r="G3006" s="2">
        <f t="shared" si="36"/>
        <v>0</v>
      </c>
    </row>
    <row r="3007" spans="1:7" ht="14.25" customHeight="1">
      <c r="A3007" s="2" t="s">
        <v>15</v>
      </c>
      <c r="B3007" s="2">
        <v>1982</v>
      </c>
      <c r="C3007" s="2" t="s">
        <v>43</v>
      </c>
      <c r="D3007" s="2">
        <v>0</v>
      </c>
      <c r="E3007" s="3">
        <f t="shared" si="35"/>
        <v>0</v>
      </c>
      <c r="G3007" s="2">
        <f t="shared" si="36"/>
        <v>0</v>
      </c>
    </row>
    <row r="3008" spans="1:7" ht="14.25" customHeight="1">
      <c r="A3008" s="2" t="s">
        <v>15</v>
      </c>
      <c r="B3008" s="2">
        <v>1983</v>
      </c>
      <c r="C3008" s="2" t="s">
        <v>43</v>
      </c>
      <c r="D3008" s="2">
        <v>0</v>
      </c>
      <c r="E3008" s="3">
        <f t="shared" si="35"/>
        <v>0</v>
      </c>
      <c r="G3008" s="2">
        <f t="shared" si="36"/>
        <v>0</v>
      </c>
    </row>
    <row r="3009" spans="1:7" ht="14.25" customHeight="1">
      <c r="A3009" s="2" t="s">
        <v>15</v>
      </c>
      <c r="B3009" s="2">
        <v>1984</v>
      </c>
      <c r="C3009" s="2" t="s">
        <v>43</v>
      </c>
      <c r="D3009" s="2">
        <v>0</v>
      </c>
      <c r="E3009" s="3">
        <f t="shared" si="35"/>
        <v>0</v>
      </c>
      <c r="G3009" s="2">
        <f t="shared" si="36"/>
        <v>0</v>
      </c>
    </row>
    <row r="3010" spans="1:7" ht="14.25" customHeight="1">
      <c r="A3010" s="2" t="s">
        <v>15</v>
      </c>
      <c r="B3010" s="2">
        <v>1985</v>
      </c>
      <c r="C3010" s="2" t="s">
        <v>43</v>
      </c>
      <c r="D3010" s="2">
        <v>0</v>
      </c>
      <c r="E3010" s="3">
        <f t="shared" si="35"/>
        <v>0</v>
      </c>
      <c r="G3010" s="2">
        <f t="shared" si="36"/>
        <v>0</v>
      </c>
    </row>
    <row r="3011" spans="1:7" ht="14.25" customHeight="1">
      <c r="A3011" s="2" t="s">
        <v>15</v>
      </c>
      <c r="B3011" s="2">
        <v>1986</v>
      </c>
      <c r="C3011" s="2" t="s">
        <v>43</v>
      </c>
      <c r="D3011" s="2">
        <v>0</v>
      </c>
      <c r="E3011" s="3">
        <f t="shared" si="35"/>
        <v>0</v>
      </c>
      <c r="G3011" s="2">
        <f t="shared" si="36"/>
        <v>0</v>
      </c>
    </row>
    <row r="3012" spans="1:7" ht="14.25" customHeight="1">
      <c r="A3012" s="2" t="s">
        <v>15</v>
      </c>
      <c r="B3012" s="2">
        <v>1987</v>
      </c>
      <c r="C3012" s="2" t="s">
        <v>43</v>
      </c>
      <c r="D3012" s="2">
        <v>0</v>
      </c>
      <c r="E3012" s="3">
        <f t="shared" si="35"/>
        <v>0</v>
      </c>
      <c r="G3012" s="2">
        <f t="shared" si="36"/>
        <v>0</v>
      </c>
    </row>
    <row r="3013" spans="1:7" ht="14.25" customHeight="1">
      <c r="A3013" s="2" t="s">
        <v>15</v>
      </c>
      <c r="B3013" s="2">
        <v>1988</v>
      </c>
      <c r="C3013" s="2" t="s">
        <v>43</v>
      </c>
      <c r="D3013" s="2">
        <v>0</v>
      </c>
      <c r="E3013" s="3">
        <f t="shared" si="35"/>
        <v>0</v>
      </c>
      <c r="G3013" s="2">
        <f t="shared" si="36"/>
        <v>0</v>
      </c>
    </row>
    <row r="3014" spans="1:7" ht="14.25" customHeight="1">
      <c r="A3014" s="2" t="s">
        <v>15</v>
      </c>
      <c r="B3014" s="2">
        <v>1989</v>
      </c>
      <c r="C3014" s="2" t="s">
        <v>43</v>
      </c>
      <c r="D3014" s="2">
        <v>0</v>
      </c>
      <c r="E3014" s="3">
        <f t="shared" si="35"/>
        <v>0</v>
      </c>
      <c r="G3014" s="2">
        <f t="shared" si="36"/>
        <v>0</v>
      </c>
    </row>
    <row r="3015" spans="1:7" ht="14.25" customHeight="1">
      <c r="A3015" s="2" t="s">
        <v>15</v>
      </c>
      <c r="B3015" s="2">
        <v>1990</v>
      </c>
      <c r="C3015" s="2" t="s">
        <v>43</v>
      </c>
      <c r="D3015" s="2">
        <v>0</v>
      </c>
      <c r="E3015" s="3">
        <f t="shared" si="35"/>
        <v>0</v>
      </c>
      <c r="G3015" s="2">
        <f t="shared" si="36"/>
        <v>0</v>
      </c>
    </row>
    <row r="3016" spans="1:7" ht="14.25" customHeight="1">
      <c r="A3016" s="2" t="s">
        <v>15</v>
      </c>
      <c r="B3016" s="2">
        <v>1991</v>
      </c>
      <c r="C3016" s="2" t="s">
        <v>43</v>
      </c>
      <c r="D3016" s="2">
        <v>0</v>
      </c>
      <c r="E3016" s="3">
        <f t="shared" si="35"/>
        <v>0</v>
      </c>
      <c r="G3016" s="2">
        <f t="shared" si="36"/>
        <v>0</v>
      </c>
    </row>
    <row r="3017" spans="1:7" ht="14.25" customHeight="1">
      <c r="A3017" s="2" t="s">
        <v>15</v>
      </c>
      <c r="B3017" s="2">
        <v>1992</v>
      </c>
      <c r="C3017" s="2" t="s">
        <v>43</v>
      </c>
      <c r="D3017" s="2">
        <v>0</v>
      </c>
      <c r="E3017" s="3">
        <f t="shared" si="35"/>
        <v>0</v>
      </c>
      <c r="G3017" s="2">
        <f t="shared" si="36"/>
        <v>0</v>
      </c>
    </row>
    <row r="3018" spans="1:7" ht="14.25" customHeight="1">
      <c r="A3018" s="2" t="s">
        <v>15</v>
      </c>
      <c r="B3018" s="2">
        <v>1993</v>
      </c>
      <c r="C3018" s="2" t="s">
        <v>43</v>
      </c>
      <c r="D3018" s="2">
        <v>0</v>
      </c>
      <c r="E3018" s="3">
        <f t="shared" si="35"/>
        <v>0</v>
      </c>
      <c r="G3018" s="2">
        <f t="shared" si="36"/>
        <v>0</v>
      </c>
    </row>
    <row r="3019" spans="1:7" ht="14.25" customHeight="1">
      <c r="A3019" s="2" t="s">
        <v>15</v>
      </c>
      <c r="B3019" s="2">
        <v>1994</v>
      </c>
      <c r="C3019" s="2" t="s">
        <v>43</v>
      </c>
      <c r="D3019" s="2">
        <v>0</v>
      </c>
      <c r="E3019" s="3">
        <f t="shared" si="35"/>
        <v>0</v>
      </c>
      <c r="G3019" s="2">
        <f t="shared" si="36"/>
        <v>0</v>
      </c>
    </row>
    <row r="3020" spans="1:7" ht="14.25" customHeight="1">
      <c r="A3020" s="2" t="s">
        <v>15</v>
      </c>
      <c r="B3020" s="2">
        <v>1995</v>
      </c>
      <c r="C3020" s="2" t="s">
        <v>43</v>
      </c>
      <c r="D3020" s="2">
        <v>1</v>
      </c>
      <c r="E3020" s="3">
        <f t="shared" si="35"/>
        <v>1E-3</v>
      </c>
      <c r="G3020" s="2">
        <f t="shared" si="36"/>
        <v>1E-3</v>
      </c>
    </row>
    <row r="3021" spans="1:7" ht="14.25" customHeight="1">
      <c r="A3021" s="2" t="s">
        <v>15</v>
      </c>
      <c r="B3021" s="2">
        <v>1996</v>
      </c>
      <c r="C3021" s="2" t="s">
        <v>43</v>
      </c>
      <c r="D3021" s="2">
        <v>0</v>
      </c>
      <c r="E3021" s="3">
        <f t="shared" si="35"/>
        <v>0</v>
      </c>
      <c r="G3021" s="2">
        <f t="shared" si="36"/>
        <v>0</v>
      </c>
    </row>
    <row r="3022" spans="1:7" ht="14.25" customHeight="1">
      <c r="A3022" s="2" t="s">
        <v>15</v>
      </c>
      <c r="B3022" s="2">
        <v>1997</v>
      </c>
      <c r="C3022" s="2" t="s">
        <v>43</v>
      </c>
      <c r="D3022" s="2">
        <v>1</v>
      </c>
      <c r="E3022" s="3">
        <f t="shared" si="35"/>
        <v>1E-3</v>
      </c>
      <c r="G3022" s="2">
        <f t="shared" si="36"/>
        <v>1E-3</v>
      </c>
    </row>
    <row r="3023" spans="1:7" ht="14.25" customHeight="1">
      <c r="A3023" s="2" t="s">
        <v>15</v>
      </c>
      <c r="B3023" s="2">
        <v>1998</v>
      </c>
      <c r="C3023" s="2" t="s">
        <v>43</v>
      </c>
      <c r="D3023" s="2">
        <v>0</v>
      </c>
      <c r="E3023" s="3">
        <f t="shared" si="35"/>
        <v>0</v>
      </c>
      <c r="G3023" s="2">
        <f t="shared" si="36"/>
        <v>0</v>
      </c>
    </row>
    <row r="3024" spans="1:7" ht="14.25" customHeight="1">
      <c r="A3024" s="2" t="s">
        <v>15</v>
      </c>
      <c r="B3024" s="2">
        <v>1999</v>
      </c>
      <c r="C3024" s="2" t="s">
        <v>43</v>
      </c>
      <c r="D3024" s="2">
        <v>2</v>
      </c>
      <c r="E3024" s="3">
        <f t="shared" si="35"/>
        <v>2E-3</v>
      </c>
      <c r="G3024" s="2">
        <f t="shared" si="36"/>
        <v>2E-3</v>
      </c>
    </row>
    <row r="3025" spans="1:7" ht="14.25" customHeight="1">
      <c r="A3025" s="2" t="s">
        <v>15</v>
      </c>
      <c r="B3025" s="2">
        <v>2000</v>
      </c>
      <c r="C3025" s="2" t="s">
        <v>43</v>
      </c>
      <c r="D3025" s="2">
        <v>0</v>
      </c>
      <c r="E3025" s="3">
        <f t="shared" si="35"/>
        <v>0</v>
      </c>
      <c r="G3025" s="2">
        <f t="shared" si="36"/>
        <v>0</v>
      </c>
    </row>
    <row r="3026" spans="1:7" ht="14.25" customHeight="1">
      <c r="A3026" s="2" t="s">
        <v>15</v>
      </c>
      <c r="B3026" s="2">
        <v>2001</v>
      </c>
      <c r="C3026" s="2" t="s">
        <v>43</v>
      </c>
      <c r="D3026" s="2">
        <v>0</v>
      </c>
      <c r="E3026" s="3">
        <f t="shared" si="35"/>
        <v>0</v>
      </c>
      <c r="G3026" s="2">
        <f t="shared" si="36"/>
        <v>0</v>
      </c>
    </row>
    <row r="3027" spans="1:7" ht="14.25" customHeight="1">
      <c r="A3027" s="2" t="s">
        <v>15</v>
      </c>
      <c r="B3027" s="2">
        <v>2002</v>
      </c>
      <c r="C3027" s="2" t="s">
        <v>43</v>
      </c>
      <c r="D3027" s="2">
        <v>0</v>
      </c>
      <c r="E3027" s="3">
        <f t="shared" si="35"/>
        <v>0</v>
      </c>
      <c r="G3027" s="2">
        <f t="shared" si="36"/>
        <v>0</v>
      </c>
    </row>
    <row r="3028" spans="1:7" ht="14.25" customHeight="1">
      <c r="A3028" s="2" t="s">
        <v>15</v>
      </c>
      <c r="B3028" s="2">
        <v>2003</v>
      </c>
      <c r="C3028" s="2" t="s">
        <v>43</v>
      </c>
      <c r="D3028" s="2">
        <v>0</v>
      </c>
      <c r="E3028" s="3">
        <f t="shared" si="35"/>
        <v>0</v>
      </c>
      <c r="G3028" s="2">
        <f t="shared" si="36"/>
        <v>0</v>
      </c>
    </row>
    <row r="3029" spans="1:7" ht="14.25" customHeight="1">
      <c r="A3029" s="2" t="s">
        <v>15</v>
      </c>
      <c r="B3029" s="2">
        <v>2004</v>
      </c>
      <c r="C3029" s="2" t="s">
        <v>43</v>
      </c>
      <c r="D3029" s="2">
        <v>0</v>
      </c>
      <c r="E3029" s="3">
        <f t="shared" si="35"/>
        <v>0</v>
      </c>
      <c r="G3029" s="2">
        <f t="shared" si="36"/>
        <v>0</v>
      </c>
    </row>
    <row r="3030" spans="1:7" ht="14.25" customHeight="1">
      <c r="A3030" s="2" t="s">
        <v>15</v>
      </c>
      <c r="B3030" s="2">
        <v>2005</v>
      </c>
      <c r="C3030" s="2" t="s">
        <v>43</v>
      </c>
      <c r="D3030" s="2">
        <v>0</v>
      </c>
      <c r="E3030" s="3">
        <f t="shared" si="35"/>
        <v>0</v>
      </c>
      <c r="G3030" s="2">
        <f t="shared" si="36"/>
        <v>0</v>
      </c>
    </row>
    <row r="3031" spans="1:7" ht="14.25" customHeight="1">
      <c r="A3031" s="2" t="s">
        <v>15</v>
      </c>
      <c r="B3031" s="2">
        <v>2006</v>
      </c>
      <c r="C3031" s="2" t="s">
        <v>43</v>
      </c>
      <c r="D3031" s="2">
        <v>0</v>
      </c>
      <c r="E3031" s="3">
        <f t="shared" si="35"/>
        <v>0</v>
      </c>
      <c r="G3031" s="2">
        <f t="shared" si="36"/>
        <v>0</v>
      </c>
    </row>
    <row r="3032" spans="1:7" ht="14.25" customHeight="1">
      <c r="A3032" s="2" t="s">
        <v>15</v>
      </c>
      <c r="B3032" s="2">
        <v>2007</v>
      </c>
      <c r="C3032" s="2" t="s">
        <v>43</v>
      </c>
      <c r="D3032" s="2">
        <v>0</v>
      </c>
      <c r="E3032" s="3">
        <f t="shared" si="35"/>
        <v>0</v>
      </c>
      <c r="G3032" s="2">
        <f t="shared" si="36"/>
        <v>0</v>
      </c>
    </row>
    <row r="3033" spans="1:7" ht="14.25" customHeight="1">
      <c r="A3033" s="2" t="s">
        <v>15</v>
      </c>
      <c r="B3033" s="2">
        <v>2008</v>
      </c>
      <c r="C3033" s="2" t="s">
        <v>43</v>
      </c>
      <c r="D3033" s="2">
        <v>0</v>
      </c>
      <c r="E3033" s="3">
        <f t="shared" si="35"/>
        <v>0</v>
      </c>
      <c r="G3033" s="2">
        <f t="shared" si="36"/>
        <v>0</v>
      </c>
    </row>
    <row r="3034" spans="1:7" ht="14.25" customHeight="1">
      <c r="A3034" s="2" t="s">
        <v>15</v>
      </c>
      <c r="B3034" s="2">
        <v>2009</v>
      </c>
      <c r="C3034" s="2" t="s">
        <v>43</v>
      </c>
      <c r="D3034" s="2">
        <v>0.01</v>
      </c>
      <c r="E3034" s="3">
        <f t="shared" si="35"/>
        <v>1.0000000000000001E-5</v>
      </c>
      <c r="G3034" s="2">
        <f t="shared" si="36"/>
        <v>1.0000000000000001E-5</v>
      </c>
    </row>
    <row r="3035" spans="1:7" ht="14.25" customHeight="1">
      <c r="A3035" s="2" t="s">
        <v>15</v>
      </c>
      <c r="B3035" s="2">
        <v>2010</v>
      </c>
      <c r="C3035" s="2" t="s">
        <v>43</v>
      </c>
      <c r="D3035" s="2">
        <v>23.3</v>
      </c>
      <c r="E3035" s="3">
        <f t="shared" si="35"/>
        <v>2.3300000000000001E-2</v>
      </c>
      <c r="G3035" s="2">
        <f t="shared" si="36"/>
        <v>2.3300000000000001E-2</v>
      </c>
    </row>
    <row r="3036" spans="1:7" ht="14.25" customHeight="1">
      <c r="A3036" s="2" t="s">
        <v>15</v>
      </c>
      <c r="B3036" s="2">
        <v>2011</v>
      </c>
      <c r="C3036" s="2" t="s">
        <v>43</v>
      </c>
      <c r="D3036" s="2">
        <v>21.1</v>
      </c>
      <c r="E3036" s="3">
        <f t="shared" si="35"/>
        <v>2.1100000000000001E-2</v>
      </c>
      <c r="G3036" s="2">
        <f t="shared" si="36"/>
        <v>2.1100000000000001E-2</v>
      </c>
    </row>
    <row r="3037" spans="1:7" ht="14.25" customHeight="1">
      <c r="A3037" s="2" t="s">
        <v>15</v>
      </c>
      <c r="B3037" s="2">
        <v>2012</v>
      </c>
      <c r="C3037" s="2" t="s">
        <v>43</v>
      </c>
      <c r="D3037" s="2">
        <v>0</v>
      </c>
      <c r="E3037" s="3">
        <f t="shared" si="35"/>
        <v>0</v>
      </c>
      <c r="G3037" s="2">
        <f t="shared" si="36"/>
        <v>0</v>
      </c>
    </row>
    <row r="3038" spans="1:7" ht="14.25" customHeight="1">
      <c r="A3038" s="2" t="s">
        <v>15</v>
      </c>
      <c r="B3038" s="2">
        <v>2013</v>
      </c>
      <c r="C3038" s="2" t="s">
        <v>43</v>
      </c>
      <c r="D3038" s="2">
        <v>1.44</v>
      </c>
      <c r="E3038" s="3">
        <f t="shared" si="35"/>
        <v>1.4399999999999999E-3</v>
      </c>
      <c r="G3038" s="2">
        <f t="shared" si="36"/>
        <v>1.4399999999999999E-3</v>
      </c>
    </row>
    <row r="3039" spans="1:7" ht="14.25" customHeight="1">
      <c r="A3039" s="2" t="s">
        <v>15</v>
      </c>
      <c r="B3039" s="2">
        <v>2014</v>
      </c>
      <c r="C3039" s="2" t="s">
        <v>43</v>
      </c>
      <c r="D3039" s="2">
        <v>0</v>
      </c>
      <c r="E3039" s="3">
        <f t="shared" si="35"/>
        <v>0</v>
      </c>
      <c r="G3039" s="2">
        <f t="shared" si="36"/>
        <v>0</v>
      </c>
    </row>
    <row r="3040" spans="1:7" ht="14.25" customHeight="1">
      <c r="A3040" s="2" t="s">
        <v>15</v>
      </c>
      <c r="B3040" s="2">
        <v>2015</v>
      </c>
      <c r="C3040" s="2" t="s">
        <v>43</v>
      </c>
      <c r="D3040" s="2">
        <v>0.04</v>
      </c>
      <c r="E3040" s="3">
        <f t="shared" si="35"/>
        <v>4.0000000000000003E-5</v>
      </c>
      <c r="G3040" s="2">
        <f t="shared" si="36"/>
        <v>4.0000000000000003E-5</v>
      </c>
    </row>
    <row r="3041" spans="1:7" ht="14.25" customHeight="1">
      <c r="A3041" s="2" t="s">
        <v>15</v>
      </c>
      <c r="B3041" s="2">
        <v>2016</v>
      </c>
      <c r="C3041" s="2" t="s">
        <v>43</v>
      </c>
      <c r="D3041" s="2">
        <v>0</v>
      </c>
      <c r="E3041" s="3">
        <f t="shared" si="35"/>
        <v>0</v>
      </c>
      <c r="G3041" s="2">
        <f t="shared" si="36"/>
        <v>0</v>
      </c>
    </row>
    <row r="3042" spans="1:7" ht="14.25" customHeight="1">
      <c r="A3042" s="2" t="s">
        <v>15</v>
      </c>
      <c r="B3042" s="2">
        <v>2017</v>
      </c>
      <c r="C3042" s="2" t="s">
        <v>43</v>
      </c>
      <c r="D3042" s="2">
        <v>0</v>
      </c>
      <c r="E3042" s="3">
        <f t="shared" si="35"/>
        <v>0</v>
      </c>
      <c r="G3042" s="2">
        <f t="shared" si="36"/>
        <v>0</v>
      </c>
    </row>
    <row r="3043" spans="1:7" ht="14.25" customHeight="1">
      <c r="A3043" s="2" t="s">
        <v>15</v>
      </c>
      <c r="B3043" s="2">
        <v>2018</v>
      </c>
      <c r="C3043" s="2" t="s">
        <v>43</v>
      </c>
      <c r="D3043" s="2">
        <v>0</v>
      </c>
      <c r="E3043" s="3">
        <f t="shared" si="35"/>
        <v>0</v>
      </c>
      <c r="G3043" s="2">
        <f t="shared" si="36"/>
        <v>0</v>
      </c>
    </row>
    <row r="3044" spans="1:7" ht="14.25" customHeight="1">
      <c r="A3044" s="2" t="s">
        <v>15</v>
      </c>
      <c r="B3044" s="2">
        <v>1903</v>
      </c>
      <c r="C3044" s="2" t="s">
        <v>64</v>
      </c>
      <c r="D3044" s="2">
        <v>4730</v>
      </c>
      <c r="E3044" s="3">
        <f t="shared" si="35"/>
        <v>4.7300000000000004</v>
      </c>
      <c r="G3044" s="2">
        <f t="shared" si="36"/>
        <v>4.7300000000000004</v>
      </c>
    </row>
    <row r="3045" spans="1:7" ht="14.25" customHeight="1">
      <c r="A3045" s="2" t="s">
        <v>15</v>
      </c>
      <c r="B3045" s="2">
        <v>1904</v>
      </c>
      <c r="C3045" s="2" t="s">
        <v>64</v>
      </c>
      <c r="D3045" s="2">
        <v>5309</v>
      </c>
      <c r="E3045" s="3">
        <f t="shared" si="35"/>
        <v>5.3090000000000002</v>
      </c>
      <c r="G3045" s="2">
        <f t="shared" si="36"/>
        <v>5.3090000000000002</v>
      </c>
    </row>
    <row r="3046" spans="1:7" ht="14.25" customHeight="1">
      <c r="A3046" s="2" t="s">
        <v>15</v>
      </c>
      <c r="B3046" s="2">
        <v>1905</v>
      </c>
      <c r="C3046" s="2" t="s">
        <v>64</v>
      </c>
      <c r="D3046" s="2">
        <v>4917</v>
      </c>
      <c r="E3046" s="3">
        <f t="shared" si="35"/>
        <v>4.9169999999999998</v>
      </c>
      <c r="G3046" s="2">
        <f t="shared" si="36"/>
        <v>4.9169999999999998</v>
      </c>
    </row>
    <row r="3047" spans="1:7" ht="14.25" customHeight="1">
      <c r="A3047" s="2" t="s">
        <v>15</v>
      </c>
      <c r="B3047" s="2">
        <v>1906</v>
      </c>
      <c r="C3047" s="2" t="s">
        <v>64</v>
      </c>
      <c r="D3047" s="2">
        <v>3775</v>
      </c>
      <c r="E3047" s="3">
        <f t="shared" si="35"/>
        <v>3.7749999999999999</v>
      </c>
      <c r="G3047" s="2">
        <f t="shared" si="36"/>
        <v>3.7749999999999999</v>
      </c>
    </row>
    <row r="3048" spans="1:7" ht="14.25" customHeight="1">
      <c r="A3048" s="2" t="s">
        <v>15</v>
      </c>
      <c r="B3048" s="2">
        <v>1907</v>
      </c>
      <c r="C3048" s="2" t="s">
        <v>64</v>
      </c>
      <c r="D3048" s="2">
        <v>3773</v>
      </c>
      <c r="E3048" s="3">
        <f t="shared" si="35"/>
        <v>3.7730000000000001</v>
      </c>
      <c r="G3048" s="2">
        <f t="shared" si="36"/>
        <v>3.7730000000000001</v>
      </c>
    </row>
    <row r="3049" spans="1:7" ht="14.25" customHeight="1">
      <c r="A3049" s="2" t="s">
        <v>15</v>
      </c>
      <c r="B3049" s="2">
        <v>1908</v>
      </c>
      <c r="C3049" s="2" t="s">
        <v>64</v>
      </c>
      <c r="D3049" s="2">
        <v>3742</v>
      </c>
      <c r="E3049" s="3">
        <f t="shared" si="35"/>
        <v>3.742</v>
      </c>
      <c r="G3049" s="2">
        <f t="shared" si="36"/>
        <v>3.742</v>
      </c>
    </row>
    <row r="3050" spans="1:7" ht="14.25" customHeight="1">
      <c r="A3050" s="2" t="s">
        <v>15</v>
      </c>
      <c r="B3050" s="2">
        <v>1909</v>
      </c>
      <c r="C3050" s="2" t="s">
        <v>64</v>
      </c>
      <c r="D3050" s="2">
        <v>4530</v>
      </c>
      <c r="E3050" s="3">
        <f t="shared" si="35"/>
        <v>4.53</v>
      </c>
      <c r="G3050" s="2">
        <f t="shared" si="36"/>
        <v>4.53</v>
      </c>
    </row>
    <row r="3051" spans="1:7" ht="14.25" customHeight="1">
      <c r="A3051" s="2" t="s">
        <v>15</v>
      </c>
      <c r="B3051" s="2">
        <v>1910</v>
      </c>
      <c r="C3051" s="2" t="s">
        <v>64</v>
      </c>
      <c r="D3051" s="2">
        <v>2901</v>
      </c>
      <c r="E3051" s="3">
        <f t="shared" si="35"/>
        <v>2.9009999999999998</v>
      </c>
      <c r="G3051" s="2">
        <f t="shared" si="36"/>
        <v>2.9009999999999998</v>
      </c>
    </row>
    <row r="3052" spans="1:7" ht="14.25" customHeight="1">
      <c r="A3052" s="2" t="s">
        <v>15</v>
      </c>
      <c r="B3052" s="2">
        <v>1911</v>
      </c>
      <c r="C3052" s="2" t="s">
        <v>64</v>
      </c>
      <c r="D3052" s="2">
        <v>2867</v>
      </c>
      <c r="E3052" s="3">
        <f t="shared" si="35"/>
        <v>2.867</v>
      </c>
      <c r="G3052" s="2">
        <f t="shared" si="36"/>
        <v>2.867</v>
      </c>
    </row>
    <row r="3053" spans="1:7" ht="14.25" customHeight="1">
      <c r="A3053" s="2" t="s">
        <v>15</v>
      </c>
      <c r="B3053" s="2">
        <v>1912</v>
      </c>
      <c r="C3053" s="2" t="s">
        <v>64</v>
      </c>
      <c r="D3053" s="2">
        <v>3403</v>
      </c>
      <c r="E3053" s="3">
        <f t="shared" si="35"/>
        <v>3.403</v>
      </c>
      <c r="G3053" s="2">
        <f t="shared" si="36"/>
        <v>3.403</v>
      </c>
    </row>
    <row r="3054" spans="1:7" ht="14.25" customHeight="1">
      <c r="A3054" s="2" t="s">
        <v>15</v>
      </c>
      <c r="B3054" s="2">
        <v>1913</v>
      </c>
      <c r="C3054" s="2" t="s">
        <v>64</v>
      </c>
      <c r="D3054" s="2">
        <v>3518</v>
      </c>
      <c r="E3054" s="3">
        <f t="shared" si="35"/>
        <v>3.5179999999999998</v>
      </c>
      <c r="G3054" s="2">
        <f t="shared" si="36"/>
        <v>3.5179999999999998</v>
      </c>
    </row>
    <row r="3055" spans="1:7" ht="14.25" customHeight="1">
      <c r="A3055" s="2" t="s">
        <v>15</v>
      </c>
      <c r="B3055" s="2">
        <v>1914</v>
      </c>
      <c r="C3055" s="2" t="s">
        <v>64</v>
      </c>
      <c r="D3055" s="2">
        <v>3040</v>
      </c>
      <c r="E3055" s="3">
        <f t="shared" si="35"/>
        <v>3.04</v>
      </c>
      <c r="G3055" s="2">
        <f t="shared" si="36"/>
        <v>3.04</v>
      </c>
    </row>
    <row r="3056" spans="1:7" ht="14.25" customHeight="1">
      <c r="A3056" s="2" t="s">
        <v>15</v>
      </c>
      <c r="B3056" s="2">
        <v>1915</v>
      </c>
      <c r="C3056" s="2" t="s">
        <v>64</v>
      </c>
      <c r="D3056" s="2">
        <v>1294</v>
      </c>
      <c r="E3056" s="3">
        <f t="shared" si="35"/>
        <v>1.294</v>
      </c>
      <c r="G3056" s="2">
        <f t="shared" si="36"/>
        <v>1.294</v>
      </c>
    </row>
    <row r="3057" spans="1:7" ht="14.25" customHeight="1">
      <c r="A3057" s="2" t="s">
        <v>15</v>
      </c>
      <c r="B3057" s="2">
        <v>1916</v>
      </c>
      <c r="C3057" s="2" t="s">
        <v>64</v>
      </c>
      <c r="D3057" s="2">
        <v>662</v>
      </c>
      <c r="E3057" s="3">
        <f t="shared" si="35"/>
        <v>0.66200000000000003</v>
      </c>
      <c r="G3057" s="2">
        <f t="shared" si="36"/>
        <v>0.66200000000000003</v>
      </c>
    </row>
    <row r="3058" spans="1:7" ht="14.25" customHeight="1">
      <c r="A3058" s="2" t="s">
        <v>15</v>
      </c>
      <c r="B3058" s="2">
        <v>1917</v>
      </c>
      <c r="C3058" s="2" t="s">
        <v>64</v>
      </c>
      <c r="D3058" s="2">
        <v>559</v>
      </c>
      <c r="E3058" s="3">
        <f t="shared" si="35"/>
        <v>0.55900000000000005</v>
      </c>
      <c r="G3058" s="2">
        <f t="shared" si="36"/>
        <v>0.55900000000000005</v>
      </c>
    </row>
    <row r="3059" spans="1:7" ht="14.25" customHeight="1">
      <c r="A3059" s="2" t="s">
        <v>15</v>
      </c>
      <c r="B3059" s="2">
        <v>1918</v>
      </c>
      <c r="C3059" s="2" t="s">
        <v>64</v>
      </c>
      <c r="D3059" s="2">
        <v>1295</v>
      </c>
      <c r="E3059" s="3">
        <f t="shared" si="35"/>
        <v>1.2949999999999999</v>
      </c>
      <c r="G3059" s="2">
        <f t="shared" si="36"/>
        <v>1.2949999999999999</v>
      </c>
    </row>
    <row r="3060" spans="1:7" ht="14.25" customHeight="1">
      <c r="A3060" s="2" t="s">
        <v>15</v>
      </c>
      <c r="B3060" s="2">
        <v>1919</v>
      </c>
      <c r="C3060" s="2" t="s">
        <v>64</v>
      </c>
      <c r="D3060" s="2">
        <v>3273</v>
      </c>
      <c r="E3060" s="3">
        <f t="shared" si="35"/>
        <v>3.2730000000000001</v>
      </c>
      <c r="G3060" s="2">
        <f t="shared" si="36"/>
        <v>3.2730000000000001</v>
      </c>
    </row>
    <row r="3061" spans="1:7" ht="14.25" customHeight="1">
      <c r="A3061" s="2" t="s">
        <v>15</v>
      </c>
      <c r="B3061" s="2">
        <v>1920</v>
      </c>
      <c r="C3061" s="2" t="s">
        <v>64</v>
      </c>
      <c r="D3061" s="2">
        <v>6239</v>
      </c>
      <c r="E3061" s="3">
        <f t="shared" si="35"/>
        <v>6.2389999999999999</v>
      </c>
      <c r="G3061" s="2">
        <f t="shared" si="36"/>
        <v>6.2389999999999999</v>
      </c>
    </row>
    <row r="3062" spans="1:7" ht="14.25" customHeight="1">
      <c r="A3062" s="2" t="s">
        <v>15</v>
      </c>
      <c r="B3062" s="2">
        <v>1921</v>
      </c>
      <c r="C3062" s="2" t="s">
        <v>64</v>
      </c>
      <c r="D3062" s="2">
        <v>5362</v>
      </c>
      <c r="E3062" s="3">
        <f t="shared" si="35"/>
        <v>5.3620000000000001</v>
      </c>
      <c r="G3062" s="2">
        <f t="shared" si="36"/>
        <v>5.3620000000000001</v>
      </c>
    </row>
    <row r="3063" spans="1:7" ht="14.25" customHeight="1">
      <c r="A3063" s="2" t="s">
        <v>15</v>
      </c>
      <c r="B3063" s="2">
        <v>1922</v>
      </c>
      <c r="C3063" s="2" t="s">
        <v>64</v>
      </c>
      <c r="D3063" s="2">
        <v>5424</v>
      </c>
      <c r="E3063" s="3">
        <f t="shared" si="35"/>
        <v>5.4240000000000004</v>
      </c>
      <c r="G3063" s="2">
        <f t="shared" si="36"/>
        <v>5.4240000000000004</v>
      </c>
    </row>
    <row r="3064" spans="1:7" ht="14.25" customHeight="1">
      <c r="A3064" s="2" t="s">
        <v>15</v>
      </c>
      <c r="B3064" s="2">
        <v>1923</v>
      </c>
      <c r="C3064" s="2" t="s">
        <v>64</v>
      </c>
      <c r="D3064" s="2">
        <v>4366</v>
      </c>
      <c r="E3064" s="3">
        <f t="shared" si="35"/>
        <v>4.3659999999999997</v>
      </c>
      <c r="G3064" s="2">
        <f t="shared" si="36"/>
        <v>4.3659999999999997</v>
      </c>
    </row>
    <row r="3065" spans="1:7" ht="14.25" customHeight="1">
      <c r="A3065" s="2" t="s">
        <v>15</v>
      </c>
      <c r="B3065" s="2">
        <v>1924</v>
      </c>
      <c r="C3065" s="2" t="s">
        <v>64</v>
      </c>
      <c r="D3065" s="2">
        <v>3614</v>
      </c>
      <c r="E3065" s="3">
        <f t="shared" si="35"/>
        <v>3.6139999999999999</v>
      </c>
      <c r="G3065" s="2">
        <f t="shared" si="36"/>
        <v>3.6139999999999999</v>
      </c>
    </row>
    <row r="3066" spans="1:7" ht="14.25" customHeight="1">
      <c r="A3066" s="2" t="s">
        <v>15</v>
      </c>
      <c r="B3066" s="2">
        <v>1925</v>
      </c>
      <c r="C3066" s="2" t="s">
        <v>64</v>
      </c>
      <c r="D3066" s="2">
        <v>3483</v>
      </c>
      <c r="E3066" s="3">
        <f t="shared" si="35"/>
        <v>3.4830000000000001</v>
      </c>
      <c r="G3066" s="2">
        <f t="shared" si="36"/>
        <v>3.4830000000000001</v>
      </c>
    </row>
    <row r="3067" spans="1:7" ht="14.25" customHeight="1">
      <c r="A3067" s="2" t="s">
        <v>15</v>
      </c>
      <c r="B3067" s="2">
        <v>1926</v>
      </c>
      <c r="C3067" s="2" t="s">
        <v>64</v>
      </c>
      <c r="D3067" s="2">
        <v>2721</v>
      </c>
      <c r="E3067" s="3">
        <f t="shared" si="35"/>
        <v>2.7210000000000001</v>
      </c>
      <c r="G3067" s="2">
        <f t="shared" si="36"/>
        <v>2.7210000000000001</v>
      </c>
    </row>
    <row r="3068" spans="1:7" ht="14.25" customHeight="1">
      <c r="A3068" s="2" t="s">
        <v>15</v>
      </c>
      <c r="B3068" s="2">
        <v>1927</v>
      </c>
      <c r="C3068" s="2" t="s">
        <v>64</v>
      </c>
      <c r="D3068" s="2">
        <v>3438</v>
      </c>
      <c r="E3068" s="3">
        <f t="shared" si="35"/>
        <v>3.4380000000000002</v>
      </c>
      <c r="G3068" s="2">
        <f t="shared" si="36"/>
        <v>3.4380000000000002</v>
      </c>
    </row>
    <row r="3069" spans="1:7" ht="14.25" customHeight="1">
      <c r="A3069" s="2" t="s">
        <v>15</v>
      </c>
      <c r="B3069" s="2">
        <v>1928</v>
      </c>
      <c r="C3069" s="2" t="s">
        <v>64</v>
      </c>
      <c r="D3069" s="2">
        <v>3682</v>
      </c>
      <c r="E3069" s="3">
        <f t="shared" si="35"/>
        <v>3.6819999999999999</v>
      </c>
      <c r="G3069" s="2">
        <f t="shared" si="36"/>
        <v>3.6819999999999999</v>
      </c>
    </row>
    <row r="3070" spans="1:7" ht="14.25" customHeight="1">
      <c r="A3070" s="2" t="s">
        <v>15</v>
      </c>
      <c r="B3070" s="2">
        <v>1929</v>
      </c>
      <c r="C3070" s="2" t="s">
        <v>64</v>
      </c>
      <c r="D3070" s="2">
        <v>4101</v>
      </c>
      <c r="E3070" s="3">
        <f t="shared" si="35"/>
        <v>4.101</v>
      </c>
      <c r="G3070" s="2">
        <f t="shared" si="36"/>
        <v>4.101</v>
      </c>
    </row>
    <row r="3071" spans="1:7" ht="14.25" customHeight="1">
      <c r="A3071" s="2" t="s">
        <v>15</v>
      </c>
      <c r="B3071" s="2">
        <v>1930</v>
      </c>
      <c r="C3071" s="2" t="s">
        <v>64</v>
      </c>
      <c r="D3071" s="2">
        <v>4117</v>
      </c>
      <c r="E3071" s="3">
        <f t="shared" si="35"/>
        <v>4.117</v>
      </c>
      <c r="G3071" s="2">
        <f t="shared" si="36"/>
        <v>4.117</v>
      </c>
    </row>
    <row r="3072" spans="1:7" ht="14.25" customHeight="1">
      <c r="A3072" s="2" t="s">
        <v>15</v>
      </c>
      <c r="B3072" s="2">
        <v>1931</v>
      </c>
      <c r="C3072" s="2" t="s">
        <v>64</v>
      </c>
      <c r="D3072" s="2">
        <v>3712</v>
      </c>
      <c r="E3072" s="3">
        <f t="shared" si="35"/>
        <v>3.7120000000000002</v>
      </c>
      <c r="G3072" s="2">
        <f t="shared" si="36"/>
        <v>3.7120000000000002</v>
      </c>
    </row>
    <row r="3073" spans="1:7" ht="14.25" customHeight="1">
      <c r="A3073" s="2" t="s">
        <v>15</v>
      </c>
      <c r="B3073" s="2">
        <v>1932</v>
      </c>
      <c r="C3073" s="2" t="s">
        <v>64</v>
      </c>
      <c r="D3073" s="2">
        <v>3571</v>
      </c>
      <c r="E3073" s="3">
        <f t="shared" si="35"/>
        <v>3.5710000000000002</v>
      </c>
      <c r="G3073" s="2">
        <f t="shared" si="36"/>
        <v>3.5710000000000002</v>
      </c>
    </row>
    <row r="3074" spans="1:7" ht="14.25" customHeight="1">
      <c r="A3074" s="2" t="s">
        <v>15</v>
      </c>
      <c r="B3074" s="2">
        <v>1933</v>
      </c>
      <c r="C3074" s="2" t="s">
        <v>64</v>
      </c>
      <c r="D3074" s="2">
        <v>4224</v>
      </c>
      <c r="E3074" s="3">
        <f t="shared" si="35"/>
        <v>4.2240000000000002</v>
      </c>
      <c r="G3074" s="2">
        <f t="shared" si="36"/>
        <v>4.2240000000000002</v>
      </c>
    </row>
    <row r="3075" spans="1:7" ht="14.25" customHeight="1">
      <c r="A3075" s="2" t="s">
        <v>15</v>
      </c>
      <c r="B3075" s="2">
        <v>1934</v>
      </c>
      <c r="C3075" s="2" t="s">
        <v>64</v>
      </c>
      <c r="D3075" s="2">
        <v>4517</v>
      </c>
      <c r="E3075" s="3">
        <f t="shared" si="35"/>
        <v>4.5170000000000003</v>
      </c>
      <c r="G3075" s="2">
        <f t="shared" si="36"/>
        <v>4.5170000000000003</v>
      </c>
    </row>
    <row r="3076" spans="1:7" ht="14.25" customHeight="1">
      <c r="A3076" s="2" t="s">
        <v>15</v>
      </c>
      <c r="B3076" s="2">
        <v>1935</v>
      </c>
      <c r="C3076" s="2" t="s">
        <v>64</v>
      </c>
      <c r="D3076" s="2">
        <v>4182</v>
      </c>
      <c r="E3076" s="3">
        <f t="shared" si="35"/>
        <v>4.1820000000000004</v>
      </c>
      <c r="G3076" s="2">
        <f t="shared" si="36"/>
        <v>4.1820000000000004</v>
      </c>
    </row>
    <row r="3077" spans="1:7" ht="14.25" customHeight="1">
      <c r="A3077" s="2" t="s">
        <v>15</v>
      </c>
      <c r="B3077" s="2">
        <v>1936</v>
      </c>
      <c r="C3077" s="2" t="s">
        <v>64</v>
      </c>
      <c r="D3077" s="2">
        <v>3624</v>
      </c>
      <c r="E3077" s="3">
        <f t="shared" si="35"/>
        <v>3.6240000000000001</v>
      </c>
      <c r="G3077" s="2">
        <f t="shared" si="36"/>
        <v>3.6240000000000001</v>
      </c>
    </row>
    <row r="3078" spans="1:7" ht="14.25" customHeight="1">
      <c r="A3078" s="2" t="s">
        <v>15</v>
      </c>
      <c r="B3078" s="2">
        <v>1937</v>
      </c>
      <c r="C3078" s="2" t="s">
        <v>64</v>
      </c>
      <c r="D3078" s="2">
        <v>3650</v>
      </c>
      <c r="E3078" s="3">
        <f t="shared" si="35"/>
        <v>3.65</v>
      </c>
      <c r="G3078" s="2">
        <f t="shared" si="36"/>
        <v>3.65</v>
      </c>
    </row>
    <row r="3079" spans="1:7" ht="14.25" customHeight="1">
      <c r="A3079" s="2" t="s">
        <v>15</v>
      </c>
      <c r="B3079" s="2">
        <v>1938</v>
      </c>
      <c r="C3079" s="2" t="s">
        <v>64</v>
      </c>
      <c r="D3079" s="2">
        <v>3177</v>
      </c>
      <c r="E3079" s="3">
        <f t="shared" si="35"/>
        <v>3.177</v>
      </c>
      <c r="G3079" s="2">
        <f t="shared" si="36"/>
        <v>3.177</v>
      </c>
    </row>
    <row r="3080" spans="1:7" ht="14.25" customHeight="1">
      <c r="A3080" s="2" t="s">
        <v>15</v>
      </c>
      <c r="B3080" s="2">
        <v>1939</v>
      </c>
      <c r="C3080" s="2" t="s">
        <v>64</v>
      </c>
      <c r="D3080" s="2">
        <v>2635</v>
      </c>
      <c r="E3080" s="3">
        <f t="shared" si="35"/>
        <v>2.6349999999999998</v>
      </c>
      <c r="G3080" s="2">
        <f t="shared" si="36"/>
        <v>2.6349999999999998</v>
      </c>
    </row>
    <row r="3081" spans="1:7" ht="14.25" customHeight="1">
      <c r="A3081" s="2" t="s">
        <v>15</v>
      </c>
      <c r="B3081" s="2">
        <v>1940</v>
      </c>
      <c r="C3081" s="2" t="s">
        <v>64</v>
      </c>
      <c r="D3081" s="2">
        <v>628</v>
      </c>
      <c r="E3081" s="3">
        <f t="shared" si="35"/>
        <v>0.628</v>
      </c>
      <c r="G3081" s="2">
        <f t="shared" si="36"/>
        <v>0.628</v>
      </c>
    </row>
    <row r="3082" spans="1:7" ht="14.25" customHeight="1">
      <c r="A3082" s="2" t="s">
        <v>15</v>
      </c>
      <c r="B3082" s="2">
        <v>1941</v>
      </c>
      <c r="C3082" s="2" t="s">
        <v>64</v>
      </c>
      <c r="D3082" s="2">
        <v>371</v>
      </c>
      <c r="E3082" s="3">
        <f t="shared" si="35"/>
        <v>0.371</v>
      </c>
      <c r="G3082" s="2">
        <f t="shared" si="36"/>
        <v>0.371</v>
      </c>
    </row>
    <row r="3083" spans="1:7" ht="14.25" customHeight="1">
      <c r="A3083" s="2" t="s">
        <v>15</v>
      </c>
      <c r="B3083" s="2">
        <v>1942</v>
      </c>
      <c r="C3083" s="2" t="s">
        <v>64</v>
      </c>
      <c r="D3083" s="2">
        <v>385</v>
      </c>
      <c r="E3083" s="3">
        <f t="shared" si="35"/>
        <v>0.38500000000000001</v>
      </c>
      <c r="G3083" s="2">
        <f t="shared" si="36"/>
        <v>0.38500000000000001</v>
      </c>
    </row>
    <row r="3084" spans="1:7" ht="14.25" customHeight="1">
      <c r="A3084" s="2" t="s">
        <v>15</v>
      </c>
      <c r="B3084" s="2">
        <v>1943</v>
      </c>
      <c r="C3084" s="2" t="s">
        <v>64</v>
      </c>
      <c r="D3084" s="2">
        <v>560</v>
      </c>
      <c r="E3084" s="3">
        <f t="shared" si="35"/>
        <v>0.56000000000000005</v>
      </c>
      <c r="G3084" s="2">
        <f t="shared" si="36"/>
        <v>0.56000000000000005</v>
      </c>
    </row>
    <row r="3085" spans="1:7" ht="14.25" customHeight="1">
      <c r="A3085" s="2" t="s">
        <v>15</v>
      </c>
      <c r="B3085" s="2">
        <v>1944</v>
      </c>
      <c r="C3085" s="2" t="s">
        <v>64</v>
      </c>
      <c r="D3085" s="2">
        <v>883</v>
      </c>
      <c r="E3085" s="3">
        <f t="shared" si="35"/>
        <v>0.88300000000000001</v>
      </c>
      <c r="G3085" s="2">
        <f t="shared" si="36"/>
        <v>0.88300000000000001</v>
      </c>
    </row>
    <row r="3086" spans="1:7" ht="14.25" customHeight="1">
      <c r="A3086" s="2" t="s">
        <v>15</v>
      </c>
      <c r="B3086" s="2">
        <v>1945</v>
      </c>
      <c r="C3086" s="2" t="s">
        <v>64</v>
      </c>
      <c r="D3086" s="2">
        <v>3750</v>
      </c>
      <c r="E3086" s="3">
        <f t="shared" si="35"/>
        <v>3.75</v>
      </c>
      <c r="G3086" s="2">
        <f t="shared" si="36"/>
        <v>3.75</v>
      </c>
    </row>
    <row r="3087" spans="1:7" ht="14.25" customHeight="1">
      <c r="A3087" s="2" t="s">
        <v>15</v>
      </c>
      <c r="B3087" s="2">
        <v>1946</v>
      </c>
      <c r="C3087" s="2" t="s">
        <v>64</v>
      </c>
      <c r="D3087" s="2">
        <v>5021</v>
      </c>
      <c r="E3087" s="3">
        <f t="shared" si="35"/>
        <v>5.0209999999999999</v>
      </c>
      <c r="G3087" s="2">
        <f t="shared" si="36"/>
        <v>5.0209999999999999</v>
      </c>
    </row>
    <row r="3088" spans="1:7" ht="14.25" customHeight="1">
      <c r="A3088" s="2" t="s">
        <v>15</v>
      </c>
      <c r="B3088" s="2">
        <v>1947</v>
      </c>
      <c r="C3088" s="2" t="s">
        <v>64</v>
      </c>
      <c r="D3088" s="2">
        <v>5692</v>
      </c>
      <c r="E3088" s="3">
        <f t="shared" si="35"/>
        <v>5.6920000000000002</v>
      </c>
      <c r="G3088" s="2">
        <f t="shared" si="36"/>
        <v>5.6920000000000002</v>
      </c>
    </row>
    <row r="3089" spans="1:7" ht="14.25" customHeight="1">
      <c r="A3089" s="2" t="s">
        <v>15</v>
      </c>
      <c r="B3089" s="2">
        <v>1948</v>
      </c>
      <c r="C3089" s="2" t="s">
        <v>64</v>
      </c>
      <c r="D3089" s="2">
        <v>5109</v>
      </c>
      <c r="E3089" s="3">
        <f t="shared" si="35"/>
        <v>5.109</v>
      </c>
      <c r="G3089" s="2">
        <f t="shared" si="36"/>
        <v>5.109</v>
      </c>
    </row>
    <row r="3090" spans="1:7" ht="14.25" customHeight="1">
      <c r="A3090" s="2" t="s">
        <v>15</v>
      </c>
      <c r="B3090" s="2">
        <v>1949</v>
      </c>
      <c r="C3090" s="2" t="s">
        <v>64</v>
      </c>
      <c r="D3090" s="2">
        <v>4081</v>
      </c>
      <c r="E3090" s="3">
        <f t="shared" si="35"/>
        <v>4.0810000000000004</v>
      </c>
      <c r="G3090" s="2">
        <f t="shared" si="36"/>
        <v>4.0810000000000004</v>
      </c>
    </row>
    <row r="3091" spans="1:7" ht="14.25" customHeight="1">
      <c r="A3091" s="2" t="s">
        <v>15</v>
      </c>
      <c r="B3091" s="2">
        <v>1950</v>
      </c>
      <c r="C3091" s="2" t="s">
        <v>64</v>
      </c>
      <c r="D3091" s="2">
        <v>3290</v>
      </c>
      <c r="E3091" s="3">
        <f t="shared" si="35"/>
        <v>3.29</v>
      </c>
      <c r="G3091" s="2">
        <f t="shared" si="36"/>
        <v>3.29</v>
      </c>
    </row>
    <row r="3092" spans="1:7" ht="14.25" customHeight="1">
      <c r="A3092" s="2" t="s">
        <v>15</v>
      </c>
      <c r="B3092" s="2">
        <v>1951</v>
      </c>
      <c r="C3092" s="2" t="s">
        <v>64</v>
      </c>
      <c r="D3092" s="2">
        <v>3210</v>
      </c>
      <c r="E3092" s="3">
        <f t="shared" si="35"/>
        <v>3.21</v>
      </c>
      <c r="G3092" s="2">
        <f t="shared" si="36"/>
        <v>3.21</v>
      </c>
    </row>
    <row r="3093" spans="1:7" ht="14.25" customHeight="1">
      <c r="A3093" s="2" t="s">
        <v>15</v>
      </c>
      <c r="B3093" s="2">
        <v>1952</v>
      </c>
      <c r="C3093" s="2" t="s">
        <v>64</v>
      </c>
      <c r="D3093" s="2">
        <v>2790</v>
      </c>
      <c r="E3093" s="3">
        <f t="shared" si="35"/>
        <v>2.79</v>
      </c>
      <c r="G3093" s="2">
        <f t="shared" si="36"/>
        <v>2.79</v>
      </c>
    </row>
    <row r="3094" spans="1:7" ht="14.25" customHeight="1">
      <c r="A3094" s="2" t="s">
        <v>15</v>
      </c>
      <c r="B3094" s="2">
        <v>1953</v>
      </c>
      <c r="C3094" s="2" t="s">
        <v>64</v>
      </c>
      <c r="D3094" s="2">
        <v>2932</v>
      </c>
      <c r="E3094" s="3">
        <f t="shared" si="35"/>
        <v>2.9319999999999999</v>
      </c>
      <c r="G3094" s="2">
        <f t="shared" si="36"/>
        <v>2.9319999999999999</v>
      </c>
    </row>
    <row r="3095" spans="1:7" ht="14.25" customHeight="1">
      <c r="A3095" s="2" t="s">
        <v>15</v>
      </c>
      <c r="B3095" s="2">
        <v>1954</v>
      </c>
      <c r="C3095" s="2" t="s">
        <v>64</v>
      </c>
      <c r="D3095" s="2">
        <v>3110</v>
      </c>
      <c r="E3095" s="3">
        <f t="shared" si="35"/>
        <v>3.11</v>
      </c>
      <c r="G3095" s="2">
        <f t="shared" si="36"/>
        <v>3.11</v>
      </c>
    </row>
    <row r="3096" spans="1:7" ht="14.25" customHeight="1">
      <c r="A3096" s="2" t="s">
        <v>15</v>
      </c>
      <c r="B3096" s="2">
        <v>1955</v>
      </c>
      <c r="C3096" s="2" t="s">
        <v>64</v>
      </c>
      <c r="D3096" s="2">
        <v>2814</v>
      </c>
      <c r="E3096" s="3">
        <f t="shared" si="35"/>
        <v>2.8140000000000001</v>
      </c>
      <c r="G3096" s="2">
        <f t="shared" si="36"/>
        <v>2.8140000000000001</v>
      </c>
    </row>
    <row r="3097" spans="1:7" ht="14.25" customHeight="1">
      <c r="A3097" s="2" t="s">
        <v>15</v>
      </c>
      <c r="B3097" s="2">
        <v>1956</v>
      </c>
      <c r="C3097" s="2" t="s">
        <v>64</v>
      </c>
      <c r="D3097" s="2">
        <v>3046</v>
      </c>
      <c r="E3097" s="3">
        <f t="shared" si="35"/>
        <v>3.0459999999999998</v>
      </c>
      <c r="G3097" s="2">
        <f t="shared" si="36"/>
        <v>3.0459999999999998</v>
      </c>
    </row>
    <row r="3098" spans="1:7" ht="14.25" customHeight="1">
      <c r="A3098" s="2" t="s">
        <v>15</v>
      </c>
      <c r="B3098" s="2">
        <v>1957</v>
      </c>
      <c r="C3098" s="2" t="s">
        <v>64</v>
      </c>
      <c r="D3098" s="2">
        <v>3166</v>
      </c>
      <c r="E3098" s="3">
        <f t="shared" si="35"/>
        <v>3.1659999999999999</v>
      </c>
      <c r="G3098" s="2">
        <f t="shared" si="36"/>
        <v>3.1659999999999999</v>
      </c>
    </row>
    <row r="3099" spans="1:7" ht="14.25" customHeight="1">
      <c r="A3099" s="2" t="s">
        <v>15</v>
      </c>
      <c r="B3099" s="2">
        <v>1958</v>
      </c>
      <c r="C3099" s="2" t="s">
        <v>64</v>
      </c>
      <c r="D3099" s="2">
        <v>2807</v>
      </c>
      <c r="E3099" s="3">
        <f t="shared" si="35"/>
        <v>2.8069999999999999</v>
      </c>
      <c r="G3099" s="2">
        <f t="shared" si="36"/>
        <v>2.8069999999999999</v>
      </c>
    </row>
    <row r="3100" spans="1:7" ht="14.25" customHeight="1">
      <c r="A3100" s="2" t="s">
        <v>15</v>
      </c>
      <c r="B3100" s="2">
        <v>1959</v>
      </c>
      <c r="C3100" s="2" t="s">
        <v>64</v>
      </c>
      <c r="D3100" s="2">
        <v>2753</v>
      </c>
      <c r="E3100" s="3">
        <f t="shared" si="35"/>
        <v>2.7530000000000001</v>
      </c>
      <c r="G3100" s="2">
        <f t="shared" si="36"/>
        <v>2.7530000000000001</v>
      </c>
    </row>
    <row r="3101" spans="1:7" ht="14.25" customHeight="1">
      <c r="A3101" s="2" t="s">
        <v>15</v>
      </c>
      <c r="B3101" s="2">
        <v>1960</v>
      </c>
      <c r="C3101" s="2" t="s">
        <v>64</v>
      </c>
      <c r="D3101" s="2">
        <v>2462</v>
      </c>
      <c r="E3101" s="3">
        <f t="shared" si="35"/>
        <v>2.4620000000000002</v>
      </c>
      <c r="G3101" s="2">
        <f t="shared" si="36"/>
        <v>2.4620000000000002</v>
      </c>
    </row>
    <row r="3102" spans="1:7" ht="14.25" customHeight="1">
      <c r="A3102" s="2" t="s">
        <v>15</v>
      </c>
      <c r="B3102" s="2">
        <v>1961</v>
      </c>
      <c r="C3102" s="2" t="s">
        <v>64</v>
      </c>
      <c r="D3102" s="2">
        <v>2559</v>
      </c>
      <c r="E3102" s="3">
        <f t="shared" si="35"/>
        <v>2.5590000000000002</v>
      </c>
      <c r="G3102" s="2">
        <f t="shared" si="36"/>
        <v>2.5590000000000002</v>
      </c>
    </row>
    <row r="3103" spans="1:7" ht="14.25" customHeight="1">
      <c r="A3103" s="2" t="s">
        <v>15</v>
      </c>
      <c r="B3103" s="2">
        <v>1962</v>
      </c>
      <c r="C3103" s="2" t="s">
        <v>64</v>
      </c>
      <c r="D3103" s="2">
        <v>2074</v>
      </c>
      <c r="E3103" s="3">
        <f t="shared" si="35"/>
        <v>2.0739999999999998</v>
      </c>
      <c r="G3103" s="2">
        <f t="shared" si="36"/>
        <v>2.0739999999999998</v>
      </c>
    </row>
    <row r="3104" spans="1:7" ht="14.25" customHeight="1">
      <c r="A3104" s="2" t="s">
        <v>15</v>
      </c>
      <c r="B3104" s="2">
        <v>1963</v>
      </c>
      <c r="C3104" s="2" t="s">
        <v>64</v>
      </c>
      <c r="D3104" s="2">
        <v>2173</v>
      </c>
      <c r="E3104" s="3">
        <f t="shared" si="35"/>
        <v>2.173</v>
      </c>
      <c r="G3104" s="2">
        <f t="shared" si="36"/>
        <v>2.173</v>
      </c>
    </row>
    <row r="3105" spans="1:7" ht="14.25" customHeight="1">
      <c r="A3105" s="2" t="s">
        <v>15</v>
      </c>
      <c r="B3105" s="2">
        <v>1964</v>
      </c>
      <c r="C3105" s="2" t="s">
        <v>64</v>
      </c>
      <c r="D3105" s="2">
        <v>2134</v>
      </c>
      <c r="E3105" s="3">
        <f t="shared" si="35"/>
        <v>2.1339999999999999</v>
      </c>
      <c r="G3105" s="2">
        <f t="shared" si="36"/>
        <v>2.1339999999999999</v>
      </c>
    </row>
    <row r="3106" spans="1:7" ht="14.25" customHeight="1">
      <c r="A3106" s="2" t="s">
        <v>15</v>
      </c>
      <c r="B3106" s="2">
        <v>1965</v>
      </c>
      <c r="C3106" s="2" t="s">
        <v>64</v>
      </c>
      <c r="D3106" s="2">
        <v>1960</v>
      </c>
      <c r="E3106" s="3">
        <f t="shared" si="35"/>
        <v>1.96</v>
      </c>
      <c r="G3106" s="2">
        <f t="shared" si="36"/>
        <v>1.96</v>
      </c>
    </row>
    <row r="3107" spans="1:7" ht="14.25" customHeight="1">
      <c r="A3107" s="2" t="s">
        <v>15</v>
      </c>
      <c r="B3107" s="2">
        <v>1966</v>
      </c>
      <c r="C3107" s="2" t="s">
        <v>64</v>
      </c>
      <c r="D3107" s="2">
        <v>1704</v>
      </c>
      <c r="E3107" s="3">
        <f t="shared" si="35"/>
        <v>1.704</v>
      </c>
      <c r="G3107" s="2">
        <f t="shared" si="36"/>
        <v>1.704</v>
      </c>
    </row>
    <row r="3108" spans="1:7" ht="14.25" customHeight="1">
      <c r="A3108" s="2" t="s">
        <v>15</v>
      </c>
      <c r="B3108" s="2">
        <v>1967</v>
      </c>
      <c r="C3108" s="2" t="s">
        <v>64</v>
      </c>
      <c r="D3108" s="2">
        <v>1397</v>
      </c>
      <c r="E3108" s="3">
        <f t="shared" si="35"/>
        <v>1.397</v>
      </c>
      <c r="G3108" s="2">
        <f t="shared" si="36"/>
        <v>1.397</v>
      </c>
    </row>
    <row r="3109" spans="1:7" ht="14.25" customHeight="1">
      <c r="A3109" s="2" t="s">
        <v>15</v>
      </c>
      <c r="B3109" s="2">
        <v>1968</v>
      </c>
      <c r="C3109" s="2" t="s">
        <v>64</v>
      </c>
      <c r="D3109" s="2">
        <v>1112</v>
      </c>
      <c r="E3109" s="3">
        <f t="shared" si="35"/>
        <v>1.1120000000000001</v>
      </c>
      <c r="G3109" s="2">
        <f t="shared" si="36"/>
        <v>1.1120000000000001</v>
      </c>
    </row>
    <row r="3110" spans="1:7" ht="14.25" customHeight="1">
      <c r="A3110" s="2" t="s">
        <v>15</v>
      </c>
      <c r="B3110" s="2">
        <v>1969</v>
      </c>
      <c r="C3110" s="2" t="s">
        <v>64</v>
      </c>
      <c r="D3110" s="2">
        <v>1263</v>
      </c>
      <c r="E3110" s="3">
        <f t="shared" si="35"/>
        <v>1.2629999999999999</v>
      </c>
      <c r="G3110" s="2">
        <f t="shared" si="36"/>
        <v>1.2629999999999999</v>
      </c>
    </row>
    <row r="3111" spans="1:7" ht="14.25" customHeight="1">
      <c r="A3111" s="2" t="s">
        <v>15</v>
      </c>
      <c r="B3111" s="2">
        <v>1970</v>
      </c>
      <c r="C3111" s="2" t="s">
        <v>64</v>
      </c>
      <c r="D3111" s="2">
        <v>1266</v>
      </c>
      <c r="E3111" s="3">
        <f t="shared" si="35"/>
        <v>1.266</v>
      </c>
      <c r="G3111" s="2">
        <f t="shared" si="36"/>
        <v>1.266</v>
      </c>
    </row>
    <row r="3112" spans="1:7" ht="14.25" customHeight="1">
      <c r="A3112" s="2" t="s">
        <v>15</v>
      </c>
      <c r="B3112" s="2">
        <v>1971</v>
      </c>
      <c r="C3112" s="2" t="s">
        <v>64</v>
      </c>
      <c r="D3112" s="2">
        <v>1086</v>
      </c>
      <c r="E3112" s="3">
        <f t="shared" si="35"/>
        <v>1.0860000000000001</v>
      </c>
      <c r="G3112" s="2">
        <f t="shared" si="36"/>
        <v>1.0860000000000001</v>
      </c>
    </row>
    <row r="3113" spans="1:7" ht="14.25" customHeight="1">
      <c r="A3113" s="2" t="s">
        <v>15</v>
      </c>
      <c r="B3113" s="2">
        <v>1972</v>
      </c>
      <c r="C3113" s="2" t="s">
        <v>64</v>
      </c>
      <c r="D3113" s="2">
        <v>1134</v>
      </c>
      <c r="E3113" s="3">
        <f t="shared" si="35"/>
        <v>1.1339999999999999</v>
      </c>
      <c r="G3113" s="2">
        <f t="shared" si="36"/>
        <v>1.1339999999999999</v>
      </c>
    </row>
    <row r="3114" spans="1:7" ht="14.25" customHeight="1">
      <c r="A3114" s="2" t="s">
        <v>15</v>
      </c>
      <c r="B3114" s="2">
        <v>1973</v>
      </c>
      <c r="C3114" s="2" t="s">
        <v>64</v>
      </c>
      <c r="D3114" s="2">
        <v>1041</v>
      </c>
      <c r="E3114" s="3">
        <f t="shared" si="35"/>
        <v>1.0409999999999999</v>
      </c>
      <c r="G3114" s="2">
        <f t="shared" si="36"/>
        <v>1.0409999999999999</v>
      </c>
    </row>
    <row r="3115" spans="1:7" ht="14.25" customHeight="1">
      <c r="A3115" s="2" t="s">
        <v>15</v>
      </c>
      <c r="B3115" s="2">
        <v>1974</v>
      </c>
      <c r="C3115" s="2" t="s">
        <v>64</v>
      </c>
      <c r="D3115" s="2">
        <v>916</v>
      </c>
      <c r="E3115" s="3">
        <f t="shared" si="35"/>
        <v>0.91600000000000004</v>
      </c>
      <c r="G3115" s="2">
        <f t="shared" si="36"/>
        <v>0.91600000000000004</v>
      </c>
    </row>
    <row r="3116" spans="1:7" ht="14.25" customHeight="1">
      <c r="A3116" s="2" t="s">
        <v>15</v>
      </c>
      <c r="B3116" s="2">
        <v>1975</v>
      </c>
      <c r="C3116" s="2" t="s">
        <v>64</v>
      </c>
      <c r="D3116" s="2">
        <v>724</v>
      </c>
      <c r="E3116" s="3">
        <f t="shared" si="35"/>
        <v>0.72399999999999998</v>
      </c>
      <c r="G3116" s="2">
        <f t="shared" si="36"/>
        <v>0.72399999999999998</v>
      </c>
    </row>
    <row r="3117" spans="1:7" ht="14.25" customHeight="1">
      <c r="A3117" s="2" t="s">
        <v>15</v>
      </c>
      <c r="B3117" s="2">
        <v>1976</v>
      </c>
      <c r="C3117" s="2" t="s">
        <v>64</v>
      </c>
      <c r="D3117" s="2">
        <v>869</v>
      </c>
      <c r="E3117" s="3">
        <f t="shared" si="35"/>
        <v>0.86899999999999999</v>
      </c>
      <c r="G3117" s="2">
        <f t="shared" si="36"/>
        <v>0.86899999999999999</v>
      </c>
    </row>
    <row r="3118" spans="1:7" ht="14.25" customHeight="1">
      <c r="A3118" s="2" t="s">
        <v>15</v>
      </c>
      <c r="B3118" s="2">
        <v>1977</v>
      </c>
      <c r="C3118" s="2" t="s">
        <v>64</v>
      </c>
      <c r="D3118" s="2">
        <v>922</v>
      </c>
      <c r="E3118" s="3">
        <f t="shared" si="35"/>
        <v>0.92200000000000004</v>
      </c>
      <c r="G3118" s="2">
        <f t="shared" si="36"/>
        <v>0.92200000000000004</v>
      </c>
    </row>
    <row r="3119" spans="1:7" ht="14.25" customHeight="1">
      <c r="A3119" s="2" t="s">
        <v>15</v>
      </c>
      <c r="B3119" s="2">
        <v>1978</v>
      </c>
      <c r="C3119" s="2" t="s">
        <v>64</v>
      </c>
      <c r="D3119" s="2">
        <v>1033</v>
      </c>
      <c r="E3119" s="3">
        <f t="shared" si="35"/>
        <v>1.0329999999999999</v>
      </c>
      <c r="G3119" s="2">
        <f t="shared" si="36"/>
        <v>1.0329999999999999</v>
      </c>
    </row>
    <row r="3120" spans="1:7" ht="14.25" customHeight="1">
      <c r="A3120" s="2" t="s">
        <v>15</v>
      </c>
      <c r="B3120" s="2">
        <v>1979</v>
      </c>
      <c r="C3120" s="2" t="s">
        <v>64</v>
      </c>
      <c r="D3120" s="2">
        <v>1087</v>
      </c>
      <c r="E3120" s="3">
        <f t="shared" si="35"/>
        <v>1.087</v>
      </c>
      <c r="G3120" s="2">
        <f t="shared" si="36"/>
        <v>1.087</v>
      </c>
    </row>
    <row r="3121" spans="1:7" ht="14.25" customHeight="1">
      <c r="A3121" s="2" t="s">
        <v>15</v>
      </c>
      <c r="B3121" s="2">
        <v>1980</v>
      </c>
      <c r="C3121" s="2" t="s">
        <v>64</v>
      </c>
      <c r="D3121" s="2">
        <v>771</v>
      </c>
      <c r="E3121" s="3">
        <f t="shared" si="35"/>
        <v>0.77100000000000002</v>
      </c>
      <c r="G3121" s="2">
        <f t="shared" si="36"/>
        <v>0.77100000000000002</v>
      </c>
    </row>
    <row r="3122" spans="1:7" ht="14.25" customHeight="1">
      <c r="A3122" s="2" t="s">
        <v>15</v>
      </c>
      <c r="B3122" s="2">
        <v>1981</v>
      </c>
      <c r="C3122" s="2" t="s">
        <v>64</v>
      </c>
      <c r="D3122" s="2">
        <v>630</v>
      </c>
      <c r="E3122" s="3">
        <f t="shared" si="35"/>
        <v>0.63</v>
      </c>
      <c r="G3122" s="2">
        <f t="shared" si="36"/>
        <v>0.63</v>
      </c>
    </row>
    <row r="3123" spans="1:7" ht="14.25" customHeight="1">
      <c r="A3123" s="2" t="s">
        <v>15</v>
      </c>
      <c r="B3123" s="2">
        <v>1982</v>
      </c>
      <c r="C3123" s="2" t="s">
        <v>64</v>
      </c>
      <c r="D3123" s="2">
        <v>571</v>
      </c>
      <c r="E3123" s="3">
        <f t="shared" si="35"/>
        <v>0.57099999999999995</v>
      </c>
      <c r="G3123" s="2">
        <f t="shared" si="36"/>
        <v>0.57099999999999995</v>
      </c>
    </row>
    <row r="3124" spans="1:7" ht="14.25" customHeight="1">
      <c r="A3124" s="2" t="s">
        <v>15</v>
      </c>
      <c r="B3124" s="2">
        <v>1983</v>
      </c>
      <c r="C3124" s="2" t="s">
        <v>64</v>
      </c>
      <c r="D3124" s="2">
        <v>560</v>
      </c>
      <c r="E3124" s="3">
        <f t="shared" si="35"/>
        <v>0.56000000000000005</v>
      </c>
      <c r="G3124" s="2">
        <f t="shared" si="36"/>
        <v>0.56000000000000005</v>
      </c>
    </row>
    <row r="3125" spans="1:7" ht="14.25" customHeight="1">
      <c r="A3125" s="2" t="s">
        <v>15</v>
      </c>
      <c r="B3125" s="2">
        <v>1984</v>
      </c>
      <c r="C3125" s="2" t="s">
        <v>64</v>
      </c>
      <c r="D3125" s="2">
        <v>587</v>
      </c>
      <c r="E3125" s="3">
        <f t="shared" si="35"/>
        <v>0.58699999999999997</v>
      </c>
      <c r="G3125" s="2">
        <f t="shared" si="36"/>
        <v>0.58699999999999997</v>
      </c>
    </row>
    <row r="3126" spans="1:7" ht="14.25" customHeight="1">
      <c r="A3126" s="2" t="s">
        <v>15</v>
      </c>
      <c r="B3126" s="2">
        <v>1985</v>
      </c>
      <c r="C3126" s="2" t="s">
        <v>64</v>
      </c>
      <c r="D3126" s="2">
        <v>615</v>
      </c>
      <c r="E3126" s="3">
        <f t="shared" si="35"/>
        <v>0.61499999999999999</v>
      </c>
      <c r="G3126" s="2">
        <f t="shared" si="36"/>
        <v>0.61499999999999999</v>
      </c>
    </row>
    <row r="3127" spans="1:7" ht="14.25" customHeight="1">
      <c r="A3127" s="2" t="s">
        <v>15</v>
      </c>
      <c r="B3127" s="2">
        <v>1986</v>
      </c>
      <c r="C3127" s="2" t="s">
        <v>64</v>
      </c>
      <c r="D3127" s="2">
        <v>605</v>
      </c>
      <c r="E3127" s="3">
        <f t="shared" si="35"/>
        <v>0.60499999999999998</v>
      </c>
      <c r="G3127" s="2">
        <f t="shared" si="36"/>
        <v>0.60499999999999998</v>
      </c>
    </row>
    <row r="3128" spans="1:7" ht="14.25" customHeight="1">
      <c r="A3128" s="2" t="s">
        <v>15</v>
      </c>
      <c r="B3128" s="2">
        <v>1987</v>
      </c>
      <c r="C3128" s="2" t="s">
        <v>64</v>
      </c>
      <c r="D3128" s="2">
        <v>743</v>
      </c>
      <c r="E3128" s="3">
        <f t="shared" si="35"/>
        <v>0.74299999999999999</v>
      </c>
      <c r="G3128" s="2">
        <f t="shared" si="36"/>
        <v>0.74299999999999999</v>
      </c>
    </row>
    <row r="3129" spans="1:7" ht="14.25" customHeight="1">
      <c r="A3129" s="2" t="s">
        <v>15</v>
      </c>
      <c r="B3129" s="2">
        <v>1988</v>
      </c>
      <c r="C3129" s="2" t="s">
        <v>64</v>
      </c>
      <c r="D3129" s="2">
        <v>800</v>
      </c>
      <c r="E3129" s="3">
        <f t="shared" si="35"/>
        <v>0.8</v>
      </c>
      <c r="G3129" s="2">
        <f t="shared" si="36"/>
        <v>0.8</v>
      </c>
    </row>
    <row r="3130" spans="1:7" ht="14.25" customHeight="1">
      <c r="A3130" s="2" t="s">
        <v>15</v>
      </c>
      <c r="B3130" s="2">
        <v>1989</v>
      </c>
      <c r="C3130" s="2" t="s">
        <v>64</v>
      </c>
      <c r="D3130" s="2">
        <v>669</v>
      </c>
      <c r="E3130" s="3">
        <f t="shared" si="35"/>
        <v>0.66900000000000004</v>
      </c>
      <c r="G3130" s="2">
        <f t="shared" si="36"/>
        <v>0.66900000000000004</v>
      </c>
    </row>
    <row r="3131" spans="1:7" ht="14.25" customHeight="1">
      <c r="A3131" s="2" t="s">
        <v>15</v>
      </c>
      <c r="B3131" s="2">
        <v>1990</v>
      </c>
      <c r="C3131" s="2" t="s">
        <v>64</v>
      </c>
      <c r="D3131" s="2">
        <v>760</v>
      </c>
      <c r="E3131" s="3">
        <f t="shared" si="35"/>
        <v>0.76</v>
      </c>
      <c r="G3131" s="2">
        <f t="shared" si="36"/>
        <v>0.76</v>
      </c>
    </row>
    <row r="3132" spans="1:7" ht="14.25" customHeight="1">
      <c r="A3132" s="2" t="s">
        <v>15</v>
      </c>
      <c r="B3132" s="2">
        <v>1991</v>
      </c>
      <c r="C3132" s="2" t="s">
        <v>64</v>
      </c>
      <c r="D3132" s="2">
        <v>971</v>
      </c>
      <c r="E3132" s="3">
        <f t="shared" si="35"/>
        <v>0.97099999999999997</v>
      </c>
      <c r="G3132" s="2">
        <f t="shared" si="36"/>
        <v>0.97099999999999997</v>
      </c>
    </row>
    <row r="3133" spans="1:7" ht="14.25" customHeight="1">
      <c r="A3133" s="2" t="s">
        <v>15</v>
      </c>
      <c r="B3133" s="2">
        <v>1992</v>
      </c>
      <c r="C3133" s="2" t="s">
        <v>64</v>
      </c>
      <c r="D3133" s="2">
        <v>1243</v>
      </c>
      <c r="E3133" s="3">
        <f t="shared" si="35"/>
        <v>1.2430000000000001</v>
      </c>
      <c r="G3133" s="2">
        <f t="shared" si="36"/>
        <v>1.2430000000000001</v>
      </c>
    </row>
    <row r="3134" spans="1:7" ht="14.25" customHeight="1">
      <c r="A3134" s="2" t="s">
        <v>15</v>
      </c>
      <c r="B3134" s="2">
        <v>1993</v>
      </c>
      <c r="C3134" s="2" t="s">
        <v>64</v>
      </c>
      <c r="D3134" s="2">
        <v>1531</v>
      </c>
      <c r="E3134" s="3">
        <f t="shared" si="35"/>
        <v>1.5309999999999999</v>
      </c>
      <c r="G3134" s="2">
        <f t="shared" si="36"/>
        <v>1.5309999999999999</v>
      </c>
    </row>
    <row r="3135" spans="1:7" ht="14.25" customHeight="1">
      <c r="A3135" s="2" t="s">
        <v>15</v>
      </c>
      <c r="B3135" s="2">
        <v>1994</v>
      </c>
      <c r="C3135" s="2" t="s">
        <v>64</v>
      </c>
      <c r="D3135" s="2">
        <v>1490</v>
      </c>
      <c r="E3135" s="3">
        <f t="shared" si="35"/>
        <v>1.49</v>
      </c>
      <c r="G3135" s="2">
        <f t="shared" si="36"/>
        <v>1.49</v>
      </c>
    </row>
    <row r="3136" spans="1:7" ht="14.25" customHeight="1">
      <c r="A3136" s="2" t="s">
        <v>15</v>
      </c>
      <c r="B3136" s="2">
        <v>1995</v>
      </c>
      <c r="C3136" s="2" t="s">
        <v>64</v>
      </c>
      <c r="D3136" s="2">
        <v>1281</v>
      </c>
      <c r="E3136" s="3">
        <f t="shared" si="35"/>
        <v>1.2809999999999999</v>
      </c>
      <c r="G3136" s="2">
        <f t="shared" si="36"/>
        <v>1.2809999999999999</v>
      </c>
    </row>
    <row r="3137" spans="1:7" ht="14.25" customHeight="1">
      <c r="A3137" s="2" t="s">
        <v>15</v>
      </c>
      <c r="B3137" s="2">
        <v>1996</v>
      </c>
      <c r="C3137" s="2" t="s">
        <v>64</v>
      </c>
      <c r="D3137" s="2">
        <v>1267</v>
      </c>
      <c r="E3137" s="3">
        <f t="shared" si="35"/>
        <v>1.2669999999999999</v>
      </c>
      <c r="G3137" s="2">
        <f t="shared" si="36"/>
        <v>1.2669999999999999</v>
      </c>
    </row>
    <row r="3138" spans="1:7" ht="14.25" customHeight="1">
      <c r="A3138" s="2" t="s">
        <v>15</v>
      </c>
      <c r="B3138" s="2">
        <v>1997</v>
      </c>
      <c r="C3138" s="2" t="s">
        <v>64</v>
      </c>
      <c r="D3138" s="2">
        <v>1146</v>
      </c>
      <c r="E3138" s="3">
        <f t="shared" si="35"/>
        <v>1.1459999999999999</v>
      </c>
      <c r="G3138" s="2">
        <f t="shared" si="36"/>
        <v>1.1459999999999999</v>
      </c>
    </row>
    <row r="3139" spans="1:7" ht="14.25" customHeight="1">
      <c r="A3139" s="2" t="s">
        <v>15</v>
      </c>
      <c r="B3139" s="2">
        <v>1998</v>
      </c>
      <c r="C3139" s="2" t="s">
        <v>64</v>
      </c>
      <c r="D3139" s="2">
        <v>974</v>
      </c>
      <c r="E3139" s="3">
        <f t="shared" si="35"/>
        <v>0.97399999999999998</v>
      </c>
      <c r="G3139" s="2">
        <f t="shared" si="36"/>
        <v>0.97399999999999998</v>
      </c>
    </row>
    <row r="3140" spans="1:7" ht="14.25" customHeight="1">
      <c r="A3140" s="2" t="s">
        <v>15</v>
      </c>
      <c r="B3140" s="2">
        <v>1999</v>
      </c>
      <c r="C3140" s="2" t="s">
        <v>64</v>
      </c>
      <c r="D3140" s="2">
        <v>851</v>
      </c>
      <c r="E3140" s="3">
        <f t="shared" si="35"/>
        <v>0.85099999999999998</v>
      </c>
      <c r="G3140" s="2">
        <f t="shared" si="36"/>
        <v>0.85099999999999998</v>
      </c>
    </row>
    <row r="3141" spans="1:7" ht="14.25" customHeight="1">
      <c r="A3141" s="2" t="s">
        <v>15</v>
      </c>
      <c r="B3141" s="2">
        <v>2000</v>
      </c>
      <c r="C3141" s="2" t="s">
        <v>64</v>
      </c>
      <c r="D3141" s="2">
        <v>877</v>
      </c>
      <c r="E3141" s="3">
        <f t="shared" si="35"/>
        <v>0.877</v>
      </c>
      <c r="G3141" s="2">
        <f t="shared" si="36"/>
        <v>0.877</v>
      </c>
    </row>
    <row r="3142" spans="1:7" ht="14.25" customHeight="1">
      <c r="A3142" s="2" t="s">
        <v>15</v>
      </c>
      <c r="B3142" s="2">
        <v>2001</v>
      </c>
      <c r="C3142" s="2" t="s">
        <v>64</v>
      </c>
      <c r="D3142" s="2">
        <v>1002</v>
      </c>
      <c r="E3142" s="3">
        <f t="shared" si="35"/>
        <v>1.002</v>
      </c>
      <c r="G3142" s="2">
        <f t="shared" si="36"/>
        <v>1.002</v>
      </c>
    </row>
    <row r="3143" spans="1:7" ht="14.25" customHeight="1">
      <c r="A3143" s="2" t="s">
        <v>15</v>
      </c>
      <c r="B3143" s="2">
        <v>2002</v>
      </c>
      <c r="C3143" s="2" t="s">
        <v>64</v>
      </c>
      <c r="D3143" s="2">
        <v>1067</v>
      </c>
      <c r="E3143" s="3">
        <f t="shared" si="35"/>
        <v>1.0669999999999999</v>
      </c>
      <c r="G3143" s="2">
        <f t="shared" si="36"/>
        <v>1.0669999999999999</v>
      </c>
    </row>
    <row r="3144" spans="1:7" ht="14.25" customHeight="1">
      <c r="A3144" s="2" t="s">
        <v>15</v>
      </c>
      <c r="B3144" s="2">
        <v>2003</v>
      </c>
      <c r="C3144" s="2" t="s">
        <v>64</v>
      </c>
      <c r="D3144" s="2">
        <v>871</v>
      </c>
      <c r="E3144" s="3">
        <f t="shared" si="35"/>
        <v>0.871</v>
      </c>
      <c r="G3144" s="2">
        <f t="shared" si="36"/>
        <v>0.871</v>
      </c>
    </row>
    <row r="3145" spans="1:7" ht="14.25" customHeight="1">
      <c r="A3145" s="2" t="s">
        <v>15</v>
      </c>
      <c r="B3145" s="2">
        <v>2004</v>
      </c>
      <c r="C3145" s="2" t="s">
        <v>64</v>
      </c>
      <c r="D3145" s="2">
        <v>839</v>
      </c>
      <c r="E3145" s="3">
        <f t="shared" si="35"/>
        <v>0.83899999999999997</v>
      </c>
      <c r="G3145" s="2">
        <f t="shared" si="36"/>
        <v>0.83899999999999997</v>
      </c>
    </row>
    <row r="3146" spans="1:7" ht="14.25" customHeight="1">
      <c r="A3146" s="2" t="s">
        <v>15</v>
      </c>
      <c r="B3146" s="2">
        <v>2005</v>
      </c>
      <c r="C3146" s="2" t="s">
        <v>64</v>
      </c>
      <c r="D3146" s="2">
        <v>633</v>
      </c>
      <c r="E3146" s="3">
        <f t="shared" si="35"/>
        <v>0.63300000000000001</v>
      </c>
      <c r="G3146" s="2">
        <f t="shared" si="36"/>
        <v>0.63300000000000001</v>
      </c>
    </row>
    <row r="3147" spans="1:7" ht="14.25" customHeight="1">
      <c r="A3147" s="2" t="s">
        <v>15</v>
      </c>
      <c r="B3147" s="2">
        <v>2006</v>
      </c>
      <c r="C3147" s="2" t="s">
        <v>64</v>
      </c>
      <c r="D3147" s="2">
        <v>635.11</v>
      </c>
      <c r="E3147" s="3">
        <f t="shared" si="35"/>
        <v>0.63511000000000006</v>
      </c>
      <c r="G3147" s="2">
        <f t="shared" si="36"/>
        <v>0.63511000000000006</v>
      </c>
    </row>
    <row r="3148" spans="1:7" ht="14.25" customHeight="1">
      <c r="A3148" s="2" t="s">
        <v>15</v>
      </c>
      <c r="B3148" s="2">
        <v>2007</v>
      </c>
      <c r="C3148" s="2" t="s">
        <v>64</v>
      </c>
      <c r="D3148" s="2">
        <v>754.05</v>
      </c>
      <c r="E3148" s="3">
        <f t="shared" si="35"/>
        <v>0.75405</v>
      </c>
      <c r="G3148" s="2">
        <f t="shared" si="36"/>
        <v>0.75405</v>
      </c>
    </row>
    <row r="3149" spans="1:7" ht="14.25" customHeight="1">
      <c r="A3149" s="2" t="s">
        <v>15</v>
      </c>
      <c r="B3149" s="2">
        <v>2008</v>
      </c>
      <c r="C3149" s="2" t="s">
        <v>64</v>
      </c>
      <c r="D3149" s="2">
        <v>652.09</v>
      </c>
      <c r="E3149" s="3">
        <f t="shared" si="35"/>
        <v>0.65209000000000006</v>
      </c>
      <c r="G3149" s="2">
        <f t="shared" si="36"/>
        <v>0.65209000000000006</v>
      </c>
    </row>
    <row r="3150" spans="1:7" ht="14.25" customHeight="1">
      <c r="A3150" s="2" t="s">
        <v>15</v>
      </c>
      <c r="B3150" s="2">
        <v>2009</v>
      </c>
      <c r="C3150" s="2" t="s">
        <v>64</v>
      </c>
      <c r="D3150" s="2">
        <v>682.07</v>
      </c>
      <c r="E3150" s="3">
        <f t="shared" si="35"/>
        <v>0.68207000000000007</v>
      </c>
      <c r="G3150" s="2">
        <f t="shared" si="36"/>
        <v>0.68207000000000007</v>
      </c>
    </row>
    <row r="3151" spans="1:7" ht="14.25" customHeight="1">
      <c r="A3151" s="2" t="s">
        <v>15</v>
      </c>
      <c r="B3151" s="2">
        <v>2010</v>
      </c>
      <c r="C3151" s="2" t="s">
        <v>64</v>
      </c>
      <c r="D3151" s="2">
        <v>729.4</v>
      </c>
      <c r="E3151" s="3">
        <f t="shared" si="35"/>
        <v>0.72939999999999994</v>
      </c>
      <c r="G3151" s="2">
        <f t="shared" si="36"/>
        <v>0.72939999999999994</v>
      </c>
    </row>
    <row r="3152" spans="1:7" ht="14.25" customHeight="1">
      <c r="A3152" s="2" t="s">
        <v>15</v>
      </c>
      <c r="B3152" s="2">
        <v>2011</v>
      </c>
      <c r="C3152" s="2" t="s">
        <v>64</v>
      </c>
      <c r="D3152" s="2">
        <v>771.85</v>
      </c>
      <c r="E3152" s="3">
        <f t="shared" si="35"/>
        <v>0.77185000000000004</v>
      </c>
      <c r="G3152" s="2">
        <f t="shared" si="36"/>
        <v>0.77185000000000004</v>
      </c>
    </row>
    <row r="3153" spans="1:7" ht="14.25" customHeight="1">
      <c r="A3153" s="2" t="s">
        <v>15</v>
      </c>
      <c r="B3153" s="2">
        <v>2012</v>
      </c>
      <c r="C3153" s="2" t="s">
        <v>64</v>
      </c>
      <c r="D3153" s="2">
        <v>755.3</v>
      </c>
      <c r="E3153" s="3">
        <f t="shared" si="35"/>
        <v>0.75529999999999997</v>
      </c>
      <c r="G3153" s="2">
        <f t="shared" si="36"/>
        <v>0.75529999999999997</v>
      </c>
    </row>
    <row r="3154" spans="1:7" ht="14.25" customHeight="1">
      <c r="A3154" s="2" t="s">
        <v>15</v>
      </c>
      <c r="B3154" s="2">
        <v>2013</v>
      </c>
      <c r="C3154" s="2" t="s">
        <v>64</v>
      </c>
      <c r="D3154" s="2">
        <v>748.25</v>
      </c>
      <c r="E3154" s="3">
        <f t="shared" si="35"/>
        <v>0.74824999999999997</v>
      </c>
      <c r="G3154" s="2">
        <f t="shared" si="36"/>
        <v>0.74824999999999997</v>
      </c>
    </row>
    <row r="3155" spans="1:7" ht="14.25" customHeight="1">
      <c r="A3155" s="2" t="s">
        <v>15</v>
      </c>
      <c r="B3155" s="2">
        <v>2014</v>
      </c>
      <c r="C3155" s="2" t="s">
        <v>64</v>
      </c>
      <c r="D3155" s="2">
        <v>838.51</v>
      </c>
      <c r="E3155" s="3">
        <f t="shared" si="35"/>
        <v>0.83850999999999998</v>
      </c>
      <c r="G3155" s="2">
        <f t="shared" si="36"/>
        <v>0.83850999999999998</v>
      </c>
    </row>
    <row r="3156" spans="1:7" ht="14.25" customHeight="1">
      <c r="A3156" s="2" t="s">
        <v>15</v>
      </c>
      <c r="B3156" s="2">
        <v>2015</v>
      </c>
      <c r="C3156" s="2" t="s">
        <v>64</v>
      </c>
      <c r="D3156" s="2">
        <v>789.3</v>
      </c>
      <c r="E3156" s="3">
        <f t="shared" si="35"/>
        <v>0.7893</v>
      </c>
      <c r="G3156" s="2">
        <f t="shared" si="36"/>
        <v>0.7893</v>
      </c>
    </row>
    <row r="3157" spans="1:7" ht="14.25" customHeight="1">
      <c r="A3157" s="2" t="s">
        <v>15</v>
      </c>
      <c r="B3157" s="2">
        <v>2016</v>
      </c>
      <c r="C3157" s="2" t="s">
        <v>64</v>
      </c>
      <c r="D3157" s="2">
        <v>873.15</v>
      </c>
      <c r="E3157" s="3">
        <f t="shared" si="35"/>
        <v>0.87314999999999998</v>
      </c>
      <c r="G3157" s="2">
        <f t="shared" si="36"/>
        <v>0.87314999999999998</v>
      </c>
    </row>
    <row r="3158" spans="1:7" ht="14.25" customHeight="1">
      <c r="A3158" s="2" t="s">
        <v>15</v>
      </c>
      <c r="B3158" s="2">
        <v>2017</v>
      </c>
      <c r="C3158" s="2" t="s">
        <v>64</v>
      </c>
      <c r="D3158" s="2">
        <v>920.18</v>
      </c>
      <c r="E3158" s="3">
        <f t="shared" si="35"/>
        <v>0.92018</v>
      </c>
      <c r="G3158" s="2">
        <f t="shared" si="36"/>
        <v>0.92018</v>
      </c>
    </row>
    <row r="3159" spans="1:7" ht="14.25" customHeight="1">
      <c r="A3159" s="2" t="s">
        <v>15</v>
      </c>
      <c r="B3159" s="2">
        <v>2018</v>
      </c>
      <c r="C3159" s="2" t="s">
        <v>64</v>
      </c>
      <c r="D3159" s="2">
        <v>787.39599999999996</v>
      </c>
      <c r="E3159" s="3">
        <f t="shared" si="35"/>
        <v>0.78739599999999998</v>
      </c>
      <c r="G3159" s="2">
        <f t="shared" si="36"/>
        <v>0.78739599999999998</v>
      </c>
    </row>
    <row r="3160" spans="1:7" ht="14.25" customHeight="1">
      <c r="A3160" s="2" t="s">
        <v>15</v>
      </c>
      <c r="B3160" s="2">
        <v>1903</v>
      </c>
      <c r="C3160" s="2" t="s">
        <v>24</v>
      </c>
      <c r="D3160" s="2">
        <v>22887</v>
      </c>
      <c r="E3160" s="3">
        <f t="shared" si="35"/>
        <v>22.887</v>
      </c>
      <c r="G3160" s="2">
        <f t="shared" si="36"/>
        <v>22.887</v>
      </c>
    </row>
    <row r="3161" spans="1:7" ht="14.25" customHeight="1">
      <c r="A3161" s="2" t="s">
        <v>15</v>
      </c>
      <c r="B3161" s="2">
        <v>1904</v>
      </c>
      <c r="C3161" s="2" t="s">
        <v>24</v>
      </c>
      <c r="D3161" s="2">
        <v>22132</v>
      </c>
      <c r="E3161" s="3">
        <f t="shared" si="35"/>
        <v>22.132000000000001</v>
      </c>
      <c r="G3161" s="2">
        <f t="shared" si="36"/>
        <v>22.132000000000001</v>
      </c>
    </row>
    <row r="3162" spans="1:7" ht="14.25" customHeight="1">
      <c r="A3162" s="2" t="s">
        <v>15</v>
      </c>
      <c r="B3162" s="2">
        <v>1905</v>
      </c>
      <c r="C3162" s="2" t="s">
        <v>24</v>
      </c>
      <c r="D3162" s="2">
        <v>27948</v>
      </c>
      <c r="E3162" s="3">
        <f t="shared" si="35"/>
        <v>27.948</v>
      </c>
      <c r="G3162" s="2">
        <f t="shared" si="36"/>
        <v>27.948</v>
      </c>
    </row>
    <row r="3163" spans="1:7" ht="14.25" customHeight="1">
      <c r="A3163" s="2" t="s">
        <v>15</v>
      </c>
      <c r="B3163" s="2">
        <v>1906</v>
      </c>
      <c r="C3163" s="2" t="s">
        <v>24</v>
      </c>
      <c r="D3163" s="2">
        <v>21413</v>
      </c>
      <c r="E3163" s="3">
        <f t="shared" si="35"/>
        <v>21.413</v>
      </c>
      <c r="G3163" s="2">
        <f t="shared" si="36"/>
        <v>21.413</v>
      </c>
    </row>
    <row r="3164" spans="1:7" ht="14.25" customHeight="1">
      <c r="A3164" s="2" t="s">
        <v>15</v>
      </c>
      <c r="B3164" s="2">
        <v>1907</v>
      </c>
      <c r="C3164" s="2" t="s">
        <v>24</v>
      </c>
      <c r="D3164" s="2">
        <v>20954</v>
      </c>
      <c r="E3164" s="3">
        <f t="shared" si="35"/>
        <v>20.954000000000001</v>
      </c>
      <c r="G3164" s="2">
        <f t="shared" si="36"/>
        <v>20.954000000000001</v>
      </c>
    </row>
    <row r="3165" spans="1:7" ht="14.25" customHeight="1">
      <c r="A3165" s="2" t="s">
        <v>15</v>
      </c>
      <c r="B3165" s="2">
        <v>1908</v>
      </c>
      <c r="C3165" s="2" t="s">
        <v>24</v>
      </c>
      <c r="D3165" s="2">
        <v>22532</v>
      </c>
      <c r="E3165" s="3">
        <f t="shared" si="35"/>
        <v>22.532</v>
      </c>
      <c r="G3165" s="2">
        <f t="shared" si="36"/>
        <v>22.532</v>
      </c>
    </row>
    <row r="3166" spans="1:7" ht="14.25" customHeight="1">
      <c r="A3166" s="2" t="s">
        <v>15</v>
      </c>
      <c r="B3166" s="2">
        <v>1909</v>
      </c>
      <c r="C3166" s="2" t="s">
        <v>24</v>
      </c>
      <c r="D3166" s="2">
        <v>23048</v>
      </c>
      <c r="E3166" s="3">
        <f t="shared" si="35"/>
        <v>23.047999999999998</v>
      </c>
      <c r="G3166" s="2">
        <f t="shared" si="36"/>
        <v>23.047999999999998</v>
      </c>
    </row>
    <row r="3167" spans="1:7" ht="14.25" customHeight="1">
      <c r="A3167" s="2" t="s">
        <v>15</v>
      </c>
      <c r="B3167" s="2">
        <v>1910</v>
      </c>
      <c r="C3167" s="2" t="s">
        <v>24</v>
      </c>
      <c r="D3167" s="2">
        <v>25563</v>
      </c>
      <c r="E3167" s="3">
        <f t="shared" si="35"/>
        <v>25.562999999999999</v>
      </c>
      <c r="G3167" s="2">
        <f t="shared" si="36"/>
        <v>25.562999999999999</v>
      </c>
    </row>
    <row r="3168" spans="1:7" ht="14.25" customHeight="1">
      <c r="A3168" s="2" t="s">
        <v>15</v>
      </c>
      <c r="B3168" s="2">
        <v>1911</v>
      </c>
      <c r="C3168" s="2" t="s">
        <v>24</v>
      </c>
      <c r="D3168" s="2">
        <v>23766</v>
      </c>
      <c r="E3168" s="3">
        <f t="shared" si="35"/>
        <v>23.765999999999998</v>
      </c>
      <c r="G3168" s="2">
        <f t="shared" si="36"/>
        <v>23.765999999999998</v>
      </c>
    </row>
    <row r="3169" spans="1:7" ht="14.25" customHeight="1">
      <c r="A3169" s="2" t="s">
        <v>15</v>
      </c>
      <c r="B3169" s="2">
        <v>1912</v>
      </c>
      <c r="C3169" s="2" t="s">
        <v>24</v>
      </c>
      <c r="D3169" s="2">
        <v>29944</v>
      </c>
      <c r="E3169" s="3">
        <f t="shared" si="35"/>
        <v>29.943999999999999</v>
      </c>
      <c r="G3169" s="2">
        <f t="shared" si="36"/>
        <v>29.943999999999999</v>
      </c>
    </row>
    <row r="3170" spans="1:7" ht="14.25" customHeight="1">
      <c r="A3170" s="2" t="s">
        <v>15</v>
      </c>
      <c r="B3170" s="2">
        <v>1913</v>
      </c>
      <c r="C3170" s="2" t="s">
        <v>24</v>
      </c>
      <c r="D3170" s="2">
        <v>33175</v>
      </c>
      <c r="E3170" s="3">
        <f t="shared" si="35"/>
        <v>33.174999999999997</v>
      </c>
      <c r="G3170" s="2">
        <f t="shared" si="36"/>
        <v>33.174999999999997</v>
      </c>
    </row>
    <row r="3171" spans="1:7" ht="14.25" customHeight="1">
      <c r="A3171" s="2" t="s">
        <v>15</v>
      </c>
      <c r="B3171" s="2">
        <v>1914</v>
      </c>
      <c r="C3171" s="2" t="s">
        <v>24</v>
      </c>
      <c r="D3171" s="2">
        <v>30427</v>
      </c>
      <c r="E3171" s="3">
        <f t="shared" si="35"/>
        <v>30.427</v>
      </c>
      <c r="G3171" s="2">
        <f t="shared" si="36"/>
        <v>30.427</v>
      </c>
    </row>
    <row r="3172" spans="1:7" ht="14.25" customHeight="1">
      <c r="A3172" s="2" t="s">
        <v>15</v>
      </c>
      <c r="B3172" s="2">
        <v>1915</v>
      </c>
      <c r="C3172" s="2" t="s">
        <v>24</v>
      </c>
      <c r="D3172" s="2">
        <v>16851</v>
      </c>
      <c r="E3172" s="3">
        <f t="shared" si="35"/>
        <v>16.850999999999999</v>
      </c>
      <c r="G3172" s="2">
        <f t="shared" si="36"/>
        <v>16.850999999999999</v>
      </c>
    </row>
    <row r="3173" spans="1:7" ht="14.25" customHeight="1">
      <c r="A3173" s="2" t="s">
        <v>15</v>
      </c>
      <c r="B3173" s="2">
        <v>1916</v>
      </c>
      <c r="C3173" s="2" t="s">
        <v>24</v>
      </c>
      <c r="D3173" s="2">
        <v>14075</v>
      </c>
      <c r="E3173" s="3">
        <f t="shared" si="35"/>
        <v>14.074999999999999</v>
      </c>
      <c r="G3173" s="2">
        <f t="shared" si="36"/>
        <v>14.074999999999999</v>
      </c>
    </row>
    <row r="3174" spans="1:7" ht="14.25" customHeight="1">
      <c r="A3174" s="2" t="s">
        <v>15</v>
      </c>
      <c r="B3174" s="2">
        <v>1917</v>
      </c>
      <c r="C3174" s="2" t="s">
        <v>24</v>
      </c>
      <c r="D3174" s="2">
        <v>10550</v>
      </c>
      <c r="E3174" s="3">
        <f t="shared" si="35"/>
        <v>10.55</v>
      </c>
      <c r="G3174" s="2">
        <f t="shared" si="36"/>
        <v>10.55</v>
      </c>
    </row>
    <row r="3175" spans="1:7" ht="14.25" customHeight="1">
      <c r="A3175" s="2" t="s">
        <v>15</v>
      </c>
      <c r="B3175" s="2">
        <v>1918</v>
      </c>
      <c r="C3175" s="2" t="s">
        <v>24</v>
      </c>
      <c r="D3175" s="2">
        <v>13106</v>
      </c>
      <c r="E3175" s="3">
        <f t="shared" si="35"/>
        <v>13.106</v>
      </c>
      <c r="G3175" s="2">
        <f t="shared" si="36"/>
        <v>13.106</v>
      </c>
    </row>
    <row r="3176" spans="1:7" ht="14.25" customHeight="1">
      <c r="A3176" s="2" t="s">
        <v>15</v>
      </c>
      <c r="B3176" s="2">
        <v>1919</v>
      </c>
      <c r="C3176" s="2" t="s">
        <v>24</v>
      </c>
      <c r="D3176" s="2">
        <v>19040</v>
      </c>
      <c r="E3176" s="3">
        <f t="shared" si="35"/>
        <v>19.04</v>
      </c>
      <c r="G3176" s="2">
        <f t="shared" si="36"/>
        <v>19.04</v>
      </c>
    </row>
    <row r="3177" spans="1:7" ht="14.25" customHeight="1">
      <c r="A3177" s="2" t="s">
        <v>15</v>
      </c>
      <c r="B3177" s="2">
        <v>1920</v>
      </c>
      <c r="C3177" s="2" t="s">
        <v>24</v>
      </c>
      <c r="D3177" s="2">
        <v>29493</v>
      </c>
      <c r="E3177" s="3">
        <f t="shared" si="35"/>
        <v>29.492999999999999</v>
      </c>
      <c r="G3177" s="2">
        <f t="shared" si="36"/>
        <v>29.492999999999999</v>
      </c>
    </row>
    <row r="3178" spans="1:7" ht="14.25" customHeight="1">
      <c r="A3178" s="2" t="s">
        <v>15</v>
      </c>
      <c r="B3178" s="2">
        <v>1921</v>
      </c>
      <c r="C3178" s="2" t="s">
        <v>24</v>
      </c>
      <c r="D3178" s="2">
        <v>29325</v>
      </c>
      <c r="E3178" s="3">
        <f t="shared" si="35"/>
        <v>29.324999999999999</v>
      </c>
      <c r="G3178" s="2">
        <f t="shared" si="36"/>
        <v>29.324999999999999</v>
      </c>
    </row>
    <row r="3179" spans="1:7" ht="14.25" customHeight="1">
      <c r="A3179" s="2" t="s">
        <v>15</v>
      </c>
      <c r="B3179" s="2">
        <v>1922</v>
      </c>
      <c r="C3179" s="2" t="s">
        <v>24</v>
      </c>
      <c r="D3179" s="2">
        <v>25646</v>
      </c>
      <c r="E3179" s="3">
        <f t="shared" si="35"/>
        <v>25.646000000000001</v>
      </c>
      <c r="G3179" s="2">
        <f t="shared" si="36"/>
        <v>25.646000000000001</v>
      </c>
    </row>
    <row r="3180" spans="1:7" ht="14.25" customHeight="1">
      <c r="A3180" s="2" t="s">
        <v>15</v>
      </c>
      <c r="B3180" s="2">
        <v>1923</v>
      </c>
      <c r="C3180" s="2" t="s">
        <v>24</v>
      </c>
      <c r="D3180" s="2">
        <v>24939</v>
      </c>
      <c r="E3180" s="3">
        <f t="shared" si="35"/>
        <v>24.939</v>
      </c>
      <c r="G3180" s="2">
        <f t="shared" si="36"/>
        <v>24.939</v>
      </c>
    </row>
    <row r="3181" spans="1:7" ht="14.25" customHeight="1">
      <c r="A3181" s="2" t="s">
        <v>15</v>
      </c>
      <c r="B3181" s="2">
        <v>1924</v>
      </c>
      <c r="C3181" s="2" t="s">
        <v>24</v>
      </c>
      <c r="D3181" s="2">
        <v>26913</v>
      </c>
      <c r="E3181" s="3">
        <f t="shared" si="35"/>
        <v>26.913</v>
      </c>
      <c r="G3181" s="2">
        <f t="shared" si="36"/>
        <v>26.913</v>
      </c>
    </row>
    <row r="3182" spans="1:7" ht="14.25" customHeight="1">
      <c r="A3182" s="2" t="s">
        <v>15</v>
      </c>
      <c r="B3182" s="2">
        <v>1925</v>
      </c>
      <c r="C3182" s="2" t="s">
        <v>24</v>
      </c>
      <c r="D3182" s="2">
        <v>22536</v>
      </c>
      <c r="E3182" s="3">
        <f t="shared" si="35"/>
        <v>22.536000000000001</v>
      </c>
      <c r="G3182" s="2">
        <f t="shared" si="36"/>
        <v>22.536000000000001</v>
      </c>
    </row>
    <row r="3183" spans="1:7" ht="14.25" customHeight="1">
      <c r="A3183" s="2" t="s">
        <v>15</v>
      </c>
      <c r="B3183" s="2">
        <v>1926</v>
      </c>
      <c r="C3183" s="2" t="s">
        <v>24</v>
      </c>
      <c r="D3183" s="2">
        <v>23147</v>
      </c>
      <c r="E3183" s="3">
        <f t="shared" si="35"/>
        <v>23.146999999999998</v>
      </c>
      <c r="G3183" s="2">
        <f t="shared" si="36"/>
        <v>23.146999999999998</v>
      </c>
    </row>
    <row r="3184" spans="1:7" ht="14.25" customHeight="1">
      <c r="A3184" s="2" t="s">
        <v>15</v>
      </c>
      <c r="B3184" s="2">
        <v>1927</v>
      </c>
      <c r="C3184" s="2" t="s">
        <v>24</v>
      </c>
      <c r="D3184" s="2">
        <v>26573</v>
      </c>
      <c r="E3184" s="3">
        <f t="shared" si="35"/>
        <v>26.573</v>
      </c>
      <c r="G3184" s="2">
        <f t="shared" si="36"/>
        <v>26.573</v>
      </c>
    </row>
    <row r="3185" spans="1:7" ht="14.25" customHeight="1">
      <c r="A3185" s="2" t="s">
        <v>15</v>
      </c>
      <c r="B3185" s="2">
        <v>1928</v>
      </c>
      <c r="C3185" s="2" t="s">
        <v>24</v>
      </c>
      <c r="D3185" s="2">
        <v>26561</v>
      </c>
      <c r="E3185" s="3">
        <f t="shared" si="35"/>
        <v>26.561</v>
      </c>
      <c r="G3185" s="2">
        <f t="shared" si="36"/>
        <v>26.561</v>
      </c>
    </row>
    <row r="3186" spans="1:7" ht="14.25" customHeight="1">
      <c r="A3186" s="2" t="s">
        <v>15</v>
      </c>
      <c r="B3186" s="2">
        <v>1929</v>
      </c>
      <c r="C3186" s="2" t="s">
        <v>24</v>
      </c>
      <c r="D3186" s="2">
        <v>30969</v>
      </c>
      <c r="E3186" s="3">
        <f t="shared" si="35"/>
        <v>30.969000000000001</v>
      </c>
      <c r="G3186" s="2">
        <f t="shared" si="36"/>
        <v>30.969000000000001</v>
      </c>
    </row>
    <row r="3187" spans="1:7" ht="14.25" customHeight="1">
      <c r="A3187" s="2" t="s">
        <v>15</v>
      </c>
      <c r="B3187" s="2">
        <v>1930</v>
      </c>
      <c r="C3187" s="2" t="s">
        <v>24</v>
      </c>
      <c r="D3187" s="2">
        <v>27933</v>
      </c>
      <c r="E3187" s="3">
        <f t="shared" si="35"/>
        <v>27.933</v>
      </c>
      <c r="G3187" s="2">
        <f t="shared" si="36"/>
        <v>27.933</v>
      </c>
    </row>
    <row r="3188" spans="1:7" ht="14.25" customHeight="1">
      <c r="A3188" s="2" t="s">
        <v>15</v>
      </c>
      <c r="B3188" s="2">
        <v>1931</v>
      </c>
      <c r="C3188" s="2" t="s">
        <v>24</v>
      </c>
      <c r="D3188" s="2">
        <v>32018</v>
      </c>
      <c r="E3188" s="3">
        <f t="shared" si="35"/>
        <v>32.018000000000001</v>
      </c>
      <c r="G3188" s="2">
        <f t="shared" si="36"/>
        <v>32.018000000000001</v>
      </c>
    </row>
    <row r="3189" spans="1:7" ht="14.25" customHeight="1">
      <c r="A3189" s="2" t="s">
        <v>15</v>
      </c>
      <c r="B3189" s="2">
        <v>1932</v>
      </c>
      <c r="C3189" s="2" t="s">
        <v>24</v>
      </c>
      <c r="D3189" s="2">
        <v>36003</v>
      </c>
      <c r="E3189" s="3">
        <f t="shared" si="35"/>
        <v>36.003</v>
      </c>
      <c r="G3189" s="2">
        <f t="shared" si="36"/>
        <v>36.003</v>
      </c>
    </row>
    <row r="3190" spans="1:7" ht="14.25" customHeight="1">
      <c r="A3190" s="2" t="s">
        <v>15</v>
      </c>
      <c r="B3190" s="2">
        <v>1933</v>
      </c>
      <c r="C3190" s="2" t="s">
        <v>24</v>
      </c>
      <c r="D3190" s="2">
        <v>30820</v>
      </c>
      <c r="E3190" s="3">
        <f t="shared" si="35"/>
        <v>30.82</v>
      </c>
      <c r="G3190" s="2">
        <f t="shared" si="36"/>
        <v>30.82</v>
      </c>
    </row>
    <row r="3191" spans="1:7" ht="14.25" customHeight="1">
      <c r="A3191" s="2" t="s">
        <v>15</v>
      </c>
      <c r="B3191" s="2">
        <v>1934</v>
      </c>
      <c r="C3191" s="2" t="s">
        <v>24</v>
      </c>
      <c r="D3191" s="2">
        <v>32637</v>
      </c>
      <c r="E3191" s="3">
        <f t="shared" si="35"/>
        <v>32.637</v>
      </c>
      <c r="G3191" s="2">
        <f t="shared" si="36"/>
        <v>32.637</v>
      </c>
    </row>
    <row r="3192" spans="1:7" ht="14.25" customHeight="1">
      <c r="A3192" s="2" t="s">
        <v>15</v>
      </c>
      <c r="B3192" s="2">
        <v>1935</v>
      </c>
      <c r="C3192" s="2" t="s">
        <v>24</v>
      </c>
      <c r="D3192" s="2">
        <v>36190</v>
      </c>
      <c r="E3192" s="3">
        <f t="shared" si="35"/>
        <v>36.19</v>
      </c>
      <c r="G3192" s="2">
        <f t="shared" si="36"/>
        <v>36.19</v>
      </c>
    </row>
    <row r="3193" spans="1:7" ht="14.25" customHeight="1">
      <c r="A3193" s="2" t="s">
        <v>15</v>
      </c>
      <c r="B3193" s="2">
        <v>1936</v>
      </c>
      <c r="C3193" s="2" t="s">
        <v>24</v>
      </c>
      <c r="D3193" s="2">
        <v>30789</v>
      </c>
      <c r="E3193" s="3">
        <f t="shared" si="35"/>
        <v>30.789000000000001</v>
      </c>
      <c r="G3193" s="2">
        <f t="shared" si="36"/>
        <v>30.789000000000001</v>
      </c>
    </row>
    <row r="3194" spans="1:7" ht="14.25" customHeight="1">
      <c r="A3194" s="2" t="s">
        <v>15</v>
      </c>
      <c r="B3194" s="2">
        <v>1937</v>
      </c>
      <c r="C3194" s="2" t="s">
        <v>24</v>
      </c>
      <c r="D3194" s="2">
        <v>26080</v>
      </c>
      <c r="E3194" s="3">
        <f t="shared" si="35"/>
        <v>26.08</v>
      </c>
      <c r="G3194" s="2">
        <f t="shared" si="36"/>
        <v>26.08</v>
      </c>
    </row>
    <row r="3195" spans="1:7" ht="14.25" customHeight="1">
      <c r="A3195" s="2" t="s">
        <v>15</v>
      </c>
      <c r="B3195" s="2">
        <v>1938</v>
      </c>
      <c r="C3195" s="2" t="s">
        <v>24</v>
      </c>
      <c r="D3195" s="2">
        <v>31999</v>
      </c>
      <c r="E3195" s="3">
        <f t="shared" si="35"/>
        <v>31.998999999999999</v>
      </c>
      <c r="G3195" s="2">
        <f t="shared" si="36"/>
        <v>31.998999999999999</v>
      </c>
    </row>
    <row r="3196" spans="1:7" ht="14.25" customHeight="1">
      <c r="A3196" s="2" t="s">
        <v>15</v>
      </c>
      <c r="B3196" s="2">
        <v>1939</v>
      </c>
      <c r="C3196" s="2" t="s">
        <v>24</v>
      </c>
      <c r="D3196" s="2">
        <v>34127</v>
      </c>
      <c r="E3196" s="3">
        <f t="shared" si="35"/>
        <v>34.127000000000002</v>
      </c>
      <c r="G3196" s="2">
        <f t="shared" si="36"/>
        <v>34.127000000000002</v>
      </c>
    </row>
    <row r="3197" spans="1:7" ht="14.25" customHeight="1">
      <c r="A3197" s="2" t="s">
        <v>15</v>
      </c>
      <c r="B3197" s="2">
        <v>1940</v>
      </c>
      <c r="C3197" s="2" t="s">
        <v>24</v>
      </c>
      <c r="D3197" s="2">
        <v>23863</v>
      </c>
      <c r="E3197" s="3">
        <f t="shared" si="35"/>
        <v>23.863</v>
      </c>
      <c r="G3197" s="2">
        <f t="shared" si="36"/>
        <v>23.863</v>
      </c>
    </row>
    <row r="3198" spans="1:7" ht="14.25" customHeight="1">
      <c r="A3198" s="2" t="s">
        <v>15</v>
      </c>
      <c r="B3198" s="2">
        <v>1941</v>
      </c>
      <c r="C3198" s="2" t="s">
        <v>24</v>
      </c>
      <c r="D3198" s="2">
        <v>23491</v>
      </c>
      <c r="E3198" s="3">
        <f t="shared" si="35"/>
        <v>23.491</v>
      </c>
      <c r="G3198" s="2">
        <f t="shared" si="36"/>
        <v>23.491</v>
      </c>
    </row>
    <row r="3199" spans="1:7" ht="14.25" customHeight="1">
      <c r="A3199" s="2" t="s">
        <v>15</v>
      </c>
      <c r="B3199" s="2">
        <v>1942</v>
      </c>
      <c r="C3199" s="2" t="s">
        <v>24</v>
      </c>
      <c r="D3199" s="2">
        <v>31869</v>
      </c>
      <c r="E3199" s="3">
        <f t="shared" si="35"/>
        <v>31.869</v>
      </c>
      <c r="G3199" s="2">
        <f t="shared" si="36"/>
        <v>31.869</v>
      </c>
    </row>
    <row r="3200" spans="1:7" ht="14.25" customHeight="1">
      <c r="A3200" s="2" t="s">
        <v>15</v>
      </c>
      <c r="B3200" s="2">
        <v>1943</v>
      </c>
      <c r="C3200" s="2" t="s">
        <v>24</v>
      </c>
      <c r="D3200" s="2">
        <v>25617</v>
      </c>
      <c r="E3200" s="3">
        <f t="shared" si="35"/>
        <v>25.617000000000001</v>
      </c>
      <c r="G3200" s="2">
        <f t="shared" si="36"/>
        <v>25.617000000000001</v>
      </c>
    </row>
    <row r="3201" spans="1:7" ht="14.25" customHeight="1">
      <c r="A3201" s="2" t="s">
        <v>15</v>
      </c>
      <c r="B3201" s="2">
        <v>1944</v>
      </c>
      <c r="C3201" s="2" t="s">
        <v>24</v>
      </c>
      <c r="D3201" s="2">
        <v>27062</v>
      </c>
      <c r="E3201" s="3">
        <f t="shared" si="35"/>
        <v>27.062000000000001</v>
      </c>
      <c r="G3201" s="2">
        <f t="shared" si="36"/>
        <v>27.062000000000001</v>
      </c>
    </row>
    <row r="3202" spans="1:7" ht="14.25" customHeight="1">
      <c r="A3202" s="2" t="s">
        <v>15</v>
      </c>
      <c r="B3202" s="2">
        <v>1945</v>
      </c>
      <c r="C3202" s="2" t="s">
        <v>24</v>
      </c>
      <c r="D3202" s="2">
        <v>29370</v>
      </c>
      <c r="E3202" s="3">
        <f t="shared" si="35"/>
        <v>29.37</v>
      </c>
      <c r="G3202" s="2">
        <f t="shared" si="36"/>
        <v>29.37</v>
      </c>
    </row>
    <row r="3203" spans="1:7" ht="14.25" customHeight="1">
      <c r="A3203" s="2" t="s">
        <v>15</v>
      </c>
      <c r="B3203" s="2">
        <v>1946</v>
      </c>
      <c r="C3203" s="2" t="s">
        <v>24</v>
      </c>
      <c r="D3203" s="2">
        <v>43425</v>
      </c>
      <c r="E3203" s="3">
        <f t="shared" si="35"/>
        <v>43.424999999999997</v>
      </c>
      <c r="G3203" s="2">
        <f t="shared" si="36"/>
        <v>43.424999999999997</v>
      </c>
    </row>
    <row r="3204" spans="1:7" ht="14.25" customHeight="1">
      <c r="A3204" s="2" t="s">
        <v>15</v>
      </c>
      <c r="B3204" s="2">
        <v>1947</v>
      </c>
      <c r="C3204" s="2" t="s">
        <v>24</v>
      </c>
      <c r="D3204" s="2">
        <v>53412</v>
      </c>
      <c r="E3204" s="3">
        <f t="shared" si="35"/>
        <v>53.411999999999999</v>
      </c>
      <c r="G3204" s="2">
        <f t="shared" si="36"/>
        <v>53.411999999999999</v>
      </c>
    </row>
    <row r="3205" spans="1:7" ht="14.25" customHeight="1">
      <c r="A3205" s="2" t="s">
        <v>15</v>
      </c>
      <c r="B3205" s="2">
        <v>1948</v>
      </c>
      <c r="C3205" s="2" t="s">
        <v>24</v>
      </c>
      <c r="D3205" s="2">
        <v>56747</v>
      </c>
      <c r="E3205" s="3">
        <f t="shared" si="35"/>
        <v>56.747</v>
      </c>
      <c r="G3205" s="2">
        <f t="shared" si="36"/>
        <v>56.747</v>
      </c>
    </row>
    <row r="3206" spans="1:7" ht="14.25" customHeight="1">
      <c r="A3206" s="2" t="s">
        <v>15</v>
      </c>
      <c r="B3206" s="2">
        <v>1949</v>
      </c>
      <c r="C3206" s="2" t="s">
        <v>24</v>
      </c>
      <c r="D3206" s="2">
        <v>43172</v>
      </c>
      <c r="E3206" s="3">
        <f t="shared" si="35"/>
        <v>43.171999999999997</v>
      </c>
      <c r="G3206" s="2">
        <f t="shared" si="36"/>
        <v>43.171999999999997</v>
      </c>
    </row>
    <row r="3207" spans="1:7" ht="14.25" customHeight="1">
      <c r="A3207" s="2" t="s">
        <v>15</v>
      </c>
      <c r="B3207" s="2">
        <v>1950</v>
      </c>
      <c r="C3207" s="2" t="s">
        <v>24</v>
      </c>
      <c r="D3207" s="2">
        <v>36161</v>
      </c>
      <c r="E3207" s="3">
        <f t="shared" si="35"/>
        <v>36.161000000000001</v>
      </c>
      <c r="G3207" s="2">
        <f t="shared" si="36"/>
        <v>36.161000000000001</v>
      </c>
    </row>
    <row r="3208" spans="1:7" ht="14.25" customHeight="1">
      <c r="A3208" s="2" t="s">
        <v>15</v>
      </c>
      <c r="B3208" s="2">
        <v>1951</v>
      </c>
      <c r="C3208" s="2" t="s">
        <v>24</v>
      </c>
      <c r="D3208" s="2">
        <v>56093</v>
      </c>
      <c r="E3208" s="3">
        <f t="shared" si="35"/>
        <v>56.093000000000004</v>
      </c>
      <c r="G3208" s="2">
        <f t="shared" si="36"/>
        <v>56.093000000000004</v>
      </c>
    </row>
    <row r="3209" spans="1:7" ht="14.25" customHeight="1">
      <c r="A3209" s="2" t="s">
        <v>15</v>
      </c>
      <c r="B3209" s="2">
        <v>1952</v>
      </c>
      <c r="C3209" s="2" t="s">
        <v>24</v>
      </c>
      <c r="D3209" s="2">
        <v>62794</v>
      </c>
      <c r="E3209" s="3">
        <f t="shared" si="35"/>
        <v>62.793999999999997</v>
      </c>
      <c r="G3209" s="2">
        <f t="shared" si="36"/>
        <v>62.793999999999997</v>
      </c>
    </row>
    <row r="3210" spans="1:7" ht="14.25" customHeight="1">
      <c r="A3210" s="2" t="s">
        <v>15</v>
      </c>
      <c r="B3210" s="2">
        <v>1953</v>
      </c>
      <c r="C3210" s="2" t="s">
        <v>24</v>
      </c>
      <c r="D3210" s="2">
        <v>55563</v>
      </c>
      <c r="E3210" s="3">
        <f t="shared" si="35"/>
        <v>55.563000000000002</v>
      </c>
      <c r="G3210" s="2">
        <f t="shared" si="36"/>
        <v>55.563000000000002</v>
      </c>
    </row>
    <row r="3211" spans="1:7" ht="14.25" customHeight="1">
      <c r="A3211" s="2" t="s">
        <v>15</v>
      </c>
      <c r="B3211" s="2">
        <v>1954</v>
      </c>
      <c r="C3211" s="2" t="s">
        <v>24</v>
      </c>
      <c r="D3211" s="2">
        <v>51268</v>
      </c>
      <c r="E3211" s="3">
        <f t="shared" si="35"/>
        <v>51.268000000000001</v>
      </c>
      <c r="G3211" s="2">
        <f t="shared" si="36"/>
        <v>51.268000000000001</v>
      </c>
    </row>
    <row r="3212" spans="1:7" ht="14.25" customHeight="1">
      <c r="A3212" s="2" t="s">
        <v>15</v>
      </c>
      <c r="B3212" s="2">
        <v>1955</v>
      </c>
      <c r="C3212" s="2" t="s">
        <v>24</v>
      </c>
      <c r="D3212" s="2">
        <v>58899</v>
      </c>
      <c r="E3212" s="3">
        <f t="shared" si="35"/>
        <v>58.899000000000001</v>
      </c>
      <c r="G3212" s="2">
        <f t="shared" si="36"/>
        <v>58.899000000000001</v>
      </c>
    </row>
    <row r="3213" spans="1:7" ht="14.25" customHeight="1">
      <c r="A3213" s="2" t="s">
        <v>15</v>
      </c>
      <c r="B3213" s="2">
        <v>1956</v>
      </c>
      <c r="C3213" s="2" t="s">
        <v>24</v>
      </c>
      <c r="D3213" s="2">
        <v>56597</v>
      </c>
      <c r="E3213" s="3">
        <f t="shared" si="35"/>
        <v>56.597000000000001</v>
      </c>
      <c r="G3213" s="2">
        <f t="shared" si="36"/>
        <v>56.597000000000001</v>
      </c>
    </row>
    <row r="3214" spans="1:7" ht="14.25" customHeight="1">
      <c r="A3214" s="2" t="s">
        <v>15</v>
      </c>
      <c r="B3214" s="2">
        <v>1957</v>
      </c>
      <c r="C3214" s="2" t="s">
        <v>24</v>
      </c>
      <c r="D3214" s="2">
        <v>55357</v>
      </c>
      <c r="E3214" s="3">
        <f t="shared" si="35"/>
        <v>55.356999999999999</v>
      </c>
      <c r="G3214" s="2">
        <f t="shared" si="36"/>
        <v>55.356999999999999</v>
      </c>
    </row>
    <row r="3215" spans="1:7" ht="14.25" customHeight="1">
      <c r="A3215" s="2" t="s">
        <v>15</v>
      </c>
      <c r="B3215" s="2">
        <v>1958</v>
      </c>
      <c r="C3215" s="2" t="s">
        <v>24</v>
      </c>
      <c r="D3215" s="2">
        <v>59677</v>
      </c>
      <c r="E3215" s="3">
        <f t="shared" si="35"/>
        <v>59.677</v>
      </c>
      <c r="G3215" s="2">
        <f t="shared" si="36"/>
        <v>59.677</v>
      </c>
    </row>
    <row r="3216" spans="1:7" ht="14.25" customHeight="1">
      <c r="A3216" s="2" t="s">
        <v>15</v>
      </c>
      <c r="B3216" s="2">
        <v>1959</v>
      </c>
      <c r="C3216" s="2" t="s">
        <v>24</v>
      </c>
      <c r="D3216" s="2">
        <v>60016</v>
      </c>
      <c r="E3216" s="3">
        <f t="shared" si="35"/>
        <v>60.015999999999998</v>
      </c>
      <c r="G3216" s="2">
        <f t="shared" si="36"/>
        <v>60.015999999999998</v>
      </c>
    </row>
    <row r="3217" spans="1:7" ht="14.25" customHeight="1">
      <c r="A3217" s="2" t="s">
        <v>15</v>
      </c>
      <c r="B3217" s="2">
        <v>1960</v>
      </c>
      <c r="C3217" s="2" t="s">
        <v>24</v>
      </c>
      <c r="D3217" s="2">
        <v>44675</v>
      </c>
      <c r="E3217" s="3">
        <f t="shared" si="35"/>
        <v>44.674999999999997</v>
      </c>
      <c r="G3217" s="2">
        <f t="shared" si="36"/>
        <v>44.674999999999997</v>
      </c>
    </row>
    <row r="3218" spans="1:7" ht="14.25" customHeight="1">
      <c r="A3218" s="2" t="s">
        <v>15</v>
      </c>
      <c r="B3218" s="2">
        <v>1961</v>
      </c>
      <c r="C3218" s="2" t="s">
        <v>24</v>
      </c>
      <c r="D3218" s="2">
        <v>51904</v>
      </c>
      <c r="E3218" s="3">
        <f t="shared" si="35"/>
        <v>51.904000000000003</v>
      </c>
      <c r="G3218" s="2">
        <f t="shared" si="36"/>
        <v>51.904000000000003</v>
      </c>
    </row>
    <row r="3219" spans="1:7" ht="14.25" customHeight="1">
      <c r="A3219" s="2" t="s">
        <v>15</v>
      </c>
      <c r="B3219" s="2">
        <v>1962</v>
      </c>
      <c r="C3219" s="2" t="s">
        <v>24</v>
      </c>
      <c r="D3219" s="2">
        <v>54468</v>
      </c>
      <c r="E3219" s="3">
        <f t="shared" si="35"/>
        <v>54.468000000000004</v>
      </c>
      <c r="G3219" s="2">
        <f t="shared" si="36"/>
        <v>54.468000000000004</v>
      </c>
    </row>
    <row r="3220" spans="1:7" ht="14.25" customHeight="1">
      <c r="A3220" s="2" t="s">
        <v>15</v>
      </c>
      <c r="B3220" s="2">
        <v>1963</v>
      </c>
      <c r="C3220" s="2" t="s">
        <v>24</v>
      </c>
      <c r="D3220" s="2">
        <v>51032</v>
      </c>
      <c r="E3220" s="3">
        <f t="shared" si="35"/>
        <v>51.031999999999996</v>
      </c>
      <c r="G3220" s="2">
        <f t="shared" si="36"/>
        <v>51.031999999999996</v>
      </c>
    </row>
    <row r="3221" spans="1:7" ht="14.25" customHeight="1">
      <c r="A3221" s="2" t="s">
        <v>15</v>
      </c>
      <c r="B3221" s="2">
        <v>1964</v>
      </c>
      <c r="C3221" s="2" t="s">
        <v>24</v>
      </c>
      <c r="D3221" s="2">
        <v>46706</v>
      </c>
      <c r="E3221" s="3">
        <f t="shared" si="35"/>
        <v>46.706000000000003</v>
      </c>
      <c r="G3221" s="2">
        <f t="shared" si="36"/>
        <v>46.706000000000003</v>
      </c>
    </row>
    <row r="3222" spans="1:7" ht="14.25" customHeight="1">
      <c r="A3222" s="2" t="s">
        <v>15</v>
      </c>
      <c r="B3222" s="2">
        <v>1965</v>
      </c>
      <c r="C3222" s="2" t="s">
        <v>24</v>
      </c>
      <c r="D3222" s="2">
        <v>55585</v>
      </c>
      <c r="E3222" s="3">
        <f t="shared" si="35"/>
        <v>55.585000000000001</v>
      </c>
      <c r="G3222" s="2">
        <f t="shared" si="36"/>
        <v>55.585000000000001</v>
      </c>
    </row>
    <row r="3223" spans="1:7" ht="14.25" customHeight="1">
      <c r="A3223" s="2" t="s">
        <v>15</v>
      </c>
      <c r="B3223" s="2">
        <v>1966</v>
      </c>
      <c r="C3223" s="2" t="s">
        <v>24</v>
      </c>
      <c r="D3223" s="2">
        <v>60895</v>
      </c>
      <c r="E3223" s="3">
        <f t="shared" si="35"/>
        <v>60.895000000000003</v>
      </c>
      <c r="G3223" s="2">
        <f t="shared" si="36"/>
        <v>60.895000000000003</v>
      </c>
    </row>
    <row r="3224" spans="1:7" ht="14.25" customHeight="1">
      <c r="A3224" s="2" t="s">
        <v>15</v>
      </c>
      <c r="B3224" s="2">
        <v>1967</v>
      </c>
      <c r="C3224" s="2" t="s">
        <v>24</v>
      </c>
      <c r="D3224" s="2">
        <v>53715</v>
      </c>
      <c r="E3224" s="3">
        <f t="shared" si="35"/>
        <v>53.715000000000003</v>
      </c>
      <c r="G3224" s="2">
        <f t="shared" si="36"/>
        <v>53.715000000000003</v>
      </c>
    </row>
    <row r="3225" spans="1:7" ht="14.25" customHeight="1">
      <c r="A3225" s="2" t="s">
        <v>15</v>
      </c>
      <c r="B3225" s="2">
        <v>1968</v>
      </c>
      <c r="C3225" s="2" t="s">
        <v>24</v>
      </c>
      <c r="D3225" s="2">
        <v>51088</v>
      </c>
      <c r="E3225" s="3">
        <f t="shared" si="35"/>
        <v>51.088000000000001</v>
      </c>
      <c r="G3225" s="2">
        <f t="shared" si="36"/>
        <v>51.088000000000001</v>
      </c>
    </row>
    <row r="3226" spans="1:7" ht="14.25" customHeight="1">
      <c r="A3226" s="2" t="s">
        <v>15</v>
      </c>
      <c r="B3226" s="2">
        <v>1969</v>
      </c>
      <c r="C3226" s="2" t="s">
        <v>24</v>
      </c>
      <c r="D3226" s="2">
        <v>37814</v>
      </c>
      <c r="E3226" s="3">
        <f t="shared" si="35"/>
        <v>37.814</v>
      </c>
      <c r="G3226" s="2">
        <f t="shared" si="36"/>
        <v>37.814</v>
      </c>
    </row>
    <row r="3227" spans="1:7" ht="14.25" customHeight="1">
      <c r="A3227" s="2" t="s">
        <v>15</v>
      </c>
      <c r="B3227" s="2">
        <v>1970</v>
      </c>
      <c r="C3227" s="2" t="s">
        <v>24</v>
      </c>
      <c r="D3227" s="2">
        <v>34899</v>
      </c>
      <c r="E3227" s="3">
        <f t="shared" si="35"/>
        <v>34.899000000000001</v>
      </c>
      <c r="G3227" s="2">
        <f t="shared" si="36"/>
        <v>34.899000000000001</v>
      </c>
    </row>
    <row r="3228" spans="1:7" ht="14.25" customHeight="1">
      <c r="A3228" s="2" t="s">
        <v>15</v>
      </c>
      <c r="B3228" s="2">
        <v>1971</v>
      </c>
      <c r="C3228" s="2" t="s">
        <v>24</v>
      </c>
      <c r="D3228" s="2">
        <v>46157</v>
      </c>
      <c r="E3228" s="3">
        <f t="shared" si="35"/>
        <v>46.156999999999996</v>
      </c>
      <c r="G3228" s="2">
        <f t="shared" si="36"/>
        <v>46.156999999999996</v>
      </c>
    </row>
    <row r="3229" spans="1:7" ht="14.25" customHeight="1">
      <c r="A3229" s="2" t="s">
        <v>15</v>
      </c>
      <c r="B3229" s="2">
        <v>1972</v>
      </c>
      <c r="C3229" s="2" t="s">
        <v>24</v>
      </c>
      <c r="D3229" s="2">
        <v>42072</v>
      </c>
      <c r="E3229" s="3">
        <f t="shared" si="35"/>
        <v>42.072000000000003</v>
      </c>
      <c r="G3229" s="2">
        <f t="shared" si="36"/>
        <v>42.072000000000003</v>
      </c>
    </row>
    <row r="3230" spans="1:7" ht="14.25" customHeight="1">
      <c r="A3230" s="2" t="s">
        <v>15</v>
      </c>
      <c r="B3230" s="2">
        <v>1973</v>
      </c>
      <c r="C3230" s="2" t="s">
        <v>24</v>
      </c>
      <c r="D3230" s="2">
        <v>40329</v>
      </c>
      <c r="E3230" s="3">
        <f t="shared" ref="E3230:E3275" si="37">D3230/1000</f>
        <v>40.329000000000001</v>
      </c>
      <c r="G3230" s="2">
        <f t="shared" ref="G3230:G3275" si="38">E3230+F3230</f>
        <v>40.329000000000001</v>
      </c>
    </row>
    <row r="3231" spans="1:7" ht="14.25" customHeight="1">
      <c r="A3231" s="2" t="s">
        <v>15</v>
      </c>
      <c r="B3231" s="2">
        <v>1974</v>
      </c>
      <c r="C3231" s="2" t="s">
        <v>24</v>
      </c>
      <c r="D3231" s="2">
        <v>45216</v>
      </c>
      <c r="E3231" s="3">
        <f t="shared" si="37"/>
        <v>45.216000000000001</v>
      </c>
      <c r="G3231" s="2">
        <f t="shared" si="38"/>
        <v>45.216000000000001</v>
      </c>
    </row>
    <row r="3232" spans="1:7" ht="14.25" customHeight="1">
      <c r="A3232" s="2" t="s">
        <v>15</v>
      </c>
      <c r="B3232" s="2">
        <v>1975</v>
      </c>
      <c r="C3232" s="2" t="s">
        <v>24</v>
      </c>
      <c r="D3232" s="2">
        <v>51655</v>
      </c>
      <c r="E3232" s="3">
        <f t="shared" si="37"/>
        <v>51.655000000000001</v>
      </c>
      <c r="G3232" s="2">
        <f t="shared" si="38"/>
        <v>51.655000000000001</v>
      </c>
    </row>
    <row r="3233" spans="1:7" ht="14.25" customHeight="1">
      <c r="A3233" s="2" t="s">
        <v>15</v>
      </c>
      <c r="B3233" s="2">
        <v>1976</v>
      </c>
      <c r="C3233" s="2" t="s">
        <v>24</v>
      </c>
      <c r="D3233" s="2">
        <v>55189</v>
      </c>
      <c r="E3233" s="3">
        <f t="shared" si="37"/>
        <v>55.189</v>
      </c>
      <c r="G3233" s="2">
        <f t="shared" si="38"/>
        <v>55.189</v>
      </c>
    </row>
    <row r="3234" spans="1:7" ht="14.25" customHeight="1">
      <c r="A3234" s="2" t="s">
        <v>15</v>
      </c>
      <c r="B3234" s="2">
        <v>1977</v>
      </c>
      <c r="C3234" s="2" t="s">
        <v>24</v>
      </c>
      <c r="D3234" s="2">
        <v>55934</v>
      </c>
      <c r="E3234" s="3">
        <f t="shared" si="37"/>
        <v>55.933999999999997</v>
      </c>
      <c r="G3234" s="2">
        <f t="shared" si="38"/>
        <v>55.933999999999997</v>
      </c>
    </row>
    <row r="3235" spans="1:7" ht="14.25" customHeight="1">
      <c r="A3235" s="2" t="s">
        <v>15</v>
      </c>
      <c r="B3235" s="2">
        <v>1978</v>
      </c>
      <c r="C3235" s="2" t="s">
        <v>24</v>
      </c>
      <c r="D3235" s="2">
        <v>64812</v>
      </c>
      <c r="E3235" s="3">
        <f t="shared" si="37"/>
        <v>64.811999999999998</v>
      </c>
      <c r="G3235" s="2">
        <f t="shared" si="38"/>
        <v>64.811999999999998</v>
      </c>
    </row>
    <row r="3236" spans="1:7" ht="14.25" customHeight="1">
      <c r="A3236" s="2" t="s">
        <v>15</v>
      </c>
      <c r="B3236" s="2">
        <v>1979</v>
      </c>
      <c r="C3236" s="2" t="s">
        <v>24</v>
      </c>
      <c r="D3236" s="2">
        <v>68423</v>
      </c>
      <c r="E3236" s="3">
        <f t="shared" si="37"/>
        <v>68.423000000000002</v>
      </c>
      <c r="G3236" s="2">
        <f t="shared" si="38"/>
        <v>68.423000000000002</v>
      </c>
    </row>
    <row r="3237" spans="1:7" ht="14.25" customHeight="1">
      <c r="A3237" s="2" t="s">
        <v>15</v>
      </c>
      <c r="B3237" s="2">
        <v>1980</v>
      </c>
      <c r="C3237" s="2" t="s">
        <v>24</v>
      </c>
      <c r="D3237" s="2">
        <v>62999</v>
      </c>
      <c r="E3237" s="3">
        <f t="shared" si="37"/>
        <v>62.999000000000002</v>
      </c>
      <c r="G3237" s="2">
        <f t="shared" si="38"/>
        <v>62.999000000000002</v>
      </c>
    </row>
    <row r="3238" spans="1:7" ht="14.25" customHeight="1">
      <c r="A3238" s="2" t="s">
        <v>15</v>
      </c>
      <c r="B3238" s="2">
        <v>1981</v>
      </c>
      <c r="C3238" s="2" t="s">
        <v>24</v>
      </c>
      <c r="D3238" s="2">
        <v>57509</v>
      </c>
      <c r="E3238" s="3">
        <f t="shared" si="37"/>
        <v>57.509</v>
      </c>
      <c r="G3238" s="2">
        <f t="shared" si="38"/>
        <v>57.509</v>
      </c>
    </row>
    <row r="3239" spans="1:7" ht="14.25" customHeight="1">
      <c r="A3239" s="2" t="s">
        <v>15</v>
      </c>
      <c r="B3239" s="2">
        <v>1982</v>
      </c>
      <c r="C3239" s="2" t="s">
        <v>24</v>
      </c>
      <c r="D3239" s="2">
        <v>55775</v>
      </c>
      <c r="E3239" s="3">
        <f t="shared" si="37"/>
        <v>55.774999999999999</v>
      </c>
      <c r="G3239" s="2">
        <f t="shared" si="38"/>
        <v>55.774999999999999</v>
      </c>
    </row>
    <row r="3240" spans="1:7" ht="14.25" customHeight="1">
      <c r="A3240" s="2" t="s">
        <v>15</v>
      </c>
      <c r="B3240" s="2">
        <v>1983</v>
      </c>
      <c r="C3240" s="2" t="s">
        <v>24</v>
      </c>
      <c r="D3240" s="2">
        <v>63775</v>
      </c>
      <c r="E3240" s="3">
        <f t="shared" si="37"/>
        <v>63.774999999999999</v>
      </c>
      <c r="G3240" s="2">
        <f t="shared" si="38"/>
        <v>63.774999999999999</v>
      </c>
    </row>
    <row r="3241" spans="1:7" ht="14.25" customHeight="1">
      <c r="A3241" s="2" t="s">
        <v>15</v>
      </c>
      <c r="B3241" s="2">
        <v>1984</v>
      </c>
      <c r="C3241" s="2" t="s">
        <v>24</v>
      </c>
      <c r="D3241" s="2">
        <v>67740</v>
      </c>
      <c r="E3241" s="3">
        <f t="shared" si="37"/>
        <v>67.739999999999995</v>
      </c>
      <c r="G3241" s="2">
        <f t="shared" si="38"/>
        <v>67.739999999999995</v>
      </c>
    </row>
    <row r="3242" spans="1:7" ht="14.25" customHeight="1">
      <c r="A3242" s="2" t="s">
        <v>15</v>
      </c>
      <c r="B3242" s="2">
        <v>1985</v>
      </c>
      <c r="C3242" s="2" t="s">
        <v>24</v>
      </c>
      <c r="D3242" s="2">
        <v>55650</v>
      </c>
      <c r="E3242" s="3">
        <f t="shared" si="37"/>
        <v>55.65</v>
      </c>
      <c r="G3242" s="2">
        <f t="shared" si="38"/>
        <v>55.65</v>
      </c>
    </row>
    <row r="3243" spans="1:7" ht="14.25" customHeight="1">
      <c r="A3243" s="2" t="s">
        <v>15</v>
      </c>
      <c r="B3243" s="2">
        <v>1986</v>
      </c>
      <c r="C3243" s="2" t="s">
        <v>24</v>
      </c>
      <c r="D3243" s="2">
        <v>46004</v>
      </c>
      <c r="E3243" s="3">
        <f t="shared" si="37"/>
        <v>46.003999999999998</v>
      </c>
      <c r="G3243" s="2">
        <f t="shared" si="38"/>
        <v>46.003999999999998</v>
      </c>
    </row>
    <row r="3244" spans="1:7" ht="14.25" customHeight="1">
      <c r="A3244" s="2" t="s">
        <v>15</v>
      </c>
      <c r="B3244" s="2">
        <v>1987</v>
      </c>
      <c r="C3244" s="2" t="s">
        <v>24</v>
      </c>
      <c r="D3244" s="2">
        <v>58175</v>
      </c>
      <c r="E3244" s="3">
        <f t="shared" si="37"/>
        <v>58.174999999999997</v>
      </c>
      <c r="G3244" s="2">
        <f t="shared" si="38"/>
        <v>58.174999999999997</v>
      </c>
    </row>
    <row r="3245" spans="1:7" ht="14.25" customHeight="1">
      <c r="A3245" s="2" t="s">
        <v>15</v>
      </c>
      <c r="B3245" s="2">
        <v>1988</v>
      </c>
      <c r="C3245" s="2" t="s">
        <v>24</v>
      </c>
      <c r="D3245" s="2">
        <v>51652</v>
      </c>
      <c r="E3245" s="3">
        <f t="shared" si="37"/>
        <v>51.652000000000001</v>
      </c>
      <c r="G3245" s="2">
        <f t="shared" si="38"/>
        <v>51.652000000000001</v>
      </c>
    </row>
    <row r="3246" spans="1:7" ht="14.25" customHeight="1">
      <c r="A3246" s="2" t="s">
        <v>15</v>
      </c>
      <c r="B3246" s="2">
        <v>1989</v>
      </c>
      <c r="C3246" s="2" t="s">
        <v>24</v>
      </c>
      <c r="D3246" s="2">
        <v>43061</v>
      </c>
      <c r="E3246" s="3">
        <f t="shared" si="37"/>
        <v>43.061</v>
      </c>
      <c r="G3246" s="2">
        <f t="shared" si="38"/>
        <v>43.061</v>
      </c>
    </row>
    <row r="3247" spans="1:7" ht="14.25" customHeight="1">
      <c r="A3247" s="2" t="s">
        <v>15</v>
      </c>
      <c r="B3247" s="2">
        <v>1990</v>
      </c>
      <c r="C3247" s="2" t="s">
        <v>24</v>
      </c>
      <c r="D3247" s="2">
        <v>42914</v>
      </c>
      <c r="E3247" s="3">
        <f t="shared" si="37"/>
        <v>42.914000000000001</v>
      </c>
      <c r="G3247" s="2">
        <f t="shared" si="38"/>
        <v>42.914000000000001</v>
      </c>
    </row>
    <row r="3248" spans="1:7" ht="14.25" customHeight="1">
      <c r="A3248" s="2" t="s">
        <v>15</v>
      </c>
      <c r="B3248" s="2">
        <v>1991</v>
      </c>
      <c r="C3248" s="2" t="s">
        <v>24</v>
      </c>
      <c r="D3248" s="2">
        <v>46709</v>
      </c>
      <c r="E3248" s="3">
        <f t="shared" si="37"/>
        <v>46.709000000000003</v>
      </c>
      <c r="G3248" s="2">
        <f t="shared" si="38"/>
        <v>46.709000000000003</v>
      </c>
    </row>
    <row r="3249" spans="1:7" ht="14.25" customHeight="1">
      <c r="A3249" s="2" t="s">
        <v>15</v>
      </c>
      <c r="B3249" s="2">
        <v>1992</v>
      </c>
      <c r="C3249" s="2" t="s">
        <v>24</v>
      </c>
      <c r="D3249" s="2">
        <v>44657</v>
      </c>
      <c r="E3249" s="3">
        <f t="shared" si="37"/>
        <v>44.656999999999996</v>
      </c>
      <c r="G3249" s="2">
        <f t="shared" si="38"/>
        <v>44.656999999999996</v>
      </c>
    </row>
    <row r="3250" spans="1:7" ht="14.25" customHeight="1">
      <c r="A3250" s="2" t="s">
        <v>15</v>
      </c>
      <c r="B3250" s="2">
        <v>1993</v>
      </c>
      <c r="C3250" s="2" t="s">
        <v>24</v>
      </c>
      <c r="D3250" s="2">
        <v>46056</v>
      </c>
      <c r="E3250" s="3">
        <f t="shared" si="37"/>
        <v>46.055999999999997</v>
      </c>
      <c r="G3250" s="2">
        <f t="shared" si="38"/>
        <v>46.055999999999997</v>
      </c>
    </row>
    <row r="3251" spans="1:7" ht="14.25" customHeight="1">
      <c r="A3251" s="2" t="s">
        <v>15</v>
      </c>
      <c r="B3251" s="2">
        <v>1994</v>
      </c>
      <c r="C3251" s="2" t="s">
        <v>24</v>
      </c>
      <c r="D3251" s="2">
        <v>42202</v>
      </c>
      <c r="E3251" s="3">
        <f t="shared" si="37"/>
        <v>42.201999999999998</v>
      </c>
      <c r="G3251" s="2">
        <f t="shared" si="38"/>
        <v>42.201999999999998</v>
      </c>
    </row>
    <row r="3252" spans="1:7" ht="14.25" customHeight="1">
      <c r="A3252" s="2" t="s">
        <v>15</v>
      </c>
      <c r="B3252" s="2">
        <v>1995</v>
      </c>
      <c r="C3252" s="2" t="s">
        <v>24</v>
      </c>
      <c r="D3252" s="2">
        <v>40383</v>
      </c>
      <c r="E3252" s="3">
        <f t="shared" si="37"/>
        <v>40.383000000000003</v>
      </c>
      <c r="G3252" s="2">
        <f t="shared" si="38"/>
        <v>40.383000000000003</v>
      </c>
    </row>
    <row r="3253" spans="1:7" ht="14.25" customHeight="1">
      <c r="A3253" s="2" t="s">
        <v>15</v>
      </c>
      <c r="B3253" s="2">
        <v>1996</v>
      </c>
      <c r="C3253" s="2" t="s">
        <v>24</v>
      </c>
      <c r="D3253" s="2">
        <v>36786</v>
      </c>
      <c r="E3253" s="3">
        <f t="shared" si="37"/>
        <v>36.786000000000001</v>
      </c>
      <c r="G3253" s="2">
        <f t="shared" si="38"/>
        <v>36.786000000000001</v>
      </c>
    </row>
    <row r="3254" spans="1:7" ht="14.25" customHeight="1">
      <c r="A3254" s="2" t="s">
        <v>15</v>
      </c>
      <c r="B3254" s="2">
        <v>1997</v>
      </c>
      <c r="C3254" s="2" t="s">
        <v>24</v>
      </c>
      <c r="D3254" s="2">
        <v>35185</v>
      </c>
      <c r="E3254" s="3">
        <f t="shared" si="37"/>
        <v>35.185000000000002</v>
      </c>
      <c r="G3254" s="2">
        <f t="shared" si="38"/>
        <v>35.185000000000002</v>
      </c>
    </row>
    <row r="3255" spans="1:7" ht="14.25" customHeight="1">
      <c r="A3255" s="2" t="s">
        <v>15</v>
      </c>
      <c r="B3255" s="2">
        <v>1998</v>
      </c>
      <c r="C3255" s="2" t="s">
        <v>24</v>
      </c>
      <c r="D3255" s="2">
        <v>27243</v>
      </c>
      <c r="E3255" s="3">
        <f t="shared" si="37"/>
        <v>27.242999999999999</v>
      </c>
      <c r="G3255" s="2">
        <f t="shared" si="38"/>
        <v>27.242999999999999</v>
      </c>
    </row>
    <row r="3256" spans="1:7" ht="14.25" customHeight="1">
      <c r="A3256" s="2" t="s">
        <v>15</v>
      </c>
      <c r="B3256" s="2">
        <v>1999</v>
      </c>
      <c r="C3256" s="2" t="s">
        <v>24</v>
      </c>
      <c r="D3256" s="2">
        <v>25561</v>
      </c>
      <c r="E3256" s="3">
        <f t="shared" si="37"/>
        <v>25.561</v>
      </c>
      <c r="G3256" s="2">
        <f t="shared" si="38"/>
        <v>25.561</v>
      </c>
    </row>
    <row r="3257" spans="1:7" ht="14.25" customHeight="1">
      <c r="A3257" s="2" t="s">
        <v>15</v>
      </c>
      <c r="B3257" s="2">
        <v>2000</v>
      </c>
      <c r="C3257" s="2" t="s">
        <v>24</v>
      </c>
      <c r="D3257" s="2">
        <v>23458</v>
      </c>
      <c r="E3257" s="3">
        <f t="shared" si="37"/>
        <v>23.457999999999998</v>
      </c>
      <c r="G3257" s="2">
        <f t="shared" si="38"/>
        <v>23.457999999999998</v>
      </c>
    </row>
    <row r="3258" spans="1:7" ht="14.25" customHeight="1">
      <c r="A3258" s="2" t="s">
        <v>15</v>
      </c>
      <c r="B3258" s="2">
        <v>2001</v>
      </c>
      <c r="C3258" s="2" t="s">
        <v>24</v>
      </c>
      <c r="D3258" s="2">
        <v>15288</v>
      </c>
      <c r="E3258" s="3">
        <f t="shared" si="37"/>
        <v>15.288</v>
      </c>
      <c r="G3258" s="2">
        <f t="shared" si="38"/>
        <v>15.288</v>
      </c>
    </row>
    <row r="3259" spans="1:7" ht="14.25" customHeight="1">
      <c r="A3259" s="2" t="s">
        <v>15</v>
      </c>
      <c r="B3259" s="2">
        <v>2002</v>
      </c>
      <c r="C3259" s="2" t="s">
        <v>24</v>
      </c>
      <c r="D3259" s="2">
        <v>11539</v>
      </c>
      <c r="E3259" s="3">
        <f t="shared" si="37"/>
        <v>11.539</v>
      </c>
      <c r="G3259" s="2">
        <f t="shared" si="38"/>
        <v>11.539</v>
      </c>
    </row>
    <row r="3260" spans="1:7" ht="14.25" customHeight="1">
      <c r="A3260" s="2" t="s">
        <v>15</v>
      </c>
      <c r="B3260" s="2">
        <v>2003</v>
      </c>
      <c r="C3260" s="2" t="s">
        <v>24</v>
      </c>
      <c r="D3260" s="2">
        <v>8287</v>
      </c>
      <c r="E3260" s="3">
        <f t="shared" si="37"/>
        <v>8.2870000000000008</v>
      </c>
      <c r="G3260" s="2">
        <f t="shared" si="38"/>
        <v>8.2870000000000008</v>
      </c>
    </row>
    <row r="3261" spans="1:7" ht="14.25" customHeight="1">
      <c r="A3261" s="2" t="s">
        <v>15</v>
      </c>
      <c r="B3261" s="2">
        <v>2004</v>
      </c>
      <c r="C3261" s="2" t="s">
        <v>24</v>
      </c>
      <c r="D3261" s="2">
        <v>7526</v>
      </c>
      <c r="E3261" s="3">
        <f t="shared" si="37"/>
        <v>7.5259999999999998</v>
      </c>
      <c r="G3261" s="2">
        <f t="shared" si="38"/>
        <v>7.5259999999999998</v>
      </c>
    </row>
    <row r="3262" spans="1:7" ht="14.25" customHeight="1">
      <c r="A3262" s="2" t="s">
        <v>15</v>
      </c>
      <c r="B3262" s="2">
        <v>2005</v>
      </c>
      <c r="C3262" s="2" t="s">
        <v>24</v>
      </c>
      <c r="D3262" s="2">
        <v>6756</v>
      </c>
      <c r="E3262" s="3">
        <f t="shared" si="37"/>
        <v>6.7560000000000002</v>
      </c>
      <c r="G3262" s="2">
        <f t="shared" si="38"/>
        <v>6.7560000000000002</v>
      </c>
    </row>
    <row r="3263" spans="1:7" ht="14.25" customHeight="1">
      <c r="A3263" s="2" t="s">
        <v>15</v>
      </c>
      <c r="B3263" s="2">
        <v>2006</v>
      </c>
      <c r="C3263" s="2" t="s">
        <v>24</v>
      </c>
      <c r="D3263" s="2">
        <v>12361.06</v>
      </c>
      <c r="E3263" s="3">
        <f t="shared" si="37"/>
        <v>12.36106</v>
      </c>
      <c r="G3263" s="2">
        <f t="shared" si="38"/>
        <v>12.36106</v>
      </c>
    </row>
    <row r="3264" spans="1:7" ht="14.25" customHeight="1">
      <c r="A3264" s="2" t="s">
        <v>15</v>
      </c>
      <c r="B3264" s="2">
        <v>2007</v>
      </c>
      <c r="C3264" s="2" t="s">
        <v>24</v>
      </c>
      <c r="D3264" s="2">
        <v>13192.33</v>
      </c>
      <c r="E3264" s="3">
        <f t="shared" si="37"/>
        <v>13.19233</v>
      </c>
      <c r="G3264" s="2">
        <f t="shared" si="38"/>
        <v>13.19233</v>
      </c>
    </row>
    <row r="3265" spans="1:9" ht="14.25" customHeight="1">
      <c r="A3265" s="2" t="s">
        <v>15</v>
      </c>
      <c r="B3265" s="2">
        <v>2008</v>
      </c>
      <c r="C3265" s="2" t="s">
        <v>24</v>
      </c>
      <c r="D3265" s="2">
        <v>11492.03</v>
      </c>
      <c r="E3265" s="3">
        <f t="shared" si="37"/>
        <v>11.492030000000002</v>
      </c>
      <c r="G3265" s="2">
        <f t="shared" si="38"/>
        <v>11.492030000000002</v>
      </c>
    </row>
    <row r="3266" spans="1:9" ht="14.25" customHeight="1">
      <c r="A3266" s="2" t="s">
        <v>15</v>
      </c>
      <c r="B3266" s="2">
        <v>2009</v>
      </c>
      <c r="C3266" s="2" t="s">
        <v>24</v>
      </c>
      <c r="D3266" s="2">
        <v>10238.120000000001</v>
      </c>
      <c r="E3266" s="3">
        <f t="shared" si="37"/>
        <v>10.23812</v>
      </c>
      <c r="G3266" s="2">
        <f t="shared" si="38"/>
        <v>10.23812</v>
      </c>
    </row>
    <row r="3267" spans="1:9" ht="14.25" customHeight="1">
      <c r="A3267" s="2" t="s">
        <v>15</v>
      </c>
      <c r="B3267" s="2">
        <v>2010</v>
      </c>
      <c r="C3267" s="2" t="s">
        <v>24</v>
      </c>
      <c r="D3267" s="2">
        <v>9216.2000000000007</v>
      </c>
      <c r="E3267" s="3">
        <f t="shared" si="37"/>
        <v>9.2162000000000006</v>
      </c>
      <c r="G3267" s="2">
        <f t="shared" si="38"/>
        <v>9.2162000000000006</v>
      </c>
    </row>
    <row r="3268" spans="1:9" ht="14.25" customHeight="1">
      <c r="A3268" s="2" t="s">
        <v>15</v>
      </c>
      <c r="B3268" s="2">
        <v>2011</v>
      </c>
      <c r="C3268" s="2" t="s">
        <v>24</v>
      </c>
      <c r="D3268" s="2">
        <v>9993.2000000000007</v>
      </c>
      <c r="E3268" s="3">
        <f t="shared" si="37"/>
        <v>9.9931999999999999</v>
      </c>
      <c r="G3268" s="2">
        <f t="shared" si="38"/>
        <v>9.9931999999999999</v>
      </c>
    </row>
    <row r="3269" spans="1:9" ht="14.25" customHeight="1">
      <c r="A3269" s="2" t="s">
        <v>15</v>
      </c>
      <c r="B3269" s="2">
        <v>2012</v>
      </c>
      <c r="C3269" s="2" t="s">
        <v>24</v>
      </c>
      <c r="D3269" s="2">
        <v>11131.7</v>
      </c>
      <c r="E3269" s="3">
        <f t="shared" si="37"/>
        <v>11.1317</v>
      </c>
      <c r="G3269" s="2">
        <f t="shared" si="38"/>
        <v>11.1317</v>
      </c>
    </row>
    <row r="3270" spans="1:9" ht="14.25" customHeight="1">
      <c r="A3270" s="2" t="s">
        <v>15</v>
      </c>
      <c r="B3270" s="2">
        <v>2013</v>
      </c>
      <c r="C3270" s="2" t="s">
        <v>24</v>
      </c>
      <c r="D3270" s="2">
        <v>12680.55</v>
      </c>
      <c r="E3270" s="3">
        <f t="shared" si="37"/>
        <v>12.680549999999998</v>
      </c>
      <c r="G3270" s="2">
        <f t="shared" si="38"/>
        <v>12.680549999999998</v>
      </c>
    </row>
    <row r="3271" spans="1:9" ht="14.25" customHeight="1">
      <c r="A3271" s="2" t="s">
        <v>15</v>
      </c>
      <c r="B3271" s="2">
        <v>2014</v>
      </c>
      <c r="C3271" s="2" t="s">
        <v>24</v>
      </c>
      <c r="D3271" s="2">
        <v>11809.73</v>
      </c>
      <c r="E3271" s="3">
        <f t="shared" si="37"/>
        <v>11.80973</v>
      </c>
      <c r="G3271" s="2">
        <f t="shared" si="38"/>
        <v>11.80973</v>
      </c>
    </row>
    <row r="3272" spans="1:9" ht="14.25" customHeight="1">
      <c r="A3272" s="2" t="s">
        <v>15</v>
      </c>
      <c r="B3272" s="2">
        <v>2015</v>
      </c>
      <c r="C3272" s="2" t="s">
        <v>24</v>
      </c>
      <c r="D3272" s="2">
        <v>11399.24</v>
      </c>
      <c r="E3272" s="3">
        <f t="shared" si="37"/>
        <v>11.399239999999999</v>
      </c>
      <c r="G3272" s="2">
        <f t="shared" si="38"/>
        <v>11.399239999999999</v>
      </c>
    </row>
    <row r="3273" spans="1:9" ht="14.25" customHeight="1">
      <c r="A3273" s="2" t="s">
        <v>15</v>
      </c>
      <c r="B3273" s="2">
        <v>2016</v>
      </c>
      <c r="C3273" s="2" t="s">
        <v>24</v>
      </c>
      <c r="D3273" s="2">
        <v>10698.34</v>
      </c>
      <c r="E3273" s="3">
        <f t="shared" si="37"/>
        <v>10.69834</v>
      </c>
      <c r="G3273" s="2">
        <f t="shared" si="38"/>
        <v>10.69834</v>
      </c>
    </row>
    <row r="3274" spans="1:9" ht="14.25" customHeight="1">
      <c r="A3274" s="2" t="s">
        <v>15</v>
      </c>
      <c r="B3274" s="2">
        <v>2017</v>
      </c>
      <c r="C3274" s="2" t="s">
        <v>24</v>
      </c>
      <c r="D3274" s="2">
        <v>10367.57</v>
      </c>
      <c r="E3274" s="3">
        <f t="shared" si="37"/>
        <v>10.367569999999999</v>
      </c>
      <c r="G3274" s="2">
        <f t="shared" si="38"/>
        <v>10.367569999999999</v>
      </c>
    </row>
    <row r="3275" spans="1:9" ht="14.25" customHeight="1">
      <c r="A3275" s="2" t="s">
        <v>15</v>
      </c>
      <c r="B3275" s="2">
        <v>2018</v>
      </c>
      <c r="C3275" s="2" t="s">
        <v>24</v>
      </c>
      <c r="D3275" s="2">
        <v>11730.713</v>
      </c>
      <c r="E3275" s="3">
        <f t="shared" si="37"/>
        <v>11.730713</v>
      </c>
      <c r="G3275" s="2">
        <f t="shared" si="38"/>
        <v>11.730713</v>
      </c>
    </row>
    <row r="3276" spans="1:9" ht="14.25" customHeight="1">
      <c r="A3276" s="2" t="s">
        <v>15</v>
      </c>
      <c r="B3276" s="2">
        <v>1903</v>
      </c>
      <c r="C3276" s="2" t="s">
        <v>65</v>
      </c>
      <c r="E3276" s="2">
        <f t="shared" ref="E3276:E3307" si="39">E2859-E2309</f>
        <v>950.16800000000001</v>
      </c>
      <c r="H3276" s="2">
        <f t="shared" ref="H3276:H3307" si="40">E3276*0.887125014590872</f>
        <v>842.91780086377969</v>
      </c>
      <c r="I3276" s="2">
        <f t="shared" ref="I3276:I3391" si="41">H3276*0.49</f>
        <v>413.02972242325205</v>
      </c>
    </row>
    <row r="3277" spans="1:9" ht="14.25" customHeight="1">
      <c r="A3277" s="2" t="s">
        <v>15</v>
      </c>
      <c r="B3277" s="2">
        <v>1904</v>
      </c>
      <c r="C3277" s="2" t="s">
        <v>65</v>
      </c>
      <c r="E3277" s="2">
        <f t="shared" si="39"/>
        <v>1021.6970000000001</v>
      </c>
      <c r="H3277" s="2">
        <f t="shared" si="40"/>
        <v>906.37296603245022</v>
      </c>
      <c r="I3277" s="2">
        <f t="shared" si="41"/>
        <v>444.12275335590061</v>
      </c>
    </row>
    <row r="3278" spans="1:9" ht="14.25" customHeight="1">
      <c r="A3278" s="2" t="s">
        <v>15</v>
      </c>
      <c r="B3278" s="2">
        <v>1905</v>
      </c>
      <c r="C3278" s="2" t="s">
        <v>65</v>
      </c>
      <c r="E3278" s="2">
        <f t="shared" si="39"/>
        <v>1015.867</v>
      </c>
      <c r="H3278" s="2">
        <f t="shared" si="40"/>
        <v>901.20102719738532</v>
      </c>
      <c r="I3278" s="2">
        <f t="shared" si="41"/>
        <v>441.58850332671881</v>
      </c>
    </row>
    <row r="3279" spans="1:9" ht="14.25" customHeight="1">
      <c r="A3279" s="2" t="s">
        <v>15</v>
      </c>
      <c r="B3279" s="2">
        <v>1906</v>
      </c>
      <c r="C3279" s="2" t="s">
        <v>65</v>
      </c>
      <c r="E3279" s="2">
        <f t="shared" si="39"/>
        <v>1011.846</v>
      </c>
      <c r="H3279" s="2">
        <f t="shared" si="40"/>
        <v>897.63389751371551</v>
      </c>
      <c r="I3279" s="2">
        <f t="shared" si="41"/>
        <v>439.84060978172062</v>
      </c>
    </row>
    <row r="3280" spans="1:9" ht="14.25" customHeight="1">
      <c r="A3280" s="2" t="s">
        <v>15</v>
      </c>
      <c r="B3280" s="2">
        <v>1907</v>
      </c>
      <c r="C3280" s="2" t="s">
        <v>65</v>
      </c>
      <c r="E3280" s="2">
        <f t="shared" si="39"/>
        <v>1273.3809999999999</v>
      </c>
      <c r="H3280" s="2">
        <f t="shared" si="40"/>
        <v>1129.6481382047391</v>
      </c>
      <c r="I3280" s="2">
        <f t="shared" si="41"/>
        <v>553.52758772032212</v>
      </c>
    </row>
    <row r="3281" spans="1:9" ht="14.25" customHeight="1">
      <c r="A3281" s="2" t="s">
        <v>15</v>
      </c>
      <c r="B3281" s="2">
        <v>1908</v>
      </c>
      <c r="C3281" s="2" t="s">
        <v>65</v>
      </c>
      <c r="E3281" s="2">
        <f t="shared" si="39"/>
        <v>1136.8620000000001</v>
      </c>
      <c r="H3281" s="2">
        <f t="shared" si="40"/>
        <v>1008.5387183378079</v>
      </c>
      <c r="I3281" s="2">
        <f t="shared" si="41"/>
        <v>494.18397198552589</v>
      </c>
    </row>
    <row r="3282" spans="1:9" ht="14.25" customHeight="1">
      <c r="A3282" s="2" t="s">
        <v>15</v>
      </c>
      <c r="B3282" s="2">
        <v>1909</v>
      </c>
      <c r="C3282" s="2" t="s">
        <v>65</v>
      </c>
      <c r="E3282" s="2">
        <f t="shared" si="39"/>
        <v>1123.4459999999999</v>
      </c>
      <c r="H3282" s="2">
        <f t="shared" si="40"/>
        <v>996.63704914205675</v>
      </c>
      <c r="I3282" s="2">
        <f t="shared" si="41"/>
        <v>488.35215407960783</v>
      </c>
    </row>
    <row r="3283" spans="1:9" ht="14.25" customHeight="1">
      <c r="A3283" s="2" t="s">
        <v>15</v>
      </c>
      <c r="B3283" s="2">
        <v>1910</v>
      </c>
      <c r="C3283" s="2" t="s">
        <v>65</v>
      </c>
      <c r="E3283" s="2">
        <f t="shared" si="39"/>
        <v>1133.1309999999999</v>
      </c>
      <c r="H3283" s="2">
        <f t="shared" si="40"/>
        <v>1005.2288549083693</v>
      </c>
      <c r="I3283" s="2">
        <f t="shared" si="41"/>
        <v>492.56213890510094</v>
      </c>
    </row>
    <row r="3284" spans="1:9" ht="14.25" customHeight="1">
      <c r="A3284" s="2" t="s">
        <v>15</v>
      </c>
      <c r="B3284" s="2">
        <v>1911</v>
      </c>
      <c r="C3284" s="2" t="s">
        <v>65</v>
      </c>
      <c r="E3284" s="2">
        <f t="shared" si="39"/>
        <v>1201.9369999999999</v>
      </c>
      <c r="H3284" s="2">
        <f t="shared" si="40"/>
        <v>1066.2683786623088</v>
      </c>
      <c r="I3284" s="2">
        <f t="shared" si="41"/>
        <v>522.47150554453128</v>
      </c>
    </row>
    <row r="3285" spans="1:9" ht="14.25" customHeight="1">
      <c r="A3285" s="2" t="s">
        <v>15</v>
      </c>
      <c r="B3285" s="2">
        <v>1912</v>
      </c>
      <c r="C3285" s="2" t="s">
        <v>65</v>
      </c>
      <c r="E3285" s="2">
        <f t="shared" si="39"/>
        <v>1213.318</v>
      </c>
      <c r="H3285" s="2">
        <f t="shared" si="40"/>
        <v>1076.3647484533676</v>
      </c>
      <c r="I3285" s="2">
        <f t="shared" si="41"/>
        <v>527.41872674215017</v>
      </c>
    </row>
    <row r="3286" spans="1:9" ht="14.25" customHeight="1">
      <c r="A3286" s="2" t="s">
        <v>15</v>
      </c>
      <c r="B3286" s="2">
        <v>1913</v>
      </c>
      <c r="C3286" s="2" t="s">
        <v>65</v>
      </c>
      <c r="E3286" s="2">
        <f t="shared" si="39"/>
        <v>1230.3220000000001</v>
      </c>
      <c r="H3286" s="2">
        <f t="shared" si="40"/>
        <v>1091.449422201471</v>
      </c>
      <c r="I3286" s="2">
        <f t="shared" si="41"/>
        <v>534.81021687872078</v>
      </c>
    </row>
    <row r="3287" spans="1:9" ht="14.25" customHeight="1">
      <c r="A3287" s="2" t="s">
        <v>15</v>
      </c>
      <c r="B3287" s="2">
        <v>1914</v>
      </c>
      <c r="C3287" s="2" t="s">
        <v>65</v>
      </c>
      <c r="E3287" s="2">
        <f t="shared" si="39"/>
        <v>972.37400000000002</v>
      </c>
      <c r="H3287" s="2">
        <f t="shared" si="40"/>
        <v>862.61729893778465</v>
      </c>
      <c r="I3287" s="2">
        <f t="shared" si="41"/>
        <v>422.68247647951449</v>
      </c>
    </row>
    <row r="3288" spans="1:9" ht="14.25" customHeight="1">
      <c r="A3288" s="2" t="s">
        <v>15</v>
      </c>
      <c r="B3288" s="2">
        <v>1915</v>
      </c>
      <c r="C3288" s="2" t="s">
        <v>65</v>
      </c>
      <c r="E3288" s="2">
        <f t="shared" si="39"/>
        <v>440.096</v>
      </c>
      <c r="H3288" s="2">
        <f t="shared" si="40"/>
        <v>390.4201704213844</v>
      </c>
      <c r="I3288" s="2">
        <f t="shared" si="41"/>
        <v>191.30588350647835</v>
      </c>
    </row>
    <row r="3289" spans="1:9" ht="14.25" customHeight="1">
      <c r="A3289" s="2" t="s">
        <v>15</v>
      </c>
      <c r="B3289" s="2">
        <v>1916</v>
      </c>
      <c r="C3289" s="2" t="s">
        <v>65</v>
      </c>
      <c r="E3289" s="2">
        <f t="shared" si="39"/>
        <v>417.666</v>
      </c>
      <c r="H3289" s="2">
        <f t="shared" si="40"/>
        <v>370.52195634411112</v>
      </c>
      <c r="I3289" s="2">
        <f t="shared" si="41"/>
        <v>181.55575860861444</v>
      </c>
    </row>
    <row r="3290" spans="1:9" ht="14.25" customHeight="1">
      <c r="A3290" s="2" t="s">
        <v>15</v>
      </c>
      <c r="B3290" s="2">
        <v>1917</v>
      </c>
      <c r="C3290" s="2" t="s">
        <v>65</v>
      </c>
      <c r="E3290" s="2">
        <f t="shared" si="39"/>
        <v>395.91300000000001</v>
      </c>
      <c r="H3290" s="2">
        <f t="shared" si="40"/>
        <v>351.22432590171593</v>
      </c>
      <c r="I3290" s="2">
        <f t="shared" si="41"/>
        <v>172.0999196918408</v>
      </c>
    </row>
    <row r="3291" spans="1:9" ht="14.25" customHeight="1">
      <c r="A3291" s="2" t="s">
        <v>15</v>
      </c>
      <c r="B3291" s="2">
        <v>1918</v>
      </c>
      <c r="C3291" s="2" t="s">
        <v>65</v>
      </c>
      <c r="E3291" s="2">
        <f t="shared" si="39"/>
        <v>444.73099999999999</v>
      </c>
      <c r="H3291" s="2">
        <f t="shared" si="40"/>
        <v>394.53199486401309</v>
      </c>
      <c r="I3291" s="2">
        <f t="shared" si="41"/>
        <v>193.32067748336641</v>
      </c>
    </row>
    <row r="3292" spans="1:9" ht="14.25" customHeight="1">
      <c r="A3292" s="2" t="s">
        <v>15</v>
      </c>
      <c r="B3292" s="2">
        <v>1919</v>
      </c>
      <c r="C3292" s="2" t="s">
        <v>65</v>
      </c>
      <c r="E3292" s="2">
        <f t="shared" si="39"/>
        <v>868.06399999999996</v>
      </c>
      <c r="H3292" s="2">
        <f t="shared" si="40"/>
        <v>770.08128866581069</v>
      </c>
      <c r="I3292" s="2">
        <f t="shared" si="41"/>
        <v>377.33983144624722</v>
      </c>
    </row>
    <row r="3293" spans="1:9" ht="14.25" customHeight="1">
      <c r="A3293" s="2" t="s">
        <v>15</v>
      </c>
      <c r="B3293" s="2">
        <v>1920</v>
      </c>
      <c r="C3293" s="2" t="s">
        <v>65</v>
      </c>
      <c r="E3293" s="2">
        <f t="shared" si="39"/>
        <v>1096.4059999999999</v>
      </c>
      <c r="H3293" s="2">
        <f t="shared" si="40"/>
        <v>972.64918874751959</v>
      </c>
      <c r="I3293" s="2">
        <f t="shared" si="41"/>
        <v>476.59810248628457</v>
      </c>
    </row>
    <row r="3294" spans="1:9" ht="14.25" customHeight="1">
      <c r="A3294" s="2" t="s">
        <v>15</v>
      </c>
      <c r="B3294" s="2">
        <v>1921</v>
      </c>
      <c r="C3294" s="2" t="s">
        <v>65</v>
      </c>
      <c r="E3294" s="2">
        <f t="shared" si="39"/>
        <v>859.05099999999993</v>
      </c>
      <c r="H3294" s="2">
        <f t="shared" si="40"/>
        <v>762.08563090930318</v>
      </c>
      <c r="I3294" s="2">
        <f t="shared" si="41"/>
        <v>373.42195914555856</v>
      </c>
    </row>
    <row r="3295" spans="1:9" ht="14.25" customHeight="1">
      <c r="A3295" s="2" t="s">
        <v>15</v>
      </c>
      <c r="B3295" s="2">
        <v>1922</v>
      </c>
      <c r="C3295" s="2" t="s">
        <v>65</v>
      </c>
      <c r="E3295" s="2">
        <f t="shared" si="39"/>
        <v>941.65099999999995</v>
      </c>
      <c r="H3295" s="2">
        <f t="shared" si="40"/>
        <v>835.36215711450916</v>
      </c>
      <c r="I3295" s="2">
        <f t="shared" si="41"/>
        <v>409.3274569861095</v>
      </c>
    </row>
    <row r="3296" spans="1:9" ht="14.25" customHeight="1">
      <c r="A3296" s="2" t="s">
        <v>15</v>
      </c>
      <c r="B3296" s="2">
        <v>1923</v>
      </c>
      <c r="C3296" s="2" t="s">
        <v>65</v>
      </c>
      <c r="E3296" s="2">
        <f t="shared" si="39"/>
        <v>915.53600000000006</v>
      </c>
      <c r="H3296" s="2">
        <f t="shared" si="40"/>
        <v>812.19488735846869</v>
      </c>
      <c r="I3296" s="2">
        <f t="shared" si="41"/>
        <v>397.97549480564965</v>
      </c>
    </row>
    <row r="3297" spans="1:9" ht="14.25" customHeight="1">
      <c r="A3297" s="2" t="s">
        <v>15</v>
      </c>
      <c r="B3297" s="2">
        <v>1924</v>
      </c>
      <c r="C3297" s="2" t="s">
        <v>65</v>
      </c>
      <c r="E3297" s="2">
        <f t="shared" si="39"/>
        <v>1101.6420000000001</v>
      </c>
      <c r="H3297" s="2">
        <f t="shared" si="40"/>
        <v>977.29417532391744</v>
      </c>
      <c r="I3297" s="2">
        <f t="shared" si="41"/>
        <v>478.87414590871953</v>
      </c>
    </row>
    <row r="3298" spans="1:9" ht="14.25" customHeight="1">
      <c r="A3298" s="2" t="s">
        <v>15</v>
      </c>
      <c r="B3298" s="2">
        <v>1925</v>
      </c>
      <c r="C3298" s="2" t="s">
        <v>65</v>
      </c>
      <c r="E3298" s="2">
        <f t="shared" si="39"/>
        <v>1043.1270000000002</v>
      </c>
      <c r="H3298" s="2">
        <f t="shared" si="40"/>
        <v>925.38405509513268</v>
      </c>
      <c r="I3298" s="2">
        <f t="shared" si="41"/>
        <v>453.438186996615</v>
      </c>
    </row>
    <row r="3299" spans="1:9" ht="14.25" customHeight="1">
      <c r="A3299" s="2" t="s">
        <v>15</v>
      </c>
      <c r="B3299" s="2">
        <v>1926</v>
      </c>
      <c r="C3299" s="2" t="s">
        <v>65</v>
      </c>
      <c r="E3299" s="2">
        <f t="shared" si="39"/>
        <v>1029.4880000000001</v>
      </c>
      <c r="H3299" s="2">
        <f t="shared" si="40"/>
        <v>913.28455702112774</v>
      </c>
      <c r="I3299" s="2">
        <f t="shared" si="41"/>
        <v>447.50943294035261</v>
      </c>
    </row>
    <row r="3300" spans="1:9" ht="14.25" customHeight="1">
      <c r="A3300" s="2" t="s">
        <v>15</v>
      </c>
      <c r="B3300" s="2">
        <v>1927</v>
      </c>
      <c r="C3300" s="2" t="s">
        <v>65</v>
      </c>
      <c r="E3300" s="2">
        <f t="shared" si="39"/>
        <v>1068.652</v>
      </c>
      <c r="H3300" s="2">
        <f t="shared" si="40"/>
        <v>948.02792109256461</v>
      </c>
      <c r="I3300" s="2">
        <f t="shared" si="41"/>
        <v>464.53368133535668</v>
      </c>
    </row>
    <row r="3301" spans="1:9" ht="14.25" customHeight="1">
      <c r="A3301" s="2" t="s">
        <v>15</v>
      </c>
      <c r="B3301" s="2">
        <v>1928</v>
      </c>
      <c r="C3301" s="2" t="s">
        <v>65</v>
      </c>
      <c r="E3301" s="2">
        <f t="shared" si="39"/>
        <v>1035.316</v>
      </c>
      <c r="H3301" s="2">
        <f t="shared" si="40"/>
        <v>918.45472160616328</v>
      </c>
      <c r="I3301" s="2">
        <f t="shared" si="41"/>
        <v>450.04281358702002</v>
      </c>
    </row>
    <row r="3302" spans="1:9" ht="14.25" customHeight="1">
      <c r="A3302" s="2" t="s">
        <v>15</v>
      </c>
      <c r="B3302" s="2">
        <v>1929</v>
      </c>
      <c r="C3302" s="2" t="s">
        <v>65</v>
      </c>
      <c r="E3302" s="2">
        <f t="shared" si="39"/>
        <v>1062.3629999999998</v>
      </c>
      <c r="H3302" s="2">
        <f t="shared" si="40"/>
        <v>942.44879187580239</v>
      </c>
      <c r="I3302" s="2">
        <f t="shared" si="41"/>
        <v>461.79990801914317</v>
      </c>
    </row>
    <row r="3303" spans="1:9" ht="14.25" customHeight="1">
      <c r="A3303" s="2" t="s">
        <v>15</v>
      </c>
      <c r="B3303" s="2">
        <v>1930</v>
      </c>
      <c r="C3303" s="2" t="s">
        <v>65</v>
      </c>
      <c r="E3303" s="2">
        <f t="shared" si="39"/>
        <v>1077.742</v>
      </c>
      <c r="H3303" s="2">
        <f t="shared" si="40"/>
        <v>956.09188747519556</v>
      </c>
      <c r="I3303" s="2">
        <f t="shared" si="41"/>
        <v>468.48502486284582</v>
      </c>
    </row>
    <row r="3304" spans="1:9" ht="14.25" customHeight="1">
      <c r="A3304" s="2" t="s">
        <v>15</v>
      </c>
      <c r="B3304" s="2">
        <v>1931</v>
      </c>
      <c r="C3304" s="2" t="s">
        <v>65</v>
      </c>
      <c r="E3304" s="2">
        <f t="shared" si="39"/>
        <v>984.84699999999998</v>
      </c>
      <c r="H3304" s="2">
        <f t="shared" si="40"/>
        <v>873.68240924477652</v>
      </c>
      <c r="I3304" s="2">
        <f t="shared" si="41"/>
        <v>428.1043805299405</v>
      </c>
    </row>
    <row r="3305" spans="1:9" ht="14.25" customHeight="1">
      <c r="A3305" s="2" t="s">
        <v>15</v>
      </c>
      <c r="B3305" s="2">
        <v>1932</v>
      </c>
      <c r="C3305" s="2" t="s">
        <v>65</v>
      </c>
      <c r="E3305" s="2">
        <f t="shared" si="39"/>
        <v>991.18599999999992</v>
      </c>
      <c r="H3305" s="2">
        <f t="shared" si="40"/>
        <v>879.30589471226801</v>
      </c>
      <c r="I3305" s="2">
        <f t="shared" si="41"/>
        <v>430.85988840901132</v>
      </c>
    </row>
    <row r="3306" spans="1:9" ht="14.25" customHeight="1">
      <c r="A3306" s="2" t="s">
        <v>15</v>
      </c>
      <c r="B3306" s="2">
        <v>1933</v>
      </c>
      <c r="C3306" s="2" t="s">
        <v>65</v>
      </c>
      <c r="E3306" s="2">
        <f t="shared" si="39"/>
        <v>952.91800000000001</v>
      </c>
      <c r="H3306" s="2">
        <f t="shared" si="40"/>
        <v>845.35739465390452</v>
      </c>
      <c r="I3306" s="2">
        <f t="shared" si="41"/>
        <v>414.22512338041321</v>
      </c>
    </row>
    <row r="3307" spans="1:9" ht="14.25" customHeight="1">
      <c r="A3307" s="2" t="s">
        <v>15</v>
      </c>
      <c r="B3307" s="2">
        <v>1934</v>
      </c>
      <c r="C3307" s="2" t="s">
        <v>65</v>
      </c>
      <c r="E3307" s="2">
        <f t="shared" si="39"/>
        <v>946.04</v>
      </c>
      <c r="H3307" s="2">
        <f t="shared" si="40"/>
        <v>839.2557488035485</v>
      </c>
      <c r="I3307" s="2">
        <f t="shared" si="41"/>
        <v>411.23531691373876</v>
      </c>
    </row>
    <row r="3308" spans="1:9" ht="14.25" customHeight="1">
      <c r="A3308" s="2" t="s">
        <v>15</v>
      </c>
      <c r="B3308" s="2">
        <v>1935</v>
      </c>
      <c r="C3308" s="2" t="s">
        <v>65</v>
      </c>
      <c r="E3308" s="2">
        <f t="shared" ref="E3308:E3339" si="42">E2891-E2341</f>
        <v>1007.72</v>
      </c>
      <c r="H3308" s="2">
        <f t="shared" ref="H3308:H3339" si="43">E3308*0.887125014590872</f>
        <v>893.97361970351358</v>
      </c>
      <c r="I3308" s="2">
        <f t="shared" si="41"/>
        <v>438.04707365472166</v>
      </c>
    </row>
    <row r="3309" spans="1:9" ht="14.25" customHeight="1">
      <c r="A3309" s="2" t="s">
        <v>15</v>
      </c>
      <c r="B3309" s="2">
        <v>1936</v>
      </c>
      <c r="C3309" s="2" t="s">
        <v>65</v>
      </c>
      <c r="E3309" s="2">
        <f t="shared" si="42"/>
        <v>1056.9100000000001</v>
      </c>
      <c r="H3309" s="2">
        <f t="shared" si="43"/>
        <v>937.61129917123856</v>
      </c>
      <c r="I3309" s="2">
        <f t="shared" si="41"/>
        <v>459.4295365939069</v>
      </c>
    </row>
    <row r="3310" spans="1:9" ht="14.25" customHeight="1">
      <c r="A3310" s="2" t="s">
        <v>15</v>
      </c>
      <c r="B3310" s="2">
        <v>1937</v>
      </c>
      <c r="C3310" s="2" t="s">
        <v>65</v>
      </c>
      <c r="E3310" s="2">
        <f t="shared" si="42"/>
        <v>1105.252</v>
      </c>
      <c r="H3310" s="2">
        <f t="shared" si="43"/>
        <v>980.49669662659039</v>
      </c>
      <c r="I3310" s="2">
        <f t="shared" si="41"/>
        <v>480.44338134702929</v>
      </c>
    </row>
    <row r="3311" spans="1:9" ht="14.25" customHeight="1">
      <c r="A3311" s="2" t="s">
        <v>15</v>
      </c>
      <c r="B3311" s="2">
        <v>1938</v>
      </c>
      <c r="C3311" s="2" t="s">
        <v>65</v>
      </c>
      <c r="E3311" s="2">
        <f t="shared" si="42"/>
        <v>1067.143</v>
      </c>
      <c r="H3311" s="2">
        <f t="shared" si="43"/>
        <v>946.68924944554692</v>
      </c>
      <c r="I3311" s="2">
        <f t="shared" si="41"/>
        <v>463.877732228318</v>
      </c>
    </row>
    <row r="3312" spans="1:9" ht="14.25" customHeight="1">
      <c r="A3312" s="2" t="s">
        <v>15</v>
      </c>
      <c r="B3312" s="2">
        <v>1939</v>
      </c>
      <c r="C3312" s="2" t="s">
        <v>65</v>
      </c>
      <c r="E3312" s="2">
        <f t="shared" si="42"/>
        <v>799.73299999999995</v>
      </c>
      <c r="H3312" s="2">
        <f t="shared" si="43"/>
        <v>709.46314929380185</v>
      </c>
      <c r="I3312" s="2">
        <f t="shared" si="41"/>
        <v>347.63694315396287</v>
      </c>
    </row>
    <row r="3313" spans="1:9" ht="14.25" customHeight="1">
      <c r="A3313" s="2" t="s">
        <v>15</v>
      </c>
      <c r="B3313" s="2">
        <v>1940</v>
      </c>
      <c r="C3313" s="2" t="s">
        <v>65</v>
      </c>
      <c r="E3313" s="2">
        <f t="shared" si="42"/>
        <v>320.64799999999997</v>
      </c>
      <c r="H3313" s="2">
        <f t="shared" si="43"/>
        <v>284.45486167853392</v>
      </c>
      <c r="I3313" s="2">
        <f t="shared" si="41"/>
        <v>139.38288222248161</v>
      </c>
    </row>
    <row r="3314" spans="1:9" ht="14.25" customHeight="1">
      <c r="A3314" s="2" t="s">
        <v>15</v>
      </c>
      <c r="B3314" s="2">
        <v>1941</v>
      </c>
      <c r="C3314" s="2" t="s">
        <v>65</v>
      </c>
      <c r="E3314" s="2">
        <f t="shared" si="42"/>
        <v>251.01299999999998</v>
      </c>
      <c r="H3314" s="2">
        <f t="shared" si="43"/>
        <v>222.67991128749853</v>
      </c>
      <c r="I3314" s="2">
        <f t="shared" si="41"/>
        <v>109.11315653087428</v>
      </c>
    </row>
    <row r="3315" spans="1:9" ht="14.25" customHeight="1">
      <c r="A3315" s="2" t="s">
        <v>15</v>
      </c>
      <c r="B3315" s="2">
        <v>1942</v>
      </c>
      <c r="C3315" s="2" t="s">
        <v>65</v>
      </c>
      <c r="E3315" s="2">
        <f t="shared" si="42"/>
        <v>309.774</v>
      </c>
      <c r="H3315" s="2">
        <f t="shared" si="43"/>
        <v>274.80826426987278</v>
      </c>
      <c r="I3315" s="2">
        <f t="shared" si="41"/>
        <v>134.65604949223766</v>
      </c>
    </row>
    <row r="3316" spans="1:9" ht="14.25" customHeight="1">
      <c r="A3316" s="2" t="s">
        <v>15</v>
      </c>
      <c r="B3316" s="2">
        <v>1943</v>
      </c>
      <c r="C3316" s="2" t="s">
        <v>65</v>
      </c>
      <c r="E3316" s="2">
        <f t="shared" si="42"/>
        <v>315.79300000000001</v>
      </c>
      <c r="H3316" s="2">
        <f t="shared" si="43"/>
        <v>280.14786973269526</v>
      </c>
      <c r="I3316" s="2">
        <f t="shared" si="41"/>
        <v>137.27245616902067</v>
      </c>
    </row>
    <row r="3317" spans="1:9" ht="14.25" customHeight="1">
      <c r="A3317" s="2" t="s">
        <v>15</v>
      </c>
      <c r="B3317" s="2">
        <v>1944</v>
      </c>
      <c r="C3317" s="2" t="s">
        <v>65</v>
      </c>
      <c r="E3317" s="2">
        <f t="shared" si="42"/>
        <v>333.06800000000004</v>
      </c>
      <c r="H3317" s="2">
        <f t="shared" si="43"/>
        <v>295.47295435975258</v>
      </c>
      <c r="I3317" s="2">
        <f t="shared" si="41"/>
        <v>144.78174763627877</v>
      </c>
    </row>
    <row r="3318" spans="1:9" ht="14.25" customHeight="1">
      <c r="A3318" s="2" t="s">
        <v>15</v>
      </c>
      <c r="B3318" s="2">
        <v>1945</v>
      </c>
      <c r="C3318" s="2" t="s">
        <v>65</v>
      </c>
      <c r="E3318" s="2">
        <f t="shared" si="42"/>
        <v>506.12800000000004</v>
      </c>
      <c r="H3318" s="2">
        <f t="shared" si="43"/>
        <v>448.99880938484893</v>
      </c>
      <c r="I3318" s="2">
        <f t="shared" si="41"/>
        <v>220.00941659857597</v>
      </c>
    </row>
    <row r="3319" spans="1:9" ht="14.25" customHeight="1">
      <c r="A3319" s="2" t="s">
        <v>15</v>
      </c>
      <c r="B3319" s="2">
        <v>1946</v>
      </c>
      <c r="C3319" s="2" t="s">
        <v>65</v>
      </c>
      <c r="E3319" s="2">
        <f t="shared" si="42"/>
        <v>923.38700000000006</v>
      </c>
      <c r="H3319" s="2">
        <f t="shared" si="43"/>
        <v>819.15970584802153</v>
      </c>
      <c r="I3319" s="2">
        <f t="shared" si="41"/>
        <v>401.38825586553054</v>
      </c>
    </row>
    <row r="3320" spans="1:9" ht="14.25" customHeight="1">
      <c r="A3320" s="2" t="s">
        <v>15</v>
      </c>
      <c r="B3320" s="2">
        <v>1947</v>
      </c>
      <c r="C3320" s="2" t="s">
        <v>65</v>
      </c>
      <c r="E3320" s="2">
        <f t="shared" si="42"/>
        <v>1017.865</v>
      </c>
      <c r="H3320" s="2">
        <f t="shared" si="43"/>
        <v>902.97350297653793</v>
      </c>
      <c r="I3320" s="2">
        <f t="shared" si="41"/>
        <v>442.45701645850357</v>
      </c>
    </row>
    <row r="3321" spans="1:9" ht="14.25" customHeight="1">
      <c r="A3321" s="2" t="s">
        <v>15</v>
      </c>
      <c r="B3321" s="2">
        <v>1948</v>
      </c>
      <c r="C3321" s="2" t="s">
        <v>65</v>
      </c>
      <c r="E3321" s="2">
        <f t="shared" si="42"/>
        <v>1056.202</v>
      </c>
      <c r="H3321" s="2">
        <f t="shared" si="43"/>
        <v>936.98321466090817</v>
      </c>
      <c r="I3321" s="2">
        <f t="shared" si="41"/>
        <v>459.12177518384499</v>
      </c>
    </row>
    <row r="3322" spans="1:9" ht="14.25" customHeight="1">
      <c r="A3322" s="2" t="s">
        <v>15</v>
      </c>
      <c r="B3322" s="2">
        <v>1949</v>
      </c>
      <c r="C3322" s="2" t="s">
        <v>65</v>
      </c>
      <c r="E3322" s="2">
        <f t="shared" si="42"/>
        <v>981.28899999999999</v>
      </c>
      <c r="H3322" s="2">
        <f t="shared" si="43"/>
        <v>870.52601844286221</v>
      </c>
      <c r="I3322" s="2">
        <f t="shared" si="41"/>
        <v>426.55774903700245</v>
      </c>
    </row>
    <row r="3323" spans="1:9" ht="14.25" customHeight="1">
      <c r="A3323" s="2" t="s">
        <v>15</v>
      </c>
      <c r="B3323" s="2">
        <v>1950</v>
      </c>
      <c r="C3323" s="2" t="s">
        <v>65</v>
      </c>
      <c r="E3323" s="2">
        <f t="shared" si="42"/>
        <v>874.16099999999994</v>
      </c>
      <c r="H3323" s="2">
        <f t="shared" si="43"/>
        <v>775.49008987977118</v>
      </c>
      <c r="I3323" s="2">
        <f t="shared" si="41"/>
        <v>379.99014404108789</v>
      </c>
    </row>
    <row r="3324" spans="1:9" ht="14.25" customHeight="1">
      <c r="A3324" s="2" t="s">
        <v>15</v>
      </c>
      <c r="B3324" s="2">
        <v>1951</v>
      </c>
      <c r="C3324" s="2" t="s">
        <v>65</v>
      </c>
      <c r="E3324" s="2">
        <f t="shared" si="42"/>
        <v>1056.7619999999999</v>
      </c>
      <c r="H3324" s="2">
        <f t="shared" si="43"/>
        <v>937.48000466907899</v>
      </c>
      <c r="I3324" s="2">
        <f t="shared" si="41"/>
        <v>459.36520228784872</v>
      </c>
    </row>
    <row r="3325" spans="1:9" ht="14.25" customHeight="1">
      <c r="A3325" s="2" t="s">
        <v>15</v>
      </c>
      <c r="B3325" s="2">
        <v>1952</v>
      </c>
      <c r="C3325" s="2" t="s">
        <v>65</v>
      </c>
      <c r="E3325" s="2">
        <f t="shared" si="42"/>
        <v>1052.2570000000001</v>
      </c>
      <c r="H3325" s="2">
        <f t="shared" si="43"/>
        <v>933.48350647834729</v>
      </c>
      <c r="I3325" s="2">
        <f t="shared" si="41"/>
        <v>457.40691817439017</v>
      </c>
    </row>
    <row r="3326" spans="1:9" ht="14.25" customHeight="1">
      <c r="A3326" s="2" t="s">
        <v>15</v>
      </c>
      <c r="B3326" s="2">
        <v>1953</v>
      </c>
      <c r="C3326" s="2" t="s">
        <v>65</v>
      </c>
      <c r="E3326" s="2">
        <f t="shared" si="42"/>
        <v>1056.5609999999999</v>
      </c>
      <c r="H3326" s="2">
        <f t="shared" si="43"/>
        <v>937.30169254114628</v>
      </c>
      <c r="I3326" s="2">
        <f t="shared" si="41"/>
        <v>459.27782934516165</v>
      </c>
    </row>
    <row r="3327" spans="1:9" ht="14.25" customHeight="1">
      <c r="A3327" s="2" t="s">
        <v>15</v>
      </c>
      <c r="B3327" s="2">
        <v>1954</v>
      </c>
      <c r="C3327" s="2" t="s">
        <v>65</v>
      </c>
      <c r="E3327" s="2">
        <f t="shared" si="42"/>
        <v>1022.657</v>
      </c>
      <c r="H3327" s="2">
        <f t="shared" si="43"/>
        <v>907.22460604645744</v>
      </c>
      <c r="I3327" s="2">
        <f t="shared" si="41"/>
        <v>444.54005696276414</v>
      </c>
    </row>
    <row r="3328" spans="1:9" ht="14.25" customHeight="1">
      <c r="A3328" s="2" t="s">
        <v>15</v>
      </c>
      <c r="B3328" s="2">
        <v>1955</v>
      </c>
      <c r="C3328" s="2" t="s">
        <v>65</v>
      </c>
      <c r="E3328" s="2">
        <f t="shared" si="42"/>
        <v>1018.774</v>
      </c>
      <c r="H3328" s="2">
        <f t="shared" si="43"/>
        <v>903.77989961480102</v>
      </c>
      <c r="I3328" s="2">
        <f t="shared" si="41"/>
        <v>442.8521508112525</v>
      </c>
    </row>
    <row r="3329" spans="1:9" ht="14.25" customHeight="1">
      <c r="A3329" s="2" t="s">
        <v>15</v>
      </c>
      <c r="B3329" s="2">
        <v>1956</v>
      </c>
      <c r="C3329" s="2" t="s">
        <v>65</v>
      </c>
      <c r="E3329" s="2">
        <f t="shared" si="42"/>
        <v>1045.223</v>
      </c>
      <c r="H3329" s="2">
        <f t="shared" si="43"/>
        <v>927.24346912571502</v>
      </c>
      <c r="I3329" s="2">
        <f t="shared" si="41"/>
        <v>454.34929987160035</v>
      </c>
    </row>
    <row r="3330" spans="1:9" ht="14.25" customHeight="1">
      <c r="A3330" s="2" t="s">
        <v>15</v>
      </c>
      <c r="B3330" s="2">
        <v>1957</v>
      </c>
      <c r="C3330" s="2" t="s">
        <v>65</v>
      </c>
      <c r="E3330" s="2">
        <f t="shared" si="42"/>
        <v>971.12100000000009</v>
      </c>
      <c r="H3330" s="2">
        <f t="shared" si="43"/>
        <v>861.50573129450231</v>
      </c>
      <c r="I3330" s="2">
        <f t="shared" si="41"/>
        <v>422.1378083343061</v>
      </c>
    </row>
    <row r="3331" spans="1:9" ht="14.25" customHeight="1">
      <c r="A3331" s="2" t="s">
        <v>15</v>
      </c>
      <c r="B3331" s="2">
        <v>1958</v>
      </c>
      <c r="C3331" s="2" t="s">
        <v>65</v>
      </c>
      <c r="E3331" s="2">
        <f t="shared" si="42"/>
        <v>959.34900000000005</v>
      </c>
      <c r="H3331" s="2">
        <f t="shared" si="43"/>
        <v>851.06249562273854</v>
      </c>
      <c r="I3331" s="2">
        <f t="shared" si="41"/>
        <v>417.02062285514188</v>
      </c>
    </row>
    <row r="3332" spans="1:9" ht="14.25" customHeight="1">
      <c r="A3332" s="2" t="s">
        <v>15</v>
      </c>
      <c r="B3332" s="2">
        <v>1959</v>
      </c>
      <c r="C3332" s="2" t="s">
        <v>65</v>
      </c>
      <c r="E3332" s="2">
        <f t="shared" si="42"/>
        <v>941.697</v>
      </c>
      <c r="H3332" s="2">
        <f t="shared" si="43"/>
        <v>835.40296486518037</v>
      </c>
      <c r="I3332" s="2">
        <f t="shared" si="41"/>
        <v>409.34745278393837</v>
      </c>
    </row>
    <row r="3333" spans="1:9" ht="14.25" customHeight="1">
      <c r="A3333" s="2" t="s">
        <v>15</v>
      </c>
      <c r="B3333" s="2">
        <v>1960</v>
      </c>
      <c r="C3333" s="2" t="s">
        <v>65</v>
      </c>
      <c r="E3333" s="2">
        <f t="shared" si="42"/>
        <v>872.27699999999993</v>
      </c>
      <c r="H3333" s="2">
        <f t="shared" si="43"/>
        <v>773.81874635228201</v>
      </c>
      <c r="I3333" s="2">
        <f t="shared" si="41"/>
        <v>379.17118571261818</v>
      </c>
    </row>
    <row r="3334" spans="1:9" ht="14.25" customHeight="1">
      <c r="A3334" s="2" t="s">
        <v>15</v>
      </c>
      <c r="B3334" s="2">
        <v>1961</v>
      </c>
      <c r="C3334" s="2" t="s">
        <v>65</v>
      </c>
      <c r="E3334" s="2">
        <f t="shared" si="42"/>
        <v>817.00699999999995</v>
      </c>
      <c r="H3334" s="2">
        <f t="shared" si="43"/>
        <v>724.78734679584454</v>
      </c>
      <c r="I3334" s="2">
        <f t="shared" si="41"/>
        <v>355.1457999299638</v>
      </c>
    </row>
    <row r="3335" spans="1:9" ht="14.25" customHeight="1">
      <c r="A3335" s="2" t="s">
        <v>15</v>
      </c>
      <c r="B3335" s="2">
        <v>1962</v>
      </c>
      <c r="C3335" s="2" t="s">
        <v>65</v>
      </c>
      <c r="E3335" s="2">
        <f t="shared" si="42"/>
        <v>885.11199999999997</v>
      </c>
      <c r="H3335" s="2">
        <f t="shared" si="43"/>
        <v>785.20499591455587</v>
      </c>
      <c r="I3335" s="2">
        <f t="shared" si="41"/>
        <v>384.75044799813236</v>
      </c>
    </row>
    <row r="3336" spans="1:9" ht="14.25" customHeight="1">
      <c r="A3336" s="2" t="s">
        <v>15</v>
      </c>
      <c r="B3336" s="2">
        <v>1963</v>
      </c>
      <c r="C3336" s="2" t="s">
        <v>65</v>
      </c>
      <c r="E3336" s="2">
        <f t="shared" si="42"/>
        <v>887.98799999999994</v>
      </c>
      <c r="H3336" s="2">
        <f t="shared" si="43"/>
        <v>787.75636745651923</v>
      </c>
      <c r="I3336" s="2">
        <f t="shared" si="41"/>
        <v>386.00062005369443</v>
      </c>
    </row>
    <row r="3337" spans="1:9" ht="14.25" customHeight="1">
      <c r="A3337" s="2" t="s">
        <v>15</v>
      </c>
      <c r="B3337" s="2">
        <v>1964</v>
      </c>
      <c r="C3337" s="2" t="s">
        <v>65</v>
      </c>
      <c r="E3337" s="2">
        <f t="shared" si="42"/>
        <v>892.82899999999995</v>
      </c>
      <c r="H3337" s="2">
        <f t="shared" si="43"/>
        <v>792.0509396521536</v>
      </c>
      <c r="I3337" s="2">
        <f t="shared" si="41"/>
        <v>388.10496042955526</v>
      </c>
    </row>
    <row r="3338" spans="1:9" ht="14.25" customHeight="1">
      <c r="A3338" s="2" t="s">
        <v>15</v>
      </c>
      <c r="B3338" s="2">
        <v>1965</v>
      </c>
      <c r="C3338" s="2" t="s">
        <v>65</v>
      </c>
      <c r="E3338" s="2">
        <f t="shared" si="42"/>
        <v>961.33399999999995</v>
      </c>
      <c r="H3338" s="2">
        <f t="shared" si="43"/>
        <v>852.82343877670132</v>
      </c>
      <c r="I3338" s="2">
        <f t="shared" si="41"/>
        <v>417.88348500058362</v>
      </c>
    </row>
    <row r="3339" spans="1:9" ht="14.25" customHeight="1">
      <c r="A3339" s="2" t="s">
        <v>15</v>
      </c>
      <c r="B3339" s="2">
        <v>1966</v>
      </c>
      <c r="C3339" s="2" t="s">
        <v>65</v>
      </c>
      <c r="E3339" s="2">
        <f t="shared" si="42"/>
        <v>976.30600000000004</v>
      </c>
      <c r="H3339" s="2">
        <f t="shared" si="43"/>
        <v>866.10547449515593</v>
      </c>
      <c r="I3339" s="2">
        <f t="shared" si="41"/>
        <v>424.3916825026264</v>
      </c>
    </row>
    <row r="3340" spans="1:9" ht="14.25" customHeight="1">
      <c r="A3340" s="2" t="s">
        <v>15</v>
      </c>
      <c r="B3340" s="2">
        <v>1967</v>
      </c>
      <c r="C3340" s="2" t="s">
        <v>65</v>
      </c>
      <c r="E3340" s="2">
        <f t="shared" ref="E3340:E3371" si="44">E2923-E2373</f>
        <v>903.71600000000001</v>
      </c>
      <c r="H3340" s="2">
        <f t="shared" ref="H3340:H3371" si="45">E3340*0.887125014590872</f>
        <v>801.70906968600445</v>
      </c>
      <c r="I3340" s="2">
        <f t="shared" si="41"/>
        <v>392.83744414614216</v>
      </c>
    </row>
    <row r="3341" spans="1:9" ht="14.25" customHeight="1">
      <c r="A3341" s="2" t="s">
        <v>15</v>
      </c>
      <c r="B3341" s="2">
        <v>1968</v>
      </c>
      <c r="C3341" s="2" t="s">
        <v>65</v>
      </c>
      <c r="E3341" s="2">
        <f t="shared" si="44"/>
        <v>951.71699999999998</v>
      </c>
      <c r="H3341" s="2">
        <f t="shared" si="45"/>
        <v>844.29195751138093</v>
      </c>
      <c r="I3341" s="2">
        <f t="shared" si="41"/>
        <v>413.70305918057664</v>
      </c>
    </row>
    <row r="3342" spans="1:9" ht="14.25" customHeight="1">
      <c r="A3342" s="2" t="s">
        <v>15</v>
      </c>
      <c r="B3342" s="2">
        <v>1969</v>
      </c>
      <c r="C3342" s="2" t="s">
        <v>65</v>
      </c>
      <c r="E3342" s="2">
        <f t="shared" si="44"/>
        <v>1027.598</v>
      </c>
      <c r="H3342" s="2">
        <f t="shared" si="45"/>
        <v>911.60789074355091</v>
      </c>
      <c r="I3342" s="2">
        <f t="shared" si="41"/>
        <v>446.68786646433995</v>
      </c>
    </row>
    <row r="3343" spans="1:9" ht="14.25" customHeight="1">
      <c r="A3343" s="2" t="s">
        <v>15</v>
      </c>
      <c r="B3343" s="2">
        <v>1970</v>
      </c>
      <c r="C3343" s="2" t="s">
        <v>65</v>
      </c>
      <c r="E3343" s="2">
        <f t="shared" si="44"/>
        <v>1037.0140000000001</v>
      </c>
      <c r="H3343" s="2">
        <f t="shared" si="45"/>
        <v>919.96105988093871</v>
      </c>
      <c r="I3343" s="2">
        <f t="shared" si="41"/>
        <v>450.78091934165997</v>
      </c>
    </row>
    <row r="3344" spans="1:9" ht="14.25" customHeight="1">
      <c r="A3344" s="2" t="s">
        <v>15</v>
      </c>
      <c r="B3344" s="2">
        <v>1971</v>
      </c>
      <c r="C3344" s="2" t="s">
        <v>65</v>
      </c>
      <c r="E3344" s="2">
        <f t="shared" si="44"/>
        <v>1046.3149999999998</v>
      </c>
      <c r="H3344" s="2">
        <f t="shared" si="45"/>
        <v>928.21220964164809</v>
      </c>
      <c r="I3344" s="2">
        <f t="shared" si="41"/>
        <v>454.82398272440753</v>
      </c>
    </row>
    <row r="3345" spans="1:9" ht="14.25" customHeight="1">
      <c r="A3345" s="2" t="s">
        <v>15</v>
      </c>
      <c r="B3345" s="2">
        <v>1972</v>
      </c>
      <c r="C3345" s="2" t="s">
        <v>65</v>
      </c>
      <c r="E3345" s="2">
        <f t="shared" si="44"/>
        <v>1006.2120000000001</v>
      </c>
      <c r="H3345" s="2">
        <f t="shared" si="45"/>
        <v>892.63583518151063</v>
      </c>
      <c r="I3345" s="2">
        <f t="shared" si="41"/>
        <v>437.3915592389402</v>
      </c>
    </row>
    <row r="3346" spans="1:9" ht="14.25" customHeight="1">
      <c r="A3346" s="2" t="s">
        <v>15</v>
      </c>
      <c r="B3346" s="2">
        <v>1973</v>
      </c>
      <c r="C3346" s="2" t="s">
        <v>65</v>
      </c>
      <c r="E3346" s="2">
        <f t="shared" si="44"/>
        <v>1030.143</v>
      </c>
      <c r="H3346" s="2">
        <f t="shared" si="45"/>
        <v>913.86562390568474</v>
      </c>
      <c r="I3346" s="2">
        <f t="shared" si="41"/>
        <v>447.79415571378553</v>
      </c>
    </row>
    <row r="3347" spans="1:9" ht="14.25" customHeight="1">
      <c r="A3347" s="2" t="s">
        <v>15</v>
      </c>
      <c r="B3347" s="2">
        <v>1974</v>
      </c>
      <c r="C3347" s="2" t="s">
        <v>65</v>
      </c>
      <c r="E3347" s="2">
        <f t="shared" si="44"/>
        <v>980.24900000000002</v>
      </c>
      <c r="H3347" s="2">
        <f t="shared" si="45"/>
        <v>869.60340842768767</v>
      </c>
      <c r="I3347" s="2">
        <f t="shared" si="41"/>
        <v>426.10567012956693</v>
      </c>
    </row>
    <row r="3348" spans="1:9" ht="14.25" customHeight="1">
      <c r="A3348" s="2" t="s">
        <v>15</v>
      </c>
      <c r="B3348" s="2">
        <v>1975</v>
      </c>
      <c r="C3348" s="2" t="s">
        <v>65</v>
      </c>
      <c r="E3348" s="2">
        <f t="shared" si="44"/>
        <v>883.38300000000004</v>
      </c>
      <c r="H3348" s="2">
        <f t="shared" si="45"/>
        <v>783.67115676432832</v>
      </c>
      <c r="I3348" s="2">
        <f t="shared" si="41"/>
        <v>383.99886681452085</v>
      </c>
    </row>
    <row r="3349" spans="1:9" ht="14.25" customHeight="1">
      <c r="A3349" s="2" t="s">
        <v>15</v>
      </c>
      <c r="B3349" s="2">
        <v>1976</v>
      </c>
      <c r="C3349" s="2" t="s">
        <v>65</v>
      </c>
      <c r="E3349" s="2">
        <f t="shared" si="44"/>
        <v>931.22300000000007</v>
      </c>
      <c r="H3349" s="2">
        <f t="shared" si="45"/>
        <v>826.11121746235563</v>
      </c>
      <c r="I3349" s="2">
        <f t="shared" si="41"/>
        <v>404.79449655655424</v>
      </c>
    </row>
    <row r="3350" spans="1:9" ht="14.25" customHeight="1">
      <c r="A3350" s="2" t="s">
        <v>15</v>
      </c>
      <c r="B3350" s="2">
        <v>1977</v>
      </c>
      <c r="C3350" s="2" t="s">
        <v>65</v>
      </c>
      <c r="E3350" s="2">
        <f t="shared" si="44"/>
        <v>924.97199999999998</v>
      </c>
      <c r="H3350" s="2">
        <f t="shared" si="45"/>
        <v>820.56579899614803</v>
      </c>
      <c r="I3350" s="2">
        <f t="shared" si="41"/>
        <v>402.07724150811254</v>
      </c>
    </row>
    <row r="3351" spans="1:9" ht="14.25" customHeight="1">
      <c r="A3351" s="2" t="s">
        <v>15</v>
      </c>
      <c r="B3351" s="2">
        <v>1978</v>
      </c>
      <c r="C3351" s="2" t="s">
        <v>65</v>
      </c>
      <c r="E3351" s="2">
        <f t="shared" si="44"/>
        <v>969.48399999999992</v>
      </c>
      <c r="H3351" s="2">
        <f t="shared" si="45"/>
        <v>860.05350764561695</v>
      </c>
      <c r="I3351" s="2">
        <f t="shared" si="41"/>
        <v>421.42621874635228</v>
      </c>
    </row>
    <row r="3352" spans="1:9" ht="14.25" customHeight="1">
      <c r="A3352" s="2" t="s">
        <v>15</v>
      </c>
      <c r="B3352" s="2">
        <v>1979</v>
      </c>
      <c r="C3352" s="2" t="s">
        <v>65</v>
      </c>
      <c r="E3352" s="2">
        <f t="shared" si="44"/>
        <v>845.22400000000005</v>
      </c>
      <c r="H3352" s="2">
        <f t="shared" si="45"/>
        <v>749.81935333255524</v>
      </c>
      <c r="I3352" s="2">
        <f t="shared" si="41"/>
        <v>367.41148313295207</v>
      </c>
    </row>
    <row r="3353" spans="1:9" ht="14.25" customHeight="1">
      <c r="A3353" s="2" t="s">
        <v>15</v>
      </c>
      <c r="B3353" s="2">
        <v>1980</v>
      </c>
      <c r="C3353" s="2" t="s">
        <v>65</v>
      </c>
      <c r="E3353" s="2">
        <f t="shared" si="44"/>
        <v>819.02499999999998</v>
      </c>
      <c r="H3353" s="2">
        <f t="shared" si="45"/>
        <v>726.57756507528893</v>
      </c>
      <c r="I3353" s="2">
        <f t="shared" si="41"/>
        <v>356.02300688689155</v>
      </c>
    </row>
    <row r="3354" spans="1:9" ht="14.25" customHeight="1">
      <c r="A3354" s="2" t="s">
        <v>15</v>
      </c>
      <c r="B3354" s="2">
        <v>1981</v>
      </c>
      <c r="C3354" s="2" t="s">
        <v>65</v>
      </c>
      <c r="E3354" s="2">
        <f t="shared" si="44"/>
        <v>808.66300000000001</v>
      </c>
      <c r="H3354" s="2">
        <f t="shared" si="45"/>
        <v>717.38517567409838</v>
      </c>
      <c r="I3354" s="2">
        <f t="shared" si="41"/>
        <v>351.5187360803082</v>
      </c>
    </row>
    <row r="3355" spans="1:9" ht="14.25" customHeight="1">
      <c r="A3355" s="2" t="s">
        <v>15</v>
      </c>
      <c r="B3355" s="2">
        <v>1982</v>
      </c>
      <c r="C3355" s="2" t="s">
        <v>65</v>
      </c>
      <c r="E3355" s="2">
        <f t="shared" si="44"/>
        <v>837.029</v>
      </c>
      <c r="H3355" s="2">
        <f t="shared" si="45"/>
        <v>742.54936383798304</v>
      </c>
      <c r="I3355" s="2">
        <f t="shared" si="41"/>
        <v>363.84918828061166</v>
      </c>
    </row>
    <row r="3356" spans="1:9" ht="14.25" customHeight="1">
      <c r="A3356" s="2" t="s">
        <v>15</v>
      </c>
      <c r="B3356" s="2">
        <v>1983</v>
      </c>
      <c r="C3356" s="2" t="s">
        <v>65</v>
      </c>
      <c r="E3356" s="2">
        <f t="shared" si="44"/>
        <v>764.64300000000003</v>
      </c>
      <c r="H3356" s="2">
        <f t="shared" si="45"/>
        <v>678.33393253180816</v>
      </c>
      <c r="I3356" s="2">
        <f t="shared" si="41"/>
        <v>332.383626940586</v>
      </c>
    </row>
    <row r="3357" spans="1:9" ht="14.25" customHeight="1">
      <c r="A3357" s="2" t="s">
        <v>15</v>
      </c>
      <c r="B3357" s="2">
        <v>1984</v>
      </c>
      <c r="C3357" s="2" t="s">
        <v>65</v>
      </c>
      <c r="E3357" s="2">
        <f t="shared" si="44"/>
        <v>755.87800000000004</v>
      </c>
      <c r="H3357" s="2">
        <f t="shared" si="45"/>
        <v>670.55828177891919</v>
      </c>
      <c r="I3357" s="2">
        <f t="shared" si="41"/>
        <v>328.57355807167039</v>
      </c>
    </row>
    <row r="3358" spans="1:9" ht="14.25" customHeight="1">
      <c r="A3358" s="2" t="s">
        <v>15</v>
      </c>
      <c r="B3358" s="2">
        <v>1985</v>
      </c>
      <c r="C3358" s="2" t="s">
        <v>65</v>
      </c>
      <c r="E3358" s="2">
        <f t="shared" si="44"/>
        <v>806.64300000000003</v>
      </c>
      <c r="H3358" s="2">
        <f t="shared" si="45"/>
        <v>715.59318314462485</v>
      </c>
      <c r="I3358" s="2">
        <f t="shared" si="41"/>
        <v>350.64065974086617</v>
      </c>
    </row>
    <row r="3359" spans="1:9" ht="14.25" customHeight="1">
      <c r="A3359" s="2" t="s">
        <v>15</v>
      </c>
      <c r="B3359" s="2">
        <v>1986</v>
      </c>
      <c r="C3359" s="2" t="s">
        <v>65</v>
      </c>
      <c r="E3359" s="2">
        <f t="shared" si="44"/>
        <v>748.98</v>
      </c>
      <c r="H3359" s="2">
        <f t="shared" si="45"/>
        <v>664.43889342827129</v>
      </c>
      <c r="I3359" s="2">
        <f t="shared" si="41"/>
        <v>325.5750577798529</v>
      </c>
    </row>
    <row r="3360" spans="1:9" ht="14.25" customHeight="1">
      <c r="A3360" s="2" t="s">
        <v>15</v>
      </c>
      <c r="B3360" s="2">
        <v>1987</v>
      </c>
      <c r="C3360" s="2" t="s">
        <v>65</v>
      </c>
      <c r="E3360" s="2">
        <f t="shared" si="44"/>
        <v>809.13099999999997</v>
      </c>
      <c r="H3360" s="2">
        <f t="shared" si="45"/>
        <v>717.80035018092678</v>
      </c>
      <c r="I3360" s="2">
        <f t="shared" si="41"/>
        <v>351.72217158865413</v>
      </c>
    </row>
    <row r="3361" spans="1:9" ht="14.25" customHeight="1">
      <c r="A3361" s="2" t="s">
        <v>15</v>
      </c>
      <c r="B3361" s="2">
        <v>1988</v>
      </c>
      <c r="C3361" s="2" t="s">
        <v>65</v>
      </c>
      <c r="E3361" s="2">
        <f t="shared" si="44"/>
        <v>808.31500000000005</v>
      </c>
      <c r="H3361" s="2">
        <f t="shared" si="45"/>
        <v>717.07645616902073</v>
      </c>
      <c r="I3361" s="2">
        <f t="shared" si="41"/>
        <v>351.36746352282017</v>
      </c>
    </row>
    <row r="3362" spans="1:9" ht="14.25" customHeight="1">
      <c r="A3362" s="2" t="s">
        <v>15</v>
      </c>
      <c r="B3362" s="2">
        <v>1989</v>
      </c>
      <c r="C3362" s="2" t="s">
        <v>65</v>
      </c>
      <c r="E3362" s="2">
        <f t="shared" si="44"/>
        <v>746.06500000000005</v>
      </c>
      <c r="H3362" s="2">
        <f t="shared" si="45"/>
        <v>661.852924010739</v>
      </c>
      <c r="I3362" s="2">
        <f t="shared" si="41"/>
        <v>324.30793276526208</v>
      </c>
    </row>
    <row r="3363" spans="1:9" ht="14.25" customHeight="1">
      <c r="A3363" s="2" t="s">
        <v>15</v>
      </c>
      <c r="B3363" s="2">
        <v>1990</v>
      </c>
      <c r="C3363" s="2" t="s">
        <v>65</v>
      </c>
      <c r="E3363" s="2">
        <f t="shared" si="44"/>
        <v>662.64099999999996</v>
      </c>
      <c r="H3363" s="2">
        <f t="shared" si="45"/>
        <v>587.84540679350994</v>
      </c>
      <c r="I3363" s="2">
        <f t="shared" si="41"/>
        <v>288.04424932881989</v>
      </c>
    </row>
    <row r="3364" spans="1:9" ht="14.25" customHeight="1">
      <c r="A3364" s="2" t="s">
        <v>15</v>
      </c>
      <c r="B3364" s="2">
        <v>1991</v>
      </c>
      <c r="C3364" s="2" t="s">
        <v>65</v>
      </c>
      <c r="E3364" s="2">
        <f t="shared" si="44"/>
        <v>660.84299999999996</v>
      </c>
      <c r="H3364" s="2">
        <f t="shared" si="45"/>
        <v>586.25035601727564</v>
      </c>
      <c r="I3364" s="2">
        <f t="shared" si="41"/>
        <v>287.26267444846508</v>
      </c>
    </row>
    <row r="3365" spans="1:9" ht="14.25" customHeight="1">
      <c r="A3365" s="2" t="s">
        <v>15</v>
      </c>
      <c r="B3365" s="2">
        <v>1992</v>
      </c>
      <c r="C3365" s="2" t="s">
        <v>65</v>
      </c>
      <c r="E3365" s="2">
        <f t="shared" si="44"/>
        <v>701.23799999999994</v>
      </c>
      <c r="H3365" s="2">
        <f t="shared" si="45"/>
        <v>622.08577098167382</v>
      </c>
      <c r="I3365" s="2">
        <f t="shared" si="41"/>
        <v>304.82202778102015</v>
      </c>
    </row>
    <row r="3366" spans="1:9" ht="14.25" customHeight="1">
      <c r="A3366" s="2" t="s">
        <v>15</v>
      </c>
      <c r="B3366" s="2">
        <v>1993</v>
      </c>
      <c r="C3366" s="2" t="s">
        <v>65</v>
      </c>
      <c r="E3366" s="2">
        <f t="shared" si="44"/>
        <v>753.17699999999991</v>
      </c>
      <c r="H3366" s="2">
        <f t="shared" si="45"/>
        <v>668.16215711450911</v>
      </c>
      <c r="I3366" s="2">
        <f t="shared" si="41"/>
        <v>327.39945698610944</v>
      </c>
    </row>
    <row r="3367" spans="1:9" ht="14.25" customHeight="1">
      <c r="A3367" s="2" t="s">
        <v>15</v>
      </c>
      <c r="B3367" s="2">
        <v>1994</v>
      </c>
      <c r="C3367" s="2" t="s">
        <v>65</v>
      </c>
      <c r="E3367" s="2">
        <f t="shared" si="44"/>
        <v>759.97499999999991</v>
      </c>
      <c r="H3367" s="2">
        <f t="shared" si="45"/>
        <v>674.19283296369792</v>
      </c>
      <c r="I3367" s="2">
        <f t="shared" si="41"/>
        <v>330.35448815221196</v>
      </c>
    </row>
    <row r="3368" spans="1:9" ht="14.25" customHeight="1">
      <c r="A3368" s="2" t="s">
        <v>15</v>
      </c>
      <c r="B3368" s="2">
        <v>1995</v>
      </c>
      <c r="C3368" s="2" t="s">
        <v>65</v>
      </c>
      <c r="E3368" s="2">
        <f t="shared" si="44"/>
        <v>779.94799999999998</v>
      </c>
      <c r="H3368" s="2">
        <f t="shared" si="45"/>
        <v>691.91138088012144</v>
      </c>
      <c r="I3368" s="2">
        <f t="shared" si="41"/>
        <v>339.03657663125949</v>
      </c>
    </row>
    <row r="3369" spans="1:9" ht="14.25" customHeight="1">
      <c r="A3369" s="2" t="s">
        <v>15</v>
      </c>
      <c r="B3369" s="2">
        <v>1996</v>
      </c>
      <c r="C3369" s="2" t="s">
        <v>65</v>
      </c>
      <c r="E3369" s="2">
        <f t="shared" si="44"/>
        <v>731.76699999999994</v>
      </c>
      <c r="H3369" s="2">
        <f t="shared" si="45"/>
        <v>649.16881055211854</v>
      </c>
      <c r="I3369" s="2">
        <f t="shared" si="41"/>
        <v>318.09271717053809</v>
      </c>
    </row>
    <row r="3370" spans="1:9" ht="14.25" customHeight="1">
      <c r="A3370" s="2" t="s">
        <v>15</v>
      </c>
      <c r="B3370" s="2">
        <v>1997</v>
      </c>
      <c r="C3370" s="2" t="s">
        <v>65</v>
      </c>
      <c r="E3370" s="2">
        <f t="shared" si="44"/>
        <v>747.1690000000001</v>
      </c>
      <c r="H3370" s="2">
        <f t="shared" si="45"/>
        <v>662.83231002684738</v>
      </c>
      <c r="I3370" s="2">
        <f t="shared" si="41"/>
        <v>324.78783191315523</v>
      </c>
    </row>
    <row r="3371" spans="1:9" ht="14.25" customHeight="1">
      <c r="A3371" s="2" t="s">
        <v>15</v>
      </c>
      <c r="B3371" s="2">
        <v>1998</v>
      </c>
      <c r="C3371" s="2" t="s">
        <v>65</v>
      </c>
      <c r="E3371" s="2">
        <f t="shared" si="44"/>
        <v>787.95299999999997</v>
      </c>
      <c r="H3371" s="2">
        <f t="shared" si="45"/>
        <v>699.01281662192139</v>
      </c>
      <c r="I3371" s="2">
        <f t="shared" si="41"/>
        <v>342.51628014474147</v>
      </c>
    </row>
    <row r="3372" spans="1:9" ht="14.25" customHeight="1">
      <c r="A3372" s="2" t="s">
        <v>15</v>
      </c>
      <c r="B3372" s="2">
        <v>1999</v>
      </c>
      <c r="C3372" s="2" t="s">
        <v>65</v>
      </c>
      <c r="E3372" s="2">
        <f t="shared" ref="E3372:E3391" si="46">E2955-E2405</f>
        <v>710.67099999999994</v>
      </c>
      <c r="H3372" s="2">
        <f t="shared" ref="H3372:H3391" si="47">E3372*0.887125014590872</f>
        <v>630.4540212443095</v>
      </c>
      <c r="I3372" s="2">
        <f t="shared" si="41"/>
        <v>308.92247040971165</v>
      </c>
    </row>
    <row r="3373" spans="1:9" ht="14.25" customHeight="1">
      <c r="A3373" s="2" t="s">
        <v>15</v>
      </c>
      <c r="B3373" s="2">
        <v>2000</v>
      </c>
      <c r="C3373" s="2" t="s">
        <v>65</v>
      </c>
      <c r="E3373" s="2">
        <f t="shared" si="46"/>
        <v>610.71800000000007</v>
      </c>
      <c r="H3373" s="2">
        <f t="shared" si="47"/>
        <v>541.78321466090824</v>
      </c>
      <c r="I3373" s="2">
        <f t="shared" si="41"/>
        <v>265.47377518384502</v>
      </c>
    </row>
    <row r="3374" spans="1:9" ht="14.25" customHeight="1">
      <c r="A3374" s="2" t="s">
        <v>15</v>
      </c>
      <c r="B3374" s="2">
        <v>2001</v>
      </c>
      <c r="C3374" s="2" t="s">
        <v>65</v>
      </c>
      <c r="E3374" s="2">
        <f t="shared" si="46"/>
        <v>589.47199999999998</v>
      </c>
      <c r="H3374" s="2">
        <f t="shared" si="47"/>
        <v>522.9353566009105</v>
      </c>
      <c r="I3374" s="2">
        <f t="shared" si="41"/>
        <v>256.23832473444611</v>
      </c>
    </row>
    <row r="3375" spans="1:9" ht="14.25" customHeight="1">
      <c r="A3375" s="2" t="s">
        <v>15</v>
      </c>
      <c r="B3375" s="2">
        <v>2002</v>
      </c>
      <c r="C3375" s="2" t="s">
        <v>65</v>
      </c>
      <c r="E3375" s="2">
        <f t="shared" si="46"/>
        <v>545.20300000000009</v>
      </c>
      <c r="H3375" s="2">
        <f t="shared" si="47"/>
        <v>483.66321932998727</v>
      </c>
      <c r="I3375" s="2">
        <f t="shared" si="41"/>
        <v>236.99497747169377</v>
      </c>
    </row>
    <row r="3376" spans="1:9" ht="14.25" customHeight="1">
      <c r="A3376" s="2" t="s">
        <v>15</v>
      </c>
      <c r="B3376" s="2">
        <v>2003</v>
      </c>
      <c r="C3376" s="2" t="s">
        <v>65</v>
      </c>
      <c r="E3376" s="2">
        <f t="shared" si="46"/>
        <v>493.01400000000001</v>
      </c>
      <c r="H3376" s="2">
        <f t="shared" si="47"/>
        <v>437.36505194350417</v>
      </c>
      <c r="I3376" s="2">
        <f t="shared" si="41"/>
        <v>214.30887545231704</v>
      </c>
    </row>
    <row r="3377" spans="1:9" ht="14.25" customHeight="1">
      <c r="A3377" s="2" t="s">
        <v>15</v>
      </c>
      <c r="B3377" s="2">
        <v>2004</v>
      </c>
      <c r="C3377" s="2" t="s">
        <v>65</v>
      </c>
      <c r="E3377" s="2">
        <f t="shared" si="46"/>
        <v>520.40100000000007</v>
      </c>
      <c r="H3377" s="2">
        <f t="shared" si="47"/>
        <v>461.66074471810447</v>
      </c>
      <c r="I3377" s="2">
        <f t="shared" si="41"/>
        <v>226.21376491187118</v>
      </c>
    </row>
    <row r="3378" spans="1:9" ht="14.25" customHeight="1">
      <c r="A3378" s="2" t="s">
        <v>15</v>
      </c>
      <c r="B3378" s="2">
        <v>2005</v>
      </c>
      <c r="C3378" s="2" t="s">
        <v>65</v>
      </c>
      <c r="E3378" s="2">
        <f t="shared" si="46"/>
        <v>548.96499999999992</v>
      </c>
      <c r="H3378" s="2">
        <f t="shared" si="47"/>
        <v>487.00058363487796</v>
      </c>
      <c r="I3378" s="2">
        <f t="shared" si="41"/>
        <v>238.6302859810902</v>
      </c>
    </row>
    <row r="3379" spans="1:9" ht="14.25" customHeight="1">
      <c r="A3379" s="2" t="s">
        <v>15</v>
      </c>
      <c r="B3379" s="2">
        <v>2006</v>
      </c>
      <c r="C3379" s="2" t="s">
        <v>65</v>
      </c>
      <c r="E3379" s="2">
        <f t="shared" si="46"/>
        <v>465.70357000000001</v>
      </c>
      <c r="H3379" s="2">
        <f t="shared" si="47"/>
        <v>413.13728633127118</v>
      </c>
      <c r="I3379" s="2">
        <f t="shared" si="41"/>
        <v>202.43727030232287</v>
      </c>
    </row>
    <row r="3380" spans="1:9" ht="14.25" customHeight="1">
      <c r="A3380" s="2" t="s">
        <v>15</v>
      </c>
      <c r="B3380" s="2">
        <v>2007</v>
      </c>
      <c r="C3380" s="2" t="s">
        <v>65</v>
      </c>
      <c r="E3380" s="2">
        <f t="shared" si="46"/>
        <v>449.39844000000005</v>
      </c>
      <c r="H3380" s="2">
        <f t="shared" si="47"/>
        <v>398.67259764211514</v>
      </c>
      <c r="I3380" s="2">
        <f t="shared" si="41"/>
        <v>195.34957284463641</v>
      </c>
    </row>
    <row r="3381" spans="1:9" ht="14.25" customHeight="1">
      <c r="A3381" s="2" t="s">
        <v>15</v>
      </c>
      <c r="B3381" s="2">
        <v>2008</v>
      </c>
      <c r="C3381" s="2" t="s">
        <v>65</v>
      </c>
      <c r="E3381" s="2">
        <f t="shared" si="46"/>
        <v>398.4328799999999</v>
      </c>
      <c r="H3381" s="2">
        <f t="shared" si="47"/>
        <v>353.45977448348305</v>
      </c>
      <c r="I3381" s="2">
        <f t="shared" si="41"/>
        <v>173.1952894969067</v>
      </c>
    </row>
    <row r="3382" spans="1:9" ht="14.25" customHeight="1">
      <c r="A3382" s="2" t="s">
        <v>15</v>
      </c>
      <c r="B3382" s="2">
        <v>2009</v>
      </c>
      <c r="C3382" s="2" t="s">
        <v>65</v>
      </c>
      <c r="E3382" s="2">
        <f t="shared" si="46"/>
        <v>430.00151</v>
      </c>
      <c r="H3382" s="2">
        <f t="shared" si="47"/>
        <v>381.465095832847</v>
      </c>
      <c r="I3382" s="2">
        <f t="shared" si="41"/>
        <v>186.91789695809501</v>
      </c>
    </row>
    <row r="3383" spans="1:9" ht="14.25" customHeight="1">
      <c r="A3383" s="2" t="s">
        <v>15</v>
      </c>
      <c r="B3383" s="2">
        <v>2010</v>
      </c>
      <c r="C3383" s="2" t="s">
        <v>65</v>
      </c>
      <c r="E3383" s="2">
        <f t="shared" si="46"/>
        <v>429.46839999999997</v>
      </c>
      <c r="H3383" s="2">
        <f t="shared" si="47"/>
        <v>380.99216061631842</v>
      </c>
      <c r="I3383" s="2">
        <f t="shared" si="41"/>
        <v>186.68615870199602</v>
      </c>
    </row>
    <row r="3384" spans="1:9" ht="14.25" customHeight="1">
      <c r="A3384" s="2" t="s">
        <v>15</v>
      </c>
      <c r="B3384" s="2">
        <v>2011</v>
      </c>
      <c r="C3384" s="2" t="s">
        <v>65</v>
      </c>
      <c r="E3384" s="2">
        <f t="shared" si="46"/>
        <v>429.96744000000001</v>
      </c>
      <c r="H3384" s="2">
        <f t="shared" si="47"/>
        <v>381.43487148359992</v>
      </c>
      <c r="I3384" s="2">
        <f t="shared" si="41"/>
        <v>186.90308702696396</v>
      </c>
    </row>
    <row r="3385" spans="1:9" ht="14.25" customHeight="1">
      <c r="A3385" s="2" t="s">
        <v>15</v>
      </c>
      <c r="B3385" s="2">
        <v>2012</v>
      </c>
      <c r="C3385" s="2" t="s">
        <v>65</v>
      </c>
      <c r="E3385" s="2">
        <f t="shared" si="46"/>
        <v>456.58019999999999</v>
      </c>
      <c r="H3385" s="2">
        <f t="shared" si="47"/>
        <v>405.04371658690326</v>
      </c>
      <c r="I3385" s="2">
        <f t="shared" si="41"/>
        <v>198.4714211275826</v>
      </c>
    </row>
    <row r="3386" spans="1:9" ht="14.25" customHeight="1">
      <c r="A3386" s="2" t="s">
        <v>15</v>
      </c>
      <c r="B3386" s="2">
        <v>2013</v>
      </c>
      <c r="C3386" s="2" t="s">
        <v>65</v>
      </c>
      <c r="E3386" s="2">
        <f t="shared" si="46"/>
        <v>468.3982400000001</v>
      </c>
      <c r="H3386" s="2">
        <f t="shared" si="47"/>
        <v>415.52779549433887</v>
      </c>
      <c r="I3386" s="2">
        <f t="shared" si="41"/>
        <v>203.60861979222605</v>
      </c>
    </row>
    <row r="3387" spans="1:9" ht="14.25" customHeight="1">
      <c r="A3387" s="2" t="s">
        <v>15</v>
      </c>
      <c r="B3387" s="2">
        <v>2014</v>
      </c>
      <c r="C3387" s="2" t="s">
        <v>65</v>
      </c>
      <c r="E3387" s="2">
        <f t="shared" si="46"/>
        <v>605.18921</v>
      </c>
      <c r="H3387" s="2">
        <f t="shared" si="47"/>
        <v>536.87848675148825</v>
      </c>
      <c r="I3387" s="2">
        <f t="shared" si="41"/>
        <v>263.07045850822925</v>
      </c>
    </row>
    <row r="3388" spans="1:9" ht="14.25" customHeight="1">
      <c r="A3388" s="2" t="s">
        <v>15</v>
      </c>
      <c r="B3388" s="2">
        <v>2015</v>
      </c>
      <c r="C3388" s="2" t="s">
        <v>65</v>
      </c>
      <c r="E3388" s="2">
        <f t="shared" si="46"/>
        <v>557.61688000000004</v>
      </c>
      <c r="H3388" s="2">
        <f t="shared" si="47"/>
        <v>494.67588280611653</v>
      </c>
      <c r="I3388" s="2">
        <f t="shared" si="41"/>
        <v>242.39118257499709</v>
      </c>
    </row>
    <row r="3389" spans="1:9" ht="14.25" customHeight="1">
      <c r="A3389" s="2" t="s">
        <v>15</v>
      </c>
      <c r="B3389" s="2">
        <v>2016</v>
      </c>
      <c r="C3389" s="2" t="s">
        <v>65</v>
      </c>
      <c r="E3389" s="2">
        <f t="shared" si="46"/>
        <v>546.80915000000005</v>
      </c>
      <c r="H3389" s="2">
        <f t="shared" si="47"/>
        <v>485.08807517217235</v>
      </c>
      <c r="I3389" s="2">
        <f t="shared" si="41"/>
        <v>237.69315683436446</v>
      </c>
    </row>
    <row r="3390" spans="1:9" ht="14.25" customHeight="1">
      <c r="A3390" s="2" t="s">
        <v>15</v>
      </c>
      <c r="B3390" s="2">
        <v>2017</v>
      </c>
      <c r="C3390" s="2" t="s">
        <v>65</v>
      </c>
      <c r="E3390" s="2">
        <f t="shared" si="46"/>
        <v>578.35825</v>
      </c>
      <c r="H3390" s="2">
        <f t="shared" si="47"/>
        <v>513.07607097000118</v>
      </c>
      <c r="I3390" s="2">
        <f t="shared" si="41"/>
        <v>251.40727477530058</v>
      </c>
    </row>
    <row r="3391" spans="1:9" ht="14.25" customHeight="1">
      <c r="A3391" s="2" t="s">
        <v>15</v>
      </c>
      <c r="B3391" s="2">
        <v>2018</v>
      </c>
      <c r="C3391" s="2" t="s">
        <v>65</v>
      </c>
      <c r="E3391" s="2">
        <f t="shared" si="46"/>
        <v>563.11660700000004</v>
      </c>
      <c r="H3391" s="2">
        <f t="shared" si="47"/>
        <v>499.5548282012374</v>
      </c>
      <c r="I3391" s="2">
        <f t="shared" si="41"/>
        <v>244.78186581860632</v>
      </c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3" width="8.7109375" customWidth="1"/>
    <col min="4" max="4" width="15.28515625" customWidth="1"/>
    <col min="5" max="5" width="11.85546875" customWidth="1"/>
    <col min="6" max="7" width="11.28515625" customWidth="1"/>
    <col min="8" max="9" width="11.85546875" customWidth="1"/>
    <col min="10" max="10" width="19.140625" customWidth="1"/>
    <col min="11" max="24" width="8.7109375" customWidth="1"/>
  </cols>
  <sheetData>
    <row r="1" spans="1:24" ht="14.25" customHeight="1">
      <c r="A1" s="1" t="s">
        <v>0</v>
      </c>
      <c r="B1" s="1" t="s">
        <v>1</v>
      </c>
      <c r="C1" s="1" t="s">
        <v>2</v>
      </c>
      <c r="D1" s="26" t="s">
        <v>382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4.25" customHeight="1">
      <c r="A2" s="2" t="s">
        <v>15</v>
      </c>
      <c r="B2" s="2">
        <v>1950</v>
      </c>
      <c r="C2" s="2" t="s">
        <v>22</v>
      </c>
      <c r="D2" s="2">
        <v>0</v>
      </c>
      <c r="E2" s="2">
        <v>0</v>
      </c>
      <c r="F2" s="3">
        <f t="shared" ref="F2:F256" si="0">E2/1000</f>
        <v>0</v>
      </c>
      <c r="G2" s="3">
        <f t="shared" ref="G2:G256" si="1">D2/1000</f>
        <v>0</v>
      </c>
      <c r="H2" s="3">
        <f>F2*(VLOOKUP(B2,Price_data!A$1:B$190,2,FALSE))</f>
        <v>0</v>
      </c>
      <c r="J2" s="5"/>
    </row>
    <row r="3" spans="1:24" ht="14.25" customHeight="1">
      <c r="A3" s="2" t="s">
        <v>15</v>
      </c>
      <c r="B3" s="2">
        <v>1951</v>
      </c>
      <c r="C3" s="2" t="s">
        <v>22</v>
      </c>
      <c r="D3" s="2">
        <v>0</v>
      </c>
      <c r="E3" s="2">
        <v>0</v>
      </c>
      <c r="F3" s="3">
        <f t="shared" si="0"/>
        <v>0</v>
      </c>
      <c r="G3" s="3">
        <f t="shared" si="1"/>
        <v>0</v>
      </c>
      <c r="H3" s="3">
        <f>F3*(VLOOKUP(B3,Price_data!A$1:B$190,2,FALSE))</f>
        <v>0</v>
      </c>
      <c r="J3" s="5"/>
    </row>
    <row r="4" spans="1:24" ht="14.25" customHeight="1">
      <c r="A4" s="2" t="s">
        <v>15</v>
      </c>
      <c r="B4" s="2">
        <v>1952</v>
      </c>
      <c r="C4" s="2" t="s">
        <v>22</v>
      </c>
      <c r="D4" s="2">
        <v>0</v>
      </c>
      <c r="E4" s="2">
        <v>0</v>
      </c>
      <c r="F4" s="3">
        <f t="shared" si="0"/>
        <v>0</v>
      </c>
      <c r="G4" s="3">
        <f t="shared" si="1"/>
        <v>0</v>
      </c>
      <c r="H4" s="3">
        <f>F4*(VLOOKUP(B4,Price_data!A$1:B$190,2,FALSE))</f>
        <v>0</v>
      </c>
      <c r="J4" s="5"/>
    </row>
    <row r="5" spans="1:24" ht="14.25" customHeight="1">
      <c r="A5" s="2" t="s">
        <v>15</v>
      </c>
      <c r="B5" s="2">
        <v>1953</v>
      </c>
      <c r="C5" s="2" t="s">
        <v>22</v>
      </c>
      <c r="D5" s="2">
        <v>0</v>
      </c>
      <c r="E5" s="2">
        <v>0</v>
      </c>
      <c r="F5" s="3">
        <f t="shared" si="0"/>
        <v>0</v>
      </c>
      <c r="G5" s="3">
        <f t="shared" si="1"/>
        <v>0</v>
      </c>
      <c r="H5" s="3">
        <f>F5*(VLOOKUP(B5,Price_data!A$1:B$190,2,FALSE))</f>
        <v>0</v>
      </c>
      <c r="J5" s="5"/>
    </row>
    <row r="6" spans="1:24" ht="14.25" customHeight="1">
      <c r="A6" s="2" t="s">
        <v>15</v>
      </c>
      <c r="B6" s="2">
        <v>1954</v>
      </c>
      <c r="C6" s="2" t="s">
        <v>22</v>
      </c>
      <c r="D6" s="2">
        <v>0</v>
      </c>
      <c r="E6" s="2">
        <v>0</v>
      </c>
      <c r="F6" s="3">
        <f t="shared" si="0"/>
        <v>0</v>
      </c>
      <c r="G6" s="3">
        <f t="shared" si="1"/>
        <v>0</v>
      </c>
      <c r="H6" s="3">
        <f>F6*(VLOOKUP(B6,Price_data!A$1:B$190,2,FALSE))</f>
        <v>0</v>
      </c>
      <c r="J6" s="5"/>
    </row>
    <row r="7" spans="1:24" ht="14.25" customHeight="1">
      <c r="A7" s="2" t="s">
        <v>15</v>
      </c>
      <c r="B7" s="2">
        <v>1955</v>
      </c>
      <c r="C7" s="2" t="s">
        <v>22</v>
      </c>
      <c r="D7" s="2">
        <v>0</v>
      </c>
      <c r="E7" s="2">
        <v>0</v>
      </c>
      <c r="F7" s="3">
        <f t="shared" si="0"/>
        <v>0</v>
      </c>
      <c r="G7" s="3">
        <f t="shared" si="1"/>
        <v>0</v>
      </c>
      <c r="H7" s="3">
        <f>F7*(VLOOKUP(B7,Price_data!A$1:B$190,2,FALSE))</f>
        <v>0</v>
      </c>
      <c r="J7" s="5"/>
    </row>
    <row r="8" spans="1:24" ht="14.25" customHeight="1">
      <c r="A8" s="2" t="s">
        <v>15</v>
      </c>
      <c r="B8" s="2">
        <v>1956</v>
      </c>
      <c r="C8" s="2" t="s">
        <v>22</v>
      </c>
      <c r="D8" s="2">
        <v>0</v>
      </c>
      <c r="E8" s="2">
        <v>0</v>
      </c>
      <c r="F8" s="3">
        <f t="shared" si="0"/>
        <v>0</v>
      </c>
      <c r="G8" s="3">
        <f t="shared" si="1"/>
        <v>0</v>
      </c>
      <c r="H8" s="3">
        <f>F8*(VLOOKUP(B8,Price_data!A$1:B$190,2,FALSE))</f>
        <v>0</v>
      </c>
      <c r="J8" s="5"/>
    </row>
    <row r="9" spans="1:24" ht="14.25" customHeight="1">
      <c r="A9" s="2" t="s">
        <v>15</v>
      </c>
      <c r="B9" s="2">
        <v>1957</v>
      </c>
      <c r="C9" s="2" t="s">
        <v>22</v>
      </c>
      <c r="D9" s="2">
        <v>0</v>
      </c>
      <c r="E9" s="2">
        <v>0</v>
      </c>
      <c r="F9" s="3">
        <f t="shared" si="0"/>
        <v>0</v>
      </c>
      <c r="G9" s="3">
        <f t="shared" si="1"/>
        <v>0</v>
      </c>
      <c r="H9" s="3">
        <f>F9*(VLOOKUP(B9,Price_data!A$1:B$190,2,FALSE))</f>
        <v>0</v>
      </c>
      <c r="J9" s="5"/>
    </row>
    <row r="10" spans="1:24" ht="14.25" customHeight="1">
      <c r="A10" s="2" t="s">
        <v>15</v>
      </c>
      <c r="B10" s="2">
        <v>1958</v>
      </c>
      <c r="C10" s="2" t="s">
        <v>22</v>
      </c>
      <c r="D10" s="2">
        <v>0</v>
      </c>
      <c r="E10" s="2">
        <v>0</v>
      </c>
      <c r="F10" s="3">
        <f t="shared" si="0"/>
        <v>0</v>
      </c>
      <c r="G10" s="3">
        <f t="shared" si="1"/>
        <v>0</v>
      </c>
      <c r="H10" s="3">
        <f>F10*(VLOOKUP(B10,Price_data!A$1:B$190,2,FALSE))</f>
        <v>0</v>
      </c>
      <c r="J10" s="5"/>
    </row>
    <row r="11" spans="1:24" ht="14.25" customHeight="1">
      <c r="A11" s="2" t="s">
        <v>15</v>
      </c>
      <c r="B11" s="2">
        <v>1959</v>
      </c>
      <c r="C11" s="2" t="s">
        <v>22</v>
      </c>
      <c r="D11" s="2">
        <v>0</v>
      </c>
      <c r="E11" s="2">
        <v>0</v>
      </c>
      <c r="F11" s="3">
        <f t="shared" si="0"/>
        <v>0</v>
      </c>
      <c r="G11" s="3">
        <f t="shared" si="1"/>
        <v>0</v>
      </c>
      <c r="H11" s="3">
        <f>F11*(VLOOKUP(B11,Price_data!A$1:B$190,2,FALSE))</f>
        <v>0</v>
      </c>
      <c r="J11" s="5"/>
    </row>
    <row r="12" spans="1:24" ht="14.25" customHeight="1">
      <c r="A12" s="2" t="s">
        <v>15</v>
      </c>
      <c r="B12" s="2">
        <v>1960</v>
      </c>
      <c r="C12" s="2" t="s">
        <v>22</v>
      </c>
      <c r="D12" s="2">
        <v>0</v>
      </c>
      <c r="E12" s="2">
        <v>0</v>
      </c>
      <c r="F12" s="3">
        <f t="shared" si="0"/>
        <v>0</v>
      </c>
      <c r="G12" s="3">
        <f t="shared" si="1"/>
        <v>0</v>
      </c>
      <c r="H12" s="3">
        <f>F12*(VLOOKUP(B12,Price_data!A$1:B$190,2,FALSE))</f>
        <v>0</v>
      </c>
      <c r="J12" s="5"/>
    </row>
    <row r="13" spans="1:24" ht="14.25" customHeight="1">
      <c r="A13" s="2" t="s">
        <v>15</v>
      </c>
      <c r="B13" s="2">
        <v>1961</v>
      </c>
      <c r="C13" s="2" t="s">
        <v>22</v>
      </c>
      <c r="D13" s="2">
        <v>0</v>
      </c>
      <c r="E13" s="2">
        <v>0</v>
      </c>
      <c r="F13" s="3">
        <f t="shared" si="0"/>
        <v>0</v>
      </c>
      <c r="G13" s="3">
        <f t="shared" si="1"/>
        <v>0</v>
      </c>
      <c r="H13" s="3">
        <f>F13*(VLOOKUP(B13,Price_data!A$1:B$190,2,FALSE))</f>
        <v>0</v>
      </c>
      <c r="J13" s="5"/>
    </row>
    <row r="14" spans="1:24" ht="14.25" customHeight="1">
      <c r="A14" s="2" t="s">
        <v>15</v>
      </c>
      <c r="B14" s="2">
        <v>1962</v>
      </c>
      <c r="C14" s="2" t="s">
        <v>22</v>
      </c>
      <c r="D14" s="2">
        <v>0</v>
      </c>
      <c r="E14" s="2">
        <v>0</v>
      </c>
      <c r="F14" s="3">
        <f t="shared" si="0"/>
        <v>0</v>
      </c>
      <c r="G14" s="3">
        <f t="shared" si="1"/>
        <v>0</v>
      </c>
      <c r="H14" s="3">
        <f>F14*(VLOOKUP(B14,Price_data!A$1:B$190,2,FALSE))</f>
        <v>0</v>
      </c>
      <c r="J14" s="5"/>
    </row>
    <row r="15" spans="1:24" ht="14.25" customHeight="1">
      <c r="A15" s="2" t="s">
        <v>15</v>
      </c>
      <c r="B15" s="2">
        <v>1963</v>
      </c>
      <c r="C15" s="2" t="s">
        <v>22</v>
      </c>
      <c r="D15" s="2">
        <v>0</v>
      </c>
      <c r="E15" s="2">
        <v>0</v>
      </c>
      <c r="F15" s="3">
        <f t="shared" si="0"/>
        <v>0</v>
      </c>
      <c r="G15" s="3">
        <f t="shared" si="1"/>
        <v>0</v>
      </c>
      <c r="H15" s="3">
        <f>F15*(VLOOKUP(B15,Price_data!A$1:B$190,2,FALSE))</f>
        <v>0</v>
      </c>
      <c r="J15" s="5"/>
    </row>
    <row r="16" spans="1:24" ht="14.25" customHeight="1">
      <c r="A16" s="2" t="s">
        <v>15</v>
      </c>
      <c r="B16" s="2">
        <v>1964</v>
      </c>
      <c r="C16" s="2" t="s">
        <v>22</v>
      </c>
      <c r="D16" s="2">
        <v>0</v>
      </c>
      <c r="E16" s="2">
        <v>0</v>
      </c>
      <c r="F16" s="3">
        <f t="shared" si="0"/>
        <v>0</v>
      </c>
      <c r="G16" s="3">
        <f t="shared" si="1"/>
        <v>0</v>
      </c>
      <c r="H16" s="3">
        <f>F16*(VLOOKUP(B16,Price_data!A$1:B$190,2,FALSE))</f>
        <v>0</v>
      </c>
      <c r="J16" s="5"/>
    </row>
    <row r="17" spans="1:10" ht="14.25" customHeight="1">
      <c r="A17" s="2" t="s">
        <v>15</v>
      </c>
      <c r="B17" s="2">
        <v>1965</v>
      </c>
      <c r="C17" s="2" t="s">
        <v>22</v>
      </c>
      <c r="D17" s="2">
        <v>0</v>
      </c>
      <c r="E17" s="2">
        <v>0</v>
      </c>
      <c r="F17" s="3">
        <f t="shared" si="0"/>
        <v>0</v>
      </c>
      <c r="G17" s="3">
        <f t="shared" si="1"/>
        <v>0</v>
      </c>
      <c r="H17" s="3">
        <f>F17*(VLOOKUP(B17,Price_data!A$1:B$190,2,FALSE))</f>
        <v>0</v>
      </c>
      <c r="J17" s="5"/>
    </row>
    <row r="18" spans="1:10" ht="14.25" customHeight="1">
      <c r="A18" s="2" t="s">
        <v>15</v>
      </c>
      <c r="B18" s="2">
        <v>1966</v>
      </c>
      <c r="C18" s="2" t="s">
        <v>22</v>
      </c>
      <c r="D18" s="2">
        <v>0</v>
      </c>
      <c r="E18" s="2">
        <v>0</v>
      </c>
      <c r="F18" s="3">
        <f t="shared" si="0"/>
        <v>0</v>
      </c>
      <c r="G18" s="3">
        <f t="shared" si="1"/>
        <v>0</v>
      </c>
      <c r="H18" s="3">
        <f>F18*(VLOOKUP(B18,Price_data!A$1:B$190,2,FALSE))</f>
        <v>0</v>
      </c>
      <c r="J18" s="5"/>
    </row>
    <row r="19" spans="1:10" ht="14.25" customHeight="1">
      <c r="A19" s="2" t="s">
        <v>15</v>
      </c>
      <c r="B19" s="2">
        <v>1967</v>
      </c>
      <c r="C19" s="2" t="s">
        <v>22</v>
      </c>
      <c r="D19" s="2">
        <v>0</v>
      </c>
      <c r="E19" s="2">
        <v>0</v>
      </c>
      <c r="F19" s="3">
        <f t="shared" si="0"/>
        <v>0</v>
      </c>
      <c r="G19" s="3">
        <f t="shared" si="1"/>
        <v>0</v>
      </c>
      <c r="H19" s="3">
        <f>F19*(VLOOKUP(B19,Price_data!A$1:B$190,2,FALSE))</f>
        <v>0</v>
      </c>
      <c r="J19" s="5"/>
    </row>
    <row r="20" spans="1:10" ht="14.25" customHeight="1">
      <c r="A20" s="2" t="s">
        <v>15</v>
      </c>
      <c r="B20" s="2">
        <v>1968</v>
      </c>
      <c r="C20" s="2" t="s">
        <v>22</v>
      </c>
      <c r="D20" s="2">
        <v>0</v>
      </c>
      <c r="E20" s="2">
        <v>0</v>
      </c>
      <c r="F20" s="3">
        <f t="shared" si="0"/>
        <v>0</v>
      </c>
      <c r="G20" s="3">
        <f t="shared" si="1"/>
        <v>0</v>
      </c>
      <c r="H20" s="3">
        <f>F20*(VLOOKUP(B20,Price_data!A$1:B$190,2,FALSE))</f>
        <v>0</v>
      </c>
      <c r="J20" s="5"/>
    </row>
    <row r="21" spans="1:10" ht="14.25" customHeight="1">
      <c r="A21" s="2" t="s">
        <v>15</v>
      </c>
      <c r="B21" s="2">
        <v>1969</v>
      </c>
      <c r="C21" s="2" t="s">
        <v>22</v>
      </c>
      <c r="D21" s="2">
        <v>0</v>
      </c>
      <c r="E21" s="2">
        <v>0</v>
      </c>
      <c r="F21" s="3">
        <f t="shared" si="0"/>
        <v>0</v>
      </c>
      <c r="G21" s="3">
        <f t="shared" si="1"/>
        <v>0</v>
      </c>
      <c r="H21" s="3">
        <f>F21*(VLOOKUP(B21,Price_data!A$1:B$190,2,FALSE))</f>
        <v>0</v>
      </c>
      <c r="J21" s="5"/>
    </row>
    <row r="22" spans="1:10" ht="14.25" customHeight="1">
      <c r="A22" s="2" t="s">
        <v>15</v>
      </c>
      <c r="B22" s="2">
        <v>1970</v>
      </c>
      <c r="C22" s="2" t="s">
        <v>22</v>
      </c>
      <c r="D22" s="2">
        <v>0</v>
      </c>
      <c r="E22" s="2">
        <v>0</v>
      </c>
      <c r="F22" s="3">
        <f t="shared" si="0"/>
        <v>0</v>
      </c>
      <c r="G22" s="3">
        <f t="shared" si="1"/>
        <v>0</v>
      </c>
      <c r="H22" s="3">
        <f>F22*(VLOOKUP(B22,Price_data!A$1:B$190,2,FALSE))</f>
        <v>0</v>
      </c>
      <c r="J22" s="5"/>
    </row>
    <row r="23" spans="1:10" ht="14.25" customHeight="1">
      <c r="A23" s="2" t="s">
        <v>15</v>
      </c>
      <c r="B23" s="2">
        <v>1971</v>
      </c>
      <c r="C23" s="2" t="s">
        <v>22</v>
      </c>
      <c r="D23" s="2">
        <v>0</v>
      </c>
      <c r="E23" s="2">
        <v>0</v>
      </c>
      <c r="F23" s="3">
        <f t="shared" si="0"/>
        <v>0</v>
      </c>
      <c r="G23" s="3">
        <f t="shared" si="1"/>
        <v>0</v>
      </c>
      <c r="H23" s="3">
        <f>F23*(VLOOKUP(B23,Price_data!A$1:B$190,2,FALSE))</f>
        <v>0</v>
      </c>
      <c r="J23" s="5"/>
    </row>
    <row r="24" spans="1:10" ht="14.25" customHeight="1">
      <c r="A24" s="2" t="s">
        <v>15</v>
      </c>
      <c r="B24" s="2">
        <v>1972</v>
      </c>
      <c r="C24" s="2" t="s">
        <v>22</v>
      </c>
      <c r="D24" s="2">
        <v>0</v>
      </c>
      <c r="E24" s="2">
        <v>0</v>
      </c>
      <c r="F24" s="3">
        <f t="shared" si="0"/>
        <v>0</v>
      </c>
      <c r="G24" s="3">
        <f t="shared" si="1"/>
        <v>0</v>
      </c>
      <c r="H24" s="3">
        <f>F24*(VLOOKUP(B24,Price_data!A$1:B$190,2,FALSE))</f>
        <v>0</v>
      </c>
      <c r="J24" s="5"/>
    </row>
    <row r="25" spans="1:10" ht="14.25" customHeight="1">
      <c r="A25" s="2" t="s">
        <v>15</v>
      </c>
      <c r="B25" s="2">
        <v>1973</v>
      </c>
      <c r="C25" s="2" t="s">
        <v>22</v>
      </c>
      <c r="D25" s="2">
        <v>0</v>
      </c>
      <c r="E25" s="2">
        <v>0</v>
      </c>
      <c r="F25" s="3">
        <f t="shared" si="0"/>
        <v>0</v>
      </c>
      <c r="G25" s="3">
        <f t="shared" si="1"/>
        <v>0</v>
      </c>
      <c r="H25" s="3">
        <f>F25*(VLOOKUP(B25,Price_data!A$1:B$190,2,FALSE))</f>
        <v>0</v>
      </c>
      <c r="J25" s="5"/>
    </row>
    <row r="26" spans="1:10" ht="14.25" customHeight="1">
      <c r="A26" s="2" t="s">
        <v>15</v>
      </c>
      <c r="B26" s="2">
        <v>1974</v>
      </c>
      <c r="C26" s="2" t="s">
        <v>22</v>
      </c>
      <c r="D26" s="2">
        <v>0</v>
      </c>
      <c r="E26" s="2">
        <v>0</v>
      </c>
      <c r="F26" s="3">
        <f t="shared" si="0"/>
        <v>0</v>
      </c>
      <c r="G26" s="3">
        <f t="shared" si="1"/>
        <v>0</v>
      </c>
      <c r="H26" s="3">
        <f>F26*(VLOOKUP(B26,Price_data!A$1:B$190,2,FALSE))</f>
        <v>0</v>
      </c>
      <c r="J26" s="5"/>
    </row>
    <row r="27" spans="1:10" ht="14.25" customHeight="1">
      <c r="A27" s="2" t="s">
        <v>15</v>
      </c>
      <c r="B27" s="2">
        <v>1975</v>
      </c>
      <c r="C27" s="2" t="s">
        <v>22</v>
      </c>
      <c r="D27" s="2">
        <v>0</v>
      </c>
      <c r="E27" s="2">
        <v>0</v>
      </c>
      <c r="F27" s="3">
        <f t="shared" si="0"/>
        <v>0</v>
      </c>
      <c r="G27" s="3">
        <f t="shared" si="1"/>
        <v>0</v>
      </c>
      <c r="H27" s="3">
        <f>F27*(VLOOKUP(B27,Price_data!A$1:B$190,2,FALSE))</f>
        <v>0</v>
      </c>
      <c r="J27" s="5"/>
    </row>
    <row r="28" spans="1:10" ht="14.25" customHeight="1">
      <c r="A28" s="2" t="s">
        <v>15</v>
      </c>
      <c r="B28" s="2">
        <v>1976</v>
      </c>
      <c r="C28" s="2" t="s">
        <v>22</v>
      </c>
      <c r="D28" s="2">
        <v>0</v>
      </c>
      <c r="E28" s="2">
        <v>0</v>
      </c>
      <c r="F28" s="3">
        <f t="shared" si="0"/>
        <v>0</v>
      </c>
      <c r="G28" s="3">
        <f t="shared" si="1"/>
        <v>0</v>
      </c>
      <c r="H28" s="3">
        <f>F28*(VLOOKUP(B28,Price_data!A$1:B$190,2,FALSE))</f>
        <v>0</v>
      </c>
      <c r="J28" s="5"/>
    </row>
    <row r="29" spans="1:10" ht="14.25" customHeight="1">
      <c r="A29" s="2" t="s">
        <v>15</v>
      </c>
      <c r="B29" s="2">
        <v>1977</v>
      </c>
      <c r="C29" s="2" t="s">
        <v>22</v>
      </c>
      <c r="D29" s="2">
        <v>0</v>
      </c>
      <c r="E29" s="2">
        <v>0</v>
      </c>
      <c r="F29" s="3">
        <f t="shared" si="0"/>
        <v>0</v>
      </c>
      <c r="G29" s="3">
        <f t="shared" si="1"/>
        <v>0</v>
      </c>
      <c r="H29" s="3">
        <f>F29*(VLOOKUP(B29,Price_data!A$1:B$190,2,FALSE))</f>
        <v>0</v>
      </c>
      <c r="J29" s="5"/>
    </row>
    <row r="30" spans="1:10" ht="14.25" customHeight="1">
      <c r="A30" s="2" t="s">
        <v>15</v>
      </c>
      <c r="B30" s="2">
        <v>1978</v>
      </c>
      <c r="C30" s="2" t="s">
        <v>22</v>
      </c>
      <c r="D30" s="2">
        <v>0</v>
      </c>
      <c r="E30" s="2">
        <v>0</v>
      </c>
      <c r="F30" s="3">
        <f t="shared" si="0"/>
        <v>0</v>
      </c>
      <c r="G30" s="3">
        <f t="shared" si="1"/>
        <v>0</v>
      </c>
      <c r="H30" s="3">
        <f>F30*(VLOOKUP(B30,Price_data!A$1:B$190,2,FALSE))</f>
        <v>0</v>
      </c>
      <c r="J30" s="5"/>
    </row>
    <row r="31" spans="1:10" ht="14.25" customHeight="1">
      <c r="A31" s="2" t="s">
        <v>15</v>
      </c>
      <c r="B31" s="2">
        <v>1979</v>
      </c>
      <c r="C31" s="2" t="s">
        <v>22</v>
      </c>
      <c r="D31" s="2">
        <v>0</v>
      </c>
      <c r="E31" s="2">
        <v>0</v>
      </c>
      <c r="F31" s="3">
        <f t="shared" si="0"/>
        <v>0</v>
      </c>
      <c r="G31" s="3">
        <f t="shared" si="1"/>
        <v>0</v>
      </c>
      <c r="H31" s="3">
        <f>F31*(VLOOKUP(B31,Price_data!A$1:B$190,2,FALSE))</f>
        <v>0</v>
      </c>
      <c r="J31" s="5"/>
    </row>
    <row r="32" spans="1:10" ht="14.25" customHeight="1">
      <c r="A32" s="2" t="s">
        <v>15</v>
      </c>
      <c r="B32" s="2">
        <v>1980</v>
      </c>
      <c r="C32" s="2" t="s">
        <v>22</v>
      </c>
      <c r="D32" s="2">
        <v>0</v>
      </c>
      <c r="E32" s="2">
        <v>0</v>
      </c>
      <c r="F32" s="3">
        <f t="shared" si="0"/>
        <v>0</v>
      </c>
      <c r="G32" s="3">
        <f t="shared" si="1"/>
        <v>0</v>
      </c>
      <c r="H32" s="3">
        <f>F32*(VLOOKUP(B32,Price_data!A$1:B$190,2,FALSE))</f>
        <v>0</v>
      </c>
      <c r="J32" s="5"/>
    </row>
    <row r="33" spans="1:10" ht="14.25" customHeight="1">
      <c r="A33" s="2" t="s">
        <v>15</v>
      </c>
      <c r="B33" s="2">
        <v>1981</v>
      </c>
      <c r="C33" s="2" t="s">
        <v>22</v>
      </c>
      <c r="D33" s="2">
        <v>0</v>
      </c>
      <c r="E33" s="2">
        <v>0</v>
      </c>
      <c r="F33" s="3">
        <f t="shared" si="0"/>
        <v>0</v>
      </c>
      <c r="G33" s="3">
        <f t="shared" si="1"/>
        <v>0</v>
      </c>
      <c r="H33" s="3">
        <f>F33*(VLOOKUP(B33,Price_data!A$1:B$190,2,FALSE))</f>
        <v>0</v>
      </c>
      <c r="J33" s="5"/>
    </row>
    <row r="34" spans="1:10" ht="14.25" customHeight="1">
      <c r="A34" s="2" t="s">
        <v>15</v>
      </c>
      <c r="B34" s="2">
        <v>1982</v>
      </c>
      <c r="C34" s="2" t="s">
        <v>22</v>
      </c>
      <c r="D34" s="2">
        <v>0</v>
      </c>
      <c r="E34" s="2">
        <v>0</v>
      </c>
      <c r="F34" s="3">
        <f t="shared" si="0"/>
        <v>0</v>
      </c>
      <c r="G34" s="3">
        <f t="shared" si="1"/>
        <v>0</v>
      </c>
      <c r="H34" s="3">
        <f>F34*(VLOOKUP(B34,Price_data!A$1:B$190,2,FALSE))</f>
        <v>0</v>
      </c>
      <c r="J34" s="5"/>
    </row>
    <row r="35" spans="1:10" ht="14.25" customHeight="1">
      <c r="A35" s="2" t="s">
        <v>15</v>
      </c>
      <c r="B35" s="2">
        <v>1983</v>
      </c>
      <c r="C35" s="2" t="s">
        <v>22</v>
      </c>
      <c r="D35" s="2">
        <v>0</v>
      </c>
      <c r="E35" s="2">
        <v>0</v>
      </c>
      <c r="F35" s="3">
        <f t="shared" si="0"/>
        <v>0</v>
      </c>
      <c r="G35" s="3">
        <f t="shared" si="1"/>
        <v>0</v>
      </c>
      <c r="H35" s="3">
        <f>F35*(VLOOKUP(B35,Price_data!A$1:B$190,2,FALSE))</f>
        <v>0</v>
      </c>
      <c r="J35" s="5"/>
    </row>
    <row r="36" spans="1:10" ht="14.25" customHeight="1">
      <c r="A36" s="2" t="s">
        <v>15</v>
      </c>
      <c r="B36" s="2">
        <v>1984</v>
      </c>
      <c r="C36" s="2" t="s">
        <v>22</v>
      </c>
      <c r="D36" s="2">
        <v>0</v>
      </c>
      <c r="E36" s="2">
        <v>0</v>
      </c>
      <c r="F36" s="3">
        <f t="shared" si="0"/>
        <v>0</v>
      </c>
      <c r="G36" s="3">
        <f t="shared" si="1"/>
        <v>0</v>
      </c>
      <c r="H36" s="3">
        <f>F36*(VLOOKUP(B36,Price_data!A$1:B$190,2,FALSE))</f>
        <v>0</v>
      </c>
      <c r="J36" s="5"/>
    </row>
    <row r="37" spans="1:10" ht="14.25" customHeight="1">
      <c r="A37" s="2" t="s">
        <v>15</v>
      </c>
      <c r="B37" s="2">
        <v>1985</v>
      </c>
      <c r="C37" s="2" t="s">
        <v>22</v>
      </c>
      <c r="D37" s="2">
        <v>0</v>
      </c>
      <c r="E37" s="2">
        <v>0</v>
      </c>
      <c r="F37" s="3">
        <f t="shared" si="0"/>
        <v>0</v>
      </c>
      <c r="G37" s="3">
        <f t="shared" si="1"/>
        <v>0</v>
      </c>
      <c r="H37" s="3">
        <f>F37*(VLOOKUP(B37,Price_data!A$1:B$190,2,FALSE))</f>
        <v>0</v>
      </c>
      <c r="J37" s="5"/>
    </row>
    <row r="38" spans="1:10" ht="14.25" customHeight="1">
      <c r="A38" s="2" t="s">
        <v>15</v>
      </c>
      <c r="B38" s="2">
        <v>1986</v>
      </c>
      <c r="C38" s="2" t="s">
        <v>22</v>
      </c>
      <c r="D38" s="2">
        <v>0</v>
      </c>
      <c r="E38" s="2">
        <v>0</v>
      </c>
      <c r="F38" s="3">
        <f t="shared" si="0"/>
        <v>0</v>
      </c>
      <c r="G38" s="3">
        <f t="shared" si="1"/>
        <v>0</v>
      </c>
      <c r="H38" s="3">
        <f>F38*(VLOOKUP(B38,Price_data!A$1:B$190,2,FALSE))</f>
        <v>0</v>
      </c>
      <c r="J38" s="5"/>
    </row>
    <row r="39" spans="1:10" ht="14.25" customHeight="1">
      <c r="A39" s="2" t="s">
        <v>15</v>
      </c>
      <c r="B39" s="2">
        <v>1987</v>
      </c>
      <c r="C39" s="2" t="s">
        <v>22</v>
      </c>
      <c r="D39" s="2">
        <v>0</v>
      </c>
      <c r="E39" s="2">
        <v>0</v>
      </c>
      <c r="F39" s="3">
        <f t="shared" si="0"/>
        <v>0</v>
      </c>
      <c r="G39" s="3">
        <f t="shared" si="1"/>
        <v>0</v>
      </c>
      <c r="H39" s="3">
        <f>F39*(VLOOKUP(B39,Price_data!A$1:B$190,2,FALSE))</f>
        <v>0</v>
      </c>
      <c r="J39" s="5"/>
    </row>
    <row r="40" spans="1:10" ht="14.25" customHeight="1">
      <c r="A40" s="2" t="s">
        <v>15</v>
      </c>
      <c r="B40" s="2">
        <v>1988</v>
      </c>
      <c r="C40" s="2" t="s">
        <v>22</v>
      </c>
      <c r="D40" s="2">
        <v>0</v>
      </c>
      <c r="E40" s="2">
        <v>0</v>
      </c>
      <c r="F40" s="3">
        <f t="shared" si="0"/>
        <v>0</v>
      </c>
      <c r="G40" s="3">
        <f t="shared" si="1"/>
        <v>0</v>
      </c>
      <c r="H40" s="3">
        <f>F40*(VLOOKUP(B40,Price_data!A$1:B$190,2,FALSE))</f>
        <v>0</v>
      </c>
      <c r="J40" s="5"/>
    </row>
    <row r="41" spans="1:10" ht="14.25" customHeight="1">
      <c r="A41" s="2" t="s">
        <v>15</v>
      </c>
      <c r="B41" s="2">
        <v>1989</v>
      </c>
      <c r="C41" s="2" t="s">
        <v>22</v>
      </c>
      <c r="D41" s="2">
        <v>0</v>
      </c>
      <c r="E41" s="2">
        <v>0</v>
      </c>
      <c r="F41" s="3">
        <f t="shared" si="0"/>
        <v>0</v>
      </c>
      <c r="G41" s="3">
        <f t="shared" si="1"/>
        <v>0</v>
      </c>
      <c r="H41" s="3">
        <f>F41*(VLOOKUP(B41,Price_data!A$1:B$190,2,FALSE))</f>
        <v>0</v>
      </c>
      <c r="J41" s="5"/>
    </row>
    <row r="42" spans="1:10" ht="14.25" customHeight="1">
      <c r="A42" s="2" t="s">
        <v>15</v>
      </c>
      <c r="B42" s="2">
        <v>1990</v>
      </c>
      <c r="C42" s="2" t="s">
        <v>22</v>
      </c>
      <c r="D42" s="2">
        <v>0</v>
      </c>
      <c r="E42" s="2">
        <v>0</v>
      </c>
      <c r="F42" s="3">
        <f t="shared" si="0"/>
        <v>0</v>
      </c>
      <c r="G42" s="3">
        <f t="shared" si="1"/>
        <v>0</v>
      </c>
      <c r="H42" s="3">
        <f>F42*(VLOOKUP(B42,Price_data!A$1:B$190,2,FALSE))</f>
        <v>0</v>
      </c>
      <c r="J42" s="5"/>
    </row>
    <row r="43" spans="1:10" ht="14.25" customHeight="1">
      <c r="A43" s="2" t="s">
        <v>15</v>
      </c>
      <c r="B43" s="2">
        <v>1991</v>
      </c>
      <c r="C43" s="2" t="s">
        <v>22</v>
      </c>
      <c r="D43" s="2">
        <v>0</v>
      </c>
      <c r="E43" s="2">
        <v>0</v>
      </c>
      <c r="F43" s="3">
        <f t="shared" si="0"/>
        <v>0</v>
      </c>
      <c r="G43" s="3">
        <f t="shared" si="1"/>
        <v>0</v>
      </c>
      <c r="H43" s="3">
        <f>F43*(VLOOKUP(B43,Price_data!A$1:B$190,2,FALSE))</f>
        <v>0</v>
      </c>
      <c r="J43" s="5"/>
    </row>
    <row r="44" spans="1:10" ht="14.25" customHeight="1">
      <c r="A44" s="2" t="s">
        <v>15</v>
      </c>
      <c r="B44" s="2">
        <v>1992</v>
      </c>
      <c r="C44" s="2" t="s">
        <v>22</v>
      </c>
      <c r="D44" s="2">
        <v>0</v>
      </c>
      <c r="E44" s="2">
        <v>0</v>
      </c>
      <c r="F44" s="3">
        <f t="shared" si="0"/>
        <v>0</v>
      </c>
      <c r="G44" s="3">
        <f t="shared" si="1"/>
        <v>0</v>
      </c>
      <c r="H44" s="3">
        <f>F44*(VLOOKUP(B44,Price_data!A$1:B$190,2,FALSE))</f>
        <v>0</v>
      </c>
      <c r="J44" s="5"/>
    </row>
    <row r="45" spans="1:10" ht="14.25" customHeight="1">
      <c r="A45" s="2" t="s">
        <v>15</v>
      </c>
      <c r="B45" s="2">
        <v>1993</v>
      </c>
      <c r="C45" s="2" t="s">
        <v>22</v>
      </c>
      <c r="D45" s="2">
        <v>0</v>
      </c>
      <c r="E45" s="2">
        <v>0</v>
      </c>
      <c r="F45" s="3">
        <f t="shared" si="0"/>
        <v>0</v>
      </c>
      <c r="G45" s="3">
        <f t="shared" si="1"/>
        <v>0</v>
      </c>
      <c r="H45" s="3">
        <f>F45*(VLOOKUP(B45,Price_data!A$1:B$190,2,FALSE))</f>
        <v>0</v>
      </c>
      <c r="J45" s="5"/>
    </row>
    <row r="46" spans="1:10" ht="14.25" customHeight="1">
      <c r="A46" s="2" t="s">
        <v>15</v>
      </c>
      <c r="B46" s="2">
        <v>1994</v>
      </c>
      <c r="C46" s="2" t="s">
        <v>22</v>
      </c>
      <c r="D46" s="2">
        <v>0</v>
      </c>
      <c r="E46" s="2">
        <v>0</v>
      </c>
      <c r="F46" s="3">
        <f t="shared" si="0"/>
        <v>0</v>
      </c>
      <c r="G46" s="3">
        <f t="shared" si="1"/>
        <v>0</v>
      </c>
      <c r="H46" s="3">
        <f>F46*(VLOOKUP(B46,Price_data!A$1:B$190,2,FALSE))</f>
        <v>0</v>
      </c>
      <c r="J46" s="5"/>
    </row>
    <row r="47" spans="1:10" ht="14.25" customHeight="1">
      <c r="A47" s="2" t="s">
        <v>15</v>
      </c>
      <c r="B47" s="2">
        <v>1995</v>
      </c>
      <c r="C47" s="2" t="s">
        <v>22</v>
      </c>
      <c r="D47" s="2">
        <v>0</v>
      </c>
      <c r="E47" s="2">
        <v>0</v>
      </c>
      <c r="F47" s="3">
        <f t="shared" si="0"/>
        <v>0</v>
      </c>
      <c r="G47" s="3">
        <f t="shared" si="1"/>
        <v>0</v>
      </c>
      <c r="H47" s="3">
        <f>F47*(VLOOKUP(B47,Price_data!A$1:B$190,2,FALSE))</f>
        <v>0</v>
      </c>
      <c r="J47" s="5"/>
    </row>
    <row r="48" spans="1:10" ht="14.25" customHeight="1">
      <c r="A48" s="2" t="s">
        <v>15</v>
      </c>
      <c r="B48" s="2">
        <v>1996</v>
      </c>
      <c r="C48" s="2" t="s">
        <v>22</v>
      </c>
      <c r="D48" s="2">
        <v>0</v>
      </c>
      <c r="E48" s="2">
        <v>0</v>
      </c>
      <c r="F48" s="3">
        <f t="shared" si="0"/>
        <v>0</v>
      </c>
      <c r="G48" s="3">
        <f t="shared" si="1"/>
        <v>0</v>
      </c>
      <c r="H48" s="3">
        <f>F48*(VLOOKUP(B48,Price_data!A$1:B$190,2,FALSE))</f>
        <v>0</v>
      </c>
      <c r="J48" s="5"/>
    </row>
    <row r="49" spans="1:10" ht="14.25" customHeight="1">
      <c r="A49" s="2" t="s">
        <v>15</v>
      </c>
      <c r="B49" s="2">
        <v>1997</v>
      </c>
      <c r="C49" s="2" t="s">
        <v>22</v>
      </c>
      <c r="D49" s="2">
        <v>0</v>
      </c>
      <c r="E49" s="2">
        <v>0</v>
      </c>
      <c r="F49" s="3">
        <f t="shared" si="0"/>
        <v>0</v>
      </c>
      <c r="G49" s="3">
        <f t="shared" si="1"/>
        <v>0</v>
      </c>
      <c r="H49" s="3">
        <f>F49*(VLOOKUP(B49,Price_data!A$1:B$190,2,FALSE))</f>
        <v>0</v>
      </c>
      <c r="J49" s="5"/>
    </row>
    <row r="50" spans="1:10" ht="14.25" customHeight="1">
      <c r="A50" s="2" t="s">
        <v>15</v>
      </c>
      <c r="B50" s="2">
        <v>1998</v>
      </c>
      <c r="C50" s="2" t="s">
        <v>22</v>
      </c>
      <c r="D50" s="2">
        <v>0</v>
      </c>
      <c r="E50" s="2">
        <v>0</v>
      </c>
      <c r="F50" s="3">
        <f t="shared" si="0"/>
        <v>0</v>
      </c>
      <c r="G50" s="3">
        <f t="shared" si="1"/>
        <v>0</v>
      </c>
      <c r="H50" s="3">
        <f>F50*(VLOOKUP(B50,Price_data!A$1:B$190,2,FALSE))</f>
        <v>0</v>
      </c>
      <c r="J50" s="5"/>
    </row>
    <row r="51" spans="1:10" ht="14.25" customHeight="1">
      <c r="A51" s="2" t="s">
        <v>15</v>
      </c>
      <c r="B51" s="2">
        <v>1999</v>
      </c>
      <c r="C51" s="2" t="s">
        <v>22</v>
      </c>
      <c r="D51" s="2">
        <v>0</v>
      </c>
      <c r="E51" s="2">
        <v>0</v>
      </c>
      <c r="F51" s="3">
        <f t="shared" si="0"/>
        <v>0</v>
      </c>
      <c r="G51" s="3">
        <f t="shared" si="1"/>
        <v>0</v>
      </c>
      <c r="H51" s="3">
        <f>F51*(VLOOKUP(B51,Price_data!A$1:B$190,2,FALSE))</f>
        <v>0</v>
      </c>
      <c r="J51" s="5"/>
    </row>
    <row r="52" spans="1:10" ht="14.25" customHeight="1">
      <c r="A52" s="2" t="s">
        <v>15</v>
      </c>
      <c r="B52" s="2">
        <v>2000</v>
      </c>
      <c r="C52" s="2" t="s">
        <v>22</v>
      </c>
      <c r="D52" s="2">
        <v>0</v>
      </c>
      <c r="E52" s="2">
        <v>0</v>
      </c>
      <c r="F52" s="3">
        <f t="shared" si="0"/>
        <v>0</v>
      </c>
      <c r="G52" s="3">
        <f t="shared" si="1"/>
        <v>0</v>
      </c>
      <c r="H52" s="3">
        <f>F52*(VLOOKUP(B52,Price_data!A$1:B$190,2,FALSE))</f>
        <v>0</v>
      </c>
      <c r="J52" s="5"/>
    </row>
    <row r="53" spans="1:10" ht="14.25" customHeight="1">
      <c r="A53" s="2" t="s">
        <v>15</v>
      </c>
      <c r="B53" s="2">
        <v>2001</v>
      </c>
      <c r="C53" s="2" t="s">
        <v>22</v>
      </c>
      <c r="D53" s="2">
        <v>15</v>
      </c>
      <c r="E53" s="2">
        <v>31.259699999999999</v>
      </c>
      <c r="F53" s="3">
        <f t="shared" si="0"/>
        <v>3.1259700000000001E-2</v>
      </c>
      <c r="G53" s="3">
        <f t="shared" si="1"/>
        <v>1.4999999999999999E-2</v>
      </c>
      <c r="H53" s="3">
        <f>F53*(VLOOKUP(B53,Price_data!A$1:B$190,2,FALSE))</f>
        <v>3.0715615709266411E-2</v>
      </c>
      <c r="J53" s="5"/>
    </row>
    <row r="54" spans="1:10" ht="14.25" customHeight="1">
      <c r="A54" s="2" t="s">
        <v>15</v>
      </c>
      <c r="B54" s="2">
        <v>2002</v>
      </c>
      <c r="C54" s="2" t="s">
        <v>22</v>
      </c>
      <c r="D54" s="2">
        <v>0</v>
      </c>
      <c r="E54" s="2">
        <v>0</v>
      </c>
      <c r="F54" s="3">
        <f t="shared" si="0"/>
        <v>0</v>
      </c>
      <c r="G54" s="3">
        <f t="shared" si="1"/>
        <v>0</v>
      </c>
      <c r="H54" s="3">
        <f>F54*(VLOOKUP(B54,Price_data!A$1:B$190,2,FALSE))</f>
        <v>0</v>
      </c>
      <c r="J54" s="5"/>
    </row>
    <row r="55" spans="1:10" ht="14.25" customHeight="1">
      <c r="A55" s="2" t="s">
        <v>15</v>
      </c>
      <c r="B55" s="2">
        <v>2003</v>
      </c>
      <c r="C55" s="2" t="s">
        <v>22</v>
      </c>
      <c r="D55" s="2">
        <v>0</v>
      </c>
      <c r="E55" s="2">
        <v>0</v>
      </c>
      <c r="F55" s="3">
        <f t="shared" si="0"/>
        <v>0</v>
      </c>
      <c r="G55" s="3">
        <f t="shared" si="1"/>
        <v>0</v>
      </c>
      <c r="H55" s="3">
        <f>F55*(VLOOKUP(B55,Price_data!A$1:B$190,2,FALSE))</f>
        <v>0</v>
      </c>
      <c r="J55" s="5"/>
    </row>
    <row r="56" spans="1:10" ht="14.25" customHeight="1">
      <c r="A56" s="2" t="s">
        <v>15</v>
      </c>
      <c r="B56" s="2">
        <v>2004</v>
      </c>
      <c r="C56" s="2" t="s">
        <v>22</v>
      </c>
      <c r="D56" s="2">
        <v>8</v>
      </c>
      <c r="E56" s="2">
        <v>26.216640000000002</v>
      </c>
      <c r="F56" s="3">
        <f t="shared" si="0"/>
        <v>2.6216640000000003E-2</v>
      </c>
      <c r="G56" s="3">
        <f t="shared" si="1"/>
        <v>8.0000000000000002E-3</v>
      </c>
      <c r="H56" s="3">
        <f>F56*(VLOOKUP(B56,Price_data!A$1:B$190,2,FALSE))</f>
        <v>2.3913562460174786E-2</v>
      </c>
      <c r="J56" s="5"/>
    </row>
    <row r="57" spans="1:10" ht="14.25" customHeight="1">
      <c r="A57" s="2" t="s">
        <v>15</v>
      </c>
      <c r="B57" s="2">
        <v>2005</v>
      </c>
      <c r="C57" s="2" t="s">
        <v>22</v>
      </c>
      <c r="D57" s="2">
        <v>69</v>
      </c>
      <c r="E57" s="2">
        <v>227.7</v>
      </c>
      <c r="F57" s="3">
        <f t="shared" si="0"/>
        <v>0.22769999999999999</v>
      </c>
      <c r="G57" s="3">
        <f t="shared" si="1"/>
        <v>6.9000000000000006E-2</v>
      </c>
      <c r="H57" s="3">
        <f>F57*(VLOOKUP(B57,Price_data!A$1:B$190,2,FALSE))</f>
        <v>0.20199242044079999</v>
      </c>
      <c r="J57" s="5"/>
    </row>
    <row r="58" spans="1:10" ht="14.25" customHeight="1">
      <c r="A58" s="2" t="s">
        <v>15</v>
      </c>
      <c r="B58" s="2">
        <v>2006</v>
      </c>
      <c r="C58" s="2" t="s">
        <v>22</v>
      </c>
      <c r="D58" s="2">
        <v>543</v>
      </c>
      <c r="E58" s="2">
        <v>1770.6904199999999</v>
      </c>
      <c r="F58" s="3">
        <f t="shared" si="0"/>
        <v>1.77069042</v>
      </c>
      <c r="G58" s="3">
        <f t="shared" si="1"/>
        <v>0.54300000000000004</v>
      </c>
      <c r="H58" s="3">
        <f>F58*(VLOOKUP(B58,Price_data!A$1:B$190,2,FALSE))</f>
        <v>1.5221366910970489</v>
      </c>
      <c r="J58" s="5"/>
    </row>
    <row r="59" spans="1:10" ht="14.25" customHeight="1">
      <c r="A59" s="2" t="s">
        <v>15</v>
      </c>
      <c r="B59" s="2">
        <v>2007</v>
      </c>
      <c r="C59" s="2" t="s">
        <v>22</v>
      </c>
      <c r="D59" s="2">
        <v>1111</v>
      </c>
      <c r="E59" s="2">
        <v>3334.2640329999999</v>
      </c>
      <c r="F59" s="3">
        <f t="shared" si="0"/>
        <v>3.3342640329999997</v>
      </c>
      <c r="G59" s="3">
        <f t="shared" si="1"/>
        <v>1.111</v>
      </c>
      <c r="H59" s="3">
        <f>F59*(VLOOKUP(B59,Price_data!A$1:B$190,2,FALSE))</f>
        <v>2.7484154322630419</v>
      </c>
      <c r="J59" s="5"/>
    </row>
    <row r="60" spans="1:10" ht="14.25" customHeight="1">
      <c r="A60" s="2" t="s">
        <v>15</v>
      </c>
      <c r="B60" s="2">
        <v>2008</v>
      </c>
      <c r="C60" s="2" t="s">
        <v>22</v>
      </c>
      <c r="D60" s="2">
        <v>1822</v>
      </c>
      <c r="E60" s="2">
        <v>5510.3252570000004</v>
      </c>
      <c r="F60" s="3">
        <f t="shared" si="0"/>
        <v>5.5103252570000008</v>
      </c>
      <c r="G60" s="3">
        <f t="shared" si="1"/>
        <v>1.8220000000000001</v>
      </c>
      <c r="H60" s="3">
        <f>F60*(VLOOKUP(B60,Price_data!A$1:B$190,2,FALSE))</f>
        <v>4.3679486816967676</v>
      </c>
      <c r="J60" s="5"/>
    </row>
    <row r="61" spans="1:10" ht="14.25" customHeight="1">
      <c r="A61" s="2" t="s">
        <v>15</v>
      </c>
      <c r="B61" s="2">
        <v>2009</v>
      </c>
      <c r="C61" s="2" t="s">
        <v>22</v>
      </c>
      <c r="D61" s="2">
        <v>0</v>
      </c>
      <c r="E61" s="2">
        <v>0</v>
      </c>
      <c r="F61" s="3">
        <f t="shared" si="0"/>
        <v>0</v>
      </c>
      <c r="G61" s="3">
        <f t="shared" si="1"/>
        <v>0</v>
      </c>
      <c r="H61" s="3">
        <f>F61*(VLOOKUP(B61,Price_data!A$1:B$190,2,FALSE))</f>
        <v>0</v>
      </c>
      <c r="J61" s="5"/>
    </row>
    <row r="62" spans="1:10" ht="14.25" customHeight="1">
      <c r="A62" s="2" t="s">
        <v>15</v>
      </c>
      <c r="B62" s="2">
        <v>2010</v>
      </c>
      <c r="C62" s="2" t="s">
        <v>22</v>
      </c>
      <c r="D62" s="2">
        <v>0.7</v>
      </c>
      <c r="E62" s="2">
        <v>3.49994944</v>
      </c>
      <c r="F62" s="3">
        <f t="shared" si="0"/>
        <v>3.49994944E-3</v>
      </c>
      <c r="G62" s="3">
        <f t="shared" si="1"/>
        <v>6.9999999999999999E-4</v>
      </c>
      <c r="H62" s="3">
        <f>F62*(VLOOKUP(B62,Price_data!A$1:B$190,2,FALSE))</f>
        <v>2.6661367885933312E-3</v>
      </c>
      <c r="J62" s="5"/>
    </row>
    <row r="63" spans="1:10" ht="14.25" customHeight="1">
      <c r="A63" s="2" t="s">
        <v>15</v>
      </c>
      <c r="B63" s="2">
        <v>2011</v>
      </c>
      <c r="C63" s="2" t="s">
        <v>22</v>
      </c>
      <c r="D63" s="2">
        <v>0</v>
      </c>
      <c r="E63" s="2">
        <v>0</v>
      </c>
      <c r="F63" s="3">
        <f t="shared" si="0"/>
        <v>0</v>
      </c>
      <c r="G63" s="3">
        <f t="shared" si="1"/>
        <v>0</v>
      </c>
      <c r="H63" s="3">
        <f>F63*(VLOOKUP(B63,Price_data!A$1:B$190,2,FALSE))</f>
        <v>0</v>
      </c>
      <c r="J63" s="5"/>
    </row>
    <row r="64" spans="1:10" ht="14.25" customHeight="1">
      <c r="A64" s="2" t="s">
        <v>15</v>
      </c>
      <c r="B64" s="2">
        <v>2012</v>
      </c>
      <c r="C64" s="2" t="s">
        <v>22</v>
      </c>
      <c r="D64" s="2">
        <v>0</v>
      </c>
      <c r="E64" s="2">
        <v>0</v>
      </c>
      <c r="F64" s="3">
        <f t="shared" si="0"/>
        <v>0</v>
      </c>
      <c r="G64" s="3">
        <f t="shared" si="1"/>
        <v>0</v>
      </c>
      <c r="H64" s="3">
        <f>F64*(VLOOKUP(B64,Price_data!A$1:B$190,2,FALSE))</f>
        <v>0</v>
      </c>
      <c r="J64" s="5"/>
    </row>
    <row r="65" spans="1:10" ht="14.25" customHeight="1">
      <c r="A65" s="2" t="s">
        <v>15</v>
      </c>
      <c r="B65" s="2">
        <v>2013</v>
      </c>
      <c r="C65" s="2" t="s">
        <v>22</v>
      </c>
      <c r="D65" s="2">
        <v>0</v>
      </c>
      <c r="E65" s="2">
        <v>0</v>
      </c>
      <c r="F65" s="3">
        <f t="shared" si="0"/>
        <v>0</v>
      </c>
      <c r="G65" s="3">
        <f t="shared" si="1"/>
        <v>0</v>
      </c>
      <c r="H65" s="3">
        <f>F65*(VLOOKUP(B65,Price_data!A$1:B$190,2,FALSE))</f>
        <v>0</v>
      </c>
      <c r="J65" s="5"/>
    </row>
    <row r="66" spans="1:10" ht="14.25" customHeight="1">
      <c r="A66" s="2" t="s">
        <v>15</v>
      </c>
      <c r="B66" s="2">
        <v>2014</v>
      </c>
      <c r="C66" s="2" t="s">
        <v>22</v>
      </c>
      <c r="D66" s="2">
        <v>0</v>
      </c>
      <c r="E66" s="2">
        <v>0</v>
      </c>
      <c r="F66" s="3">
        <f t="shared" si="0"/>
        <v>0</v>
      </c>
      <c r="G66" s="3">
        <f t="shared" si="1"/>
        <v>0</v>
      </c>
      <c r="H66" s="3">
        <f>F66*(VLOOKUP(B66,Price_data!A$1:B$190,2,FALSE))</f>
        <v>0</v>
      </c>
      <c r="J66" s="5"/>
    </row>
    <row r="67" spans="1:10" ht="14.25" customHeight="1">
      <c r="A67" s="2" t="s">
        <v>15</v>
      </c>
      <c r="B67" s="2">
        <v>2015</v>
      </c>
      <c r="C67" s="2" t="s">
        <v>22</v>
      </c>
      <c r="D67" s="2">
        <v>0</v>
      </c>
      <c r="E67" s="2">
        <v>0</v>
      </c>
      <c r="F67" s="3">
        <f t="shared" si="0"/>
        <v>0</v>
      </c>
      <c r="G67" s="3">
        <f t="shared" si="1"/>
        <v>0</v>
      </c>
      <c r="H67" s="3">
        <f>F67*(VLOOKUP(B67,Price_data!A$1:B$190,2,FALSE))</f>
        <v>0</v>
      </c>
      <c r="J67" s="5"/>
    </row>
    <row r="68" spans="1:10" ht="14.25" customHeight="1">
      <c r="A68" s="2" t="s">
        <v>15</v>
      </c>
      <c r="B68" s="2">
        <v>2016</v>
      </c>
      <c r="C68" s="2" t="s">
        <v>22</v>
      </c>
      <c r="D68" s="2">
        <v>0</v>
      </c>
      <c r="E68" s="2">
        <v>0</v>
      </c>
      <c r="F68" s="3">
        <f t="shared" si="0"/>
        <v>0</v>
      </c>
      <c r="G68" s="3">
        <f t="shared" si="1"/>
        <v>0</v>
      </c>
      <c r="H68" s="3">
        <f>F68*(VLOOKUP(B68,Price_data!A$1:B$190,2,FALSE))</f>
        <v>0</v>
      </c>
      <c r="J68" s="5"/>
    </row>
    <row r="69" spans="1:10" ht="14.25" customHeight="1">
      <c r="A69" s="2" t="s">
        <v>15</v>
      </c>
      <c r="B69" s="2">
        <v>2017</v>
      </c>
      <c r="C69" s="2" t="s">
        <v>22</v>
      </c>
      <c r="D69" s="2">
        <v>0</v>
      </c>
      <c r="E69" s="2">
        <v>0</v>
      </c>
      <c r="F69" s="3">
        <f t="shared" si="0"/>
        <v>0</v>
      </c>
      <c r="G69" s="3">
        <f t="shared" si="1"/>
        <v>0</v>
      </c>
      <c r="H69" s="3">
        <f>F69*(VLOOKUP(B69,Price_data!A$1:B$190,2,FALSE))</f>
        <v>0</v>
      </c>
      <c r="J69" s="5"/>
    </row>
    <row r="70" spans="1:10" ht="14.25" customHeight="1">
      <c r="A70" s="2" t="s">
        <v>15</v>
      </c>
      <c r="B70" s="2">
        <v>2018</v>
      </c>
      <c r="C70" s="2" t="s">
        <v>22</v>
      </c>
      <c r="D70" s="2">
        <v>0</v>
      </c>
      <c r="E70" s="2">
        <v>0</v>
      </c>
      <c r="F70" s="3">
        <f t="shared" si="0"/>
        <v>0</v>
      </c>
      <c r="G70" s="3">
        <f t="shared" si="1"/>
        <v>0</v>
      </c>
      <c r="H70" s="3">
        <f>F70*(VLOOKUP(B70,Price_data!A$1:B$190,2,FALSE))</f>
        <v>0</v>
      </c>
      <c r="J70" s="5"/>
    </row>
    <row r="71" spans="1:10" ht="14.25" customHeight="1">
      <c r="A71" s="2" t="s">
        <v>15</v>
      </c>
      <c r="B71" s="2">
        <v>1950</v>
      </c>
      <c r="C71" s="2" t="s">
        <v>23</v>
      </c>
      <c r="D71" s="2">
        <v>0</v>
      </c>
      <c r="E71" s="2">
        <v>0</v>
      </c>
      <c r="F71" s="3">
        <f t="shared" si="0"/>
        <v>0</v>
      </c>
      <c r="G71" s="3">
        <f t="shared" si="1"/>
        <v>0</v>
      </c>
      <c r="H71" s="3">
        <f>F71*(VLOOKUP(B71,Price_data!A$1:B$190,2,FALSE))</f>
        <v>0</v>
      </c>
      <c r="J71" s="5"/>
    </row>
    <row r="72" spans="1:10" ht="14.25" customHeight="1">
      <c r="A72" s="2" t="s">
        <v>15</v>
      </c>
      <c r="B72" s="2">
        <v>1951</v>
      </c>
      <c r="C72" s="2" t="s">
        <v>23</v>
      </c>
      <c r="D72" s="2">
        <v>0</v>
      </c>
      <c r="E72" s="2">
        <v>0</v>
      </c>
      <c r="F72" s="3">
        <f t="shared" si="0"/>
        <v>0</v>
      </c>
      <c r="G72" s="3">
        <f t="shared" si="1"/>
        <v>0</v>
      </c>
      <c r="H72" s="3">
        <f>F72*(VLOOKUP(B72,Price_data!A$1:B$190,2,FALSE))</f>
        <v>0</v>
      </c>
      <c r="J72" s="5"/>
    </row>
    <row r="73" spans="1:10" ht="14.25" customHeight="1">
      <c r="A73" s="2" t="s">
        <v>15</v>
      </c>
      <c r="B73" s="2">
        <v>1952</v>
      </c>
      <c r="C73" s="2" t="s">
        <v>23</v>
      </c>
      <c r="D73" s="2">
        <v>0</v>
      </c>
      <c r="E73" s="2">
        <v>0</v>
      </c>
      <c r="F73" s="3">
        <f t="shared" si="0"/>
        <v>0</v>
      </c>
      <c r="G73" s="3">
        <f t="shared" si="1"/>
        <v>0</v>
      </c>
      <c r="H73" s="3">
        <f>F73*(VLOOKUP(B73,Price_data!A$1:B$190,2,FALSE))</f>
        <v>0</v>
      </c>
      <c r="J73" s="5"/>
    </row>
    <row r="74" spans="1:10" ht="14.25" customHeight="1">
      <c r="A74" s="2" t="s">
        <v>15</v>
      </c>
      <c r="B74" s="2">
        <v>1953</v>
      </c>
      <c r="C74" s="2" t="s">
        <v>23</v>
      </c>
      <c r="D74" s="2">
        <v>0</v>
      </c>
      <c r="E74" s="2">
        <v>0</v>
      </c>
      <c r="F74" s="3">
        <f t="shared" si="0"/>
        <v>0</v>
      </c>
      <c r="G74" s="3">
        <f t="shared" si="1"/>
        <v>0</v>
      </c>
      <c r="H74" s="3">
        <f>F74*(VLOOKUP(B74,Price_data!A$1:B$190,2,FALSE))</f>
        <v>0</v>
      </c>
      <c r="J74" s="5"/>
    </row>
    <row r="75" spans="1:10" ht="14.25" customHeight="1">
      <c r="A75" s="2" t="s">
        <v>15</v>
      </c>
      <c r="B75" s="2">
        <v>1954</v>
      </c>
      <c r="C75" s="2" t="s">
        <v>23</v>
      </c>
      <c r="D75" s="2">
        <v>0</v>
      </c>
      <c r="E75" s="2">
        <v>0</v>
      </c>
      <c r="F75" s="3">
        <f t="shared" si="0"/>
        <v>0</v>
      </c>
      <c r="G75" s="3">
        <f t="shared" si="1"/>
        <v>0</v>
      </c>
      <c r="H75" s="3">
        <f>F75*(VLOOKUP(B75,Price_data!A$1:B$190,2,FALSE))</f>
        <v>0</v>
      </c>
      <c r="J75" s="5"/>
    </row>
    <row r="76" spans="1:10" ht="14.25" customHeight="1">
      <c r="A76" s="2" t="s">
        <v>15</v>
      </c>
      <c r="B76" s="2">
        <v>1955</v>
      </c>
      <c r="C76" s="2" t="s">
        <v>23</v>
      </c>
      <c r="D76" s="2">
        <v>0</v>
      </c>
      <c r="E76" s="2">
        <v>0</v>
      </c>
      <c r="F76" s="3">
        <f t="shared" si="0"/>
        <v>0</v>
      </c>
      <c r="G76" s="3">
        <f t="shared" si="1"/>
        <v>0</v>
      </c>
      <c r="H76" s="3">
        <f>F76*(VLOOKUP(B76,Price_data!A$1:B$190,2,FALSE))</f>
        <v>0</v>
      </c>
      <c r="J76" s="5"/>
    </row>
    <row r="77" spans="1:10" ht="14.25" customHeight="1">
      <c r="A77" s="2" t="s">
        <v>15</v>
      </c>
      <c r="B77" s="2">
        <v>1956</v>
      </c>
      <c r="C77" s="2" t="s">
        <v>23</v>
      </c>
      <c r="D77" s="2">
        <v>0</v>
      </c>
      <c r="E77" s="2">
        <v>0</v>
      </c>
      <c r="F77" s="3">
        <f t="shared" si="0"/>
        <v>0</v>
      </c>
      <c r="G77" s="3">
        <f t="shared" si="1"/>
        <v>0</v>
      </c>
      <c r="H77" s="3">
        <f>F77*(VLOOKUP(B77,Price_data!A$1:B$190,2,FALSE))</f>
        <v>0</v>
      </c>
      <c r="J77" s="5"/>
    </row>
    <row r="78" spans="1:10" ht="14.25" customHeight="1">
      <c r="A78" s="2" t="s">
        <v>15</v>
      </c>
      <c r="B78" s="2">
        <v>1957</v>
      </c>
      <c r="C78" s="2" t="s">
        <v>23</v>
      </c>
      <c r="D78" s="2">
        <v>0</v>
      </c>
      <c r="E78" s="2">
        <v>0</v>
      </c>
      <c r="F78" s="3">
        <f t="shared" si="0"/>
        <v>0</v>
      </c>
      <c r="G78" s="3">
        <f t="shared" si="1"/>
        <v>0</v>
      </c>
      <c r="H78" s="3">
        <f>F78*(VLOOKUP(B78,Price_data!A$1:B$190,2,FALSE))</f>
        <v>0</v>
      </c>
      <c r="J78" s="5"/>
    </row>
    <row r="79" spans="1:10" ht="14.25" customHeight="1">
      <c r="A79" s="2" t="s">
        <v>15</v>
      </c>
      <c r="B79" s="2">
        <v>1958</v>
      </c>
      <c r="C79" s="2" t="s">
        <v>23</v>
      </c>
      <c r="D79" s="2">
        <v>0</v>
      </c>
      <c r="E79" s="2">
        <v>0</v>
      </c>
      <c r="F79" s="3">
        <f t="shared" si="0"/>
        <v>0</v>
      </c>
      <c r="G79" s="3">
        <f t="shared" si="1"/>
        <v>0</v>
      </c>
      <c r="H79" s="3">
        <f>F79*(VLOOKUP(B79,Price_data!A$1:B$190,2,FALSE))</f>
        <v>0</v>
      </c>
      <c r="J79" s="5"/>
    </row>
    <row r="80" spans="1:10" ht="14.25" customHeight="1">
      <c r="A80" s="2" t="s">
        <v>15</v>
      </c>
      <c r="B80" s="2">
        <v>1959</v>
      </c>
      <c r="C80" s="2" t="s">
        <v>23</v>
      </c>
      <c r="D80" s="2">
        <v>0</v>
      </c>
      <c r="E80" s="2">
        <v>0</v>
      </c>
      <c r="F80" s="3">
        <f t="shared" si="0"/>
        <v>0</v>
      </c>
      <c r="G80" s="3">
        <f t="shared" si="1"/>
        <v>0</v>
      </c>
      <c r="H80" s="3">
        <f>F80*(VLOOKUP(B80,Price_data!A$1:B$190,2,FALSE))</f>
        <v>0</v>
      </c>
      <c r="J80" s="5"/>
    </row>
    <row r="81" spans="1:10" ht="14.25" customHeight="1">
      <c r="A81" s="2" t="s">
        <v>15</v>
      </c>
      <c r="B81" s="2">
        <v>1960</v>
      </c>
      <c r="C81" s="2" t="s">
        <v>23</v>
      </c>
      <c r="D81" s="2">
        <v>0</v>
      </c>
      <c r="E81" s="2">
        <v>0</v>
      </c>
      <c r="F81" s="3">
        <f t="shared" si="0"/>
        <v>0</v>
      </c>
      <c r="G81" s="3">
        <f t="shared" si="1"/>
        <v>0</v>
      </c>
      <c r="H81" s="3">
        <f>F81*(VLOOKUP(B81,Price_data!A$1:B$190,2,FALSE))</f>
        <v>0</v>
      </c>
      <c r="J81" s="5"/>
    </row>
    <row r="82" spans="1:10" ht="14.25" customHeight="1">
      <c r="A82" s="2" t="s">
        <v>15</v>
      </c>
      <c r="B82" s="2">
        <v>1961</v>
      </c>
      <c r="C82" s="2" t="s">
        <v>23</v>
      </c>
      <c r="D82" s="2">
        <v>0</v>
      </c>
      <c r="E82" s="2">
        <v>0</v>
      </c>
      <c r="F82" s="3">
        <f t="shared" si="0"/>
        <v>0</v>
      </c>
      <c r="G82" s="3">
        <f t="shared" si="1"/>
        <v>0</v>
      </c>
      <c r="H82" s="3">
        <f>F82*(VLOOKUP(B82,Price_data!A$1:B$190,2,FALSE))</f>
        <v>0</v>
      </c>
      <c r="J82" s="5"/>
    </row>
    <row r="83" spans="1:10" ht="14.25" customHeight="1">
      <c r="A83" s="2" t="s">
        <v>15</v>
      </c>
      <c r="B83" s="2">
        <v>1962</v>
      </c>
      <c r="C83" s="2" t="s">
        <v>23</v>
      </c>
      <c r="D83" s="2">
        <v>0</v>
      </c>
      <c r="E83" s="2">
        <v>0</v>
      </c>
      <c r="F83" s="3">
        <f t="shared" si="0"/>
        <v>0</v>
      </c>
      <c r="G83" s="3">
        <f t="shared" si="1"/>
        <v>0</v>
      </c>
      <c r="H83" s="3">
        <f>F83*(VLOOKUP(B83,Price_data!A$1:B$190,2,FALSE))</f>
        <v>0</v>
      </c>
      <c r="J83" s="5"/>
    </row>
    <row r="84" spans="1:10" ht="14.25" customHeight="1">
      <c r="A84" s="2" t="s">
        <v>15</v>
      </c>
      <c r="B84" s="2">
        <v>1963</v>
      </c>
      <c r="C84" s="2" t="s">
        <v>23</v>
      </c>
      <c r="D84" s="2">
        <v>0</v>
      </c>
      <c r="E84" s="2">
        <v>0</v>
      </c>
      <c r="F84" s="3">
        <f t="shared" si="0"/>
        <v>0</v>
      </c>
      <c r="G84" s="3">
        <f t="shared" si="1"/>
        <v>0</v>
      </c>
      <c r="H84" s="3">
        <f>F84*(VLOOKUP(B84,Price_data!A$1:B$190,2,FALSE))</f>
        <v>0</v>
      </c>
      <c r="J84" s="5"/>
    </row>
    <row r="85" spans="1:10" ht="14.25" customHeight="1">
      <c r="A85" s="2" t="s">
        <v>15</v>
      </c>
      <c r="B85" s="2">
        <v>1964</v>
      </c>
      <c r="C85" s="2" t="s">
        <v>23</v>
      </c>
      <c r="D85" s="2">
        <v>0</v>
      </c>
      <c r="E85" s="2">
        <v>0</v>
      </c>
      <c r="F85" s="3">
        <f t="shared" si="0"/>
        <v>0</v>
      </c>
      <c r="G85" s="3">
        <f t="shared" si="1"/>
        <v>0</v>
      </c>
      <c r="H85" s="3">
        <f>F85*(VLOOKUP(B85,Price_data!A$1:B$190,2,FALSE))</f>
        <v>0</v>
      </c>
      <c r="J85" s="5"/>
    </row>
    <row r="86" spans="1:10" ht="14.25" customHeight="1">
      <c r="A86" s="2" t="s">
        <v>15</v>
      </c>
      <c r="B86" s="2">
        <v>1965</v>
      </c>
      <c r="C86" s="2" t="s">
        <v>23</v>
      </c>
      <c r="D86" s="2">
        <v>0</v>
      </c>
      <c r="E86" s="2">
        <v>0</v>
      </c>
      <c r="F86" s="3">
        <f t="shared" si="0"/>
        <v>0</v>
      </c>
      <c r="G86" s="3">
        <f t="shared" si="1"/>
        <v>0</v>
      </c>
      <c r="H86" s="3">
        <f>F86*(VLOOKUP(B86,Price_data!A$1:B$190,2,FALSE))</f>
        <v>0</v>
      </c>
      <c r="J86" s="5"/>
    </row>
    <row r="87" spans="1:10" ht="14.25" customHeight="1">
      <c r="A87" s="2" t="s">
        <v>15</v>
      </c>
      <c r="B87" s="2">
        <v>1966</v>
      </c>
      <c r="C87" s="2" t="s">
        <v>23</v>
      </c>
      <c r="D87" s="2">
        <v>0</v>
      </c>
      <c r="E87" s="2">
        <v>0</v>
      </c>
      <c r="F87" s="3">
        <f t="shared" si="0"/>
        <v>0</v>
      </c>
      <c r="G87" s="3">
        <f t="shared" si="1"/>
        <v>0</v>
      </c>
      <c r="H87" s="3">
        <f>F87*(VLOOKUP(B87,Price_data!A$1:B$190,2,FALSE))</f>
        <v>0</v>
      </c>
      <c r="J87" s="5"/>
    </row>
    <row r="88" spans="1:10" ht="14.25" customHeight="1">
      <c r="A88" s="2" t="s">
        <v>15</v>
      </c>
      <c r="B88" s="2">
        <v>1967</v>
      </c>
      <c r="C88" s="2" t="s">
        <v>23</v>
      </c>
      <c r="D88" s="2">
        <v>0</v>
      </c>
      <c r="E88" s="2">
        <v>0</v>
      </c>
      <c r="F88" s="3">
        <f t="shared" si="0"/>
        <v>0</v>
      </c>
      <c r="G88" s="3">
        <f t="shared" si="1"/>
        <v>0</v>
      </c>
      <c r="H88" s="3">
        <f>F88*(VLOOKUP(B88,Price_data!A$1:B$190,2,FALSE))</f>
        <v>0</v>
      </c>
      <c r="J88" s="5"/>
    </row>
    <row r="89" spans="1:10" ht="14.25" customHeight="1">
      <c r="A89" s="2" t="s">
        <v>15</v>
      </c>
      <c r="B89" s="2">
        <v>1968</v>
      </c>
      <c r="C89" s="2" t="s">
        <v>23</v>
      </c>
      <c r="D89" s="2">
        <v>0</v>
      </c>
      <c r="E89" s="2">
        <v>0</v>
      </c>
      <c r="F89" s="3">
        <f t="shared" si="0"/>
        <v>0</v>
      </c>
      <c r="G89" s="3">
        <f t="shared" si="1"/>
        <v>0</v>
      </c>
      <c r="H89" s="3">
        <f>F89*(VLOOKUP(B89,Price_data!A$1:B$190,2,FALSE))</f>
        <v>0</v>
      </c>
      <c r="J89" s="5"/>
    </row>
    <row r="90" spans="1:10" ht="14.25" customHeight="1">
      <c r="A90" s="2" t="s">
        <v>15</v>
      </c>
      <c r="B90" s="2">
        <v>1969</v>
      </c>
      <c r="C90" s="2" t="s">
        <v>23</v>
      </c>
      <c r="D90" s="2">
        <v>0</v>
      </c>
      <c r="E90" s="2">
        <v>0</v>
      </c>
      <c r="F90" s="3">
        <f t="shared" si="0"/>
        <v>0</v>
      </c>
      <c r="G90" s="3">
        <f t="shared" si="1"/>
        <v>0</v>
      </c>
      <c r="H90" s="3">
        <f>F90*(VLOOKUP(B90,Price_data!A$1:B$190,2,FALSE))</f>
        <v>0</v>
      </c>
      <c r="J90" s="5"/>
    </row>
    <row r="91" spans="1:10" ht="14.25" customHeight="1">
      <c r="A91" s="2" t="s">
        <v>15</v>
      </c>
      <c r="B91" s="2">
        <v>1970</v>
      </c>
      <c r="C91" s="2" t="s">
        <v>23</v>
      </c>
      <c r="D91" s="2">
        <v>0</v>
      </c>
      <c r="E91" s="2">
        <v>0</v>
      </c>
      <c r="F91" s="3">
        <f t="shared" si="0"/>
        <v>0</v>
      </c>
      <c r="G91" s="3">
        <f t="shared" si="1"/>
        <v>0</v>
      </c>
      <c r="H91" s="3">
        <f>F91*(VLOOKUP(B91,Price_data!A$1:B$190,2,FALSE))</f>
        <v>0</v>
      </c>
      <c r="J91" s="5"/>
    </row>
    <row r="92" spans="1:10" ht="14.25" customHeight="1">
      <c r="A92" s="2" t="s">
        <v>15</v>
      </c>
      <c r="B92" s="2">
        <v>1971</v>
      </c>
      <c r="C92" s="2" t="s">
        <v>23</v>
      </c>
      <c r="D92" s="2">
        <v>0</v>
      </c>
      <c r="E92" s="2">
        <v>0</v>
      </c>
      <c r="F92" s="3">
        <f t="shared" si="0"/>
        <v>0</v>
      </c>
      <c r="G92" s="3">
        <f t="shared" si="1"/>
        <v>0</v>
      </c>
      <c r="H92" s="3">
        <f>F92*(VLOOKUP(B92,Price_data!A$1:B$190,2,FALSE))</f>
        <v>0</v>
      </c>
      <c r="J92" s="5"/>
    </row>
    <row r="93" spans="1:10" ht="14.25" customHeight="1">
      <c r="A93" s="2" t="s">
        <v>15</v>
      </c>
      <c r="B93" s="2">
        <v>1972</v>
      </c>
      <c r="C93" s="2" t="s">
        <v>23</v>
      </c>
      <c r="D93" s="2">
        <v>0</v>
      </c>
      <c r="E93" s="2">
        <v>0</v>
      </c>
      <c r="F93" s="3">
        <f t="shared" si="0"/>
        <v>0</v>
      </c>
      <c r="G93" s="3">
        <f t="shared" si="1"/>
        <v>0</v>
      </c>
      <c r="H93" s="3">
        <f>F93*(VLOOKUP(B93,Price_data!A$1:B$190,2,FALSE))</f>
        <v>0</v>
      </c>
      <c r="J93" s="5"/>
    </row>
    <row r="94" spans="1:10" ht="14.25" customHeight="1">
      <c r="A94" s="2" t="s">
        <v>15</v>
      </c>
      <c r="B94" s="2">
        <v>1973</v>
      </c>
      <c r="C94" s="2" t="s">
        <v>23</v>
      </c>
      <c r="D94" s="2">
        <v>0</v>
      </c>
      <c r="E94" s="2">
        <v>0</v>
      </c>
      <c r="F94" s="3">
        <f t="shared" si="0"/>
        <v>0</v>
      </c>
      <c r="G94" s="3">
        <f t="shared" si="1"/>
        <v>0</v>
      </c>
      <c r="H94" s="3">
        <f>F94*(VLOOKUP(B94,Price_data!A$1:B$190,2,FALSE))</f>
        <v>0</v>
      </c>
      <c r="J94" s="5"/>
    </row>
    <row r="95" spans="1:10" ht="14.25" customHeight="1">
      <c r="A95" s="2" t="s">
        <v>15</v>
      </c>
      <c r="B95" s="2">
        <v>1974</v>
      </c>
      <c r="C95" s="2" t="s">
        <v>23</v>
      </c>
      <c r="D95" s="2">
        <v>0</v>
      </c>
      <c r="E95" s="2">
        <v>0</v>
      </c>
      <c r="F95" s="3">
        <f t="shared" si="0"/>
        <v>0</v>
      </c>
      <c r="G95" s="3">
        <f t="shared" si="1"/>
        <v>0</v>
      </c>
      <c r="H95" s="3">
        <f>F95*(VLOOKUP(B95,Price_data!A$1:B$190,2,FALSE))</f>
        <v>0</v>
      </c>
      <c r="J95" s="5"/>
    </row>
    <row r="96" spans="1:10" ht="14.25" customHeight="1">
      <c r="A96" s="2" t="s">
        <v>15</v>
      </c>
      <c r="B96" s="2">
        <v>1975</v>
      </c>
      <c r="C96" s="2" t="s">
        <v>23</v>
      </c>
      <c r="D96" s="2">
        <v>0</v>
      </c>
      <c r="E96" s="2">
        <v>0</v>
      </c>
      <c r="F96" s="3">
        <f t="shared" si="0"/>
        <v>0</v>
      </c>
      <c r="G96" s="3">
        <f t="shared" si="1"/>
        <v>0</v>
      </c>
      <c r="H96" s="3">
        <f>F96*(VLOOKUP(B96,Price_data!A$1:B$190,2,FALSE))</f>
        <v>0</v>
      </c>
      <c r="J96" s="5"/>
    </row>
    <row r="97" spans="1:10" ht="14.25" customHeight="1">
      <c r="A97" s="2" t="s">
        <v>15</v>
      </c>
      <c r="B97" s="2">
        <v>1976</v>
      </c>
      <c r="C97" s="2" t="s">
        <v>23</v>
      </c>
      <c r="D97" s="2">
        <v>0</v>
      </c>
      <c r="E97" s="2">
        <v>0</v>
      </c>
      <c r="F97" s="3">
        <f t="shared" si="0"/>
        <v>0</v>
      </c>
      <c r="G97" s="3">
        <f t="shared" si="1"/>
        <v>0</v>
      </c>
      <c r="H97" s="3">
        <f>F97*(VLOOKUP(B97,Price_data!A$1:B$190,2,FALSE))</f>
        <v>0</v>
      </c>
      <c r="J97" s="5"/>
    </row>
    <row r="98" spans="1:10" ht="14.25" customHeight="1">
      <c r="A98" s="2" t="s">
        <v>15</v>
      </c>
      <c r="B98" s="2">
        <v>1977</v>
      </c>
      <c r="C98" s="2" t="s">
        <v>23</v>
      </c>
      <c r="D98" s="2">
        <v>0</v>
      </c>
      <c r="E98" s="2">
        <v>0</v>
      </c>
      <c r="F98" s="3">
        <f t="shared" si="0"/>
        <v>0</v>
      </c>
      <c r="G98" s="3">
        <f t="shared" si="1"/>
        <v>0</v>
      </c>
      <c r="H98" s="3">
        <f>F98*(VLOOKUP(B98,Price_data!A$1:B$190,2,FALSE))</f>
        <v>0</v>
      </c>
      <c r="J98" s="5"/>
    </row>
    <row r="99" spans="1:10" ht="14.25" customHeight="1">
      <c r="A99" s="2" t="s">
        <v>15</v>
      </c>
      <c r="B99" s="2">
        <v>1978</v>
      </c>
      <c r="C99" s="2" t="s">
        <v>23</v>
      </c>
      <c r="D99" s="2">
        <v>0</v>
      </c>
      <c r="E99" s="2">
        <v>0</v>
      </c>
      <c r="F99" s="3">
        <f t="shared" si="0"/>
        <v>0</v>
      </c>
      <c r="G99" s="3">
        <f t="shared" si="1"/>
        <v>0</v>
      </c>
      <c r="H99" s="3">
        <f>F99*(VLOOKUP(B99,Price_data!A$1:B$190,2,FALSE))</f>
        <v>0</v>
      </c>
      <c r="J99" s="5"/>
    </row>
    <row r="100" spans="1:10" ht="14.25" customHeight="1">
      <c r="A100" s="2" t="s">
        <v>15</v>
      </c>
      <c r="B100" s="2">
        <v>1979</v>
      </c>
      <c r="C100" s="2" t="s">
        <v>23</v>
      </c>
      <c r="D100" s="2">
        <v>0</v>
      </c>
      <c r="E100" s="2">
        <v>0</v>
      </c>
      <c r="F100" s="3">
        <f t="shared" si="0"/>
        <v>0</v>
      </c>
      <c r="G100" s="3">
        <f t="shared" si="1"/>
        <v>0</v>
      </c>
      <c r="H100" s="3">
        <f>F100*(VLOOKUP(B100,Price_data!A$1:B$190,2,FALSE))</f>
        <v>0</v>
      </c>
      <c r="J100" s="5"/>
    </row>
    <row r="101" spans="1:10" ht="14.25" customHeight="1">
      <c r="A101" s="2" t="s">
        <v>15</v>
      </c>
      <c r="B101" s="2">
        <v>1980</v>
      </c>
      <c r="C101" s="2" t="s">
        <v>23</v>
      </c>
      <c r="D101" s="2">
        <v>0</v>
      </c>
      <c r="E101" s="2">
        <v>0</v>
      </c>
      <c r="F101" s="3">
        <f t="shared" si="0"/>
        <v>0</v>
      </c>
      <c r="G101" s="3">
        <f t="shared" si="1"/>
        <v>0</v>
      </c>
      <c r="H101" s="3">
        <f>F101*(VLOOKUP(B101,Price_data!A$1:B$190,2,FALSE))</f>
        <v>0</v>
      </c>
      <c r="J101" s="5"/>
    </row>
    <row r="102" spans="1:10" ht="14.25" customHeight="1">
      <c r="A102" s="2" t="s">
        <v>15</v>
      </c>
      <c r="B102" s="2">
        <v>1981</v>
      </c>
      <c r="C102" s="2" t="s">
        <v>23</v>
      </c>
      <c r="D102" s="2">
        <v>0</v>
      </c>
      <c r="E102" s="2">
        <v>0</v>
      </c>
      <c r="F102" s="3">
        <f t="shared" si="0"/>
        <v>0</v>
      </c>
      <c r="G102" s="3">
        <f t="shared" si="1"/>
        <v>0</v>
      </c>
      <c r="H102" s="3">
        <f>F102*(VLOOKUP(B102,Price_data!A$1:B$190,2,FALSE))</f>
        <v>0</v>
      </c>
      <c r="J102" s="5"/>
    </row>
    <row r="103" spans="1:10" ht="14.25" customHeight="1">
      <c r="A103" s="2" t="s">
        <v>15</v>
      </c>
      <c r="B103" s="2">
        <v>1982</v>
      </c>
      <c r="C103" s="2" t="s">
        <v>23</v>
      </c>
      <c r="D103" s="2">
        <v>0</v>
      </c>
      <c r="E103" s="2">
        <v>0</v>
      </c>
      <c r="F103" s="3">
        <f t="shared" si="0"/>
        <v>0</v>
      </c>
      <c r="G103" s="3">
        <f t="shared" si="1"/>
        <v>0</v>
      </c>
      <c r="H103" s="3">
        <f>F103*(VLOOKUP(B103,Price_data!A$1:B$190,2,FALSE))</f>
        <v>0</v>
      </c>
      <c r="J103" s="5"/>
    </row>
    <row r="104" spans="1:10" ht="14.25" customHeight="1">
      <c r="A104" s="2" t="s">
        <v>15</v>
      </c>
      <c r="B104" s="2">
        <v>1983</v>
      </c>
      <c r="C104" s="2" t="s">
        <v>23</v>
      </c>
      <c r="D104" s="2">
        <v>0</v>
      </c>
      <c r="E104" s="2">
        <v>0</v>
      </c>
      <c r="F104" s="3">
        <f t="shared" si="0"/>
        <v>0</v>
      </c>
      <c r="G104" s="3">
        <f t="shared" si="1"/>
        <v>0</v>
      </c>
      <c r="H104" s="3">
        <f>F104*(VLOOKUP(B104,Price_data!A$1:B$190,2,FALSE))</f>
        <v>0</v>
      </c>
      <c r="J104" s="5"/>
    </row>
    <row r="105" spans="1:10" ht="14.25" customHeight="1">
      <c r="A105" s="2" t="s">
        <v>15</v>
      </c>
      <c r="B105" s="2">
        <v>1984</v>
      </c>
      <c r="C105" s="2" t="s">
        <v>23</v>
      </c>
      <c r="D105" s="2">
        <v>0</v>
      </c>
      <c r="E105" s="2">
        <v>0</v>
      </c>
      <c r="F105" s="3">
        <f t="shared" si="0"/>
        <v>0</v>
      </c>
      <c r="G105" s="3">
        <f t="shared" si="1"/>
        <v>0</v>
      </c>
      <c r="H105" s="3">
        <f>F105*(VLOOKUP(B105,Price_data!A$1:B$190,2,FALSE))</f>
        <v>0</v>
      </c>
      <c r="J105" s="5"/>
    </row>
    <row r="106" spans="1:10" ht="14.25" customHeight="1">
      <c r="A106" s="2" t="s">
        <v>15</v>
      </c>
      <c r="B106" s="2">
        <v>1985</v>
      </c>
      <c r="C106" s="2" t="s">
        <v>23</v>
      </c>
      <c r="D106" s="2">
        <v>0</v>
      </c>
      <c r="E106" s="2">
        <v>0</v>
      </c>
      <c r="F106" s="3">
        <f t="shared" si="0"/>
        <v>0</v>
      </c>
      <c r="G106" s="3">
        <f t="shared" si="1"/>
        <v>0</v>
      </c>
      <c r="H106" s="3">
        <f>F106*(VLOOKUP(B106,Price_data!A$1:B$190,2,FALSE))</f>
        <v>0</v>
      </c>
      <c r="J106" s="5"/>
    </row>
    <row r="107" spans="1:10" ht="14.25" customHeight="1">
      <c r="A107" s="2" t="s">
        <v>15</v>
      </c>
      <c r="B107" s="2">
        <v>1986</v>
      </c>
      <c r="C107" s="2" t="s">
        <v>23</v>
      </c>
      <c r="D107" s="2">
        <v>0</v>
      </c>
      <c r="E107" s="2">
        <v>0</v>
      </c>
      <c r="F107" s="3">
        <f t="shared" si="0"/>
        <v>0</v>
      </c>
      <c r="G107" s="3">
        <f t="shared" si="1"/>
        <v>0</v>
      </c>
      <c r="H107" s="3">
        <f>F107*(VLOOKUP(B107,Price_data!A$1:B$190,2,FALSE))</f>
        <v>0</v>
      </c>
      <c r="J107" s="5"/>
    </row>
    <row r="108" spans="1:10" ht="14.25" customHeight="1">
      <c r="A108" s="2" t="s">
        <v>15</v>
      </c>
      <c r="B108" s="2">
        <v>1987</v>
      </c>
      <c r="C108" s="2" t="s">
        <v>23</v>
      </c>
      <c r="D108" s="2">
        <v>0</v>
      </c>
      <c r="E108" s="2">
        <v>0</v>
      </c>
      <c r="F108" s="3">
        <f t="shared" si="0"/>
        <v>0</v>
      </c>
      <c r="G108" s="3">
        <f t="shared" si="1"/>
        <v>0</v>
      </c>
      <c r="H108" s="3">
        <f>F108*(VLOOKUP(B108,Price_data!A$1:B$190,2,FALSE))</f>
        <v>0</v>
      </c>
      <c r="J108" s="5"/>
    </row>
    <row r="109" spans="1:10" ht="14.25" customHeight="1">
      <c r="A109" s="2" t="s">
        <v>15</v>
      </c>
      <c r="B109" s="2">
        <v>1988</v>
      </c>
      <c r="C109" s="2" t="s">
        <v>23</v>
      </c>
      <c r="D109" s="2">
        <v>0</v>
      </c>
      <c r="E109" s="2">
        <v>0</v>
      </c>
      <c r="F109" s="3">
        <f t="shared" si="0"/>
        <v>0</v>
      </c>
      <c r="G109" s="3">
        <f t="shared" si="1"/>
        <v>0</v>
      </c>
      <c r="H109" s="3">
        <f>F109*(VLOOKUP(B109,Price_data!A$1:B$190,2,FALSE))</f>
        <v>0</v>
      </c>
      <c r="J109" s="5"/>
    </row>
    <row r="110" spans="1:10" ht="14.25" customHeight="1">
      <c r="A110" s="2" t="s">
        <v>15</v>
      </c>
      <c r="B110" s="2">
        <v>1989</v>
      </c>
      <c r="C110" s="2" t="s">
        <v>23</v>
      </c>
      <c r="D110" s="2">
        <v>0</v>
      </c>
      <c r="E110" s="2">
        <v>0</v>
      </c>
      <c r="F110" s="3">
        <f t="shared" si="0"/>
        <v>0</v>
      </c>
      <c r="G110" s="3">
        <f t="shared" si="1"/>
        <v>0</v>
      </c>
      <c r="H110" s="3">
        <f>F110*(VLOOKUP(B110,Price_data!A$1:B$190,2,FALSE))</f>
        <v>0</v>
      </c>
      <c r="J110" s="5"/>
    </row>
    <row r="111" spans="1:10" ht="14.25" customHeight="1">
      <c r="A111" s="2" t="s">
        <v>15</v>
      </c>
      <c r="B111" s="2">
        <v>1990</v>
      </c>
      <c r="C111" s="2" t="s">
        <v>23</v>
      </c>
      <c r="D111" s="2">
        <v>0</v>
      </c>
      <c r="E111" s="2">
        <v>0</v>
      </c>
      <c r="F111" s="3">
        <f t="shared" si="0"/>
        <v>0</v>
      </c>
      <c r="G111" s="3">
        <f t="shared" si="1"/>
        <v>0</v>
      </c>
      <c r="H111" s="3">
        <f>F111*(VLOOKUP(B111,Price_data!A$1:B$190,2,FALSE))</f>
        <v>0</v>
      </c>
      <c r="J111" s="5"/>
    </row>
    <row r="112" spans="1:10" ht="14.25" customHeight="1">
      <c r="A112" s="2" t="s">
        <v>15</v>
      </c>
      <c r="B112" s="2">
        <v>1991</v>
      </c>
      <c r="C112" s="2" t="s">
        <v>23</v>
      </c>
      <c r="D112" s="2">
        <v>0</v>
      </c>
      <c r="E112" s="2">
        <v>0</v>
      </c>
      <c r="F112" s="3">
        <f t="shared" si="0"/>
        <v>0</v>
      </c>
      <c r="G112" s="3">
        <f t="shared" si="1"/>
        <v>0</v>
      </c>
      <c r="H112" s="3">
        <f>F112*(VLOOKUP(B112,Price_data!A$1:B$190,2,FALSE))</f>
        <v>0</v>
      </c>
      <c r="J112" s="5"/>
    </row>
    <row r="113" spans="1:10" ht="14.25" customHeight="1">
      <c r="A113" s="2" t="s">
        <v>15</v>
      </c>
      <c r="B113" s="2">
        <v>1992</v>
      </c>
      <c r="C113" s="2" t="s">
        <v>23</v>
      </c>
      <c r="D113" s="2">
        <v>0</v>
      </c>
      <c r="E113" s="2">
        <v>0</v>
      </c>
      <c r="F113" s="3">
        <f t="shared" si="0"/>
        <v>0</v>
      </c>
      <c r="G113" s="3">
        <f t="shared" si="1"/>
        <v>0</v>
      </c>
      <c r="H113" s="3">
        <f>F113*(VLOOKUP(B113,Price_data!A$1:B$190,2,FALSE))</f>
        <v>0</v>
      </c>
      <c r="J113" s="5"/>
    </row>
    <row r="114" spans="1:10" ht="14.25" customHeight="1">
      <c r="A114" s="2" t="s">
        <v>15</v>
      </c>
      <c r="B114" s="2">
        <v>1993</v>
      </c>
      <c r="C114" s="2" t="s">
        <v>23</v>
      </c>
      <c r="D114" s="2">
        <v>0</v>
      </c>
      <c r="E114" s="2">
        <v>0</v>
      </c>
      <c r="F114" s="3">
        <f t="shared" si="0"/>
        <v>0</v>
      </c>
      <c r="G114" s="3">
        <f t="shared" si="1"/>
        <v>0</v>
      </c>
      <c r="H114" s="3">
        <f>F114*(VLOOKUP(B114,Price_data!A$1:B$190,2,FALSE))</f>
        <v>0</v>
      </c>
      <c r="J114" s="5"/>
    </row>
    <row r="115" spans="1:10" ht="14.25" customHeight="1">
      <c r="A115" s="2" t="s">
        <v>15</v>
      </c>
      <c r="B115" s="2">
        <v>1994</v>
      </c>
      <c r="C115" s="2" t="s">
        <v>23</v>
      </c>
      <c r="D115" s="2">
        <v>0</v>
      </c>
      <c r="E115" s="2">
        <v>0</v>
      </c>
      <c r="F115" s="3">
        <f t="shared" si="0"/>
        <v>0</v>
      </c>
      <c r="G115" s="3">
        <f t="shared" si="1"/>
        <v>0</v>
      </c>
      <c r="H115" s="3">
        <f>F115*(VLOOKUP(B115,Price_data!A$1:B$190,2,FALSE))</f>
        <v>0</v>
      </c>
      <c r="J115" s="5"/>
    </row>
    <row r="116" spans="1:10" ht="14.25" customHeight="1">
      <c r="A116" s="2" t="s">
        <v>15</v>
      </c>
      <c r="B116" s="2">
        <v>1995</v>
      </c>
      <c r="C116" s="2" t="s">
        <v>23</v>
      </c>
      <c r="D116" s="2">
        <v>0</v>
      </c>
      <c r="E116" s="2">
        <v>0</v>
      </c>
      <c r="F116" s="3">
        <f t="shared" si="0"/>
        <v>0</v>
      </c>
      <c r="G116" s="3">
        <f t="shared" si="1"/>
        <v>0</v>
      </c>
      <c r="H116" s="3">
        <f>F116*(VLOOKUP(B116,Price_data!A$1:B$190,2,FALSE))</f>
        <v>0</v>
      </c>
      <c r="J116" s="5"/>
    </row>
    <row r="117" spans="1:10" ht="14.25" customHeight="1">
      <c r="A117" s="2" t="s">
        <v>15</v>
      </c>
      <c r="B117" s="2">
        <v>1996</v>
      </c>
      <c r="C117" s="2" t="s">
        <v>23</v>
      </c>
      <c r="D117" s="2">
        <v>0</v>
      </c>
      <c r="E117" s="2">
        <v>0</v>
      </c>
      <c r="F117" s="3">
        <f t="shared" si="0"/>
        <v>0</v>
      </c>
      <c r="G117" s="3">
        <f t="shared" si="1"/>
        <v>0</v>
      </c>
      <c r="H117" s="3">
        <f>F117*(VLOOKUP(B117,Price_data!A$1:B$190,2,FALSE))</f>
        <v>0</v>
      </c>
      <c r="J117" s="5"/>
    </row>
    <row r="118" spans="1:10" ht="14.25" customHeight="1">
      <c r="A118" s="2" t="s">
        <v>15</v>
      </c>
      <c r="B118" s="2">
        <v>1997</v>
      </c>
      <c r="C118" s="2" t="s">
        <v>23</v>
      </c>
      <c r="D118" s="2">
        <v>0</v>
      </c>
      <c r="E118" s="2">
        <v>0</v>
      </c>
      <c r="F118" s="3">
        <f t="shared" si="0"/>
        <v>0</v>
      </c>
      <c r="G118" s="3">
        <f t="shared" si="1"/>
        <v>0</v>
      </c>
      <c r="H118" s="3">
        <f>F118*(VLOOKUP(B118,Price_data!A$1:B$190,2,FALSE))</f>
        <v>0</v>
      </c>
      <c r="J118" s="5"/>
    </row>
    <row r="119" spans="1:10" ht="14.25" customHeight="1">
      <c r="A119" s="2" t="s">
        <v>15</v>
      </c>
      <c r="B119" s="2">
        <v>1998</v>
      </c>
      <c r="C119" s="2" t="s">
        <v>23</v>
      </c>
      <c r="D119" s="2">
        <v>0</v>
      </c>
      <c r="E119" s="2">
        <v>0</v>
      </c>
      <c r="F119" s="3">
        <f t="shared" si="0"/>
        <v>0</v>
      </c>
      <c r="G119" s="3">
        <f t="shared" si="1"/>
        <v>0</v>
      </c>
      <c r="H119" s="3">
        <f>F119*(VLOOKUP(B119,Price_data!A$1:B$190,2,FALSE))</f>
        <v>0</v>
      </c>
      <c r="J119" s="5"/>
    </row>
    <row r="120" spans="1:10" ht="14.25" customHeight="1">
      <c r="A120" s="2" t="s">
        <v>15</v>
      </c>
      <c r="B120" s="2">
        <v>1999</v>
      </c>
      <c r="C120" s="2" t="s">
        <v>23</v>
      </c>
      <c r="D120" s="2">
        <v>0</v>
      </c>
      <c r="E120" s="2">
        <v>0</v>
      </c>
      <c r="F120" s="3">
        <f t="shared" si="0"/>
        <v>0</v>
      </c>
      <c r="G120" s="3">
        <f t="shared" si="1"/>
        <v>0</v>
      </c>
      <c r="H120" s="3">
        <f>F120*(VLOOKUP(B120,Price_data!A$1:B$190,2,FALSE))</f>
        <v>0</v>
      </c>
      <c r="J120" s="5"/>
    </row>
    <row r="121" spans="1:10" ht="14.25" customHeight="1">
      <c r="A121" s="2" t="s">
        <v>15</v>
      </c>
      <c r="B121" s="2">
        <v>2000</v>
      </c>
      <c r="C121" s="2" t="s">
        <v>23</v>
      </c>
      <c r="D121" s="2">
        <v>0</v>
      </c>
      <c r="E121" s="2">
        <v>0</v>
      </c>
      <c r="F121" s="3">
        <f t="shared" si="0"/>
        <v>0</v>
      </c>
      <c r="G121" s="3">
        <f t="shared" si="1"/>
        <v>0</v>
      </c>
      <c r="H121" s="3">
        <f>F121*(VLOOKUP(B121,Price_data!A$1:B$190,2,FALSE))</f>
        <v>0</v>
      </c>
      <c r="J121" s="5"/>
    </row>
    <row r="122" spans="1:10" ht="14.25" customHeight="1">
      <c r="A122" s="2" t="s">
        <v>15</v>
      </c>
      <c r="B122" s="2">
        <v>2001</v>
      </c>
      <c r="C122" s="2" t="s">
        <v>23</v>
      </c>
      <c r="D122" s="2">
        <v>0</v>
      </c>
      <c r="E122" s="2">
        <v>0</v>
      </c>
      <c r="F122" s="3">
        <f t="shared" si="0"/>
        <v>0</v>
      </c>
      <c r="G122" s="3">
        <f t="shared" si="1"/>
        <v>0</v>
      </c>
      <c r="H122" s="3">
        <f>F122*(VLOOKUP(B122,Price_data!A$1:B$190,2,FALSE))</f>
        <v>0</v>
      </c>
      <c r="J122" s="5"/>
    </row>
    <row r="123" spans="1:10" ht="14.25" customHeight="1">
      <c r="A123" s="2" t="s">
        <v>15</v>
      </c>
      <c r="B123" s="2">
        <v>2002</v>
      </c>
      <c r="C123" s="2" t="s">
        <v>23</v>
      </c>
      <c r="D123" s="2">
        <v>0</v>
      </c>
      <c r="E123" s="2">
        <v>0</v>
      </c>
      <c r="F123" s="3">
        <f t="shared" si="0"/>
        <v>0</v>
      </c>
      <c r="G123" s="3">
        <f t="shared" si="1"/>
        <v>0</v>
      </c>
      <c r="H123" s="3">
        <f>F123*(VLOOKUP(B123,Price_data!A$1:B$190,2,FALSE))</f>
        <v>0</v>
      </c>
      <c r="J123" s="5"/>
    </row>
    <row r="124" spans="1:10" ht="14.25" customHeight="1">
      <c r="A124" s="2" t="s">
        <v>15</v>
      </c>
      <c r="B124" s="2">
        <v>2003</v>
      </c>
      <c r="C124" s="2" t="s">
        <v>23</v>
      </c>
      <c r="D124" s="2">
        <v>0</v>
      </c>
      <c r="E124" s="2">
        <v>0</v>
      </c>
      <c r="F124" s="3">
        <f t="shared" si="0"/>
        <v>0</v>
      </c>
      <c r="G124" s="3">
        <f t="shared" si="1"/>
        <v>0</v>
      </c>
      <c r="H124" s="3">
        <f>F124*(VLOOKUP(B124,Price_data!A$1:B$190,2,FALSE))</f>
        <v>0</v>
      </c>
      <c r="J124" s="5"/>
    </row>
    <row r="125" spans="1:10" ht="14.25" customHeight="1">
      <c r="A125" s="2" t="s">
        <v>15</v>
      </c>
      <c r="B125" s="2">
        <v>2004</v>
      </c>
      <c r="C125" s="2" t="s">
        <v>23</v>
      </c>
      <c r="D125" s="2">
        <v>0</v>
      </c>
      <c r="E125" s="2">
        <v>0</v>
      </c>
      <c r="F125" s="3">
        <f t="shared" si="0"/>
        <v>0</v>
      </c>
      <c r="G125" s="3">
        <f t="shared" si="1"/>
        <v>0</v>
      </c>
      <c r="H125" s="3">
        <f>F125*(VLOOKUP(B125,Price_data!A$1:B$190,2,FALSE))</f>
        <v>0</v>
      </c>
      <c r="J125" s="5"/>
    </row>
    <row r="126" spans="1:10" ht="14.25" customHeight="1">
      <c r="A126" s="2" t="s">
        <v>15</v>
      </c>
      <c r="B126" s="2">
        <v>2005</v>
      </c>
      <c r="C126" s="2" t="s">
        <v>23</v>
      </c>
      <c r="D126" s="2">
        <v>0</v>
      </c>
      <c r="E126" s="2">
        <v>0</v>
      </c>
      <c r="F126" s="3">
        <f t="shared" si="0"/>
        <v>0</v>
      </c>
      <c r="G126" s="3">
        <f t="shared" si="1"/>
        <v>0</v>
      </c>
      <c r="H126" s="3">
        <f>F126*(VLOOKUP(B126,Price_data!A$1:B$190,2,FALSE))</f>
        <v>0</v>
      </c>
      <c r="J126" s="5"/>
    </row>
    <row r="127" spans="1:10" ht="14.25" customHeight="1">
      <c r="A127" s="2" t="s">
        <v>15</v>
      </c>
      <c r="B127" s="2">
        <v>2006</v>
      </c>
      <c r="C127" s="2" t="s">
        <v>23</v>
      </c>
      <c r="D127" s="2">
        <v>4</v>
      </c>
      <c r="E127" s="2">
        <v>13.043760000000001</v>
      </c>
      <c r="F127" s="3">
        <f t="shared" si="0"/>
        <v>1.3043760000000001E-2</v>
      </c>
      <c r="G127" s="3">
        <f t="shared" si="1"/>
        <v>4.0000000000000001E-3</v>
      </c>
      <c r="H127" s="3">
        <f>F127*(VLOOKUP(B127,Price_data!A$1:B$190,2,FALSE))</f>
        <v>1.1212793304582313E-2</v>
      </c>
      <c r="J127" s="5"/>
    </row>
    <row r="128" spans="1:10" ht="14.25" customHeight="1">
      <c r="A128" s="2" t="s">
        <v>15</v>
      </c>
      <c r="B128" s="2">
        <v>2007</v>
      </c>
      <c r="C128" s="2" t="s">
        <v>23</v>
      </c>
      <c r="D128" s="2">
        <v>0</v>
      </c>
      <c r="E128" s="2">
        <v>0</v>
      </c>
      <c r="F128" s="3">
        <f t="shared" si="0"/>
        <v>0</v>
      </c>
      <c r="G128" s="3">
        <f t="shared" si="1"/>
        <v>0</v>
      </c>
      <c r="H128" s="3">
        <f>F128*(VLOOKUP(B128,Price_data!A$1:B$190,2,FALSE))</f>
        <v>0</v>
      </c>
      <c r="J128" s="5"/>
    </row>
    <row r="129" spans="1:10" ht="14.25" customHeight="1">
      <c r="A129" s="2" t="s">
        <v>15</v>
      </c>
      <c r="B129" s="2">
        <v>2008</v>
      </c>
      <c r="C129" s="2" t="s">
        <v>23</v>
      </c>
      <c r="D129" s="2">
        <v>0</v>
      </c>
      <c r="E129" s="2">
        <v>0</v>
      </c>
      <c r="F129" s="3">
        <f t="shared" si="0"/>
        <v>0</v>
      </c>
      <c r="G129" s="3">
        <f t="shared" si="1"/>
        <v>0</v>
      </c>
      <c r="H129" s="3">
        <f>F129*(VLOOKUP(B129,Price_data!A$1:B$190,2,FALSE))</f>
        <v>0</v>
      </c>
      <c r="J129" s="5"/>
    </row>
    <row r="130" spans="1:10" ht="14.25" customHeight="1">
      <c r="A130" s="2" t="s">
        <v>15</v>
      </c>
      <c r="B130" s="2">
        <v>2009</v>
      </c>
      <c r="C130" s="2" t="s">
        <v>23</v>
      </c>
      <c r="D130" s="2">
        <v>0</v>
      </c>
      <c r="E130" s="2">
        <v>0</v>
      </c>
      <c r="F130" s="3">
        <f t="shared" si="0"/>
        <v>0</v>
      </c>
      <c r="G130" s="3">
        <f t="shared" si="1"/>
        <v>0</v>
      </c>
      <c r="H130" s="3">
        <f>F130*(VLOOKUP(B130,Price_data!A$1:B$190,2,FALSE))</f>
        <v>0</v>
      </c>
      <c r="J130" s="5"/>
    </row>
    <row r="131" spans="1:10" ht="14.25" customHeight="1">
      <c r="A131" s="2" t="s">
        <v>15</v>
      </c>
      <c r="B131" s="2">
        <v>2010</v>
      </c>
      <c r="C131" s="2" t="s">
        <v>23</v>
      </c>
      <c r="D131" s="2">
        <v>0</v>
      </c>
      <c r="E131" s="2">
        <v>0</v>
      </c>
      <c r="F131" s="3">
        <f t="shared" si="0"/>
        <v>0</v>
      </c>
      <c r="G131" s="3">
        <f t="shared" si="1"/>
        <v>0</v>
      </c>
      <c r="H131" s="3">
        <f>F131*(VLOOKUP(B131,Price_data!A$1:B$190,2,FALSE))</f>
        <v>0</v>
      </c>
      <c r="J131" s="5"/>
    </row>
    <row r="132" spans="1:10" ht="14.25" customHeight="1">
      <c r="A132" s="2" t="s">
        <v>15</v>
      </c>
      <c r="B132" s="2">
        <v>2011</v>
      </c>
      <c r="C132" s="2" t="s">
        <v>23</v>
      </c>
      <c r="D132" s="2">
        <v>0</v>
      </c>
      <c r="E132" s="2">
        <v>0</v>
      </c>
      <c r="F132" s="3">
        <f t="shared" si="0"/>
        <v>0</v>
      </c>
      <c r="G132" s="3">
        <f t="shared" si="1"/>
        <v>0</v>
      </c>
      <c r="H132" s="3">
        <f>F132*(VLOOKUP(B132,Price_data!A$1:B$190,2,FALSE))</f>
        <v>0</v>
      </c>
      <c r="J132" s="5"/>
    </row>
    <row r="133" spans="1:10" ht="14.25" customHeight="1">
      <c r="A133" s="2" t="s">
        <v>15</v>
      </c>
      <c r="B133" s="2">
        <v>2012</v>
      </c>
      <c r="C133" s="2" t="s">
        <v>23</v>
      </c>
      <c r="D133" s="2">
        <v>0</v>
      </c>
      <c r="E133" s="2">
        <v>0</v>
      </c>
      <c r="F133" s="3">
        <f t="shared" si="0"/>
        <v>0</v>
      </c>
      <c r="G133" s="3">
        <f t="shared" si="1"/>
        <v>0</v>
      </c>
      <c r="H133" s="3">
        <f>F133*(VLOOKUP(B133,Price_data!A$1:B$190,2,FALSE))</f>
        <v>0</v>
      </c>
      <c r="J133" s="5"/>
    </row>
    <row r="134" spans="1:10" ht="14.25" customHeight="1">
      <c r="A134" s="2" t="s">
        <v>15</v>
      </c>
      <c r="B134" s="2">
        <v>2013</v>
      </c>
      <c r="C134" s="2" t="s">
        <v>23</v>
      </c>
      <c r="D134" s="2">
        <v>0</v>
      </c>
      <c r="E134" s="2">
        <v>0</v>
      </c>
      <c r="F134" s="3">
        <f t="shared" si="0"/>
        <v>0</v>
      </c>
      <c r="G134" s="3">
        <f t="shared" si="1"/>
        <v>0</v>
      </c>
      <c r="H134" s="3">
        <f>F134*(VLOOKUP(B134,Price_data!A$1:B$190,2,FALSE))</f>
        <v>0</v>
      </c>
      <c r="J134" s="5"/>
    </row>
    <row r="135" spans="1:10" ht="14.25" customHeight="1">
      <c r="A135" s="2" t="s">
        <v>15</v>
      </c>
      <c r="B135" s="2">
        <v>2014</v>
      </c>
      <c r="C135" s="2" t="s">
        <v>23</v>
      </c>
      <c r="D135" s="2">
        <v>0</v>
      </c>
      <c r="E135" s="2">
        <v>0</v>
      </c>
      <c r="F135" s="3">
        <f t="shared" si="0"/>
        <v>0</v>
      </c>
      <c r="G135" s="3">
        <f t="shared" si="1"/>
        <v>0</v>
      </c>
      <c r="H135" s="3">
        <f>F135*(VLOOKUP(B135,Price_data!A$1:B$190,2,FALSE))</f>
        <v>0</v>
      </c>
      <c r="J135" s="5"/>
    </row>
    <row r="136" spans="1:10" ht="14.25" customHeight="1">
      <c r="A136" s="2" t="s">
        <v>15</v>
      </c>
      <c r="B136" s="2">
        <v>2015</v>
      </c>
      <c r="C136" s="2" t="s">
        <v>23</v>
      </c>
      <c r="D136" s="2">
        <v>0</v>
      </c>
      <c r="E136" s="2">
        <v>0</v>
      </c>
      <c r="F136" s="3">
        <f t="shared" si="0"/>
        <v>0</v>
      </c>
      <c r="G136" s="3">
        <f t="shared" si="1"/>
        <v>0</v>
      </c>
      <c r="H136" s="3">
        <f>F136*(VLOOKUP(B136,Price_data!A$1:B$190,2,FALSE))</f>
        <v>0</v>
      </c>
      <c r="J136" s="5"/>
    </row>
    <row r="137" spans="1:10" ht="14.25" customHeight="1">
      <c r="A137" s="2" t="s">
        <v>15</v>
      </c>
      <c r="B137" s="2">
        <v>2016</v>
      </c>
      <c r="C137" s="2" t="s">
        <v>23</v>
      </c>
      <c r="D137" s="2">
        <v>0</v>
      </c>
      <c r="E137" s="2">
        <v>0</v>
      </c>
      <c r="F137" s="3">
        <f t="shared" si="0"/>
        <v>0</v>
      </c>
      <c r="G137" s="3">
        <f t="shared" si="1"/>
        <v>0</v>
      </c>
      <c r="H137" s="3">
        <f>F137*(VLOOKUP(B137,Price_data!A$1:B$190,2,FALSE))</f>
        <v>0</v>
      </c>
      <c r="J137" s="5"/>
    </row>
    <row r="138" spans="1:10" ht="14.25" customHeight="1">
      <c r="A138" s="2" t="s">
        <v>15</v>
      </c>
      <c r="B138" s="2">
        <v>2017</v>
      </c>
      <c r="C138" s="2" t="s">
        <v>23</v>
      </c>
      <c r="D138" s="2">
        <v>0</v>
      </c>
      <c r="E138" s="2">
        <v>0</v>
      </c>
      <c r="F138" s="3">
        <f t="shared" si="0"/>
        <v>0</v>
      </c>
      <c r="G138" s="3">
        <f t="shared" si="1"/>
        <v>0</v>
      </c>
      <c r="H138" s="3">
        <f>F138*(VLOOKUP(B138,Price_data!A$1:B$190,2,FALSE))</f>
        <v>0</v>
      </c>
      <c r="J138" s="5"/>
    </row>
    <row r="139" spans="1:10" ht="14.25" customHeight="1">
      <c r="A139" s="2" t="s">
        <v>15</v>
      </c>
      <c r="B139" s="2">
        <v>2018</v>
      </c>
      <c r="C139" s="2" t="s">
        <v>23</v>
      </c>
      <c r="D139" s="2">
        <v>0</v>
      </c>
      <c r="E139" s="2">
        <v>0</v>
      </c>
      <c r="F139" s="3">
        <f t="shared" si="0"/>
        <v>0</v>
      </c>
      <c r="G139" s="3">
        <f t="shared" si="1"/>
        <v>0</v>
      </c>
      <c r="H139" s="3">
        <f>F139*(VLOOKUP(B139,Price_data!A$1:B$190,2,FALSE))</f>
        <v>0</v>
      </c>
      <c r="J139" s="5"/>
    </row>
    <row r="140" spans="1:10" ht="14.25" customHeight="1">
      <c r="A140" s="2" t="s">
        <v>15</v>
      </c>
      <c r="B140" s="2">
        <v>1950</v>
      </c>
      <c r="C140" s="2" t="s">
        <v>29</v>
      </c>
      <c r="D140" s="2">
        <v>0</v>
      </c>
      <c r="E140" s="2">
        <v>0</v>
      </c>
      <c r="F140" s="3">
        <f t="shared" si="0"/>
        <v>0</v>
      </c>
      <c r="G140" s="3">
        <f t="shared" si="1"/>
        <v>0</v>
      </c>
      <c r="H140" s="3">
        <f>F140*(VLOOKUP(B140,Price_data!A$1:B$190,2,FALSE))</f>
        <v>0</v>
      </c>
      <c r="I140" s="2">
        <f t="shared" ref="I140:I209" si="2">G140*0.887125014590872</f>
        <v>0</v>
      </c>
      <c r="J140" s="5"/>
    </row>
    <row r="141" spans="1:10" ht="14.25" customHeight="1">
      <c r="A141" s="2" t="s">
        <v>15</v>
      </c>
      <c r="B141" s="2">
        <v>1951</v>
      </c>
      <c r="C141" s="2" t="s">
        <v>29</v>
      </c>
      <c r="D141" s="2">
        <v>0</v>
      </c>
      <c r="E141" s="2">
        <v>0</v>
      </c>
      <c r="F141" s="3">
        <f t="shared" si="0"/>
        <v>0</v>
      </c>
      <c r="G141" s="3">
        <f t="shared" si="1"/>
        <v>0</v>
      </c>
      <c r="H141" s="3">
        <f>F141*(VLOOKUP(B141,Price_data!A$1:B$190,2,FALSE))</f>
        <v>0</v>
      </c>
      <c r="I141" s="2">
        <f t="shared" si="2"/>
        <v>0</v>
      </c>
      <c r="J141" s="5"/>
    </row>
    <row r="142" spans="1:10" ht="14.25" customHeight="1">
      <c r="A142" s="2" t="s">
        <v>15</v>
      </c>
      <c r="B142" s="2">
        <v>1952</v>
      </c>
      <c r="C142" s="2" t="s">
        <v>29</v>
      </c>
      <c r="D142" s="2">
        <v>0</v>
      </c>
      <c r="E142" s="2">
        <v>0</v>
      </c>
      <c r="F142" s="3">
        <f t="shared" si="0"/>
        <v>0</v>
      </c>
      <c r="G142" s="3">
        <f t="shared" si="1"/>
        <v>0</v>
      </c>
      <c r="H142" s="3">
        <f>F142*(VLOOKUP(B142,Price_data!A$1:B$190,2,FALSE))</f>
        <v>0</v>
      </c>
      <c r="I142" s="2">
        <f t="shared" si="2"/>
        <v>0</v>
      </c>
      <c r="J142" s="5"/>
    </row>
    <row r="143" spans="1:10" ht="14.25" customHeight="1">
      <c r="A143" s="2" t="s">
        <v>15</v>
      </c>
      <c r="B143" s="2">
        <v>1953</v>
      </c>
      <c r="C143" s="2" t="s">
        <v>29</v>
      </c>
      <c r="D143" s="2">
        <v>0</v>
      </c>
      <c r="E143" s="2">
        <v>0</v>
      </c>
      <c r="F143" s="3">
        <f t="shared" si="0"/>
        <v>0</v>
      </c>
      <c r="G143" s="3">
        <f t="shared" si="1"/>
        <v>0</v>
      </c>
      <c r="H143" s="3">
        <f>F143*(VLOOKUP(B143,Price_data!A$1:B$190,2,FALSE))</f>
        <v>0</v>
      </c>
      <c r="I143" s="2">
        <f t="shared" si="2"/>
        <v>0</v>
      </c>
      <c r="J143" s="5"/>
    </row>
    <row r="144" spans="1:10" ht="14.25" customHeight="1">
      <c r="A144" s="2" t="s">
        <v>15</v>
      </c>
      <c r="B144" s="2">
        <v>1954</v>
      </c>
      <c r="C144" s="2" t="s">
        <v>29</v>
      </c>
      <c r="D144" s="2">
        <v>0</v>
      </c>
      <c r="E144" s="2">
        <v>0</v>
      </c>
      <c r="F144" s="3">
        <f t="shared" si="0"/>
        <v>0</v>
      </c>
      <c r="G144" s="3">
        <f t="shared" si="1"/>
        <v>0</v>
      </c>
      <c r="H144" s="3">
        <f>F144*(VLOOKUP(B144,Price_data!A$1:B$190,2,FALSE))</f>
        <v>0</v>
      </c>
      <c r="I144" s="2">
        <f t="shared" si="2"/>
        <v>0</v>
      </c>
      <c r="J144" s="5"/>
    </row>
    <row r="145" spans="1:10" ht="14.25" customHeight="1">
      <c r="A145" s="2" t="s">
        <v>15</v>
      </c>
      <c r="B145" s="2">
        <v>1955</v>
      </c>
      <c r="C145" s="2" t="s">
        <v>29</v>
      </c>
      <c r="D145" s="2">
        <v>0</v>
      </c>
      <c r="E145" s="2">
        <v>0</v>
      </c>
      <c r="F145" s="3">
        <f t="shared" si="0"/>
        <v>0</v>
      </c>
      <c r="G145" s="3">
        <f t="shared" si="1"/>
        <v>0</v>
      </c>
      <c r="H145" s="3">
        <f>F145*(VLOOKUP(B145,Price_data!A$1:B$190,2,FALSE))</f>
        <v>0</v>
      </c>
      <c r="I145" s="2">
        <f t="shared" si="2"/>
        <v>0</v>
      </c>
      <c r="J145" s="5"/>
    </row>
    <row r="146" spans="1:10" ht="14.25" customHeight="1">
      <c r="A146" s="2" t="s">
        <v>15</v>
      </c>
      <c r="B146" s="2">
        <v>1956</v>
      </c>
      <c r="C146" s="2" t="s">
        <v>29</v>
      </c>
      <c r="D146" s="2">
        <v>0</v>
      </c>
      <c r="E146" s="2">
        <v>0</v>
      </c>
      <c r="F146" s="3">
        <f t="shared" si="0"/>
        <v>0</v>
      </c>
      <c r="G146" s="3">
        <f t="shared" si="1"/>
        <v>0</v>
      </c>
      <c r="H146" s="3">
        <f>F146*(VLOOKUP(B146,Price_data!A$1:B$190,2,FALSE))</f>
        <v>0</v>
      </c>
      <c r="I146" s="2">
        <f t="shared" si="2"/>
        <v>0</v>
      </c>
      <c r="J146" s="5"/>
    </row>
    <row r="147" spans="1:10" ht="14.25" customHeight="1">
      <c r="A147" s="2" t="s">
        <v>15</v>
      </c>
      <c r="B147" s="2">
        <v>1957</v>
      </c>
      <c r="C147" s="2" t="s">
        <v>29</v>
      </c>
      <c r="D147" s="2">
        <v>0</v>
      </c>
      <c r="E147" s="2">
        <v>0</v>
      </c>
      <c r="F147" s="3">
        <f t="shared" si="0"/>
        <v>0</v>
      </c>
      <c r="G147" s="3">
        <f t="shared" si="1"/>
        <v>0</v>
      </c>
      <c r="H147" s="3">
        <f>F147*(VLOOKUP(B147,Price_data!A$1:B$190,2,FALSE))</f>
        <v>0</v>
      </c>
      <c r="I147" s="2">
        <f t="shared" si="2"/>
        <v>0</v>
      </c>
      <c r="J147" s="5"/>
    </row>
    <row r="148" spans="1:10" ht="14.25" customHeight="1">
      <c r="A148" s="2" t="s">
        <v>15</v>
      </c>
      <c r="B148" s="2">
        <v>1958</v>
      </c>
      <c r="C148" s="2" t="s">
        <v>29</v>
      </c>
      <c r="D148" s="2">
        <v>0</v>
      </c>
      <c r="E148" s="2">
        <v>0</v>
      </c>
      <c r="F148" s="3">
        <f t="shared" si="0"/>
        <v>0</v>
      </c>
      <c r="G148" s="3">
        <f t="shared" si="1"/>
        <v>0</v>
      </c>
      <c r="H148" s="3">
        <f>F148*(VLOOKUP(B148,Price_data!A$1:B$190,2,FALSE))</f>
        <v>0</v>
      </c>
      <c r="I148" s="2">
        <f t="shared" si="2"/>
        <v>0</v>
      </c>
      <c r="J148" s="5"/>
    </row>
    <row r="149" spans="1:10" ht="14.25" customHeight="1">
      <c r="A149" s="2" t="s">
        <v>15</v>
      </c>
      <c r="B149" s="2">
        <v>1959</v>
      </c>
      <c r="C149" s="2" t="s">
        <v>29</v>
      </c>
      <c r="D149" s="2">
        <v>0</v>
      </c>
      <c r="E149" s="2">
        <v>0</v>
      </c>
      <c r="F149" s="3">
        <f t="shared" si="0"/>
        <v>0</v>
      </c>
      <c r="G149" s="3">
        <f t="shared" si="1"/>
        <v>0</v>
      </c>
      <c r="H149" s="3">
        <f>F149*(VLOOKUP(B149,Price_data!A$1:B$190,2,FALSE))</f>
        <v>0</v>
      </c>
      <c r="I149" s="2">
        <f t="shared" si="2"/>
        <v>0</v>
      </c>
      <c r="J149" s="5"/>
    </row>
    <row r="150" spans="1:10" ht="14.25" customHeight="1">
      <c r="A150" s="2" t="s">
        <v>15</v>
      </c>
      <c r="B150" s="2">
        <v>1960</v>
      </c>
      <c r="C150" s="2" t="s">
        <v>29</v>
      </c>
      <c r="D150" s="2">
        <v>0</v>
      </c>
      <c r="E150" s="2">
        <v>0</v>
      </c>
      <c r="F150" s="3">
        <f t="shared" si="0"/>
        <v>0</v>
      </c>
      <c r="G150" s="3">
        <f t="shared" si="1"/>
        <v>0</v>
      </c>
      <c r="H150" s="3">
        <f>F150*(VLOOKUP(B150,Price_data!A$1:B$190,2,FALSE))</f>
        <v>0</v>
      </c>
      <c r="I150" s="2">
        <f t="shared" si="2"/>
        <v>0</v>
      </c>
      <c r="J150" s="5"/>
    </row>
    <row r="151" spans="1:10" ht="14.25" customHeight="1">
      <c r="A151" s="2" t="s">
        <v>15</v>
      </c>
      <c r="B151" s="2">
        <v>1961</v>
      </c>
      <c r="C151" s="2" t="s">
        <v>29</v>
      </c>
      <c r="D151" s="2">
        <v>0</v>
      </c>
      <c r="E151" s="2">
        <v>0</v>
      </c>
      <c r="F151" s="3">
        <f t="shared" si="0"/>
        <v>0</v>
      </c>
      <c r="G151" s="3">
        <f t="shared" si="1"/>
        <v>0</v>
      </c>
      <c r="H151" s="3">
        <f>F151*(VLOOKUP(B151,Price_data!A$1:B$190,2,FALSE))</f>
        <v>0</v>
      </c>
      <c r="I151" s="2">
        <f t="shared" si="2"/>
        <v>0</v>
      </c>
      <c r="J151" s="5"/>
    </row>
    <row r="152" spans="1:10" ht="14.25" customHeight="1">
      <c r="A152" s="2" t="s">
        <v>15</v>
      </c>
      <c r="B152" s="2">
        <v>1962</v>
      </c>
      <c r="C152" s="2" t="s">
        <v>29</v>
      </c>
      <c r="D152" s="2">
        <v>0</v>
      </c>
      <c r="E152" s="2">
        <v>0</v>
      </c>
      <c r="F152" s="3">
        <f t="shared" si="0"/>
        <v>0</v>
      </c>
      <c r="G152" s="3">
        <f t="shared" si="1"/>
        <v>0</v>
      </c>
      <c r="H152" s="3">
        <f>F152*(VLOOKUP(B152,Price_data!A$1:B$190,2,FALSE))</f>
        <v>0</v>
      </c>
      <c r="I152" s="2">
        <f t="shared" si="2"/>
        <v>0</v>
      </c>
      <c r="J152" s="5"/>
    </row>
    <row r="153" spans="1:10" ht="14.25" customHeight="1">
      <c r="A153" s="2" t="s">
        <v>15</v>
      </c>
      <c r="B153" s="2">
        <v>1963</v>
      </c>
      <c r="C153" s="2" t="s">
        <v>29</v>
      </c>
      <c r="D153" s="2">
        <v>0</v>
      </c>
      <c r="E153" s="2">
        <v>0</v>
      </c>
      <c r="F153" s="3">
        <f t="shared" si="0"/>
        <v>0</v>
      </c>
      <c r="G153" s="3">
        <f t="shared" si="1"/>
        <v>0</v>
      </c>
      <c r="H153" s="3">
        <f>F153*(VLOOKUP(B153,Price_data!A$1:B$190,2,FALSE))</f>
        <v>0</v>
      </c>
      <c r="I153" s="2">
        <f t="shared" si="2"/>
        <v>0</v>
      </c>
      <c r="J153" s="5"/>
    </row>
    <row r="154" spans="1:10" ht="14.25" customHeight="1">
      <c r="A154" s="2" t="s">
        <v>15</v>
      </c>
      <c r="B154" s="2">
        <v>1964</v>
      </c>
      <c r="C154" s="2" t="s">
        <v>29</v>
      </c>
      <c r="D154" s="2">
        <v>0</v>
      </c>
      <c r="E154" s="2">
        <v>0</v>
      </c>
      <c r="F154" s="3">
        <f t="shared" si="0"/>
        <v>0</v>
      </c>
      <c r="G154" s="3">
        <f t="shared" si="1"/>
        <v>0</v>
      </c>
      <c r="H154" s="3">
        <f>F154*(VLOOKUP(B154,Price_data!A$1:B$190,2,FALSE))</f>
        <v>0</v>
      </c>
      <c r="I154" s="2">
        <f t="shared" si="2"/>
        <v>0</v>
      </c>
      <c r="J154" s="5"/>
    </row>
    <row r="155" spans="1:10" ht="14.25" customHeight="1">
      <c r="A155" s="2" t="s">
        <v>15</v>
      </c>
      <c r="B155" s="2">
        <v>1965</v>
      </c>
      <c r="C155" s="2" t="s">
        <v>29</v>
      </c>
      <c r="D155" s="2">
        <v>0</v>
      </c>
      <c r="E155" s="2">
        <v>0</v>
      </c>
      <c r="F155" s="3">
        <f t="shared" si="0"/>
        <v>0</v>
      </c>
      <c r="G155" s="3">
        <f t="shared" si="1"/>
        <v>0</v>
      </c>
      <c r="H155" s="3">
        <f>F155*(VLOOKUP(B155,Price_data!A$1:B$190,2,FALSE))</f>
        <v>0</v>
      </c>
      <c r="I155" s="2">
        <f t="shared" si="2"/>
        <v>0</v>
      </c>
      <c r="J155" s="5"/>
    </row>
    <row r="156" spans="1:10" ht="14.25" customHeight="1">
      <c r="A156" s="2" t="s">
        <v>15</v>
      </c>
      <c r="B156" s="2">
        <v>1966</v>
      </c>
      <c r="C156" s="2" t="s">
        <v>29</v>
      </c>
      <c r="D156" s="2">
        <v>0</v>
      </c>
      <c r="E156" s="2">
        <v>0</v>
      </c>
      <c r="F156" s="3">
        <f t="shared" si="0"/>
        <v>0</v>
      </c>
      <c r="G156" s="3">
        <f t="shared" si="1"/>
        <v>0</v>
      </c>
      <c r="H156" s="3">
        <f>F156*(VLOOKUP(B156,Price_data!A$1:B$190,2,FALSE))</f>
        <v>0</v>
      </c>
      <c r="I156" s="2">
        <f t="shared" si="2"/>
        <v>0</v>
      </c>
      <c r="J156" s="5"/>
    </row>
    <row r="157" spans="1:10" ht="14.25" customHeight="1">
      <c r="A157" s="2" t="s">
        <v>15</v>
      </c>
      <c r="B157" s="2">
        <v>1967</v>
      </c>
      <c r="C157" s="2" t="s">
        <v>29</v>
      </c>
      <c r="D157" s="2">
        <v>0</v>
      </c>
      <c r="E157" s="2">
        <v>0</v>
      </c>
      <c r="F157" s="3">
        <f t="shared" si="0"/>
        <v>0</v>
      </c>
      <c r="G157" s="3">
        <f t="shared" si="1"/>
        <v>0</v>
      </c>
      <c r="H157" s="3">
        <f>F157*(VLOOKUP(B157,Price_data!A$1:B$190,2,FALSE))</f>
        <v>0</v>
      </c>
      <c r="I157" s="2">
        <f t="shared" si="2"/>
        <v>0</v>
      </c>
      <c r="J157" s="5"/>
    </row>
    <row r="158" spans="1:10" ht="14.25" customHeight="1">
      <c r="A158" s="2" t="s">
        <v>15</v>
      </c>
      <c r="B158" s="2">
        <v>1968</v>
      </c>
      <c r="C158" s="2" t="s">
        <v>29</v>
      </c>
      <c r="D158" s="2">
        <v>0</v>
      </c>
      <c r="E158" s="2">
        <v>0</v>
      </c>
      <c r="F158" s="3">
        <f t="shared" si="0"/>
        <v>0</v>
      </c>
      <c r="G158" s="3">
        <f t="shared" si="1"/>
        <v>0</v>
      </c>
      <c r="H158" s="3">
        <f>F158*(VLOOKUP(B158,Price_data!A$1:B$190,2,FALSE))</f>
        <v>0</v>
      </c>
      <c r="I158" s="2">
        <f t="shared" si="2"/>
        <v>0</v>
      </c>
      <c r="J158" s="5"/>
    </row>
    <row r="159" spans="1:10" ht="14.25" customHeight="1">
      <c r="A159" s="2" t="s">
        <v>15</v>
      </c>
      <c r="B159" s="2">
        <v>1969</v>
      </c>
      <c r="C159" s="2" t="s">
        <v>29</v>
      </c>
      <c r="D159" s="2">
        <v>0</v>
      </c>
      <c r="E159" s="2">
        <v>0</v>
      </c>
      <c r="F159" s="3">
        <f t="shared" si="0"/>
        <v>0</v>
      </c>
      <c r="G159" s="3">
        <f t="shared" si="1"/>
        <v>0</v>
      </c>
      <c r="H159" s="3">
        <f>F159*(VLOOKUP(B159,Price_data!A$1:B$190,2,FALSE))</f>
        <v>0</v>
      </c>
      <c r="I159" s="2">
        <f t="shared" si="2"/>
        <v>0</v>
      </c>
      <c r="J159" s="5"/>
    </row>
    <row r="160" spans="1:10" ht="14.25" customHeight="1">
      <c r="A160" s="2" t="s">
        <v>15</v>
      </c>
      <c r="B160" s="2">
        <v>1970</v>
      </c>
      <c r="C160" s="2" t="s">
        <v>29</v>
      </c>
      <c r="D160" s="2">
        <v>244</v>
      </c>
      <c r="E160" s="2">
        <v>0</v>
      </c>
      <c r="F160" s="3">
        <f t="shared" si="0"/>
        <v>0</v>
      </c>
      <c r="G160" s="3">
        <f t="shared" si="1"/>
        <v>0.24399999999999999</v>
      </c>
      <c r="H160" s="3">
        <f>F160*(VLOOKUP(B160,Price_data!A$1:B$190,2,FALSE))</f>
        <v>0</v>
      </c>
      <c r="I160" s="2">
        <f t="shared" si="2"/>
        <v>0.21645850356017277</v>
      </c>
      <c r="J160" s="5"/>
    </row>
    <row r="161" spans="1:10" ht="14.25" customHeight="1">
      <c r="A161" s="2" t="s">
        <v>15</v>
      </c>
      <c r="B161" s="2">
        <v>1971</v>
      </c>
      <c r="C161" s="2" t="s">
        <v>29</v>
      </c>
      <c r="D161" s="2">
        <v>216</v>
      </c>
      <c r="E161" s="2">
        <v>0</v>
      </c>
      <c r="F161" s="3">
        <f t="shared" si="0"/>
        <v>0</v>
      </c>
      <c r="G161" s="3">
        <f t="shared" si="1"/>
        <v>0.216</v>
      </c>
      <c r="H161" s="3">
        <f>F161*(VLOOKUP(B161,Price_data!A$1:B$190,2,FALSE))</f>
        <v>0</v>
      </c>
      <c r="I161" s="2">
        <f t="shared" si="2"/>
        <v>0.19161900315162836</v>
      </c>
      <c r="J161" s="5"/>
    </row>
    <row r="162" spans="1:10" ht="14.25" customHeight="1">
      <c r="A162" s="2" t="s">
        <v>15</v>
      </c>
      <c r="B162" s="2">
        <v>1972</v>
      </c>
      <c r="C162" s="2" t="s">
        <v>29</v>
      </c>
      <c r="D162" s="2">
        <v>213</v>
      </c>
      <c r="E162" s="2">
        <v>0</v>
      </c>
      <c r="F162" s="3">
        <f t="shared" si="0"/>
        <v>0</v>
      </c>
      <c r="G162" s="3">
        <f t="shared" si="1"/>
        <v>0.21299999999999999</v>
      </c>
      <c r="H162" s="3">
        <f>F162*(VLOOKUP(B162,Price_data!A$1:B$190,2,FALSE))</f>
        <v>0</v>
      </c>
      <c r="I162" s="2">
        <f t="shared" si="2"/>
        <v>0.18895762810785574</v>
      </c>
      <c r="J162" s="5"/>
    </row>
    <row r="163" spans="1:10" ht="14.25" customHeight="1">
      <c r="A163" s="2" t="s">
        <v>15</v>
      </c>
      <c r="B163" s="2">
        <v>1973</v>
      </c>
      <c r="C163" s="2" t="s">
        <v>29</v>
      </c>
      <c r="D163" s="2">
        <v>401</v>
      </c>
      <c r="E163" s="2">
        <v>0</v>
      </c>
      <c r="F163" s="3">
        <f t="shared" si="0"/>
        <v>0</v>
      </c>
      <c r="G163" s="3">
        <f t="shared" si="1"/>
        <v>0.40100000000000002</v>
      </c>
      <c r="H163" s="3">
        <f>F163*(VLOOKUP(B163,Price_data!A$1:B$190,2,FALSE))</f>
        <v>0</v>
      </c>
      <c r="I163" s="2">
        <f t="shared" si="2"/>
        <v>0.35573713085093972</v>
      </c>
      <c r="J163" s="5"/>
    </row>
    <row r="164" spans="1:10" ht="14.25" customHeight="1">
      <c r="A164" s="2" t="s">
        <v>15</v>
      </c>
      <c r="B164" s="2">
        <v>1974</v>
      </c>
      <c r="C164" s="2" t="s">
        <v>29</v>
      </c>
      <c r="D164" s="2">
        <v>372</v>
      </c>
      <c r="E164" s="2">
        <v>0</v>
      </c>
      <c r="F164" s="3">
        <f t="shared" si="0"/>
        <v>0</v>
      </c>
      <c r="G164" s="3">
        <f t="shared" si="1"/>
        <v>0.372</v>
      </c>
      <c r="H164" s="3">
        <f>F164*(VLOOKUP(B164,Price_data!A$1:B$190,2,FALSE))</f>
        <v>0</v>
      </c>
      <c r="I164" s="2">
        <f t="shared" si="2"/>
        <v>0.33001050542780436</v>
      </c>
      <c r="J164" s="5"/>
    </row>
    <row r="165" spans="1:10" ht="14.25" customHeight="1">
      <c r="A165" s="2" t="s">
        <v>15</v>
      </c>
      <c r="B165" s="2">
        <v>1975</v>
      </c>
      <c r="C165" s="2" t="s">
        <v>29</v>
      </c>
      <c r="D165" s="2">
        <v>393</v>
      </c>
      <c r="E165" s="2">
        <v>0</v>
      </c>
      <c r="F165" s="3">
        <f t="shared" si="0"/>
        <v>0</v>
      </c>
      <c r="G165" s="3">
        <f t="shared" si="1"/>
        <v>0.39300000000000002</v>
      </c>
      <c r="H165" s="3">
        <f>F165*(VLOOKUP(B165,Price_data!A$1:B$190,2,FALSE))</f>
        <v>0</v>
      </c>
      <c r="I165" s="2">
        <f t="shared" si="2"/>
        <v>0.34864013073421274</v>
      </c>
      <c r="J165" s="5"/>
    </row>
    <row r="166" spans="1:10" ht="14.25" customHeight="1">
      <c r="A166" s="2" t="s">
        <v>15</v>
      </c>
      <c r="B166" s="2">
        <v>1976</v>
      </c>
      <c r="C166" s="2" t="s">
        <v>29</v>
      </c>
      <c r="D166" s="2">
        <v>209</v>
      </c>
      <c r="E166" s="2">
        <v>0</v>
      </c>
      <c r="F166" s="3">
        <f t="shared" si="0"/>
        <v>0</v>
      </c>
      <c r="G166" s="3">
        <f t="shared" si="1"/>
        <v>0.20899999999999999</v>
      </c>
      <c r="H166" s="3">
        <f>F166*(VLOOKUP(B166,Price_data!A$1:B$190,2,FALSE))</f>
        <v>0</v>
      </c>
      <c r="I166" s="2">
        <f t="shared" si="2"/>
        <v>0.18540912804949225</v>
      </c>
      <c r="J166" s="5"/>
    </row>
    <row r="167" spans="1:10" ht="14.25" customHeight="1">
      <c r="A167" s="2" t="s">
        <v>15</v>
      </c>
      <c r="B167" s="2">
        <v>1977</v>
      </c>
      <c r="C167" s="2" t="s">
        <v>29</v>
      </c>
      <c r="D167" s="2">
        <v>115</v>
      </c>
      <c r="E167" s="2">
        <v>0</v>
      </c>
      <c r="F167" s="3">
        <f t="shared" si="0"/>
        <v>0</v>
      </c>
      <c r="G167" s="3">
        <f t="shared" si="1"/>
        <v>0.115</v>
      </c>
      <c r="H167" s="3">
        <f>F167*(VLOOKUP(B167,Price_data!A$1:B$190,2,FALSE))</f>
        <v>0</v>
      </c>
      <c r="I167" s="2">
        <f t="shared" si="2"/>
        <v>0.10201937667795029</v>
      </c>
      <c r="J167" s="5"/>
    </row>
    <row r="168" spans="1:10" ht="14.25" customHeight="1">
      <c r="A168" s="2" t="s">
        <v>15</v>
      </c>
      <c r="B168" s="2">
        <v>1978</v>
      </c>
      <c r="C168" s="2" t="s">
        <v>29</v>
      </c>
      <c r="D168" s="2">
        <v>378</v>
      </c>
      <c r="E168" s="2">
        <v>0</v>
      </c>
      <c r="F168" s="3">
        <f t="shared" si="0"/>
        <v>0</v>
      </c>
      <c r="G168" s="3">
        <f t="shared" si="1"/>
        <v>0.378</v>
      </c>
      <c r="H168" s="3">
        <f>F168*(VLOOKUP(B168,Price_data!A$1:B$190,2,FALSE))</f>
        <v>0</v>
      </c>
      <c r="I168" s="2">
        <f t="shared" si="2"/>
        <v>0.33533325551534965</v>
      </c>
      <c r="J168" s="5"/>
    </row>
    <row r="169" spans="1:10" ht="14.25" customHeight="1">
      <c r="A169" s="2" t="s">
        <v>15</v>
      </c>
      <c r="B169" s="2">
        <v>1979</v>
      </c>
      <c r="C169" s="2" t="s">
        <v>29</v>
      </c>
      <c r="D169" s="2">
        <v>520</v>
      </c>
      <c r="E169" s="2">
        <v>0</v>
      </c>
      <c r="F169" s="3">
        <f t="shared" si="0"/>
        <v>0</v>
      </c>
      <c r="G169" s="3">
        <f t="shared" si="1"/>
        <v>0.52</v>
      </c>
      <c r="H169" s="3">
        <f>F169*(VLOOKUP(B169,Price_data!A$1:B$190,2,FALSE))</f>
        <v>0</v>
      </c>
      <c r="I169" s="2">
        <f t="shared" si="2"/>
        <v>0.46130500758725346</v>
      </c>
      <c r="J169" s="5"/>
    </row>
    <row r="170" spans="1:10" ht="14.25" customHeight="1">
      <c r="A170" s="2" t="s">
        <v>15</v>
      </c>
      <c r="B170" s="2">
        <v>1980</v>
      </c>
      <c r="C170" s="2" t="s">
        <v>29</v>
      </c>
      <c r="D170" s="2">
        <v>598</v>
      </c>
      <c r="E170" s="2">
        <v>0</v>
      </c>
      <c r="F170" s="3">
        <f t="shared" si="0"/>
        <v>0</v>
      </c>
      <c r="G170" s="3">
        <f t="shared" si="1"/>
        <v>0.59799999999999998</v>
      </c>
      <c r="H170" s="3">
        <f>F170*(VLOOKUP(B170,Price_data!A$1:B$190,2,FALSE))</f>
        <v>0</v>
      </c>
      <c r="I170" s="2">
        <f t="shared" si="2"/>
        <v>0.53050075872534141</v>
      </c>
      <c r="J170" s="5"/>
    </row>
    <row r="171" spans="1:10" ht="14.25" customHeight="1">
      <c r="A171" s="2" t="s">
        <v>15</v>
      </c>
      <c r="B171" s="2">
        <v>1981</v>
      </c>
      <c r="C171" s="2" t="s">
        <v>29</v>
      </c>
      <c r="D171" s="2">
        <v>1133</v>
      </c>
      <c r="E171" s="2">
        <v>0</v>
      </c>
      <c r="F171" s="3">
        <f t="shared" si="0"/>
        <v>0</v>
      </c>
      <c r="G171" s="3">
        <f t="shared" si="1"/>
        <v>1.133</v>
      </c>
      <c r="H171" s="3">
        <f>F171*(VLOOKUP(B171,Price_data!A$1:B$190,2,FALSE))</f>
        <v>0</v>
      </c>
      <c r="I171" s="2">
        <f t="shared" si="2"/>
        <v>1.005112641531458</v>
      </c>
      <c r="J171" s="5"/>
    </row>
    <row r="172" spans="1:10" ht="14.25" customHeight="1">
      <c r="A172" s="2" t="s">
        <v>15</v>
      </c>
      <c r="B172" s="2">
        <v>1982</v>
      </c>
      <c r="C172" s="2" t="s">
        <v>29</v>
      </c>
      <c r="D172" s="2">
        <v>2152</v>
      </c>
      <c r="E172" s="2">
        <v>0</v>
      </c>
      <c r="F172" s="3">
        <f t="shared" si="0"/>
        <v>0</v>
      </c>
      <c r="G172" s="3">
        <f t="shared" si="1"/>
        <v>2.1520000000000001</v>
      </c>
      <c r="H172" s="3">
        <f>F172*(VLOOKUP(B172,Price_data!A$1:B$190,2,FALSE))</f>
        <v>0</v>
      </c>
      <c r="I172" s="2">
        <f t="shared" si="2"/>
        <v>1.9090930313995567</v>
      </c>
      <c r="J172" s="5"/>
    </row>
    <row r="173" spans="1:10" ht="14.25" customHeight="1">
      <c r="A173" s="2" t="s">
        <v>15</v>
      </c>
      <c r="B173" s="2">
        <v>1983</v>
      </c>
      <c r="C173" s="2" t="s">
        <v>29</v>
      </c>
      <c r="D173" s="2">
        <v>2536</v>
      </c>
      <c r="E173" s="2">
        <v>0</v>
      </c>
      <c r="F173" s="3">
        <f t="shared" si="0"/>
        <v>0</v>
      </c>
      <c r="G173" s="3">
        <f t="shared" si="1"/>
        <v>2.536</v>
      </c>
      <c r="H173" s="3">
        <f>F173*(VLOOKUP(B173,Price_data!A$1:B$190,2,FALSE))</f>
        <v>0</v>
      </c>
      <c r="I173" s="2">
        <f t="shared" si="2"/>
        <v>2.2497490370024513</v>
      </c>
      <c r="J173" s="5"/>
    </row>
    <row r="174" spans="1:10" ht="14.25" customHeight="1">
      <c r="A174" s="2" t="s">
        <v>15</v>
      </c>
      <c r="B174" s="2">
        <v>1984</v>
      </c>
      <c r="C174" s="2" t="s">
        <v>29</v>
      </c>
      <c r="D174" s="2">
        <v>3912</v>
      </c>
      <c r="E174" s="2">
        <v>19117.024679999999</v>
      </c>
      <c r="F174" s="3">
        <f t="shared" si="0"/>
        <v>19.11702468</v>
      </c>
      <c r="G174" s="3">
        <f t="shared" si="1"/>
        <v>3.9119999999999999</v>
      </c>
      <c r="H174" s="3">
        <f>F174*(VLOOKUP(B174,Price_data!A$1:B$190,2,FALSE))</f>
        <v>36.506018141762823</v>
      </c>
      <c r="I174" s="2">
        <f t="shared" si="2"/>
        <v>3.4704330570794912</v>
      </c>
      <c r="J174" s="5"/>
    </row>
    <row r="175" spans="1:10" ht="14.25" customHeight="1">
      <c r="A175" s="2" t="s">
        <v>15</v>
      </c>
      <c r="B175" s="2">
        <v>1985</v>
      </c>
      <c r="C175" s="2" t="s">
        <v>29</v>
      </c>
      <c r="D175" s="2">
        <v>6921</v>
      </c>
      <c r="E175" s="2">
        <v>35055.730130000004</v>
      </c>
      <c r="F175" s="3">
        <f t="shared" si="0"/>
        <v>35.055730130000001</v>
      </c>
      <c r="G175" s="3">
        <f t="shared" si="1"/>
        <v>6.9210000000000003</v>
      </c>
      <c r="H175" s="3">
        <f>F175*(VLOOKUP(B175,Price_data!A$1:B$190,2,FALSE))</f>
        <v>63.104071542211067</v>
      </c>
      <c r="I175" s="2">
        <f t="shared" si="2"/>
        <v>6.1397922259834257</v>
      </c>
      <c r="J175" s="5"/>
    </row>
    <row r="176" spans="1:10" ht="14.25" customHeight="1">
      <c r="A176" s="2" t="s">
        <v>15</v>
      </c>
      <c r="B176" s="2">
        <v>1986</v>
      </c>
      <c r="C176" s="2" t="s">
        <v>29</v>
      </c>
      <c r="D176" s="2">
        <v>10337</v>
      </c>
      <c r="E176" s="2">
        <v>45837.359100000001</v>
      </c>
      <c r="F176" s="3">
        <f t="shared" si="0"/>
        <v>45.8373591</v>
      </c>
      <c r="G176" s="3">
        <f t="shared" si="1"/>
        <v>10.337</v>
      </c>
      <c r="H176" s="3">
        <f>F176*(VLOOKUP(B176,Price_data!A$1:B$190,2,FALSE))</f>
        <v>79.796677480837289</v>
      </c>
      <c r="I176" s="2">
        <f t="shared" si="2"/>
        <v>9.1702112758258441</v>
      </c>
      <c r="J176" s="5"/>
    </row>
    <row r="177" spans="1:10" ht="14.25" customHeight="1">
      <c r="A177" s="2" t="s">
        <v>15</v>
      </c>
      <c r="B177" s="2">
        <v>1987</v>
      </c>
      <c r="C177" s="2" t="s">
        <v>29</v>
      </c>
      <c r="D177" s="2">
        <v>12721</v>
      </c>
      <c r="E177" s="2">
        <v>50598.349950000003</v>
      </c>
      <c r="F177" s="3">
        <f t="shared" si="0"/>
        <v>50.598349950000006</v>
      </c>
      <c r="G177" s="3">
        <f t="shared" si="1"/>
        <v>12.721</v>
      </c>
      <c r="H177" s="3">
        <f>F177*(VLOOKUP(B177,Price_data!A$1:B$190,2,FALSE))</f>
        <v>84.557143045782439</v>
      </c>
      <c r="I177" s="2">
        <f t="shared" si="2"/>
        <v>11.285117310610483</v>
      </c>
      <c r="J177" s="5"/>
    </row>
    <row r="178" spans="1:10" ht="14.25" customHeight="1">
      <c r="A178" s="2" t="s">
        <v>15</v>
      </c>
      <c r="B178" s="2">
        <v>1988</v>
      </c>
      <c r="C178" s="2" t="s">
        <v>29</v>
      </c>
      <c r="D178" s="2">
        <v>17951</v>
      </c>
      <c r="E178" s="2">
        <v>60549.082020000002</v>
      </c>
      <c r="F178" s="3">
        <f t="shared" si="0"/>
        <v>60.54908202</v>
      </c>
      <c r="G178" s="3">
        <f t="shared" si="1"/>
        <v>17.951000000000001</v>
      </c>
      <c r="H178" s="3">
        <f>F178*(VLOOKUP(B178,Price_data!A$1:B$190,2,FALSE))</f>
        <v>96.459267953718481</v>
      </c>
      <c r="I178" s="2">
        <f t="shared" si="2"/>
        <v>15.924781136920744</v>
      </c>
      <c r="J178" s="5"/>
    </row>
    <row r="179" spans="1:10" ht="14.25" customHeight="1">
      <c r="A179" s="2" t="s">
        <v>15</v>
      </c>
      <c r="B179" s="2">
        <v>1989</v>
      </c>
      <c r="C179" s="2" t="s">
        <v>29</v>
      </c>
      <c r="D179" s="2">
        <v>28603</v>
      </c>
      <c r="E179" s="2">
        <v>87406.477549999996</v>
      </c>
      <c r="F179" s="3">
        <f t="shared" si="0"/>
        <v>87.406477549999991</v>
      </c>
      <c r="G179" s="3">
        <f t="shared" si="1"/>
        <v>28.603000000000002</v>
      </c>
      <c r="H179" s="3">
        <f>F179*(VLOOKUP(B179,Price_data!A$1:B$190,2,FALSE))</f>
        <v>129.19619719865113</v>
      </c>
      <c r="I179" s="2">
        <f t="shared" si="2"/>
        <v>25.374436792342713</v>
      </c>
      <c r="J179" s="5"/>
    </row>
    <row r="180" spans="1:10" ht="14.25" customHeight="1">
      <c r="A180" s="2" t="s">
        <v>15</v>
      </c>
      <c r="B180" s="2">
        <v>1990</v>
      </c>
      <c r="C180" s="2" t="s">
        <v>29</v>
      </c>
      <c r="D180" s="2">
        <v>32004</v>
      </c>
      <c r="E180" s="2">
        <v>81108.057239999995</v>
      </c>
      <c r="F180" s="3">
        <f t="shared" si="0"/>
        <v>81.108057239999994</v>
      </c>
      <c r="G180" s="3">
        <f t="shared" si="1"/>
        <v>32.003999999999998</v>
      </c>
      <c r="H180" s="3">
        <f>F180*(VLOOKUP(B180,Price_data!A$1:B$190,2,FALSE))</f>
        <v>109.52440776310668</v>
      </c>
      <c r="I180" s="2">
        <f t="shared" si="2"/>
        <v>28.391548966966266</v>
      </c>
      <c r="J180" s="5"/>
    </row>
    <row r="181" spans="1:10" ht="14.25" customHeight="1">
      <c r="A181" s="2" t="s">
        <v>15</v>
      </c>
      <c r="B181" s="2">
        <v>1991</v>
      </c>
      <c r="C181" s="2" t="s">
        <v>29</v>
      </c>
      <c r="D181" s="2">
        <v>40657</v>
      </c>
      <c r="E181" s="2">
        <v>96823.994990000007</v>
      </c>
      <c r="F181" s="3">
        <f t="shared" si="0"/>
        <v>96.823994990000003</v>
      </c>
      <c r="G181" s="3">
        <f t="shared" si="1"/>
        <v>40.656999999999996</v>
      </c>
      <c r="H181" s="3">
        <f>F181*(VLOOKUP(B181,Price_data!A$1:B$190,2,FALSE))</f>
        <v>123.49793018563264</v>
      </c>
      <c r="I181" s="2">
        <f t="shared" si="2"/>
        <v>36.067841718221082</v>
      </c>
      <c r="J181" s="5"/>
    </row>
    <row r="182" spans="1:10" ht="14.25" customHeight="1">
      <c r="A182" s="2" t="s">
        <v>15</v>
      </c>
      <c r="B182" s="2">
        <v>1992</v>
      </c>
      <c r="C182" s="2" t="s">
        <v>29</v>
      </c>
      <c r="D182" s="2">
        <v>36302</v>
      </c>
      <c r="E182" s="2">
        <v>93077.057430000001</v>
      </c>
      <c r="F182" s="3">
        <f t="shared" si="0"/>
        <v>93.077057429999996</v>
      </c>
      <c r="G182" s="3">
        <f t="shared" si="1"/>
        <v>36.302</v>
      </c>
      <c r="H182" s="3">
        <f>F182*(VLOOKUP(B182,Price_data!A$1:B$190,2,FALSE))</f>
        <v>114.43844650740313</v>
      </c>
      <c r="I182" s="2">
        <f t="shared" si="2"/>
        <v>32.204412279677832</v>
      </c>
      <c r="J182" s="5"/>
    </row>
    <row r="183" spans="1:10" ht="14.25" customHeight="1">
      <c r="A183" s="2" t="s">
        <v>15</v>
      </c>
      <c r="B183" s="2">
        <v>1993</v>
      </c>
      <c r="C183" s="2" t="s">
        <v>29</v>
      </c>
      <c r="D183" s="2">
        <v>48791</v>
      </c>
      <c r="E183" s="2">
        <v>146588.68350000001</v>
      </c>
      <c r="F183" s="3">
        <f t="shared" si="0"/>
        <v>146.5886835</v>
      </c>
      <c r="G183" s="3">
        <f t="shared" si="1"/>
        <v>48.790999999999997</v>
      </c>
      <c r="H183" s="3">
        <f>F183*(VLOOKUP(B183,Price_data!A$1:B$190,2,FALSE))</f>
        <v>177.40637292574723</v>
      </c>
      <c r="I183" s="2">
        <f t="shared" si="2"/>
        <v>43.283716586903232</v>
      </c>
      <c r="J183" s="5"/>
    </row>
    <row r="184" spans="1:10" ht="14.25" customHeight="1">
      <c r="A184" s="2" t="s">
        <v>15</v>
      </c>
      <c r="B184" s="2">
        <v>1994</v>
      </c>
      <c r="C184" s="2" t="s">
        <v>29</v>
      </c>
      <c r="D184" s="2">
        <v>64266</v>
      </c>
      <c r="E184" s="2">
        <v>199434.734</v>
      </c>
      <c r="F184" s="3">
        <f t="shared" si="0"/>
        <v>199.43473399999999</v>
      </c>
      <c r="G184" s="3">
        <f t="shared" si="1"/>
        <v>64.266000000000005</v>
      </c>
      <c r="H184" s="3">
        <f>F184*(VLOOKUP(B184,Price_data!A$1:B$190,2,FALSE))</f>
        <v>235.67327063771381</v>
      </c>
      <c r="I184" s="2">
        <f t="shared" si="2"/>
        <v>57.011976187696987</v>
      </c>
      <c r="J184" s="5"/>
    </row>
    <row r="185" spans="1:10" ht="14.25" customHeight="1">
      <c r="A185" s="2" t="s">
        <v>15</v>
      </c>
      <c r="B185" s="2">
        <v>1995</v>
      </c>
      <c r="C185" s="2" t="s">
        <v>29</v>
      </c>
      <c r="D185" s="2">
        <v>70322</v>
      </c>
      <c r="E185" s="2">
        <v>116023.3238</v>
      </c>
      <c r="F185" s="3">
        <f t="shared" si="0"/>
        <v>116.0233238</v>
      </c>
      <c r="G185" s="3">
        <f t="shared" si="1"/>
        <v>70.322000000000003</v>
      </c>
      <c r="H185" s="3">
        <f>F185*(VLOOKUP(B185,Price_data!A$1:B$190,2,FALSE))</f>
        <v>132.51354802536136</v>
      </c>
      <c r="I185" s="2">
        <f t="shared" si="2"/>
        <v>62.384405276059304</v>
      </c>
      <c r="J185" s="5"/>
    </row>
    <row r="186" spans="1:10" ht="14.25" customHeight="1">
      <c r="A186" s="2" t="s">
        <v>15</v>
      </c>
      <c r="B186" s="2">
        <v>1996</v>
      </c>
      <c r="C186" s="2" t="s">
        <v>29</v>
      </c>
      <c r="D186" s="2">
        <v>83344</v>
      </c>
      <c r="E186" s="2">
        <v>120991.3438</v>
      </c>
      <c r="F186" s="3">
        <f t="shared" si="0"/>
        <v>120.9913438</v>
      </c>
      <c r="G186" s="3">
        <f t="shared" si="1"/>
        <v>83.343999999999994</v>
      </c>
      <c r="H186" s="3">
        <f>F186*(VLOOKUP(B186,Price_data!A$1:B$190,2,FALSE))</f>
        <v>134.93025355818182</v>
      </c>
      <c r="I186" s="2">
        <f t="shared" si="2"/>
        <v>73.936547216061626</v>
      </c>
      <c r="J186" s="5"/>
    </row>
    <row r="187" spans="1:10" ht="14.25" customHeight="1">
      <c r="A187" s="2" t="s">
        <v>15</v>
      </c>
      <c r="B187" s="2">
        <v>1997</v>
      </c>
      <c r="C187" s="2" t="s">
        <v>29</v>
      </c>
      <c r="D187" s="2">
        <v>99422</v>
      </c>
      <c r="E187" s="2">
        <v>198954.54139999999</v>
      </c>
      <c r="F187" s="3">
        <f t="shared" si="0"/>
        <v>198.95454139999998</v>
      </c>
      <c r="G187" s="3">
        <f t="shared" si="1"/>
        <v>99.421999999999997</v>
      </c>
      <c r="H187" s="3">
        <f>F187*(VLOOKUP(B187,Price_data!A$1:B$190,2,FALSE))</f>
        <v>215.12580228612353</v>
      </c>
      <c r="I187" s="2">
        <f t="shared" si="2"/>
        <v>88.199743200653671</v>
      </c>
      <c r="J187" s="5"/>
    </row>
    <row r="188" spans="1:10" ht="14.25" customHeight="1">
      <c r="A188" s="2" t="s">
        <v>15</v>
      </c>
      <c r="B188" s="2">
        <v>1998</v>
      </c>
      <c r="C188" s="2" t="s">
        <v>29</v>
      </c>
      <c r="D188" s="2">
        <v>110917</v>
      </c>
      <c r="E188" s="2">
        <v>200921.70879999999</v>
      </c>
      <c r="F188" s="3">
        <f t="shared" si="0"/>
        <v>200.9217088</v>
      </c>
      <c r="G188" s="3">
        <f t="shared" si="1"/>
        <v>110.917</v>
      </c>
      <c r="H188" s="3">
        <f>F188*(VLOOKUP(B188,Price_data!A$1:B$190,2,FALSE))</f>
        <v>210.05167121471212</v>
      </c>
      <c r="I188" s="2">
        <f t="shared" si="2"/>
        <v>98.39724524337575</v>
      </c>
      <c r="J188" s="5"/>
    </row>
    <row r="189" spans="1:10" ht="14.25" customHeight="1">
      <c r="A189" s="2" t="s">
        <v>15</v>
      </c>
      <c r="B189" s="2">
        <v>1999</v>
      </c>
      <c r="C189" s="2" t="s">
        <v>29</v>
      </c>
      <c r="D189" s="2">
        <v>126686</v>
      </c>
      <c r="E189" s="2">
        <v>234898.64749999999</v>
      </c>
      <c r="F189" s="3">
        <f t="shared" si="0"/>
        <v>234.89864749999998</v>
      </c>
      <c r="G189" s="3">
        <f t="shared" si="1"/>
        <v>126.68600000000001</v>
      </c>
      <c r="H189" s="3">
        <f>F189*(VLOOKUP(B189,Price_data!A$1:B$190,2,FALSE))</f>
        <v>241.84660748061924</v>
      </c>
      <c r="I189" s="2">
        <f t="shared" si="2"/>
        <v>112.38631959845922</v>
      </c>
      <c r="J189" s="5"/>
    </row>
    <row r="190" spans="1:10" ht="14.25" customHeight="1">
      <c r="A190" s="2" t="s">
        <v>15</v>
      </c>
      <c r="B190" s="2">
        <v>2000</v>
      </c>
      <c r="C190" s="2" t="s">
        <v>29</v>
      </c>
      <c r="D190" s="2">
        <v>128959</v>
      </c>
      <c r="E190" s="2">
        <v>255698.61559999999</v>
      </c>
      <c r="F190" s="3">
        <f t="shared" si="0"/>
        <v>255.69861559999998</v>
      </c>
      <c r="G190" s="3">
        <f t="shared" si="1"/>
        <v>128.959</v>
      </c>
      <c r="H190" s="3">
        <f>F190*(VLOOKUP(B190,Price_data!A$1:B$190,2,FALSE))</f>
        <v>255.69861559999998</v>
      </c>
      <c r="I190" s="2">
        <f t="shared" si="2"/>
        <v>114.40275475662426</v>
      </c>
      <c r="J190" s="5"/>
    </row>
    <row r="191" spans="1:10" ht="14.25" customHeight="1">
      <c r="A191" s="2" t="s">
        <v>15</v>
      </c>
      <c r="B191" s="2">
        <v>2001</v>
      </c>
      <c r="C191" s="2" t="s">
        <v>29</v>
      </c>
      <c r="D191" s="2">
        <v>138519</v>
      </c>
      <c r="E191" s="2">
        <v>288670.82559999998</v>
      </c>
      <c r="F191" s="3">
        <f t="shared" si="0"/>
        <v>288.6708256</v>
      </c>
      <c r="G191" s="3">
        <f t="shared" si="1"/>
        <v>138.51900000000001</v>
      </c>
      <c r="H191" s="3">
        <f>F191*(VLOOKUP(B191,Price_data!A$1:B$190,2,FALSE))</f>
        <v>283.64642480913972</v>
      </c>
      <c r="I191" s="2">
        <f t="shared" si="2"/>
        <v>122.88366989611301</v>
      </c>
      <c r="J191" s="5"/>
    </row>
    <row r="192" spans="1:10" ht="14.25" customHeight="1">
      <c r="A192" s="2" t="s">
        <v>15</v>
      </c>
      <c r="B192" s="2">
        <v>2002</v>
      </c>
      <c r="C192" s="2" t="s">
        <v>29</v>
      </c>
      <c r="D192" s="2">
        <v>145609</v>
      </c>
      <c r="E192" s="2">
        <v>291459.71090000001</v>
      </c>
      <c r="F192" s="3">
        <f t="shared" si="0"/>
        <v>291.4597109</v>
      </c>
      <c r="G192" s="3">
        <f t="shared" si="1"/>
        <v>145.60900000000001</v>
      </c>
      <c r="H192" s="3">
        <f>F192*(VLOOKUP(B192,Price_data!A$1:B$190,2,FALSE))</f>
        <v>281.68987739780715</v>
      </c>
      <c r="I192" s="2">
        <f t="shared" si="2"/>
        <v>129.1733862495623</v>
      </c>
      <c r="J192" s="5"/>
    </row>
    <row r="193" spans="1:10" ht="14.25" customHeight="1">
      <c r="A193" s="2" t="s">
        <v>15</v>
      </c>
      <c r="B193" s="2">
        <v>2003</v>
      </c>
      <c r="C193" s="2" t="s">
        <v>29</v>
      </c>
      <c r="D193" s="2">
        <v>145609</v>
      </c>
      <c r="E193" s="2">
        <v>267543.4327</v>
      </c>
      <c r="F193" s="3">
        <f t="shared" si="0"/>
        <v>267.54343269999998</v>
      </c>
      <c r="G193" s="3">
        <f t="shared" si="1"/>
        <v>145.60900000000001</v>
      </c>
      <c r="H193" s="3">
        <f>F193*(VLOOKUP(B193,Price_data!A$1:B$190,2,FALSE))</f>
        <v>251.30827473721348</v>
      </c>
      <c r="I193" s="2">
        <f t="shared" si="2"/>
        <v>129.1733862495623</v>
      </c>
      <c r="J193" s="5"/>
    </row>
    <row r="194" spans="1:10" ht="14.25" customHeight="1">
      <c r="A194" s="2" t="s">
        <v>15</v>
      </c>
      <c r="B194" s="2">
        <v>2004</v>
      </c>
      <c r="C194" s="2" t="s">
        <v>29</v>
      </c>
      <c r="D194" s="2">
        <v>158099</v>
      </c>
      <c r="E194" s="2">
        <v>259051.5355</v>
      </c>
      <c r="F194" s="3">
        <f t="shared" si="0"/>
        <v>259.0515355</v>
      </c>
      <c r="G194" s="3">
        <f t="shared" si="1"/>
        <v>158.09899999999999</v>
      </c>
      <c r="H194" s="3">
        <f>F194*(VLOOKUP(B194,Price_data!A$1:B$190,2,FALSE))</f>
        <v>236.29439449843443</v>
      </c>
      <c r="I194" s="2">
        <f t="shared" si="2"/>
        <v>140.25357768180226</v>
      </c>
      <c r="J194" s="5"/>
    </row>
    <row r="195" spans="1:10" ht="14.25" customHeight="1">
      <c r="A195" s="2" t="s">
        <v>15</v>
      </c>
      <c r="B195" s="2">
        <v>2005</v>
      </c>
      <c r="C195" s="2" t="s">
        <v>29</v>
      </c>
      <c r="D195" s="2">
        <v>129823</v>
      </c>
      <c r="E195" s="2">
        <v>285610.59999999998</v>
      </c>
      <c r="F195" s="3">
        <f t="shared" si="0"/>
        <v>285.61059999999998</v>
      </c>
      <c r="G195" s="3">
        <f t="shared" si="1"/>
        <v>129.82300000000001</v>
      </c>
      <c r="H195" s="3">
        <f>F195*(VLOOKUP(B195,Price_data!A$1:B$190,2,FALSE))</f>
        <v>253.36485023078239</v>
      </c>
      <c r="I195" s="2">
        <f t="shared" si="2"/>
        <v>115.16923076923078</v>
      </c>
      <c r="J195" s="5"/>
    </row>
    <row r="196" spans="1:10" ht="14.25" customHeight="1">
      <c r="A196" s="2" t="s">
        <v>15</v>
      </c>
      <c r="B196" s="2">
        <v>2006</v>
      </c>
      <c r="C196" s="2" t="s">
        <v>29</v>
      </c>
      <c r="D196" s="2">
        <v>131973</v>
      </c>
      <c r="E196" s="2">
        <v>358630.02889999998</v>
      </c>
      <c r="F196" s="3">
        <f t="shared" si="0"/>
        <v>358.63002889999996</v>
      </c>
      <c r="G196" s="3">
        <f t="shared" si="1"/>
        <v>131.97300000000001</v>
      </c>
      <c r="H196" s="3">
        <f>F196*(VLOOKUP(B196,Price_data!A$1:B$190,2,FALSE))</f>
        <v>308.28874395665673</v>
      </c>
      <c r="I196" s="2">
        <f t="shared" si="2"/>
        <v>117.07654955060116</v>
      </c>
      <c r="J196" s="5"/>
    </row>
    <row r="197" spans="1:10" ht="14.25" customHeight="1">
      <c r="A197" s="2" t="s">
        <v>15</v>
      </c>
      <c r="B197" s="2">
        <v>2007</v>
      </c>
      <c r="C197" s="2" t="s">
        <v>29</v>
      </c>
      <c r="D197" s="2">
        <v>130104</v>
      </c>
      <c r="E197" s="2">
        <v>406078.40600000002</v>
      </c>
      <c r="F197" s="3">
        <f t="shared" si="0"/>
        <v>406.07840600000003</v>
      </c>
      <c r="G197" s="3">
        <f t="shared" si="1"/>
        <v>130.10400000000001</v>
      </c>
      <c r="H197" s="3">
        <f>F197*(VLOOKUP(B197,Price_data!A$1:B$190,2,FALSE))</f>
        <v>334.72818790388129</v>
      </c>
      <c r="I197" s="2">
        <f t="shared" si="2"/>
        <v>115.41851289833082</v>
      </c>
      <c r="J197" s="5"/>
    </row>
    <row r="198" spans="1:10" ht="14.25" customHeight="1">
      <c r="A198" s="2" t="s">
        <v>15</v>
      </c>
      <c r="B198" s="2">
        <v>2008</v>
      </c>
      <c r="C198" s="2" t="s">
        <v>29</v>
      </c>
      <c r="D198" s="2">
        <v>128744</v>
      </c>
      <c r="E198" s="2">
        <v>441279.25040000002</v>
      </c>
      <c r="F198" s="3">
        <f t="shared" si="0"/>
        <v>441.27925040000002</v>
      </c>
      <c r="G198" s="3">
        <f t="shared" si="1"/>
        <v>128.744</v>
      </c>
      <c r="H198" s="3">
        <f>F198*(VLOOKUP(B198,Price_data!A$1:B$190,2,FALSE))</f>
        <v>349.7951627440234</v>
      </c>
      <c r="I198" s="2">
        <f t="shared" si="2"/>
        <v>114.21202287848723</v>
      </c>
      <c r="J198" s="5"/>
    </row>
    <row r="199" spans="1:10" ht="14.25" customHeight="1">
      <c r="A199" s="2" t="s">
        <v>15</v>
      </c>
      <c r="B199" s="2">
        <v>2009</v>
      </c>
      <c r="C199" s="2" t="s">
        <v>29</v>
      </c>
      <c r="D199" s="2">
        <v>144663</v>
      </c>
      <c r="E199" s="2">
        <v>415712.3971</v>
      </c>
      <c r="F199" s="3">
        <f t="shared" si="0"/>
        <v>415.71239709999998</v>
      </c>
      <c r="G199" s="3">
        <f t="shared" si="1"/>
        <v>144.66300000000001</v>
      </c>
      <c r="H199" s="3">
        <f>F199*(VLOOKUP(B199,Price_data!A$1:B$190,2,FALSE))</f>
        <v>331.28776794347903</v>
      </c>
      <c r="I199" s="2">
        <f t="shared" si="2"/>
        <v>128.33416598575931</v>
      </c>
      <c r="J199" s="5"/>
    </row>
    <row r="200" spans="1:10" ht="14.25" customHeight="1">
      <c r="A200" s="2" t="s">
        <v>15</v>
      </c>
      <c r="B200" s="2">
        <v>2010</v>
      </c>
      <c r="C200" s="2" t="s">
        <v>29</v>
      </c>
      <c r="D200" s="2">
        <v>154633</v>
      </c>
      <c r="E200" s="2">
        <v>442427.9473</v>
      </c>
      <c r="F200" s="3">
        <f t="shared" si="0"/>
        <v>442.42794730000003</v>
      </c>
      <c r="G200" s="3">
        <f t="shared" si="1"/>
        <v>154.63300000000001</v>
      </c>
      <c r="H200" s="3">
        <f>F200*(VLOOKUP(B200,Price_data!A$1:B$190,2,FALSE))</f>
        <v>337.02584760720475</v>
      </c>
      <c r="I200" s="2">
        <f t="shared" si="2"/>
        <v>137.17880238123033</v>
      </c>
      <c r="J200" s="5"/>
    </row>
    <row r="201" spans="1:10" ht="14.25" customHeight="1">
      <c r="A201" s="2" t="s">
        <v>15</v>
      </c>
      <c r="B201" s="2">
        <v>2011</v>
      </c>
      <c r="C201" s="2" t="s">
        <v>29</v>
      </c>
      <c r="D201" s="2">
        <v>158309.5</v>
      </c>
      <c r="E201" s="2">
        <v>589010.8112</v>
      </c>
      <c r="F201" s="3">
        <f t="shared" si="0"/>
        <v>589.01081120000003</v>
      </c>
      <c r="G201" s="3">
        <f t="shared" si="1"/>
        <v>158.30950000000001</v>
      </c>
      <c r="H201" s="3">
        <f>F201*(VLOOKUP(B201,Price_data!A$1:B$190,2,FALSE))</f>
        <v>426.49004415990299</v>
      </c>
      <c r="I201" s="2">
        <f t="shared" si="2"/>
        <v>140.44031749737366</v>
      </c>
      <c r="J201" s="5"/>
    </row>
    <row r="202" spans="1:10" ht="14.25" customHeight="1">
      <c r="A202" s="2" t="s">
        <v>15</v>
      </c>
      <c r="B202" s="2">
        <v>2012</v>
      </c>
      <c r="C202" s="2" t="s">
        <v>29</v>
      </c>
      <c r="D202" s="2">
        <v>162547</v>
      </c>
      <c r="E202" s="2">
        <v>520244.07500000001</v>
      </c>
      <c r="F202" s="3">
        <f t="shared" si="0"/>
        <v>520.24407500000007</v>
      </c>
      <c r="G202" s="3">
        <f t="shared" si="1"/>
        <v>162.547</v>
      </c>
      <c r="H202" s="3">
        <f>F202*(VLOOKUP(B202,Price_data!A$1:B$190,2,FALSE))</f>
        <v>364.97490558535685</v>
      </c>
      <c r="I202" s="2">
        <f t="shared" si="2"/>
        <v>144.19950974670246</v>
      </c>
      <c r="J202" s="5"/>
    </row>
    <row r="203" spans="1:10" ht="14.25" customHeight="1">
      <c r="A203" s="2" t="s">
        <v>15</v>
      </c>
      <c r="B203" s="2">
        <v>2013</v>
      </c>
      <c r="C203" s="2" t="s">
        <v>29</v>
      </c>
      <c r="D203" s="2">
        <v>163518</v>
      </c>
      <c r="E203" s="2">
        <v>679220.72259999998</v>
      </c>
      <c r="F203" s="3">
        <f t="shared" si="0"/>
        <v>679.22072259999993</v>
      </c>
      <c r="G203" s="3">
        <f t="shared" si="1"/>
        <v>163.518</v>
      </c>
      <c r="H203" s="3">
        <f>F203*(VLOOKUP(B203,Price_data!A$1:B$190,2,FALSE))</f>
        <v>462.45108081242506</v>
      </c>
      <c r="I203" s="2">
        <f t="shared" si="2"/>
        <v>145.06090813587022</v>
      </c>
      <c r="J203" s="5"/>
    </row>
    <row r="204" spans="1:10" ht="14.25" customHeight="1">
      <c r="A204" s="2" t="s">
        <v>15</v>
      </c>
      <c r="B204" s="2">
        <v>2014</v>
      </c>
      <c r="C204" s="2" t="s">
        <v>29</v>
      </c>
      <c r="D204" s="2">
        <v>179397</v>
      </c>
      <c r="E204" s="2">
        <v>720411.3075</v>
      </c>
      <c r="F204" s="3">
        <f t="shared" si="0"/>
        <v>720.41130750000002</v>
      </c>
      <c r="G204" s="3">
        <f t="shared" si="1"/>
        <v>179.39699999999999</v>
      </c>
      <c r="H204" s="3">
        <f>F204*(VLOOKUP(B204,Price_data!A$1:B$190,2,FALSE))</f>
        <v>479.18051130079226</v>
      </c>
      <c r="I204" s="2">
        <f t="shared" si="2"/>
        <v>159.14756624255867</v>
      </c>
      <c r="J204" s="5"/>
    </row>
    <row r="205" spans="1:10" ht="14.25" customHeight="1">
      <c r="A205" s="2" t="s">
        <v>15</v>
      </c>
      <c r="B205" s="2">
        <v>2015</v>
      </c>
      <c r="C205" s="2" t="s">
        <v>29</v>
      </c>
      <c r="D205" s="2">
        <v>172146.26</v>
      </c>
      <c r="E205" s="2">
        <v>638867.64769999997</v>
      </c>
      <c r="F205" s="3">
        <f t="shared" si="0"/>
        <v>638.86764770000002</v>
      </c>
      <c r="G205" s="3">
        <f t="shared" si="1"/>
        <v>172.14626000000001</v>
      </c>
      <c r="H205" s="3">
        <f>F205*(VLOOKUP(B205,Price_data!A$1:B$190,2,FALSE))</f>
        <v>420.77577033101699</v>
      </c>
      <c r="I205" s="2">
        <f t="shared" si="2"/>
        <v>152.71525341426405</v>
      </c>
      <c r="J205" s="5"/>
    </row>
    <row r="206" spans="1:10" ht="14.25" customHeight="1">
      <c r="A206" s="2" t="s">
        <v>15</v>
      </c>
      <c r="B206" s="2">
        <v>2016</v>
      </c>
      <c r="C206" s="2" t="s">
        <v>29</v>
      </c>
      <c r="D206" s="2">
        <v>163134.51999999999</v>
      </c>
      <c r="E206" s="2">
        <v>766791.52309999999</v>
      </c>
      <c r="F206" s="3">
        <f t="shared" si="0"/>
        <v>766.79152309999995</v>
      </c>
      <c r="G206" s="3">
        <f t="shared" si="1"/>
        <v>163.13451999999998</v>
      </c>
      <c r="H206" s="3">
        <f>F206*(VLOOKUP(B206,Price_data!A$1:B$190,2,FALSE))</f>
        <v>496.41567430843895</v>
      </c>
      <c r="I206" s="2">
        <f t="shared" si="2"/>
        <v>144.72071343527489</v>
      </c>
      <c r="J206" s="5"/>
    </row>
    <row r="207" spans="1:10" ht="14.25" customHeight="1">
      <c r="A207" s="2" t="s">
        <v>15</v>
      </c>
      <c r="B207" s="2">
        <v>2017</v>
      </c>
      <c r="C207" s="2" t="s">
        <v>29</v>
      </c>
      <c r="D207" s="2">
        <v>189707</v>
      </c>
      <c r="E207" s="2">
        <v>1051008.32</v>
      </c>
      <c r="F207" s="3">
        <f t="shared" si="0"/>
        <v>1051.0083200000001</v>
      </c>
      <c r="G207" s="3">
        <f t="shared" si="1"/>
        <v>189.70699999999999</v>
      </c>
      <c r="H207" s="3">
        <f>F207*(VLOOKUP(B207,Price_data!A$1:B$190,2,FALSE))</f>
        <v>656.86797782424685</v>
      </c>
      <c r="I207" s="2">
        <f t="shared" si="2"/>
        <v>168.29382514299056</v>
      </c>
      <c r="J207" s="5"/>
    </row>
    <row r="208" spans="1:10" ht="14.25" customHeight="1">
      <c r="A208" s="2" t="s">
        <v>15</v>
      </c>
      <c r="B208" s="2">
        <v>2018</v>
      </c>
      <c r="C208" s="2" t="s">
        <v>29</v>
      </c>
      <c r="D208" s="2">
        <v>156025</v>
      </c>
      <c r="E208" s="2">
        <v>878477.5429</v>
      </c>
      <c r="F208" s="3">
        <f t="shared" si="0"/>
        <v>878.4775429</v>
      </c>
      <c r="G208" s="3">
        <f t="shared" si="1"/>
        <v>156.02500000000001</v>
      </c>
      <c r="H208" s="3">
        <f>F208*(VLOOKUP(B208,Price_data!A$1:B$190,2,FALSE))</f>
        <v>531.2938542537903</v>
      </c>
      <c r="I208" s="2">
        <f t="shared" si="2"/>
        <v>138.4136804015408</v>
      </c>
      <c r="J208" s="5" t="s">
        <v>72</v>
      </c>
    </row>
    <row r="209" spans="1:10" ht="14.25" customHeight="1">
      <c r="A209" s="2" t="s">
        <v>15</v>
      </c>
      <c r="B209" s="2">
        <v>2019</v>
      </c>
      <c r="C209" s="2" t="s">
        <v>29</v>
      </c>
      <c r="D209" s="2">
        <v>190500</v>
      </c>
      <c r="E209" s="2">
        <v>1072590.1429999999</v>
      </c>
      <c r="F209" s="3">
        <f t="shared" si="0"/>
        <v>1072.5901429999999</v>
      </c>
      <c r="G209" s="3">
        <f t="shared" si="1"/>
        <v>190.5</v>
      </c>
      <c r="H209" s="3">
        <f>F209*(VLOOKUP(B209,Price_data!A$1:B$190,2,FALSE))</f>
        <v>632.46384448326842</v>
      </c>
      <c r="I209" s="2">
        <f t="shared" si="2"/>
        <v>168.99731527956112</v>
      </c>
      <c r="J209" s="5" t="s">
        <v>73</v>
      </c>
    </row>
    <row r="210" spans="1:10" ht="14.25" customHeight="1">
      <c r="A210" s="2" t="s">
        <v>15</v>
      </c>
      <c r="B210" s="2">
        <v>1950</v>
      </c>
      <c r="C210" s="2" t="s">
        <v>16</v>
      </c>
      <c r="D210" s="2">
        <v>30</v>
      </c>
      <c r="E210" s="2">
        <v>0</v>
      </c>
      <c r="F210" s="3">
        <f t="shared" si="0"/>
        <v>0</v>
      </c>
      <c r="G210" s="3">
        <f t="shared" si="1"/>
        <v>0.03</v>
      </c>
      <c r="H210" s="3">
        <f>F210*(VLOOKUP(B210,Price_data!A$1:B$190,2,FALSE))</f>
        <v>0</v>
      </c>
      <c r="I210" s="2">
        <f t="shared" ref="I210:I278" si="3">I421+I350</f>
        <v>2.6613750437726159E-2</v>
      </c>
      <c r="J210" s="5"/>
    </row>
    <row r="211" spans="1:10" ht="14.25" customHeight="1">
      <c r="A211" s="2" t="s">
        <v>15</v>
      </c>
      <c r="B211" s="2">
        <v>1951</v>
      </c>
      <c r="C211" s="2" t="s">
        <v>16</v>
      </c>
      <c r="D211" s="2">
        <v>30</v>
      </c>
      <c r="E211" s="2">
        <v>0</v>
      </c>
      <c r="F211" s="3">
        <f t="shared" si="0"/>
        <v>0</v>
      </c>
      <c r="G211" s="3">
        <f t="shared" si="1"/>
        <v>0.03</v>
      </c>
      <c r="H211" s="3">
        <f>F211*(VLOOKUP(B211,Price_data!A$1:B$190,2,FALSE))</f>
        <v>0</v>
      </c>
      <c r="I211" s="2">
        <f t="shared" si="3"/>
        <v>2.6613750437726159E-2</v>
      </c>
      <c r="J211" s="5"/>
    </row>
    <row r="212" spans="1:10" ht="14.25" customHeight="1">
      <c r="A212" s="2" t="s">
        <v>15</v>
      </c>
      <c r="B212" s="2">
        <v>1952</v>
      </c>
      <c r="C212" s="2" t="s">
        <v>16</v>
      </c>
      <c r="D212" s="2">
        <v>30</v>
      </c>
      <c r="E212" s="2">
        <v>0</v>
      </c>
      <c r="F212" s="3">
        <f t="shared" si="0"/>
        <v>0</v>
      </c>
      <c r="G212" s="3">
        <f t="shared" si="1"/>
        <v>0.03</v>
      </c>
      <c r="H212" s="3">
        <f>F212*(VLOOKUP(B212,Price_data!A$1:B$190,2,FALSE))</f>
        <v>0</v>
      </c>
      <c r="I212" s="2">
        <f t="shared" si="3"/>
        <v>2.6613750437726159E-2</v>
      </c>
      <c r="J212" s="5"/>
    </row>
    <row r="213" spans="1:10" ht="14.25" customHeight="1">
      <c r="A213" s="2" t="s">
        <v>15</v>
      </c>
      <c r="B213" s="2">
        <v>1953</v>
      </c>
      <c r="C213" s="2" t="s">
        <v>16</v>
      </c>
      <c r="D213" s="2">
        <v>30</v>
      </c>
      <c r="E213" s="2">
        <v>0</v>
      </c>
      <c r="F213" s="3">
        <f t="shared" si="0"/>
        <v>0</v>
      </c>
      <c r="G213" s="3">
        <f t="shared" si="1"/>
        <v>0.03</v>
      </c>
      <c r="H213" s="3">
        <f>F213*(VLOOKUP(B213,Price_data!A$1:B$190,2,FALSE))</f>
        <v>0</v>
      </c>
      <c r="I213" s="2">
        <f t="shared" si="3"/>
        <v>2.6613750437726159E-2</v>
      </c>
      <c r="J213" s="5"/>
    </row>
    <row r="214" spans="1:10" ht="14.25" customHeight="1">
      <c r="A214" s="2" t="s">
        <v>15</v>
      </c>
      <c r="B214" s="2">
        <v>1954</v>
      </c>
      <c r="C214" s="2" t="s">
        <v>16</v>
      </c>
      <c r="D214" s="2">
        <v>30</v>
      </c>
      <c r="E214" s="2">
        <v>0</v>
      </c>
      <c r="F214" s="3">
        <f t="shared" si="0"/>
        <v>0</v>
      </c>
      <c r="G214" s="3">
        <f t="shared" si="1"/>
        <v>0.03</v>
      </c>
      <c r="H214" s="3">
        <f>F214*(VLOOKUP(B214,Price_data!A$1:B$190,2,FALSE))</f>
        <v>0</v>
      </c>
      <c r="I214" s="2">
        <f t="shared" si="3"/>
        <v>2.6613750437726159E-2</v>
      </c>
      <c r="J214" s="5"/>
    </row>
    <row r="215" spans="1:10" ht="14.25" customHeight="1">
      <c r="A215" s="2" t="s">
        <v>15</v>
      </c>
      <c r="B215" s="2">
        <v>1955</v>
      </c>
      <c r="C215" s="2" t="s">
        <v>16</v>
      </c>
      <c r="D215" s="2">
        <v>35</v>
      </c>
      <c r="E215" s="2">
        <v>0</v>
      </c>
      <c r="F215" s="3">
        <f t="shared" si="0"/>
        <v>0</v>
      </c>
      <c r="G215" s="3">
        <f t="shared" si="1"/>
        <v>3.5000000000000003E-2</v>
      </c>
      <c r="H215" s="3">
        <f>F215*(VLOOKUP(B215,Price_data!A$1:B$190,2,FALSE))</f>
        <v>0</v>
      </c>
      <c r="I215" s="2">
        <f t="shared" si="3"/>
        <v>3.1049375510680523E-2</v>
      </c>
      <c r="J215" s="5"/>
    </row>
    <row r="216" spans="1:10" ht="14.25" customHeight="1">
      <c r="A216" s="2" t="s">
        <v>15</v>
      </c>
      <c r="B216" s="2">
        <v>1956</v>
      </c>
      <c r="C216" s="2" t="s">
        <v>16</v>
      </c>
      <c r="D216" s="2">
        <v>35</v>
      </c>
      <c r="E216" s="2">
        <v>0</v>
      </c>
      <c r="F216" s="3">
        <f t="shared" si="0"/>
        <v>0</v>
      </c>
      <c r="G216" s="3">
        <f t="shared" si="1"/>
        <v>3.5000000000000003E-2</v>
      </c>
      <c r="H216" s="3">
        <f>F216*(VLOOKUP(B216,Price_data!A$1:B$190,2,FALSE))</f>
        <v>0</v>
      </c>
      <c r="I216" s="2">
        <f t="shared" si="3"/>
        <v>3.1049375510680523E-2</v>
      </c>
      <c r="J216" s="5"/>
    </row>
    <row r="217" spans="1:10" ht="14.25" customHeight="1">
      <c r="A217" s="2" t="s">
        <v>15</v>
      </c>
      <c r="B217" s="2">
        <v>1957</v>
      </c>
      <c r="C217" s="2" t="s">
        <v>16</v>
      </c>
      <c r="D217" s="2">
        <v>35</v>
      </c>
      <c r="E217" s="2">
        <v>0</v>
      </c>
      <c r="F217" s="3">
        <f t="shared" si="0"/>
        <v>0</v>
      </c>
      <c r="G217" s="3">
        <f t="shared" si="1"/>
        <v>3.5000000000000003E-2</v>
      </c>
      <c r="H217" s="3">
        <f>F217*(VLOOKUP(B217,Price_data!A$1:B$190,2,FALSE))</f>
        <v>0</v>
      </c>
      <c r="I217" s="2">
        <f t="shared" si="3"/>
        <v>3.1049375510680523E-2</v>
      </c>
      <c r="J217" s="5"/>
    </row>
    <row r="218" spans="1:10" ht="14.25" customHeight="1">
      <c r="A218" s="2" t="s">
        <v>15</v>
      </c>
      <c r="B218" s="2">
        <v>1958</v>
      </c>
      <c r="C218" s="2" t="s">
        <v>16</v>
      </c>
      <c r="D218" s="2">
        <v>35</v>
      </c>
      <c r="E218" s="2">
        <v>0</v>
      </c>
      <c r="F218" s="3">
        <f t="shared" si="0"/>
        <v>0</v>
      </c>
      <c r="G218" s="3">
        <f t="shared" si="1"/>
        <v>3.5000000000000003E-2</v>
      </c>
      <c r="H218" s="3">
        <f>F218*(VLOOKUP(B218,Price_data!A$1:B$190,2,FALSE))</f>
        <v>0</v>
      </c>
      <c r="I218" s="2">
        <f t="shared" si="3"/>
        <v>3.1049375510680523E-2</v>
      </c>
      <c r="J218" s="5"/>
    </row>
    <row r="219" spans="1:10" ht="14.25" customHeight="1">
      <c r="A219" s="2" t="s">
        <v>15</v>
      </c>
      <c r="B219" s="2">
        <v>1959</v>
      </c>
      <c r="C219" s="2" t="s">
        <v>16</v>
      </c>
      <c r="D219" s="2">
        <v>35</v>
      </c>
      <c r="E219" s="2">
        <v>0</v>
      </c>
      <c r="F219" s="3">
        <f t="shared" si="0"/>
        <v>0</v>
      </c>
      <c r="G219" s="3">
        <f t="shared" si="1"/>
        <v>3.5000000000000003E-2</v>
      </c>
      <c r="H219" s="3">
        <f>F219*(VLOOKUP(B219,Price_data!A$1:B$190,2,FALSE))</f>
        <v>0</v>
      </c>
      <c r="I219" s="2">
        <f t="shared" si="3"/>
        <v>3.1049375510680523E-2</v>
      </c>
      <c r="J219" s="5"/>
    </row>
    <row r="220" spans="1:10" ht="14.25" customHeight="1">
      <c r="A220" s="2" t="s">
        <v>15</v>
      </c>
      <c r="B220" s="2">
        <v>1960</v>
      </c>
      <c r="C220" s="2" t="s">
        <v>16</v>
      </c>
      <c r="D220" s="2">
        <v>35</v>
      </c>
      <c r="E220" s="2">
        <v>0</v>
      </c>
      <c r="F220" s="3">
        <f t="shared" si="0"/>
        <v>0</v>
      </c>
      <c r="G220" s="3">
        <f t="shared" si="1"/>
        <v>3.5000000000000003E-2</v>
      </c>
      <c r="H220" s="3">
        <f>F220*(VLOOKUP(B220,Price_data!A$1:B$190,2,FALSE))</f>
        <v>0</v>
      </c>
      <c r="I220" s="2">
        <f t="shared" si="3"/>
        <v>3.1049375510680523E-2</v>
      </c>
      <c r="J220" s="5"/>
    </row>
    <row r="221" spans="1:10" ht="14.25" customHeight="1">
      <c r="A221" s="2" t="s">
        <v>15</v>
      </c>
      <c r="B221" s="2">
        <v>1961</v>
      </c>
      <c r="C221" s="2" t="s">
        <v>16</v>
      </c>
      <c r="D221" s="2">
        <v>135</v>
      </c>
      <c r="E221" s="2">
        <v>0</v>
      </c>
      <c r="F221" s="3">
        <f t="shared" si="0"/>
        <v>0</v>
      </c>
      <c r="G221" s="3">
        <f t="shared" si="1"/>
        <v>0.13500000000000001</v>
      </c>
      <c r="H221" s="3">
        <f>F221*(VLOOKUP(B221,Price_data!A$1:B$190,2,FALSE))</f>
        <v>0</v>
      </c>
      <c r="I221" s="2">
        <f t="shared" si="3"/>
        <v>0.13104937551068052</v>
      </c>
      <c r="J221" s="5"/>
    </row>
    <row r="222" spans="1:10" ht="14.25" customHeight="1">
      <c r="A222" s="2" t="s">
        <v>15</v>
      </c>
      <c r="B222" s="2">
        <v>1962</v>
      </c>
      <c r="C222" s="2" t="s">
        <v>16</v>
      </c>
      <c r="D222" s="2">
        <v>35</v>
      </c>
      <c r="E222" s="2">
        <v>0</v>
      </c>
      <c r="F222" s="3">
        <f t="shared" si="0"/>
        <v>0</v>
      </c>
      <c r="G222" s="3">
        <f t="shared" si="1"/>
        <v>3.5000000000000003E-2</v>
      </c>
      <c r="H222" s="3">
        <f>F222*(VLOOKUP(B222,Price_data!A$1:B$190,2,FALSE))</f>
        <v>0</v>
      </c>
      <c r="I222" s="2">
        <f t="shared" si="3"/>
        <v>3.1049375510680523E-2</v>
      </c>
      <c r="J222" s="5"/>
    </row>
    <row r="223" spans="1:10" ht="14.25" customHeight="1">
      <c r="A223" s="2" t="s">
        <v>15</v>
      </c>
      <c r="B223" s="2">
        <v>1963</v>
      </c>
      <c r="C223" s="2" t="s">
        <v>16</v>
      </c>
      <c r="D223" s="2">
        <v>35</v>
      </c>
      <c r="E223" s="2">
        <v>0</v>
      </c>
      <c r="F223" s="3">
        <f t="shared" si="0"/>
        <v>0</v>
      </c>
      <c r="G223" s="3">
        <f t="shared" si="1"/>
        <v>3.5000000000000003E-2</v>
      </c>
      <c r="H223" s="3">
        <f>F223*(VLOOKUP(B223,Price_data!A$1:B$190,2,FALSE))</f>
        <v>0</v>
      </c>
      <c r="I223" s="2">
        <f t="shared" si="3"/>
        <v>3.1049375510680523E-2</v>
      </c>
      <c r="J223" s="5"/>
    </row>
    <row r="224" spans="1:10" ht="14.25" customHeight="1">
      <c r="A224" s="2" t="s">
        <v>15</v>
      </c>
      <c r="B224" s="2">
        <v>1964</v>
      </c>
      <c r="C224" s="2" t="s">
        <v>16</v>
      </c>
      <c r="D224" s="2">
        <v>200</v>
      </c>
      <c r="E224" s="2">
        <v>0</v>
      </c>
      <c r="F224" s="3">
        <f t="shared" si="0"/>
        <v>0</v>
      </c>
      <c r="G224" s="3">
        <f t="shared" si="1"/>
        <v>0.2</v>
      </c>
      <c r="H224" s="3">
        <f>F224*(VLOOKUP(B224,Price_data!A$1:B$190,2,FALSE))</f>
        <v>0</v>
      </c>
      <c r="I224" s="2">
        <f t="shared" si="3"/>
        <v>0.18871250145908722</v>
      </c>
      <c r="J224" s="5"/>
    </row>
    <row r="225" spans="1:10" ht="14.25" customHeight="1">
      <c r="A225" s="2" t="s">
        <v>15</v>
      </c>
      <c r="B225" s="2">
        <v>1965</v>
      </c>
      <c r="C225" s="2" t="s">
        <v>16</v>
      </c>
      <c r="D225" s="2">
        <v>300</v>
      </c>
      <c r="E225" s="2">
        <v>0</v>
      </c>
      <c r="F225" s="3">
        <f t="shared" si="0"/>
        <v>0</v>
      </c>
      <c r="G225" s="3">
        <f t="shared" si="1"/>
        <v>0.3</v>
      </c>
      <c r="H225" s="3">
        <f>F225*(VLOOKUP(B225,Price_data!A$1:B$190,2,FALSE))</f>
        <v>0</v>
      </c>
      <c r="I225" s="2">
        <f t="shared" si="3"/>
        <v>0.2774250029181744</v>
      </c>
      <c r="J225" s="5"/>
    </row>
    <row r="226" spans="1:10" ht="14.25" customHeight="1">
      <c r="A226" s="2" t="s">
        <v>15</v>
      </c>
      <c r="B226" s="2">
        <v>1966</v>
      </c>
      <c r="C226" s="2" t="s">
        <v>16</v>
      </c>
      <c r="D226" s="2">
        <v>200</v>
      </c>
      <c r="E226" s="2">
        <v>0</v>
      </c>
      <c r="F226" s="3">
        <f t="shared" si="0"/>
        <v>0</v>
      </c>
      <c r="G226" s="3">
        <f t="shared" si="1"/>
        <v>0.2</v>
      </c>
      <c r="H226" s="3">
        <f>F226*(VLOOKUP(B226,Price_data!A$1:B$190,2,FALSE))</f>
        <v>0</v>
      </c>
      <c r="I226" s="2">
        <f t="shared" si="3"/>
        <v>0.18871250145908722</v>
      </c>
      <c r="J226" s="5"/>
    </row>
    <row r="227" spans="1:10" ht="14.25" customHeight="1">
      <c r="A227" s="2" t="s">
        <v>15</v>
      </c>
      <c r="B227" s="2">
        <v>1967</v>
      </c>
      <c r="C227" s="2" t="s">
        <v>16</v>
      </c>
      <c r="D227" s="2">
        <v>200</v>
      </c>
      <c r="E227" s="2">
        <v>0</v>
      </c>
      <c r="F227" s="3">
        <f t="shared" si="0"/>
        <v>0</v>
      </c>
      <c r="G227" s="3">
        <f t="shared" si="1"/>
        <v>0.2</v>
      </c>
      <c r="H227" s="3">
        <f>F227*(VLOOKUP(B227,Price_data!A$1:B$190,2,FALSE))</f>
        <v>0</v>
      </c>
      <c r="I227" s="2">
        <f t="shared" si="3"/>
        <v>0.18871250145908722</v>
      </c>
      <c r="J227" s="5"/>
    </row>
    <row r="228" spans="1:10" ht="14.25" customHeight="1">
      <c r="A228" s="2" t="s">
        <v>15</v>
      </c>
      <c r="B228" s="2">
        <v>1968</v>
      </c>
      <c r="C228" s="2" t="s">
        <v>16</v>
      </c>
      <c r="D228" s="2">
        <v>200</v>
      </c>
      <c r="E228" s="2">
        <v>0</v>
      </c>
      <c r="F228" s="3">
        <f t="shared" si="0"/>
        <v>0</v>
      </c>
      <c r="G228" s="3">
        <f t="shared" si="1"/>
        <v>0.2</v>
      </c>
      <c r="H228" s="3">
        <f>F228*(VLOOKUP(B228,Price_data!A$1:B$190,2,FALSE))</f>
        <v>0</v>
      </c>
      <c r="I228" s="2">
        <f t="shared" si="3"/>
        <v>0.18871250145908722</v>
      </c>
      <c r="J228" s="5"/>
    </row>
    <row r="229" spans="1:10" ht="14.25" customHeight="1">
      <c r="A229" s="2" t="s">
        <v>15</v>
      </c>
      <c r="B229" s="2">
        <v>1969</v>
      </c>
      <c r="C229" s="2" t="s">
        <v>16</v>
      </c>
      <c r="D229" s="2">
        <v>200</v>
      </c>
      <c r="E229" s="2">
        <v>0</v>
      </c>
      <c r="F229" s="3">
        <f t="shared" si="0"/>
        <v>0</v>
      </c>
      <c r="G229" s="3">
        <f t="shared" si="1"/>
        <v>0.2</v>
      </c>
      <c r="H229" s="3">
        <f>F229*(VLOOKUP(B229,Price_data!A$1:B$190,2,FALSE))</f>
        <v>0</v>
      </c>
      <c r="I229" s="2">
        <f t="shared" si="3"/>
        <v>0.18871250145908722</v>
      </c>
      <c r="J229" s="5"/>
    </row>
    <row r="230" spans="1:10" ht="14.25" customHeight="1">
      <c r="A230" s="2" t="s">
        <v>15</v>
      </c>
      <c r="B230" s="2">
        <v>1970</v>
      </c>
      <c r="C230" s="2" t="s">
        <v>16</v>
      </c>
      <c r="D230" s="2">
        <v>444</v>
      </c>
      <c r="E230" s="2">
        <v>0</v>
      </c>
      <c r="F230" s="3">
        <f t="shared" si="0"/>
        <v>0</v>
      </c>
      <c r="G230" s="3">
        <f t="shared" si="1"/>
        <v>0.44400000000000001</v>
      </c>
      <c r="H230" s="3">
        <f>F230*(VLOOKUP(B230,Price_data!A$1:B$190,2,FALSE))</f>
        <v>0</v>
      </c>
      <c r="I230" s="2">
        <f t="shared" si="3"/>
        <v>0.40517100501925996</v>
      </c>
      <c r="J230" s="5"/>
    </row>
    <row r="231" spans="1:10" ht="14.25" customHeight="1">
      <c r="A231" s="2" t="s">
        <v>15</v>
      </c>
      <c r="B231" s="2">
        <v>1971</v>
      </c>
      <c r="C231" s="2" t="s">
        <v>16</v>
      </c>
      <c r="D231" s="2">
        <v>516</v>
      </c>
      <c r="E231" s="2">
        <v>0</v>
      </c>
      <c r="F231" s="3">
        <f t="shared" si="0"/>
        <v>0</v>
      </c>
      <c r="G231" s="3">
        <f t="shared" si="1"/>
        <v>0.51600000000000001</v>
      </c>
      <c r="H231" s="3">
        <f>F231*(VLOOKUP(B231,Price_data!A$1:B$190,2,FALSE))</f>
        <v>0</v>
      </c>
      <c r="I231" s="2">
        <f t="shared" si="3"/>
        <v>0.46904400606980279</v>
      </c>
      <c r="J231" s="5"/>
    </row>
    <row r="232" spans="1:10" ht="14.25" customHeight="1">
      <c r="A232" s="2" t="s">
        <v>15</v>
      </c>
      <c r="B232" s="2">
        <v>1972</v>
      </c>
      <c r="C232" s="2" t="s">
        <v>16</v>
      </c>
      <c r="D232" s="2">
        <v>213</v>
      </c>
      <c r="E232" s="2">
        <v>0</v>
      </c>
      <c r="F232" s="3">
        <f t="shared" si="0"/>
        <v>0</v>
      </c>
      <c r="G232" s="3">
        <f t="shared" si="1"/>
        <v>0.21299999999999999</v>
      </c>
      <c r="H232" s="3">
        <f>F232*(VLOOKUP(B232,Price_data!A$1:B$190,2,FALSE))</f>
        <v>0</v>
      </c>
      <c r="I232" s="2">
        <f t="shared" si="3"/>
        <v>0.18895762810785574</v>
      </c>
      <c r="J232" s="5"/>
    </row>
    <row r="233" spans="1:10" ht="14.25" customHeight="1">
      <c r="A233" s="2" t="s">
        <v>15</v>
      </c>
      <c r="B233" s="2">
        <v>1973</v>
      </c>
      <c r="C233" s="2" t="s">
        <v>16</v>
      </c>
      <c r="D233" s="2">
        <v>401</v>
      </c>
      <c r="E233" s="2">
        <v>0</v>
      </c>
      <c r="F233" s="3">
        <f t="shared" si="0"/>
        <v>0</v>
      </c>
      <c r="G233" s="3">
        <f t="shared" si="1"/>
        <v>0.40100000000000002</v>
      </c>
      <c r="H233" s="3">
        <f>F233*(VLOOKUP(B233,Price_data!A$1:B$190,2,FALSE))</f>
        <v>0</v>
      </c>
      <c r="I233" s="2">
        <f t="shared" si="3"/>
        <v>0.35573713085093972</v>
      </c>
      <c r="J233" s="5"/>
    </row>
    <row r="234" spans="1:10" ht="14.25" customHeight="1">
      <c r="A234" s="2" t="s">
        <v>15</v>
      </c>
      <c r="B234" s="2">
        <v>1974</v>
      </c>
      <c r="C234" s="2" t="s">
        <v>16</v>
      </c>
      <c r="D234" s="2">
        <v>556</v>
      </c>
      <c r="E234" s="2">
        <v>0</v>
      </c>
      <c r="F234" s="3">
        <f t="shared" si="0"/>
        <v>0</v>
      </c>
      <c r="G234" s="3">
        <f t="shared" si="1"/>
        <v>0.55600000000000005</v>
      </c>
      <c r="H234" s="3">
        <f>F234*(VLOOKUP(B234,Price_data!A$1:B$190,2,FALSE))</f>
        <v>0</v>
      </c>
      <c r="I234" s="2">
        <f t="shared" si="3"/>
        <v>0.493354383097934</v>
      </c>
      <c r="J234" s="5"/>
    </row>
    <row r="235" spans="1:10" ht="14.25" customHeight="1">
      <c r="A235" s="2" t="s">
        <v>15</v>
      </c>
      <c r="B235" s="2">
        <v>1975</v>
      </c>
      <c r="C235" s="2" t="s">
        <v>16</v>
      </c>
      <c r="D235" s="2">
        <v>876</v>
      </c>
      <c r="E235" s="2">
        <v>0</v>
      </c>
      <c r="F235" s="3">
        <f t="shared" si="0"/>
        <v>0</v>
      </c>
      <c r="G235" s="3">
        <f t="shared" si="1"/>
        <v>0.876</v>
      </c>
      <c r="H235" s="3">
        <f>F235*(VLOOKUP(B235,Price_data!A$1:B$190,2,FALSE))</f>
        <v>0</v>
      </c>
      <c r="I235" s="2">
        <f t="shared" si="3"/>
        <v>0.77746013773783129</v>
      </c>
      <c r="J235" s="5"/>
    </row>
    <row r="236" spans="1:10" ht="14.25" customHeight="1">
      <c r="A236" s="2" t="s">
        <v>15</v>
      </c>
      <c r="B236" s="2">
        <v>1976</v>
      </c>
      <c r="C236" s="2" t="s">
        <v>16</v>
      </c>
      <c r="D236" s="2">
        <v>690</v>
      </c>
      <c r="E236" s="2">
        <v>0</v>
      </c>
      <c r="F236" s="3">
        <f t="shared" si="0"/>
        <v>0</v>
      </c>
      <c r="G236" s="3">
        <f t="shared" si="1"/>
        <v>0.69</v>
      </c>
      <c r="H236" s="3">
        <f>F236*(VLOOKUP(B236,Price_data!A$1:B$190,2,FALSE))</f>
        <v>0</v>
      </c>
      <c r="I236" s="2">
        <f t="shared" si="3"/>
        <v>0.61279350998015636</v>
      </c>
      <c r="J236" s="5"/>
    </row>
    <row r="237" spans="1:10" ht="14.25" customHeight="1">
      <c r="A237" s="2" t="s">
        <v>15</v>
      </c>
      <c r="B237" s="2">
        <v>1977</v>
      </c>
      <c r="C237" s="2" t="s">
        <v>16</v>
      </c>
      <c r="D237" s="2">
        <v>585</v>
      </c>
      <c r="E237" s="2">
        <v>0</v>
      </c>
      <c r="F237" s="3">
        <f t="shared" si="0"/>
        <v>0</v>
      </c>
      <c r="G237" s="3">
        <f t="shared" si="1"/>
        <v>0.58499999999999996</v>
      </c>
      <c r="H237" s="3">
        <f>F237*(VLOOKUP(B237,Price_data!A$1:B$190,2,FALSE))</f>
        <v>0</v>
      </c>
      <c r="I237" s="2">
        <f t="shared" si="3"/>
        <v>0.51896813353566007</v>
      </c>
      <c r="J237" s="5"/>
    </row>
    <row r="238" spans="1:10" ht="14.25" customHeight="1">
      <c r="A238" s="2" t="s">
        <v>15</v>
      </c>
      <c r="B238" s="2">
        <v>1978</v>
      </c>
      <c r="C238" s="2" t="s">
        <v>16</v>
      </c>
      <c r="D238" s="2">
        <v>888</v>
      </c>
      <c r="E238" s="2">
        <v>0</v>
      </c>
      <c r="F238" s="3">
        <f t="shared" si="0"/>
        <v>0</v>
      </c>
      <c r="G238" s="3">
        <f t="shared" si="1"/>
        <v>0.88800000000000001</v>
      </c>
      <c r="H238" s="3">
        <f>F238*(VLOOKUP(B238,Price_data!A$1:B$190,2,FALSE))</f>
        <v>0</v>
      </c>
      <c r="I238" s="2">
        <f t="shared" si="3"/>
        <v>0.78889576281078566</v>
      </c>
      <c r="J238" s="5"/>
    </row>
    <row r="239" spans="1:10" ht="14.25" customHeight="1">
      <c r="A239" s="2" t="s">
        <v>15</v>
      </c>
      <c r="B239" s="2">
        <v>1979</v>
      </c>
      <c r="C239" s="2" t="s">
        <v>16</v>
      </c>
      <c r="D239" s="2">
        <v>2351</v>
      </c>
      <c r="E239" s="2">
        <v>0</v>
      </c>
      <c r="F239" s="3">
        <f t="shared" si="0"/>
        <v>0</v>
      </c>
      <c r="G239" s="3">
        <f t="shared" si="1"/>
        <v>2.351</v>
      </c>
      <c r="H239" s="3">
        <f>F239*(VLOOKUP(B239,Price_data!A$1:B$190,2,FALSE))</f>
        <v>0</v>
      </c>
      <c r="I239" s="2">
        <f t="shared" si="3"/>
        <v>2.0875497840550952</v>
      </c>
      <c r="J239" s="5"/>
    </row>
    <row r="240" spans="1:10" ht="14.25" customHeight="1">
      <c r="A240" s="2" t="s">
        <v>15</v>
      </c>
      <c r="B240" s="2">
        <v>1980</v>
      </c>
      <c r="C240" s="2" t="s">
        <v>16</v>
      </c>
      <c r="D240" s="2">
        <v>2855</v>
      </c>
      <c r="E240" s="2">
        <v>0</v>
      </c>
      <c r="F240" s="3">
        <f t="shared" si="0"/>
        <v>0</v>
      </c>
      <c r="G240" s="3">
        <f t="shared" si="1"/>
        <v>2.855</v>
      </c>
      <c r="H240" s="3">
        <f>F240*(VLOOKUP(B240,Price_data!A$1:B$190,2,FALSE))</f>
        <v>0</v>
      </c>
      <c r="I240" s="2">
        <f t="shared" si="3"/>
        <v>2.5361281662192132</v>
      </c>
      <c r="J240" s="5"/>
    </row>
    <row r="241" spans="1:10" ht="14.25" customHeight="1">
      <c r="A241" s="2" t="s">
        <v>15</v>
      </c>
      <c r="B241" s="2">
        <v>1981</v>
      </c>
      <c r="C241" s="2" t="s">
        <v>16</v>
      </c>
      <c r="D241" s="2">
        <v>4049</v>
      </c>
      <c r="E241" s="2">
        <v>0</v>
      </c>
      <c r="F241" s="3">
        <f t="shared" si="0"/>
        <v>0</v>
      </c>
      <c r="G241" s="3">
        <f t="shared" si="1"/>
        <v>4.0490000000000004</v>
      </c>
      <c r="H241" s="3">
        <f>F241*(VLOOKUP(B241,Price_data!A$1:B$190,2,FALSE))</f>
        <v>0</v>
      </c>
      <c r="I241" s="2">
        <f t="shared" si="3"/>
        <v>3.5970485584218519</v>
      </c>
      <c r="J241" s="5"/>
    </row>
    <row r="242" spans="1:10" ht="14.25" customHeight="1">
      <c r="A242" s="2" t="s">
        <v>15</v>
      </c>
      <c r="B242" s="2">
        <v>1982</v>
      </c>
      <c r="C242" s="2" t="s">
        <v>16</v>
      </c>
      <c r="D242" s="2">
        <v>11987</v>
      </c>
      <c r="E242" s="2">
        <v>0</v>
      </c>
      <c r="F242" s="3">
        <f t="shared" si="0"/>
        <v>0</v>
      </c>
      <c r="G242" s="3">
        <f t="shared" si="1"/>
        <v>11.987</v>
      </c>
      <c r="H242" s="3">
        <f>F242*(VLOOKUP(B242,Price_data!A$1:B$190,2,FALSE))</f>
        <v>0</v>
      </c>
      <c r="I242" s="2">
        <f t="shared" si="3"/>
        <v>10.638369674331738</v>
      </c>
      <c r="J242" s="5"/>
    </row>
    <row r="243" spans="1:10" ht="14.25" customHeight="1">
      <c r="A243" s="2" t="s">
        <v>15</v>
      </c>
      <c r="B243" s="2">
        <v>1983</v>
      </c>
      <c r="C243" s="2" t="s">
        <v>16</v>
      </c>
      <c r="D243" s="2">
        <v>11684</v>
      </c>
      <c r="E243" s="2">
        <v>0</v>
      </c>
      <c r="F243" s="3">
        <f t="shared" si="0"/>
        <v>0</v>
      </c>
      <c r="G243" s="3">
        <f t="shared" si="1"/>
        <v>11.683999999999999</v>
      </c>
      <c r="H243" s="3">
        <f>F243*(VLOOKUP(B243,Price_data!A$1:B$190,2,FALSE))</f>
        <v>0</v>
      </c>
      <c r="I243" s="2">
        <f t="shared" si="3"/>
        <v>10.370699544764795</v>
      </c>
      <c r="J243" s="5"/>
    </row>
    <row r="244" spans="1:10" ht="14.25" customHeight="1">
      <c r="A244" s="2" t="s">
        <v>15</v>
      </c>
      <c r="B244" s="2">
        <v>1984</v>
      </c>
      <c r="C244" s="2" t="s">
        <v>16</v>
      </c>
      <c r="D244" s="2">
        <v>17612</v>
      </c>
      <c r="E244" s="2">
        <v>48157.347430000002</v>
      </c>
      <c r="F244" s="3">
        <f t="shared" si="0"/>
        <v>48.157347430000002</v>
      </c>
      <c r="G244" s="3">
        <f t="shared" si="1"/>
        <v>17.611999999999998</v>
      </c>
      <c r="H244" s="3">
        <f>F244*(VLOOKUP(B244,Price_data!A$1:B$190,2,FALSE))</f>
        <v>91.961643004938338</v>
      </c>
      <c r="I244" s="2">
        <f t="shared" si="3"/>
        <v>15.751255865530526</v>
      </c>
      <c r="J244" s="5"/>
    </row>
    <row r="245" spans="1:10" ht="14.25" customHeight="1">
      <c r="A245" s="2" t="s">
        <v>15</v>
      </c>
      <c r="B245" s="2">
        <v>1985</v>
      </c>
      <c r="C245" s="2" t="s">
        <v>16</v>
      </c>
      <c r="D245" s="2">
        <v>20104</v>
      </c>
      <c r="E245" s="2">
        <v>63525.081059999997</v>
      </c>
      <c r="F245" s="3">
        <f t="shared" si="0"/>
        <v>63.525081059999998</v>
      </c>
      <c r="G245" s="3">
        <f t="shared" si="1"/>
        <v>20.103999999999999</v>
      </c>
      <c r="H245" s="3">
        <f>F245*(VLOOKUP(B245,Price_data!A$1:B$190,2,FALSE))</f>
        <v>114.35195458971309</v>
      </c>
      <c r="I245" s="2">
        <f t="shared" si="3"/>
        <v>17.984546398972803</v>
      </c>
      <c r="J245" s="5"/>
    </row>
    <row r="246" spans="1:10" ht="14.25" customHeight="1">
      <c r="A246" s="2" t="s">
        <v>15</v>
      </c>
      <c r="B246" s="2">
        <v>1986</v>
      </c>
      <c r="C246" s="2" t="s">
        <v>16</v>
      </c>
      <c r="D246" s="2">
        <v>24013</v>
      </c>
      <c r="E246" s="2">
        <v>71256.540420000005</v>
      </c>
      <c r="F246" s="3">
        <f t="shared" si="0"/>
        <v>71.256540420000007</v>
      </c>
      <c r="G246" s="3">
        <f t="shared" si="1"/>
        <v>24.013000000000002</v>
      </c>
      <c r="H246" s="3">
        <f>F246*(VLOOKUP(B246,Price_data!A$1:B$190,2,FALSE))</f>
        <v>124.04805350784238</v>
      </c>
      <c r="I246" s="2">
        <f t="shared" si="3"/>
        <v>21.506385199019498</v>
      </c>
      <c r="J246" s="5"/>
    </row>
    <row r="247" spans="1:10" ht="14.25" customHeight="1">
      <c r="A247" s="2" t="s">
        <v>15</v>
      </c>
      <c r="B247" s="2">
        <v>1987</v>
      </c>
      <c r="C247" s="2" t="s">
        <v>16</v>
      </c>
      <c r="D247" s="2">
        <v>29435</v>
      </c>
      <c r="E247" s="2">
        <v>78270.589460000003</v>
      </c>
      <c r="F247" s="3">
        <f t="shared" si="0"/>
        <v>78.270589459999997</v>
      </c>
      <c r="G247" s="3">
        <f t="shared" si="1"/>
        <v>29.434999999999999</v>
      </c>
      <c r="H247" s="3">
        <f>F247*(VLOOKUP(B247,Price_data!A$1:B$190,2,FALSE))</f>
        <v>130.80144779003669</v>
      </c>
      <c r="I247" s="2">
        <f t="shared" si="3"/>
        <v>26.410289015991594</v>
      </c>
      <c r="J247" s="5"/>
    </row>
    <row r="248" spans="1:10" ht="14.25" customHeight="1">
      <c r="A248" s="2" t="s">
        <v>15</v>
      </c>
      <c r="B248" s="2">
        <v>1988</v>
      </c>
      <c r="C248" s="2" t="s">
        <v>16</v>
      </c>
      <c r="D248" s="2">
        <v>36392</v>
      </c>
      <c r="E248" s="2">
        <v>89056.925099999993</v>
      </c>
      <c r="F248" s="3">
        <f t="shared" si="0"/>
        <v>89.056925099999987</v>
      </c>
      <c r="G248" s="3">
        <f t="shared" si="1"/>
        <v>36.392000000000003</v>
      </c>
      <c r="H248" s="3">
        <f>F248*(VLOOKUP(B248,Price_data!A$1:B$190,2,FALSE))</f>
        <v>141.8744184844561</v>
      </c>
      <c r="I248" s="2">
        <f t="shared" si="3"/>
        <v>32.610010738881762</v>
      </c>
      <c r="J248" s="5"/>
    </row>
    <row r="249" spans="1:10" ht="14.25" customHeight="1">
      <c r="A249" s="2" t="s">
        <v>15</v>
      </c>
      <c r="B249" s="2">
        <v>1989</v>
      </c>
      <c r="C249" s="2" t="s">
        <v>16</v>
      </c>
      <c r="D249" s="2">
        <v>49316</v>
      </c>
      <c r="E249" s="2">
        <v>123979.125</v>
      </c>
      <c r="F249" s="3">
        <f t="shared" si="0"/>
        <v>123.979125</v>
      </c>
      <c r="G249" s="3">
        <f t="shared" si="1"/>
        <v>49.316000000000003</v>
      </c>
      <c r="H249" s="3">
        <f>F249*(VLOOKUP(B249,Price_data!A$1:B$190,2,FALSE))</f>
        <v>183.25451306344539</v>
      </c>
      <c r="I249" s="2">
        <f t="shared" si="3"/>
        <v>44.085937551068056</v>
      </c>
      <c r="J249" s="5"/>
    </row>
    <row r="250" spans="1:10" ht="14.25" customHeight="1">
      <c r="A250" s="2" t="s">
        <v>15</v>
      </c>
      <c r="B250" s="2">
        <v>1990</v>
      </c>
      <c r="C250" s="2" t="s">
        <v>16</v>
      </c>
      <c r="D250" s="2">
        <v>50044</v>
      </c>
      <c r="E250" s="2">
        <v>112602.11289999999</v>
      </c>
      <c r="F250" s="3">
        <f t="shared" si="0"/>
        <v>112.60211289999999</v>
      </c>
      <c r="G250" s="3">
        <f t="shared" si="1"/>
        <v>50.043999999999997</v>
      </c>
      <c r="H250" s="3">
        <f>F250*(VLOOKUP(B250,Price_data!A$1:B$190,2,FALSE))</f>
        <v>152.05246122163157</v>
      </c>
      <c r="I250" s="2">
        <f t="shared" si="3"/>
        <v>44.715962063732931</v>
      </c>
      <c r="J250" s="5"/>
    </row>
    <row r="251" spans="1:10" ht="14.25" customHeight="1">
      <c r="A251" s="2" t="s">
        <v>15</v>
      </c>
      <c r="B251" s="2">
        <v>1991</v>
      </c>
      <c r="C251" s="2" t="s">
        <v>16</v>
      </c>
      <c r="D251" s="2">
        <v>60887</v>
      </c>
      <c r="E251" s="2">
        <v>129219.2442</v>
      </c>
      <c r="F251" s="3">
        <f t="shared" si="0"/>
        <v>129.21924419999999</v>
      </c>
      <c r="G251" s="3">
        <f t="shared" si="1"/>
        <v>60.887</v>
      </c>
      <c r="H251" s="3">
        <f>F251*(VLOOKUP(B251,Price_data!A$1:B$190,2,FALSE))</f>
        <v>164.81771073895464</v>
      </c>
      <c r="I251" s="2">
        <f t="shared" si="3"/>
        <v>54.65167293101436</v>
      </c>
      <c r="J251" s="5"/>
    </row>
    <row r="252" spans="1:10" ht="14.25" customHeight="1">
      <c r="A252" s="2" t="s">
        <v>15</v>
      </c>
      <c r="B252" s="2">
        <v>1992</v>
      </c>
      <c r="C252" s="2" t="s">
        <v>16</v>
      </c>
      <c r="D252" s="2">
        <v>56824</v>
      </c>
      <c r="E252" s="2">
        <v>129685.9143</v>
      </c>
      <c r="F252" s="3">
        <f t="shared" si="0"/>
        <v>129.68591430000001</v>
      </c>
      <c r="G252" s="3">
        <f t="shared" si="1"/>
        <v>56.823999999999998</v>
      </c>
      <c r="H252" s="3">
        <f>F252*(VLOOKUP(B252,Price_data!A$1:B$190,2,FALSE))</f>
        <v>159.44911642211784</v>
      </c>
      <c r="I252" s="2">
        <f t="shared" si="3"/>
        <v>50.977414380763399</v>
      </c>
      <c r="J252" s="5"/>
    </row>
    <row r="253" spans="1:10" ht="14.25" customHeight="1">
      <c r="A253" s="2" t="s">
        <v>15</v>
      </c>
      <c r="B253" s="2">
        <v>1993</v>
      </c>
      <c r="C253" s="2" t="s">
        <v>16</v>
      </c>
      <c r="D253" s="2">
        <v>68774</v>
      </c>
      <c r="E253" s="2">
        <v>191154.7726</v>
      </c>
      <c r="F253" s="3">
        <f t="shared" si="0"/>
        <v>191.1547726</v>
      </c>
      <c r="G253" s="3">
        <f t="shared" si="1"/>
        <v>68.774000000000001</v>
      </c>
      <c r="H253" s="3">
        <f>F253*(VLOOKUP(B253,Price_data!A$1:B$190,2,FALSE))</f>
        <v>231.34169749475927</v>
      </c>
      <c r="I253" s="2">
        <f t="shared" si="3"/>
        <v>61.623821174273381</v>
      </c>
      <c r="J253" s="5"/>
    </row>
    <row r="254" spans="1:10" ht="14.25" customHeight="1">
      <c r="A254" s="2" t="s">
        <v>15</v>
      </c>
      <c r="B254" s="2">
        <v>1994</v>
      </c>
      <c r="C254" s="2" t="s">
        <v>16</v>
      </c>
      <c r="D254" s="2">
        <v>85701</v>
      </c>
      <c r="E254" s="2">
        <v>244415.40979999999</v>
      </c>
      <c r="F254" s="3">
        <f t="shared" si="0"/>
        <v>244.41540979999999</v>
      </c>
      <c r="G254" s="3">
        <f t="shared" si="1"/>
        <v>85.700999999999993</v>
      </c>
      <c r="H254" s="3">
        <f>F254*(VLOOKUP(B254,Price_data!A$1:B$190,2,FALSE))</f>
        <v>288.82721613489417</v>
      </c>
      <c r="I254" s="2">
        <f t="shared" si="3"/>
        <v>76.59955130150577</v>
      </c>
      <c r="J254" s="5"/>
    </row>
    <row r="255" spans="1:10" ht="14.25" customHeight="1">
      <c r="A255" s="2" t="s">
        <v>15</v>
      </c>
      <c r="B255" s="2">
        <v>1995</v>
      </c>
      <c r="C255" s="2" t="s">
        <v>16</v>
      </c>
      <c r="D255" s="2">
        <v>93838</v>
      </c>
      <c r="E255" s="2">
        <v>168150.6091</v>
      </c>
      <c r="F255" s="3">
        <f t="shared" si="0"/>
        <v>168.1506091</v>
      </c>
      <c r="G255" s="3">
        <f t="shared" si="1"/>
        <v>93.837999999999994</v>
      </c>
      <c r="H255" s="3">
        <f>F255*(VLOOKUP(B255,Price_data!A$1:B$190,2,FALSE))</f>
        <v>192.04960765368639</v>
      </c>
      <c r="I255" s="2">
        <f t="shared" si="3"/>
        <v>84.024761643515816</v>
      </c>
      <c r="J255" s="5"/>
    </row>
    <row r="256" spans="1:10" ht="14.25" customHeight="1">
      <c r="A256" s="2" t="s">
        <v>15</v>
      </c>
      <c r="B256" s="2">
        <v>1996</v>
      </c>
      <c r="C256" s="2" t="s">
        <v>16</v>
      </c>
      <c r="D256" s="2">
        <v>109901</v>
      </c>
      <c r="E256" s="2">
        <v>172181.48480000001</v>
      </c>
      <c r="F256" s="3">
        <f t="shared" si="0"/>
        <v>172.18148479999999</v>
      </c>
      <c r="G256" s="3">
        <f t="shared" si="1"/>
        <v>109.901</v>
      </c>
      <c r="H256" s="3">
        <f>F256*(VLOOKUP(B256,Price_data!A$1:B$190,2,FALSE))</f>
        <v>192.01779790537569</v>
      </c>
      <c r="I256" s="2">
        <f t="shared" si="3"/>
        <v>98.59600583634878</v>
      </c>
      <c r="J256" s="5"/>
    </row>
    <row r="257" spans="1:10" ht="14.25" customHeight="1">
      <c r="A257" s="2" t="s">
        <v>15</v>
      </c>
      <c r="B257" s="2">
        <v>1997</v>
      </c>
      <c r="C257" s="2" t="s">
        <v>16</v>
      </c>
      <c r="D257" s="2">
        <v>129715</v>
      </c>
      <c r="E257" s="2">
        <v>260724.22700000001</v>
      </c>
      <c r="F257" s="3">
        <f t="shared" ref="F257:F420" si="4">E257/1000</f>
        <v>260.72422700000004</v>
      </c>
      <c r="G257" s="3">
        <f t="shared" ref="G257:G420" si="5">D257/1000</f>
        <v>129.715</v>
      </c>
      <c r="H257" s="3">
        <f>F257*(VLOOKUP(B257,Price_data!A$1:B$190,2,FALSE))</f>
        <v>281.91620112876905</v>
      </c>
      <c r="I257" s="2">
        <f t="shared" si="3"/>
        <v>116.69238718337809</v>
      </c>
      <c r="J257" s="5"/>
    </row>
    <row r="258" spans="1:10" ht="14.25" customHeight="1">
      <c r="A258" s="2" t="s">
        <v>15</v>
      </c>
      <c r="B258" s="2">
        <v>1998</v>
      </c>
      <c r="C258" s="2" t="s">
        <v>16</v>
      </c>
      <c r="D258" s="2">
        <v>137421</v>
      </c>
      <c r="E258" s="2">
        <v>258358.9994</v>
      </c>
      <c r="F258" s="3">
        <f t="shared" si="4"/>
        <v>258.35899940000002</v>
      </c>
      <c r="G258" s="3">
        <f t="shared" si="5"/>
        <v>137.42099999999999</v>
      </c>
      <c r="H258" s="3">
        <f>F258*(VLOOKUP(B258,Price_data!A$1:B$190,2,FALSE))</f>
        <v>270.09893515961778</v>
      </c>
      <c r="I258" s="2">
        <f t="shared" si="3"/>
        <v>123.03169686004436</v>
      </c>
      <c r="J258" s="5"/>
    </row>
    <row r="259" spans="1:10" ht="14.25" customHeight="1">
      <c r="A259" s="2" t="s">
        <v>15</v>
      </c>
      <c r="B259" s="2">
        <v>1999</v>
      </c>
      <c r="C259" s="2" t="s">
        <v>16</v>
      </c>
      <c r="D259" s="2">
        <v>154800</v>
      </c>
      <c r="E259" s="2">
        <v>295760.97859999997</v>
      </c>
      <c r="F259" s="3">
        <f t="shared" si="4"/>
        <v>295.76097859999999</v>
      </c>
      <c r="G259" s="3">
        <f t="shared" si="5"/>
        <v>154.80000000000001</v>
      </c>
      <c r="H259" s="3">
        <f>F259*(VLOOKUP(B259,Price_data!A$1:B$190,2,FALSE))</f>
        <v>304.50915771900316</v>
      </c>
      <c r="I259" s="2">
        <f t="shared" si="3"/>
        <v>138.55740247461191</v>
      </c>
      <c r="J259" s="5"/>
    </row>
    <row r="260" spans="1:10" ht="14.25" customHeight="1">
      <c r="A260" s="2" t="s">
        <v>15</v>
      </c>
      <c r="B260" s="2">
        <v>2000</v>
      </c>
      <c r="C260" s="2" t="s">
        <v>16</v>
      </c>
      <c r="D260" s="2">
        <v>152485</v>
      </c>
      <c r="E260" s="2">
        <v>304774.02240000002</v>
      </c>
      <c r="F260" s="3">
        <f t="shared" si="4"/>
        <v>304.77402240000004</v>
      </c>
      <c r="G260" s="3">
        <f t="shared" si="5"/>
        <v>152.48500000000001</v>
      </c>
      <c r="H260" s="3">
        <f>F260*(VLOOKUP(B260,Price_data!A$1:B$190,2,FALSE))</f>
        <v>304.77402240000004</v>
      </c>
      <c r="I260" s="2">
        <f t="shared" si="3"/>
        <v>136.67223041904987</v>
      </c>
      <c r="J260" s="5"/>
    </row>
    <row r="261" spans="1:10" ht="14.25" customHeight="1">
      <c r="A261" s="2" t="s">
        <v>15</v>
      </c>
      <c r="B261" s="2">
        <v>2001</v>
      </c>
      <c r="C261" s="2" t="s">
        <v>16</v>
      </c>
      <c r="D261" s="2">
        <v>170516</v>
      </c>
      <c r="E261" s="2">
        <v>356161.32160000002</v>
      </c>
      <c r="F261" s="3">
        <f t="shared" si="4"/>
        <v>356.16132160000001</v>
      </c>
      <c r="G261" s="3">
        <f t="shared" si="5"/>
        <v>170.51599999999999</v>
      </c>
      <c r="H261" s="3">
        <f>F261*(VLOOKUP(B261,Price_data!A$1:B$190,2,FALSE))</f>
        <v>349.96222883681054</v>
      </c>
      <c r="I261" s="2">
        <f t="shared" si="3"/>
        <v>153.35934084276877</v>
      </c>
      <c r="J261" s="5"/>
    </row>
    <row r="262" spans="1:10" ht="14.25" customHeight="1">
      <c r="A262" s="2" t="s">
        <v>15</v>
      </c>
      <c r="B262" s="2">
        <v>2002</v>
      </c>
      <c r="C262" s="2" t="s">
        <v>16</v>
      </c>
      <c r="D262" s="2">
        <v>179036</v>
      </c>
      <c r="E262" s="2">
        <v>363139.68199999997</v>
      </c>
      <c r="F262" s="3">
        <f t="shared" si="4"/>
        <v>363.13968199999999</v>
      </c>
      <c r="G262" s="3">
        <f t="shared" si="5"/>
        <v>179.036</v>
      </c>
      <c r="H262" s="3">
        <f>F262*(VLOOKUP(B262,Price_data!A$1:B$190,2,FALSE))</f>
        <v>350.96711029112146</v>
      </c>
      <c r="I262" s="2">
        <f t="shared" si="3"/>
        <v>160.93886646433992</v>
      </c>
      <c r="J262" s="5"/>
    </row>
    <row r="263" spans="1:10" ht="14.25" customHeight="1">
      <c r="A263" s="2" t="s">
        <v>15</v>
      </c>
      <c r="B263" s="2">
        <v>2003</v>
      </c>
      <c r="C263" s="2" t="s">
        <v>16</v>
      </c>
      <c r="D263" s="2">
        <v>181838</v>
      </c>
      <c r="E263" s="2">
        <v>316869.30930000002</v>
      </c>
      <c r="F263" s="3">
        <f t="shared" si="4"/>
        <v>316.8693093</v>
      </c>
      <c r="G263" s="3">
        <f t="shared" si="5"/>
        <v>181.83799999999999</v>
      </c>
      <c r="H263" s="3">
        <f>F263*(VLOOKUP(B263,Price_data!A$1:B$190,2,FALSE))</f>
        <v>297.64094238354102</v>
      </c>
      <c r="I263" s="2">
        <f t="shared" si="3"/>
        <v>163.62607260417883</v>
      </c>
      <c r="J263" s="5"/>
    </row>
    <row r="264" spans="1:10" ht="14.25" customHeight="1">
      <c r="A264" s="2" t="s">
        <v>15</v>
      </c>
      <c r="B264" s="2">
        <v>2004</v>
      </c>
      <c r="C264" s="2" t="s">
        <v>16</v>
      </c>
      <c r="D264" s="2">
        <v>207203</v>
      </c>
      <c r="E264" s="2">
        <v>324048.48259999999</v>
      </c>
      <c r="F264" s="3">
        <f t="shared" si="4"/>
        <v>324.0484826</v>
      </c>
      <c r="G264" s="3">
        <f t="shared" si="5"/>
        <v>207.203</v>
      </c>
      <c r="H264" s="3">
        <f>F264*(VLOOKUP(B264,Price_data!A$1:B$190,2,FALSE))</f>
        <v>295.58149437837807</v>
      </c>
      <c r="I264" s="2">
        <f t="shared" si="3"/>
        <v>187.48340142406911</v>
      </c>
      <c r="J264" s="5"/>
    </row>
    <row r="265" spans="1:10" ht="14.25" customHeight="1">
      <c r="A265" s="2" t="s">
        <v>15</v>
      </c>
      <c r="B265" s="2">
        <v>2005</v>
      </c>
      <c r="C265" s="2" t="s">
        <v>16</v>
      </c>
      <c r="D265" s="2">
        <v>172813</v>
      </c>
      <c r="E265" s="2">
        <v>340636.85700000002</v>
      </c>
      <c r="F265" s="3">
        <f t="shared" si="4"/>
        <v>340.63685700000002</v>
      </c>
      <c r="G265" s="3">
        <f t="shared" si="5"/>
        <v>172.81299999999999</v>
      </c>
      <c r="H265" s="3">
        <f>F265*(VLOOKUP(B265,Price_data!A$1:B$190,2,FALSE))</f>
        <v>302.17858250670474</v>
      </c>
      <c r="I265" s="2">
        <f t="shared" si="3"/>
        <v>156.67052258666979</v>
      </c>
      <c r="J265" s="5"/>
    </row>
    <row r="266" spans="1:10" ht="14.25" customHeight="1">
      <c r="A266" s="2" t="s">
        <v>15</v>
      </c>
      <c r="B266" s="2">
        <v>2006</v>
      </c>
      <c r="C266" s="2" t="s">
        <v>16</v>
      </c>
      <c r="D266" s="2">
        <v>171848</v>
      </c>
      <c r="E266" s="2">
        <v>417794.58720000001</v>
      </c>
      <c r="F266" s="3">
        <f t="shared" si="4"/>
        <v>417.79458720000002</v>
      </c>
      <c r="G266" s="3">
        <f t="shared" si="5"/>
        <v>171.84800000000001</v>
      </c>
      <c r="H266" s="3">
        <f>F266*(VLOOKUP(B266,Price_data!A$1:B$190,2,FALSE))</f>
        <v>359.14830923344891</v>
      </c>
      <c r="I266" s="2">
        <f t="shared" si="3"/>
        <v>155.33055188514066</v>
      </c>
      <c r="J266" s="5"/>
    </row>
    <row r="267" spans="1:10" ht="14.25" customHeight="1">
      <c r="A267" s="2" t="s">
        <v>15</v>
      </c>
      <c r="B267" s="2">
        <v>2007</v>
      </c>
      <c r="C267" s="2" t="s">
        <v>16</v>
      </c>
      <c r="D267" s="2">
        <v>174200</v>
      </c>
      <c r="E267" s="2">
        <v>466865.77740000002</v>
      </c>
      <c r="F267" s="3">
        <f t="shared" si="4"/>
        <v>466.86577740000001</v>
      </c>
      <c r="G267" s="3">
        <f t="shared" si="5"/>
        <v>174.2</v>
      </c>
      <c r="H267" s="3">
        <f>F267*(VLOOKUP(B267,Price_data!A$1:B$190,2,FALSE))</f>
        <v>384.83488251143012</v>
      </c>
      <c r="I267" s="2">
        <f t="shared" si="3"/>
        <v>157.56459752538811</v>
      </c>
      <c r="J267" s="5"/>
    </row>
    <row r="268" spans="1:10" ht="14.25" customHeight="1">
      <c r="A268" s="2" t="s">
        <v>15</v>
      </c>
      <c r="B268" s="2">
        <v>2008</v>
      </c>
      <c r="C268" s="2" t="s">
        <v>16</v>
      </c>
      <c r="D268" s="2">
        <v>175702</v>
      </c>
      <c r="E268" s="2">
        <v>526074.98360000004</v>
      </c>
      <c r="F268" s="3">
        <f t="shared" si="4"/>
        <v>526.0749836</v>
      </c>
      <c r="G268" s="3">
        <f t="shared" si="5"/>
        <v>175.702</v>
      </c>
      <c r="H268" s="3">
        <f>F268*(VLOOKUP(B268,Price_data!A$1:B$190,2,FALSE))</f>
        <v>417.01141473821139</v>
      </c>
      <c r="I268" s="2">
        <f t="shared" si="3"/>
        <v>159.4125593556671</v>
      </c>
      <c r="J268" s="5"/>
    </row>
    <row r="269" spans="1:10" ht="14.25" customHeight="1">
      <c r="A269" s="2" t="s">
        <v>15</v>
      </c>
      <c r="B269" s="2">
        <v>2009</v>
      </c>
      <c r="C269" s="2" t="s">
        <v>16</v>
      </c>
      <c r="D269" s="2">
        <v>196597.82</v>
      </c>
      <c r="E269" s="2">
        <v>501166.44939999998</v>
      </c>
      <c r="F269" s="3">
        <f t="shared" si="4"/>
        <v>501.16644939999998</v>
      </c>
      <c r="G269" s="3">
        <f t="shared" si="5"/>
        <v>196.59782000000001</v>
      </c>
      <c r="H269" s="3">
        <f>F269*(VLOOKUP(B269,Price_data!A$1:B$190,2,FALSE))</f>
        <v>399.38745042993219</v>
      </c>
      <c r="I269" s="2">
        <f t="shared" si="3"/>
        <v>178.42638086144507</v>
      </c>
      <c r="J269" s="5"/>
    </row>
    <row r="270" spans="1:10" ht="14.25" customHeight="1">
      <c r="A270" s="2" t="s">
        <v>15</v>
      </c>
      <c r="B270" s="2">
        <v>2010</v>
      </c>
      <c r="C270" s="2" t="s">
        <v>16</v>
      </c>
      <c r="D270" s="2">
        <v>201363.85</v>
      </c>
      <c r="E270" s="2">
        <v>517570.4425</v>
      </c>
      <c r="F270" s="3">
        <f t="shared" si="4"/>
        <v>517.57044250000001</v>
      </c>
      <c r="G270" s="3">
        <f t="shared" si="5"/>
        <v>201.36385000000001</v>
      </c>
      <c r="H270" s="3">
        <f>F270*(VLOOKUP(B270,Price_data!A$1:B$190,2,FALSE))</f>
        <v>394.26672330380279</v>
      </c>
      <c r="I270" s="2">
        <f t="shared" si="3"/>
        <v>182.19267711567645</v>
      </c>
      <c r="J270" s="5"/>
    </row>
    <row r="271" spans="1:10" ht="14.25" customHeight="1">
      <c r="A271" s="2" t="s">
        <v>15</v>
      </c>
      <c r="B271" s="2">
        <v>2011</v>
      </c>
      <c r="C271" s="2" t="s">
        <v>16</v>
      </c>
      <c r="D271" s="2">
        <v>198967.6</v>
      </c>
      <c r="E271" s="2">
        <v>658511.43969999999</v>
      </c>
      <c r="F271" s="3">
        <f t="shared" si="4"/>
        <v>658.51143969999998</v>
      </c>
      <c r="G271" s="3">
        <f t="shared" si="5"/>
        <v>198.9676</v>
      </c>
      <c r="H271" s="3">
        <f>F271*(VLOOKUP(B271,Price_data!A$1:B$190,2,FALSE))</f>
        <v>476.81395257461833</v>
      </c>
      <c r="I271" s="2">
        <f t="shared" si="3"/>
        <v>179.5632838333139</v>
      </c>
      <c r="J271" s="5"/>
    </row>
    <row r="272" spans="1:10" ht="14.25" customHeight="1">
      <c r="A272" s="2" t="s">
        <v>15</v>
      </c>
      <c r="B272" s="2">
        <v>2012</v>
      </c>
      <c r="C272" s="2" t="s">
        <v>16</v>
      </c>
      <c r="D272" s="2">
        <v>205594.7</v>
      </c>
      <c r="E272" s="2">
        <v>597568.76800000004</v>
      </c>
      <c r="F272" s="3">
        <f t="shared" si="4"/>
        <v>597.56876800000009</v>
      </c>
      <c r="G272" s="3">
        <f t="shared" si="5"/>
        <v>205.59470000000002</v>
      </c>
      <c r="H272" s="3">
        <f>F272*(VLOOKUP(B272,Price_data!A$1:B$190,2,FALSE))</f>
        <v>419.22169835679148</v>
      </c>
      <c r="I272" s="2">
        <f t="shared" si="3"/>
        <v>185.47639311310846</v>
      </c>
      <c r="J272" s="5"/>
    </row>
    <row r="273" spans="1:10" ht="14.25" customHeight="1">
      <c r="A273" s="2" t="s">
        <v>15</v>
      </c>
      <c r="B273" s="2">
        <v>2013</v>
      </c>
      <c r="C273" s="2" t="s">
        <v>16</v>
      </c>
      <c r="D273" s="2">
        <v>203263</v>
      </c>
      <c r="E273" s="2">
        <v>761526.11450000003</v>
      </c>
      <c r="F273" s="3">
        <f t="shared" si="4"/>
        <v>761.52611450000006</v>
      </c>
      <c r="G273" s="3">
        <f t="shared" si="5"/>
        <v>203.26300000000001</v>
      </c>
      <c r="H273" s="3">
        <f>F273*(VLOOKUP(B273,Price_data!A$1:B$190,2,FALSE))</f>
        <v>518.48914940247971</v>
      </c>
      <c r="I273" s="2">
        <f t="shared" si="3"/>
        <v>183.29033570678186</v>
      </c>
      <c r="J273" s="5"/>
    </row>
    <row r="274" spans="1:10" ht="14.25" customHeight="1">
      <c r="A274" s="2" t="s">
        <v>15</v>
      </c>
      <c r="B274" s="2">
        <v>2014</v>
      </c>
      <c r="C274" s="2" t="s">
        <v>16</v>
      </c>
      <c r="D274" s="2">
        <v>214707.35</v>
      </c>
      <c r="E274" s="2">
        <v>800168.94790000003</v>
      </c>
      <c r="F274" s="3">
        <f t="shared" si="4"/>
        <v>800.16894790000003</v>
      </c>
      <c r="G274" s="3">
        <f t="shared" si="5"/>
        <v>214.70735000000002</v>
      </c>
      <c r="H274" s="3">
        <f>F274*(VLOOKUP(B274,Price_data!A$1:B$190,2,FALSE))</f>
        <v>532.23118736478057</v>
      </c>
      <c r="I274" s="2">
        <f t="shared" si="3"/>
        <v>192.91247144858178</v>
      </c>
      <c r="J274" s="5"/>
    </row>
    <row r="275" spans="1:10" ht="14.25" customHeight="1">
      <c r="A275" s="2" t="s">
        <v>15</v>
      </c>
      <c r="B275" s="2">
        <v>2015</v>
      </c>
      <c r="C275" s="2" t="s">
        <v>16</v>
      </c>
      <c r="D275" s="2">
        <v>211749.41800000001</v>
      </c>
      <c r="E275" s="2">
        <v>724685.99600000004</v>
      </c>
      <c r="F275" s="3">
        <f t="shared" si="4"/>
        <v>724.68599600000005</v>
      </c>
      <c r="G275" s="3">
        <f t="shared" si="5"/>
        <v>211.74941799999999</v>
      </c>
      <c r="H275" s="3">
        <f>F275*(VLOOKUP(B275,Price_data!A$1:B$190,2,FALSE))</f>
        <v>477.29809032087621</v>
      </c>
      <c r="I275" s="2">
        <f t="shared" si="3"/>
        <v>190.57493682701062</v>
      </c>
      <c r="J275" s="5"/>
    </row>
    <row r="276" spans="1:10" ht="14.25" customHeight="1">
      <c r="A276" s="2" t="s">
        <v>15</v>
      </c>
      <c r="B276" s="2">
        <v>2016</v>
      </c>
      <c r="C276" s="2" t="s">
        <v>16</v>
      </c>
      <c r="D276" s="2">
        <v>194492.17600000001</v>
      </c>
      <c r="E276" s="2">
        <v>838146.94869999995</v>
      </c>
      <c r="F276" s="3">
        <f t="shared" si="4"/>
        <v>838.14694869999994</v>
      </c>
      <c r="G276" s="3">
        <f t="shared" si="5"/>
        <v>194.492176</v>
      </c>
      <c r="H276" s="3">
        <f>F276*(VLOOKUP(B276,Price_data!A$1:B$190,2,FALSE))</f>
        <v>542.61069687674421</v>
      </c>
      <c r="I276" s="2">
        <f t="shared" si="3"/>
        <v>174.44513318664644</v>
      </c>
      <c r="J276" s="5"/>
    </row>
    <row r="277" spans="1:10" ht="14.25" customHeight="1">
      <c r="A277" s="2" t="s">
        <v>15</v>
      </c>
      <c r="B277" s="2">
        <v>2017</v>
      </c>
      <c r="C277" s="2" t="s">
        <v>16</v>
      </c>
      <c r="D277" s="2">
        <v>222611.11</v>
      </c>
      <c r="E277" s="2">
        <v>1130039.71</v>
      </c>
      <c r="F277" s="3">
        <f t="shared" si="4"/>
        <v>1130.03971</v>
      </c>
      <c r="G277" s="3">
        <f t="shared" si="5"/>
        <v>222.61111</v>
      </c>
      <c r="H277" s="3">
        <f>F277*(VLOOKUP(B277,Price_data!A$1:B$190,2,FALSE))</f>
        <v>706.26167751821242</v>
      </c>
      <c r="I277" s="2">
        <f t="shared" si="3"/>
        <v>199.57343496673283</v>
      </c>
      <c r="J277" s="5"/>
    </row>
    <row r="278" spans="1:10" ht="14.25" customHeight="1">
      <c r="A278" s="2" t="s">
        <v>15</v>
      </c>
      <c r="B278" s="2">
        <v>2018</v>
      </c>
      <c r="C278" s="2" t="s">
        <v>16</v>
      </c>
      <c r="D278" s="2">
        <v>184932.00200000001</v>
      </c>
      <c r="E278" s="2">
        <v>952923.15480000002</v>
      </c>
      <c r="F278" s="3">
        <f t="shared" si="4"/>
        <v>952.92315480000002</v>
      </c>
      <c r="G278" s="3">
        <f t="shared" si="5"/>
        <v>184.93200200000001</v>
      </c>
      <c r="H278" s="3">
        <f>F278*(VLOOKUP(B278,Price_data!A$1:B$190,2,FALSE))</f>
        <v>576.31776681513304</v>
      </c>
      <c r="I278" s="2">
        <f t="shared" si="3"/>
        <v>165.91919813820476</v>
      </c>
      <c r="J278" s="5" t="s">
        <v>74</v>
      </c>
    </row>
    <row r="279" spans="1:10" ht="14.25" customHeight="1">
      <c r="A279" s="2" t="s">
        <v>15</v>
      </c>
      <c r="B279" s="2">
        <v>2019</v>
      </c>
      <c r="C279" s="2" t="s">
        <v>16</v>
      </c>
      <c r="D279" s="2">
        <v>219500</v>
      </c>
      <c r="E279" s="2">
        <v>1147476.7509999999</v>
      </c>
      <c r="F279" s="3">
        <f t="shared" si="4"/>
        <v>1147.4767509999999</v>
      </c>
      <c r="G279" s="3">
        <f t="shared" si="5"/>
        <v>219.5</v>
      </c>
      <c r="H279" s="3">
        <f>F279*(VLOOKUP(B279,Price_data!A$1:B$190,2,FALSE))</f>
        <v>676.62150554802383</v>
      </c>
      <c r="I279" s="2">
        <f>I490+I420</f>
        <v>180.06419983658225</v>
      </c>
      <c r="J279" s="5" t="s">
        <v>75</v>
      </c>
    </row>
    <row r="280" spans="1:10" ht="14.25" customHeight="1">
      <c r="A280" s="2" t="s">
        <v>15</v>
      </c>
      <c r="B280" s="2">
        <v>1950</v>
      </c>
      <c r="C280" s="2" t="s">
        <v>76</v>
      </c>
      <c r="D280" s="2">
        <v>0</v>
      </c>
      <c r="E280" s="2">
        <v>0</v>
      </c>
      <c r="F280" s="3">
        <f t="shared" si="4"/>
        <v>0</v>
      </c>
      <c r="G280" s="3">
        <f t="shared" si="5"/>
        <v>0</v>
      </c>
      <c r="H280" s="3">
        <f>F280*(VLOOKUP(B280,Price_data!A$1:B$190,2,FALSE))</f>
        <v>0</v>
      </c>
      <c r="J280" s="5"/>
    </row>
    <row r="281" spans="1:10" ht="14.25" customHeight="1">
      <c r="A281" s="2" t="s">
        <v>15</v>
      </c>
      <c r="B281" s="2">
        <v>1951</v>
      </c>
      <c r="C281" s="2" t="s">
        <v>76</v>
      </c>
      <c r="D281" s="2">
        <v>0</v>
      </c>
      <c r="E281" s="2">
        <v>0</v>
      </c>
      <c r="F281" s="3">
        <f t="shared" si="4"/>
        <v>0</v>
      </c>
      <c r="G281" s="3">
        <f t="shared" si="5"/>
        <v>0</v>
      </c>
      <c r="H281" s="3">
        <f>F281*(VLOOKUP(B281,Price_data!A$1:B$190,2,FALSE))</f>
        <v>0</v>
      </c>
      <c r="J281" s="5"/>
    </row>
    <row r="282" spans="1:10" ht="14.25" customHeight="1">
      <c r="A282" s="2" t="s">
        <v>15</v>
      </c>
      <c r="B282" s="2">
        <v>1952</v>
      </c>
      <c r="C282" s="2" t="s">
        <v>76</v>
      </c>
      <c r="D282" s="2">
        <v>0</v>
      </c>
      <c r="E282" s="2">
        <v>0</v>
      </c>
      <c r="F282" s="3">
        <f t="shared" si="4"/>
        <v>0</v>
      </c>
      <c r="G282" s="3">
        <f t="shared" si="5"/>
        <v>0</v>
      </c>
      <c r="H282" s="3">
        <f>F282*(VLOOKUP(B282,Price_data!A$1:B$190,2,FALSE))</f>
        <v>0</v>
      </c>
      <c r="J282" s="5"/>
    </row>
    <row r="283" spans="1:10" ht="14.25" customHeight="1">
      <c r="A283" s="2" t="s">
        <v>15</v>
      </c>
      <c r="B283" s="2">
        <v>1953</v>
      </c>
      <c r="C283" s="2" t="s">
        <v>76</v>
      </c>
      <c r="D283" s="2">
        <v>0</v>
      </c>
      <c r="E283" s="2">
        <v>0</v>
      </c>
      <c r="F283" s="3">
        <f t="shared" si="4"/>
        <v>0</v>
      </c>
      <c r="G283" s="3">
        <f t="shared" si="5"/>
        <v>0</v>
      </c>
      <c r="H283" s="3">
        <f>F283*(VLOOKUP(B283,Price_data!A$1:B$190,2,FALSE))</f>
        <v>0</v>
      </c>
      <c r="J283" s="5"/>
    </row>
    <row r="284" spans="1:10" ht="14.25" customHeight="1">
      <c r="A284" s="2" t="s">
        <v>15</v>
      </c>
      <c r="B284" s="2">
        <v>1954</v>
      </c>
      <c r="C284" s="2" t="s">
        <v>76</v>
      </c>
      <c r="D284" s="2">
        <v>0</v>
      </c>
      <c r="E284" s="2">
        <v>0</v>
      </c>
      <c r="F284" s="3">
        <f t="shared" si="4"/>
        <v>0</v>
      </c>
      <c r="G284" s="3">
        <f t="shared" si="5"/>
        <v>0</v>
      </c>
      <c r="H284" s="3">
        <f>F284*(VLOOKUP(B284,Price_data!A$1:B$190,2,FALSE))</f>
        <v>0</v>
      </c>
      <c r="J284" s="5"/>
    </row>
    <row r="285" spans="1:10" ht="14.25" customHeight="1">
      <c r="A285" s="2" t="s">
        <v>15</v>
      </c>
      <c r="B285" s="2">
        <v>1955</v>
      </c>
      <c r="C285" s="2" t="s">
        <v>76</v>
      </c>
      <c r="D285" s="2">
        <v>0</v>
      </c>
      <c r="E285" s="2">
        <v>0</v>
      </c>
      <c r="F285" s="3">
        <f t="shared" si="4"/>
        <v>0</v>
      </c>
      <c r="G285" s="3">
        <f t="shared" si="5"/>
        <v>0</v>
      </c>
      <c r="H285" s="3">
        <f>F285*(VLOOKUP(B285,Price_data!A$1:B$190,2,FALSE))</f>
        <v>0</v>
      </c>
      <c r="J285" s="5"/>
    </row>
    <row r="286" spans="1:10" ht="14.25" customHeight="1">
      <c r="A286" s="2" t="s">
        <v>15</v>
      </c>
      <c r="B286" s="2">
        <v>1956</v>
      </c>
      <c r="C286" s="2" t="s">
        <v>76</v>
      </c>
      <c r="D286" s="2">
        <v>0</v>
      </c>
      <c r="E286" s="2">
        <v>0</v>
      </c>
      <c r="F286" s="3">
        <f t="shared" si="4"/>
        <v>0</v>
      </c>
      <c r="G286" s="3">
        <f t="shared" si="5"/>
        <v>0</v>
      </c>
      <c r="H286" s="3">
        <f>F286*(VLOOKUP(B286,Price_data!A$1:B$190,2,FALSE))</f>
        <v>0</v>
      </c>
      <c r="J286" s="5"/>
    </row>
    <row r="287" spans="1:10" ht="14.25" customHeight="1">
      <c r="A287" s="2" t="s">
        <v>15</v>
      </c>
      <c r="B287" s="2">
        <v>1957</v>
      </c>
      <c r="C287" s="2" t="s">
        <v>76</v>
      </c>
      <c r="D287" s="2">
        <v>0</v>
      </c>
      <c r="E287" s="2">
        <v>0</v>
      </c>
      <c r="F287" s="3">
        <f t="shared" si="4"/>
        <v>0</v>
      </c>
      <c r="G287" s="3">
        <f t="shared" si="5"/>
        <v>0</v>
      </c>
      <c r="H287" s="3">
        <f>F287*(VLOOKUP(B287,Price_data!A$1:B$190,2,FALSE))</f>
        <v>0</v>
      </c>
      <c r="J287" s="5"/>
    </row>
    <row r="288" spans="1:10" ht="14.25" customHeight="1">
      <c r="A288" s="2" t="s">
        <v>15</v>
      </c>
      <c r="B288" s="2">
        <v>1958</v>
      </c>
      <c r="C288" s="2" t="s">
        <v>76</v>
      </c>
      <c r="D288" s="2">
        <v>0</v>
      </c>
      <c r="E288" s="2">
        <v>0</v>
      </c>
      <c r="F288" s="3">
        <f t="shared" si="4"/>
        <v>0</v>
      </c>
      <c r="G288" s="3">
        <f t="shared" si="5"/>
        <v>0</v>
      </c>
      <c r="H288" s="3">
        <f>F288*(VLOOKUP(B288,Price_data!A$1:B$190,2,FALSE))</f>
        <v>0</v>
      </c>
      <c r="J288" s="5"/>
    </row>
    <row r="289" spans="1:10" ht="14.25" customHeight="1">
      <c r="A289" s="2" t="s">
        <v>15</v>
      </c>
      <c r="B289" s="2">
        <v>1959</v>
      </c>
      <c r="C289" s="2" t="s">
        <v>76</v>
      </c>
      <c r="D289" s="2">
        <v>0</v>
      </c>
      <c r="E289" s="2">
        <v>0</v>
      </c>
      <c r="F289" s="3">
        <f t="shared" si="4"/>
        <v>0</v>
      </c>
      <c r="G289" s="3">
        <f t="shared" si="5"/>
        <v>0</v>
      </c>
      <c r="H289" s="3">
        <f>F289*(VLOOKUP(B289,Price_data!A$1:B$190,2,FALSE))</f>
        <v>0</v>
      </c>
      <c r="J289" s="5"/>
    </row>
    <row r="290" spans="1:10" ht="14.25" customHeight="1">
      <c r="A290" s="2" t="s">
        <v>15</v>
      </c>
      <c r="B290" s="2">
        <v>1960</v>
      </c>
      <c r="C290" s="2" t="s">
        <v>76</v>
      </c>
      <c r="D290" s="2">
        <v>0</v>
      </c>
      <c r="E290" s="2">
        <v>0</v>
      </c>
      <c r="F290" s="3">
        <f t="shared" si="4"/>
        <v>0</v>
      </c>
      <c r="G290" s="3">
        <f t="shared" si="5"/>
        <v>0</v>
      </c>
      <c r="H290" s="3">
        <f>F290*(VLOOKUP(B290,Price_data!A$1:B$190,2,FALSE))</f>
        <v>0</v>
      </c>
      <c r="J290" s="5"/>
    </row>
    <row r="291" spans="1:10" ht="14.25" customHeight="1">
      <c r="A291" s="2" t="s">
        <v>15</v>
      </c>
      <c r="B291" s="2">
        <v>1961</v>
      </c>
      <c r="C291" s="2" t="s">
        <v>76</v>
      </c>
      <c r="D291" s="2">
        <v>0</v>
      </c>
      <c r="E291" s="2">
        <v>0</v>
      </c>
      <c r="F291" s="3">
        <f t="shared" si="4"/>
        <v>0</v>
      </c>
      <c r="G291" s="3">
        <f t="shared" si="5"/>
        <v>0</v>
      </c>
      <c r="H291" s="3">
        <f>F291*(VLOOKUP(B291,Price_data!A$1:B$190,2,FALSE))</f>
        <v>0</v>
      </c>
      <c r="J291" s="5"/>
    </row>
    <row r="292" spans="1:10" ht="14.25" customHeight="1">
      <c r="A292" s="2" t="s">
        <v>15</v>
      </c>
      <c r="B292" s="2">
        <v>1962</v>
      </c>
      <c r="C292" s="2" t="s">
        <v>76</v>
      </c>
      <c r="D292" s="2">
        <v>0</v>
      </c>
      <c r="E292" s="2">
        <v>0</v>
      </c>
      <c r="F292" s="3">
        <f t="shared" si="4"/>
        <v>0</v>
      </c>
      <c r="G292" s="3">
        <f t="shared" si="5"/>
        <v>0</v>
      </c>
      <c r="H292" s="3">
        <f>F292*(VLOOKUP(B292,Price_data!A$1:B$190,2,FALSE))</f>
        <v>0</v>
      </c>
      <c r="J292" s="5"/>
    </row>
    <row r="293" spans="1:10" ht="14.25" customHeight="1">
      <c r="A293" s="2" t="s">
        <v>15</v>
      </c>
      <c r="B293" s="2">
        <v>1963</v>
      </c>
      <c r="C293" s="2" t="s">
        <v>76</v>
      </c>
      <c r="D293" s="2">
        <v>0</v>
      </c>
      <c r="E293" s="2">
        <v>0</v>
      </c>
      <c r="F293" s="3">
        <f t="shared" si="4"/>
        <v>0</v>
      </c>
      <c r="G293" s="3">
        <f t="shared" si="5"/>
        <v>0</v>
      </c>
      <c r="H293" s="3">
        <f>F293*(VLOOKUP(B293,Price_data!A$1:B$190,2,FALSE))</f>
        <v>0</v>
      </c>
      <c r="J293" s="5"/>
    </row>
    <row r="294" spans="1:10" ht="14.25" customHeight="1">
      <c r="A294" s="2" t="s">
        <v>15</v>
      </c>
      <c r="B294" s="2">
        <v>1964</v>
      </c>
      <c r="C294" s="2" t="s">
        <v>76</v>
      </c>
      <c r="D294" s="2">
        <v>0</v>
      </c>
      <c r="E294" s="2">
        <v>0</v>
      </c>
      <c r="F294" s="3">
        <f t="shared" si="4"/>
        <v>0</v>
      </c>
      <c r="G294" s="3">
        <f t="shared" si="5"/>
        <v>0</v>
      </c>
      <c r="H294" s="3">
        <f>F294*(VLOOKUP(B294,Price_data!A$1:B$190,2,FALSE))</f>
        <v>0</v>
      </c>
      <c r="J294" s="5"/>
    </row>
    <row r="295" spans="1:10" ht="14.25" customHeight="1">
      <c r="A295" s="2" t="s">
        <v>15</v>
      </c>
      <c r="B295" s="2">
        <v>1965</v>
      </c>
      <c r="C295" s="2" t="s">
        <v>76</v>
      </c>
      <c r="D295" s="2">
        <v>0</v>
      </c>
      <c r="E295" s="2">
        <v>0</v>
      </c>
      <c r="F295" s="3">
        <f t="shared" si="4"/>
        <v>0</v>
      </c>
      <c r="G295" s="3">
        <f t="shared" si="5"/>
        <v>0</v>
      </c>
      <c r="H295" s="3">
        <f>F295*(VLOOKUP(B295,Price_data!A$1:B$190,2,FALSE))</f>
        <v>0</v>
      </c>
      <c r="J295" s="5"/>
    </row>
    <row r="296" spans="1:10" ht="14.25" customHeight="1">
      <c r="A296" s="2" t="s">
        <v>15</v>
      </c>
      <c r="B296" s="2">
        <v>1966</v>
      </c>
      <c r="C296" s="2" t="s">
        <v>76</v>
      </c>
      <c r="D296" s="2">
        <v>0</v>
      </c>
      <c r="E296" s="2">
        <v>0</v>
      </c>
      <c r="F296" s="3">
        <f t="shared" si="4"/>
        <v>0</v>
      </c>
      <c r="G296" s="3">
        <f t="shared" si="5"/>
        <v>0</v>
      </c>
      <c r="H296" s="3">
        <f>F296*(VLOOKUP(B296,Price_data!A$1:B$190,2,FALSE))</f>
        <v>0</v>
      </c>
      <c r="J296" s="5"/>
    </row>
    <row r="297" spans="1:10" ht="14.25" customHeight="1">
      <c r="A297" s="2" t="s">
        <v>15</v>
      </c>
      <c r="B297" s="2">
        <v>1967</v>
      </c>
      <c r="C297" s="2" t="s">
        <v>76</v>
      </c>
      <c r="D297" s="2">
        <v>0</v>
      </c>
      <c r="E297" s="2">
        <v>0</v>
      </c>
      <c r="F297" s="3">
        <f t="shared" si="4"/>
        <v>0</v>
      </c>
      <c r="G297" s="3">
        <f t="shared" si="5"/>
        <v>0</v>
      </c>
      <c r="H297" s="3">
        <f>F297*(VLOOKUP(B297,Price_data!A$1:B$190,2,FALSE))</f>
        <v>0</v>
      </c>
      <c r="J297" s="5"/>
    </row>
    <row r="298" spans="1:10" ht="14.25" customHeight="1">
      <c r="A298" s="2" t="s">
        <v>15</v>
      </c>
      <c r="B298" s="2">
        <v>1968</v>
      </c>
      <c r="C298" s="2" t="s">
        <v>76</v>
      </c>
      <c r="D298" s="2">
        <v>0</v>
      </c>
      <c r="E298" s="2">
        <v>0</v>
      </c>
      <c r="F298" s="3">
        <f t="shared" si="4"/>
        <v>0</v>
      </c>
      <c r="G298" s="3">
        <f t="shared" si="5"/>
        <v>0</v>
      </c>
      <c r="H298" s="3">
        <f>F298*(VLOOKUP(B298,Price_data!A$1:B$190,2,FALSE))</f>
        <v>0</v>
      </c>
      <c r="J298" s="5"/>
    </row>
    <row r="299" spans="1:10" ht="14.25" customHeight="1">
      <c r="A299" s="2" t="s">
        <v>15</v>
      </c>
      <c r="B299" s="2">
        <v>1969</v>
      </c>
      <c r="C299" s="2" t="s">
        <v>76</v>
      </c>
      <c r="D299" s="2">
        <v>0</v>
      </c>
      <c r="E299" s="2">
        <v>0</v>
      </c>
      <c r="F299" s="3">
        <f t="shared" si="4"/>
        <v>0</v>
      </c>
      <c r="G299" s="3">
        <f t="shared" si="5"/>
        <v>0</v>
      </c>
      <c r="H299" s="3">
        <f>F299*(VLOOKUP(B299,Price_data!A$1:B$190,2,FALSE))</f>
        <v>0</v>
      </c>
      <c r="J299" s="5"/>
    </row>
    <row r="300" spans="1:10" ht="14.25" customHeight="1">
      <c r="A300" s="2" t="s">
        <v>15</v>
      </c>
      <c r="B300" s="2">
        <v>1970</v>
      </c>
      <c r="C300" s="2" t="s">
        <v>76</v>
      </c>
      <c r="D300" s="2">
        <v>0</v>
      </c>
      <c r="E300" s="2">
        <v>0</v>
      </c>
      <c r="F300" s="3">
        <f t="shared" si="4"/>
        <v>0</v>
      </c>
      <c r="G300" s="3">
        <f t="shared" si="5"/>
        <v>0</v>
      </c>
      <c r="H300" s="3">
        <f>F300*(VLOOKUP(B300,Price_data!A$1:B$190,2,FALSE))</f>
        <v>0</v>
      </c>
      <c r="J300" s="5"/>
    </row>
    <row r="301" spans="1:10" ht="14.25" customHeight="1">
      <c r="A301" s="2" t="s">
        <v>15</v>
      </c>
      <c r="B301" s="2">
        <v>1971</v>
      </c>
      <c r="C301" s="2" t="s">
        <v>76</v>
      </c>
      <c r="D301" s="2">
        <v>0</v>
      </c>
      <c r="E301" s="2">
        <v>0</v>
      </c>
      <c r="F301" s="3">
        <f t="shared" si="4"/>
        <v>0</v>
      </c>
      <c r="G301" s="3">
        <f t="shared" si="5"/>
        <v>0</v>
      </c>
      <c r="H301" s="3">
        <f>F301*(VLOOKUP(B301,Price_data!A$1:B$190,2,FALSE))</f>
        <v>0</v>
      </c>
      <c r="J301" s="5"/>
    </row>
    <row r="302" spans="1:10" ht="14.25" customHeight="1">
      <c r="A302" s="2" t="s">
        <v>15</v>
      </c>
      <c r="B302" s="2">
        <v>1972</v>
      </c>
      <c r="C302" s="2" t="s">
        <v>76</v>
      </c>
      <c r="D302" s="2">
        <v>0</v>
      </c>
      <c r="E302" s="2">
        <v>0</v>
      </c>
      <c r="F302" s="3">
        <f t="shared" si="4"/>
        <v>0</v>
      </c>
      <c r="G302" s="3">
        <f t="shared" si="5"/>
        <v>0</v>
      </c>
      <c r="H302" s="3">
        <f>F302*(VLOOKUP(B302,Price_data!A$1:B$190,2,FALSE))</f>
        <v>0</v>
      </c>
      <c r="J302" s="5"/>
    </row>
    <row r="303" spans="1:10" ht="14.25" customHeight="1">
      <c r="A303" s="2" t="s">
        <v>15</v>
      </c>
      <c r="B303" s="2">
        <v>1973</v>
      </c>
      <c r="C303" s="2" t="s">
        <v>76</v>
      </c>
      <c r="D303" s="2">
        <v>0</v>
      </c>
      <c r="E303" s="2">
        <v>0</v>
      </c>
      <c r="F303" s="3">
        <f t="shared" si="4"/>
        <v>0</v>
      </c>
      <c r="G303" s="3">
        <f t="shared" si="5"/>
        <v>0</v>
      </c>
      <c r="H303" s="3">
        <f>F303*(VLOOKUP(B303,Price_data!A$1:B$190,2,FALSE))</f>
        <v>0</v>
      </c>
      <c r="J303" s="5"/>
    </row>
    <row r="304" spans="1:10" ht="14.25" customHeight="1">
      <c r="A304" s="2" t="s">
        <v>15</v>
      </c>
      <c r="B304" s="2">
        <v>1974</v>
      </c>
      <c r="C304" s="2" t="s">
        <v>76</v>
      </c>
      <c r="D304" s="2">
        <v>183</v>
      </c>
      <c r="E304" s="2">
        <v>0</v>
      </c>
      <c r="F304" s="3">
        <f t="shared" si="4"/>
        <v>0</v>
      </c>
      <c r="G304" s="3">
        <f t="shared" si="5"/>
        <v>0.183</v>
      </c>
      <c r="H304" s="3">
        <f>F304*(VLOOKUP(B304,Price_data!A$1:B$190,2,FALSE))</f>
        <v>0</v>
      </c>
      <c r="J304" s="5"/>
    </row>
    <row r="305" spans="1:10" ht="14.25" customHeight="1">
      <c r="A305" s="2" t="s">
        <v>15</v>
      </c>
      <c r="B305" s="2">
        <v>1975</v>
      </c>
      <c r="C305" s="2" t="s">
        <v>76</v>
      </c>
      <c r="D305" s="2">
        <v>180</v>
      </c>
      <c r="E305" s="2">
        <v>0</v>
      </c>
      <c r="F305" s="3">
        <f t="shared" si="4"/>
        <v>0</v>
      </c>
      <c r="G305" s="3">
        <f t="shared" si="5"/>
        <v>0.18</v>
      </c>
      <c r="H305" s="3">
        <f>F305*(VLOOKUP(B305,Price_data!A$1:B$190,2,FALSE))</f>
        <v>0</v>
      </c>
      <c r="J305" s="5"/>
    </row>
    <row r="306" spans="1:10" ht="14.25" customHeight="1">
      <c r="A306" s="2" t="s">
        <v>15</v>
      </c>
      <c r="B306" s="2">
        <v>1976</v>
      </c>
      <c r="C306" s="2" t="s">
        <v>76</v>
      </c>
      <c r="D306" s="2">
        <v>175</v>
      </c>
      <c r="E306" s="2">
        <v>0</v>
      </c>
      <c r="F306" s="3">
        <f t="shared" si="4"/>
        <v>0</v>
      </c>
      <c r="G306" s="3">
        <f t="shared" si="5"/>
        <v>0.17499999999999999</v>
      </c>
      <c r="H306" s="3">
        <f>F306*(VLOOKUP(B306,Price_data!A$1:B$190,2,FALSE))</f>
        <v>0</v>
      </c>
      <c r="J306" s="5"/>
    </row>
    <row r="307" spans="1:10" ht="14.25" customHeight="1">
      <c r="A307" s="2" t="s">
        <v>15</v>
      </c>
      <c r="B307" s="2">
        <v>1977</v>
      </c>
      <c r="C307" s="2" t="s">
        <v>76</v>
      </c>
      <c r="D307" s="2">
        <v>170</v>
      </c>
      <c r="E307" s="2">
        <v>0</v>
      </c>
      <c r="F307" s="3">
        <f t="shared" si="4"/>
        <v>0</v>
      </c>
      <c r="G307" s="3">
        <f t="shared" si="5"/>
        <v>0.17</v>
      </c>
      <c r="H307" s="3">
        <f>F307*(VLOOKUP(B307,Price_data!A$1:B$190,2,FALSE))</f>
        <v>0</v>
      </c>
      <c r="J307" s="5"/>
    </row>
    <row r="308" spans="1:10" ht="14.25" customHeight="1">
      <c r="A308" s="2" t="s">
        <v>15</v>
      </c>
      <c r="B308" s="2">
        <v>1978</v>
      </c>
      <c r="C308" s="2" t="s">
        <v>76</v>
      </c>
      <c r="D308" s="2">
        <v>200</v>
      </c>
      <c r="E308" s="2">
        <v>0</v>
      </c>
      <c r="F308" s="3">
        <f t="shared" si="4"/>
        <v>0</v>
      </c>
      <c r="G308" s="3">
        <f t="shared" si="5"/>
        <v>0.2</v>
      </c>
      <c r="H308" s="3">
        <f>F308*(VLOOKUP(B308,Price_data!A$1:B$190,2,FALSE))</f>
        <v>0</v>
      </c>
      <c r="J308" s="5"/>
    </row>
    <row r="309" spans="1:10" ht="14.25" customHeight="1">
      <c r="A309" s="2" t="s">
        <v>15</v>
      </c>
      <c r="B309" s="2">
        <v>1979</v>
      </c>
      <c r="C309" s="2" t="s">
        <v>76</v>
      </c>
      <c r="D309" s="2">
        <v>1514</v>
      </c>
      <c r="E309" s="2">
        <v>0</v>
      </c>
      <c r="F309" s="3">
        <f t="shared" si="4"/>
        <v>0</v>
      </c>
      <c r="G309" s="3">
        <f t="shared" si="5"/>
        <v>1.514</v>
      </c>
      <c r="H309" s="3">
        <f>F309*(VLOOKUP(B309,Price_data!A$1:B$190,2,FALSE))</f>
        <v>0</v>
      </c>
      <c r="J309" s="5"/>
    </row>
    <row r="310" spans="1:10" ht="14.25" customHeight="1">
      <c r="A310" s="2" t="s">
        <v>15</v>
      </c>
      <c r="B310" s="2">
        <v>1980</v>
      </c>
      <c r="C310" s="2" t="s">
        <v>76</v>
      </c>
      <c r="D310" s="2">
        <v>1927</v>
      </c>
      <c r="E310" s="2">
        <v>0</v>
      </c>
      <c r="F310" s="3">
        <f t="shared" si="4"/>
        <v>0</v>
      </c>
      <c r="G310" s="3">
        <f t="shared" si="5"/>
        <v>1.927</v>
      </c>
      <c r="H310" s="3">
        <f>F310*(VLOOKUP(B310,Price_data!A$1:B$190,2,FALSE))</f>
        <v>0</v>
      </c>
      <c r="J310" s="5"/>
    </row>
    <row r="311" spans="1:10" ht="14.25" customHeight="1">
      <c r="A311" s="2" t="s">
        <v>15</v>
      </c>
      <c r="B311" s="2">
        <v>1981</v>
      </c>
      <c r="C311" s="2" t="s">
        <v>76</v>
      </c>
      <c r="D311" s="2">
        <v>2571</v>
      </c>
      <c r="E311" s="2">
        <v>0</v>
      </c>
      <c r="F311" s="3">
        <f t="shared" si="4"/>
        <v>0</v>
      </c>
      <c r="G311" s="3">
        <f t="shared" si="5"/>
        <v>2.5710000000000002</v>
      </c>
      <c r="H311" s="3">
        <f>F311*(VLOOKUP(B311,Price_data!A$1:B$190,2,FALSE))</f>
        <v>0</v>
      </c>
      <c r="J311" s="5"/>
    </row>
    <row r="312" spans="1:10" ht="14.25" customHeight="1">
      <c r="A312" s="2" t="s">
        <v>15</v>
      </c>
      <c r="B312" s="2">
        <v>1982</v>
      </c>
      <c r="C312" s="2" t="s">
        <v>76</v>
      </c>
      <c r="D312" s="2">
        <v>9466</v>
      </c>
      <c r="E312" s="2">
        <v>0</v>
      </c>
      <c r="F312" s="3">
        <f t="shared" si="4"/>
        <v>0</v>
      </c>
      <c r="G312" s="3">
        <f t="shared" si="5"/>
        <v>9.4659999999999993</v>
      </c>
      <c r="H312" s="3">
        <f>F312*(VLOOKUP(B312,Price_data!A$1:B$190,2,FALSE))</f>
        <v>0</v>
      </c>
      <c r="J312" s="5"/>
    </row>
    <row r="313" spans="1:10" ht="14.25" customHeight="1">
      <c r="A313" s="2" t="s">
        <v>15</v>
      </c>
      <c r="B313" s="2">
        <v>1983</v>
      </c>
      <c r="C313" s="2" t="s">
        <v>76</v>
      </c>
      <c r="D313" s="2">
        <v>8774</v>
      </c>
      <c r="E313" s="2">
        <v>0</v>
      </c>
      <c r="F313" s="3">
        <f t="shared" si="4"/>
        <v>0</v>
      </c>
      <c r="G313" s="3">
        <f t="shared" si="5"/>
        <v>8.7739999999999991</v>
      </c>
      <c r="H313" s="3">
        <f>F313*(VLOOKUP(B313,Price_data!A$1:B$190,2,FALSE))</f>
        <v>0</v>
      </c>
      <c r="J313" s="5"/>
    </row>
    <row r="314" spans="1:10" ht="14.25" customHeight="1">
      <c r="A314" s="2" t="s">
        <v>15</v>
      </c>
      <c r="B314" s="2">
        <v>1984</v>
      </c>
      <c r="C314" s="2" t="s">
        <v>76</v>
      </c>
      <c r="D314" s="2">
        <v>12353</v>
      </c>
      <c r="E314" s="2">
        <v>27861.326789999999</v>
      </c>
      <c r="F314" s="3">
        <f t="shared" si="4"/>
        <v>27.86132679</v>
      </c>
      <c r="G314" s="3">
        <f t="shared" si="5"/>
        <v>12.353</v>
      </c>
      <c r="H314" s="3">
        <f>F314*(VLOOKUP(B314,Price_data!A$1:B$190,2,FALSE))</f>
        <v>53.204205061962739</v>
      </c>
      <c r="J314" s="5"/>
    </row>
    <row r="315" spans="1:10" ht="14.25" customHeight="1">
      <c r="A315" s="2" t="s">
        <v>15</v>
      </c>
      <c r="B315" s="2">
        <v>1985</v>
      </c>
      <c r="C315" s="2" t="s">
        <v>76</v>
      </c>
      <c r="D315" s="2">
        <v>11579</v>
      </c>
      <c r="E315" s="2">
        <v>27068.807250000002</v>
      </c>
      <c r="F315" s="3">
        <f t="shared" si="4"/>
        <v>27.068807250000003</v>
      </c>
      <c r="G315" s="3">
        <f t="shared" si="5"/>
        <v>11.579000000000001</v>
      </c>
      <c r="H315" s="3">
        <f>F315*(VLOOKUP(B315,Price_data!A$1:B$190,2,FALSE))</f>
        <v>48.726754311829865</v>
      </c>
      <c r="J315" s="5"/>
    </row>
    <row r="316" spans="1:10" ht="14.25" customHeight="1">
      <c r="A316" s="2" t="s">
        <v>15</v>
      </c>
      <c r="B316" s="2">
        <v>1986</v>
      </c>
      <c r="C316" s="2" t="s">
        <v>76</v>
      </c>
      <c r="D316" s="2">
        <v>11630</v>
      </c>
      <c r="E316" s="2">
        <v>23801.957999999999</v>
      </c>
      <c r="F316" s="3">
        <f t="shared" si="4"/>
        <v>23.801957999999999</v>
      </c>
      <c r="G316" s="3">
        <f t="shared" si="5"/>
        <v>11.63</v>
      </c>
      <c r="H316" s="3">
        <f>F316*(VLOOKUP(B316,Price_data!A$1:B$190,2,FALSE))</f>
        <v>41.43600772886662</v>
      </c>
      <c r="J316" s="5"/>
    </row>
    <row r="317" spans="1:10" ht="14.25" customHeight="1">
      <c r="A317" s="2" t="s">
        <v>15</v>
      </c>
      <c r="B317" s="2">
        <v>1987</v>
      </c>
      <c r="C317" s="2" t="s">
        <v>76</v>
      </c>
      <c r="D317" s="2">
        <v>13806</v>
      </c>
      <c r="E317" s="2">
        <v>25344.916740000001</v>
      </c>
      <c r="F317" s="3">
        <f t="shared" si="4"/>
        <v>25.344916740000002</v>
      </c>
      <c r="G317" s="3">
        <f t="shared" si="5"/>
        <v>13.805999999999999</v>
      </c>
      <c r="H317" s="3">
        <f>F317*(VLOOKUP(B317,Price_data!A$1:B$190,2,FALSE))</f>
        <v>42.355012611782335</v>
      </c>
      <c r="J317" s="5"/>
    </row>
    <row r="318" spans="1:10" ht="14.25" customHeight="1">
      <c r="A318" s="2" t="s">
        <v>15</v>
      </c>
      <c r="B318" s="2">
        <v>1988</v>
      </c>
      <c r="C318" s="2" t="s">
        <v>76</v>
      </c>
      <c r="D318" s="2">
        <v>15255</v>
      </c>
      <c r="E318" s="2">
        <v>25727.710050000002</v>
      </c>
      <c r="F318" s="3">
        <f t="shared" si="4"/>
        <v>25.727710050000002</v>
      </c>
      <c r="G318" s="3">
        <f t="shared" si="5"/>
        <v>15.255000000000001</v>
      </c>
      <c r="H318" s="3">
        <f>F318*(VLOOKUP(B318,Price_data!A$1:B$190,2,FALSE))</f>
        <v>40.986188308004444</v>
      </c>
      <c r="J318" s="5"/>
    </row>
    <row r="319" spans="1:10" ht="14.25" customHeight="1">
      <c r="A319" s="2" t="s">
        <v>15</v>
      </c>
      <c r="B319" s="2">
        <v>1989</v>
      </c>
      <c r="C319" s="2" t="s">
        <v>76</v>
      </c>
      <c r="D319" s="2">
        <v>17362</v>
      </c>
      <c r="E319" s="2">
        <v>32894.51397</v>
      </c>
      <c r="F319" s="3">
        <f t="shared" si="4"/>
        <v>32.894513969999998</v>
      </c>
      <c r="G319" s="3">
        <f t="shared" si="5"/>
        <v>17.361999999999998</v>
      </c>
      <c r="H319" s="3">
        <f>F319*(VLOOKUP(B319,Price_data!A$1:B$190,2,FALSE))</f>
        <v>48.621638038105623</v>
      </c>
      <c r="J319" s="5"/>
    </row>
    <row r="320" spans="1:10" ht="14.25" customHeight="1">
      <c r="A320" s="2" t="s">
        <v>15</v>
      </c>
      <c r="B320" s="2">
        <v>1990</v>
      </c>
      <c r="C320" s="2" t="s">
        <v>76</v>
      </c>
      <c r="D320" s="2">
        <v>14999</v>
      </c>
      <c r="E320" s="2">
        <v>27875.551510000001</v>
      </c>
      <c r="F320" s="3">
        <f t="shared" si="4"/>
        <v>27.875551510000001</v>
      </c>
      <c r="G320" s="3">
        <f t="shared" si="5"/>
        <v>14.999000000000001</v>
      </c>
      <c r="H320" s="3">
        <f>F320*(VLOOKUP(B320,Price_data!A$1:B$190,2,FALSE))</f>
        <v>37.641800014623605</v>
      </c>
      <c r="J320" s="5"/>
    </row>
    <row r="321" spans="1:10" ht="14.25" customHeight="1">
      <c r="A321" s="2" t="s">
        <v>15</v>
      </c>
      <c r="B321" s="2">
        <v>1991</v>
      </c>
      <c r="C321" s="2" t="s">
        <v>76</v>
      </c>
      <c r="D321" s="2">
        <v>14334</v>
      </c>
      <c r="E321" s="2">
        <v>27634.05991</v>
      </c>
      <c r="F321" s="3">
        <f t="shared" si="4"/>
        <v>27.634059910000001</v>
      </c>
      <c r="G321" s="3">
        <f t="shared" si="5"/>
        <v>14.334</v>
      </c>
      <c r="H321" s="3">
        <f>F321*(VLOOKUP(B321,Price_data!A$1:B$190,2,FALSE))</f>
        <v>35.246936483701582</v>
      </c>
      <c r="J321" s="5"/>
    </row>
    <row r="322" spans="1:10" ht="14.25" customHeight="1">
      <c r="A322" s="2" t="s">
        <v>15</v>
      </c>
      <c r="B322" s="2">
        <v>1992</v>
      </c>
      <c r="C322" s="2" t="s">
        <v>76</v>
      </c>
      <c r="D322" s="2">
        <v>15142</v>
      </c>
      <c r="E322" s="2">
        <v>30196.100689999999</v>
      </c>
      <c r="F322" s="3">
        <f t="shared" si="4"/>
        <v>30.196100689999998</v>
      </c>
      <c r="G322" s="3">
        <f t="shared" si="5"/>
        <v>15.141999999999999</v>
      </c>
      <c r="H322" s="3">
        <f>F322*(VLOOKUP(B322,Price_data!A$1:B$190,2,FALSE))</f>
        <v>37.126172108992115</v>
      </c>
      <c r="J322" s="5"/>
    </row>
    <row r="323" spans="1:10" ht="14.25" customHeight="1">
      <c r="A323" s="2" t="s">
        <v>15</v>
      </c>
      <c r="B323" s="2">
        <v>1993</v>
      </c>
      <c r="C323" s="2" t="s">
        <v>76</v>
      </c>
      <c r="D323" s="2">
        <v>14141</v>
      </c>
      <c r="E323" s="2">
        <v>36771.747320000002</v>
      </c>
      <c r="F323" s="3">
        <f t="shared" si="4"/>
        <v>36.771747320000003</v>
      </c>
      <c r="G323" s="3">
        <f t="shared" si="5"/>
        <v>14.141</v>
      </c>
      <c r="H323" s="3">
        <f>F323*(VLOOKUP(B323,Price_data!A$1:B$190,2,FALSE))</f>
        <v>44.502359680331445</v>
      </c>
      <c r="J323" s="5"/>
    </row>
    <row r="324" spans="1:10" ht="14.25" customHeight="1">
      <c r="A324" s="2" t="s">
        <v>15</v>
      </c>
      <c r="B324" s="2">
        <v>1994</v>
      </c>
      <c r="C324" s="2" t="s">
        <v>76</v>
      </c>
      <c r="D324" s="2">
        <v>15952</v>
      </c>
      <c r="E324" s="2">
        <v>37524.655299999999</v>
      </c>
      <c r="F324" s="3">
        <f t="shared" si="4"/>
        <v>37.524655299999999</v>
      </c>
      <c r="G324" s="3">
        <f t="shared" si="5"/>
        <v>15.952</v>
      </c>
      <c r="H324" s="3">
        <f>F324*(VLOOKUP(B324,Price_data!A$1:B$190,2,FALSE))</f>
        <v>44.343119509482349</v>
      </c>
      <c r="J324" s="5"/>
    </row>
    <row r="325" spans="1:10" ht="14.25" customHeight="1">
      <c r="A325" s="2" t="s">
        <v>15</v>
      </c>
      <c r="B325" s="2">
        <v>1995</v>
      </c>
      <c r="C325" s="2" t="s">
        <v>76</v>
      </c>
      <c r="D325" s="2">
        <v>16134</v>
      </c>
      <c r="E325" s="2">
        <v>41945.516340000002</v>
      </c>
      <c r="F325" s="3">
        <f t="shared" si="4"/>
        <v>41.945516340000005</v>
      </c>
      <c r="G325" s="3">
        <f t="shared" si="5"/>
        <v>16.134</v>
      </c>
      <c r="H325" s="3">
        <f>F325*(VLOOKUP(B325,Price_data!A$1:B$190,2,FALSE))</f>
        <v>47.907170833604155</v>
      </c>
      <c r="J325" s="5"/>
    </row>
    <row r="326" spans="1:10" ht="14.25" customHeight="1">
      <c r="A326" s="2" t="s">
        <v>15</v>
      </c>
      <c r="B326" s="2">
        <v>1996</v>
      </c>
      <c r="C326" s="2" t="s">
        <v>76</v>
      </c>
      <c r="D326" s="2">
        <v>16328</v>
      </c>
      <c r="E326" s="2">
        <v>37598.695650000001</v>
      </c>
      <c r="F326" s="3">
        <f t="shared" si="4"/>
        <v>37.598695650000003</v>
      </c>
      <c r="G326" s="3">
        <f t="shared" si="5"/>
        <v>16.327999999999999</v>
      </c>
      <c r="H326" s="3">
        <f>F326*(VLOOKUP(B326,Price_data!A$1:B$190,2,FALSE))</f>
        <v>41.930285078058688</v>
      </c>
      <c r="J326" s="5"/>
    </row>
    <row r="327" spans="1:10" ht="14.25" customHeight="1">
      <c r="A327" s="2" t="s">
        <v>15</v>
      </c>
      <c r="B327" s="2">
        <v>1997</v>
      </c>
      <c r="C327" s="2" t="s">
        <v>76</v>
      </c>
      <c r="D327" s="2">
        <v>15950</v>
      </c>
      <c r="E327" s="2">
        <v>44684.827389999999</v>
      </c>
      <c r="F327" s="3">
        <f t="shared" si="4"/>
        <v>44.684827389999995</v>
      </c>
      <c r="G327" s="3">
        <f t="shared" si="5"/>
        <v>15.95</v>
      </c>
      <c r="H327" s="3">
        <f>F327*(VLOOKUP(B327,Price_data!A$1:B$190,2,FALSE))</f>
        <v>48.316863111779647</v>
      </c>
      <c r="J327" s="5"/>
    </row>
    <row r="328" spans="1:10" ht="14.25" customHeight="1">
      <c r="A328" s="2" t="s">
        <v>15</v>
      </c>
      <c r="B328" s="2">
        <v>1998</v>
      </c>
      <c r="C328" s="2" t="s">
        <v>76</v>
      </c>
      <c r="D328" s="2">
        <v>16563</v>
      </c>
      <c r="E328" s="2">
        <v>45004.817969999996</v>
      </c>
      <c r="F328" s="3">
        <f t="shared" si="4"/>
        <v>45.004817969999998</v>
      </c>
      <c r="G328" s="3">
        <f t="shared" si="5"/>
        <v>16.562999999999999</v>
      </c>
      <c r="H328" s="3">
        <f>F328*(VLOOKUP(B328,Price_data!A$1:B$190,2,FALSE))</f>
        <v>47.049854810474351</v>
      </c>
      <c r="J328" s="5"/>
    </row>
    <row r="329" spans="1:10" ht="14.25" customHeight="1">
      <c r="A329" s="2" t="s">
        <v>15</v>
      </c>
      <c r="B329" s="2">
        <v>1999</v>
      </c>
      <c r="C329" s="2" t="s">
        <v>76</v>
      </c>
      <c r="D329" s="2">
        <v>17113</v>
      </c>
      <c r="E329" s="2">
        <v>47595.873509999998</v>
      </c>
      <c r="F329" s="3">
        <f t="shared" si="4"/>
        <v>47.595873509999997</v>
      </c>
      <c r="G329" s="3">
        <f t="shared" si="5"/>
        <v>17.113</v>
      </c>
      <c r="H329" s="3">
        <f>F329*(VLOOKUP(B329,Price_data!A$1:B$190,2,FALSE))</f>
        <v>49.003690148833968</v>
      </c>
      <c r="J329" s="5"/>
    </row>
    <row r="330" spans="1:10" ht="14.25" customHeight="1">
      <c r="A330" s="2" t="s">
        <v>15</v>
      </c>
      <c r="B330" s="2">
        <v>2000</v>
      </c>
      <c r="C330" s="2" t="s">
        <v>76</v>
      </c>
      <c r="D330" s="2">
        <v>10911</v>
      </c>
      <c r="E330" s="2">
        <v>32451.332539999999</v>
      </c>
      <c r="F330" s="3">
        <f t="shared" si="4"/>
        <v>32.451332540000003</v>
      </c>
      <c r="G330" s="3">
        <f t="shared" si="5"/>
        <v>10.911</v>
      </c>
      <c r="H330" s="3">
        <f>F330*(VLOOKUP(B330,Price_data!A$1:B$190,2,FALSE))</f>
        <v>32.451332540000003</v>
      </c>
      <c r="J330" s="5"/>
    </row>
    <row r="331" spans="1:10" ht="14.25" customHeight="1">
      <c r="A331" s="2" t="s">
        <v>15</v>
      </c>
      <c r="B331" s="2">
        <v>2001</v>
      </c>
      <c r="C331" s="2" t="s">
        <v>76</v>
      </c>
      <c r="D331" s="2">
        <v>13154</v>
      </c>
      <c r="E331" s="2">
        <v>41119.009380000003</v>
      </c>
      <c r="F331" s="3">
        <f t="shared" si="4"/>
        <v>41.119009380000001</v>
      </c>
      <c r="G331" s="3">
        <f t="shared" si="5"/>
        <v>13.154</v>
      </c>
      <c r="H331" s="3">
        <f>F331*(VLOOKUP(B331,Price_data!A$1:B$190,2,FALSE))</f>
        <v>40.403320903969039</v>
      </c>
      <c r="J331" s="5"/>
    </row>
    <row r="332" spans="1:10" ht="14.25" customHeight="1">
      <c r="A332" s="2" t="s">
        <v>15</v>
      </c>
      <c r="B332" s="2">
        <v>2002</v>
      </c>
      <c r="C332" s="2" t="s">
        <v>76</v>
      </c>
      <c r="D332" s="2">
        <v>14319</v>
      </c>
      <c r="E332" s="2">
        <v>42992.654309999998</v>
      </c>
      <c r="F332" s="3">
        <f t="shared" si="4"/>
        <v>42.992654309999999</v>
      </c>
      <c r="G332" s="3">
        <f t="shared" si="5"/>
        <v>14.319000000000001</v>
      </c>
      <c r="H332" s="3">
        <f>F332*(VLOOKUP(B332,Price_data!A$1:B$190,2,FALSE))</f>
        <v>41.55152519774974</v>
      </c>
      <c r="J332" s="5"/>
    </row>
    <row r="333" spans="1:10" ht="14.25" customHeight="1">
      <c r="A333" s="2" t="s">
        <v>15</v>
      </c>
      <c r="B333" s="2">
        <v>2003</v>
      </c>
      <c r="C333" s="2" t="s">
        <v>76</v>
      </c>
      <c r="D333" s="2">
        <v>14820</v>
      </c>
      <c r="E333" s="2">
        <v>27230.4162</v>
      </c>
      <c r="F333" s="3">
        <f t="shared" si="4"/>
        <v>27.230416200000001</v>
      </c>
      <c r="G333" s="3">
        <f t="shared" si="5"/>
        <v>14.82</v>
      </c>
      <c r="H333" s="3">
        <f>F333*(VLOOKUP(B333,Price_data!A$1:B$190,2,FALSE))</f>
        <v>25.578011190697669</v>
      </c>
      <c r="J333" s="5"/>
    </row>
    <row r="334" spans="1:10" ht="14.25" customHeight="1">
      <c r="A334" s="2" t="s">
        <v>15</v>
      </c>
      <c r="B334" s="2">
        <v>2004</v>
      </c>
      <c r="C334" s="2" t="s">
        <v>76</v>
      </c>
      <c r="D334" s="2">
        <v>15285</v>
      </c>
      <c r="E334" s="2">
        <v>25045.083900000001</v>
      </c>
      <c r="F334" s="3">
        <f t="shared" si="4"/>
        <v>25.045083900000002</v>
      </c>
      <c r="G334" s="3">
        <f t="shared" si="5"/>
        <v>15.285</v>
      </c>
      <c r="H334" s="3">
        <f>F334*(VLOOKUP(B334,Price_data!A$1:B$190,2,FALSE))</f>
        <v>22.844925137735725</v>
      </c>
      <c r="J334" s="5"/>
    </row>
    <row r="335" spans="1:10" ht="14.25" customHeight="1">
      <c r="A335" s="2" t="s">
        <v>15</v>
      </c>
      <c r="B335" s="2">
        <v>2005</v>
      </c>
      <c r="C335" s="2" t="s">
        <v>76</v>
      </c>
      <c r="D335" s="2">
        <v>12458</v>
      </c>
      <c r="E335" s="2">
        <v>20555.7</v>
      </c>
      <c r="F335" s="3">
        <f t="shared" si="4"/>
        <v>20.555700000000002</v>
      </c>
      <c r="G335" s="3">
        <f t="shared" si="5"/>
        <v>12.458</v>
      </c>
      <c r="H335" s="3">
        <f>F335*(VLOOKUP(B335,Price_data!A$1:B$190,2,FALSE))</f>
        <v>18.234938940952802</v>
      </c>
      <c r="J335" s="5"/>
    </row>
    <row r="336" spans="1:10" ht="14.25" customHeight="1">
      <c r="A336" s="2" t="s">
        <v>15</v>
      </c>
      <c r="B336" s="2">
        <v>2006</v>
      </c>
      <c r="C336" s="2" t="s">
        <v>76</v>
      </c>
      <c r="D336" s="2">
        <v>12981</v>
      </c>
      <c r="E336" s="2">
        <v>26519.664120000001</v>
      </c>
      <c r="F336" s="3">
        <f t="shared" si="4"/>
        <v>26.519664120000002</v>
      </c>
      <c r="G336" s="3">
        <f t="shared" si="5"/>
        <v>12.981</v>
      </c>
      <c r="H336" s="3">
        <f>F336*(VLOOKUP(B336,Price_data!A$1:B$190,2,FALSE))</f>
        <v>22.797070191762788</v>
      </c>
      <c r="J336" s="5"/>
    </row>
    <row r="337" spans="1:10" ht="14.25" customHeight="1">
      <c r="A337" s="2" t="s">
        <v>15</v>
      </c>
      <c r="B337" s="2">
        <v>2007</v>
      </c>
      <c r="C337" s="2" t="s">
        <v>76</v>
      </c>
      <c r="D337" s="2">
        <v>15128</v>
      </c>
      <c r="E337" s="2">
        <v>31780.846580000001</v>
      </c>
      <c r="F337" s="3">
        <f t="shared" si="4"/>
        <v>31.780846580000002</v>
      </c>
      <c r="G337" s="3">
        <f t="shared" si="5"/>
        <v>15.128</v>
      </c>
      <c r="H337" s="3">
        <f>F337*(VLOOKUP(B337,Price_data!A$1:B$190,2,FALSE))</f>
        <v>26.196776357949613</v>
      </c>
      <c r="J337" s="5"/>
    </row>
    <row r="338" spans="1:10" ht="14.25" customHeight="1">
      <c r="A338" s="2" t="s">
        <v>15</v>
      </c>
      <c r="B338" s="2">
        <v>2008</v>
      </c>
      <c r="C338" s="2" t="s">
        <v>76</v>
      </c>
      <c r="D338" s="2">
        <v>13090</v>
      </c>
      <c r="E338" s="2">
        <v>39588.44975</v>
      </c>
      <c r="F338" s="3">
        <f t="shared" si="4"/>
        <v>39.588449750000002</v>
      </c>
      <c r="G338" s="3">
        <f t="shared" si="5"/>
        <v>13.09</v>
      </c>
      <c r="H338" s="3">
        <f>F338*(VLOOKUP(B338,Price_data!A$1:B$190,2,FALSE))</f>
        <v>31.38114518308392</v>
      </c>
      <c r="J338" s="5"/>
    </row>
    <row r="339" spans="1:10" ht="14.25" customHeight="1">
      <c r="A339" s="2" t="s">
        <v>15</v>
      </c>
      <c r="B339" s="2">
        <v>2009</v>
      </c>
      <c r="C339" s="2" t="s">
        <v>76</v>
      </c>
      <c r="D339" s="2">
        <v>14929</v>
      </c>
      <c r="E339" s="2">
        <v>35061.711479999998</v>
      </c>
      <c r="F339" s="3">
        <f t="shared" si="4"/>
        <v>35.06171148</v>
      </c>
      <c r="G339" s="3">
        <f t="shared" si="5"/>
        <v>14.929</v>
      </c>
      <c r="H339" s="3">
        <f>F339*(VLOOKUP(B339,Price_data!A$1:B$190,2,FALSE))</f>
        <v>27.941231047034023</v>
      </c>
      <c r="J339" s="5"/>
    </row>
    <row r="340" spans="1:10" ht="14.25" customHeight="1">
      <c r="A340" s="2" t="s">
        <v>15</v>
      </c>
      <c r="B340" s="2">
        <v>2010</v>
      </c>
      <c r="C340" s="2" t="s">
        <v>76</v>
      </c>
      <c r="D340" s="2">
        <v>13593.5</v>
      </c>
      <c r="E340" s="2">
        <v>32062.332040000001</v>
      </c>
      <c r="F340" s="3">
        <f t="shared" si="4"/>
        <v>32.062332040000001</v>
      </c>
      <c r="G340" s="3">
        <f t="shared" si="5"/>
        <v>13.593500000000001</v>
      </c>
      <c r="H340" s="3">
        <f>F340*(VLOOKUP(B340,Price_data!A$1:B$190,2,FALSE))</f>
        <v>24.423942244131013</v>
      </c>
      <c r="J340" s="5"/>
    </row>
    <row r="341" spans="1:10" ht="14.25" customHeight="1">
      <c r="A341" s="2" t="s">
        <v>15</v>
      </c>
      <c r="B341" s="2">
        <v>2011</v>
      </c>
      <c r="C341" s="2" t="s">
        <v>76</v>
      </c>
      <c r="D341" s="2">
        <v>12152</v>
      </c>
      <c r="E341" s="2">
        <v>27254.563549999999</v>
      </c>
      <c r="F341" s="3">
        <f t="shared" si="4"/>
        <v>27.25456355</v>
      </c>
      <c r="G341" s="3">
        <f t="shared" si="5"/>
        <v>12.151999999999999</v>
      </c>
      <c r="H341" s="3">
        <f>F341*(VLOOKUP(B341,Price_data!A$1:B$190,2,FALSE))</f>
        <v>19.734442544979863</v>
      </c>
      <c r="J341" s="5"/>
    </row>
    <row r="342" spans="1:10" ht="14.25" customHeight="1">
      <c r="A342" s="2" t="s">
        <v>15</v>
      </c>
      <c r="B342" s="2">
        <v>2012</v>
      </c>
      <c r="C342" s="2" t="s">
        <v>76</v>
      </c>
      <c r="D342" s="2">
        <v>14591</v>
      </c>
      <c r="E342" s="2">
        <v>32930.756459999997</v>
      </c>
      <c r="F342" s="3">
        <f t="shared" si="4"/>
        <v>32.930756459999998</v>
      </c>
      <c r="G342" s="3">
        <f t="shared" si="5"/>
        <v>14.590999999999999</v>
      </c>
      <c r="H342" s="3">
        <f>F342*(VLOOKUP(B342,Price_data!A$1:B$190,2,FALSE))</f>
        <v>23.102425010497001</v>
      </c>
      <c r="J342" s="5"/>
    </row>
    <row r="343" spans="1:10" ht="14.25" customHeight="1">
      <c r="A343" s="2" t="s">
        <v>15</v>
      </c>
      <c r="B343" s="2">
        <v>2013</v>
      </c>
      <c r="C343" s="2" t="s">
        <v>76</v>
      </c>
      <c r="D343" s="2">
        <v>12466</v>
      </c>
      <c r="E343" s="2">
        <v>28897.086340000002</v>
      </c>
      <c r="F343" s="3">
        <f t="shared" si="4"/>
        <v>28.897086340000001</v>
      </c>
      <c r="G343" s="3">
        <f t="shared" si="5"/>
        <v>12.465999999999999</v>
      </c>
      <c r="H343" s="3">
        <f>F343*(VLOOKUP(B343,Price_data!A$1:B$190,2,FALSE))</f>
        <v>19.674736599773709</v>
      </c>
      <c r="J343" s="5"/>
    </row>
    <row r="344" spans="1:10" ht="14.25" customHeight="1">
      <c r="A344" s="2" t="s">
        <v>15</v>
      </c>
      <c r="B344" s="2">
        <v>2014</v>
      </c>
      <c r="C344" s="2" t="s">
        <v>76</v>
      </c>
      <c r="D344" s="2">
        <v>12706.8</v>
      </c>
      <c r="E344" s="2">
        <v>36247.211710000003</v>
      </c>
      <c r="F344" s="3">
        <f t="shared" si="4"/>
        <v>36.247211710000002</v>
      </c>
      <c r="G344" s="3">
        <f t="shared" si="5"/>
        <v>12.706799999999999</v>
      </c>
      <c r="H344" s="3">
        <f>F344*(VLOOKUP(B344,Price_data!A$1:B$190,2,FALSE))</f>
        <v>24.109779038172391</v>
      </c>
      <c r="J344" s="5"/>
    </row>
    <row r="345" spans="1:10" ht="14.25" customHeight="1">
      <c r="A345" s="2" t="s">
        <v>15</v>
      </c>
      <c r="B345" s="2">
        <v>2015</v>
      </c>
      <c r="C345" s="2" t="s">
        <v>76</v>
      </c>
      <c r="D345" s="2">
        <v>14838.62</v>
      </c>
      <c r="E345" s="2">
        <v>42320.635849999999</v>
      </c>
      <c r="F345" s="3">
        <f t="shared" si="4"/>
        <v>42.320635850000002</v>
      </c>
      <c r="G345" s="3">
        <f t="shared" si="5"/>
        <v>14.838620000000001</v>
      </c>
      <c r="H345" s="3">
        <f>F345*(VLOOKUP(B345,Price_data!A$1:B$190,2,FALSE))</f>
        <v>27.873532514584717</v>
      </c>
      <c r="J345" s="5"/>
    </row>
    <row r="346" spans="1:10" ht="14.25" customHeight="1">
      <c r="A346" s="2" t="s">
        <v>15</v>
      </c>
      <c r="B346" s="2">
        <v>2016</v>
      </c>
      <c r="C346" s="2" t="s">
        <v>76</v>
      </c>
      <c r="D346" s="2">
        <v>13851.056</v>
      </c>
      <c r="E346" s="2">
        <v>41131.663970000001</v>
      </c>
      <c r="F346" s="3">
        <f t="shared" si="4"/>
        <v>41.131663969999998</v>
      </c>
      <c r="G346" s="3">
        <f t="shared" si="5"/>
        <v>13.851056</v>
      </c>
      <c r="H346" s="3">
        <f>F346*(VLOOKUP(B346,Price_data!A$1:B$190,2,FALSE))</f>
        <v>26.628362586153472</v>
      </c>
      <c r="J346" s="5"/>
    </row>
    <row r="347" spans="1:10" ht="14.25" customHeight="1">
      <c r="A347" s="2" t="s">
        <v>15</v>
      </c>
      <c r="B347" s="2">
        <v>2017</v>
      </c>
      <c r="C347" s="2" t="s">
        <v>76</v>
      </c>
      <c r="D347" s="2">
        <v>13041.36</v>
      </c>
      <c r="E347" s="2">
        <v>38538.05315</v>
      </c>
      <c r="F347" s="3">
        <f t="shared" si="4"/>
        <v>38.538053150000003</v>
      </c>
      <c r="G347" s="3">
        <f t="shared" si="5"/>
        <v>13.041360000000001</v>
      </c>
      <c r="H347" s="3">
        <f>F347*(VLOOKUP(B347,Price_data!A$1:B$190,2,FALSE))</f>
        <v>24.085835059729924</v>
      </c>
      <c r="J347" s="5"/>
    </row>
    <row r="348" spans="1:10" ht="14.25" customHeight="1">
      <c r="A348" s="2" t="s">
        <v>15</v>
      </c>
      <c r="B348" s="2">
        <v>2018</v>
      </c>
      <c r="C348" s="2" t="s">
        <v>76</v>
      </c>
      <c r="D348" s="2">
        <v>11859.174000000001</v>
      </c>
      <c r="E348" s="2">
        <v>44437.150999999998</v>
      </c>
      <c r="F348" s="3">
        <f t="shared" si="4"/>
        <v>44.437151</v>
      </c>
      <c r="G348" s="3">
        <f t="shared" si="5"/>
        <v>11.859174000000001</v>
      </c>
      <c r="H348" s="3">
        <f>F348*(VLOOKUP(B348,Price_data!A$1:B$190,2,FALSE))</f>
        <v>26.875115269207491</v>
      </c>
      <c r="J348" s="5"/>
    </row>
    <row r="349" spans="1:10" ht="14.25" customHeight="1">
      <c r="A349" s="2" t="s">
        <v>15</v>
      </c>
      <c r="B349" s="2">
        <v>2019</v>
      </c>
      <c r="C349" s="2" t="s">
        <v>76</v>
      </c>
      <c r="D349" s="2">
        <v>11900</v>
      </c>
      <c r="E349" s="2">
        <v>44641.940199999997</v>
      </c>
      <c r="F349" s="3">
        <f t="shared" si="4"/>
        <v>44.641940200000001</v>
      </c>
      <c r="G349" s="3">
        <f t="shared" si="5"/>
        <v>11.9</v>
      </c>
      <c r="H349" s="3">
        <f>F349*(VLOOKUP(B349,Price_data!A$1:B$190,2,FALSE))</f>
        <v>26.323580641076404</v>
      </c>
      <c r="J349" s="5"/>
    </row>
    <row r="350" spans="1:10" ht="14.25" customHeight="1">
      <c r="A350" s="2" t="s">
        <v>15</v>
      </c>
      <c r="B350" s="2">
        <v>1950</v>
      </c>
      <c r="C350" s="2" t="s">
        <v>28</v>
      </c>
      <c r="D350" s="2">
        <v>0</v>
      </c>
      <c r="E350" s="2">
        <v>0</v>
      </c>
      <c r="F350" s="3">
        <f t="shared" si="4"/>
        <v>0</v>
      </c>
      <c r="G350" s="3">
        <f t="shared" si="5"/>
        <v>0</v>
      </c>
      <c r="H350" s="3">
        <f>F350*(VLOOKUP(B350,Price_data!A$1:B$190,2,FALSE))</f>
        <v>0</v>
      </c>
      <c r="I350" s="2">
        <f t="shared" ref="I350:I419" si="6">G350</f>
        <v>0</v>
      </c>
      <c r="J350" s="5"/>
    </row>
    <row r="351" spans="1:10" ht="14.25" customHeight="1">
      <c r="A351" s="2" t="s">
        <v>15</v>
      </c>
      <c r="B351" s="2">
        <v>1951</v>
      </c>
      <c r="C351" s="2" t="s">
        <v>28</v>
      </c>
      <c r="D351" s="2">
        <v>0</v>
      </c>
      <c r="E351" s="2">
        <v>0</v>
      </c>
      <c r="F351" s="3">
        <f t="shared" si="4"/>
        <v>0</v>
      </c>
      <c r="G351" s="3">
        <f t="shared" si="5"/>
        <v>0</v>
      </c>
      <c r="H351" s="3">
        <f>F351*(VLOOKUP(B351,Price_data!A$1:B$190,2,FALSE))</f>
        <v>0</v>
      </c>
      <c r="I351" s="2">
        <f t="shared" si="6"/>
        <v>0</v>
      </c>
      <c r="J351" s="5"/>
    </row>
    <row r="352" spans="1:10" ht="14.25" customHeight="1">
      <c r="A352" s="2" t="s">
        <v>15</v>
      </c>
      <c r="B352" s="2">
        <v>1952</v>
      </c>
      <c r="C352" s="2" t="s">
        <v>28</v>
      </c>
      <c r="D352" s="2">
        <v>0</v>
      </c>
      <c r="E352" s="2">
        <v>0</v>
      </c>
      <c r="F352" s="3">
        <f t="shared" si="4"/>
        <v>0</v>
      </c>
      <c r="G352" s="3">
        <f t="shared" si="5"/>
        <v>0</v>
      </c>
      <c r="H352" s="3">
        <f>F352*(VLOOKUP(B352,Price_data!A$1:B$190,2,FALSE))</f>
        <v>0</v>
      </c>
      <c r="I352" s="2">
        <f t="shared" si="6"/>
        <v>0</v>
      </c>
      <c r="J352" s="5"/>
    </row>
    <row r="353" spans="1:10" ht="14.25" customHeight="1">
      <c r="A353" s="2" t="s">
        <v>15</v>
      </c>
      <c r="B353" s="2">
        <v>1953</v>
      </c>
      <c r="C353" s="2" t="s">
        <v>28</v>
      </c>
      <c r="D353" s="2">
        <v>0</v>
      </c>
      <c r="E353" s="2">
        <v>0</v>
      </c>
      <c r="F353" s="3">
        <f t="shared" si="4"/>
        <v>0</v>
      </c>
      <c r="G353" s="3">
        <f t="shared" si="5"/>
        <v>0</v>
      </c>
      <c r="H353" s="3">
        <f>F353*(VLOOKUP(B353,Price_data!A$1:B$190,2,FALSE))</f>
        <v>0</v>
      </c>
      <c r="I353" s="2">
        <f t="shared" si="6"/>
        <v>0</v>
      </c>
      <c r="J353" s="5"/>
    </row>
    <row r="354" spans="1:10" ht="14.25" customHeight="1">
      <c r="A354" s="2" t="s">
        <v>15</v>
      </c>
      <c r="B354" s="2">
        <v>1954</v>
      </c>
      <c r="C354" s="2" t="s">
        <v>28</v>
      </c>
      <c r="D354" s="2">
        <v>0</v>
      </c>
      <c r="E354" s="2">
        <v>0</v>
      </c>
      <c r="F354" s="3">
        <f t="shared" si="4"/>
        <v>0</v>
      </c>
      <c r="G354" s="3">
        <f t="shared" si="5"/>
        <v>0</v>
      </c>
      <c r="H354" s="3">
        <f>F354*(VLOOKUP(B354,Price_data!A$1:B$190,2,FALSE))</f>
        <v>0</v>
      </c>
      <c r="I354" s="2">
        <f t="shared" si="6"/>
        <v>0</v>
      </c>
      <c r="J354" s="5"/>
    </row>
    <row r="355" spans="1:10" ht="14.25" customHeight="1">
      <c r="A355" s="2" t="s">
        <v>15</v>
      </c>
      <c r="B355" s="2">
        <v>1955</v>
      </c>
      <c r="C355" s="2" t="s">
        <v>28</v>
      </c>
      <c r="D355" s="2">
        <v>0</v>
      </c>
      <c r="E355" s="2">
        <v>0</v>
      </c>
      <c r="F355" s="3">
        <f t="shared" si="4"/>
        <v>0</v>
      </c>
      <c r="G355" s="3">
        <f t="shared" si="5"/>
        <v>0</v>
      </c>
      <c r="H355" s="3">
        <f>F355*(VLOOKUP(B355,Price_data!A$1:B$190,2,FALSE))</f>
        <v>0</v>
      </c>
      <c r="I355" s="2">
        <f t="shared" si="6"/>
        <v>0</v>
      </c>
      <c r="J355" s="5"/>
    </row>
    <row r="356" spans="1:10" ht="14.25" customHeight="1">
      <c r="A356" s="2" t="s">
        <v>15</v>
      </c>
      <c r="B356" s="2">
        <v>1956</v>
      </c>
      <c r="C356" s="2" t="s">
        <v>28</v>
      </c>
      <c r="D356" s="2">
        <v>0</v>
      </c>
      <c r="E356" s="2">
        <v>0</v>
      </c>
      <c r="F356" s="3">
        <f t="shared" si="4"/>
        <v>0</v>
      </c>
      <c r="G356" s="3">
        <f t="shared" si="5"/>
        <v>0</v>
      </c>
      <c r="H356" s="3">
        <f>F356*(VLOOKUP(B356,Price_data!A$1:B$190,2,FALSE))</f>
        <v>0</v>
      </c>
      <c r="I356" s="2">
        <f t="shared" si="6"/>
        <v>0</v>
      </c>
      <c r="J356" s="5"/>
    </row>
    <row r="357" spans="1:10" ht="14.25" customHeight="1">
      <c r="A357" s="2" t="s">
        <v>15</v>
      </c>
      <c r="B357" s="2">
        <v>1957</v>
      </c>
      <c r="C357" s="2" t="s">
        <v>28</v>
      </c>
      <c r="D357" s="2">
        <v>0</v>
      </c>
      <c r="E357" s="2">
        <v>0</v>
      </c>
      <c r="F357" s="3">
        <f t="shared" si="4"/>
        <v>0</v>
      </c>
      <c r="G357" s="3">
        <f t="shared" si="5"/>
        <v>0</v>
      </c>
      <c r="H357" s="3">
        <f>F357*(VLOOKUP(B357,Price_data!A$1:B$190,2,FALSE))</f>
        <v>0</v>
      </c>
      <c r="I357" s="2">
        <f t="shared" si="6"/>
        <v>0</v>
      </c>
      <c r="J357" s="5"/>
    </row>
    <row r="358" spans="1:10" ht="14.25" customHeight="1">
      <c r="A358" s="2" t="s">
        <v>15</v>
      </c>
      <c r="B358" s="2">
        <v>1958</v>
      </c>
      <c r="C358" s="2" t="s">
        <v>28</v>
      </c>
      <c r="D358" s="2">
        <v>0</v>
      </c>
      <c r="E358" s="2">
        <v>0</v>
      </c>
      <c r="F358" s="3">
        <f t="shared" si="4"/>
        <v>0</v>
      </c>
      <c r="G358" s="3">
        <f t="shared" si="5"/>
        <v>0</v>
      </c>
      <c r="H358" s="3">
        <f>F358*(VLOOKUP(B358,Price_data!A$1:B$190,2,FALSE))</f>
        <v>0</v>
      </c>
      <c r="I358" s="2">
        <f t="shared" si="6"/>
        <v>0</v>
      </c>
      <c r="J358" s="5"/>
    </row>
    <row r="359" spans="1:10" ht="14.25" customHeight="1">
      <c r="A359" s="2" t="s">
        <v>15</v>
      </c>
      <c r="B359" s="2">
        <v>1959</v>
      </c>
      <c r="C359" s="2" t="s">
        <v>28</v>
      </c>
      <c r="D359" s="2">
        <v>0</v>
      </c>
      <c r="E359" s="2">
        <v>0</v>
      </c>
      <c r="F359" s="3">
        <f t="shared" si="4"/>
        <v>0</v>
      </c>
      <c r="G359" s="3">
        <f t="shared" si="5"/>
        <v>0</v>
      </c>
      <c r="H359" s="3">
        <f>F359*(VLOOKUP(B359,Price_data!A$1:B$190,2,FALSE))</f>
        <v>0</v>
      </c>
      <c r="I359" s="2">
        <f t="shared" si="6"/>
        <v>0</v>
      </c>
      <c r="J359" s="5"/>
    </row>
    <row r="360" spans="1:10" ht="14.25" customHeight="1">
      <c r="A360" s="2" t="s">
        <v>15</v>
      </c>
      <c r="B360" s="2">
        <v>1960</v>
      </c>
      <c r="C360" s="2" t="s">
        <v>28</v>
      </c>
      <c r="D360" s="2">
        <v>0</v>
      </c>
      <c r="E360" s="2">
        <v>0</v>
      </c>
      <c r="F360" s="3">
        <f t="shared" si="4"/>
        <v>0</v>
      </c>
      <c r="G360" s="3">
        <f t="shared" si="5"/>
        <v>0</v>
      </c>
      <c r="H360" s="3">
        <f>F360*(VLOOKUP(B360,Price_data!A$1:B$190,2,FALSE))</f>
        <v>0</v>
      </c>
      <c r="I360" s="2">
        <f t="shared" si="6"/>
        <v>0</v>
      </c>
      <c r="J360" s="5"/>
    </row>
    <row r="361" spans="1:10" ht="14.25" customHeight="1">
      <c r="A361" s="2" t="s">
        <v>15</v>
      </c>
      <c r="B361" s="2">
        <v>1961</v>
      </c>
      <c r="C361" s="2" t="s">
        <v>28</v>
      </c>
      <c r="D361" s="2">
        <v>100</v>
      </c>
      <c r="E361" s="2">
        <v>0</v>
      </c>
      <c r="F361" s="3">
        <f t="shared" si="4"/>
        <v>0</v>
      </c>
      <c r="G361" s="3">
        <f t="shared" si="5"/>
        <v>0.1</v>
      </c>
      <c r="H361" s="3">
        <f>F361*(VLOOKUP(B361,Price_data!A$1:B$190,2,FALSE))</f>
        <v>0</v>
      </c>
      <c r="I361" s="2">
        <f t="shared" si="6"/>
        <v>0.1</v>
      </c>
      <c r="J361" s="5"/>
    </row>
    <row r="362" spans="1:10" ht="14.25" customHeight="1">
      <c r="A362" s="2" t="s">
        <v>15</v>
      </c>
      <c r="B362" s="2">
        <v>1962</v>
      </c>
      <c r="C362" s="2" t="s">
        <v>28</v>
      </c>
      <c r="D362" s="2">
        <v>0</v>
      </c>
      <c r="E362" s="2">
        <v>0</v>
      </c>
      <c r="F362" s="3">
        <f t="shared" si="4"/>
        <v>0</v>
      </c>
      <c r="G362" s="3">
        <f t="shared" si="5"/>
        <v>0</v>
      </c>
      <c r="H362" s="3">
        <f>F362*(VLOOKUP(B362,Price_data!A$1:B$190,2,FALSE))</f>
        <v>0</v>
      </c>
      <c r="I362" s="2">
        <f t="shared" si="6"/>
        <v>0</v>
      </c>
      <c r="J362" s="5"/>
    </row>
    <row r="363" spans="1:10" ht="14.25" customHeight="1">
      <c r="A363" s="2" t="s">
        <v>15</v>
      </c>
      <c r="B363" s="2">
        <v>1963</v>
      </c>
      <c r="C363" s="2" t="s">
        <v>28</v>
      </c>
      <c r="D363" s="2">
        <v>0</v>
      </c>
      <c r="E363" s="2">
        <v>0</v>
      </c>
      <c r="F363" s="3">
        <f t="shared" si="4"/>
        <v>0</v>
      </c>
      <c r="G363" s="3">
        <f t="shared" si="5"/>
        <v>0</v>
      </c>
      <c r="H363" s="3">
        <f>F363*(VLOOKUP(B363,Price_data!A$1:B$190,2,FALSE))</f>
        <v>0</v>
      </c>
      <c r="I363" s="2">
        <f t="shared" si="6"/>
        <v>0</v>
      </c>
      <c r="J363" s="5"/>
    </row>
    <row r="364" spans="1:10" ht="14.25" customHeight="1">
      <c r="A364" s="2" t="s">
        <v>15</v>
      </c>
      <c r="B364" s="2">
        <v>1964</v>
      </c>
      <c r="C364" s="2" t="s">
        <v>28</v>
      </c>
      <c r="D364" s="2">
        <v>100</v>
      </c>
      <c r="E364" s="2">
        <v>0</v>
      </c>
      <c r="F364" s="3">
        <f t="shared" si="4"/>
        <v>0</v>
      </c>
      <c r="G364" s="3">
        <f t="shared" si="5"/>
        <v>0.1</v>
      </c>
      <c r="H364" s="3">
        <f>F364*(VLOOKUP(B364,Price_data!A$1:B$190,2,FALSE))</f>
        <v>0</v>
      </c>
      <c r="I364" s="2">
        <f t="shared" si="6"/>
        <v>0.1</v>
      </c>
      <c r="J364" s="5"/>
    </row>
    <row r="365" spans="1:10" ht="14.25" customHeight="1">
      <c r="A365" s="2" t="s">
        <v>15</v>
      </c>
      <c r="B365" s="2">
        <v>1965</v>
      </c>
      <c r="C365" s="2" t="s">
        <v>28</v>
      </c>
      <c r="D365" s="2">
        <v>100</v>
      </c>
      <c r="E365" s="2">
        <v>0</v>
      </c>
      <c r="F365" s="3">
        <f t="shared" si="4"/>
        <v>0</v>
      </c>
      <c r="G365" s="3">
        <f t="shared" si="5"/>
        <v>0.1</v>
      </c>
      <c r="H365" s="3">
        <f>F365*(VLOOKUP(B365,Price_data!A$1:B$190,2,FALSE))</f>
        <v>0</v>
      </c>
      <c r="I365" s="2">
        <f t="shared" si="6"/>
        <v>0.1</v>
      </c>
      <c r="J365" s="5"/>
    </row>
    <row r="366" spans="1:10" ht="14.25" customHeight="1">
      <c r="A366" s="2" t="s">
        <v>15</v>
      </c>
      <c r="B366" s="2">
        <v>1966</v>
      </c>
      <c r="C366" s="2" t="s">
        <v>28</v>
      </c>
      <c r="D366" s="2">
        <v>100</v>
      </c>
      <c r="E366" s="2">
        <v>0</v>
      </c>
      <c r="F366" s="3">
        <f t="shared" si="4"/>
        <v>0</v>
      </c>
      <c r="G366" s="3">
        <f t="shared" si="5"/>
        <v>0.1</v>
      </c>
      <c r="H366" s="3">
        <f>F366*(VLOOKUP(B366,Price_data!A$1:B$190,2,FALSE))</f>
        <v>0</v>
      </c>
      <c r="I366" s="2">
        <f t="shared" si="6"/>
        <v>0.1</v>
      </c>
      <c r="J366" s="5"/>
    </row>
    <row r="367" spans="1:10" ht="14.25" customHeight="1">
      <c r="A367" s="2" t="s">
        <v>15</v>
      </c>
      <c r="B367" s="2">
        <v>1967</v>
      </c>
      <c r="C367" s="2" t="s">
        <v>28</v>
      </c>
      <c r="D367" s="2">
        <v>100</v>
      </c>
      <c r="E367" s="2">
        <v>0</v>
      </c>
      <c r="F367" s="3">
        <f t="shared" si="4"/>
        <v>0</v>
      </c>
      <c r="G367" s="3">
        <f t="shared" si="5"/>
        <v>0.1</v>
      </c>
      <c r="H367" s="3">
        <f>F367*(VLOOKUP(B367,Price_data!A$1:B$190,2,FALSE))</f>
        <v>0</v>
      </c>
      <c r="I367" s="2">
        <f t="shared" si="6"/>
        <v>0.1</v>
      </c>
      <c r="J367" s="5"/>
    </row>
    <row r="368" spans="1:10" ht="14.25" customHeight="1">
      <c r="A368" s="2" t="s">
        <v>15</v>
      </c>
      <c r="B368" s="2">
        <v>1968</v>
      </c>
      <c r="C368" s="2" t="s">
        <v>28</v>
      </c>
      <c r="D368" s="2">
        <v>100</v>
      </c>
      <c r="E368" s="2">
        <v>0</v>
      </c>
      <c r="F368" s="3">
        <f t="shared" si="4"/>
        <v>0</v>
      </c>
      <c r="G368" s="3">
        <f t="shared" si="5"/>
        <v>0.1</v>
      </c>
      <c r="H368" s="3">
        <f>F368*(VLOOKUP(B368,Price_data!A$1:B$190,2,FALSE))</f>
        <v>0</v>
      </c>
      <c r="I368" s="2">
        <f t="shared" si="6"/>
        <v>0.1</v>
      </c>
      <c r="J368" s="5"/>
    </row>
    <row r="369" spans="1:10" ht="14.25" customHeight="1">
      <c r="A369" s="2" t="s">
        <v>15</v>
      </c>
      <c r="B369" s="2">
        <v>1969</v>
      </c>
      <c r="C369" s="2" t="s">
        <v>28</v>
      </c>
      <c r="D369" s="2">
        <v>100</v>
      </c>
      <c r="E369" s="2">
        <v>0</v>
      </c>
      <c r="F369" s="3">
        <f t="shared" si="4"/>
        <v>0</v>
      </c>
      <c r="G369" s="3">
        <f t="shared" si="5"/>
        <v>0.1</v>
      </c>
      <c r="H369" s="3">
        <f>F369*(VLOOKUP(B369,Price_data!A$1:B$190,2,FALSE))</f>
        <v>0</v>
      </c>
      <c r="I369" s="2">
        <f t="shared" si="6"/>
        <v>0.1</v>
      </c>
      <c r="J369" s="5"/>
    </row>
    <row r="370" spans="1:10" ht="14.25" customHeight="1">
      <c r="A370" s="2" t="s">
        <v>15</v>
      </c>
      <c r="B370" s="2">
        <v>1970</v>
      </c>
      <c r="C370" s="2" t="s">
        <v>28</v>
      </c>
      <c r="D370" s="2">
        <v>100</v>
      </c>
      <c r="E370" s="2">
        <v>0</v>
      </c>
      <c r="F370" s="3">
        <f t="shared" si="4"/>
        <v>0</v>
      </c>
      <c r="G370" s="3">
        <f t="shared" si="5"/>
        <v>0.1</v>
      </c>
      <c r="H370" s="3">
        <f>F370*(VLOOKUP(B370,Price_data!A$1:B$190,2,FALSE))</f>
        <v>0</v>
      </c>
      <c r="I370" s="2">
        <f t="shared" si="6"/>
        <v>0.1</v>
      </c>
      <c r="J370" s="5"/>
    </row>
    <row r="371" spans="1:10" ht="14.25" customHeight="1">
      <c r="A371" s="2" t="s">
        <v>15</v>
      </c>
      <c r="B371" s="2">
        <v>1971</v>
      </c>
      <c r="C371" s="2" t="s">
        <v>28</v>
      </c>
      <c r="D371" s="2">
        <v>100</v>
      </c>
      <c r="E371" s="2">
        <v>0</v>
      </c>
      <c r="F371" s="3">
        <f t="shared" si="4"/>
        <v>0</v>
      </c>
      <c r="G371" s="3">
        <f t="shared" si="5"/>
        <v>0.1</v>
      </c>
      <c r="H371" s="3">
        <f>F371*(VLOOKUP(B371,Price_data!A$1:B$190,2,FALSE))</f>
        <v>0</v>
      </c>
      <c r="I371" s="2">
        <f t="shared" si="6"/>
        <v>0.1</v>
      </c>
      <c r="J371" s="5"/>
    </row>
    <row r="372" spans="1:10" ht="14.25" customHeight="1">
      <c r="A372" s="2" t="s">
        <v>15</v>
      </c>
      <c r="B372" s="2">
        <v>1972</v>
      </c>
      <c r="C372" s="2" t="s">
        <v>28</v>
      </c>
      <c r="D372" s="2">
        <v>0</v>
      </c>
      <c r="E372" s="2">
        <v>0</v>
      </c>
      <c r="F372" s="3">
        <f t="shared" si="4"/>
        <v>0</v>
      </c>
      <c r="G372" s="3">
        <f t="shared" si="5"/>
        <v>0</v>
      </c>
      <c r="H372" s="3">
        <f>F372*(VLOOKUP(B372,Price_data!A$1:B$190,2,FALSE))</f>
        <v>0</v>
      </c>
      <c r="I372" s="2">
        <f t="shared" si="6"/>
        <v>0</v>
      </c>
      <c r="J372" s="5"/>
    </row>
    <row r="373" spans="1:10" ht="14.25" customHeight="1">
      <c r="A373" s="2" t="s">
        <v>15</v>
      </c>
      <c r="B373" s="2">
        <v>1973</v>
      </c>
      <c r="C373" s="2" t="s">
        <v>28</v>
      </c>
      <c r="D373" s="2">
        <v>0</v>
      </c>
      <c r="E373" s="2">
        <v>0</v>
      </c>
      <c r="F373" s="3">
        <f t="shared" si="4"/>
        <v>0</v>
      </c>
      <c r="G373" s="3">
        <f t="shared" si="5"/>
        <v>0</v>
      </c>
      <c r="H373" s="3">
        <f>F373*(VLOOKUP(B373,Price_data!A$1:B$190,2,FALSE))</f>
        <v>0</v>
      </c>
      <c r="I373" s="2">
        <f t="shared" si="6"/>
        <v>0</v>
      </c>
      <c r="J373" s="5"/>
    </row>
    <row r="374" spans="1:10" ht="14.25" customHeight="1">
      <c r="A374" s="2" t="s">
        <v>15</v>
      </c>
      <c r="B374" s="2">
        <v>1974</v>
      </c>
      <c r="C374" s="2" t="s">
        <v>28</v>
      </c>
      <c r="D374" s="2">
        <v>1</v>
      </c>
      <c r="E374" s="2">
        <v>0</v>
      </c>
      <c r="F374" s="3">
        <f t="shared" si="4"/>
        <v>0</v>
      </c>
      <c r="G374" s="3">
        <f t="shared" si="5"/>
        <v>1E-3</v>
      </c>
      <c r="H374" s="3">
        <f>F374*(VLOOKUP(B374,Price_data!A$1:B$190,2,FALSE))</f>
        <v>0</v>
      </c>
      <c r="I374" s="2">
        <f t="shared" si="6"/>
        <v>1E-3</v>
      </c>
      <c r="J374" s="5"/>
    </row>
    <row r="375" spans="1:10" ht="14.25" customHeight="1">
      <c r="A375" s="2" t="s">
        <v>15</v>
      </c>
      <c r="B375" s="2">
        <v>1975</v>
      </c>
      <c r="C375" s="2" t="s">
        <v>28</v>
      </c>
      <c r="D375" s="2">
        <v>3</v>
      </c>
      <c r="E375" s="2">
        <v>0</v>
      </c>
      <c r="F375" s="3">
        <f t="shared" si="4"/>
        <v>0</v>
      </c>
      <c r="G375" s="3">
        <f t="shared" si="5"/>
        <v>3.0000000000000001E-3</v>
      </c>
      <c r="H375" s="3">
        <f>F375*(VLOOKUP(B375,Price_data!A$1:B$190,2,FALSE))</f>
        <v>0</v>
      </c>
      <c r="I375" s="2">
        <f t="shared" si="6"/>
        <v>3.0000000000000001E-3</v>
      </c>
      <c r="J375" s="5"/>
    </row>
    <row r="376" spans="1:10" ht="14.25" customHeight="1">
      <c r="A376" s="2" t="s">
        <v>15</v>
      </c>
      <c r="B376" s="2">
        <v>1976</v>
      </c>
      <c r="C376" s="2" t="s">
        <v>28</v>
      </c>
      <c r="D376" s="2">
        <v>6</v>
      </c>
      <c r="E376" s="2">
        <v>0</v>
      </c>
      <c r="F376" s="3">
        <f t="shared" si="4"/>
        <v>0</v>
      </c>
      <c r="G376" s="3">
        <f t="shared" si="5"/>
        <v>6.0000000000000001E-3</v>
      </c>
      <c r="H376" s="3">
        <f>F376*(VLOOKUP(B376,Price_data!A$1:B$190,2,FALSE))</f>
        <v>0</v>
      </c>
      <c r="I376" s="2">
        <f t="shared" si="6"/>
        <v>6.0000000000000001E-3</v>
      </c>
      <c r="J376" s="5"/>
    </row>
    <row r="377" spans="1:10" ht="14.25" customHeight="1">
      <c r="A377" s="2" t="s">
        <v>15</v>
      </c>
      <c r="B377" s="2">
        <v>1977</v>
      </c>
      <c r="C377" s="2" t="s">
        <v>28</v>
      </c>
      <c r="D377" s="2">
        <v>0</v>
      </c>
      <c r="E377" s="2">
        <v>0</v>
      </c>
      <c r="F377" s="3">
        <f t="shared" si="4"/>
        <v>0</v>
      </c>
      <c r="G377" s="3">
        <f t="shared" si="5"/>
        <v>0</v>
      </c>
      <c r="H377" s="3">
        <f>F377*(VLOOKUP(B377,Price_data!A$1:B$190,2,FALSE))</f>
        <v>0</v>
      </c>
      <c r="I377" s="2">
        <f t="shared" si="6"/>
        <v>0</v>
      </c>
      <c r="J377" s="5"/>
    </row>
    <row r="378" spans="1:10" ht="14.25" customHeight="1">
      <c r="A378" s="2" t="s">
        <v>15</v>
      </c>
      <c r="B378" s="2">
        <v>1978</v>
      </c>
      <c r="C378" s="2" t="s">
        <v>28</v>
      </c>
      <c r="D378" s="2">
        <v>10</v>
      </c>
      <c r="E378" s="2">
        <v>0</v>
      </c>
      <c r="F378" s="3">
        <f t="shared" si="4"/>
        <v>0</v>
      </c>
      <c r="G378" s="3">
        <f t="shared" si="5"/>
        <v>0.01</v>
      </c>
      <c r="H378" s="3">
        <f>F378*(VLOOKUP(B378,Price_data!A$1:B$190,2,FALSE))</f>
        <v>0</v>
      </c>
      <c r="I378" s="2">
        <f t="shared" si="6"/>
        <v>0.01</v>
      </c>
      <c r="J378" s="5"/>
    </row>
    <row r="379" spans="1:10" ht="14.25" customHeight="1">
      <c r="A379" s="2" t="s">
        <v>15</v>
      </c>
      <c r="B379" s="2">
        <v>1979</v>
      </c>
      <c r="C379" s="2" t="s">
        <v>28</v>
      </c>
      <c r="D379" s="2">
        <v>17</v>
      </c>
      <c r="E379" s="2">
        <v>0</v>
      </c>
      <c r="F379" s="3">
        <f t="shared" si="4"/>
        <v>0</v>
      </c>
      <c r="G379" s="3">
        <f t="shared" si="5"/>
        <v>1.7000000000000001E-2</v>
      </c>
      <c r="H379" s="3">
        <f>F379*(VLOOKUP(B379,Price_data!A$1:B$190,2,FALSE))</f>
        <v>0</v>
      </c>
      <c r="I379" s="2">
        <f t="shared" si="6"/>
        <v>1.7000000000000001E-2</v>
      </c>
      <c r="J379" s="5"/>
    </row>
    <row r="380" spans="1:10" ht="14.25" customHeight="1">
      <c r="A380" s="2" t="s">
        <v>15</v>
      </c>
      <c r="B380" s="2">
        <v>1980</v>
      </c>
      <c r="C380" s="2" t="s">
        <v>28</v>
      </c>
      <c r="D380" s="2">
        <v>30</v>
      </c>
      <c r="E380" s="2">
        <v>0</v>
      </c>
      <c r="F380" s="3">
        <f t="shared" si="4"/>
        <v>0</v>
      </c>
      <c r="G380" s="3">
        <f t="shared" si="5"/>
        <v>0.03</v>
      </c>
      <c r="H380" s="3">
        <f>F380*(VLOOKUP(B380,Price_data!A$1:B$190,2,FALSE))</f>
        <v>0</v>
      </c>
      <c r="I380" s="2">
        <f t="shared" si="6"/>
        <v>0.03</v>
      </c>
      <c r="J380" s="5"/>
    </row>
    <row r="381" spans="1:10" ht="14.25" customHeight="1">
      <c r="A381" s="2" t="s">
        <v>15</v>
      </c>
      <c r="B381" s="2">
        <v>1981</v>
      </c>
      <c r="C381" s="2" t="s">
        <v>28</v>
      </c>
      <c r="D381" s="2">
        <v>45</v>
      </c>
      <c r="E381" s="2">
        <v>0</v>
      </c>
      <c r="F381" s="3">
        <f t="shared" si="4"/>
        <v>0</v>
      </c>
      <c r="G381" s="3">
        <f t="shared" si="5"/>
        <v>4.4999999999999998E-2</v>
      </c>
      <c r="H381" s="3">
        <f>F381*(VLOOKUP(B381,Price_data!A$1:B$190,2,FALSE))</f>
        <v>0</v>
      </c>
      <c r="I381" s="2">
        <f t="shared" si="6"/>
        <v>4.4999999999999998E-2</v>
      </c>
      <c r="J381" s="5"/>
    </row>
    <row r="382" spans="1:10" ht="14.25" customHeight="1">
      <c r="A382" s="2" t="s">
        <v>15</v>
      </c>
      <c r="B382" s="2">
        <v>1982</v>
      </c>
      <c r="C382" s="2" t="s">
        <v>28</v>
      </c>
      <c r="D382" s="2">
        <v>39</v>
      </c>
      <c r="E382" s="2">
        <v>0</v>
      </c>
      <c r="F382" s="3">
        <f t="shared" si="4"/>
        <v>0</v>
      </c>
      <c r="G382" s="3">
        <f t="shared" si="5"/>
        <v>3.9E-2</v>
      </c>
      <c r="H382" s="3">
        <f>F382*(VLOOKUP(B382,Price_data!A$1:B$190,2,FALSE))</f>
        <v>0</v>
      </c>
      <c r="I382" s="2">
        <f t="shared" si="6"/>
        <v>3.9E-2</v>
      </c>
      <c r="J382" s="5"/>
    </row>
    <row r="383" spans="1:10" ht="14.25" customHeight="1">
      <c r="A383" s="2" t="s">
        <v>15</v>
      </c>
      <c r="B383" s="2">
        <v>1983</v>
      </c>
      <c r="C383" s="2" t="s">
        <v>28</v>
      </c>
      <c r="D383" s="2">
        <v>49</v>
      </c>
      <c r="E383" s="2">
        <v>0</v>
      </c>
      <c r="F383" s="3">
        <f t="shared" si="4"/>
        <v>0</v>
      </c>
      <c r="G383" s="3">
        <f t="shared" si="5"/>
        <v>4.9000000000000002E-2</v>
      </c>
      <c r="H383" s="3">
        <f>F383*(VLOOKUP(B383,Price_data!A$1:B$190,2,FALSE))</f>
        <v>0</v>
      </c>
      <c r="I383" s="2">
        <f t="shared" si="6"/>
        <v>4.9000000000000002E-2</v>
      </c>
      <c r="J383" s="5"/>
    </row>
    <row r="384" spans="1:10" ht="14.25" customHeight="1">
      <c r="A384" s="2" t="s">
        <v>15</v>
      </c>
      <c r="B384" s="2">
        <v>1984</v>
      </c>
      <c r="C384" s="2" t="s">
        <v>28</v>
      </c>
      <c r="D384" s="2">
        <v>1127</v>
      </c>
      <c r="E384" s="2">
        <v>701.59661010000002</v>
      </c>
      <c r="F384" s="3">
        <f t="shared" si="4"/>
        <v>0.70159661010000007</v>
      </c>
      <c r="G384" s="3">
        <f t="shared" si="5"/>
        <v>1.127</v>
      </c>
      <c r="H384" s="3">
        <f>F384*(VLOOKUP(B384,Price_data!A$1:B$190,2,FALSE))</f>
        <v>1.3397743113919494</v>
      </c>
      <c r="I384" s="2">
        <f t="shared" si="6"/>
        <v>1.127</v>
      </c>
      <c r="J384" s="5"/>
    </row>
    <row r="385" spans="1:10" ht="14.25" customHeight="1">
      <c r="A385" s="2" t="s">
        <v>15</v>
      </c>
      <c r="B385" s="2">
        <v>1985</v>
      </c>
      <c r="C385" s="2" t="s">
        <v>28</v>
      </c>
      <c r="D385" s="2">
        <v>1327</v>
      </c>
      <c r="E385" s="2">
        <v>811.43068730000005</v>
      </c>
      <c r="F385" s="3">
        <f t="shared" si="4"/>
        <v>0.81143068730000001</v>
      </c>
      <c r="G385" s="3">
        <f t="shared" si="5"/>
        <v>1.327</v>
      </c>
      <c r="H385" s="3">
        <f>F385*(VLOOKUP(B385,Price_data!A$1:B$190,2,FALSE))</f>
        <v>1.4606622070924955</v>
      </c>
      <c r="I385" s="2">
        <f t="shared" si="6"/>
        <v>1.327</v>
      </c>
      <c r="J385" s="5"/>
    </row>
    <row r="386" spans="1:10" ht="14.25" customHeight="1">
      <c r="A386" s="2" t="s">
        <v>15</v>
      </c>
      <c r="B386" s="2">
        <v>1986</v>
      </c>
      <c r="C386" s="2" t="s">
        <v>28</v>
      </c>
      <c r="D386" s="2">
        <v>1806</v>
      </c>
      <c r="E386" s="2">
        <v>1160.14932</v>
      </c>
      <c r="F386" s="3">
        <f t="shared" si="4"/>
        <v>1.1601493199999999</v>
      </c>
      <c r="G386" s="3">
        <f t="shared" si="5"/>
        <v>1.806</v>
      </c>
      <c r="H386" s="3">
        <f>F386*(VLOOKUP(B386,Price_data!A$1:B$190,2,FALSE))</f>
        <v>2.0196639364778037</v>
      </c>
      <c r="I386" s="2">
        <f t="shared" si="6"/>
        <v>1.806</v>
      </c>
      <c r="J386" s="5"/>
    </row>
    <row r="387" spans="1:10" ht="14.25" customHeight="1">
      <c r="A387" s="2" t="s">
        <v>15</v>
      </c>
      <c r="B387" s="2">
        <v>1987</v>
      </c>
      <c r="C387" s="2" t="s">
        <v>28</v>
      </c>
      <c r="D387" s="2">
        <v>2638</v>
      </c>
      <c r="E387" s="2">
        <v>1868.3752730000001</v>
      </c>
      <c r="F387" s="3">
        <f t="shared" si="4"/>
        <v>1.8683752730000001</v>
      </c>
      <c r="G387" s="3">
        <f t="shared" si="5"/>
        <v>2.6379999999999999</v>
      </c>
      <c r="H387" s="3">
        <f>F387*(VLOOKUP(B387,Price_data!A$1:B$190,2,FALSE))</f>
        <v>3.122324648499013</v>
      </c>
      <c r="I387" s="2">
        <f t="shared" si="6"/>
        <v>2.6379999999999999</v>
      </c>
      <c r="J387" s="5"/>
    </row>
    <row r="388" spans="1:10" ht="14.25" customHeight="1">
      <c r="A388" s="2" t="s">
        <v>15</v>
      </c>
      <c r="B388" s="2">
        <v>1988</v>
      </c>
      <c r="C388" s="2" t="s">
        <v>28</v>
      </c>
      <c r="D388" s="2">
        <v>2886</v>
      </c>
      <c r="E388" s="2">
        <v>2307.9102309999998</v>
      </c>
      <c r="F388" s="3">
        <f t="shared" si="4"/>
        <v>2.3079102309999997</v>
      </c>
      <c r="G388" s="3">
        <f t="shared" si="5"/>
        <v>2.8860000000000001</v>
      </c>
      <c r="H388" s="3">
        <f>F388*(VLOOKUP(B388,Price_data!A$1:B$190,2,FALSE))</f>
        <v>3.6766755821603336</v>
      </c>
      <c r="I388" s="2">
        <f t="shared" si="6"/>
        <v>2.8860000000000001</v>
      </c>
      <c r="J388" s="5"/>
    </row>
    <row r="389" spans="1:10" ht="14.25" customHeight="1">
      <c r="A389" s="2" t="s">
        <v>15</v>
      </c>
      <c r="B389" s="2">
        <v>1989</v>
      </c>
      <c r="C389" s="2" t="s">
        <v>28</v>
      </c>
      <c r="D389" s="2">
        <v>2981</v>
      </c>
      <c r="E389" s="2">
        <v>2691.0964100000001</v>
      </c>
      <c r="F389" s="3">
        <f t="shared" si="4"/>
        <v>2.6910964100000001</v>
      </c>
      <c r="G389" s="3">
        <f t="shared" si="5"/>
        <v>2.9809999999999999</v>
      </c>
      <c r="H389" s="3">
        <f>F389*(VLOOKUP(B389,Price_data!A$1:B$190,2,FALSE))</f>
        <v>3.9777306237750589</v>
      </c>
      <c r="I389" s="2">
        <f t="shared" si="6"/>
        <v>2.9809999999999999</v>
      </c>
      <c r="J389" s="5"/>
    </row>
    <row r="390" spans="1:10" ht="14.25" customHeight="1">
      <c r="A390" s="2" t="s">
        <v>15</v>
      </c>
      <c r="B390" s="2">
        <v>1990</v>
      </c>
      <c r="C390" s="2" t="s">
        <v>28</v>
      </c>
      <c r="D390" s="2">
        <v>2841</v>
      </c>
      <c r="E390" s="2">
        <v>2731.9940649999999</v>
      </c>
      <c r="F390" s="3">
        <f t="shared" si="4"/>
        <v>2.7319940649999999</v>
      </c>
      <c r="G390" s="3">
        <f t="shared" si="5"/>
        <v>2.8410000000000002</v>
      </c>
      <c r="H390" s="3">
        <f>F390*(VLOOKUP(B390,Price_data!A$1:B$190,2,FALSE))</f>
        <v>3.6891529912503103</v>
      </c>
      <c r="I390" s="2">
        <f t="shared" si="6"/>
        <v>2.8410000000000002</v>
      </c>
      <c r="J390" s="5"/>
    </row>
    <row r="391" spans="1:10" ht="14.25" customHeight="1">
      <c r="A391" s="2" t="s">
        <v>15</v>
      </c>
      <c r="B391" s="2">
        <v>1991</v>
      </c>
      <c r="C391" s="2" t="s">
        <v>28</v>
      </c>
      <c r="D391" s="2">
        <v>5646</v>
      </c>
      <c r="E391" s="2">
        <v>3630.3415810000001</v>
      </c>
      <c r="F391" s="3">
        <f t="shared" si="4"/>
        <v>3.6303415810000002</v>
      </c>
      <c r="G391" s="3">
        <f t="shared" si="5"/>
        <v>5.6459999999999999</v>
      </c>
      <c r="H391" s="3">
        <f>F391*(VLOOKUP(B391,Price_data!A$1:B$190,2,FALSE))</f>
        <v>4.6304603643615598</v>
      </c>
      <c r="I391" s="2">
        <f t="shared" si="6"/>
        <v>5.6459999999999999</v>
      </c>
      <c r="J391" s="5"/>
    </row>
    <row r="392" spans="1:10" ht="14.25" customHeight="1">
      <c r="A392" s="2" t="s">
        <v>15</v>
      </c>
      <c r="B392" s="2">
        <v>1992</v>
      </c>
      <c r="C392" s="2" t="s">
        <v>28</v>
      </c>
      <c r="D392" s="2">
        <v>5027</v>
      </c>
      <c r="E392" s="2">
        <v>4460.292316</v>
      </c>
      <c r="F392" s="3">
        <f t="shared" si="4"/>
        <v>4.4602923160000003</v>
      </c>
      <c r="G392" s="3">
        <f t="shared" si="5"/>
        <v>5.0270000000000001</v>
      </c>
      <c r="H392" s="3">
        <f>F392*(VLOOKUP(B392,Price_data!A$1:B$190,2,FALSE))</f>
        <v>5.4839391973239264</v>
      </c>
      <c r="I392" s="2">
        <f t="shared" si="6"/>
        <v>5.0270000000000001</v>
      </c>
      <c r="J392" s="5"/>
    </row>
    <row r="393" spans="1:10" ht="14.25" customHeight="1">
      <c r="A393" s="2" t="s">
        <v>15</v>
      </c>
      <c r="B393" s="2">
        <v>1993</v>
      </c>
      <c r="C393" s="2" t="s">
        <v>28</v>
      </c>
      <c r="D393" s="2">
        <v>5428</v>
      </c>
      <c r="E393" s="2">
        <v>5367.9714110000004</v>
      </c>
      <c r="F393" s="3">
        <f t="shared" si="4"/>
        <v>5.3679714110000001</v>
      </c>
      <c r="G393" s="3">
        <f t="shared" si="5"/>
        <v>5.4279999999999999</v>
      </c>
      <c r="H393" s="3">
        <f>F393*(VLOOKUP(B393,Price_data!A$1:B$190,2,FALSE))</f>
        <v>6.4964928755541731</v>
      </c>
      <c r="I393" s="2">
        <f t="shared" si="6"/>
        <v>5.4279999999999999</v>
      </c>
      <c r="J393" s="5"/>
    </row>
    <row r="394" spans="1:10" ht="14.25" customHeight="1">
      <c r="A394" s="2" t="s">
        <v>15</v>
      </c>
      <c r="B394" s="2">
        <v>1994</v>
      </c>
      <c r="C394" s="2" t="s">
        <v>28</v>
      </c>
      <c r="D394" s="2">
        <v>5068</v>
      </c>
      <c r="E394" s="2">
        <v>5016.4500669999998</v>
      </c>
      <c r="F394" s="3">
        <f t="shared" si="4"/>
        <v>5.0164500670000001</v>
      </c>
      <c r="G394" s="3">
        <f t="shared" si="5"/>
        <v>5.0679999999999996</v>
      </c>
      <c r="H394" s="3">
        <f>F394*(VLOOKUP(B394,Price_data!A$1:B$190,2,FALSE))</f>
        <v>5.9279703719045687</v>
      </c>
      <c r="I394" s="2">
        <f t="shared" si="6"/>
        <v>5.0679999999999996</v>
      </c>
      <c r="J394" s="5"/>
    </row>
    <row r="395" spans="1:10" ht="14.25" customHeight="1">
      <c r="A395" s="2" t="s">
        <v>15</v>
      </c>
      <c r="B395" s="2">
        <v>1995</v>
      </c>
      <c r="C395" s="2" t="s">
        <v>28</v>
      </c>
      <c r="D395" s="2">
        <v>6899</v>
      </c>
      <c r="E395" s="2">
        <v>7638.0439999999999</v>
      </c>
      <c r="F395" s="3">
        <f t="shared" si="4"/>
        <v>7.6380439999999998</v>
      </c>
      <c r="G395" s="3">
        <f t="shared" si="5"/>
        <v>6.899</v>
      </c>
      <c r="H395" s="3">
        <f>F395*(VLOOKUP(B395,Price_data!A$1:B$190,2,FALSE))</f>
        <v>8.7236279505192318</v>
      </c>
      <c r="I395" s="2">
        <f t="shared" si="6"/>
        <v>6.899</v>
      </c>
      <c r="J395" s="5"/>
    </row>
    <row r="396" spans="1:10" ht="14.25" customHeight="1">
      <c r="A396" s="2" t="s">
        <v>15</v>
      </c>
      <c r="B396" s="2">
        <v>1996</v>
      </c>
      <c r="C396" s="2" t="s">
        <v>28</v>
      </c>
      <c r="D396" s="2">
        <v>9746</v>
      </c>
      <c r="E396" s="2">
        <v>11044.54456</v>
      </c>
      <c r="F396" s="3">
        <f t="shared" si="4"/>
        <v>11.04454456</v>
      </c>
      <c r="G396" s="3">
        <f t="shared" si="5"/>
        <v>9.7460000000000004</v>
      </c>
      <c r="H396" s="3">
        <f>F396*(VLOOKUP(B396,Price_data!A$1:B$190,2,FALSE))</f>
        <v>12.316940626585865</v>
      </c>
      <c r="I396" s="2">
        <f t="shared" si="6"/>
        <v>9.7460000000000004</v>
      </c>
      <c r="J396" s="5"/>
    </row>
    <row r="397" spans="1:10" ht="14.25" customHeight="1">
      <c r="A397" s="2" t="s">
        <v>15</v>
      </c>
      <c r="B397" s="2">
        <v>1997</v>
      </c>
      <c r="C397" s="2" t="s">
        <v>28</v>
      </c>
      <c r="D397" s="2">
        <v>14343</v>
      </c>
      <c r="E397" s="2">
        <v>17084.858230000002</v>
      </c>
      <c r="F397" s="3">
        <f t="shared" si="4"/>
        <v>17.084858230000002</v>
      </c>
      <c r="G397" s="3">
        <f t="shared" si="5"/>
        <v>14.343</v>
      </c>
      <c r="H397" s="3">
        <f>F397*(VLOOKUP(B397,Price_data!A$1:B$190,2,FALSE))</f>
        <v>18.473535752491404</v>
      </c>
      <c r="I397" s="2">
        <f t="shared" si="6"/>
        <v>14.343</v>
      </c>
      <c r="J397" s="5"/>
    </row>
    <row r="398" spans="1:10" ht="14.25" customHeight="1">
      <c r="A398" s="2" t="s">
        <v>15</v>
      </c>
      <c r="B398" s="2">
        <v>1998</v>
      </c>
      <c r="C398" s="2" t="s">
        <v>28</v>
      </c>
      <c r="D398" s="2">
        <v>9941</v>
      </c>
      <c r="E398" s="2">
        <v>12432.47265</v>
      </c>
      <c r="F398" s="3">
        <f t="shared" si="4"/>
        <v>12.432472649999999</v>
      </c>
      <c r="G398" s="3">
        <f t="shared" si="5"/>
        <v>9.9410000000000007</v>
      </c>
      <c r="H398" s="3">
        <f>F398*(VLOOKUP(B398,Price_data!A$1:B$190,2,FALSE))</f>
        <v>12.997409155340113</v>
      </c>
      <c r="I398" s="2">
        <f t="shared" si="6"/>
        <v>9.9410000000000007</v>
      </c>
      <c r="J398" s="5"/>
    </row>
    <row r="399" spans="1:10" ht="14.25" customHeight="1">
      <c r="A399" s="2" t="s">
        <v>15</v>
      </c>
      <c r="B399" s="2">
        <v>1999</v>
      </c>
      <c r="C399" s="2" t="s">
        <v>28</v>
      </c>
      <c r="D399" s="2">
        <v>10901</v>
      </c>
      <c r="E399" s="2">
        <v>12689.86947</v>
      </c>
      <c r="F399" s="3">
        <f t="shared" si="4"/>
        <v>12.68986947</v>
      </c>
      <c r="G399" s="3">
        <f t="shared" si="5"/>
        <v>10.901</v>
      </c>
      <c r="H399" s="3">
        <f>F399*(VLOOKUP(B399,Price_data!A$1:B$190,2,FALSE))</f>
        <v>13.065217332472653</v>
      </c>
      <c r="I399" s="2">
        <f t="shared" si="6"/>
        <v>10.901</v>
      </c>
      <c r="J399" s="5"/>
    </row>
    <row r="400" spans="1:10" ht="14.25" customHeight="1">
      <c r="A400" s="2" t="s">
        <v>15</v>
      </c>
      <c r="B400" s="2">
        <v>2000</v>
      </c>
      <c r="C400" s="2" t="s">
        <v>28</v>
      </c>
      <c r="D400" s="2">
        <v>12394</v>
      </c>
      <c r="E400" s="2">
        <v>15309.153979999999</v>
      </c>
      <c r="F400" s="3">
        <f t="shared" si="4"/>
        <v>15.30915398</v>
      </c>
      <c r="G400" s="3">
        <f t="shared" si="5"/>
        <v>12.394</v>
      </c>
      <c r="H400" s="3">
        <f>F400*(VLOOKUP(B400,Price_data!A$1:B$190,2,FALSE))</f>
        <v>15.30915398</v>
      </c>
      <c r="I400" s="2">
        <f t="shared" si="6"/>
        <v>12.394</v>
      </c>
      <c r="J400" s="5"/>
    </row>
    <row r="401" spans="1:10" ht="14.25" customHeight="1">
      <c r="A401" s="2" t="s">
        <v>15</v>
      </c>
      <c r="B401" s="2">
        <v>2001</v>
      </c>
      <c r="C401" s="2" t="s">
        <v>28</v>
      </c>
      <c r="D401" s="2">
        <v>18519</v>
      </c>
      <c r="E401" s="2">
        <v>24422.270680000001</v>
      </c>
      <c r="F401" s="3">
        <f t="shared" si="4"/>
        <v>24.42227068</v>
      </c>
      <c r="G401" s="3">
        <f t="shared" si="5"/>
        <v>18.518999999999998</v>
      </c>
      <c r="H401" s="3">
        <f>F401*(VLOOKUP(B401,Price_data!A$1:B$190,2,FALSE))</f>
        <v>23.997193861571432</v>
      </c>
      <c r="I401" s="2">
        <f t="shared" si="6"/>
        <v>18.518999999999998</v>
      </c>
      <c r="J401" s="5"/>
    </row>
    <row r="402" spans="1:10" ht="14.25" customHeight="1">
      <c r="A402" s="2" t="s">
        <v>15</v>
      </c>
      <c r="B402" s="2">
        <v>2002</v>
      </c>
      <c r="C402" s="2" t="s">
        <v>28</v>
      </c>
      <c r="D402" s="2">
        <v>18707</v>
      </c>
      <c r="E402" s="2">
        <v>26302.672449999998</v>
      </c>
      <c r="F402" s="3">
        <f t="shared" si="4"/>
        <v>26.302672449999999</v>
      </c>
      <c r="G402" s="3">
        <f t="shared" si="5"/>
        <v>18.707000000000001</v>
      </c>
      <c r="H402" s="3">
        <f>F402*(VLOOKUP(B402,Price_data!A$1:B$190,2,FALSE))</f>
        <v>25.42099748468247</v>
      </c>
      <c r="I402" s="2">
        <f t="shared" si="6"/>
        <v>18.707000000000001</v>
      </c>
      <c r="J402" s="5"/>
    </row>
    <row r="403" spans="1:10" ht="14.25" customHeight="1">
      <c r="A403" s="2" t="s">
        <v>15</v>
      </c>
      <c r="B403" s="2">
        <v>2003</v>
      </c>
      <c r="C403" s="2" t="s">
        <v>28</v>
      </c>
      <c r="D403" s="2">
        <v>20492</v>
      </c>
      <c r="E403" s="2">
        <v>18282.834620000001</v>
      </c>
      <c r="F403" s="3">
        <f t="shared" si="4"/>
        <v>18.282834620000003</v>
      </c>
      <c r="G403" s="3">
        <f t="shared" si="5"/>
        <v>20.492000000000001</v>
      </c>
      <c r="H403" s="3">
        <f>F403*(VLOOKUP(B403,Price_data!A$1:B$190,2,FALSE))</f>
        <v>17.173389678415376</v>
      </c>
      <c r="I403" s="2">
        <f t="shared" si="6"/>
        <v>20.492000000000001</v>
      </c>
      <c r="J403" s="5"/>
    </row>
    <row r="404" spans="1:10" ht="14.25" customHeight="1">
      <c r="A404" s="2" t="s">
        <v>15</v>
      </c>
      <c r="B404" s="2">
        <v>2004</v>
      </c>
      <c r="C404" s="2" t="s">
        <v>28</v>
      </c>
      <c r="D404" s="2">
        <v>32500</v>
      </c>
      <c r="E404" s="2">
        <v>35107.246619999998</v>
      </c>
      <c r="F404" s="3">
        <f t="shared" si="4"/>
        <v>35.107246619999998</v>
      </c>
      <c r="G404" s="3">
        <f t="shared" si="5"/>
        <v>32.5</v>
      </c>
      <c r="H404" s="3">
        <f>F404*(VLOOKUP(B404,Price_data!A$1:B$190,2,FALSE))</f>
        <v>32.023147697497848</v>
      </c>
      <c r="I404" s="2">
        <f t="shared" si="6"/>
        <v>32.5</v>
      </c>
      <c r="J404" s="5"/>
    </row>
    <row r="405" spans="1:10" ht="14.25" customHeight="1">
      <c r="A405" s="2" t="s">
        <v>15</v>
      </c>
      <c r="B405" s="2">
        <v>2005</v>
      </c>
      <c r="C405" s="2" t="s">
        <v>28</v>
      </c>
      <c r="D405" s="2">
        <v>29801</v>
      </c>
      <c r="E405" s="2">
        <v>31518.156999999999</v>
      </c>
      <c r="F405" s="3">
        <f t="shared" si="4"/>
        <v>31.518156999999999</v>
      </c>
      <c r="G405" s="3">
        <f t="shared" si="5"/>
        <v>29.800999999999998</v>
      </c>
      <c r="H405" s="3">
        <f>F405*(VLOOKUP(B405,Price_data!A$1:B$190,2,FALSE))</f>
        <v>27.959722530799926</v>
      </c>
      <c r="I405" s="2">
        <f t="shared" si="6"/>
        <v>29.800999999999998</v>
      </c>
      <c r="J405" s="5"/>
    </row>
    <row r="406" spans="1:10" ht="14.25" customHeight="1">
      <c r="A406" s="2" t="s">
        <v>15</v>
      </c>
      <c r="B406" s="2">
        <v>2006</v>
      </c>
      <c r="C406" s="2" t="s">
        <v>28</v>
      </c>
      <c r="D406" s="2">
        <v>25514</v>
      </c>
      <c r="E406" s="2">
        <v>27958.379970000002</v>
      </c>
      <c r="F406" s="3">
        <f t="shared" si="4"/>
        <v>27.958379970000003</v>
      </c>
      <c r="G406" s="3">
        <f t="shared" si="5"/>
        <v>25.513999999999999</v>
      </c>
      <c r="H406" s="3">
        <f>F406*(VLOOKUP(B406,Price_data!A$1:B$190,2,FALSE))</f>
        <v>24.033831942214842</v>
      </c>
      <c r="I406" s="2">
        <f t="shared" si="6"/>
        <v>25.513999999999999</v>
      </c>
      <c r="J406" s="5"/>
    </row>
    <row r="407" spans="1:10" ht="14.25" customHeight="1">
      <c r="A407" s="2" t="s">
        <v>15</v>
      </c>
      <c r="B407" s="2">
        <v>2007</v>
      </c>
      <c r="C407" s="2" t="s">
        <v>28</v>
      </c>
      <c r="D407" s="2">
        <v>26821</v>
      </c>
      <c r="E407" s="2">
        <v>22803.964349999998</v>
      </c>
      <c r="F407" s="3">
        <f t="shared" si="4"/>
        <v>22.803964349999998</v>
      </c>
      <c r="G407" s="3">
        <f t="shared" si="5"/>
        <v>26.821000000000002</v>
      </c>
      <c r="H407" s="3">
        <f>F407*(VLOOKUP(B407,Price_data!A$1:B$190,2,FALSE))</f>
        <v>18.79718190161584</v>
      </c>
      <c r="I407" s="2">
        <f t="shared" si="6"/>
        <v>26.821000000000002</v>
      </c>
      <c r="J407" s="5"/>
    </row>
    <row r="408" spans="1:10" ht="14.25" customHeight="1">
      <c r="A408" s="2" t="s">
        <v>15</v>
      </c>
      <c r="B408" s="2">
        <v>2008</v>
      </c>
      <c r="C408" s="2" t="s">
        <v>28</v>
      </c>
      <c r="D408" s="2">
        <v>31388</v>
      </c>
      <c r="E408" s="2">
        <v>35847.250919999999</v>
      </c>
      <c r="F408" s="3">
        <f t="shared" si="4"/>
        <v>35.84725092</v>
      </c>
      <c r="G408" s="3">
        <f t="shared" si="5"/>
        <v>31.388000000000002</v>
      </c>
      <c r="H408" s="3">
        <f>F408*(VLOOKUP(B408,Price_data!A$1:B$190,2,FALSE))</f>
        <v>28.415555361193668</v>
      </c>
      <c r="I408" s="2">
        <f t="shared" si="6"/>
        <v>31.388000000000002</v>
      </c>
      <c r="J408" s="5"/>
    </row>
    <row r="409" spans="1:10" ht="14.25" customHeight="1">
      <c r="A409" s="2" t="s">
        <v>15</v>
      </c>
      <c r="B409" s="2">
        <v>2009</v>
      </c>
      <c r="C409" s="2" t="s">
        <v>28</v>
      </c>
      <c r="D409" s="2">
        <v>35610.519999999997</v>
      </c>
      <c r="E409" s="2">
        <v>42611.583590000002</v>
      </c>
      <c r="F409" s="3">
        <f t="shared" si="4"/>
        <v>42.611583590000002</v>
      </c>
      <c r="G409" s="3">
        <f t="shared" si="5"/>
        <v>35.610519999999994</v>
      </c>
      <c r="H409" s="3">
        <f>F409*(VLOOKUP(B409,Price_data!A$1:B$190,2,FALSE))</f>
        <v>33.957843245825302</v>
      </c>
      <c r="I409" s="2">
        <f t="shared" si="6"/>
        <v>35.610519999999994</v>
      </c>
      <c r="J409" s="5"/>
    </row>
    <row r="410" spans="1:10" ht="14.25" customHeight="1">
      <c r="A410" s="2" t="s">
        <v>15</v>
      </c>
      <c r="B410" s="2">
        <v>2010</v>
      </c>
      <c r="C410" s="2" t="s">
        <v>28</v>
      </c>
      <c r="D410" s="2">
        <v>31519.55</v>
      </c>
      <c r="E410" s="2">
        <v>33211.974179999997</v>
      </c>
      <c r="F410" s="3">
        <f t="shared" si="4"/>
        <v>33.211974179999999</v>
      </c>
      <c r="G410" s="3">
        <f t="shared" si="5"/>
        <v>31.519549999999999</v>
      </c>
      <c r="H410" s="3">
        <f>F410*(VLOOKUP(B410,Price_data!A$1:B$190,2,FALSE))</f>
        <v>25.2996986673927</v>
      </c>
      <c r="I410" s="2">
        <f t="shared" si="6"/>
        <v>31.519549999999999</v>
      </c>
      <c r="J410" s="5"/>
    </row>
    <row r="411" spans="1:10" ht="14.25" customHeight="1">
      <c r="A411" s="2" t="s">
        <v>15</v>
      </c>
      <c r="B411" s="2">
        <v>2011</v>
      </c>
      <c r="C411" s="2" t="s">
        <v>28</v>
      </c>
      <c r="D411" s="2">
        <v>27057.8</v>
      </c>
      <c r="E411" s="2">
        <v>35515.759850000002</v>
      </c>
      <c r="F411" s="3">
        <f t="shared" si="4"/>
        <v>35.515759850000002</v>
      </c>
      <c r="G411" s="3">
        <f t="shared" si="5"/>
        <v>27.0578</v>
      </c>
      <c r="H411" s="3">
        <f>F411*(VLOOKUP(B411,Price_data!A$1:B$190,2,FALSE))</f>
        <v>25.716196882599782</v>
      </c>
      <c r="I411" s="2">
        <f t="shared" si="6"/>
        <v>27.0578</v>
      </c>
      <c r="J411" s="5"/>
    </row>
    <row r="412" spans="1:10" ht="14.25" customHeight="1">
      <c r="A412" s="2" t="s">
        <v>15</v>
      </c>
      <c r="B412" s="2">
        <v>2012</v>
      </c>
      <c r="C412" s="2" t="s">
        <v>28</v>
      </c>
      <c r="D412" s="2">
        <v>27359.4</v>
      </c>
      <c r="E412" s="2">
        <v>37477.696960000001</v>
      </c>
      <c r="F412" s="3">
        <f t="shared" si="4"/>
        <v>37.477696960000003</v>
      </c>
      <c r="G412" s="3">
        <f t="shared" si="5"/>
        <v>27.359400000000001</v>
      </c>
      <c r="H412" s="3">
        <f>F412*(VLOOKUP(B412,Price_data!A$1:B$190,2,FALSE))</f>
        <v>26.292310795721441</v>
      </c>
      <c r="I412" s="2">
        <f t="shared" si="6"/>
        <v>27.359400000000001</v>
      </c>
      <c r="J412" s="5"/>
    </row>
    <row r="413" spans="1:10" ht="14.25" customHeight="1">
      <c r="A413" s="2" t="s">
        <v>15</v>
      </c>
      <c r="B413" s="2">
        <v>2013</v>
      </c>
      <c r="C413" s="2" t="s">
        <v>28</v>
      </c>
      <c r="D413" s="2">
        <v>26318</v>
      </c>
      <c r="E413" s="2">
        <v>48072.082690000003</v>
      </c>
      <c r="F413" s="3">
        <f t="shared" si="4"/>
        <v>48.072082690000002</v>
      </c>
      <c r="G413" s="3">
        <f t="shared" si="5"/>
        <v>26.318000000000001</v>
      </c>
      <c r="H413" s="3">
        <f>F413*(VLOOKUP(B413,Price_data!A$1:B$190,2,FALSE))</f>
        <v>32.730135959039089</v>
      </c>
      <c r="I413" s="2">
        <f t="shared" si="6"/>
        <v>26.318000000000001</v>
      </c>
      <c r="J413" s="5"/>
    </row>
    <row r="414" spans="1:10" ht="14.25" customHeight="1">
      <c r="A414" s="2" t="s">
        <v>15</v>
      </c>
      <c r="B414" s="2">
        <v>2014</v>
      </c>
      <c r="C414" s="2" t="s">
        <v>28</v>
      </c>
      <c r="D414" s="2">
        <v>21618.7</v>
      </c>
      <c r="E414" s="2">
        <v>35552.137540000003</v>
      </c>
      <c r="F414" s="3">
        <f t="shared" si="4"/>
        <v>35.552137540000004</v>
      </c>
      <c r="G414" s="3">
        <f t="shared" si="5"/>
        <v>21.6187</v>
      </c>
      <c r="H414" s="3">
        <f>F414*(VLOOKUP(B414,Price_data!A$1:B$190,2,FALSE))</f>
        <v>23.647451486251544</v>
      </c>
      <c r="I414" s="2">
        <f t="shared" si="6"/>
        <v>21.6187</v>
      </c>
      <c r="J414" s="5"/>
    </row>
    <row r="415" spans="1:10" ht="14.25" customHeight="1">
      <c r="A415" s="2" t="s">
        <v>15</v>
      </c>
      <c r="B415" s="2">
        <v>2015</v>
      </c>
      <c r="C415" s="2" t="s">
        <v>28</v>
      </c>
      <c r="D415" s="2">
        <v>24157.091</v>
      </c>
      <c r="E415" s="2">
        <v>37495.191149999999</v>
      </c>
      <c r="F415" s="3">
        <f t="shared" si="4"/>
        <v>37.495191149999997</v>
      </c>
      <c r="G415" s="3">
        <f t="shared" si="5"/>
        <v>24.157091000000001</v>
      </c>
      <c r="H415" s="3">
        <f>F415*(VLOOKUP(B415,Price_data!A$1:B$190,2,FALSE))</f>
        <v>24.695362171882255</v>
      </c>
      <c r="I415" s="2">
        <f t="shared" si="6"/>
        <v>24.157091000000001</v>
      </c>
      <c r="J415" s="5"/>
    </row>
    <row r="416" spans="1:10" ht="14.25" customHeight="1">
      <c r="A416" s="2" t="s">
        <v>15</v>
      </c>
      <c r="B416" s="2">
        <v>2016</v>
      </c>
      <c r="C416" s="2" t="s">
        <v>28</v>
      </c>
      <c r="D416" s="2">
        <v>16888.23</v>
      </c>
      <c r="E416" s="2">
        <v>23193.531309999998</v>
      </c>
      <c r="F416" s="3">
        <f t="shared" si="4"/>
        <v>23.193531309999997</v>
      </c>
      <c r="G416" s="3">
        <f t="shared" si="5"/>
        <v>16.88823</v>
      </c>
      <c r="H416" s="3">
        <f>F416*(VLOOKUP(B416,Price_data!A$1:B$190,2,FALSE))</f>
        <v>15.015336161124994</v>
      </c>
      <c r="I416" s="2">
        <f t="shared" si="6"/>
        <v>16.88823</v>
      </c>
      <c r="J416" s="5"/>
    </row>
    <row r="417" spans="1:10" ht="14.25" customHeight="1">
      <c r="A417" s="2" t="s">
        <v>15</v>
      </c>
      <c r="B417" s="2">
        <v>2017</v>
      </c>
      <c r="C417" s="2" t="s">
        <v>28</v>
      </c>
      <c r="D417" s="2">
        <v>18512.080000000002</v>
      </c>
      <c r="E417" s="2">
        <v>27461.061119999998</v>
      </c>
      <c r="F417" s="3">
        <f t="shared" si="4"/>
        <v>27.46106112</v>
      </c>
      <c r="G417" s="3">
        <f t="shared" si="5"/>
        <v>18.512080000000001</v>
      </c>
      <c r="H417" s="3">
        <f>F417*(VLOOKUP(B417,Price_data!A$1:B$190,2,FALSE))</f>
        <v>17.162843855320236</v>
      </c>
      <c r="I417" s="2">
        <f t="shared" si="6"/>
        <v>18.512080000000001</v>
      </c>
      <c r="J417" s="5"/>
    </row>
    <row r="418" spans="1:10" ht="14.25" customHeight="1">
      <c r="A418" s="2" t="s">
        <v>15</v>
      </c>
      <c r="B418" s="2">
        <v>2018</v>
      </c>
      <c r="C418" s="2" t="s">
        <v>28</v>
      </c>
      <c r="D418" s="2">
        <v>16490.75</v>
      </c>
      <c r="E418" s="2">
        <v>23110.993589999998</v>
      </c>
      <c r="F418" s="3">
        <f t="shared" si="4"/>
        <v>23.11099359</v>
      </c>
      <c r="G418" s="3">
        <f t="shared" si="5"/>
        <v>16.490749999999998</v>
      </c>
      <c r="H418" s="3">
        <f>F418*(VLOOKUP(B418,Price_data!A$1:B$190,2,FALSE))</f>
        <v>13.977282583151325</v>
      </c>
      <c r="I418" s="2">
        <f t="shared" si="6"/>
        <v>16.490749999999998</v>
      </c>
      <c r="J418" s="5" t="s">
        <v>77</v>
      </c>
    </row>
    <row r="419" spans="1:10" ht="14.25" customHeight="1">
      <c r="A419" s="2" t="s">
        <v>15</v>
      </c>
      <c r="B419" s="2">
        <v>2019</v>
      </c>
      <c r="C419" s="2" t="s">
        <v>28</v>
      </c>
      <c r="D419" s="2">
        <v>16525</v>
      </c>
      <c r="E419" s="2">
        <v>23116.12153</v>
      </c>
      <c r="F419" s="3">
        <f t="shared" si="4"/>
        <v>23.116121530000001</v>
      </c>
      <c r="G419" s="3">
        <f t="shared" si="5"/>
        <v>16.524999999999999</v>
      </c>
      <c r="H419" s="3">
        <f>F419*(VLOOKUP(B419,Price_data!A$1:B$190,2,FALSE))</f>
        <v>13.630659565371612</v>
      </c>
      <c r="I419" s="2">
        <f t="shared" si="6"/>
        <v>16.524999999999999</v>
      </c>
      <c r="J419" s="5" t="s">
        <v>73</v>
      </c>
    </row>
    <row r="420" spans="1:10" ht="14.25" customHeight="1">
      <c r="A420" s="2" t="s">
        <v>15</v>
      </c>
      <c r="B420" s="2">
        <v>2008</v>
      </c>
      <c r="C420" s="2" t="s">
        <v>30</v>
      </c>
      <c r="D420" s="2">
        <v>2</v>
      </c>
      <c r="E420" s="2">
        <v>3.5714000000000001</v>
      </c>
      <c r="F420" s="3">
        <f t="shared" si="4"/>
        <v>3.5714000000000002E-3</v>
      </c>
      <c r="G420" s="3">
        <f t="shared" si="5"/>
        <v>2E-3</v>
      </c>
      <c r="H420" s="3">
        <f>F420*(VLOOKUP(B420,Price_data!A$1:B$190,2,FALSE))</f>
        <v>2.8309929440181202E-3</v>
      </c>
      <c r="J420" s="5"/>
    </row>
    <row r="421" spans="1:10" ht="14.25" customHeight="1">
      <c r="A421" s="2" t="s">
        <v>15</v>
      </c>
      <c r="B421" s="2">
        <v>1950</v>
      </c>
      <c r="C421" s="2" t="s">
        <v>37</v>
      </c>
      <c r="G421" s="2">
        <f t="shared" ref="G421:G490" si="7">G210-G350</f>
        <v>0.03</v>
      </c>
      <c r="I421" s="2">
        <f t="shared" ref="I421:I490" si="8">G421*0.887125014590872</f>
        <v>2.6613750437726159E-2</v>
      </c>
      <c r="J421" s="5"/>
    </row>
    <row r="422" spans="1:10" ht="14.25" customHeight="1">
      <c r="A422" s="2" t="s">
        <v>15</v>
      </c>
      <c r="B422" s="2">
        <v>1951</v>
      </c>
      <c r="C422" s="2" t="s">
        <v>37</v>
      </c>
      <c r="G422" s="2">
        <f t="shared" si="7"/>
        <v>0.03</v>
      </c>
      <c r="I422" s="2">
        <f t="shared" si="8"/>
        <v>2.6613750437726159E-2</v>
      </c>
      <c r="J422" s="5"/>
    </row>
    <row r="423" spans="1:10" ht="14.25" customHeight="1">
      <c r="A423" s="2" t="s">
        <v>15</v>
      </c>
      <c r="B423" s="2">
        <v>1952</v>
      </c>
      <c r="C423" s="2" t="s">
        <v>37</v>
      </c>
      <c r="G423" s="2">
        <f t="shared" si="7"/>
        <v>0.03</v>
      </c>
      <c r="I423" s="2">
        <f t="shared" si="8"/>
        <v>2.6613750437726159E-2</v>
      </c>
      <c r="J423" s="5"/>
    </row>
    <row r="424" spans="1:10" ht="14.25" customHeight="1">
      <c r="A424" s="2" t="s">
        <v>15</v>
      </c>
      <c r="B424" s="2">
        <v>1953</v>
      </c>
      <c r="C424" s="2" t="s">
        <v>37</v>
      </c>
      <c r="G424" s="2">
        <f t="shared" si="7"/>
        <v>0.03</v>
      </c>
      <c r="I424" s="2">
        <f t="shared" si="8"/>
        <v>2.6613750437726159E-2</v>
      </c>
      <c r="J424" s="5"/>
    </row>
    <row r="425" spans="1:10" ht="14.25" customHeight="1">
      <c r="A425" s="2" t="s">
        <v>15</v>
      </c>
      <c r="B425" s="2">
        <v>1954</v>
      </c>
      <c r="C425" s="2" t="s">
        <v>37</v>
      </c>
      <c r="G425" s="2">
        <f t="shared" si="7"/>
        <v>0.03</v>
      </c>
      <c r="I425" s="2">
        <f t="shared" si="8"/>
        <v>2.6613750437726159E-2</v>
      </c>
      <c r="J425" s="5"/>
    </row>
    <row r="426" spans="1:10" ht="14.25" customHeight="1">
      <c r="A426" s="2" t="s">
        <v>15</v>
      </c>
      <c r="B426" s="2">
        <v>1955</v>
      </c>
      <c r="C426" s="2" t="s">
        <v>37</v>
      </c>
      <c r="G426" s="2">
        <f t="shared" si="7"/>
        <v>3.5000000000000003E-2</v>
      </c>
      <c r="I426" s="2">
        <f t="shared" si="8"/>
        <v>3.1049375510680523E-2</v>
      </c>
      <c r="J426" s="5"/>
    </row>
    <row r="427" spans="1:10" ht="14.25" customHeight="1">
      <c r="A427" s="2" t="s">
        <v>15</v>
      </c>
      <c r="B427" s="2">
        <v>1956</v>
      </c>
      <c r="C427" s="2" t="s">
        <v>37</v>
      </c>
      <c r="G427" s="2">
        <f t="shared" si="7"/>
        <v>3.5000000000000003E-2</v>
      </c>
      <c r="I427" s="2">
        <f t="shared" si="8"/>
        <v>3.1049375510680523E-2</v>
      </c>
      <c r="J427" s="5"/>
    </row>
    <row r="428" spans="1:10" ht="14.25" customHeight="1">
      <c r="A428" s="2" t="s">
        <v>15</v>
      </c>
      <c r="B428" s="2">
        <v>1957</v>
      </c>
      <c r="C428" s="2" t="s">
        <v>37</v>
      </c>
      <c r="G428" s="2">
        <f t="shared" si="7"/>
        <v>3.5000000000000003E-2</v>
      </c>
      <c r="I428" s="2">
        <f t="shared" si="8"/>
        <v>3.1049375510680523E-2</v>
      </c>
      <c r="J428" s="5"/>
    </row>
    <row r="429" spans="1:10" ht="14.25" customHeight="1">
      <c r="A429" s="2" t="s">
        <v>15</v>
      </c>
      <c r="B429" s="2">
        <v>1958</v>
      </c>
      <c r="C429" s="2" t="s">
        <v>37</v>
      </c>
      <c r="G429" s="2">
        <f t="shared" si="7"/>
        <v>3.5000000000000003E-2</v>
      </c>
      <c r="I429" s="2">
        <f t="shared" si="8"/>
        <v>3.1049375510680523E-2</v>
      </c>
      <c r="J429" s="5"/>
    </row>
    <row r="430" spans="1:10" ht="14.25" customHeight="1">
      <c r="A430" s="2" t="s">
        <v>15</v>
      </c>
      <c r="B430" s="2">
        <v>1959</v>
      </c>
      <c r="C430" s="2" t="s">
        <v>37</v>
      </c>
      <c r="G430" s="2">
        <f t="shared" si="7"/>
        <v>3.5000000000000003E-2</v>
      </c>
      <c r="I430" s="2">
        <f t="shared" si="8"/>
        <v>3.1049375510680523E-2</v>
      </c>
      <c r="J430" s="5"/>
    </row>
    <row r="431" spans="1:10" ht="14.25" customHeight="1">
      <c r="A431" s="2" t="s">
        <v>15</v>
      </c>
      <c r="B431" s="2">
        <v>1960</v>
      </c>
      <c r="C431" s="2" t="s">
        <v>37</v>
      </c>
      <c r="G431" s="2">
        <f t="shared" si="7"/>
        <v>3.5000000000000003E-2</v>
      </c>
      <c r="I431" s="2">
        <f t="shared" si="8"/>
        <v>3.1049375510680523E-2</v>
      </c>
      <c r="J431" s="5"/>
    </row>
    <row r="432" spans="1:10" ht="14.25" customHeight="1">
      <c r="A432" s="2" t="s">
        <v>15</v>
      </c>
      <c r="B432" s="2">
        <v>1961</v>
      </c>
      <c r="C432" s="2" t="s">
        <v>37</v>
      </c>
      <c r="G432" s="2">
        <f t="shared" si="7"/>
        <v>3.5000000000000003E-2</v>
      </c>
      <c r="I432" s="2">
        <f t="shared" si="8"/>
        <v>3.1049375510680523E-2</v>
      </c>
      <c r="J432" s="5"/>
    </row>
    <row r="433" spans="1:10" ht="14.25" customHeight="1">
      <c r="A433" s="2" t="s">
        <v>15</v>
      </c>
      <c r="B433" s="2">
        <v>1962</v>
      </c>
      <c r="C433" s="2" t="s">
        <v>37</v>
      </c>
      <c r="G433" s="2">
        <f t="shared" si="7"/>
        <v>3.5000000000000003E-2</v>
      </c>
      <c r="I433" s="2">
        <f t="shared" si="8"/>
        <v>3.1049375510680523E-2</v>
      </c>
      <c r="J433" s="5"/>
    </row>
    <row r="434" spans="1:10" ht="14.25" customHeight="1">
      <c r="A434" s="2" t="s">
        <v>15</v>
      </c>
      <c r="B434" s="2">
        <v>1963</v>
      </c>
      <c r="C434" s="2" t="s">
        <v>37</v>
      </c>
      <c r="G434" s="2">
        <f t="shared" si="7"/>
        <v>3.5000000000000003E-2</v>
      </c>
      <c r="I434" s="2">
        <f t="shared" si="8"/>
        <v>3.1049375510680523E-2</v>
      </c>
      <c r="J434" s="5"/>
    </row>
    <row r="435" spans="1:10" ht="14.25" customHeight="1">
      <c r="A435" s="2" t="s">
        <v>15</v>
      </c>
      <c r="B435" s="2">
        <v>1964</v>
      </c>
      <c r="C435" s="2" t="s">
        <v>37</v>
      </c>
      <c r="G435" s="2">
        <f t="shared" si="7"/>
        <v>0.1</v>
      </c>
      <c r="I435" s="2">
        <f t="shared" si="8"/>
        <v>8.8712501459087212E-2</v>
      </c>
      <c r="J435" s="5"/>
    </row>
    <row r="436" spans="1:10" ht="14.25" customHeight="1">
      <c r="A436" s="2" t="s">
        <v>15</v>
      </c>
      <c r="B436" s="2">
        <v>1965</v>
      </c>
      <c r="C436" s="2" t="s">
        <v>37</v>
      </c>
      <c r="G436" s="2">
        <f t="shared" si="7"/>
        <v>0.19999999999999998</v>
      </c>
      <c r="I436" s="2">
        <f t="shared" si="8"/>
        <v>0.1774250029181744</v>
      </c>
      <c r="J436" s="5"/>
    </row>
    <row r="437" spans="1:10" ht="14.25" customHeight="1">
      <c r="A437" s="2" t="s">
        <v>15</v>
      </c>
      <c r="B437" s="2">
        <v>1966</v>
      </c>
      <c r="C437" s="2" t="s">
        <v>37</v>
      </c>
      <c r="G437" s="2">
        <f t="shared" si="7"/>
        <v>0.1</v>
      </c>
      <c r="I437" s="2">
        <f t="shared" si="8"/>
        <v>8.8712501459087212E-2</v>
      </c>
      <c r="J437" s="5"/>
    </row>
    <row r="438" spans="1:10" ht="14.25" customHeight="1">
      <c r="A438" s="2" t="s">
        <v>15</v>
      </c>
      <c r="B438" s="2">
        <v>1967</v>
      </c>
      <c r="C438" s="2" t="s">
        <v>37</v>
      </c>
      <c r="G438" s="2">
        <f t="shared" si="7"/>
        <v>0.1</v>
      </c>
      <c r="I438" s="2">
        <f t="shared" si="8"/>
        <v>8.8712501459087212E-2</v>
      </c>
      <c r="J438" s="5"/>
    </row>
    <row r="439" spans="1:10" ht="14.25" customHeight="1">
      <c r="A439" s="2" t="s">
        <v>15</v>
      </c>
      <c r="B439" s="2">
        <v>1968</v>
      </c>
      <c r="C439" s="2" t="s">
        <v>37</v>
      </c>
      <c r="G439" s="2">
        <f t="shared" si="7"/>
        <v>0.1</v>
      </c>
      <c r="I439" s="2">
        <f t="shared" si="8"/>
        <v>8.8712501459087212E-2</v>
      </c>
      <c r="J439" s="5"/>
    </row>
    <row r="440" spans="1:10" ht="14.25" customHeight="1">
      <c r="A440" s="2" t="s">
        <v>15</v>
      </c>
      <c r="B440" s="2">
        <v>1969</v>
      </c>
      <c r="C440" s="2" t="s">
        <v>37</v>
      </c>
      <c r="G440" s="2">
        <f t="shared" si="7"/>
        <v>0.1</v>
      </c>
      <c r="I440" s="2">
        <f t="shared" si="8"/>
        <v>8.8712501459087212E-2</v>
      </c>
      <c r="J440" s="5"/>
    </row>
    <row r="441" spans="1:10" ht="14.25" customHeight="1">
      <c r="A441" s="2" t="s">
        <v>15</v>
      </c>
      <c r="B441" s="2">
        <v>1970</v>
      </c>
      <c r="C441" s="2" t="s">
        <v>37</v>
      </c>
      <c r="G441" s="2">
        <f t="shared" si="7"/>
        <v>0.34399999999999997</v>
      </c>
      <c r="I441" s="2">
        <f t="shared" si="8"/>
        <v>0.30517100501925992</v>
      </c>
      <c r="J441" s="5"/>
    </row>
    <row r="442" spans="1:10" ht="14.25" customHeight="1">
      <c r="A442" s="2" t="s">
        <v>15</v>
      </c>
      <c r="B442" s="2">
        <v>1971</v>
      </c>
      <c r="C442" s="2" t="s">
        <v>37</v>
      </c>
      <c r="G442" s="2">
        <f t="shared" si="7"/>
        <v>0.41600000000000004</v>
      </c>
      <c r="I442" s="2">
        <f t="shared" si="8"/>
        <v>0.36904400606980281</v>
      </c>
      <c r="J442" s="5"/>
    </row>
    <row r="443" spans="1:10" ht="14.25" customHeight="1">
      <c r="A443" s="2" t="s">
        <v>15</v>
      </c>
      <c r="B443" s="2">
        <v>1972</v>
      </c>
      <c r="C443" s="2" t="s">
        <v>37</v>
      </c>
      <c r="G443" s="2">
        <f t="shared" si="7"/>
        <v>0.21299999999999999</v>
      </c>
      <c r="I443" s="2">
        <f t="shared" si="8"/>
        <v>0.18895762810785574</v>
      </c>
      <c r="J443" s="5"/>
    </row>
    <row r="444" spans="1:10" ht="14.25" customHeight="1">
      <c r="A444" s="2" t="s">
        <v>15</v>
      </c>
      <c r="B444" s="2">
        <v>1973</v>
      </c>
      <c r="C444" s="2" t="s">
        <v>37</v>
      </c>
      <c r="G444" s="2">
        <f t="shared" si="7"/>
        <v>0.40100000000000002</v>
      </c>
      <c r="I444" s="2">
        <f t="shared" si="8"/>
        <v>0.35573713085093972</v>
      </c>
      <c r="J444" s="5"/>
    </row>
    <row r="445" spans="1:10" ht="14.25" customHeight="1">
      <c r="A445" s="2" t="s">
        <v>15</v>
      </c>
      <c r="B445" s="2">
        <v>1974</v>
      </c>
      <c r="C445" s="2" t="s">
        <v>37</v>
      </c>
      <c r="G445" s="2">
        <f t="shared" si="7"/>
        <v>0.55500000000000005</v>
      </c>
      <c r="I445" s="2">
        <f t="shared" si="8"/>
        <v>0.492354383097934</v>
      </c>
      <c r="J445" s="5"/>
    </row>
    <row r="446" spans="1:10" ht="14.25" customHeight="1">
      <c r="A446" s="2" t="s">
        <v>15</v>
      </c>
      <c r="B446" s="2">
        <v>1975</v>
      </c>
      <c r="C446" s="2" t="s">
        <v>37</v>
      </c>
      <c r="G446" s="2">
        <f t="shared" si="7"/>
        <v>0.873</v>
      </c>
      <c r="I446" s="2">
        <f t="shared" si="8"/>
        <v>0.77446013773783129</v>
      </c>
      <c r="J446" s="5"/>
    </row>
    <row r="447" spans="1:10" ht="14.25" customHeight="1">
      <c r="A447" s="2" t="s">
        <v>15</v>
      </c>
      <c r="B447" s="2">
        <v>1976</v>
      </c>
      <c r="C447" s="2" t="s">
        <v>37</v>
      </c>
      <c r="G447" s="2">
        <f t="shared" si="7"/>
        <v>0.68399999999999994</v>
      </c>
      <c r="I447" s="2">
        <f t="shared" si="8"/>
        <v>0.60679350998015635</v>
      </c>
      <c r="J447" s="5"/>
    </row>
    <row r="448" spans="1:10" ht="14.25" customHeight="1">
      <c r="A448" s="2" t="s">
        <v>15</v>
      </c>
      <c r="B448" s="2">
        <v>1977</v>
      </c>
      <c r="C448" s="2" t="s">
        <v>37</v>
      </c>
      <c r="G448" s="2">
        <f t="shared" si="7"/>
        <v>0.58499999999999996</v>
      </c>
      <c r="I448" s="2">
        <f t="shared" si="8"/>
        <v>0.51896813353566007</v>
      </c>
      <c r="J448" s="5"/>
    </row>
    <row r="449" spans="1:10" ht="14.25" customHeight="1">
      <c r="A449" s="2" t="s">
        <v>15</v>
      </c>
      <c r="B449" s="2">
        <v>1978</v>
      </c>
      <c r="C449" s="2" t="s">
        <v>37</v>
      </c>
      <c r="G449" s="2">
        <f t="shared" si="7"/>
        <v>0.878</v>
      </c>
      <c r="I449" s="2">
        <f t="shared" si="8"/>
        <v>0.77889576281078565</v>
      </c>
      <c r="J449" s="5"/>
    </row>
    <row r="450" spans="1:10" ht="14.25" customHeight="1">
      <c r="A450" s="2" t="s">
        <v>15</v>
      </c>
      <c r="B450" s="2">
        <v>1979</v>
      </c>
      <c r="C450" s="2" t="s">
        <v>37</v>
      </c>
      <c r="G450" s="2">
        <f t="shared" si="7"/>
        <v>2.3340000000000001</v>
      </c>
      <c r="I450" s="2">
        <f t="shared" si="8"/>
        <v>2.0705497840550953</v>
      </c>
      <c r="J450" s="5"/>
    </row>
    <row r="451" spans="1:10" ht="14.25" customHeight="1">
      <c r="A451" s="2" t="s">
        <v>15</v>
      </c>
      <c r="B451" s="2">
        <v>1980</v>
      </c>
      <c r="C451" s="2" t="s">
        <v>37</v>
      </c>
      <c r="G451" s="2">
        <f t="shared" si="7"/>
        <v>2.8250000000000002</v>
      </c>
      <c r="I451" s="2">
        <f t="shared" si="8"/>
        <v>2.5061281662192134</v>
      </c>
      <c r="J451" s="5"/>
    </row>
    <row r="452" spans="1:10" ht="14.25" customHeight="1">
      <c r="A452" s="2" t="s">
        <v>15</v>
      </c>
      <c r="B452" s="2">
        <v>1981</v>
      </c>
      <c r="C452" s="2" t="s">
        <v>37</v>
      </c>
      <c r="G452" s="2">
        <f t="shared" si="7"/>
        <v>4.0040000000000004</v>
      </c>
      <c r="I452" s="2">
        <f t="shared" si="8"/>
        <v>3.552048558421852</v>
      </c>
      <c r="J452" s="5"/>
    </row>
    <row r="453" spans="1:10" ht="14.25" customHeight="1">
      <c r="A453" s="2" t="s">
        <v>15</v>
      </c>
      <c r="B453" s="2">
        <v>1982</v>
      </c>
      <c r="C453" s="2" t="s">
        <v>37</v>
      </c>
      <c r="G453" s="2">
        <f t="shared" si="7"/>
        <v>11.948</v>
      </c>
      <c r="I453" s="2">
        <f t="shared" si="8"/>
        <v>10.599369674331738</v>
      </c>
      <c r="J453" s="5"/>
    </row>
    <row r="454" spans="1:10" ht="14.25" customHeight="1">
      <c r="A454" s="2" t="s">
        <v>15</v>
      </c>
      <c r="B454" s="2">
        <v>1983</v>
      </c>
      <c r="C454" s="2" t="s">
        <v>37</v>
      </c>
      <c r="G454" s="2">
        <f t="shared" si="7"/>
        <v>11.635</v>
      </c>
      <c r="I454" s="2">
        <f t="shared" si="8"/>
        <v>10.321699544764796</v>
      </c>
      <c r="J454" s="5"/>
    </row>
    <row r="455" spans="1:10" ht="14.25" customHeight="1">
      <c r="A455" s="2" t="s">
        <v>15</v>
      </c>
      <c r="B455" s="2">
        <v>1984</v>
      </c>
      <c r="C455" s="2" t="s">
        <v>37</v>
      </c>
      <c r="G455" s="2">
        <f t="shared" si="7"/>
        <v>16.484999999999999</v>
      </c>
      <c r="I455" s="2">
        <f t="shared" si="8"/>
        <v>14.624255865530525</v>
      </c>
      <c r="J455" s="5"/>
    </row>
    <row r="456" spans="1:10" ht="14.25" customHeight="1">
      <c r="A456" s="2" t="s">
        <v>15</v>
      </c>
      <c r="B456" s="2">
        <v>1985</v>
      </c>
      <c r="C456" s="2" t="s">
        <v>37</v>
      </c>
      <c r="G456" s="2">
        <f t="shared" si="7"/>
        <v>18.777000000000001</v>
      </c>
      <c r="I456" s="2">
        <f t="shared" si="8"/>
        <v>16.657546398972805</v>
      </c>
      <c r="J456" s="5"/>
    </row>
    <row r="457" spans="1:10" ht="14.25" customHeight="1">
      <c r="A457" s="2" t="s">
        <v>15</v>
      </c>
      <c r="B457" s="2">
        <v>1986</v>
      </c>
      <c r="C457" s="2" t="s">
        <v>37</v>
      </c>
      <c r="G457" s="2">
        <f t="shared" si="7"/>
        <v>22.207000000000001</v>
      </c>
      <c r="I457" s="2">
        <f t="shared" si="8"/>
        <v>19.700385199019497</v>
      </c>
      <c r="J457" s="5"/>
    </row>
    <row r="458" spans="1:10" ht="14.25" customHeight="1">
      <c r="A458" s="2" t="s">
        <v>15</v>
      </c>
      <c r="B458" s="2">
        <v>1987</v>
      </c>
      <c r="C458" s="2" t="s">
        <v>37</v>
      </c>
      <c r="G458" s="2">
        <f t="shared" si="7"/>
        <v>26.796999999999997</v>
      </c>
      <c r="I458" s="2">
        <f t="shared" si="8"/>
        <v>23.772289015991596</v>
      </c>
      <c r="J458" s="5"/>
    </row>
    <row r="459" spans="1:10" ht="14.25" customHeight="1">
      <c r="A459" s="2" t="s">
        <v>15</v>
      </c>
      <c r="B459" s="2">
        <v>1988</v>
      </c>
      <c r="C459" s="2" t="s">
        <v>37</v>
      </c>
      <c r="G459" s="2">
        <f t="shared" si="7"/>
        <v>33.506</v>
      </c>
      <c r="I459" s="2">
        <f t="shared" si="8"/>
        <v>29.724010738881759</v>
      </c>
      <c r="J459" s="5"/>
    </row>
    <row r="460" spans="1:10" ht="14.25" customHeight="1">
      <c r="A460" s="2" t="s">
        <v>15</v>
      </c>
      <c r="B460" s="2">
        <v>1989</v>
      </c>
      <c r="C460" s="2" t="s">
        <v>37</v>
      </c>
      <c r="G460" s="2">
        <f t="shared" si="7"/>
        <v>46.335000000000001</v>
      </c>
      <c r="I460" s="2">
        <f t="shared" si="8"/>
        <v>41.104937551068055</v>
      </c>
      <c r="J460" s="5"/>
    </row>
    <row r="461" spans="1:10" ht="14.25" customHeight="1">
      <c r="A461" s="2" t="s">
        <v>15</v>
      </c>
      <c r="B461" s="2">
        <v>1990</v>
      </c>
      <c r="C461" s="2" t="s">
        <v>37</v>
      </c>
      <c r="G461" s="2">
        <f t="shared" si="7"/>
        <v>47.202999999999996</v>
      </c>
      <c r="I461" s="2">
        <f t="shared" si="8"/>
        <v>41.87496206373293</v>
      </c>
      <c r="J461" s="5"/>
    </row>
    <row r="462" spans="1:10" ht="14.25" customHeight="1">
      <c r="A462" s="2" t="s">
        <v>15</v>
      </c>
      <c r="B462" s="2">
        <v>1991</v>
      </c>
      <c r="C462" s="2" t="s">
        <v>37</v>
      </c>
      <c r="G462" s="2">
        <f t="shared" si="7"/>
        <v>55.241</v>
      </c>
      <c r="I462" s="2">
        <f t="shared" si="8"/>
        <v>49.00567293101436</v>
      </c>
      <c r="J462" s="5"/>
    </row>
    <row r="463" spans="1:10" ht="14.25" customHeight="1">
      <c r="A463" s="2" t="s">
        <v>15</v>
      </c>
      <c r="B463" s="2">
        <v>1992</v>
      </c>
      <c r="C463" s="2" t="s">
        <v>37</v>
      </c>
      <c r="G463" s="2">
        <f t="shared" si="7"/>
        <v>51.796999999999997</v>
      </c>
      <c r="I463" s="2">
        <f t="shared" si="8"/>
        <v>45.950414380763398</v>
      </c>
      <c r="J463" s="5"/>
    </row>
    <row r="464" spans="1:10" ht="14.25" customHeight="1">
      <c r="A464" s="2" t="s">
        <v>15</v>
      </c>
      <c r="B464" s="2">
        <v>1993</v>
      </c>
      <c r="C464" s="2" t="s">
        <v>37</v>
      </c>
      <c r="G464" s="2">
        <f t="shared" si="7"/>
        <v>63.346000000000004</v>
      </c>
      <c r="I464" s="2">
        <f t="shared" si="8"/>
        <v>56.195821174273384</v>
      </c>
      <c r="J464" s="5"/>
    </row>
    <row r="465" spans="1:10" ht="14.25" customHeight="1">
      <c r="A465" s="2" t="s">
        <v>15</v>
      </c>
      <c r="B465" s="2">
        <v>1994</v>
      </c>
      <c r="C465" s="2" t="s">
        <v>37</v>
      </c>
      <c r="G465" s="2">
        <f t="shared" si="7"/>
        <v>80.632999999999996</v>
      </c>
      <c r="I465" s="2">
        <f t="shared" si="8"/>
        <v>71.531551301505772</v>
      </c>
      <c r="J465" s="5"/>
    </row>
    <row r="466" spans="1:10" ht="14.25" customHeight="1">
      <c r="A466" s="2" t="s">
        <v>15</v>
      </c>
      <c r="B466" s="2">
        <v>1995</v>
      </c>
      <c r="C466" s="2" t="s">
        <v>37</v>
      </c>
      <c r="G466" s="2">
        <f t="shared" si="7"/>
        <v>86.938999999999993</v>
      </c>
      <c r="I466" s="2">
        <f t="shared" si="8"/>
        <v>77.125761643515816</v>
      </c>
      <c r="J466" s="5"/>
    </row>
    <row r="467" spans="1:10" ht="14.25" customHeight="1">
      <c r="A467" s="2" t="s">
        <v>15</v>
      </c>
      <c r="B467" s="2">
        <v>1996</v>
      </c>
      <c r="C467" s="2" t="s">
        <v>37</v>
      </c>
      <c r="G467" s="2">
        <f t="shared" si="7"/>
        <v>100.155</v>
      </c>
      <c r="I467" s="2">
        <f t="shared" si="8"/>
        <v>88.850005836348785</v>
      </c>
      <c r="J467" s="5"/>
    </row>
    <row r="468" spans="1:10" ht="14.25" customHeight="1">
      <c r="A468" s="2" t="s">
        <v>15</v>
      </c>
      <c r="B468" s="2">
        <v>1997</v>
      </c>
      <c r="C468" s="2" t="s">
        <v>37</v>
      </c>
      <c r="G468" s="2">
        <f t="shared" si="7"/>
        <v>115.372</v>
      </c>
      <c r="I468" s="2">
        <f t="shared" si="8"/>
        <v>102.34938718337808</v>
      </c>
      <c r="J468" s="5"/>
    </row>
    <row r="469" spans="1:10" ht="14.25" customHeight="1">
      <c r="A469" s="2" t="s">
        <v>15</v>
      </c>
      <c r="B469" s="2">
        <v>1998</v>
      </c>
      <c r="C469" s="2" t="s">
        <v>37</v>
      </c>
      <c r="G469" s="2">
        <f t="shared" si="7"/>
        <v>127.47999999999999</v>
      </c>
      <c r="I469" s="2">
        <f t="shared" si="8"/>
        <v>113.09069686004436</v>
      </c>
      <c r="J469" s="5"/>
    </row>
    <row r="470" spans="1:10" ht="14.25" customHeight="1">
      <c r="A470" s="2" t="s">
        <v>15</v>
      </c>
      <c r="B470" s="2">
        <v>1999</v>
      </c>
      <c r="C470" s="2" t="s">
        <v>37</v>
      </c>
      <c r="G470" s="2">
        <f t="shared" si="7"/>
        <v>143.899</v>
      </c>
      <c r="I470" s="2">
        <f t="shared" si="8"/>
        <v>127.65640247461189</v>
      </c>
      <c r="J470" s="5"/>
    </row>
    <row r="471" spans="1:10" ht="14.25" customHeight="1">
      <c r="A471" s="2" t="s">
        <v>15</v>
      </c>
      <c r="B471" s="2">
        <v>2000</v>
      </c>
      <c r="C471" s="2" t="s">
        <v>37</v>
      </c>
      <c r="G471" s="2">
        <f t="shared" si="7"/>
        <v>140.09100000000001</v>
      </c>
      <c r="I471" s="2">
        <f t="shared" si="8"/>
        <v>124.27823041904986</v>
      </c>
      <c r="J471" s="5"/>
    </row>
    <row r="472" spans="1:10" ht="14.25" customHeight="1">
      <c r="A472" s="2" t="s">
        <v>15</v>
      </c>
      <c r="B472" s="2">
        <v>2001</v>
      </c>
      <c r="C472" s="2" t="s">
        <v>37</v>
      </c>
      <c r="G472" s="2">
        <f t="shared" si="7"/>
        <v>151.99699999999999</v>
      </c>
      <c r="I472" s="2">
        <f t="shared" si="8"/>
        <v>134.84034084276877</v>
      </c>
      <c r="J472" s="5"/>
    </row>
    <row r="473" spans="1:10" ht="14.25" customHeight="1">
      <c r="A473" s="2" t="s">
        <v>15</v>
      </c>
      <c r="B473" s="2">
        <v>2002</v>
      </c>
      <c r="C473" s="2" t="s">
        <v>37</v>
      </c>
      <c r="G473" s="2">
        <f t="shared" si="7"/>
        <v>160.32900000000001</v>
      </c>
      <c r="I473" s="2">
        <f t="shared" si="8"/>
        <v>142.23186646433993</v>
      </c>
      <c r="J473" s="5"/>
    </row>
    <row r="474" spans="1:10" ht="14.25" customHeight="1">
      <c r="A474" s="2" t="s">
        <v>15</v>
      </c>
      <c r="B474" s="2">
        <v>2003</v>
      </c>
      <c r="C474" s="2" t="s">
        <v>37</v>
      </c>
      <c r="G474" s="2">
        <f t="shared" si="7"/>
        <v>161.346</v>
      </c>
      <c r="I474" s="2">
        <f t="shared" si="8"/>
        <v>143.13407260417884</v>
      </c>
      <c r="J474" s="5"/>
    </row>
    <row r="475" spans="1:10" ht="14.25" customHeight="1">
      <c r="A475" s="2" t="s">
        <v>15</v>
      </c>
      <c r="B475" s="2">
        <v>2004</v>
      </c>
      <c r="C475" s="2" t="s">
        <v>37</v>
      </c>
      <c r="G475" s="2">
        <f t="shared" si="7"/>
        <v>174.703</v>
      </c>
      <c r="I475" s="2">
        <f t="shared" si="8"/>
        <v>154.98340142406911</v>
      </c>
      <c r="J475" s="5"/>
    </row>
    <row r="476" spans="1:10" ht="14.25" customHeight="1">
      <c r="A476" s="2" t="s">
        <v>15</v>
      </c>
      <c r="B476" s="2">
        <v>2005</v>
      </c>
      <c r="C476" s="2" t="s">
        <v>37</v>
      </c>
      <c r="G476" s="2">
        <f t="shared" si="7"/>
        <v>143.012</v>
      </c>
      <c r="I476" s="2">
        <f t="shared" si="8"/>
        <v>126.86952258666979</v>
      </c>
      <c r="J476" s="5"/>
    </row>
    <row r="477" spans="1:10" ht="14.25" customHeight="1">
      <c r="A477" s="2" t="s">
        <v>15</v>
      </c>
      <c r="B477" s="2">
        <v>2006</v>
      </c>
      <c r="C477" s="2" t="s">
        <v>37</v>
      </c>
      <c r="G477" s="2">
        <f t="shared" si="7"/>
        <v>146.334</v>
      </c>
      <c r="I477" s="2">
        <f t="shared" si="8"/>
        <v>129.81655188514065</v>
      </c>
      <c r="J477" s="5"/>
    </row>
    <row r="478" spans="1:10" ht="14.25" customHeight="1">
      <c r="A478" s="2" t="s">
        <v>15</v>
      </c>
      <c r="B478" s="2">
        <v>2007</v>
      </c>
      <c r="C478" s="2" t="s">
        <v>37</v>
      </c>
      <c r="G478" s="2">
        <f t="shared" si="7"/>
        <v>147.37899999999999</v>
      </c>
      <c r="I478" s="2">
        <f t="shared" si="8"/>
        <v>130.74359752538811</v>
      </c>
      <c r="J478" s="5"/>
    </row>
    <row r="479" spans="1:10" ht="14.25" customHeight="1">
      <c r="A479" s="2" t="s">
        <v>15</v>
      </c>
      <c r="B479" s="2">
        <v>2008</v>
      </c>
      <c r="C479" s="2" t="s">
        <v>37</v>
      </c>
      <c r="G479" s="2">
        <f t="shared" si="7"/>
        <v>144.31399999999999</v>
      </c>
      <c r="I479" s="2">
        <f t="shared" si="8"/>
        <v>128.02455935566709</v>
      </c>
      <c r="J479" s="5"/>
    </row>
    <row r="480" spans="1:10" ht="14.25" customHeight="1">
      <c r="A480" s="2" t="s">
        <v>15</v>
      </c>
      <c r="B480" s="2">
        <v>2009</v>
      </c>
      <c r="C480" s="2" t="s">
        <v>37</v>
      </c>
      <c r="G480" s="2">
        <f t="shared" si="7"/>
        <v>160.9873</v>
      </c>
      <c r="I480" s="2">
        <f t="shared" si="8"/>
        <v>142.81586086144509</v>
      </c>
      <c r="J480" s="5"/>
    </row>
    <row r="481" spans="1:10" ht="14.25" customHeight="1">
      <c r="A481" s="2" t="s">
        <v>15</v>
      </c>
      <c r="B481" s="2">
        <v>2010</v>
      </c>
      <c r="C481" s="2" t="s">
        <v>37</v>
      </c>
      <c r="G481" s="2">
        <f t="shared" si="7"/>
        <v>169.8443</v>
      </c>
      <c r="I481" s="2">
        <f t="shared" si="8"/>
        <v>150.67312711567644</v>
      </c>
      <c r="J481" s="5"/>
    </row>
    <row r="482" spans="1:10" ht="14.25" customHeight="1">
      <c r="A482" s="2" t="s">
        <v>15</v>
      </c>
      <c r="B482" s="2">
        <v>2011</v>
      </c>
      <c r="C482" s="2" t="s">
        <v>37</v>
      </c>
      <c r="G482" s="2">
        <f t="shared" si="7"/>
        <v>171.90980000000002</v>
      </c>
      <c r="I482" s="2">
        <f t="shared" si="8"/>
        <v>152.50548383331392</v>
      </c>
      <c r="J482" s="5"/>
    </row>
    <row r="483" spans="1:10" ht="14.25" customHeight="1">
      <c r="A483" s="2" t="s">
        <v>15</v>
      </c>
      <c r="B483" s="2">
        <v>2012</v>
      </c>
      <c r="C483" s="2" t="s">
        <v>37</v>
      </c>
      <c r="G483" s="2">
        <f t="shared" si="7"/>
        <v>178.23530000000002</v>
      </c>
      <c r="I483" s="2">
        <f t="shared" si="8"/>
        <v>158.11699311310846</v>
      </c>
      <c r="J483" s="5"/>
    </row>
    <row r="484" spans="1:10" ht="14.25" customHeight="1">
      <c r="A484" s="2" t="s">
        <v>15</v>
      </c>
      <c r="B484" s="2">
        <v>2013</v>
      </c>
      <c r="C484" s="2" t="s">
        <v>37</v>
      </c>
      <c r="G484" s="2">
        <f t="shared" si="7"/>
        <v>176.94499999999999</v>
      </c>
      <c r="I484" s="2">
        <f t="shared" si="8"/>
        <v>156.97233570678185</v>
      </c>
      <c r="J484" s="5"/>
    </row>
    <row r="485" spans="1:10" ht="14.25" customHeight="1">
      <c r="A485" s="2" t="s">
        <v>15</v>
      </c>
      <c r="B485" s="2">
        <v>2014</v>
      </c>
      <c r="C485" s="2" t="s">
        <v>37</v>
      </c>
      <c r="G485" s="2">
        <f t="shared" si="7"/>
        <v>193.08865000000003</v>
      </c>
      <c r="I485" s="2">
        <f t="shared" si="8"/>
        <v>171.29377144858179</v>
      </c>
      <c r="J485" s="5"/>
    </row>
    <row r="486" spans="1:10" ht="14.25" customHeight="1">
      <c r="A486" s="2" t="s">
        <v>15</v>
      </c>
      <c r="B486" s="2">
        <v>2015</v>
      </c>
      <c r="C486" s="2" t="s">
        <v>37</v>
      </c>
      <c r="G486" s="2">
        <f t="shared" si="7"/>
        <v>187.59232699999998</v>
      </c>
      <c r="I486" s="2">
        <f t="shared" si="8"/>
        <v>166.41784582701061</v>
      </c>
      <c r="J486" s="5"/>
    </row>
    <row r="487" spans="1:10" ht="14.25" customHeight="1">
      <c r="A487" s="2" t="s">
        <v>15</v>
      </c>
      <c r="B487" s="2">
        <v>2016</v>
      </c>
      <c r="C487" s="2" t="s">
        <v>37</v>
      </c>
      <c r="G487" s="2">
        <f t="shared" si="7"/>
        <v>177.60394600000001</v>
      </c>
      <c r="I487" s="2">
        <f t="shared" si="8"/>
        <v>157.55690318664645</v>
      </c>
      <c r="J487" s="5"/>
    </row>
    <row r="488" spans="1:10" ht="14.25" customHeight="1">
      <c r="A488" s="2" t="s">
        <v>15</v>
      </c>
      <c r="B488" s="2">
        <v>2017</v>
      </c>
      <c r="C488" s="2" t="s">
        <v>37</v>
      </c>
      <c r="G488" s="2">
        <f t="shared" si="7"/>
        <v>204.09903</v>
      </c>
      <c r="I488" s="2">
        <f t="shared" si="8"/>
        <v>181.06135496673284</v>
      </c>
      <c r="J488" s="5"/>
    </row>
    <row r="489" spans="1:10" ht="14.25" customHeight="1">
      <c r="A489" s="2" t="s">
        <v>15</v>
      </c>
      <c r="B489" s="2">
        <v>2018</v>
      </c>
      <c r="C489" s="2" t="s">
        <v>37</v>
      </c>
      <c r="G489" s="2">
        <f t="shared" si="7"/>
        <v>168.44125200000002</v>
      </c>
      <c r="I489" s="2">
        <f t="shared" si="8"/>
        <v>149.42844813820477</v>
      </c>
      <c r="J489" s="5"/>
    </row>
    <row r="490" spans="1:10" ht="14.25" customHeight="1">
      <c r="A490" s="2" t="s">
        <v>15</v>
      </c>
      <c r="B490" s="2">
        <v>2019</v>
      </c>
      <c r="C490" s="2" t="s">
        <v>37</v>
      </c>
      <c r="G490" s="2">
        <f t="shared" si="7"/>
        <v>202.97499999999999</v>
      </c>
      <c r="I490" s="2">
        <f t="shared" si="8"/>
        <v>180.06419983658225</v>
      </c>
      <c r="J490" s="5"/>
    </row>
    <row r="491" spans="1:10" ht="14.25" customHeight="1">
      <c r="J491" s="5"/>
    </row>
    <row r="492" spans="1:10" ht="14.25" customHeight="1">
      <c r="J492" s="5"/>
    </row>
    <row r="493" spans="1:10" ht="14.25" customHeight="1">
      <c r="J493" s="5"/>
    </row>
    <row r="494" spans="1:10" ht="14.25" customHeight="1">
      <c r="J494" s="5"/>
    </row>
    <row r="495" spans="1:10" ht="14.25" customHeight="1">
      <c r="J495" s="5"/>
    </row>
    <row r="496" spans="1:10" ht="14.25" customHeight="1">
      <c r="J496" s="5"/>
    </row>
    <row r="497" spans="10:10" ht="14.25" customHeight="1">
      <c r="J497" s="5"/>
    </row>
    <row r="498" spans="10:10" ht="14.25" customHeight="1">
      <c r="J498" s="5"/>
    </row>
    <row r="499" spans="10:10" ht="14.25" customHeight="1">
      <c r="J499" s="5"/>
    </row>
    <row r="500" spans="10:10" ht="14.25" customHeight="1">
      <c r="J500" s="5"/>
    </row>
    <row r="501" spans="10:10" ht="14.25" customHeight="1">
      <c r="J501" s="5"/>
    </row>
    <row r="502" spans="10:10" ht="14.25" customHeight="1">
      <c r="J502" s="5"/>
    </row>
    <row r="503" spans="10:10" ht="14.25" customHeight="1">
      <c r="J503" s="5"/>
    </row>
    <row r="504" spans="10:10" ht="14.25" customHeight="1">
      <c r="J504" s="5"/>
    </row>
    <row r="505" spans="10:10" ht="14.25" customHeight="1">
      <c r="J505" s="5"/>
    </row>
    <row r="506" spans="10:10" ht="14.25" customHeight="1">
      <c r="J506" s="5"/>
    </row>
    <row r="507" spans="10:10" ht="14.25" customHeight="1">
      <c r="J507" s="5"/>
    </row>
    <row r="508" spans="10:10" ht="14.25" customHeight="1">
      <c r="J508" s="5"/>
    </row>
    <row r="509" spans="10:10" ht="14.25" customHeight="1">
      <c r="J509" s="5"/>
    </row>
    <row r="510" spans="10:10" ht="14.25" customHeight="1">
      <c r="J510" s="5"/>
    </row>
    <row r="511" spans="10:10" ht="14.25" customHeight="1">
      <c r="J511" s="5"/>
    </row>
    <row r="512" spans="10:10" ht="14.25" customHeight="1">
      <c r="J512" s="5"/>
    </row>
    <row r="513" spans="10:10" ht="14.25" customHeight="1">
      <c r="J513" s="5"/>
    </row>
    <row r="514" spans="10:10" ht="14.25" customHeight="1">
      <c r="J514" s="5"/>
    </row>
    <row r="515" spans="10:10" ht="14.25" customHeight="1">
      <c r="J515" s="5"/>
    </row>
    <row r="516" spans="10:10" ht="14.25" customHeight="1">
      <c r="J516" s="5"/>
    </row>
    <row r="517" spans="10:10" ht="14.25" customHeight="1">
      <c r="J517" s="5"/>
    </row>
    <row r="518" spans="10:10" ht="14.25" customHeight="1">
      <c r="J518" s="5"/>
    </row>
    <row r="519" spans="10:10" ht="14.25" customHeight="1">
      <c r="J519" s="5"/>
    </row>
    <row r="520" spans="10:10" ht="14.25" customHeight="1">
      <c r="J520" s="5"/>
    </row>
    <row r="521" spans="10:10" ht="14.25" customHeight="1">
      <c r="J521" s="5"/>
    </row>
    <row r="522" spans="10:10" ht="14.25" customHeight="1">
      <c r="J522" s="5"/>
    </row>
    <row r="523" spans="10:10" ht="14.25" customHeight="1">
      <c r="J523" s="5"/>
    </row>
    <row r="524" spans="10:10" ht="14.25" customHeight="1">
      <c r="J524" s="5"/>
    </row>
    <row r="525" spans="10:10" ht="14.25" customHeight="1">
      <c r="J525" s="5"/>
    </row>
    <row r="526" spans="10:10" ht="14.25" customHeight="1">
      <c r="J526" s="5"/>
    </row>
    <row r="527" spans="10:10" ht="14.25" customHeight="1">
      <c r="J527" s="5"/>
    </row>
    <row r="528" spans="10:10" ht="14.25" customHeight="1">
      <c r="J528" s="5"/>
    </row>
    <row r="529" spans="10:10" ht="14.25" customHeight="1">
      <c r="J529" s="5"/>
    </row>
    <row r="530" spans="10:10" ht="14.25" customHeight="1">
      <c r="J530" s="5"/>
    </row>
    <row r="531" spans="10:10" ht="14.25" customHeight="1">
      <c r="J531" s="5"/>
    </row>
    <row r="532" spans="10:10" ht="14.25" customHeight="1">
      <c r="J532" s="5"/>
    </row>
    <row r="533" spans="10:10" ht="14.25" customHeight="1">
      <c r="J533" s="5"/>
    </row>
    <row r="534" spans="10:10" ht="14.25" customHeight="1">
      <c r="J534" s="5"/>
    </row>
    <row r="535" spans="10:10" ht="14.25" customHeight="1">
      <c r="J535" s="5"/>
    </row>
    <row r="536" spans="10:10" ht="14.25" customHeight="1">
      <c r="J536" s="5"/>
    </row>
    <row r="537" spans="10:10" ht="14.25" customHeight="1">
      <c r="J537" s="5"/>
    </row>
    <row r="538" spans="10:10" ht="14.25" customHeight="1">
      <c r="J538" s="5"/>
    </row>
    <row r="539" spans="10:10" ht="14.25" customHeight="1">
      <c r="J539" s="5"/>
    </row>
    <row r="540" spans="10:10" ht="14.25" customHeight="1">
      <c r="J540" s="5"/>
    </row>
    <row r="541" spans="10:10" ht="14.25" customHeight="1">
      <c r="J541" s="5"/>
    </row>
    <row r="542" spans="10:10" ht="14.25" customHeight="1">
      <c r="J542" s="5"/>
    </row>
    <row r="543" spans="10:10" ht="14.25" customHeight="1">
      <c r="J543" s="5"/>
    </row>
    <row r="544" spans="10:10" ht="14.25" customHeight="1">
      <c r="J544" s="5"/>
    </row>
    <row r="545" spans="10:10" ht="14.25" customHeight="1">
      <c r="J545" s="5"/>
    </row>
    <row r="546" spans="10:10" ht="14.25" customHeight="1">
      <c r="J546" s="5"/>
    </row>
    <row r="547" spans="10:10" ht="14.25" customHeight="1">
      <c r="J547" s="5"/>
    </row>
    <row r="548" spans="10:10" ht="14.25" customHeight="1">
      <c r="J548" s="5"/>
    </row>
    <row r="549" spans="10:10" ht="14.25" customHeight="1">
      <c r="J549" s="5"/>
    </row>
    <row r="550" spans="10:10" ht="14.25" customHeight="1">
      <c r="J550" s="5"/>
    </row>
    <row r="551" spans="10:10" ht="14.25" customHeight="1">
      <c r="J551" s="5"/>
    </row>
    <row r="552" spans="10:10" ht="14.25" customHeight="1">
      <c r="J552" s="5"/>
    </row>
    <row r="553" spans="10:10" ht="14.25" customHeight="1">
      <c r="J553" s="5"/>
    </row>
    <row r="554" spans="10:10" ht="14.25" customHeight="1">
      <c r="J554" s="5"/>
    </row>
    <row r="555" spans="10:10" ht="14.25" customHeight="1">
      <c r="J555" s="5"/>
    </row>
    <row r="556" spans="10:10" ht="14.25" customHeight="1">
      <c r="J556" s="5"/>
    </row>
    <row r="557" spans="10:10" ht="14.25" customHeight="1">
      <c r="J557" s="5"/>
    </row>
    <row r="558" spans="10:10" ht="14.25" customHeight="1">
      <c r="J558" s="5"/>
    </row>
    <row r="559" spans="10:10" ht="14.25" customHeight="1">
      <c r="J559" s="5"/>
    </row>
    <row r="560" spans="10:10" ht="14.25" customHeight="1">
      <c r="J560" s="5"/>
    </row>
    <row r="561" spans="10:10" ht="14.25" customHeight="1">
      <c r="J561" s="5"/>
    </row>
    <row r="562" spans="10:10" ht="14.25" customHeight="1">
      <c r="J562" s="5"/>
    </row>
    <row r="563" spans="10:10" ht="14.25" customHeight="1">
      <c r="J563" s="5"/>
    </row>
    <row r="564" spans="10:10" ht="14.25" customHeight="1">
      <c r="J564" s="5"/>
    </row>
    <row r="565" spans="10:10" ht="14.25" customHeight="1">
      <c r="J565" s="5"/>
    </row>
    <row r="566" spans="10:10" ht="14.25" customHeight="1">
      <c r="J566" s="5"/>
    </row>
    <row r="567" spans="10:10" ht="14.25" customHeight="1">
      <c r="J567" s="5"/>
    </row>
    <row r="568" spans="10:10" ht="14.25" customHeight="1">
      <c r="J568" s="5"/>
    </row>
    <row r="569" spans="10:10" ht="14.25" customHeight="1">
      <c r="J569" s="5"/>
    </row>
    <row r="570" spans="10:10" ht="14.25" customHeight="1">
      <c r="J570" s="5"/>
    </row>
    <row r="571" spans="10:10" ht="14.25" customHeight="1">
      <c r="J571" s="5"/>
    </row>
    <row r="572" spans="10:10" ht="14.25" customHeight="1">
      <c r="J572" s="5"/>
    </row>
    <row r="573" spans="10:10" ht="14.25" customHeight="1">
      <c r="J573" s="5"/>
    </row>
    <row r="574" spans="10:10" ht="14.25" customHeight="1">
      <c r="J574" s="5"/>
    </row>
    <row r="575" spans="10:10" ht="14.25" customHeight="1">
      <c r="J575" s="5"/>
    </row>
    <row r="576" spans="10:10" ht="14.25" customHeight="1">
      <c r="J576" s="5"/>
    </row>
    <row r="577" spans="10:10" ht="14.25" customHeight="1">
      <c r="J577" s="5"/>
    </row>
    <row r="578" spans="10:10" ht="14.25" customHeight="1">
      <c r="J578" s="5"/>
    </row>
    <row r="579" spans="10:10" ht="14.25" customHeight="1">
      <c r="J579" s="5"/>
    </row>
    <row r="580" spans="10:10" ht="14.25" customHeight="1">
      <c r="J580" s="5"/>
    </row>
    <row r="581" spans="10:10" ht="14.25" customHeight="1">
      <c r="J581" s="5"/>
    </row>
    <row r="582" spans="10:10" ht="14.25" customHeight="1">
      <c r="J582" s="5"/>
    </row>
    <row r="583" spans="10:10" ht="14.25" customHeight="1">
      <c r="J583" s="5"/>
    </row>
    <row r="584" spans="10:10" ht="14.25" customHeight="1">
      <c r="J584" s="5"/>
    </row>
    <row r="585" spans="10:10" ht="14.25" customHeight="1">
      <c r="J585" s="5"/>
    </row>
    <row r="586" spans="10:10" ht="14.25" customHeight="1">
      <c r="J586" s="5"/>
    </row>
    <row r="587" spans="10:10" ht="14.25" customHeight="1">
      <c r="J587" s="5"/>
    </row>
    <row r="588" spans="10:10" ht="14.25" customHeight="1">
      <c r="J588" s="5"/>
    </row>
    <row r="589" spans="10:10" ht="14.25" customHeight="1">
      <c r="J589" s="5"/>
    </row>
    <row r="590" spans="10:10" ht="14.25" customHeight="1">
      <c r="J590" s="5"/>
    </row>
    <row r="591" spans="10:10" ht="14.25" customHeight="1">
      <c r="J591" s="5"/>
    </row>
    <row r="592" spans="10:10" ht="14.25" customHeight="1">
      <c r="J592" s="5"/>
    </row>
    <row r="593" spans="10:10" ht="14.25" customHeight="1">
      <c r="J593" s="5"/>
    </row>
    <row r="594" spans="10:10" ht="14.25" customHeight="1">
      <c r="J594" s="5"/>
    </row>
    <row r="595" spans="10:10" ht="14.25" customHeight="1">
      <c r="J595" s="5"/>
    </row>
    <row r="596" spans="10:10" ht="14.25" customHeight="1">
      <c r="J596" s="5"/>
    </row>
    <row r="597" spans="10:10" ht="14.25" customHeight="1">
      <c r="J597" s="5"/>
    </row>
    <row r="598" spans="10:10" ht="14.25" customHeight="1">
      <c r="J598" s="5"/>
    </row>
    <row r="599" spans="10:10" ht="14.25" customHeight="1">
      <c r="J599" s="5"/>
    </row>
    <row r="600" spans="10:10" ht="14.25" customHeight="1">
      <c r="J600" s="5"/>
    </row>
    <row r="601" spans="10:10" ht="14.25" customHeight="1">
      <c r="J601" s="5"/>
    </row>
    <row r="602" spans="10:10" ht="14.25" customHeight="1">
      <c r="J602" s="5"/>
    </row>
    <row r="603" spans="10:10" ht="14.25" customHeight="1">
      <c r="J603" s="5"/>
    </row>
    <row r="604" spans="10:10" ht="14.25" customHeight="1">
      <c r="J604" s="5"/>
    </row>
    <row r="605" spans="10:10" ht="14.25" customHeight="1">
      <c r="J605" s="5"/>
    </row>
    <row r="606" spans="10:10" ht="14.25" customHeight="1">
      <c r="J606" s="5"/>
    </row>
    <row r="607" spans="10:10" ht="14.25" customHeight="1">
      <c r="J607" s="5"/>
    </row>
    <row r="608" spans="10:10" ht="14.25" customHeight="1">
      <c r="J608" s="5"/>
    </row>
    <row r="609" spans="10:10" ht="14.25" customHeight="1">
      <c r="J609" s="5"/>
    </row>
    <row r="610" spans="10:10" ht="14.25" customHeight="1">
      <c r="J610" s="5"/>
    </row>
    <row r="611" spans="10:10" ht="14.25" customHeight="1">
      <c r="J611" s="5"/>
    </row>
    <row r="612" spans="10:10" ht="14.25" customHeight="1">
      <c r="J612" s="5"/>
    </row>
    <row r="613" spans="10:10" ht="14.25" customHeight="1">
      <c r="J613" s="5"/>
    </row>
    <row r="614" spans="10:10" ht="14.25" customHeight="1">
      <c r="J614" s="5"/>
    </row>
    <row r="615" spans="10:10" ht="14.25" customHeight="1">
      <c r="J615" s="5"/>
    </row>
    <row r="616" spans="10:10" ht="14.25" customHeight="1">
      <c r="J616" s="5"/>
    </row>
    <row r="617" spans="10:10" ht="14.25" customHeight="1">
      <c r="J617" s="5"/>
    </row>
    <row r="618" spans="10:10" ht="14.25" customHeight="1">
      <c r="J618" s="5"/>
    </row>
    <row r="619" spans="10:10" ht="14.25" customHeight="1">
      <c r="J619" s="5"/>
    </row>
    <row r="620" spans="10:10" ht="14.25" customHeight="1">
      <c r="J620" s="5"/>
    </row>
    <row r="621" spans="10:10" ht="14.25" customHeight="1">
      <c r="J621" s="5"/>
    </row>
    <row r="622" spans="10:10" ht="14.25" customHeight="1">
      <c r="J622" s="5"/>
    </row>
    <row r="623" spans="10:10" ht="14.25" customHeight="1">
      <c r="J623" s="5"/>
    </row>
    <row r="624" spans="10:10" ht="14.25" customHeight="1">
      <c r="J624" s="5"/>
    </row>
    <row r="625" spans="10:10" ht="14.25" customHeight="1">
      <c r="J625" s="5"/>
    </row>
    <row r="626" spans="10:10" ht="14.25" customHeight="1">
      <c r="J626" s="5"/>
    </row>
    <row r="627" spans="10:10" ht="14.25" customHeight="1">
      <c r="J627" s="5"/>
    </row>
    <row r="628" spans="10:10" ht="14.25" customHeight="1">
      <c r="J628" s="5"/>
    </row>
    <row r="629" spans="10:10" ht="14.25" customHeight="1">
      <c r="J629" s="5"/>
    </row>
    <row r="630" spans="10:10" ht="14.25" customHeight="1">
      <c r="J630" s="5"/>
    </row>
    <row r="631" spans="10:10" ht="14.25" customHeight="1">
      <c r="J631" s="5"/>
    </row>
    <row r="632" spans="10:10" ht="14.25" customHeight="1">
      <c r="J632" s="5"/>
    </row>
    <row r="633" spans="10:10" ht="14.25" customHeight="1">
      <c r="J633" s="5"/>
    </row>
    <row r="634" spans="10:10" ht="14.25" customHeight="1">
      <c r="J634" s="5"/>
    </row>
    <row r="635" spans="10:10" ht="14.25" customHeight="1">
      <c r="J635" s="5"/>
    </row>
    <row r="636" spans="10:10" ht="14.25" customHeight="1">
      <c r="J636" s="5"/>
    </row>
    <row r="637" spans="10:10" ht="14.25" customHeight="1">
      <c r="J637" s="5"/>
    </row>
    <row r="638" spans="10:10" ht="14.25" customHeight="1">
      <c r="J638" s="5"/>
    </row>
    <row r="639" spans="10:10" ht="14.25" customHeight="1">
      <c r="J639" s="5"/>
    </row>
    <row r="640" spans="10:10" ht="14.25" customHeight="1">
      <c r="J640" s="5"/>
    </row>
    <row r="641" spans="10:10" ht="14.25" customHeight="1">
      <c r="J641" s="5"/>
    </row>
    <row r="642" spans="10:10" ht="14.25" customHeight="1">
      <c r="J642" s="5"/>
    </row>
    <row r="643" spans="10:10" ht="14.25" customHeight="1">
      <c r="J643" s="5"/>
    </row>
    <row r="644" spans="10:10" ht="14.25" customHeight="1">
      <c r="J644" s="5"/>
    </row>
    <row r="645" spans="10:10" ht="14.25" customHeight="1">
      <c r="J645" s="5"/>
    </row>
    <row r="646" spans="10:10" ht="14.25" customHeight="1">
      <c r="J646" s="5"/>
    </row>
    <row r="647" spans="10:10" ht="14.25" customHeight="1">
      <c r="J647" s="5"/>
    </row>
    <row r="648" spans="10:10" ht="14.25" customHeight="1">
      <c r="J648" s="5"/>
    </row>
    <row r="649" spans="10:10" ht="14.25" customHeight="1">
      <c r="J649" s="5"/>
    </row>
    <row r="650" spans="10:10" ht="14.25" customHeight="1">
      <c r="J650" s="5"/>
    </row>
    <row r="651" spans="10:10" ht="14.25" customHeight="1">
      <c r="J651" s="5"/>
    </row>
    <row r="652" spans="10:10" ht="14.25" customHeight="1">
      <c r="J652" s="5"/>
    </row>
    <row r="653" spans="10:10" ht="14.25" customHeight="1">
      <c r="J653" s="5"/>
    </row>
    <row r="654" spans="10:10" ht="14.25" customHeight="1">
      <c r="J654" s="5"/>
    </row>
    <row r="655" spans="10:10" ht="14.25" customHeight="1">
      <c r="J655" s="5"/>
    </row>
    <row r="656" spans="10:10" ht="14.25" customHeight="1">
      <c r="J656" s="5"/>
    </row>
    <row r="657" spans="10:10" ht="14.25" customHeight="1">
      <c r="J657" s="5"/>
    </row>
    <row r="658" spans="10:10" ht="14.25" customHeight="1">
      <c r="J658" s="5"/>
    </row>
    <row r="659" spans="10:10" ht="14.25" customHeight="1">
      <c r="J659" s="5"/>
    </row>
    <row r="660" spans="10:10" ht="14.25" customHeight="1">
      <c r="J660" s="5"/>
    </row>
    <row r="661" spans="10:10" ht="14.25" customHeight="1">
      <c r="J661" s="5"/>
    </row>
    <row r="662" spans="10:10" ht="14.25" customHeight="1">
      <c r="J662" s="5"/>
    </row>
    <row r="663" spans="10:10" ht="14.25" customHeight="1">
      <c r="J663" s="5"/>
    </row>
    <row r="664" spans="10:10" ht="14.25" customHeight="1">
      <c r="J664" s="5"/>
    </row>
    <row r="665" spans="10:10" ht="14.25" customHeight="1">
      <c r="J665" s="5"/>
    </row>
    <row r="666" spans="10:10" ht="14.25" customHeight="1">
      <c r="J666" s="5"/>
    </row>
    <row r="667" spans="10:10" ht="14.25" customHeight="1">
      <c r="J667" s="5"/>
    </row>
    <row r="668" spans="10:10" ht="14.25" customHeight="1">
      <c r="J668" s="5"/>
    </row>
    <row r="669" spans="10:10" ht="14.25" customHeight="1">
      <c r="J669" s="5"/>
    </row>
    <row r="670" spans="10:10" ht="14.25" customHeight="1">
      <c r="J670" s="5"/>
    </row>
    <row r="671" spans="10:10" ht="14.25" customHeight="1">
      <c r="J671" s="5"/>
    </row>
    <row r="672" spans="10:10" ht="14.25" customHeight="1">
      <c r="J672" s="5"/>
    </row>
    <row r="673" spans="10:10" ht="14.25" customHeight="1">
      <c r="J673" s="5"/>
    </row>
    <row r="674" spans="10:10" ht="14.25" customHeight="1">
      <c r="J674" s="5"/>
    </row>
    <row r="675" spans="10:10" ht="14.25" customHeight="1">
      <c r="J675" s="5"/>
    </row>
    <row r="676" spans="10:10" ht="14.25" customHeight="1">
      <c r="J676" s="5"/>
    </row>
    <row r="677" spans="10:10" ht="14.25" customHeight="1">
      <c r="J677" s="5"/>
    </row>
    <row r="678" spans="10:10" ht="14.25" customHeight="1">
      <c r="J678" s="5"/>
    </row>
    <row r="679" spans="10:10" ht="14.25" customHeight="1">
      <c r="J679" s="5"/>
    </row>
    <row r="680" spans="10:10" ht="14.25" customHeight="1">
      <c r="J680" s="5"/>
    </row>
    <row r="681" spans="10:10" ht="14.25" customHeight="1">
      <c r="J681" s="5"/>
    </row>
    <row r="682" spans="10:10" ht="14.25" customHeight="1">
      <c r="J682" s="5"/>
    </row>
    <row r="683" spans="10:10" ht="14.25" customHeight="1">
      <c r="J683" s="5"/>
    </row>
    <row r="684" spans="10:10" ht="14.25" customHeight="1">
      <c r="J684" s="5"/>
    </row>
    <row r="685" spans="10:10" ht="14.25" customHeight="1">
      <c r="J685" s="5"/>
    </row>
    <row r="686" spans="10:10" ht="14.25" customHeight="1">
      <c r="J686" s="5"/>
    </row>
    <row r="687" spans="10:10" ht="14.25" customHeight="1">
      <c r="J687" s="5"/>
    </row>
    <row r="688" spans="10:10" ht="14.25" customHeight="1">
      <c r="J688" s="5"/>
    </row>
    <row r="689" spans="10:10" ht="14.25" customHeight="1">
      <c r="J689" s="5"/>
    </row>
    <row r="690" spans="10:10" ht="14.25" customHeight="1">
      <c r="J690" s="5"/>
    </row>
    <row r="691" spans="10:10" ht="14.25" customHeight="1">
      <c r="J691" s="5"/>
    </row>
    <row r="692" spans="10:10" ht="14.25" customHeight="1">
      <c r="J692" s="5"/>
    </row>
    <row r="693" spans="10:10" ht="14.25" customHeight="1">
      <c r="J693" s="5"/>
    </row>
    <row r="694" spans="10:10" ht="14.25" customHeight="1">
      <c r="J694" s="5"/>
    </row>
    <row r="695" spans="10:10" ht="14.25" customHeight="1">
      <c r="J695" s="5"/>
    </row>
    <row r="696" spans="10:10" ht="14.25" customHeight="1">
      <c r="J696" s="5"/>
    </row>
    <row r="697" spans="10:10" ht="14.25" customHeight="1">
      <c r="J697" s="5"/>
    </row>
    <row r="698" spans="10:10" ht="14.25" customHeight="1">
      <c r="J698" s="5"/>
    </row>
    <row r="699" spans="10:10" ht="14.25" customHeight="1">
      <c r="J699" s="5"/>
    </row>
    <row r="700" spans="10:10" ht="14.25" customHeight="1">
      <c r="J700" s="5"/>
    </row>
    <row r="701" spans="10:10" ht="14.25" customHeight="1">
      <c r="J701" s="5"/>
    </row>
    <row r="702" spans="10:10" ht="14.25" customHeight="1">
      <c r="J702" s="5"/>
    </row>
    <row r="703" spans="10:10" ht="14.25" customHeight="1">
      <c r="J703" s="5"/>
    </row>
    <row r="704" spans="10:10" ht="14.25" customHeight="1">
      <c r="J704" s="5"/>
    </row>
    <row r="705" spans="10:10" ht="14.25" customHeight="1">
      <c r="J705" s="5"/>
    </row>
    <row r="706" spans="10:10" ht="14.25" customHeight="1">
      <c r="J706" s="5"/>
    </row>
    <row r="707" spans="10:10" ht="14.25" customHeight="1">
      <c r="J707" s="5"/>
    </row>
    <row r="708" spans="10:10" ht="14.25" customHeight="1">
      <c r="J708" s="5"/>
    </row>
    <row r="709" spans="10:10" ht="14.25" customHeight="1">
      <c r="J709" s="5"/>
    </row>
    <row r="710" spans="10:10" ht="14.25" customHeight="1">
      <c r="J710" s="5"/>
    </row>
    <row r="711" spans="10:10" ht="14.25" customHeight="1">
      <c r="J711" s="5"/>
    </row>
    <row r="712" spans="10:10" ht="14.25" customHeight="1">
      <c r="J712" s="5"/>
    </row>
    <row r="713" spans="10:10" ht="14.25" customHeight="1">
      <c r="J713" s="5"/>
    </row>
    <row r="714" spans="10:10" ht="14.25" customHeight="1">
      <c r="J714" s="5"/>
    </row>
    <row r="715" spans="10:10" ht="14.25" customHeight="1">
      <c r="J715" s="5"/>
    </row>
    <row r="716" spans="10:10" ht="14.25" customHeight="1">
      <c r="J716" s="5"/>
    </row>
    <row r="717" spans="10:10" ht="14.25" customHeight="1">
      <c r="J717" s="5"/>
    </row>
    <row r="718" spans="10:10" ht="14.25" customHeight="1">
      <c r="J718" s="5"/>
    </row>
    <row r="719" spans="10:10" ht="14.25" customHeight="1">
      <c r="J719" s="5"/>
    </row>
    <row r="720" spans="10:10" ht="14.25" customHeight="1">
      <c r="J720" s="5"/>
    </row>
    <row r="721" spans="10:10" ht="14.25" customHeight="1">
      <c r="J721" s="5"/>
    </row>
    <row r="722" spans="10:10" ht="14.25" customHeight="1">
      <c r="J722" s="5"/>
    </row>
    <row r="723" spans="10:10" ht="14.25" customHeight="1">
      <c r="J723" s="5"/>
    </row>
    <row r="724" spans="10:10" ht="14.25" customHeight="1">
      <c r="J724" s="5"/>
    </row>
    <row r="725" spans="10:10" ht="14.25" customHeight="1">
      <c r="J725" s="5"/>
    </row>
    <row r="726" spans="10:10" ht="14.25" customHeight="1">
      <c r="J726" s="5"/>
    </row>
    <row r="727" spans="10:10" ht="14.25" customHeight="1">
      <c r="J727" s="5"/>
    </row>
    <row r="728" spans="10:10" ht="14.25" customHeight="1">
      <c r="J728" s="5"/>
    </row>
    <row r="729" spans="10:10" ht="14.25" customHeight="1">
      <c r="J729" s="5"/>
    </row>
    <row r="730" spans="10:10" ht="14.25" customHeight="1">
      <c r="J730" s="5"/>
    </row>
    <row r="731" spans="10:10" ht="14.25" customHeight="1">
      <c r="J731" s="5"/>
    </row>
    <row r="732" spans="10:10" ht="14.25" customHeight="1">
      <c r="J732" s="5"/>
    </row>
    <row r="733" spans="10:10" ht="14.25" customHeight="1">
      <c r="J733" s="5"/>
    </row>
    <row r="734" spans="10:10" ht="14.25" customHeight="1">
      <c r="J734" s="5"/>
    </row>
    <row r="735" spans="10:10" ht="14.25" customHeight="1">
      <c r="J735" s="5"/>
    </row>
    <row r="736" spans="10:10" ht="14.25" customHeight="1">
      <c r="J736" s="5"/>
    </row>
    <row r="737" spans="10:10" ht="14.25" customHeight="1">
      <c r="J737" s="5"/>
    </row>
    <row r="738" spans="10:10" ht="14.25" customHeight="1">
      <c r="J738" s="5"/>
    </row>
    <row r="739" spans="10:10" ht="14.25" customHeight="1">
      <c r="J739" s="5"/>
    </row>
    <row r="740" spans="10:10" ht="14.25" customHeight="1">
      <c r="J740" s="5"/>
    </row>
    <row r="741" spans="10:10" ht="14.25" customHeight="1">
      <c r="J741" s="5"/>
    </row>
    <row r="742" spans="10:10" ht="14.25" customHeight="1">
      <c r="J742" s="5"/>
    </row>
    <row r="743" spans="10:10" ht="14.25" customHeight="1">
      <c r="J743" s="5"/>
    </row>
    <row r="744" spans="10:10" ht="14.25" customHeight="1">
      <c r="J744" s="5"/>
    </row>
    <row r="745" spans="10:10" ht="14.25" customHeight="1">
      <c r="J745" s="5"/>
    </row>
    <row r="746" spans="10:10" ht="14.25" customHeight="1">
      <c r="J746" s="5"/>
    </row>
    <row r="747" spans="10:10" ht="14.25" customHeight="1">
      <c r="J747" s="5"/>
    </row>
    <row r="748" spans="10:10" ht="14.25" customHeight="1">
      <c r="J748" s="5"/>
    </row>
    <row r="749" spans="10:10" ht="14.25" customHeight="1">
      <c r="J749" s="5"/>
    </row>
    <row r="750" spans="10:10" ht="14.25" customHeight="1">
      <c r="J750" s="5"/>
    </row>
    <row r="751" spans="10:10" ht="14.25" customHeight="1">
      <c r="J751" s="5"/>
    </row>
    <row r="752" spans="10:10" ht="14.25" customHeight="1">
      <c r="J752" s="5"/>
    </row>
    <row r="753" spans="10:10" ht="14.25" customHeight="1">
      <c r="J753" s="5"/>
    </row>
    <row r="754" spans="10:10" ht="14.25" customHeight="1">
      <c r="J754" s="5"/>
    </row>
    <row r="755" spans="10:10" ht="14.25" customHeight="1">
      <c r="J755" s="5"/>
    </row>
    <row r="756" spans="10:10" ht="14.25" customHeight="1">
      <c r="J756" s="5"/>
    </row>
    <row r="757" spans="10:10" ht="14.25" customHeight="1">
      <c r="J757" s="5"/>
    </row>
    <row r="758" spans="10:10" ht="14.25" customHeight="1">
      <c r="J758" s="5"/>
    </row>
    <row r="759" spans="10:10" ht="14.25" customHeight="1">
      <c r="J759" s="5"/>
    </row>
    <row r="760" spans="10:10" ht="14.25" customHeight="1">
      <c r="J760" s="5"/>
    </row>
    <row r="761" spans="10:10" ht="14.25" customHeight="1">
      <c r="J761" s="5"/>
    </row>
    <row r="762" spans="10:10" ht="14.25" customHeight="1">
      <c r="J762" s="5"/>
    </row>
    <row r="763" spans="10:10" ht="14.25" customHeight="1">
      <c r="J763" s="5"/>
    </row>
    <row r="764" spans="10:10" ht="14.25" customHeight="1">
      <c r="J764" s="5"/>
    </row>
    <row r="765" spans="10:10" ht="14.25" customHeight="1">
      <c r="J765" s="5"/>
    </row>
    <row r="766" spans="10:10" ht="14.25" customHeight="1">
      <c r="J766" s="5"/>
    </row>
    <row r="767" spans="10:10" ht="14.25" customHeight="1">
      <c r="J767" s="5"/>
    </row>
    <row r="768" spans="10:10" ht="14.25" customHeight="1">
      <c r="J768" s="5"/>
    </row>
    <row r="769" spans="10:10" ht="14.25" customHeight="1">
      <c r="J769" s="5"/>
    </row>
    <row r="770" spans="10:10" ht="14.25" customHeight="1">
      <c r="J770" s="5"/>
    </row>
    <row r="771" spans="10:10" ht="14.25" customHeight="1">
      <c r="J771" s="5"/>
    </row>
    <row r="772" spans="10:10" ht="14.25" customHeight="1">
      <c r="J772" s="5"/>
    </row>
    <row r="773" spans="10:10" ht="14.25" customHeight="1">
      <c r="J773" s="5"/>
    </row>
    <row r="774" spans="10:10" ht="14.25" customHeight="1">
      <c r="J774" s="5"/>
    </row>
    <row r="775" spans="10:10" ht="14.25" customHeight="1">
      <c r="J775" s="5"/>
    </row>
    <row r="776" spans="10:10" ht="14.25" customHeight="1">
      <c r="J776" s="5"/>
    </row>
    <row r="777" spans="10:10" ht="14.25" customHeight="1">
      <c r="J777" s="5"/>
    </row>
    <row r="778" spans="10:10" ht="14.25" customHeight="1">
      <c r="J778" s="5"/>
    </row>
    <row r="779" spans="10:10" ht="14.25" customHeight="1">
      <c r="J779" s="5"/>
    </row>
    <row r="780" spans="10:10" ht="14.25" customHeight="1">
      <c r="J780" s="5"/>
    </row>
    <row r="781" spans="10:10" ht="14.25" customHeight="1">
      <c r="J781" s="5"/>
    </row>
    <row r="782" spans="10:10" ht="14.25" customHeight="1">
      <c r="J782" s="5"/>
    </row>
    <row r="783" spans="10:10" ht="14.25" customHeight="1">
      <c r="J783" s="5"/>
    </row>
    <row r="784" spans="10:10" ht="14.25" customHeight="1">
      <c r="J784" s="5"/>
    </row>
    <row r="785" spans="10:10" ht="14.25" customHeight="1">
      <c r="J785" s="5"/>
    </row>
    <row r="786" spans="10:10" ht="14.25" customHeight="1">
      <c r="J786" s="5"/>
    </row>
    <row r="787" spans="10:10" ht="14.25" customHeight="1">
      <c r="J787" s="5"/>
    </row>
    <row r="788" spans="10:10" ht="14.25" customHeight="1">
      <c r="J788" s="5"/>
    </row>
    <row r="789" spans="10:10" ht="14.25" customHeight="1">
      <c r="J789" s="5"/>
    </row>
    <row r="790" spans="10:10" ht="14.25" customHeight="1">
      <c r="J790" s="5"/>
    </row>
    <row r="791" spans="10:10" ht="14.25" customHeight="1">
      <c r="J791" s="5"/>
    </row>
    <row r="792" spans="10:10" ht="14.25" customHeight="1">
      <c r="J792" s="5"/>
    </row>
    <row r="793" spans="10:10" ht="14.25" customHeight="1">
      <c r="J793" s="5"/>
    </row>
    <row r="794" spans="10:10" ht="14.25" customHeight="1">
      <c r="J794" s="5"/>
    </row>
    <row r="795" spans="10:10" ht="14.25" customHeight="1">
      <c r="J795" s="5"/>
    </row>
    <row r="796" spans="10:10" ht="14.25" customHeight="1">
      <c r="J796" s="5"/>
    </row>
    <row r="797" spans="10:10" ht="14.25" customHeight="1">
      <c r="J797" s="5"/>
    </row>
    <row r="798" spans="10:10" ht="14.25" customHeight="1">
      <c r="J798" s="5"/>
    </row>
    <row r="799" spans="10:10" ht="14.25" customHeight="1">
      <c r="J799" s="5"/>
    </row>
    <row r="800" spans="10:10" ht="14.25" customHeight="1">
      <c r="J800" s="5"/>
    </row>
    <row r="801" spans="10:10" ht="14.25" customHeight="1">
      <c r="J801" s="5"/>
    </row>
    <row r="802" spans="10:10" ht="14.25" customHeight="1">
      <c r="J802" s="5"/>
    </row>
    <row r="803" spans="10:10" ht="14.25" customHeight="1">
      <c r="J803" s="5"/>
    </row>
    <row r="804" spans="10:10" ht="14.25" customHeight="1">
      <c r="J804" s="5"/>
    </row>
    <row r="805" spans="10:10" ht="14.25" customHeight="1">
      <c r="J805" s="5"/>
    </row>
    <row r="806" spans="10:10" ht="14.25" customHeight="1">
      <c r="J806" s="5"/>
    </row>
    <row r="807" spans="10:10" ht="14.25" customHeight="1">
      <c r="J807" s="5"/>
    </row>
    <row r="808" spans="10:10" ht="14.25" customHeight="1">
      <c r="J808" s="5"/>
    </row>
    <row r="809" spans="10:10" ht="14.25" customHeight="1">
      <c r="J809" s="5"/>
    </row>
    <row r="810" spans="10:10" ht="14.25" customHeight="1">
      <c r="J810" s="5"/>
    </row>
    <row r="811" spans="10:10" ht="14.25" customHeight="1">
      <c r="J811" s="5"/>
    </row>
    <row r="812" spans="10:10" ht="14.25" customHeight="1">
      <c r="J812" s="5"/>
    </row>
    <row r="813" spans="10:10" ht="14.25" customHeight="1">
      <c r="J813" s="5"/>
    </row>
    <row r="814" spans="10:10" ht="14.25" customHeight="1">
      <c r="J814" s="5"/>
    </row>
    <row r="815" spans="10:10" ht="14.25" customHeight="1">
      <c r="J815" s="5"/>
    </row>
    <row r="816" spans="10:10" ht="14.25" customHeight="1">
      <c r="J816" s="5"/>
    </row>
    <row r="817" spans="10:10" ht="14.25" customHeight="1">
      <c r="J817" s="5"/>
    </row>
    <row r="818" spans="10:10" ht="14.25" customHeight="1">
      <c r="J818" s="5"/>
    </row>
    <row r="819" spans="10:10" ht="14.25" customHeight="1">
      <c r="J819" s="5"/>
    </row>
    <row r="820" spans="10:10" ht="14.25" customHeight="1">
      <c r="J820" s="5"/>
    </row>
    <row r="821" spans="10:10" ht="14.25" customHeight="1">
      <c r="J821" s="5"/>
    </row>
    <row r="822" spans="10:10" ht="14.25" customHeight="1">
      <c r="J822" s="5"/>
    </row>
    <row r="823" spans="10:10" ht="14.25" customHeight="1">
      <c r="J823" s="5"/>
    </row>
    <row r="824" spans="10:10" ht="14.25" customHeight="1">
      <c r="J824" s="5"/>
    </row>
    <row r="825" spans="10:10" ht="14.25" customHeight="1">
      <c r="J825" s="5"/>
    </row>
    <row r="826" spans="10:10" ht="14.25" customHeight="1">
      <c r="J826" s="5"/>
    </row>
    <row r="827" spans="10:10" ht="14.25" customHeight="1">
      <c r="J827" s="5"/>
    </row>
    <row r="828" spans="10:10" ht="14.25" customHeight="1">
      <c r="J828" s="5"/>
    </row>
    <row r="829" spans="10:10" ht="14.25" customHeight="1">
      <c r="J829" s="5"/>
    </row>
    <row r="830" spans="10:10" ht="14.25" customHeight="1">
      <c r="J830" s="5"/>
    </row>
    <row r="831" spans="10:10" ht="14.25" customHeight="1">
      <c r="J831" s="5"/>
    </row>
    <row r="832" spans="10:10" ht="14.25" customHeight="1">
      <c r="J832" s="5"/>
    </row>
    <row r="833" spans="10:10" ht="14.25" customHeight="1">
      <c r="J833" s="5"/>
    </row>
    <row r="834" spans="10:10" ht="14.25" customHeight="1">
      <c r="J834" s="5"/>
    </row>
    <row r="835" spans="10:10" ht="14.25" customHeight="1">
      <c r="J835" s="5"/>
    </row>
    <row r="836" spans="10:10" ht="14.25" customHeight="1">
      <c r="J836" s="5"/>
    </row>
    <row r="837" spans="10:10" ht="14.25" customHeight="1">
      <c r="J837" s="5"/>
    </row>
    <row r="838" spans="10:10" ht="14.25" customHeight="1">
      <c r="J838" s="5"/>
    </row>
    <row r="839" spans="10:10" ht="14.25" customHeight="1">
      <c r="J839" s="5"/>
    </row>
    <row r="840" spans="10:10" ht="14.25" customHeight="1">
      <c r="J840" s="5"/>
    </row>
    <row r="841" spans="10:10" ht="14.25" customHeight="1">
      <c r="J841" s="5"/>
    </row>
    <row r="842" spans="10:10" ht="14.25" customHeight="1">
      <c r="J842" s="5"/>
    </row>
    <row r="843" spans="10:10" ht="14.25" customHeight="1">
      <c r="J843" s="5"/>
    </row>
    <row r="844" spans="10:10" ht="14.25" customHeight="1">
      <c r="J844" s="5"/>
    </row>
    <row r="845" spans="10:10" ht="14.25" customHeight="1">
      <c r="J845" s="5"/>
    </row>
    <row r="846" spans="10:10" ht="14.25" customHeight="1">
      <c r="J846" s="5"/>
    </row>
    <row r="847" spans="10:10" ht="14.25" customHeight="1">
      <c r="J847" s="5"/>
    </row>
    <row r="848" spans="10:10" ht="14.25" customHeight="1">
      <c r="J848" s="5"/>
    </row>
    <row r="849" spans="10:10" ht="14.25" customHeight="1">
      <c r="J849" s="5"/>
    </row>
    <row r="850" spans="10:10" ht="14.25" customHeight="1">
      <c r="J850" s="5"/>
    </row>
    <row r="851" spans="10:10" ht="14.25" customHeight="1">
      <c r="J851" s="5"/>
    </row>
    <row r="852" spans="10:10" ht="14.25" customHeight="1">
      <c r="J852" s="5"/>
    </row>
    <row r="853" spans="10:10" ht="14.25" customHeight="1">
      <c r="J853" s="5"/>
    </row>
    <row r="854" spans="10:10" ht="14.25" customHeight="1">
      <c r="J854" s="5"/>
    </row>
    <row r="855" spans="10:10" ht="14.25" customHeight="1">
      <c r="J855" s="5"/>
    </row>
    <row r="856" spans="10:10" ht="14.25" customHeight="1">
      <c r="J856" s="5"/>
    </row>
    <row r="857" spans="10:10" ht="14.25" customHeight="1">
      <c r="J857" s="5"/>
    </row>
    <row r="858" spans="10:10" ht="14.25" customHeight="1">
      <c r="J858" s="5"/>
    </row>
    <row r="859" spans="10:10" ht="14.25" customHeight="1">
      <c r="J859" s="5"/>
    </row>
    <row r="860" spans="10:10" ht="14.25" customHeight="1">
      <c r="J860" s="5"/>
    </row>
    <row r="861" spans="10:10" ht="14.25" customHeight="1">
      <c r="J861" s="5"/>
    </row>
    <row r="862" spans="10:10" ht="14.25" customHeight="1">
      <c r="J862" s="5"/>
    </row>
    <row r="863" spans="10:10" ht="14.25" customHeight="1">
      <c r="J863" s="5"/>
    </row>
    <row r="864" spans="10:10" ht="14.25" customHeight="1">
      <c r="J864" s="5"/>
    </row>
    <row r="865" spans="10:10" ht="14.25" customHeight="1">
      <c r="J865" s="5"/>
    </row>
    <row r="866" spans="10:10" ht="14.25" customHeight="1">
      <c r="J866" s="5"/>
    </row>
    <row r="867" spans="10:10" ht="14.25" customHeight="1">
      <c r="J867" s="5"/>
    </row>
    <row r="868" spans="10:10" ht="14.25" customHeight="1">
      <c r="J868" s="5"/>
    </row>
    <row r="869" spans="10:10" ht="14.25" customHeight="1">
      <c r="J869" s="5"/>
    </row>
    <row r="870" spans="10:10" ht="14.25" customHeight="1">
      <c r="J870" s="5"/>
    </row>
    <row r="871" spans="10:10" ht="14.25" customHeight="1">
      <c r="J871" s="5"/>
    </row>
    <row r="872" spans="10:10" ht="14.25" customHeight="1">
      <c r="J872" s="5"/>
    </row>
    <row r="873" spans="10:10" ht="14.25" customHeight="1">
      <c r="J873" s="5"/>
    </row>
    <row r="874" spans="10:10" ht="14.25" customHeight="1">
      <c r="J874" s="5"/>
    </row>
    <row r="875" spans="10:10" ht="14.25" customHeight="1">
      <c r="J875" s="5"/>
    </row>
    <row r="876" spans="10:10" ht="14.25" customHeight="1">
      <c r="J876" s="5"/>
    </row>
    <row r="877" spans="10:10" ht="14.25" customHeight="1">
      <c r="J877" s="5"/>
    </row>
    <row r="878" spans="10:10" ht="14.25" customHeight="1">
      <c r="J878" s="5"/>
    </row>
    <row r="879" spans="10:10" ht="14.25" customHeight="1">
      <c r="J879" s="5"/>
    </row>
    <row r="880" spans="10:10" ht="14.25" customHeight="1">
      <c r="J880" s="5"/>
    </row>
    <row r="881" spans="10:10" ht="14.25" customHeight="1">
      <c r="J881" s="5"/>
    </row>
    <row r="882" spans="10:10" ht="14.25" customHeight="1">
      <c r="J882" s="5"/>
    </row>
    <row r="883" spans="10:10" ht="14.25" customHeight="1">
      <c r="J883" s="5"/>
    </row>
    <row r="884" spans="10:10" ht="14.25" customHeight="1">
      <c r="J884" s="5"/>
    </row>
    <row r="885" spans="10:10" ht="14.25" customHeight="1">
      <c r="J885" s="5"/>
    </row>
    <row r="886" spans="10:10" ht="14.25" customHeight="1">
      <c r="J886" s="5"/>
    </row>
    <row r="887" spans="10:10" ht="14.25" customHeight="1">
      <c r="J887" s="5"/>
    </row>
    <row r="888" spans="10:10" ht="14.25" customHeight="1">
      <c r="J888" s="5"/>
    </row>
    <row r="889" spans="10:10" ht="14.25" customHeight="1">
      <c r="J889" s="5"/>
    </row>
    <row r="890" spans="10:10" ht="14.25" customHeight="1">
      <c r="J890" s="5"/>
    </row>
    <row r="891" spans="10:10" ht="14.25" customHeight="1">
      <c r="J891" s="5"/>
    </row>
    <row r="892" spans="10:10" ht="14.25" customHeight="1">
      <c r="J892" s="5"/>
    </row>
    <row r="893" spans="10:10" ht="14.25" customHeight="1">
      <c r="J893" s="5"/>
    </row>
    <row r="894" spans="10:10" ht="14.25" customHeight="1">
      <c r="J894" s="5"/>
    </row>
    <row r="895" spans="10:10" ht="14.25" customHeight="1">
      <c r="J895" s="5"/>
    </row>
    <row r="896" spans="10:10" ht="14.25" customHeight="1">
      <c r="J896" s="5"/>
    </row>
    <row r="897" spans="10:10" ht="14.25" customHeight="1">
      <c r="J897" s="5"/>
    </row>
    <row r="898" spans="10:10" ht="14.25" customHeight="1">
      <c r="J898" s="5"/>
    </row>
    <row r="899" spans="10:10" ht="14.25" customHeight="1">
      <c r="J899" s="5"/>
    </row>
    <row r="900" spans="10:10" ht="14.25" customHeight="1">
      <c r="J900" s="5"/>
    </row>
    <row r="901" spans="10:10" ht="14.25" customHeight="1">
      <c r="J901" s="5"/>
    </row>
    <row r="902" spans="10:10" ht="14.25" customHeight="1">
      <c r="J902" s="5"/>
    </row>
    <row r="903" spans="10:10" ht="14.25" customHeight="1">
      <c r="J903" s="5"/>
    </row>
    <row r="904" spans="10:10" ht="14.25" customHeight="1">
      <c r="J904" s="5"/>
    </row>
    <row r="905" spans="10:10" ht="14.25" customHeight="1">
      <c r="J905" s="5"/>
    </row>
    <row r="906" spans="10:10" ht="14.25" customHeight="1">
      <c r="J906" s="5"/>
    </row>
    <row r="907" spans="10:10" ht="14.25" customHeight="1">
      <c r="J907" s="5"/>
    </row>
    <row r="908" spans="10:10" ht="14.25" customHeight="1">
      <c r="J908" s="5"/>
    </row>
    <row r="909" spans="10:10" ht="14.25" customHeight="1">
      <c r="J909" s="5"/>
    </row>
    <row r="910" spans="10:10" ht="14.25" customHeight="1">
      <c r="J910" s="5"/>
    </row>
    <row r="911" spans="10:10" ht="14.25" customHeight="1">
      <c r="J911" s="5"/>
    </row>
    <row r="912" spans="10:10" ht="14.25" customHeight="1">
      <c r="J912" s="5"/>
    </row>
    <row r="913" spans="10:10" ht="14.25" customHeight="1">
      <c r="J913" s="5"/>
    </row>
    <row r="914" spans="10:10" ht="14.25" customHeight="1">
      <c r="J914" s="5"/>
    </row>
    <row r="915" spans="10:10" ht="14.25" customHeight="1">
      <c r="J915" s="5"/>
    </row>
    <row r="916" spans="10:10" ht="14.25" customHeight="1">
      <c r="J916" s="5"/>
    </row>
    <row r="917" spans="10:10" ht="14.25" customHeight="1">
      <c r="J917" s="5"/>
    </row>
    <row r="918" spans="10:10" ht="14.25" customHeight="1">
      <c r="J918" s="5"/>
    </row>
    <row r="919" spans="10:10" ht="14.25" customHeight="1">
      <c r="J919" s="5"/>
    </row>
    <row r="920" spans="10:10" ht="14.25" customHeight="1">
      <c r="J920" s="5"/>
    </row>
    <row r="921" spans="10:10" ht="14.25" customHeight="1">
      <c r="J921" s="5"/>
    </row>
    <row r="922" spans="10:10" ht="14.25" customHeight="1">
      <c r="J922" s="5"/>
    </row>
    <row r="923" spans="10:10" ht="14.25" customHeight="1">
      <c r="J923" s="5"/>
    </row>
    <row r="924" spans="10:10" ht="14.25" customHeight="1">
      <c r="J924" s="5"/>
    </row>
    <row r="925" spans="10:10" ht="14.25" customHeight="1">
      <c r="J925" s="5"/>
    </row>
    <row r="926" spans="10:10" ht="14.25" customHeight="1">
      <c r="J926" s="5"/>
    </row>
    <row r="927" spans="10:10" ht="14.25" customHeight="1">
      <c r="J927" s="5"/>
    </row>
    <row r="928" spans="10:10" ht="14.25" customHeight="1">
      <c r="J928" s="5"/>
    </row>
    <row r="929" spans="10:10" ht="14.25" customHeight="1">
      <c r="J929" s="5"/>
    </row>
    <row r="930" spans="10:10" ht="14.25" customHeight="1">
      <c r="J930" s="5"/>
    </row>
    <row r="931" spans="10:10" ht="14.25" customHeight="1">
      <c r="J931" s="5"/>
    </row>
    <row r="932" spans="10:10" ht="14.25" customHeight="1">
      <c r="J932" s="5"/>
    </row>
    <row r="933" spans="10:10" ht="14.25" customHeight="1">
      <c r="J933" s="5"/>
    </row>
    <row r="934" spans="10:10" ht="14.25" customHeight="1">
      <c r="J934" s="5"/>
    </row>
    <row r="935" spans="10:10" ht="14.25" customHeight="1">
      <c r="J935" s="5"/>
    </row>
    <row r="936" spans="10:10" ht="14.25" customHeight="1">
      <c r="J936" s="5"/>
    </row>
    <row r="937" spans="10:10" ht="14.25" customHeight="1">
      <c r="J937" s="5"/>
    </row>
    <row r="938" spans="10:10" ht="14.25" customHeight="1">
      <c r="J938" s="5"/>
    </row>
    <row r="939" spans="10:10" ht="14.25" customHeight="1">
      <c r="J939" s="5"/>
    </row>
    <row r="940" spans="10:10" ht="14.25" customHeight="1">
      <c r="J940" s="5"/>
    </row>
    <row r="941" spans="10:10" ht="14.25" customHeight="1">
      <c r="J941" s="5"/>
    </row>
    <row r="942" spans="10:10" ht="14.25" customHeight="1">
      <c r="J942" s="5"/>
    </row>
    <row r="943" spans="10:10" ht="14.25" customHeight="1">
      <c r="J943" s="5"/>
    </row>
    <row r="944" spans="10:10" ht="14.25" customHeight="1">
      <c r="J944" s="5"/>
    </row>
    <row r="945" spans="10:10" ht="14.25" customHeight="1">
      <c r="J945" s="5"/>
    </row>
    <row r="946" spans="10:10" ht="14.25" customHeight="1">
      <c r="J946" s="5"/>
    </row>
    <row r="947" spans="10:10" ht="14.25" customHeight="1">
      <c r="J947" s="5"/>
    </row>
    <row r="948" spans="10:10" ht="14.25" customHeight="1">
      <c r="J948" s="5"/>
    </row>
    <row r="949" spans="10:10" ht="14.25" customHeight="1">
      <c r="J949" s="5"/>
    </row>
    <row r="950" spans="10:10" ht="14.25" customHeight="1">
      <c r="J950" s="5"/>
    </row>
    <row r="951" spans="10:10" ht="14.25" customHeight="1">
      <c r="J951" s="5"/>
    </row>
    <row r="952" spans="10:10" ht="14.25" customHeight="1">
      <c r="J952" s="5"/>
    </row>
    <row r="953" spans="10:10" ht="14.25" customHeight="1">
      <c r="J953" s="5"/>
    </row>
    <row r="954" spans="10:10" ht="14.25" customHeight="1">
      <c r="J954" s="5"/>
    </row>
    <row r="955" spans="10:10" ht="14.25" customHeight="1">
      <c r="J955" s="5"/>
    </row>
    <row r="956" spans="10:10" ht="14.25" customHeight="1">
      <c r="J956" s="5"/>
    </row>
    <row r="957" spans="10:10" ht="14.25" customHeight="1">
      <c r="J957" s="5"/>
    </row>
    <row r="958" spans="10:10" ht="14.25" customHeight="1">
      <c r="J958" s="5"/>
    </row>
    <row r="959" spans="10:10" ht="14.25" customHeight="1">
      <c r="J959" s="5"/>
    </row>
    <row r="960" spans="10:10" ht="14.25" customHeight="1">
      <c r="J960" s="5"/>
    </row>
    <row r="961" spans="10:10" ht="14.25" customHeight="1">
      <c r="J961" s="5"/>
    </row>
    <row r="962" spans="10:10" ht="14.25" customHeight="1">
      <c r="J962" s="5"/>
    </row>
    <row r="963" spans="10:10" ht="14.25" customHeight="1">
      <c r="J963" s="5"/>
    </row>
    <row r="964" spans="10:10" ht="14.25" customHeight="1">
      <c r="J964" s="5"/>
    </row>
    <row r="965" spans="10:10" ht="14.25" customHeight="1">
      <c r="J965" s="5"/>
    </row>
    <row r="966" spans="10:10" ht="14.25" customHeight="1">
      <c r="J966" s="5"/>
    </row>
    <row r="967" spans="10:10" ht="14.25" customHeight="1">
      <c r="J967" s="5"/>
    </row>
    <row r="968" spans="10:10" ht="14.25" customHeight="1">
      <c r="J968" s="5"/>
    </row>
    <row r="969" spans="10:10" ht="14.25" customHeight="1">
      <c r="J969" s="5"/>
    </row>
    <row r="970" spans="10:10" ht="14.25" customHeight="1">
      <c r="J970" s="5"/>
    </row>
    <row r="971" spans="10:10" ht="14.25" customHeight="1">
      <c r="J971" s="5"/>
    </row>
    <row r="972" spans="10:10" ht="14.25" customHeight="1">
      <c r="J972" s="5"/>
    </row>
    <row r="973" spans="10:10" ht="14.25" customHeight="1">
      <c r="J973" s="5"/>
    </row>
    <row r="974" spans="10:10" ht="14.25" customHeight="1">
      <c r="J974" s="5"/>
    </row>
    <row r="975" spans="10:10" ht="14.25" customHeight="1">
      <c r="J975" s="5"/>
    </row>
    <row r="976" spans="10:10" ht="14.25" customHeight="1">
      <c r="J976" s="5"/>
    </row>
    <row r="977" spans="10:10" ht="14.25" customHeight="1">
      <c r="J977" s="5"/>
    </row>
    <row r="978" spans="10:10" ht="14.25" customHeight="1">
      <c r="J978" s="5"/>
    </row>
    <row r="979" spans="10:10" ht="14.25" customHeight="1">
      <c r="J979" s="5"/>
    </row>
    <row r="980" spans="10:10" ht="14.25" customHeight="1">
      <c r="J980" s="5"/>
    </row>
    <row r="981" spans="10:10" ht="14.25" customHeight="1">
      <c r="J981" s="5"/>
    </row>
    <row r="982" spans="10:10" ht="14.25" customHeight="1">
      <c r="J982" s="5"/>
    </row>
    <row r="983" spans="10:10" ht="14.25" customHeight="1">
      <c r="J983" s="5"/>
    </row>
    <row r="984" spans="10:10" ht="14.25" customHeight="1">
      <c r="J984" s="5"/>
    </row>
    <row r="985" spans="10:10" ht="14.25" customHeight="1">
      <c r="J985" s="5"/>
    </row>
    <row r="986" spans="10:10" ht="14.25" customHeight="1">
      <c r="J986" s="5"/>
    </row>
    <row r="987" spans="10:10" ht="14.25" customHeight="1">
      <c r="J987" s="5"/>
    </row>
    <row r="988" spans="10:10" ht="14.25" customHeight="1">
      <c r="J988" s="5"/>
    </row>
    <row r="989" spans="10:10" ht="14.25" customHeight="1">
      <c r="J989" s="5"/>
    </row>
    <row r="990" spans="10:10" ht="14.25" customHeight="1">
      <c r="J990" s="5"/>
    </row>
    <row r="991" spans="10:10" ht="14.25" customHeight="1">
      <c r="J991" s="5"/>
    </row>
    <row r="992" spans="10:10" ht="14.25" customHeight="1">
      <c r="J992" s="5"/>
    </row>
    <row r="993" spans="10:10" ht="14.25" customHeight="1">
      <c r="J993" s="5"/>
    </row>
    <row r="994" spans="10:10" ht="14.25" customHeight="1">
      <c r="J994" s="5"/>
    </row>
    <row r="995" spans="10:10" ht="14.25" customHeight="1">
      <c r="J995" s="5"/>
    </row>
    <row r="996" spans="10:10" ht="14.25" customHeight="1">
      <c r="J996" s="5"/>
    </row>
    <row r="997" spans="10:10" ht="14.25" customHeight="1">
      <c r="J997" s="5"/>
    </row>
    <row r="998" spans="10:10" ht="14.25" customHeight="1">
      <c r="J998" s="5"/>
    </row>
    <row r="999" spans="10:10" ht="14.25" customHeight="1">
      <c r="J999" s="5"/>
    </row>
    <row r="1000" spans="10:10" ht="14.25" customHeight="1">
      <c r="J1000" s="5"/>
    </row>
  </sheetData>
  <autoFilter ref="A1:X490" xr:uid="{00000000-0001-0000-0300-000000000000}"/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7109375" customWidth="1"/>
    <col min="2" max="2" width="5" customWidth="1"/>
    <col min="3" max="3" width="14.42578125" customWidth="1"/>
    <col min="4" max="4" width="15.7109375" customWidth="1"/>
    <col min="5" max="5" width="15.5703125" customWidth="1"/>
    <col min="6" max="6" width="11.85546875" customWidth="1"/>
    <col min="7" max="7" width="13.5703125" customWidth="1"/>
    <col min="8" max="8" width="8.7109375" customWidth="1"/>
    <col min="9" max="9" width="14.42578125" customWidth="1"/>
    <col min="10" max="10" width="14.85546875" customWidth="1"/>
    <col min="11" max="11" width="15.5703125" customWidth="1"/>
    <col min="12" max="12" width="8.7109375" customWidth="1"/>
    <col min="13" max="13" width="13.5703125" customWidth="1"/>
    <col min="14" max="14" width="8.7109375" customWidth="1"/>
    <col min="15" max="15" width="14.42578125" customWidth="1"/>
    <col min="16" max="26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customHeight="1">
      <c r="A2" s="2" t="s">
        <v>15</v>
      </c>
      <c r="B2" s="2">
        <v>1900</v>
      </c>
      <c r="C2" s="2" t="s">
        <v>16</v>
      </c>
      <c r="D2" s="2">
        <v>14671070</v>
      </c>
      <c r="E2" s="2">
        <v>9714705</v>
      </c>
      <c r="F2" s="2" t="s">
        <v>17</v>
      </c>
      <c r="G2" s="2">
        <v>3000852</v>
      </c>
      <c r="H2" s="2">
        <v>2226311</v>
      </c>
      <c r="I2" s="2">
        <v>3636923</v>
      </c>
      <c r="J2" s="3">
        <f t="shared" ref="J2:J256" si="0">IF(D2="", NA(), D2/19.684)</f>
        <v>745329.70940865669</v>
      </c>
      <c r="K2" s="3">
        <f t="shared" ref="K2:K256" si="1">IF(E2="", NA(), E2/1000)</f>
        <v>9714.7049999999999</v>
      </c>
      <c r="L2" s="3" t="e">
        <f t="shared" ref="L2:L256" si="2">IF(F2="", NA(), F2/19.684)</f>
        <v>#VALUE!</v>
      </c>
      <c r="M2" s="3">
        <f t="shared" ref="M2:M256" si="3">IF(G2="", NA(), G2/1000)</f>
        <v>3000.8519999999999</v>
      </c>
      <c r="N2" s="3">
        <f t="shared" ref="N2:N256" si="4">IF(H2="", NA(), H2/19.684)</f>
        <v>113102.5706157285</v>
      </c>
      <c r="O2" s="3">
        <f t="shared" ref="O2:O256" si="5">IF(I2="", NA(), I2/1000)</f>
        <v>3636.9229999999998</v>
      </c>
    </row>
    <row r="3" spans="1:15" ht="14.25" customHeight="1">
      <c r="A3" s="2" t="s">
        <v>15</v>
      </c>
      <c r="B3" s="2">
        <v>1901</v>
      </c>
      <c r="C3" s="2" t="s">
        <v>16</v>
      </c>
      <c r="D3" s="2">
        <v>15850988</v>
      </c>
      <c r="E3" s="2">
        <v>9541700</v>
      </c>
      <c r="F3" s="2" t="s">
        <v>17</v>
      </c>
      <c r="G3" s="2">
        <v>3070853</v>
      </c>
      <c r="H3" s="2">
        <v>2302023</v>
      </c>
      <c r="I3" s="2">
        <v>3637284</v>
      </c>
      <c r="J3" s="3">
        <f t="shared" si="0"/>
        <v>805272.70879902458</v>
      </c>
      <c r="K3" s="3">
        <f t="shared" si="1"/>
        <v>9541.7000000000007</v>
      </c>
      <c r="L3" s="3" t="e">
        <f t="shared" si="2"/>
        <v>#VALUE!</v>
      </c>
      <c r="M3" s="3">
        <f t="shared" si="3"/>
        <v>3070.8530000000001</v>
      </c>
      <c r="N3" s="3">
        <f t="shared" si="4"/>
        <v>116948.94330420646</v>
      </c>
      <c r="O3" s="3">
        <f t="shared" si="5"/>
        <v>3637.2840000000001</v>
      </c>
    </row>
    <row r="4" spans="1:15" ht="14.25" customHeight="1">
      <c r="A4" s="2" t="s">
        <v>15</v>
      </c>
      <c r="B4" s="2">
        <v>1902</v>
      </c>
      <c r="C4" s="2" t="s">
        <v>16</v>
      </c>
      <c r="D4" s="2">
        <v>17979453</v>
      </c>
      <c r="E4" s="2">
        <v>9799007</v>
      </c>
      <c r="F4" s="2" t="s">
        <v>17</v>
      </c>
      <c r="G4" s="2">
        <v>3706592</v>
      </c>
      <c r="H4" s="2">
        <v>2583050</v>
      </c>
      <c r="I4" s="2">
        <v>4105710</v>
      </c>
      <c r="J4" s="3">
        <f t="shared" si="0"/>
        <v>913404.44015444012</v>
      </c>
      <c r="K4" s="3">
        <f t="shared" si="1"/>
        <v>9799.0069999999996</v>
      </c>
      <c r="L4" s="3" t="e">
        <f t="shared" si="2"/>
        <v>#VALUE!</v>
      </c>
      <c r="M4" s="3">
        <f t="shared" si="3"/>
        <v>3706.5920000000001</v>
      </c>
      <c r="N4" s="3">
        <f t="shared" si="4"/>
        <v>131225.86872586873</v>
      </c>
      <c r="O4" s="3">
        <f t="shared" si="5"/>
        <v>4105.71</v>
      </c>
    </row>
    <row r="5" spans="1:15" ht="14.25" customHeight="1">
      <c r="A5" s="2" t="s">
        <v>15</v>
      </c>
      <c r="B5" s="2">
        <v>1903</v>
      </c>
      <c r="C5" s="2" t="s">
        <v>16</v>
      </c>
      <c r="D5" s="2">
        <v>18555460</v>
      </c>
      <c r="E5" s="2">
        <v>10112049</v>
      </c>
      <c r="F5" s="2" t="s">
        <v>17</v>
      </c>
      <c r="G5" s="2">
        <v>3298330</v>
      </c>
      <c r="H5" s="2">
        <v>2101403</v>
      </c>
      <c r="I5" s="2">
        <v>3213733</v>
      </c>
      <c r="J5" s="3">
        <f t="shared" si="0"/>
        <v>942667.14082503552</v>
      </c>
      <c r="K5" s="3">
        <f t="shared" si="1"/>
        <v>10112.049000000001</v>
      </c>
      <c r="L5" s="3" t="e">
        <f t="shared" si="2"/>
        <v>#VALUE!</v>
      </c>
      <c r="M5" s="3">
        <f t="shared" si="3"/>
        <v>3298.33</v>
      </c>
      <c r="N5" s="3">
        <f t="shared" si="4"/>
        <v>106756.9091648039</v>
      </c>
      <c r="O5" s="3">
        <f t="shared" si="5"/>
        <v>3213.7330000000002</v>
      </c>
    </row>
    <row r="6" spans="1:15" ht="14.25" customHeight="1">
      <c r="A6" s="2" t="s">
        <v>15</v>
      </c>
      <c r="B6" s="2">
        <v>1904</v>
      </c>
      <c r="C6" s="2" t="s">
        <v>16</v>
      </c>
      <c r="D6" s="2">
        <v>20264749</v>
      </c>
      <c r="E6" s="2">
        <v>9481519</v>
      </c>
      <c r="F6" s="2" t="s">
        <v>17</v>
      </c>
      <c r="G6" s="2">
        <v>3555066</v>
      </c>
      <c r="H6" s="2">
        <v>2116167</v>
      </c>
      <c r="I6" s="2">
        <v>3332656</v>
      </c>
      <c r="J6" s="3">
        <f t="shared" si="0"/>
        <v>1029503.606990449</v>
      </c>
      <c r="K6" s="3">
        <f t="shared" si="1"/>
        <v>9481.5190000000002</v>
      </c>
      <c r="L6" s="3" t="e">
        <f t="shared" si="2"/>
        <v>#VALUE!</v>
      </c>
      <c r="M6" s="3">
        <f t="shared" si="3"/>
        <v>3555.0659999999998</v>
      </c>
      <c r="N6" s="3">
        <f t="shared" si="4"/>
        <v>107506.95996748628</v>
      </c>
      <c r="O6" s="3">
        <f t="shared" si="5"/>
        <v>3332.6559999999999</v>
      </c>
    </row>
    <row r="7" spans="1:15" ht="14.25" customHeight="1">
      <c r="A7" s="2" t="s">
        <v>15</v>
      </c>
      <c r="B7" s="2">
        <v>1905</v>
      </c>
      <c r="C7" s="2" t="s">
        <v>16</v>
      </c>
      <c r="D7" s="2">
        <v>20164276</v>
      </c>
      <c r="E7" s="2">
        <v>10636942</v>
      </c>
      <c r="F7" s="2" t="s">
        <v>17</v>
      </c>
      <c r="G7" s="2">
        <v>4164869</v>
      </c>
      <c r="H7" s="2">
        <v>2191403</v>
      </c>
      <c r="I7" s="2">
        <v>3224402</v>
      </c>
      <c r="J7" s="3">
        <f t="shared" si="0"/>
        <v>1024399.3090835195</v>
      </c>
      <c r="K7" s="3">
        <f t="shared" si="1"/>
        <v>10636.941999999999</v>
      </c>
      <c r="L7" s="3" t="e">
        <f t="shared" si="2"/>
        <v>#VALUE!</v>
      </c>
      <c r="M7" s="3">
        <f t="shared" si="3"/>
        <v>4164.8689999999997</v>
      </c>
      <c r="N7" s="3">
        <f t="shared" si="4"/>
        <v>111329.15057915058</v>
      </c>
      <c r="O7" s="3">
        <f t="shared" si="5"/>
        <v>3224.402</v>
      </c>
    </row>
    <row r="8" spans="1:15" ht="14.25" customHeight="1">
      <c r="A8" s="2" t="s">
        <v>15</v>
      </c>
      <c r="B8" s="2">
        <v>1906</v>
      </c>
      <c r="C8" s="2" t="s">
        <v>16</v>
      </c>
      <c r="D8" s="2">
        <v>20541360</v>
      </c>
      <c r="E8" s="2">
        <v>11388638</v>
      </c>
      <c r="F8" s="2">
        <v>7468658</v>
      </c>
      <c r="G8" s="2">
        <v>4518281</v>
      </c>
      <c r="H8" s="2">
        <v>2629584</v>
      </c>
      <c r="I8" s="2">
        <v>3751011</v>
      </c>
      <c r="J8" s="3">
        <f t="shared" si="0"/>
        <v>1043556.187766714</v>
      </c>
      <c r="K8" s="3">
        <f t="shared" si="1"/>
        <v>11388.638000000001</v>
      </c>
      <c r="L8" s="3">
        <f t="shared" si="2"/>
        <v>379427.86019101809</v>
      </c>
      <c r="M8" s="3">
        <f t="shared" si="3"/>
        <v>4518.2809999999999</v>
      </c>
      <c r="N8" s="3">
        <f t="shared" si="4"/>
        <v>133589.92074781549</v>
      </c>
      <c r="O8" s="3">
        <f t="shared" si="5"/>
        <v>3751.011</v>
      </c>
    </row>
    <row r="9" spans="1:15" ht="14.25" customHeight="1">
      <c r="A9" s="2" t="s">
        <v>15</v>
      </c>
      <c r="B9" s="2">
        <v>1907</v>
      </c>
      <c r="C9" s="2" t="s">
        <v>16</v>
      </c>
      <c r="D9" s="2">
        <v>23710365</v>
      </c>
      <c r="E9" s="2">
        <v>11717816</v>
      </c>
      <c r="F9" s="2">
        <v>9573393</v>
      </c>
      <c r="G9" s="2">
        <v>5138223</v>
      </c>
      <c r="H9" s="2">
        <v>2509640</v>
      </c>
      <c r="I9" s="2">
        <v>2860373</v>
      </c>
      <c r="J9" s="3">
        <f t="shared" si="0"/>
        <v>1204550.1422475106</v>
      </c>
      <c r="K9" s="3">
        <f t="shared" si="1"/>
        <v>11717.816000000001</v>
      </c>
      <c r="L9" s="3">
        <f t="shared" si="2"/>
        <v>486354.04389351758</v>
      </c>
      <c r="M9" s="3">
        <f t="shared" si="3"/>
        <v>5138.223</v>
      </c>
      <c r="N9" s="3">
        <f t="shared" si="4"/>
        <v>127496.44381223328</v>
      </c>
      <c r="O9" s="3">
        <f t="shared" si="5"/>
        <v>2860.373</v>
      </c>
    </row>
    <row r="10" spans="1:15" ht="14.25" customHeight="1">
      <c r="A10" s="2" t="s">
        <v>15</v>
      </c>
      <c r="B10" s="2">
        <v>1908</v>
      </c>
      <c r="C10" s="2" t="s">
        <v>16</v>
      </c>
      <c r="D10" s="2">
        <v>22674247</v>
      </c>
      <c r="E10" s="2">
        <v>10966253</v>
      </c>
      <c r="F10" s="2">
        <v>8979151</v>
      </c>
      <c r="G10" s="2">
        <v>4604048</v>
      </c>
      <c r="H10" s="2">
        <v>2628864</v>
      </c>
      <c r="I10" s="2">
        <v>3204855</v>
      </c>
      <c r="J10" s="3">
        <f t="shared" si="0"/>
        <v>1151912.5685836212</v>
      </c>
      <c r="K10" s="3">
        <f t="shared" si="1"/>
        <v>10966.253000000001</v>
      </c>
      <c r="L10" s="3">
        <f t="shared" si="2"/>
        <v>456164.95630969311</v>
      </c>
      <c r="M10" s="3">
        <f t="shared" si="3"/>
        <v>4604.0479999999998</v>
      </c>
      <c r="N10" s="3">
        <f t="shared" si="4"/>
        <v>133553.34281650069</v>
      </c>
      <c r="O10" s="3">
        <f t="shared" si="5"/>
        <v>3204.855</v>
      </c>
    </row>
    <row r="11" spans="1:15" ht="14.25" customHeight="1">
      <c r="A11" s="2" t="s">
        <v>15</v>
      </c>
      <c r="B11" s="2">
        <v>1910</v>
      </c>
      <c r="C11" s="2" t="s">
        <v>16</v>
      </c>
      <c r="D11" s="2">
        <v>22868687</v>
      </c>
      <c r="E11" s="2">
        <v>11740054</v>
      </c>
      <c r="F11" s="2">
        <v>8920991</v>
      </c>
      <c r="G11" s="2">
        <v>5243547</v>
      </c>
      <c r="H11" s="2">
        <f>1320700+487543+78637+129712+254426+635986+37040+39848+403464+394557</f>
        <v>3781913</v>
      </c>
      <c r="I11" s="2">
        <f>126215+2196+54515+705659+1765134+293710+119555+487507+190993</f>
        <v>3745484</v>
      </c>
      <c r="J11" s="3">
        <f t="shared" si="0"/>
        <v>1161790.6421459052</v>
      </c>
      <c r="K11" s="3">
        <f t="shared" si="1"/>
        <v>11740.054</v>
      </c>
      <c r="L11" s="3">
        <f t="shared" si="2"/>
        <v>453210.27230237756</v>
      </c>
      <c r="M11" s="3">
        <f t="shared" si="3"/>
        <v>5243.5469999999996</v>
      </c>
      <c r="N11" s="3">
        <f t="shared" si="4"/>
        <v>192131.32493395649</v>
      </c>
      <c r="O11" s="3">
        <f t="shared" si="5"/>
        <v>3745.4839999999999</v>
      </c>
    </row>
    <row r="12" spans="1:15" ht="14.25" customHeight="1">
      <c r="A12" s="2" t="s">
        <v>15</v>
      </c>
      <c r="B12" s="2">
        <v>1911</v>
      </c>
      <c r="C12" s="2" t="s">
        <v>16</v>
      </c>
      <c r="D12" s="2">
        <v>23584119</v>
      </c>
      <c r="E12" s="2">
        <v>11743938</v>
      </c>
      <c r="F12" s="2">
        <v>9802992</v>
      </c>
      <c r="G12" s="2">
        <v>6427120</v>
      </c>
      <c r="H12" s="2">
        <v>3275418</v>
      </c>
      <c r="I12" s="2">
        <v>3911843</v>
      </c>
      <c r="J12" s="3">
        <f t="shared" si="0"/>
        <v>1198136.5068075594</v>
      </c>
      <c r="K12" s="3">
        <f t="shared" si="1"/>
        <v>11743.938</v>
      </c>
      <c r="L12" s="3">
        <f t="shared" si="2"/>
        <v>498018.28896565735</v>
      </c>
      <c r="M12" s="3">
        <f t="shared" si="3"/>
        <v>6427.12</v>
      </c>
      <c r="N12" s="3">
        <f t="shared" si="4"/>
        <v>166400.02032107295</v>
      </c>
      <c r="O12" s="3">
        <f t="shared" si="5"/>
        <v>3911.8429999999998</v>
      </c>
    </row>
    <row r="13" spans="1:15" ht="14.25" customHeight="1">
      <c r="A13" s="2" t="s">
        <v>15</v>
      </c>
      <c r="B13" s="2">
        <v>1912</v>
      </c>
      <c r="C13" s="2" t="s">
        <v>16</v>
      </c>
      <c r="D13" s="2">
        <v>23623582</v>
      </c>
      <c r="E13" s="2">
        <v>13096671</v>
      </c>
      <c r="F13" s="2">
        <v>10533185</v>
      </c>
      <c r="G13" s="2">
        <v>6721499</v>
      </c>
      <c r="H13" s="2">
        <v>3121596</v>
      </c>
      <c r="I13" s="2">
        <v>3915791</v>
      </c>
      <c r="J13" s="3">
        <f t="shared" si="0"/>
        <v>1200141.3330623857</v>
      </c>
      <c r="K13" s="3">
        <f t="shared" si="1"/>
        <v>13096.671</v>
      </c>
      <c r="L13" s="3">
        <f t="shared" si="2"/>
        <v>535114.05202194676</v>
      </c>
      <c r="M13" s="3">
        <f t="shared" si="3"/>
        <v>6721.4989999999998</v>
      </c>
      <c r="N13" s="3">
        <f t="shared" si="4"/>
        <v>158585.45011176588</v>
      </c>
      <c r="O13" s="3">
        <f t="shared" si="5"/>
        <v>3915.7910000000002</v>
      </c>
    </row>
    <row r="14" spans="1:15" ht="14.25" customHeight="1">
      <c r="A14" s="2" t="s">
        <v>15</v>
      </c>
      <c r="B14" s="2">
        <v>1913</v>
      </c>
      <c r="C14" s="2" t="s">
        <v>16</v>
      </c>
      <c r="D14" s="2">
        <v>24096094</v>
      </c>
      <c r="E14" s="2">
        <v>14500972</v>
      </c>
      <c r="F14" s="2">
        <v>10998771</v>
      </c>
      <c r="G14" s="2">
        <v>7503468</v>
      </c>
      <c r="H14" s="2">
        <v>3688969</v>
      </c>
      <c r="I14" s="2">
        <v>4886927</v>
      </c>
      <c r="J14" s="3">
        <f t="shared" si="0"/>
        <v>1224146.2101198942</v>
      </c>
      <c r="K14" s="3">
        <f t="shared" si="1"/>
        <v>14500.972</v>
      </c>
      <c r="L14" s="3">
        <f t="shared" si="2"/>
        <v>558767.06970128021</v>
      </c>
      <c r="M14" s="3">
        <f t="shared" si="3"/>
        <v>7503.4679999999998</v>
      </c>
      <c r="N14" s="3">
        <f t="shared" si="4"/>
        <v>187409.5204226783</v>
      </c>
      <c r="O14" s="3">
        <f t="shared" si="5"/>
        <v>4886.9269999999997</v>
      </c>
    </row>
    <row r="15" spans="1:15" ht="14.25" customHeight="1">
      <c r="A15" s="2" t="s">
        <v>15</v>
      </c>
      <c r="B15" s="2">
        <v>1914</v>
      </c>
      <c r="C15" s="2" t="s">
        <v>16</v>
      </c>
      <c r="D15" s="2">
        <v>17641046</v>
      </c>
      <c r="E15" s="2">
        <v>11458350</v>
      </c>
      <c r="F15" s="2">
        <v>4998139</v>
      </c>
      <c r="G15" s="2">
        <v>3757853</v>
      </c>
      <c r="H15" s="2">
        <v>3573202</v>
      </c>
      <c r="I15" s="2">
        <v>5673791</v>
      </c>
      <c r="J15" s="3">
        <f t="shared" si="0"/>
        <v>896212.45681771997</v>
      </c>
      <c r="K15" s="3">
        <f t="shared" si="1"/>
        <v>11458.35</v>
      </c>
      <c r="L15" s="3">
        <f t="shared" si="2"/>
        <v>253918.86811623652</v>
      </c>
      <c r="M15" s="3">
        <f t="shared" si="3"/>
        <v>3757.8530000000001</v>
      </c>
      <c r="N15" s="3">
        <f t="shared" si="4"/>
        <v>181528.24629140418</v>
      </c>
      <c r="O15" s="3">
        <f t="shared" si="5"/>
        <v>5673.7910000000002</v>
      </c>
    </row>
    <row r="16" spans="1:15" ht="14.25" customHeight="1">
      <c r="A16" s="2" t="s">
        <v>15</v>
      </c>
      <c r="B16" s="2">
        <v>1915</v>
      </c>
      <c r="C16" s="2" t="s">
        <v>16</v>
      </c>
      <c r="D16" s="2">
        <v>8654436</v>
      </c>
      <c r="E16" s="2">
        <v>10165460</v>
      </c>
      <c r="F16" s="2">
        <v>1317724</v>
      </c>
      <c r="G16" s="2">
        <v>1469851</v>
      </c>
      <c r="H16" s="2">
        <v>3549915</v>
      </c>
      <c r="I16" s="2">
        <v>7760948</v>
      </c>
      <c r="J16" s="3">
        <f t="shared" si="0"/>
        <v>439668.56330014224</v>
      </c>
      <c r="K16" s="3">
        <f t="shared" si="1"/>
        <v>10165.459999999999</v>
      </c>
      <c r="L16" s="3">
        <f t="shared" si="2"/>
        <v>66943.913838650682</v>
      </c>
      <c r="M16" s="3">
        <f t="shared" si="3"/>
        <v>1469.8510000000001</v>
      </c>
      <c r="N16" s="3">
        <f t="shared" si="4"/>
        <v>180345.20422678316</v>
      </c>
      <c r="O16" s="3">
        <f t="shared" si="5"/>
        <v>7760.9480000000003</v>
      </c>
    </row>
    <row r="17" spans="1:15" ht="14.25" customHeight="1">
      <c r="A17" s="2" t="s">
        <v>15</v>
      </c>
      <c r="B17" s="2">
        <v>1916</v>
      </c>
      <c r="C17" s="2" t="s">
        <v>16</v>
      </c>
      <c r="D17" s="2">
        <v>8222348</v>
      </c>
      <c r="E17" s="2">
        <v>11253373</v>
      </c>
      <c r="F17" s="2">
        <v>1829723</v>
      </c>
      <c r="G17" s="2">
        <v>2356202</v>
      </c>
      <c r="H17" s="2">
        <v>3777220</v>
      </c>
      <c r="I17" s="2">
        <v>10608362</v>
      </c>
      <c r="J17" s="3">
        <f t="shared" si="0"/>
        <v>417717.33387522859</v>
      </c>
      <c r="K17" s="3">
        <f t="shared" si="1"/>
        <v>11253.373</v>
      </c>
      <c r="L17" s="3">
        <f t="shared" si="2"/>
        <v>92954.836415362719</v>
      </c>
      <c r="M17" s="3">
        <f t="shared" si="3"/>
        <v>2356.2020000000002</v>
      </c>
      <c r="N17" s="3">
        <f t="shared" si="4"/>
        <v>191892.90794553951</v>
      </c>
      <c r="O17" s="3">
        <f t="shared" si="5"/>
        <v>10608.361999999999</v>
      </c>
    </row>
    <row r="18" spans="1:15" ht="14.25" customHeight="1">
      <c r="A18" s="2" t="s">
        <v>15</v>
      </c>
      <c r="B18" s="2">
        <v>1917</v>
      </c>
      <c r="C18" s="2" t="s">
        <v>16</v>
      </c>
      <c r="D18" s="2">
        <v>7794136</v>
      </c>
      <c r="E18" s="2">
        <v>13896638</v>
      </c>
      <c r="F18" s="2">
        <v>553092</v>
      </c>
      <c r="G18" s="2">
        <v>1047370</v>
      </c>
      <c r="H18" s="2">
        <v>3339260</v>
      </c>
      <c r="I18" s="2">
        <v>9682673</v>
      </c>
      <c r="J18" s="3">
        <f t="shared" si="0"/>
        <v>395963.01564722613</v>
      </c>
      <c r="K18" s="3">
        <f t="shared" si="1"/>
        <v>13896.638000000001</v>
      </c>
      <c r="L18" s="3">
        <f t="shared" si="2"/>
        <v>28098.557203820361</v>
      </c>
      <c r="M18" s="3">
        <f t="shared" si="3"/>
        <v>1047.3699999999999</v>
      </c>
      <c r="N18" s="3">
        <f t="shared" si="4"/>
        <v>169643.36516968094</v>
      </c>
      <c r="O18" s="3">
        <f t="shared" si="5"/>
        <v>9682.6730000000007</v>
      </c>
    </row>
    <row r="19" spans="1:15" ht="14.25" customHeight="1">
      <c r="A19" s="2" t="s">
        <v>15</v>
      </c>
      <c r="B19" s="2">
        <v>1918</v>
      </c>
      <c r="C19" s="2" t="s">
        <v>16</v>
      </c>
      <c r="D19" s="2">
        <v>8755214</v>
      </c>
      <c r="E19" s="2">
        <v>21723135</v>
      </c>
      <c r="F19" s="2">
        <v>384093</v>
      </c>
      <c r="G19" s="2">
        <v>982964</v>
      </c>
      <c r="H19" s="2">
        <v>3182180</v>
      </c>
      <c r="I19" s="2">
        <v>17741596</v>
      </c>
      <c r="J19" s="3">
        <f t="shared" si="0"/>
        <v>444788.35602519813</v>
      </c>
      <c r="K19" s="3">
        <f t="shared" si="1"/>
        <v>21723.134999999998</v>
      </c>
      <c r="L19" s="3">
        <f t="shared" si="2"/>
        <v>19512.954684007316</v>
      </c>
      <c r="M19" s="3">
        <f t="shared" si="3"/>
        <v>982.96400000000006</v>
      </c>
      <c r="N19" s="3">
        <f t="shared" si="4"/>
        <v>161663.27982117454</v>
      </c>
      <c r="O19" s="3">
        <f t="shared" si="5"/>
        <v>17741.596000000001</v>
      </c>
    </row>
    <row r="20" spans="1:15" ht="14.25" customHeight="1">
      <c r="A20" s="2" t="s">
        <v>15</v>
      </c>
      <c r="B20" s="2">
        <v>1919</v>
      </c>
      <c r="C20" s="2" t="s">
        <v>16</v>
      </c>
      <c r="D20" s="2">
        <v>17084052</v>
      </c>
      <c r="E20" s="2">
        <v>25968728</v>
      </c>
      <c r="F20" s="2">
        <v>2717243</v>
      </c>
      <c r="G20" s="2">
        <v>4690034</v>
      </c>
      <c r="H20" s="2">
        <v>2947956</v>
      </c>
      <c r="I20" s="2">
        <v>14347821</v>
      </c>
      <c r="J20" s="3">
        <f t="shared" si="0"/>
        <v>867915.66754724644</v>
      </c>
      <c r="K20" s="3">
        <f t="shared" si="1"/>
        <v>25968.727999999999</v>
      </c>
      <c r="L20" s="3">
        <f t="shared" si="2"/>
        <v>138043.23308270675</v>
      </c>
      <c r="M20" s="3">
        <f t="shared" si="3"/>
        <v>4690.0339999999997</v>
      </c>
      <c r="N20" s="3">
        <f t="shared" si="4"/>
        <v>149764.07234301971</v>
      </c>
      <c r="O20" s="3">
        <f t="shared" si="5"/>
        <v>14347.821</v>
      </c>
    </row>
    <row r="21" spans="1:15" ht="14.25" customHeight="1">
      <c r="A21" s="2" t="s">
        <v>15</v>
      </c>
      <c r="B21" s="2">
        <v>1920</v>
      </c>
      <c r="C21" s="2" t="s">
        <v>16</v>
      </c>
      <c r="D21" s="2">
        <v>21582248</v>
      </c>
      <c r="E21" s="2">
        <v>29042148</v>
      </c>
      <c r="F21" s="2">
        <v>3976370</v>
      </c>
      <c r="G21" s="2">
        <v>7121198</v>
      </c>
      <c r="H21" s="2">
        <v>2736266</v>
      </c>
      <c r="I21" s="2">
        <v>12893971</v>
      </c>
      <c r="J21" s="3">
        <f t="shared" si="0"/>
        <v>1096436.0902255639</v>
      </c>
      <c r="K21" s="3">
        <f t="shared" si="1"/>
        <v>29042.148000000001</v>
      </c>
      <c r="L21" s="3">
        <f t="shared" si="2"/>
        <v>202010.26214184109</v>
      </c>
      <c r="M21" s="3">
        <f t="shared" si="3"/>
        <v>7121.1980000000003</v>
      </c>
      <c r="N21" s="3">
        <f t="shared" si="4"/>
        <v>139009.65250965251</v>
      </c>
      <c r="O21" s="3">
        <f t="shared" si="5"/>
        <v>12893.971</v>
      </c>
    </row>
    <row r="22" spans="1:15" ht="14.25" customHeight="1">
      <c r="A22" s="2" t="s">
        <v>15</v>
      </c>
      <c r="B22" s="2">
        <v>1921</v>
      </c>
      <c r="C22" s="2" t="s">
        <v>16</v>
      </c>
      <c r="D22" s="2">
        <v>16851307</v>
      </c>
      <c r="E22" s="2">
        <v>21981129</v>
      </c>
      <c r="F22" s="2">
        <v>5766429</v>
      </c>
      <c r="G22" s="2">
        <v>6071748</v>
      </c>
      <c r="H22" s="2">
        <v>2824071</v>
      </c>
      <c r="I22" s="2">
        <v>9517130</v>
      </c>
      <c r="J22" s="3">
        <f t="shared" si="0"/>
        <v>856091.597236334</v>
      </c>
      <c r="K22" s="3">
        <f t="shared" si="1"/>
        <v>21981.129000000001</v>
      </c>
      <c r="L22" s="3">
        <f t="shared" si="2"/>
        <v>292950.06096321886</v>
      </c>
      <c r="M22" s="3">
        <f t="shared" si="3"/>
        <v>6071.7479999999996</v>
      </c>
      <c r="N22" s="3">
        <f t="shared" si="4"/>
        <v>143470.3820361715</v>
      </c>
      <c r="O22" s="3">
        <f t="shared" si="5"/>
        <v>9517.1299999999992</v>
      </c>
    </row>
    <row r="23" spans="1:15" ht="14.25" customHeight="1">
      <c r="A23" s="2" t="s">
        <v>15</v>
      </c>
      <c r="B23" s="2">
        <v>1922</v>
      </c>
      <c r="C23" s="2" t="s">
        <v>16</v>
      </c>
      <c r="D23" s="4">
        <v>17749786</v>
      </c>
      <c r="E23" s="4">
        <v>18368682</v>
      </c>
      <c r="F23" s="2">
        <v>4352620</v>
      </c>
      <c r="G23" s="2">
        <v>4343845</v>
      </c>
      <c r="H23" s="2">
        <v>2991314</v>
      </c>
      <c r="I23" s="2">
        <v>8926871</v>
      </c>
      <c r="J23" s="3">
        <f t="shared" si="0"/>
        <v>901736.74049989833</v>
      </c>
      <c r="K23" s="3">
        <f t="shared" si="1"/>
        <v>18368.682000000001</v>
      </c>
      <c r="L23" s="3">
        <f t="shared" si="2"/>
        <v>221124.77138792927</v>
      </c>
      <c r="M23" s="3">
        <f t="shared" si="3"/>
        <v>4343.8450000000003</v>
      </c>
      <c r="N23" s="3">
        <f t="shared" si="4"/>
        <v>151966.7750457224</v>
      </c>
      <c r="O23" s="3">
        <f t="shared" si="5"/>
        <v>8926.8709999999992</v>
      </c>
    </row>
    <row r="24" spans="1:15" ht="14.25" customHeight="1">
      <c r="A24" s="2" t="s">
        <v>15</v>
      </c>
      <c r="B24" s="2">
        <v>1923</v>
      </c>
      <c r="C24" s="2" t="s">
        <v>16</v>
      </c>
      <c r="D24" s="4">
        <v>16931783</v>
      </c>
      <c r="E24" s="4">
        <v>17808368</v>
      </c>
      <c r="F24" s="2">
        <v>5317254</v>
      </c>
      <c r="G24" s="2">
        <v>4508990</v>
      </c>
      <c r="H24" s="2">
        <v>3768548</v>
      </c>
      <c r="I24" s="2">
        <v>8260127</v>
      </c>
      <c r="J24" s="3">
        <f t="shared" si="0"/>
        <v>860179.99390367803</v>
      </c>
      <c r="K24" s="3">
        <f t="shared" si="1"/>
        <v>17808.367999999999</v>
      </c>
      <c r="L24" s="3">
        <f t="shared" si="2"/>
        <v>270130.76610445027</v>
      </c>
      <c r="M24" s="3">
        <f t="shared" si="3"/>
        <v>4508.99</v>
      </c>
      <c r="N24" s="3">
        <f t="shared" si="4"/>
        <v>191452.34708392603</v>
      </c>
      <c r="O24" s="3">
        <f t="shared" si="5"/>
        <v>8260.1270000000004</v>
      </c>
    </row>
    <row r="25" spans="1:15" ht="14.25" customHeight="1">
      <c r="A25" s="2" t="s">
        <v>15</v>
      </c>
      <c r="B25" s="2">
        <v>1924</v>
      </c>
      <c r="C25" s="2" t="s">
        <v>16</v>
      </c>
      <c r="D25" s="4">
        <v>20684388</v>
      </c>
      <c r="E25" s="4">
        <v>20349651</v>
      </c>
      <c r="F25" s="2">
        <v>8142816</v>
      </c>
      <c r="G25" s="2">
        <v>8438243</v>
      </c>
      <c r="H25" s="2">
        <v>4201844</v>
      </c>
      <c r="I25" s="2">
        <v>11065598</v>
      </c>
      <c r="J25" s="3">
        <f t="shared" si="0"/>
        <v>1050822.3938223938</v>
      </c>
      <c r="K25" s="3">
        <f t="shared" si="1"/>
        <v>20349.651000000002</v>
      </c>
      <c r="L25" s="3">
        <f t="shared" si="2"/>
        <v>413676.89494005282</v>
      </c>
      <c r="M25" s="3">
        <f t="shared" si="3"/>
        <v>8438.2430000000004</v>
      </c>
      <c r="N25" s="3">
        <f t="shared" si="4"/>
        <v>213464.94614915666</v>
      </c>
      <c r="O25" s="3">
        <f t="shared" si="5"/>
        <v>11065.598</v>
      </c>
    </row>
    <row r="26" spans="1:15" ht="14.25" customHeight="1">
      <c r="A26" s="2" t="s">
        <v>15</v>
      </c>
      <c r="B26" s="2">
        <v>1925</v>
      </c>
      <c r="C26" s="2" t="s">
        <v>16</v>
      </c>
      <c r="D26" s="4">
        <v>19251160</v>
      </c>
      <c r="E26" s="4">
        <v>19264478</v>
      </c>
      <c r="F26" s="2">
        <v>6757134</v>
      </c>
      <c r="G26" s="2">
        <v>7524620</v>
      </c>
      <c r="H26" s="2">
        <v>4434208</v>
      </c>
      <c r="I26" s="2">
        <v>10768471</v>
      </c>
      <c r="J26" s="3">
        <f t="shared" si="0"/>
        <v>978010.56695793534</v>
      </c>
      <c r="K26" s="3">
        <f t="shared" si="1"/>
        <v>19264.477999999999</v>
      </c>
      <c r="L26" s="3">
        <f t="shared" si="2"/>
        <v>343280.53241211135</v>
      </c>
      <c r="M26" s="3">
        <f t="shared" si="3"/>
        <v>7524.62</v>
      </c>
      <c r="N26" s="3">
        <f t="shared" si="4"/>
        <v>225269.66063808167</v>
      </c>
      <c r="O26" s="3">
        <f t="shared" si="5"/>
        <v>10768.471</v>
      </c>
    </row>
    <row r="27" spans="1:15" ht="14.25" customHeight="1">
      <c r="A27" s="2" t="s">
        <v>15</v>
      </c>
      <c r="B27" s="2">
        <v>1926</v>
      </c>
      <c r="C27" s="2" t="s">
        <v>16</v>
      </c>
      <c r="D27" s="2">
        <v>18964945</v>
      </c>
      <c r="E27" s="2">
        <v>17649679</v>
      </c>
      <c r="F27" s="2">
        <v>7274817</v>
      </c>
      <c r="G27" s="2">
        <v>7373433</v>
      </c>
      <c r="H27" s="2">
        <v>4805358</v>
      </c>
      <c r="I27" s="2">
        <v>11246176</v>
      </c>
      <c r="J27" s="3">
        <f t="shared" si="0"/>
        <v>963470.07722007716</v>
      </c>
      <c r="K27" s="3">
        <f t="shared" si="1"/>
        <v>17649.679</v>
      </c>
      <c r="L27" s="3">
        <f t="shared" si="2"/>
        <v>369580.21743548056</v>
      </c>
      <c r="M27" s="3">
        <f t="shared" si="3"/>
        <v>7373.433</v>
      </c>
      <c r="N27" s="3">
        <f t="shared" si="4"/>
        <v>244125.07620402356</v>
      </c>
      <c r="O27" s="3">
        <f t="shared" si="5"/>
        <v>11246.175999999999</v>
      </c>
    </row>
    <row r="28" spans="1:15" ht="14.25" customHeight="1">
      <c r="A28" s="2" t="s">
        <v>15</v>
      </c>
      <c r="B28" s="2">
        <v>1927</v>
      </c>
      <c r="C28" s="2" t="s">
        <v>16</v>
      </c>
      <c r="D28" s="2">
        <v>19999573</v>
      </c>
      <c r="E28" s="2">
        <v>17598947</v>
      </c>
      <c r="F28" s="2">
        <v>7680000</v>
      </c>
      <c r="G28" s="2">
        <v>7001982</v>
      </c>
      <c r="H28" s="2">
        <v>4840903</v>
      </c>
      <c r="I28" s="2">
        <v>11576894</v>
      </c>
      <c r="J28" s="3">
        <f t="shared" si="0"/>
        <v>1016031.954887218</v>
      </c>
      <c r="K28" s="3">
        <f t="shared" si="1"/>
        <v>17598.947</v>
      </c>
      <c r="L28" s="3">
        <f t="shared" si="2"/>
        <v>390164.60069091647</v>
      </c>
      <c r="M28" s="3">
        <f t="shared" si="3"/>
        <v>7001.982</v>
      </c>
      <c r="N28" s="3">
        <f t="shared" si="4"/>
        <v>245930.85754927859</v>
      </c>
      <c r="O28" s="3">
        <f t="shared" si="5"/>
        <v>11576.894</v>
      </c>
    </row>
    <row r="29" spans="1:15" ht="14.25" customHeight="1">
      <c r="A29" s="2" t="s">
        <v>15</v>
      </c>
      <c r="B29" s="2">
        <v>1928</v>
      </c>
      <c r="C29" s="2" t="s">
        <v>16</v>
      </c>
      <c r="D29" s="2">
        <v>20047396</v>
      </c>
      <c r="E29" s="2">
        <v>18369216</v>
      </c>
      <c r="F29" s="2">
        <v>7700414</v>
      </c>
      <c r="G29" s="2">
        <v>7544173</v>
      </c>
      <c r="H29" s="2">
        <v>5467912</v>
      </c>
      <c r="I29" s="2">
        <v>13589050</v>
      </c>
      <c r="J29" s="3">
        <f t="shared" si="0"/>
        <v>1018461.4915667546</v>
      </c>
      <c r="K29" s="3">
        <f t="shared" si="1"/>
        <v>18369.216</v>
      </c>
      <c r="L29" s="3">
        <f t="shared" si="2"/>
        <v>391201.68664905505</v>
      </c>
      <c r="M29" s="3">
        <f t="shared" si="3"/>
        <v>7544.1729999999998</v>
      </c>
      <c r="N29" s="3">
        <f t="shared" si="4"/>
        <v>277784.59662670188</v>
      </c>
      <c r="O29" s="3">
        <f t="shared" si="5"/>
        <v>13589.05</v>
      </c>
    </row>
    <row r="30" spans="1:15" ht="14.25" customHeight="1">
      <c r="A30" s="2" t="s">
        <v>15</v>
      </c>
      <c r="B30" s="2">
        <v>1929</v>
      </c>
      <c r="C30" s="2" t="s">
        <v>16</v>
      </c>
      <c r="D30" s="2">
        <v>21061332</v>
      </c>
      <c r="E30" s="2">
        <v>19601624</v>
      </c>
      <c r="F30" s="2">
        <v>8279293</v>
      </c>
      <c r="G30" s="2">
        <v>7905194</v>
      </c>
      <c r="H30" s="2">
        <v>5254766</v>
      </c>
      <c r="I30" s="2">
        <v>13298628</v>
      </c>
      <c r="J30" s="3">
        <f t="shared" si="0"/>
        <v>1069972.1601300549</v>
      </c>
      <c r="K30" s="3">
        <f t="shared" si="1"/>
        <v>19601.624</v>
      </c>
      <c r="L30" s="3">
        <f t="shared" si="2"/>
        <v>420610.29262345051</v>
      </c>
      <c r="M30" s="3">
        <f t="shared" si="3"/>
        <v>7905.1940000000004</v>
      </c>
      <c r="N30" s="3">
        <f t="shared" si="4"/>
        <v>266956.20808778703</v>
      </c>
      <c r="O30" s="3">
        <f t="shared" si="5"/>
        <v>13298.628000000001</v>
      </c>
    </row>
    <row r="31" spans="1:15" ht="14.25" customHeight="1">
      <c r="A31" s="2" t="s">
        <v>15</v>
      </c>
      <c r="B31" s="2">
        <v>1930</v>
      </c>
      <c r="C31" s="2" t="s">
        <v>16</v>
      </c>
      <c r="D31" s="2">
        <v>21877361</v>
      </c>
      <c r="E31" s="2">
        <v>18809890</v>
      </c>
      <c r="F31" s="2">
        <v>7173671</v>
      </c>
      <c r="G31" s="2">
        <v>7039973</v>
      </c>
      <c r="H31" s="2">
        <v>5246363</v>
      </c>
      <c r="I31" s="2">
        <v>12806057</v>
      </c>
      <c r="J31" s="3">
        <f t="shared" si="0"/>
        <v>1111428.6222312537</v>
      </c>
      <c r="K31" s="3">
        <f t="shared" si="1"/>
        <v>18809.89</v>
      </c>
      <c r="L31" s="3">
        <f t="shared" si="2"/>
        <v>364441.72932330827</v>
      </c>
      <c r="M31" s="3">
        <f t="shared" si="3"/>
        <v>7039.973</v>
      </c>
      <c r="N31" s="3">
        <f t="shared" si="4"/>
        <v>266529.31314773421</v>
      </c>
      <c r="O31" s="3">
        <f t="shared" si="5"/>
        <v>12806.057000000001</v>
      </c>
    </row>
    <row r="32" spans="1:15" ht="14.25" customHeight="1">
      <c r="A32" s="2" t="s">
        <v>15</v>
      </c>
      <c r="B32" s="2">
        <v>1931</v>
      </c>
      <c r="C32" s="2" t="s">
        <v>16</v>
      </c>
      <c r="D32" s="2">
        <v>19789480</v>
      </c>
      <c r="E32" s="2">
        <v>16314288</v>
      </c>
      <c r="F32" s="2">
        <v>5444179</v>
      </c>
      <c r="G32" s="2">
        <v>5102553</v>
      </c>
      <c r="H32" s="2">
        <v>4568788</v>
      </c>
      <c r="I32" s="2">
        <v>11061688</v>
      </c>
      <c r="J32" s="3">
        <f t="shared" si="0"/>
        <v>1005358.6669376142</v>
      </c>
      <c r="K32" s="3">
        <f t="shared" si="1"/>
        <v>16314.288</v>
      </c>
      <c r="L32" s="3">
        <f t="shared" si="2"/>
        <v>276578.89656573866</v>
      </c>
      <c r="M32" s="3">
        <f t="shared" si="3"/>
        <v>5102.5529999999999</v>
      </c>
      <c r="N32" s="3">
        <f t="shared" si="4"/>
        <v>232106.68563300141</v>
      </c>
      <c r="O32" s="3">
        <f t="shared" si="5"/>
        <v>11061.688</v>
      </c>
    </row>
    <row r="33" spans="1:15" ht="14.25" customHeight="1">
      <c r="A33" s="2" t="s">
        <v>15</v>
      </c>
      <c r="B33" s="2">
        <v>1932</v>
      </c>
      <c r="C33" s="2" t="s">
        <v>16</v>
      </c>
      <c r="D33" s="2">
        <v>19507039</v>
      </c>
      <c r="E33" s="2">
        <v>15470281</v>
      </c>
      <c r="F33" s="2">
        <v>5161835</v>
      </c>
      <c r="G33" s="2">
        <v>4556846</v>
      </c>
      <c r="H33" s="2">
        <v>4139038</v>
      </c>
      <c r="I33" s="2">
        <v>8977297</v>
      </c>
      <c r="J33" s="3">
        <f t="shared" si="0"/>
        <v>991009.90652306436</v>
      </c>
      <c r="K33" s="3">
        <f t="shared" si="1"/>
        <v>15470.281000000001</v>
      </c>
      <c r="L33" s="3">
        <f t="shared" si="2"/>
        <v>262235.06401137979</v>
      </c>
      <c r="M33" s="3">
        <f t="shared" si="3"/>
        <v>4556.8459999999995</v>
      </c>
      <c r="N33" s="3">
        <f t="shared" si="4"/>
        <v>210274.23287949603</v>
      </c>
      <c r="O33" s="3">
        <f t="shared" si="5"/>
        <v>8977.2970000000005</v>
      </c>
    </row>
    <row r="34" spans="1:15" ht="14.25" customHeight="1">
      <c r="A34" s="2" t="s">
        <v>15</v>
      </c>
      <c r="B34" s="2">
        <v>1933</v>
      </c>
      <c r="C34" s="2" t="s">
        <v>16</v>
      </c>
      <c r="D34" s="2">
        <v>18691705</v>
      </c>
      <c r="E34" s="2">
        <v>15169147</v>
      </c>
      <c r="F34" s="2">
        <v>3976856</v>
      </c>
      <c r="G34" s="2">
        <v>3738960</v>
      </c>
      <c r="H34" s="2">
        <v>3671409</v>
      </c>
      <c r="I34" s="2">
        <v>7423005</v>
      </c>
      <c r="J34" s="3">
        <f t="shared" si="0"/>
        <v>949588.75228612067</v>
      </c>
      <c r="K34" s="3">
        <f t="shared" si="1"/>
        <v>15169.147000000001</v>
      </c>
      <c r="L34" s="3">
        <f t="shared" si="2"/>
        <v>202034.95224547855</v>
      </c>
      <c r="M34" s="3">
        <f t="shared" si="3"/>
        <v>3738.96</v>
      </c>
      <c r="N34" s="3">
        <f t="shared" si="4"/>
        <v>186517.42532005688</v>
      </c>
      <c r="O34" s="3">
        <f t="shared" si="5"/>
        <v>7423.0050000000001</v>
      </c>
    </row>
    <row r="35" spans="1:15" ht="14.25" customHeight="1">
      <c r="A35" s="2" t="s">
        <v>15</v>
      </c>
      <c r="B35" s="2">
        <v>1934</v>
      </c>
      <c r="C35" s="2" t="s">
        <v>16</v>
      </c>
      <c r="D35" s="2">
        <v>18628420</v>
      </c>
      <c r="E35" s="2">
        <v>15993774</v>
      </c>
      <c r="F35" s="2">
        <v>4222643</v>
      </c>
      <c r="G35" s="2">
        <v>3593145</v>
      </c>
      <c r="H35" s="2">
        <v>3720694</v>
      </c>
      <c r="I35" s="2">
        <v>9411729</v>
      </c>
      <c r="J35" s="3">
        <f t="shared" si="0"/>
        <v>946373.70453159919</v>
      </c>
      <c r="K35" s="3">
        <f t="shared" si="1"/>
        <v>15993.773999999999</v>
      </c>
      <c r="L35" s="3">
        <f t="shared" si="2"/>
        <v>214521.59114001217</v>
      </c>
      <c r="M35" s="3">
        <f t="shared" si="3"/>
        <v>3593.145</v>
      </c>
      <c r="N35" s="3">
        <f t="shared" si="4"/>
        <v>189021.2355212355</v>
      </c>
      <c r="O35" s="3">
        <f t="shared" si="5"/>
        <v>9411.7289999999994</v>
      </c>
    </row>
    <row r="36" spans="1:15" ht="14.25" customHeight="1">
      <c r="A36" s="2" t="s">
        <v>15</v>
      </c>
      <c r="B36" s="2">
        <v>1935</v>
      </c>
      <c r="C36" s="2" t="s">
        <v>16</v>
      </c>
      <c r="D36" s="2">
        <v>19853851</v>
      </c>
      <c r="E36" s="2">
        <v>16302728</v>
      </c>
      <c r="F36" s="2">
        <v>4588064</v>
      </c>
      <c r="G36" s="2">
        <v>3750926</v>
      </c>
      <c r="H36" s="2">
        <v>3886211</v>
      </c>
      <c r="I36" s="2">
        <v>9201742</v>
      </c>
      <c r="J36" s="3">
        <f t="shared" si="0"/>
        <v>1008628.8864052021</v>
      </c>
      <c r="K36" s="3">
        <f t="shared" si="1"/>
        <v>16302.727999999999</v>
      </c>
      <c r="L36" s="3">
        <f t="shared" si="2"/>
        <v>233085.95813858972</v>
      </c>
      <c r="M36" s="3">
        <f t="shared" si="3"/>
        <v>3750.9259999999999</v>
      </c>
      <c r="N36" s="3">
        <f t="shared" si="4"/>
        <v>197429.94310099573</v>
      </c>
      <c r="O36" s="3">
        <f t="shared" si="5"/>
        <v>9201.7420000000002</v>
      </c>
    </row>
    <row r="37" spans="1:15" ht="14.25" customHeight="1">
      <c r="A37" s="2" t="s">
        <v>15</v>
      </c>
      <c r="B37" s="2">
        <v>1936</v>
      </c>
      <c r="C37" s="2" t="s">
        <v>16</v>
      </c>
      <c r="D37" s="2">
        <v>20877479</v>
      </c>
      <c r="E37" s="2">
        <v>17252930</v>
      </c>
      <c r="F37" s="2">
        <v>4544947</v>
      </c>
      <c r="G37" s="2">
        <v>3954803</v>
      </c>
      <c r="H37" s="2">
        <v>3618729</v>
      </c>
      <c r="I37" s="2">
        <v>9391966</v>
      </c>
      <c r="J37" s="3">
        <f t="shared" si="0"/>
        <v>1060631.9345661451</v>
      </c>
      <c r="K37" s="3">
        <f t="shared" si="1"/>
        <v>17252.93</v>
      </c>
      <c r="L37" s="3">
        <f t="shared" si="2"/>
        <v>230895.49888234097</v>
      </c>
      <c r="M37" s="3">
        <f t="shared" si="3"/>
        <v>3954.8029999999999</v>
      </c>
      <c r="N37" s="3">
        <f t="shared" si="4"/>
        <v>183841.14001219263</v>
      </c>
      <c r="O37" s="3">
        <f t="shared" si="5"/>
        <v>9391.9660000000003</v>
      </c>
    </row>
    <row r="38" spans="1:15" ht="14.25" customHeight="1">
      <c r="A38" s="2" t="s">
        <v>15</v>
      </c>
      <c r="B38" s="2">
        <v>1937</v>
      </c>
      <c r="C38" s="2" t="s">
        <v>16</v>
      </c>
      <c r="D38" s="2">
        <v>21736379</v>
      </c>
      <c r="E38" s="2">
        <v>15889165</v>
      </c>
      <c r="F38" s="2">
        <v>4018880</v>
      </c>
      <c r="G38" s="2">
        <v>3735199</v>
      </c>
      <c r="H38" s="2">
        <v>3689132</v>
      </c>
      <c r="I38" s="2">
        <v>10185932</v>
      </c>
      <c r="J38" s="3">
        <f t="shared" si="0"/>
        <v>1104266.3584637269</v>
      </c>
      <c r="K38" s="3">
        <f t="shared" si="1"/>
        <v>15889.165000000001</v>
      </c>
      <c r="L38" s="3">
        <f t="shared" si="2"/>
        <v>204169.88416988417</v>
      </c>
      <c r="M38" s="3">
        <f t="shared" si="3"/>
        <v>3735.1990000000001</v>
      </c>
      <c r="N38" s="3">
        <f t="shared" si="4"/>
        <v>187417.80125990653</v>
      </c>
      <c r="O38" s="3">
        <f t="shared" si="5"/>
        <v>10185.932000000001</v>
      </c>
    </row>
    <row r="39" spans="1:15" ht="14.25" customHeight="1">
      <c r="A39" s="2" t="s">
        <v>15</v>
      </c>
      <c r="B39" s="2">
        <v>1938</v>
      </c>
      <c r="C39" s="2" t="s">
        <v>16</v>
      </c>
      <c r="D39" s="2">
        <v>20913254</v>
      </c>
      <c r="E39" s="2">
        <v>16548370</v>
      </c>
      <c r="F39" s="2">
        <v>4381587</v>
      </c>
      <c r="G39" s="2">
        <v>3870262</v>
      </c>
      <c r="H39" s="2">
        <v>3717831</v>
      </c>
      <c r="I39" s="2">
        <v>10137118</v>
      </c>
      <c r="J39" s="3">
        <f t="shared" si="0"/>
        <v>1062449.4005283478</v>
      </c>
      <c r="K39" s="3">
        <f t="shared" si="1"/>
        <v>16548.37</v>
      </c>
      <c r="L39" s="3">
        <f t="shared" si="2"/>
        <v>222596.37268847795</v>
      </c>
      <c r="M39" s="3">
        <f t="shared" si="3"/>
        <v>3870.2620000000002</v>
      </c>
      <c r="N39" s="3">
        <f t="shared" si="4"/>
        <v>188875.78744157692</v>
      </c>
      <c r="O39" s="3">
        <f t="shared" si="5"/>
        <v>10137.118</v>
      </c>
    </row>
    <row r="40" spans="1:15" ht="14.25" customHeight="1">
      <c r="A40" s="2" t="s">
        <v>15</v>
      </c>
      <c r="B40" s="2">
        <v>1939</v>
      </c>
      <c r="C40" s="2" t="s">
        <v>16</v>
      </c>
      <c r="D40" s="2">
        <v>15692544</v>
      </c>
      <c r="E40" s="2">
        <v>14944289</v>
      </c>
      <c r="F40" s="2">
        <v>2023868</v>
      </c>
      <c r="G40" s="2">
        <v>2227515</v>
      </c>
      <c r="H40" s="2">
        <v>4003649</v>
      </c>
      <c r="I40" s="2">
        <v>11783864</v>
      </c>
      <c r="J40" s="3">
        <f t="shared" si="0"/>
        <v>797223.32859174965</v>
      </c>
      <c r="K40" s="3">
        <f t="shared" si="1"/>
        <v>14944.289000000001</v>
      </c>
      <c r="L40" s="3">
        <f t="shared" si="2"/>
        <v>102817.92318634424</v>
      </c>
      <c r="M40" s="3">
        <f t="shared" si="3"/>
        <v>2227.5149999999999</v>
      </c>
      <c r="N40" s="3">
        <f t="shared" si="4"/>
        <v>203396.10851452957</v>
      </c>
      <c r="O40" s="3">
        <f t="shared" si="5"/>
        <v>11783.864</v>
      </c>
    </row>
    <row r="41" spans="1:15" ht="14.25" customHeight="1">
      <c r="A41" s="2" t="s">
        <v>15</v>
      </c>
      <c r="B41" s="2">
        <v>1940</v>
      </c>
      <c r="C41" s="2" t="s">
        <v>16</v>
      </c>
      <c r="D41" s="2">
        <v>6270602</v>
      </c>
      <c r="E41" s="2">
        <v>13574915</v>
      </c>
      <c r="F41" s="2">
        <v>487960</v>
      </c>
      <c r="G41" s="2">
        <v>941714</v>
      </c>
      <c r="H41" s="2">
        <v>5501828</v>
      </c>
      <c r="I41" s="2">
        <v>16285288</v>
      </c>
      <c r="J41" s="3">
        <f t="shared" si="0"/>
        <v>318563.40174761228</v>
      </c>
      <c r="K41" s="3">
        <f t="shared" si="1"/>
        <v>13574.915000000001</v>
      </c>
      <c r="L41" s="3">
        <f t="shared" si="2"/>
        <v>24789.67689494005</v>
      </c>
      <c r="M41" s="3">
        <f t="shared" si="3"/>
        <v>941.71400000000006</v>
      </c>
      <c r="N41" s="3">
        <f t="shared" si="4"/>
        <v>279507.62040235725</v>
      </c>
      <c r="O41" s="3">
        <f t="shared" si="5"/>
        <v>16285.288</v>
      </c>
    </row>
    <row r="42" spans="1:15" ht="14.25" customHeight="1">
      <c r="A42" s="2" t="s">
        <v>15</v>
      </c>
      <c r="B42" s="2">
        <v>1941</v>
      </c>
      <c r="C42" s="2" t="s">
        <v>16</v>
      </c>
      <c r="D42" s="2">
        <v>4907786</v>
      </c>
      <c r="E42" s="2">
        <v>17200678</v>
      </c>
      <c r="F42" s="2">
        <v>19403</v>
      </c>
      <c r="G42" s="2">
        <v>89549</v>
      </c>
      <c r="H42" s="2">
        <v>5168546</v>
      </c>
      <c r="I42" s="2">
        <v>19135961</v>
      </c>
      <c r="J42" s="3">
        <f t="shared" si="0"/>
        <v>249328.69335500913</v>
      </c>
      <c r="K42" s="3">
        <f t="shared" si="1"/>
        <v>17200.678</v>
      </c>
      <c r="L42" s="3">
        <f t="shared" si="2"/>
        <v>985.72444625076196</v>
      </c>
      <c r="M42" s="3">
        <f t="shared" si="3"/>
        <v>89.549000000000007</v>
      </c>
      <c r="N42" s="3">
        <f t="shared" si="4"/>
        <v>262576.00081284292</v>
      </c>
      <c r="O42" s="3">
        <f t="shared" si="5"/>
        <v>19135.960999999999</v>
      </c>
    </row>
    <row r="43" spans="1:15" ht="14.25" customHeight="1">
      <c r="A43" s="2" t="s">
        <v>15</v>
      </c>
      <c r="B43" s="2">
        <v>1942</v>
      </c>
      <c r="C43" s="2" t="s">
        <v>16</v>
      </c>
      <c r="D43" s="2">
        <v>6093853</v>
      </c>
      <c r="E43" s="2">
        <v>15956327</v>
      </c>
      <c r="F43" s="2">
        <v>80147</v>
      </c>
      <c r="G43" s="2">
        <v>307723</v>
      </c>
      <c r="H43" s="2">
        <v>6215704</v>
      </c>
      <c r="I43" s="2">
        <v>23646066</v>
      </c>
      <c r="J43" s="3">
        <f t="shared" si="0"/>
        <v>309584.07843934157</v>
      </c>
      <c r="K43" s="3">
        <f t="shared" si="1"/>
        <v>15956.326999999999</v>
      </c>
      <c r="L43" s="3">
        <f t="shared" si="2"/>
        <v>4071.6825848404792</v>
      </c>
      <c r="M43" s="3">
        <f t="shared" si="3"/>
        <v>307.72300000000001</v>
      </c>
      <c r="N43" s="3">
        <f t="shared" si="4"/>
        <v>315774.43609022553</v>
      </c>
      <c r="O43" s="3">
        <f t="shared" si="5"/>
        <v>23646.065999999999</v>
      </c>
    </row>
    <row r="44" spans="1:15" ht="14.25" customHeight="1">
      <c r="A44" s="2" t="s">
        <v>15</v>
      </c>
      <c r="B44" s="2">
        <v>1943</v>
      </c>
      <c r="C44" s="2" t="s">
        <v>16</v>
      </c>
      <c r="D44" s="2">
        <v>6180500</v>
      </c>
      <c r="E44" s="2">
        <v>15393646</v>
      </c>
      <c r="F44" s="2">
        <v>4811</v>
      </c>
      <c r="G44" s="2">
        <v>27430</v>
      </c>
      <c r="H44" s="2">
        <v>6923613</v>
      </c>
      <c r="I44" s="2">
        <v>26601875</v>
      </c>
      <c r="J44" s="3">
        <f t="shared" si="0"/>
        <v>313985.97845966264</v>
      </c>
      <c r="K44" s="3">
        <f t="shared" si="1"/>
        <v>15393.646000000001</v>
      </c>
      <c r="L44" s="3">
        <f t="shared" si="2"/>
        <v>244.4117049380207</v>
      </c>
      <c r="M44" s="3">
        <f t="shared" si="3"/>
        <v>27.43</v>
      </c>
      <c r="N44" s="3">
        <f t="shared" si="4"/>
        <v>351738.1121723227</v>
      </c>
      <c r="O44" s="3">
        <f t="shared" si="5"/>
        <v>26601.875</v>
      </c>
    </row>
    <row r="45" spans="1:15" ht="14.25" customHeight="1">
      <c r="A45" s="2" t="s">
        <v>15</v>
      </c>
      <c r="B45" s="2">
        <v>1944</v>
      </c>
      <c r="C45" s="2" t="s">
        <v>16</v>
      </c>
      <c r="D45" s="2">
        <v>6478481</v>
      </c>
      <c r="E45" s="2">
        <v>16670106</v>
      </c>
      <c r="F45" s="2">
        <v>1235</v>
      </c>
      <c r="G45" s="2">
        <v>5537</v>
      </c>
      <c r="H45" s="2">
        <v>5687376</v>
      </c>
      <c r="I45" s="2">
        <v>22725453</v>
      </c>
      <c r="J45" s="3">
        <f t="shared" si="0"/>
        <v>329124.21255842305</v>
      </c>
      <c r="K45" s="3">
        <f t="shared" si="1"/>
        <v>16670.106</v>
      </c>
      <c r="L45" s="3">
        <f t="shared" si="2"/>
        <v>62.74131274131274</v>
      </c>
      <c r="M45" s="3">
        <f t="shared" si="3"/>
        <v>5.5369999999999999</v>
      </c>
      <c r="N45" s="3">
        <f t="shared" si="4"/>
        <v>288933.95651290385</v>
      </c>
      <c r="O45" s="3">
        <f t="shared" si="5"/>
        <v>22725.453000000001</v>
      </c>
    </row>
    <row r="46" spans="1:15" ht="14.25" customHeight="1">
      <c r="A46" s="2" t="s">
        <v>15</v>
      </c>
      <c r="B46" s="2">
        <v>1945</v>
      </c>
      <c r="C46" s="2" t="s">
        <v>16</v>
      </c>
      <c r="D46" s="2">
        <v>9829074</v>
      </c>
      <c r="E46" s="2">
        <v>25893515</v>
      </c>
      <c r="F46" s="2">
        <v>203950</v>
      </c>
      <c r="G46" s="2">
        <v>490712</v>
      </c>
      <c r="H46" s="2">
        <v>5513743</v>
      </c>
      <c r="I46" s="2">
        <v>23194211</v>
      </c>
      <c r="J46" s="3">
        <f t="shared" si="0"/>
        <v>499343.32452753501</v>
      </c>
      <c r="K46" s="3">
        <f t="shared" si="1"/>
        <v>25893.514999999999</v>
      </c>
      <c r="L46" s="3">
        <f t="shared" si="2"/>
        <v>10361.207071733386</v>
      </c>
      <c r="M46" s="3">
        <f t="shared" si="3"/>
        <v>490.71199999999999</v>
      </c>
      <c r="N46" s="3">
        <f t="shared" si="4"/>
        <v>280112.93436293432</v>
      </c>
      <c r="O46" s="3">
        <f t="shared" si="5"/>
        <v>23194.210999999999</v>
      </c>
    </row>
    <row r="47" spans="1:15" ht="14.25" customHeight="1">
      <c r="A47" s="2" t="s">
        <v>15</v>
      </c>
      <c r="B47" s="2">
        <v>1946</v>
      </c>
      <c r="C47" s="2" t="s">
        <v>16</v>
      </c>
      <c r="D47" s="2">
        <v>18007011</v>
      </c>
      <c r="E47" s="2">
        <v>39555588</v>
      </c>
      <c r="F47" s="2">
        <v>997496</v>
      </c>
      <c r="G47" s="2">
        <v>2698508</v>
      </c>
      <c r="H47" s="2">
        <v>5815618</v>
      </c>
      <c r="I47" s="2">
        <v>25340752</v>
      </c>
      <c r="J47" s="3">
        <f t="shared" si="0"/>
        <v>914804.46047551301</v>
      </c>
      <c r="K47" s="3">
        <f t="shared" si="1"/>
        <v>39555.588000000003</v>
      </c>
      <c r="L47" s="3">
        <f t="shared" si="2"/>
        <v>50675.47246494615</v>
      </c>
      <c r="M47" s="3">
        <f t="shared" si="3"/>
        <v>2698.5079999999998</v>
      </c>
      <c r="N47" s="3">
        <f t="shared" si="4"/>
        <v>295448.99410688883</v>
      </c>
      <c r="O47" s="3">
        <f t="shared" si="5"/>
        <v>25340.752</v>
      </c>
    </row>
    <row r="48" spans="1:15" ht="14.25" customHeight="1">
      <c r="A48" s="2" t="s">
        <v>15</v>
      </c>
      <c r="B48" s="2">
        <v>1947</v>
      </c>
      <c r="C48" s="2" t="s">
        <v>16</v>
      </c>
      <c r="D48" s="2">
        <v>19875291</v>
      </c>
      <c r="E48" s="2">
        <v>42764882</v>
      </c>
      <c r="F48" s="2">
        <v>1201447</v>
      </c>
      <c r="G48" s="2">
        <v>3630398</v>
      </c>
      <c r="H48" s="2">
        <v>6040863</v>
      </c>
      <c r="I48" s="2">
        <v>28478944</v>
      </c>
      <c r="J48" s="3">
        <f t="shared" si="0"/>
        <v>1009718.0959154643</v>
      </c>
      <c r="K48" s="3">
        <f t="shared" si="1"/>
        <v>42764.881999999998</v>
      </c>
      <c r="L48" s="3">
        <f t="shared" si="2"/>
        <v>61036.730339361915</v>
      </c>
      <c r="M48" s="3">
        <f t="shared" si="3"/>
        <v>3630.3980000000001</v>
      </c>
      <c r="N48" s="3">
        <f t="shared" si="4"/>
        <v>306892.04429993901</v>
      </c>
      <c r="O48" s="3">
        <f t="shared" si="5"/>
        <v>28478.944</v>
      </c>
    </row>
    <row r="49" spans="1:15" ht="14.25" customHeight="1">
      <c r="A49" s="2" t="s">
        <v>15</v>
      </c>
      <c r="B49" s="2">
        <v>1948</v>
      </c>
      <c r="C49" s="2" t="s">
        <v>16</v>
      </c>
      <c r="D49" s="2">
        <v>20846625</v>
      </c>
      <c r="E49" s="2">
        <v>46835991</v>
      </c>
      <c r="F49" s="2">
        <v>1805399</v>
      </c>
      <c r="G49" s="2">
        <v>5154510</v>
      </c>
      <c r="H49" s="2">
        <v>5004576</v>
      </c>
      <c r="I49" s="2">
        <v>19575259</v>
      </c>
      <c r="J49" s="3">
        <f t="shared" si="0"/>
        <v>1059064.4686039423</v>
      </c>
      <c r="K49" s="3">
        <f t="shared" si="1"/>
        <v>46835.991000000002</v>
      </c>
      <c r="L49" s="3">
        <f t="shared" si="2"/>
        <v>91719.111969111967</v>
      </c>
      <c r="M49" s="3">
        <f t="shared" si="3"/>
        <v>5154.51</v>
      </c>
      <c r="N49" s="3">
        <f t="shared" si="4"/>
        <v>254245.88498272706</v>
      </c>
      <c r="O49" s="3">
        <f t="shared" si="5"/>
        <v>19575.258999999998</v>
      </c>
    </row>
    <row r="50" spans="1:15" ht="14.25" customHeight="1">
      <c r="A50" s="2" t="s">
        <v>15</v>
      </c>
      <c r="B50" s="2">
        <v>1949</v>
      </c>
      <c r="C50" s="2" t="s">
        <v>16</v>
      </c>
      <c r="D50" s="2">
        <v>20033787</v>
      </c>
      <c r="E50" s="2">
        <v>41065296</v>
      </c>
      <c r="F50" s="2">
        <v>1488507</v>
      </c>
      <c r="G50" s="2">
        <v>4771164</v>
      </c>
      <c r="H50" s="2">
        <v>4813558</v>
      </c>
      <c r="I50" s="2">
        <v>25106819</v>
      </c>
      <c r="J50" s="3">
        <f t="shared" si="0"/>
        <v>1017770.1178622231</v>
      </c>
      <c r="K50" s="3">
        <f t="shared" si="1"/>
        <v>41065.296000000002</v>
      </c>
      <c r="L50" s="3">
        <f t="shared" si="2"/>
        <v>75620.148343832552</v>
      </c>
      <c r="M50" s="3">
        <f t="shared" si="3"/>
        <v>4771.1639999999998</v>
      </c>
      <c r="N50" s="3">
        <f t="shared" si="4"/>
        <v>244541.65819955291</v>
      </c>
      <c r="O50" s="3">
        <f t="shared" si="5"/>
        <v>25106.819</v>
      </c>
    </row>
    <row r="51" spans="1:15" ht="14.25" customHeight="1">
      <c r="A51" s="2" t="s">
        <v>15</v>
      </c>
      <c r="B51" s="2">
        <v>1950</v>
      </c>
      <c r="C51" s="2" t="s">
        <v>16</v>
      </c>
      <c r="D51" s="2">
        <v>17654188</v>
      </c>
      <c r="E51" s="2">
        <v>36680139</v>
      </c>
      <c r="F51" s="2">
        <v>1362070</v>
      </c>
      <c r="G51" s="2">
        <v>5694871</v>
      </c>
      <c r="H51" s="2">
        <v>2798304</v>
      </c>
      <c r="I51" s="2">
        <v>16322931</v>
      </c>
      <c r="J51" s="3">
        <f t="shared" si="0"/>
        <v>896880.10566957935</v>
      </c>
      <c r="K51" s="3">
        <f t="shared" si="1"/>
        <v>36680.139000000003</v>
      </c>
      <c r="L51" s="3">
        <f t="shared" si="2"/>
        <v>69196.809591546436</v>
      </c>
      <c r="M51" s="3">
        <f t="shared" si="3"/>
        <v>5694.8710000000001</v>
      </c>
      <c r="N51" s="3">
        <f t="shared" si="4"/>
        <v>142161.34931924404</v>
      </c>
      <c r="O51" s="3">
        <f t="shared" si="5"/>
        <v>16322.931</v>
      </c>
    </row>
    <row r="52" spans="1:15" ht="14.25" customHeight="1">
      <c r="A52" s="2" t="s">
        <v>15</v>
      </c>
      <c r="B52" s="2">
        <v>1951</v>
      </c>
      <c r="C52" s="2" t="s">
        <v>16</v>
      </c>
      <c r="D52" s="2">
        <v>18884711</v>
      </c>
      <c r="E52" s="2">
        <v>46510462</v>
      </c>
      <c r="F52" s="2">
        <v>1270221</v>
      </c>
      <c r="G52" s="2">
        <v>5687188</v>
      </c>
      <c r="H52" s="2">
        <v>3823012</v>
      </c>
      <c r="I52" s="2">
        <v>19829185</v>
      </c>
      <c r="J52" s="3">
        <f t="shared" si="0"/>
        <v>959393.97480186948</v>
      </c>
      <c r="K52" s="3">
        <f t="shared" si="1"/>
        <v>46510.462</v>
      </c>
      <c r="L52" s="3">
        <f t="shared" si="2"/>
        <v>64530.634017476121</v>
      </c>
      <c r="M52" s="3">
        <f t="shared" si="3"/>
        <v>5687.1880000000001</v>
      </c>
      <c r="N52" s="3">
        <f t="shared" si="4"/>
        <v>194219.2643771591</v>
      </c>
      <c r="O52" s="3">
        <f t="shared" si="5"/>
        <v>19829.185000000001</v>
      </c>
    </row>
    <row r="53" spans="1:15" ht="14.25" customHeight="1">
      <c r="A53" s="2" t="s">
        <v>15</v>
      </c>
      <c r="B53" s="2">
        <v>1952</v>
      </c>
      <c r="C53" s="2" t="s">
        <v>16</v>
      </c>
      <c r="D53" s="2">
        <v>19798048</v>
      </c>
      <c r="E53" s="2">
        <v>44884480</v>
      </c>
      <c r="F53" s="2">
        <v>1295029</v>
      </c>
      <c r="G53" s="2">
        <v>5839776</v>
      </c>
      <c r="H53" s="2">
        <v>3815312</v>
      </c>
      <c r="I53" s="2">
        <v>16841485</v>
      </c>
      <c r="J53" s="3">
        <f t="shared" si="0"/>
        <v>1005793.9443202601</v>
      </c>
      <c r="K53" s="3">
        <f t="shared" si="1"/>
        <v>44884.480000000003</v>
      </c>
      <c r="L53" s="3">
        <f t="shared" si="2"/>
        <v>65790.946961999594</v>
      </c>
      <c r="M53" s="3">
        <f t="shared" si="3"/>
        <v>5839.7759999999998</v>
      </c>
      <c r="N53" s="3">
        <f t="shared" si="4"/>
        <v>193828.08372282056</v>
      </c>
      <c r="O53" s="3">
        <f t="shared" si="5"/>
        <v>16841.485000000001</v>
      </c>
    </row>
    <row r="54" spans="1:15" ht="14.25" customHeight="1">
      <c r="A54" s="2" t="s">
        <v>15</v>
      </c>
      <c r="B54" s="2">
        <v>1953</v>
      </c>
      <c r="C54" s="2" t="s">
        <v>16</v>
      </c>
      <c r="D54" s="2">
        <v>19606761</v>
      </c>
      <c r="E54" s="2">
        <v>42230044</v>
      </c>
      <c r="F54" s="2">
        <v>1155160</v>
      </c>
      <c r="G54" s="2">
        <v>5254159</v>
      </c>
      <c r="H54" s="2">
        <v>2240036</v>
      </c>
      <c r="I54" s="2">
        <v>13749824</v>
      </c>
      <c r="J54" s="3">
        <f t="shared" si="0"/>
        <v>996076.05161552527</v>
      </c>
      <c r="K54" s="3">
        <f t="shared" si="1"/>
        <v>42230.044000000002</v>
      </c>
      <c r="L54" s="3">
        <f t="shared" si="2"/>
        <v>58685.226579963419</v>
      </c>
      <c r="M54" s="3">
        <f t="shared" si="3"/>
        <v>5254.1589999999997</v>
      </c>
      <c r="N54" s="3">
        <f t="shared" si="4"/>
        <v>113799.83743141637</v>
      </c>
      <c r="O54" s="3">
        <f t="shared" si="5"/>
        <v>13749.824000000001</v>
      </c>
    </row>
    <row r="55" spans="1:15" ht="14.25" customHeight="1">
      <c r="A55" s="2" t="s">
        <v>15</v>
      </c>
      <c r="B55" s="2">
        <v>1954</v>
      </c>
      <c r="C55" s="2" t="s">
        <v>16</v>
      </c>
      <c r="D55" s="2">
        <v>18638373</v>
      </c>
      <c r="E55" s="2">
        <v>44556757</v>
      </c>
      <c r="F55" s="2">
        <v>1243501</v>
      </c>
      <c r="G55" s="2">
        <v>5884921</v>
      </c>
      <c r="H55" s="2">
        <v>2516339</v>
      </c>
      <c r="I55" s="2">
        <v>22101696</v>
      </c>
      <c r="J55" s="3">
        <f t="shared" si="0"/>
        <v>946879.34362934355</v>
      </c>
      <c r="K55" s="3">
        <f t="shared" si="1"/>
        <v>44556.756999999998</v>
      </c>
      <c r="L55" s="3">
        <f t="shared" si="2"/>
        <v>63173.186344238973</v>
      </c>
      <c r="M55" s="3">
        <f t="shared" si="3"/>
        <v>5884.9210000000003</v>
      </c>
      <c r="N55" s="3">
        <f t="shared" si="4"/>
        <v>127836.77098150781</v>
      </c>
      <c r="O55" s="3">
        <f t="shared" si="5"/>
        <v>22101.696</v>
      </c>
    </row>
    <row r="56" spans="1:15" ht="14.25" customHeight="1">
      <c r="A56" s="2" t="s">
        <v>15</v>
      </c>
      <c r="B56" s="2">
        <v>1955</v>
      </c>
      <c r="C56" s="2" t="s">
        <v>16</v>
      </c>
      <c r="D56" s="2">
        <v>19054576</v>
      </c>
      <c r="E56" s="2">
        <v>46013215</v>
      </c>
      <c r="F56" s="2">
        <v>986255</v>
      </c>
      <c r="G56" s="2">
        <v>5776204</v>
      </c>
      <c r="H56" s="2">
        <v>2770272</v>
      </c>
      <c r="I56" s="2">
        <v>22419794</v>
      </c>
      <c r="J56" s="3">
        <f t="shared" si="0"/>
        <v>968023.57244462508</v>
      </c>
      <c r="K56" s="3">
        <f t="shared" si="1"/>
        <v>46013.214999999997</v>
      </c>
      <c r="L56" s="3">
        <f t="shared" si="2"/>
        <v>50104.399512294243</v>
      </c>
      <c r="M56" s="3">
        <f t="shared" si="3"/>
        <v>5776.2039999999997</v>
      </c>
      <c r="N56" s="3">
        <f t="shared" si="4"/>
        <v>140737.24852672219</v>
      </c>
      <c r="O56" s="3">
        <f t="shared" si="5"/>
        <v>22419.794000000002</v>
      </c>
    </row>
    <row r="57" spans="1:15" ht="14.25" customHeight="1">
      <c r="A57" s="2" t="s">
        <v>15</v>
      </c>
      <c r="B57" s="2">
        <v>1956</v>
      </c>
      <c r="C57" s="2" t="s">
        <v>16</v>
      </c>
      <c r="D57" s="2">
        <v>18656000</v>
      </c>
      <c r="E57" s="2">
        <v>48208000</v>
      </c>
      <c r="F57" s="2">
        <v>936032</v>
      </c>
      <c r="G57" s="2">
        <v>5798370</v>
      </c>
      <c r="H57" s="2">
        <v>3128957</v>
      </c>
      <c r="I57" s="2">
        <v>31822522</v>
      </c>
      <c r="J57" s="3">
        <f t="shared" si="0"/>
        <v>947774.84251168452</v>
      </c>
      <c r="K57" s="3">
        <f t="shared" si="1"/>
        <v>48208</v>
      </c>
      <c r="L57" s="3">
        <f t="shared" si="2"/>
        <v>47552.936395041659</v>
      </c>
      <c r="M57" s="3">
        <f t="shared" si="3"/>
        <v>5798.37</v>
      </c>
      <c r="N57" s="3">
        <f t="shared" si="4"/>
        <v>158959.40865677706</v>
      </c>
      <c r="O57" s="3">
        <f t="shared" si="5"/>
        <v>31822.522000000001</v>
      </c>
    </row>
    <row r="58" spans="1:15" ht="14.25" customHeight="1">
      <c r="A58" s="2" t="s">
        <v>15</v>
      </c>
      <c r="B58" s="2">
        <v>1957</v>
      </c>
      <c r="C58" s="2" t="s">
        <v>16</v>
      </c>
      <c r="D58" s="2">
        <v>17451000</v>
      </c>
      <c r="E58" s="2">
        <v>49345000</v>
      </c>
      <c r="F58" s="2">
        <v>801610</v>
      </c>
      <c r="G58" s="2">
        <v>5516464</v>
      </c>
      <c r="H58" s="2">
        <v>3465938</v>
      </c>
      <c r="I58" s="2">
        <v>33403934</v>
      </c>
      <c r="J58" s="3">
        <f t="shared" si="0"/>
        <v>886557.61024182069</v>
      </c>
      <c r="K58" s="3">
        <f t="shared" si="1"/>
        <v>49345</v>
      </c>
      <c r="L58" s="3">
        <f t="shared" si="2"/>
        <v>40723.938223938225</v>
      </c>
      <c r="M58" s="3">
        <f t="shared" si="3"/>
        <v>5516.4639999999999</v>
      </c>
      <c r="N58" s="3">
        <f t="shared" si="4"/>
        <v>176078.94736842104</v>
      </c>
      <c r="O58" s="3">
        <f t="shared" si="5"/>
        <v>33403.934000000001</v>
      </c>
    </row>
    <row r="59" spans="1:15" ht="14.25" customHeight="1">
      <c r="A59" s="2" t="s">
        <v>15</v>
      </c>
      <c r="B59" s="2">
        <v>1958</v>
      </c>
      <c r="C59" s="2" t="s">
        <v>16</v>
      </c>
      <c r="D59" s="2">
        <v>17320000</v>
      </c>
      <c r="E59" s="2">
        <v>52062000</v>
      </c>
      <c r="F59" s="2">
        <v>872901</v>
      </c>
      <c r="G59" s="2">
        <v>5944145</v>
      </c>
      <c r="H59" s="2">
        <v>3672086</v>
      </c>
      <c r="I59" s="2">
        <v>48412101</v>
      </c>
      <c r="J59" s="3">
        <f t="shared" si="0"/>
        <v>879902.45884982718</v>
      </c>
      <c r="K59" s="3">
        <f t="shared" si="1"/>
        <v>52062</v>
      </c>
      <c r="L59" s="3">
        <f t="shared" si="2"/>
        <v>44345.712253606987</v>
      </c>
      <c r="M59" s="3">
        <f t="shared" si="3"/>
        <v>5944.1450000000004</v>
      </c>
      <c r="N59" s="3">
        <f t="shared" si="4"/>
        <v>186551.81873602926</v>
      </c>
      <c r="O59" s="3">
        <f t="shared" si="5"/>
        <v>48412.101000000002</v>
      </c>
    </row>
    <row r="60" spans="1:15" ht="14.25" customHeight="1">
      <c r="A60" s="2" t="s">
        <v>15</v>
      </c>
      <c r="B60" s="2">
        <v>1959</v>
      </c>
      <c r="C60" s="2" t="s">
        <v>16</v>
      </c>
      <c r="D60" s="2">
        <v>17192000</v>
      </c>
      <c r="E60" s="2">
        <v>52460000</v>
      </c>
      <c r="F60" s="2">
        <v>948670</v>
      </c>
      <c r="G60" s="2">
        <v>6041709</v>
      </c>
      <c r="H60" s="2">
        <v>3873131</v>
      </c>
      <c r="I60" s="2">
        <v>52751837</v>
      </c>
      <c r="J60" s="3">
        <f t="shared" si="0"/>
        <v>873399.71550497867</v>
      </c>
      <c r="K60" s="3">
        <f t="shared" si="1"/>
        <v>52460</v>
      </c>
      <c r="L60" s="3">
        <f t="shared" si="2"/>
        <v>48194.980694980695</v>
      </c>
      <c r="M60" s="3">
        <f t="shared" si="3"/>
        <v>6041.7089999999998</v>
      </c>
      <c r="N60" s="3">
        <f t="shared" si="4"/>
        <v>196765.44401544399</v>
      </c>
      <c r="O60" s="3">
        <f t="shared" si="5"/>
        <v>52751.837</v>
      </c>
    </row>
    <row r="61" spans="1:15" ht="14.25" customHeight="1">
      <c r="A61" s="2" t="s">
        <v>15</v>
      </c>
      <c r="B61" s="2">
        <v>1960</v>
      </c>
      <c r="C61" s="2" t="s">
        <v>16</v>
      </c>
      <c r="D61" s="2">
        <v>16050000</v>
      </c>
      <c r="E61" s="2">
        <v>53056000</v>
      </c>
      <c r="F61" s="2">
        <v>903877</v>
      </c>
      <c r="G61" s="2">
        <v>6331832</v>
      </c>
      <c r="H61" s="2">
        <v>4070260</v>
      </c>
      <c r="I61" s="2">
        <v>47854424</v>
      </c>
      <c r="J61" s="3">
        <f t="shared" si="0"/>
        <v>815383.0522251575</v>
      </c>
      <c r="K61" s="3">
        <f t="shared" si="1"/>
        <v>53056</v>
      </c>
      <c r="L61" s="3">
        <f t="shared" si="2"/>
        <v>45919.376143060348</v>
      </c>
      <c r="M61" s="3">
        <f t="shared" si="3"/>
        <v>6331.8320000000003</v>
      </c>
      <c r="N61" s="3">
        <f t="shared" si="4"/>
        <v>206780.1259906523</v>
      </c>
      <c r="O61" s="3">
        <f t="shared" si="5"/>
        <v>47854.423999999999</v>
      </c>
    </row>
    <row r="62" spans="1:15" ht="14.25" customHeight="1">
      <c r="A62" s="2" t="s">
        <v>15</v>
      </c>
      <c r="B62" s="2">
        <v>1961</v>
      </c>
      <c r="C62" s="2" t="s">
        <v>16</v>
      </c>
      <c r="D62" s="2">
        <v>14914000</v>
      </c>
      <c r="E62" s="2">
        <v>51634000</v>
      </c>
      <c r="F62" s="2">
        <v>751448</v>
      </c>
      <c r="G62" s="2">
        <v>6366683</v>
      </c>
      <c r="H62" s="2">
        <v>4021491</v>
      </c>
      <c r="I62" s="2">
        <v>42859979</v>
      </c>
      <c r="J62" s="3">
        <f t="shared" si="0"/>
        <v>757671.2050396261</v>
      </c>
      <c r="K62" s="3">
        <f t="shared" si="1"/>
        <v>51634</v>
      </c>
      <c r="L62" s="3">
        <f t="shared" si="2"/>
        <v>38175.574070310911</v>
      </c>
      <c r="M62" s="3">
        <f t="shared" si="3"/>
        <v>6366.683</v>
      </c>
      <c r="N62" s="3">
        <f t="shared" si="4"/>
        <v>204302.5299735826</v>
      </c>
      <c r="O62" s="3">
        <f t="shared" si="5"/>
        <v>42859.978999999999</v>
      </c>
    </row>
    <row r="63" spans="1:15" ht="14.25" customHeight="1">
      <c r="A63" s="2" t="s">
        <v>15</v>
      </c>
      <c r="B63" s="2">
        <v>1962</v>
      </c>
      <c r="C63" s="2" t="s">
        <v>16</v>
      </c>
      <c r="D63" s="2">
        <v>16309000</v>
      </c>
      <c r="E63" s="2">
        <v>51323000</v>
      </c>
      <c r="F63" s="2">
        <v>861861</v>
      </c>
      <c r="G63" s="2">
        <v>7072801</v>
      </c>
      <c r="H63" s="2">
        <v>4296155</v>
      </c>
      <c r="I63" s="2">
        <v>60298028</v>
      </c>
      <c r="J63" s="3">
        <f t="shared" si="0"/>
        <v>828540.94696199952</v>
      </c>
      <c r="K63" s="3">
        <f t="shared" si="1"/>
        <v>51323</v>
      </c>
      <c r="L63" s="3">
        <f t="shared" si="2"/>
        <v>43784.850640113793</v>
      </c>
      <c r="M63" s="3">
        <f t="shared" si="3"/>
        <v>7072.8010000000004</v>
      </c>
      <c r="N63" s="3">
        <f t="shared" si="4"/>
        <v>218256.19792725056</v>
      </c>
      <c r="O63" s="3">
        <f t="shared" si="5"/>
        <v>60298.027999999998</v>
      </c>
    </row>
    <row r="64" spans="1:15" ht="14.25" customHeight="1">
      <c r="A64" s="2" t="s">
        <v>15</v>
      </c>
      <c r="B64" s="2">
        <v>1963</v>
      </c>
      <c r="C64" s="2" t="s">
        <v>16</v>
      </c>
      <c r="D64" s="2">
        <v>16771000</v>
      </c>
      <c r="E64" s="2">
        <v>53583000</v>
      </c>
      <c r="F64" s="2">
        <v>883972</v>
      </c>
      <c r="G64" s="2">
        <v>7677427</v>
      </c>
      <c r="H64" s="2">
        <v>3790951</v>
      </c>
      <c r="I64" s="2">
        <v>49925155</v>
      </c>
      <c r="J64" s="3">
        <f t="shared" si="0"/>
        <v>852011.78622231248</v>
      </c>
      <c r="K64" s="3">
        <f t="shared" si="1"/>
        <v>53583</v>
      </c>
      <c r="L64" s="3">
        <f t="shared" si="2"/>
        <v>44908.148750254011</v>
      </c>
      <c r="M64" s="3">
        <f t="shared" si="3"/>
        <v>7677.4269999999997</v>
      </c>
      <c r="N64" s="3">
        <f t="shared" si="4"/>
        <v>192590.47957732168</v>
      </c>
      <c r="O64" s="3">
        <f t="shared" si="5"/>
        <v>49925.154999999999</v>
      </c>
    </row>
    <row r="65" spans="1:15" ht="14.25" customHeight="1">
      <c r="A65" s="2" t="s">
        <v>15</v>
      </c>
      <c r="B65" s="2">
        <v>1964</v>
      </c>
      <c r="C65" s="2" t="s">
        <v>16</v>
      </c>
      <c r="D65" s="2">
        <v>16900000</v>
      </c>
      <c r="E65" s="2">
        <v>57231000</v>
      </c>
      <c r="F65" s="2">
        <v>849034</v>
      </c>
      <c r="G65" s="2">
        <v>8176919</v>
      </c>
      <c r="H65" s="2">
        <v>4498867</v>
      </c>
      <c r="I65" s="2">
        <v>66878046</v>
      </c>
      <c r="J65" s="3">
        <f t="shared" si="0"/>
        <v>858565.3322495427</v>
      </c>
      <c r="K65" s="3">
        <f t="shared" si="1"/>
        <v>57231</v>
      </c>
      <c r="L65" s="3">
        <f t="shared" si="2"/>
        <v>43133.20463320463</v>
      </c>
      <c r="M65" s="3">
        <f t="shared" si="3"/>
        <v>8176.9189999999999</v>
      </c>
      <c r="N65" s="3">
        <f t="shared" si="4"/>
        <v>228554.51127819548</v>
      </c>
      <c r="O65" s="3">
        <f t="shared" si="5"/>
        <v>66878.046000000002</v>
      </c>
    </row>
    <row r="66" spans="1:15" ht="14.25" customHeight="1">
      <c r="A66" s="2" t="s">
        <v>18</v>
      </c>
      <c r="B66" s="2">
        <v>1903</v>
      </c>
      <c r="C66" s="2" t="s">
        <v>19</v>
      </c>
      <c r="D66" s="2">
        <v>3059011</v>
      </c>
      <c r="E66" s="2">
        <v>801261</v>
      </c>
      <c r="J66" s="3">
        <f t="shared" si="0"/>
        <v>155405.9642349116</v>
      </c>
      <c r="K66" s="3">
        <f t="shared" si="1"/>
        <v>801.26099999999997</v>
      </c>
      <c r="L66" s="3" t="e">
        <f t="shared" si="2"/>
        <v>#N/A</v>
      </c>
      <c r="M66" s="3" t="e">
        <f t="shared" si="3"/>
        <v>#N/A</v>
      </c>
      <c r="N66" s="3" t="e">
        <f t="shared" si="4"/>
        <v>#N/A</v>
      </c>
      <c r="O66" s="3" t="e">
        <f t="shared" si="5"/>
        <v>#N/A</v>
      </c>
    </row>
    <row r="67" spans="1:15" ht="14.25" customHeight="1">
      <c r="A67" s="2" t="s">
        <v>18</v>
      </c>
      <c r="B67" s="2">
        <v>1904</v>
      </c>
      <c r="C67" s="2" t="s">
        <v>19</v>
      </c>
      <c r="D67" s="2">
        <v>3199303</v>
      </c>
      <c r="E67" s="2">
        <v>769674</v>
      </c>
      <c r="J67" s="3">
        <f t="shared" si="0"/>
        <v>162533.17415159519</v>
      </c>
      <c r="K67" s="3">
        <f t="shared" si="1"/>
        <v>769.67399999999998</v>
      </c>
      <c r="L67" s="3" t="e">
        <f t="shared" si="2"/>
        <v>#N/A</v>
      </c>
      <c r="M67" s="3" t="e">
        <f t="shared" si="3"/>
        <v>#N/A</v>
      </c>
      <c r="N67" s="3" t="e">
        <f t="shared" si="4"/>
        <v>#N/A</v>
      </c>
      <c r="O67" s="3" t="e">
        <f t="shared" si="5"/>
        <v>#N/A</v>
      </c>
    </row>
    <row r="68" spans="1:15" ht="14.25" customHeight="1">
      <c r="A68" s="2" t="s">
        <v>18</v>
      </c>
      <c r="B68" s="2">
        <v>1905</v>
      </c>
      <c r="C68" s="2" t="s">
        <v>19</v>
      </c>
      <c r="D68" s="2">
        <v>3003005</v>
      </c>
      <c r="E68" s="2">
        <v>1161422</v>
      </c>
      <c r="J68" s="3">
        <f t="shared" si="0"/>
        <v>152560.70920544604</v>
      </c>
      <c r="K68" s="3">
        <f t="shared" si="1"/>
        <v>1161.422</v>
      </c>
      <c r="L68" s="3" t="e">
        <f t="shared" si="2"/>
        <v>#N/A</v>
      </c>
      <c r="M68" s="3" t="e">
        <f t="shared" si="3"/>
        <v>#N/A</v>
      </c>
      <c r="N68" s="3" t="e">
        <f t="shared" si="4"/>
        <v>#N/A</v>
      </c>
      <c r="O68" s="3" t="e">
        <f t="shared" si="5"/>
        <v>#N/A</v>
      </c>
    </row>
    <row r="69" spans="1:15" ht="14.25" customHeight="1">
      <c r="A69" s="2" t="s">
        <v>18</v>
      </c>
      <c r="B69" s="2">
        <v>1906</v>
      </c>
      <c r="C69" s="2" t="s">
        <v>19</v>
      </c>
      <c r="D69" s="2">
        <v>3278289</v>
      </c>
      <c r="E69" s="2">
        <v>1319186</v>
      </c>
      <c r="J69" s="3">
        <f t="shared" si="0"/>
        <v>166545.87482219061</v>
      </c>
      <c r="K69" s="3">
        <f t="shared" si="1"/>
        <v>1319.1859999999999</v>
      </c>
      <c r="L69" s="3" t="e">
        <f t="shared" si="2"/>
        <v>#N/A</v>
      </c>
      <c r="M69" s="3" t="e">
        <f t="shared" si="3"/>
        <v>#N/A</v>
      </c>
      <c r="N69" s="3" t="e">
        <f t="shared" si="4"/>
        <v>#N/A</v>
      </c>
      <c r="O69" s="3" t="e">
        <f t="shared" si="5"/>
        <v>#N/A</v>
      </c>
    </row>
    <row r="70" spans="1:15" ht="14.25" customHeight="1">
      <c r="A70" s="2" t="s">
        <v>18</v>
      </c>
      <c r="B70" s="2">
        <v>1907</v>
      </c>
      <c r="C70" s="2" t="s">
        <v>19</v>
      </c>
      <c r="D70" s="2">
        <v>4439554</v>
      </c>
      <c r="E70" s="2">
        <v>1125918</v>
      </c>
      <c r="J70" s="3">
        <f t="shared" si="0"/>
        <v>225541.25177809387</v>
      </c>
      <c r="K70" s="3">
        <f t="shared" si="1"/>
        <v>1125.9179999999999</v>
      </c>
      <c r="L70" s="3" t="e">
        <f t="shared" si="2"/>
        <v>#N/A</v>
      </c>
      <c r="M70" s="3" t="e">
        <f t="shared" si="3"/>
        <v>#N/A</v>
      </c>
      <c r="N70" s="3" t="e">
        <f t="shared" si="4"/>
        <v>#N/A</v>
      </c>
      <c r="O70" s="3" t="e">
        <f t="shared" si="5"/>
        <v>#N/A</v>
      </c>
    </row>
    <row r="71" spans="1:15" ht="14.25" customHeight="1">
      <c r="A71" s="2" t="s">
        <v>18</v>
      </c>
      <c r="B71" s="2">
        <v>1908</v>
      </c>
      <c r="C71" s="2" t="s">
        <v>19</v>
      </c>
      <c r="D71" s="2">
        <v>3983689</v>
      </c>
      <c r="E71" s="2">
        <v>1111701</v>
      </c>
      <c r="J71" s="3">
        <f t="shared" si="0"/>
        <v>202382.08697419224</v>
      </c>
      <c r="K71" s="3">
        <f t="shared" si="1"/>
        <v>1111.701</v>
      </c>
      <c r="L71" s="3" t="e">
        <f t="shared" si="2"/>
        <v>#N/A</v>
      </c>
      <c r="M71" s="3" t="e">
        <f t="shared" si="3"/>
        <v>#N/A</v>
      </c>
      <c r="N71" s="3" t="e">
        <f t="shared" si="4"/>
        <v>#N/A</v>
      </c>
      <c r="O71" s="3" t="e">
        <f t="shared" si="5"/>
        <v>#N/A</v>
      </c>
    </row>
    <row r="72" spans="1:15" ht="14.25" customHeight="1">
      <c r="A72" s="2" t="s">
        <v>18</v>
      </c>
      <c r="B72" s="2">
        <v>1909</v>
      </c>
      <c r="C72" s="2" t="s">
        <v>19</v>
      </c>
      <c r="D72" s="2">
        <v>4564124</v>
      </c>
      <c r="E72" s="2">
        <v>1375597</v>
      </c>
      <c r="J72" s="3">
        <f t="shared" si="0"/>
        <v>231869.74192237348</v>
      </c>
      <c r="K72" s="3">
        <f t="shared" si="1"/>
        <v>1375.597</v>
      </c>
      <c r="L72" s="3" t="e">
        <f t="shared" si="2"/>
        <v>#N/A</v>
      </c>
      <c r="M72" s="3" t="e">
        <f t="shared" si="3"/>
        <v>#N/A</v>
      </c>
      <c r="N72" s="3" t="e">
        <f t="shared" si="4"/>
        <v>#N/A</v>
      </c>
      <c r="O72" s="3" t="e">
        <f t="shared" si="5"/>
        <v>#N/A</v>
      </c>
    </row>
    <row r="73" spans="1:15" ht="14.25" customHeight="1">
      <c r="A73" s="2" t="s">
        <v>18</v>
      </c>
      <c r="B73" s="2">
        <v>1910</v>
      </c>
      <c r="C73" s="2" t="s">
        <v>19</v>
      </c>
      <c r="D73" s="2">
        <v>3827581</v>
      </c>
      <c r="E73" s="2">
        <v>1470735</v>
      </c>
      <c r="J73" s="3">
        <f t="shared" si="0"/>
        <v>194451.38183296076</v>
      </c>
      <c r="K73" s="3">
        <f t="shared" si="1"/>
        <v>1470.7349999999999</v>
      </c>
      <c r="L73" s="3" t="e">
        <f t="shared" si="2"/>
        <v>#N/A</v>
      </c>
      <c r="M73" s="3" t="e">
        <f t="shared" si="3"/>
        <v>#N/A</v>
      </c>
      <c r="N73" s="3" t="e">
        <f t="shared" si="4"/>
        <v>#N/A</v>
      </c>
      <c r="O73" s="3" t="e">
        <f t="shared" si="5"/>
        <v>#N/A</v>
      </c>
    </row>
    <row r="74" spans="1:15" ht="14.25" customHeight="1">
      <c r="A74" s="2" t="s">
        <v>18</v>
      </c>
      <c r="B74" s="2">
        <v>1914</v>
      </c>
      <c r="C74" s="2" t="s">
        <v>19</v>
      </c>
      <c r="D74" s="2">
        <v>2016908</v>
      </c>
      <c r="E74" s="2">
        <v>677804</v>
      </c>
      <c r="J74" s="3">
        <f t="shared" si="0"/>
        <v>102464.33651696809</v>
      </c>
      <c r="K74" s="3">
        <f t="shared" si="1"/>
        <v>677.80399999999997</v>
      </c>
      <c r="L74" s="3" t="e">
        <f t="shared" si="2"/>
        <v>#N/A</v>
      </c>
      <c r="M74" s="3" t="e">
        <f t="shared" si="3"/>
        <v>#N/A</v>
      </c>
      <c r="N74" s="3" t="e">
        <f t="shared" si="4"/>
        <v>#N/A</v>
      </c>
      <c r="O74" s="3" t="e">
        <f t="shared" si="5"/>
        <v>#N/A</v>
      </c>
    </row>
    <row r="75" spans="1:15" ht="14.25" customHeight="1">
      <c r="A75" s="2" t="s">
        <v>18</v>
      </c>
      <c r="B75" s="2">
        <v>1915</v>
      </c>
      <c r="C75" s="2" t="s">
        <v>19</v>
      </c>
      <c r="D75" s="2">
        <v>1203985</v>
      </c>
      <c r="E75" s="2">
        <v>990729</v>
      </c>
      <c r="J75" s="3">
        <f t="shared" si="0"/>
        <v>61165.667547246492</v>
      </c>
      <c r="K75" s="3">
        <f t="shared" si="1"/>
        <v>990.72900000000004</v>
      </c>
      <c r="L75" s="3" t="e">
        <f t="shared" si="2"/>
        <v>#N/A</v>
      </c>
      <c r="M75" s="3" t="e">
        <f t="shared" si="3"/>
        <v>#N/A</v>
      </c>
      <c r="N75" s="3" t="e">
        <f t="shared" si="4"/>
        <v>#N/A</v>
      </c>
      <c r="O75" s="3" t="e">
        <f t="shared" si="5"/>
        <v>#N/A</v>
      </c>
    </row>
    <row r="76" spans="1:15" ht="14.25" customHeight="1">
      <c r="A76" s="2" t="s">
        <v>18</v>
      </c>
      <c r="B76" s="2">
        <v>1916</v>
      </c>
      <c r="C76" s="2" t="s">
        <v>19</v>
      </c>
      <c r="D76" s="2">
        <v>645443</v>
      </c>
      <c r="E76" s="2">
        <v>706334</v>
      </c>
      <c r="J76" s="3">
        <f t="shared" si="0"/>
        <v>32790.235724446247</v>
      </c>
      <c r="K76" s="3">
        <f t="shared" si="1"/>
        <v>706.33399999999995</v>
      </c>
      <c r="L76" s="3" t="e">
        <f t="shared" si="2"/>
        <v>#N/A</v>
      </c>
      <c r="M76" s="3" t="e">
        <f t="shared" si="3"/>
        <v>#N/A</v>
      </c>
      <c r="N76" s="3" t="e">
        <f t="shared" si="4"/>
        <v>#N/A</v>
      </c>
      <c r="O76" s="3" t="e">
        <f t="shared" si="5"/>
        <v>#N/A</v>
      </c>
    </row>
    <row r="77" spans="1:15" ht="14.25" customHeight="1">
      <c r="A77" s="2" t="s">
        <v>18</v>
      </c>
      <c r="B77" s="2">
        <v>1917</v>
      </c>
      <c r="C77" s="2" t="s">
        <v>19</v>
      </c>
      <c r="D77" s="2">
        <v>1142238</v>
      </c>
      <c r="E77" s="2">
        <v>1302518</v>
      </c>
      <c r="J77" s="3">
        <f t="shared" si="0"/>
        <v>58028.754318227999</v>
      </c>
      <c r="K77" s="3">
        <f t="shared" si="1"/>
        <v>1302.518</v>
      </c>
      <c r="L77" s="3" t="e">
        <f t="shared" si="2"/>
        <v>#N/A</v>
      </c>
      <c r="M77" s="3" t="e">
        <f t="shared" si="3"/>
        <v>#N/A</v>
      </c>
      <c r="N77" s="3" t="e">
        <f t="shared" si="4"/>
        <v>#N/A</v>
      </c>
      <c r="O77" s="3" t="e">
        <f t="shared" si="5"/>
        <v>#N/A</v>
      </c>
    </row>
    <row r="78" spans="1:15" ht="14.25" customHeight="1">
      <c r="A78" s="2" t="s">
        <v>18</v>
      </c>
      <c r="B78" s="2">
        <v>1918</v>
      </c>
      <c r="C78" s="2" t="s">
        <v>19</v>
      </c>
      <c r="D78" s="2">
        <v>1521362</v>
      </c>
      <c r="E78" s="2">
        <v>1865504</v>
      </c>
      <c r="J78" s="3">
        <f t="shared" si="0"/>
        <v>77289.270473480996</v>
      </c>
      <c r="K78" s="3">
        <f t="shared" si="1"/>
        <v>1865.5039999999999</v>
      </c>
      <c r="L78" s="3" t="e">
        <f t="shared" si="2"/>
        <v>#N/A</v>
      </c>
      <c r="M78" s="3" t="e">
        <f t="shared" si="3"/>
        <v>#N/A</v>
      </c>
      <c r="N78" s="3" t="e">
        <f t="shared" si="4"/>
        <v>#N/A</v>
      </c>
      <c r="O78" s="3" t="e">
        <f t="shared" si="5"/>
        <v>#N/A</v>
      </c>
    </row>
    <row r="79" spans="1:15" ht="14.25" customHeight="1">
      <c r="A79" s="2" t="s">
        <v>18</v>
      </c>
      <c r="B79" s="2">
        <v>1903</v>
      </c>
      <c r="C79" s="2" t="s">
        <v>20</v>
      </c>
      <c r="D79" s="2">
        <v>348501</v>
      </c>
      <c r="E79" s="2">
        <v>255272</v>
      </c>
      <c r="J79" s="3">
        <f t="shared" si="0"/>
        <v>17704.785612680349</v>
      </c>
      <c r="K79" s="3">
        <f t="shared" si="1"/>
        <v>255.27199999999999</v>
      </c>
      <c r="L79" s="3" t="e">
        <f t="shared" si="2"/>
        <v>#N/A</v>
      </c>
      <c r="M79" s="3" t="e">
        <f t="shared" si="3"/>
        <v>#N/A</v>
      </c>
      <c r="N79" s="3" t="e">
        <f t="shared" si="4"/>
        <v>#N/A</v>
      </c>
      <c r="O79" s="3" t="e">
        <f t="shared" si="5"/>
        <v>#N/A</v>
      </c>
    </row>
    <row r="80" spans="1:15" ht="14.25" customHeight="1">
      <c r="A80" s="2" t="s">
        <v>18</v>
      </c>
      <c r="B80" s="2">
        <v>1904</v>
      </c>
      <c r="C80" s="2" t="s">
        <v>20</v>
      </c>
      <c r="D80" s="2">
        <v>518569</v>
      </c>
      <c r="E80" s="2">
        <v>270952</v>
      </c>
      <c r="J80" s="3">
        <f t="shared" si="0"/>
        <v>26344.696199959355</v>
      </c>
      <c r="K80" s="3">
        <f t="shared" si="1"/>
        <v>270.952</v>
      </c>
      <c r="L80" s="3" t="e">
        <f t="shared" si="2"/>
        <v>#N/A</v>
      </c>
      <c r="M80" s="3" t="e">
        <f t="shared" si="3"/>
        <v>#N/A</v>
      </c>
      <c r="N80" s="3" t="e">
        <f t="shared" si="4"/>
        <v>#N/A</v>
      </c>
      <c r="O80" s="3" t="e">
        <f t="shared" si="5"/>
        <v>#N/A</v>
      </c>
    </row>
    <row r="81" spans="1:15" ht="14.25" customHeight="1">
      <c r="A81" s="2" t="s">
        <v>18</v>
      </c>
      <c r="B81" s="2">
        <v>1905</v>
      </c>
      <c r="C81" s="2" t="s">
        <v>20</v>
      </c>
      <c r="D81" s="2">
        <v>682544</v>
      </c>
      <c r="E81" s="2">
        <v>304028</v>
      </c>
      <c r="J81" s="3">
        <f t="shared" si="0"/>
        <v>34675.066043487095</v>
      </c>
      <c r="K81" s="3">
        <f t="shared" si="1"/>
        <v>304.02800000000002</v>
      </c>
      <c r="L81" s="3" t="e">
        <f t="shared" si="2"/>
        <v>#N/A</v>
      </c>
      <c r="M81" s="3" t="e">
        <f t="shared" si="3"/>
        <v>#N/A</v>
      </c>
      <c r="N81" s="3" t="e">
        <f t="shared" si="4"/>
        <v>#N/A</v>
      </c>
      <c r="O81" s="3" t="e">
        <f t="shared" si="5"/>
        <v>#N/A</v>
      </c>
    </row>
    <row r="82" spans="1:15" ht="14.25" customHeight="1">
      <c r="A82" s="2" t="s">
        <v>18</v>
      </c>
      <c r="B82" s="2">
        <v>1906</v>
      </c>
      <c r="C82" s="2" t="s">
        <v>20</v>
      </c>
      <c r="D82" s="2">
        <v>281072</v>
      </c>
      <c r="E82" s="2">
        <v>166578</v>
      </c>
      <c r="J82" s="3">
        <f t="shared" si="0"/>
        <v>14279.211542369436</v>
      </c>
      <c r="K82" s="3">
        <f t="shared" si="1"/>
        <v>166.578</v>
      </c>
      <c r="L82" s="3" t="e">
        <f t="shared" si="2"/>
        <v>#N/A</v>
      </c>
      <c r="M82" s="3" t="e">
        <f t="shared" si="3"/>
        <v>#N/A</v>
      </c>
      <c r="N82" s="3" t="e">
        <f t="shared" si="4"/>
        <v>#N/A</v>
      </c>
      <c r="O82" s="3" t="e">
        <f t="shared" si="5"/>
        <v>#N/A</v>
      </c>
    </row>
    <row r="83" spans="1:15" ht="14.25" customHeight="1">
      <c r="A83" s="2" t="s">
        <v>18</v>
      </c>
      <c r="B83" s="2">
        <v>1907</v>
      </c>
      <c r="C83" s="2" t="s">
        <v>20</v>
      </c>
      <c r="D83" s="2">
        <v>419232</v>
      </c>
      <c r="E83" s="2">
        <v>186901</v>
      </c>
      <c r="J83" s="3">
        <f t="shared" si="0"/>
        <v>21298.110140215402</v>
      </c>
      <c r="K83" s="3">
        <f t="shared" si="1"/>
        <v>186.90100000000001</v>
      </c>
      <c r="L83" s="3" t="e">
        <f t="shared" si="2"/>
        <v>#N/A</v>
      </c>
      <c r="M83" s="3" t="e">
        <f t="shared" si="3"/>
        <v>#N/A</v>
      </c>
      <c r="N83" s="3" t="e">
        <f t="shared" si="4"/>
        <v>#N/A</v>
      </c>
      <c r="O83" s="3" t="e">
        <f t="shared" si="5"/>
        <v>#N/A</v>
      </c>
    </row>
    <row r="84" spans="1:15" ht="14.25" customHeight="1">
      <c r="A84" s="2" t="s">
        <v>18</v>
      </c>
      <c r="B84" s="2">
        <v>1908</v>
      </c>
      <c r="C84" s="2" t="s">
        <v>20</v>
      </c>
      <c r="D84" s="2">
        <v>342914</v>
      </c>
      <c r="E84" s="2">
        <v>180696</v>
      </c>
      <c r="J84" s="3">
        <f t="shared" si="0"/>
        <v>17420.951026214185</v>
      </c>
      <c r="K84" s="3">
        <f t="shared" si="1"/>
        <v>180.696</v>
      </c>
      <c r="L84" s="3" t="e">
        <f t="shared" si="2"/>
        <v>#N/A</v>
      </c>
      <c r="M84" s="3" t="e">
        <f t="shared" si="3"/>
        <v>#N/A</v>
      </c>
      <c r="N84" s="3" t="e">
        <f t="shared" si="4"/>
        <v>#N/A</v>
      </c>
      <c r="O84" s="3" t="e">
        <f t="shared" si="5"/>
        <v>#N/A</v>
      </c>
    </row>
    <row r="85" spans="1:15" ht="14.25" customHeight="1">
      <c r="A85" s="2" t="s">
        <v>18</v>
      </c>
      <c r="B85" s="2">
        <v>1909</v>
      </c>
      <c r="C85" s="2" t="s">
        <v>20</v>
      </c>
      <c r="D85" s="2">
        <v>367265</v>
      </c>
      <c r="E85" s="2">
        <v>183090</v>
      </c>
      <c r="J85" s="3">
        <f t="shared" si="0"/>
        <v>18658.047144889249</v>
      </c>
      <c r="K85" s="3">
        <f t="shared" si="1"/>
        <v>183.09</v>
      </c>
      <c r="L85" s="3" t="e">
        <f t="shared" si="2"/>
        <v>#N/A</v>
      </c>
      <c r="M85" s="3" t="e">
        <f t="shared" si="3"/>
        <v>#N/A</v>
      </c>
      <c r="N85" s="3" t="e">
        <f t="shared" si="4"/>
        <v>#N/A</v>
      </c>
      <c r="O85" s="3" t="e">
        <f t="shared" si="5"/>
        <v>#N/A</v>
      </c>
    </row>
    <row r="86" spans="1:15" ht="14.25" customHeight="1">
      <c r="A86" s="2" t="s">
        <v>18</v>
      </c>
      <c r="B86" s="2">
        <v>1910</v>
      </c>
      <c r="C86" s="2" t="s">
        <v>20</v>
      </c>
      <c r="D86" s="2">
        <v>408130</v>
      </c>
      <c r="E86" s="2">
        <v>190294</v>
      </c>
      <c r="J86" s="3">
        <f t="shared" si="0"/>
        <v>20734.098760414548</v>
      </c>
      <c r="K86" s="3">
        <f t="shared" si="1"/>
        <v>190.29400000000001</v>
      </c>
      <c r="L86" s="3" t="e">
        <f t="shared" si="2"/>
        <v>#N/A</v>
      </c>
      <c r="M86" s="3" t="e">
        <f t="shared" si="3"/>
        <v>#N/A</v>
      </c>
      <c r="N86" s="3" t="e">
        <f t="shared" si="4"/>
        <v>#N/A</v>
      </c>
      <c r="O86" s="3" t="e">
        <f t="shared" si="5"/>
        <v>#N/A</v>
      </c>
    </row>
    <row r="87" spans="1:15" ht="14.25" customHeight="1">
      <c r="A87" s="2" t="s">
        <v>18</v>
      </c>
      <c r="B87" s="2">
        <v>1914</v>
      </c>
      <c r="C87" s="2" t="s">
        <v>20</v>
      </c>
      <c r="D87" s="2">
        <v>276968</v>
      </c>
      <c r="E87" s="2">
        <v>141384</v>
      </c>
      <c r="J87" s="3">
        <f t="shared" si="0"/>
        <v>14070.717333875227</v>
      </c>
      <c r="K87" s="3">
        <f t="shared" si="1"/>
        <v>141.38399999999999</v>
      </c>
      <c r="L87" s="3" t="e">
        <f t="shared" si="2"/>
        <v>#N/A</v>
      </c>
      <c r="M87" s="3" t="e">
        <f t="shared" si="3"/>
        <v>#N/A</v>
      </c>
      <c r="N87" s="3" t="e">
        <f t="shared" si="4"/>
        <v>#N/A</v>
      </c>
      <c r="O87" s="3" t="e">
        <f t="shared" si="5"/>
        <v>#N/A</v>
      </c>
    </row>
    <row r="88" spans="1:15" ht="14.25" customHeight="1">
      <c r="A88" s="2" t="s">
        <v>18</v>
      </c>
      <c r="B88" s="2">
        <v>1915</v>
      </c>
      <c r="C88" s="2" t="s">
        <v>20</v>
      </c>
      <c r="D88" s="2">
        <v>259896</v>
      </c>
      <c r="E88" s="2">
        <v>184207</v>
      </c>
      <c r="J88" s="3">
        <f t="shared" si="0"/>
        <v>13203.413940256045</v>
      </c>
      <c r="K88" s="3">
        <f t="shared" si="1"/>
        <v>184.20699999999999</v>
      </c>
      <c r="L88" s="3" t="e">
        <f t="shared" si="2"/>
        <v>#N/A</v>
      </c>
      <c r="M88" s="3" t="e">
        <f t="shared" si="3"/>
        <v>#N/A</v>
      </c>
      <c r="N88" s="3" t="e">
        <f t="shared" si="4"/>
        <v>#N/A</v>
      </c>
      <c r="O88" s="3" t="e">
        <f t="shared" si="5"/>
        <v>#N/A</v>
      </c>
    </row>
    <row r="89" spans="1:15" ht="14.25" customHeight="1">
      <c r="A89" s="2" t="s">
        <v>18</v>
      </c>
      <c r="B89" s="2">
        <v>1916</v>
      </c>
      <c r="C89" s="2" t="s">
        <v>20</v>
      </c>
      <c r="D89" s="2">
        <v>161483</v>
      </c>
      <c r="E89" s="2">
        <v>156824</v>
      </c>
      <c r="J89" s="3">
        <f t="shared" si="0"/>
        <v>8203.7695590327166</v>
      </c>
      <c r="K89" s="3">
        <f t="shared" si="1"/>
        <v>156.82400000000001</v>
      </c>
      <c r="L89" s="3" t="e">
        <f t="shared" si="2"/>
        <v>#N/A</v>
      </c>
      <c r="M89" s="3" t="e">
        <f t="shared" si="3"/>
        <v>#N/A</v>
      </c>
      <c r="N89" s="3" t="e">
        <f t="shared" si="4"/>
        <v>#N/A</v>
      </c>
      <c r="O89" s="3" t="e">
        <f t="shared" si="5"/>
        <v>#N/A</v>
      </c>
    </row>
    <row r="90" spans="1:15" ht="14.25" customHeight="1">
      <c r="A90" s="2" t="s">
        <v>18</v>
      </c>
      <c r="B90" s="2">
        <v>1917</v>
      </c>
      <c r="C90" s="2" t="s">
        <v>20</v>
      </c>
      <c r="D90" s="2">
        <v>68015</v>
      </c>
      <c r="E90" s="2">
        <v>116725</v>
      </c>
      <c r="J90" s="3">
        <f t="shared" si="0"/>
        <v>3455.3444421865474</v>
      </c>
      <c r="K90" s="3">
        <f t="shared" si="1"/>
        <v>116.72499999999999</v>
      </c>
      <c r="L90" s="3" t="e">
        <f t="shared" si="2"/>
        <v>#N/A</v>
      </c>
      <c r="M90" s="3" t="e">
        <f t="shared" si="3"/>
        <v>#N/A</v>
      </c>
      <c r="N90" s="3" t="e">
        <f t="shared" si="4"/>
        <v>#N/A</v>
      </c>
      <c r="O90" s="3" t="e">
        <f t="shared" si="5"/>
        <v>#N/A</v>
      </c>
    </row>
    <row r="91" spans="1:15" ht="14.25" customHeight="1">
      <c r="A91" s="2" t="s">
        <v>18</v>
      </c>
      <c r="B91" s="2">
        <v>1918</v>
      </c>
      <c r="C91" s="2" t="s">
        <v>20</v>
      </c>
      <c r="D91" s="2">
        <v>45315</v>
      </c>
      <c r="E91" s="2">
        <v>92626</v>
      </c>
      <c r="J91" s="3">
        <f t="shared" si="0"/>
        <v>2302.1235521235521</v>
      </c>
      <c r="K91" s="3">
        <f t="shared" si="1"/>
        <v>92.626000000000005</v>
      </c>
      <c r="L91" s="3" t="e">
        <f t="shared" si="2"/>
        <v>#N/A</v>
      </c>
      <c r="M91" s="3" t="e">
        <f t="shared" si="3"/>
        <v>#N/A</v>
      </c>
      <c r="N91" s="3" t="e">
        <f t="shared" si="4"/>
        <v>#N/A</v>
      </c>
      <c r="O91" s="3" t="e">
        <f t="shared" si="5"/>
        <v>#N/A</v>
      </c>
    </row>
    <row r="92" spans="1:15" ht="14.25" customHeight="1">
      <c r="A92" s="2" t="s">
        <v>18</v>
      </c>
      <c r="B92" s="2">
        <v>1903</v>
      </c>
      <c r="C92" s="2" t="s">
        <v>21</v>
      </c>
      <c r="D92" s="2">
        <v>65701</v>
      </c>
      <c r="E92" s="2">
        <v>12472</v>
      </c>
      <c r="J92" s="3">
        <f t="shared" si="0"/>
        <v>3337.7870351554561</v>
      </c>
      <c r="K92" s="3">
        <f t="shared" si="1"/>
        <v>12.472</v>
      </c>
      <c r="L92" s="3" t="e">
        <f t="shared" si="2"/>
        <v>#N/A</v>
      </c>
      <c r="M92" s="3" t="e">
        <f t="shared" si="3"/>
        <v>#N/A</v>
      </c>
      <c r="N92" s="3" t="e">
        <f t="shared" si="4"/>
        <v>#N/A</v>
      </c>
      <c r="O92" s="3" t="e">
        <f t="shared" si="5"/>
        <v>#N/A</v>
      </c>
    </row>
    <row r="93" spans="1:15" ht="14.25" customHeight="1">
      <c r="A93" s="2" t="s">
        <v>18</v>
      </c>
      <c r="B93" s="2">
        <v>1904</v>
      </c>
      <c r="C93" s="2" t="s">
        <v>21</v>
      </c>
      <c r="D93" s="2">
        <v>88755</v>
      </c>
      <c r="E93" s="2">
        <v>12433</v>
      </c>
      <c r="J93" s="3">
        <f t="shared" si="0"/>
        <v>4508.9920747815486</v>
      </c>
      <c r="K93" s="3">
        <f t="shared" si="1"/>
        <v>12.433</v>
      </c>
      <c r="L93" s="3" t="e">
        <f t="shared" si="2"/>
        <v>#N/A</v>
      </c>
      <c r="M93" s="3" t="e">
        <f t="shared" si="3"/>
        <v>#N/A</v>
      </c>
      <c r="N93" s="3" t="e">
        <f t="shared" si="4"/>
        <v>#N/A</v>
      </c>
      <c r="O93" s="3" t="e">
        <f t="shared" si="5"/>
        <v>#N/A</v>
      </c>
    </row>
    <row r="94" spans="1:15" ht="14.25" customHeight="1">
      <c r="A94" s="2" t="s">
        <v>18</v>
      </c>
      <c r="B94" s="2">
        <v>1905</v>
      </c>
      <c r="C94" s="2" t="s">
        <v>21</v>
      </c>
      <c r="D94" s="2">
        <v>74592</v>
      </c>
      <c r="E94" s="2">
        <v>12954</v>
      </c>
      <c r="J94" s="3">
        <f t="shared" si="0"/>
        <v>3789.4736842105262</v>
      </c>
      <c r="K94" s="3">
        <f t="shared" si="1"/>
        <v>12.954000000000001</v>
      </c>
      <c r="L94" s="3" t="e">
        <f t="shared" si="2"/>
        <v>#N/A</v>
      </c>
      <c r="M94" s="3" t="e">
        <f t="shared" si="3"/>
        <v>#N/A</v>
      </c>
      <c r="N94" s="3" t="e">
        <f t="shared" si="4"/>
        <v>#N/A</v>
      </c>
      <c r="O94" s="3" t="e">
        <f t="shared" si="5"/>
        <v>#N/A</v>
      </c>
    </row>
    <row r="95" spans="1:15" ht="14.25" customHeight="1">
      <c r="A95" s="2" t="s">
        <v>18</v>
      </c>
      <c r="B95" s="2">
        <v>1906</v>
      </c>
      <c r="C95" s="2" t="s">
        <v>21</v>
      </c>
      <c r="D95" s="2">
        <v>43942</v>
      </c>
      <c r="E95" s="2">
        <v>9133</v>
      </c>
      <c r="J95" s="3">
        <f t="shared" si="0"/>
        <v>2232.3714692135745</v>
      </c>
      <c r="K95" s="3">
        <f t="shared" si="1"/>
        <v>9.1329999999999991</v>
      </c>
      <c r="L95" s="3" t="e">
        <f t="shared" si="2"/>
        <v>#N/A</v>
      </c>
      <c r="M95" s="3" t="e">
        <f t="shared" si="3"/>
        <v>#N/A</v>
      </c>
      <c r="N95" s="3" t="e">
        <f t="shared" si="4"/>
        <v>#N/A</v>
      </c>
      <c r="O95" s="3" t="e">
        <f t="shared" si="5"/>
        <v>#N/A</v>
      </c>
    </row>
    <row r="96" spans="1:15" ht="14.25" customHeight="1">
      <c r="A96" s="2" t="s">
        <v>18</v>
      </c>
      <c r="B96" s="2">
        <v>1907</v>
      </c>
      <c r="C96" s="2" t="s">
        <v>21</v>
      </c>
      <c r="D96" s="2">
        <v>39220</v>
      </c>
      <c r="E96" s="2">
        <v>9535</v>
      </c>
      <c r="J96" s="3">
        <f t="shared" si="0"/>
        <v>1992.4812030075186</v>
      </c>
      <c r="K96" s="3">
        <f t="shared" si="1"/>
        <v>9.5350000000000001</v>
      </c>
      <c r="L96" s="3" t="e">
        <f t="shared" si="2"/>
        <v>#N/A</v>
      </c>
      <c r="M96" s="3" t="e">
        <f t="shared" si="3"/>
        <v>#N/A</v>
      </c>
      <c r="N96" s="3" t="e">
        <f t="shared" si="4"/>
        <v>#N/A</v>
      </c>
      <c r="O96" s="3" t="e">
        <f t="shared" si="5"/>
        <v>#N/A</v>
      </c>
    </row>
    <row r="97" spans="1:15" ht="14.25" customHeight="1">
      <c r="A97" s="2" t="s">
        <v>18</v>
      </c>
      <c r="B97" s="2">
        <v>1908</v>
      </c>
      <c r="C97" s="2" t="s">
        <v>21</v>
      </c>
      <c r="D97" s="2">
        <v>72873</v>
      </c>
      <c r="E97" s="2">
        <v>13522</v>
      </c>
      <c r="J97" s="3">
        <f t="shared" si="0"/>
        <v>3702.1438731965045</v>
      </c>
      <c r="K97" s="3">
        <f t="shared" si="1"/>
        <v>13.522</v>
      </c>
      <c r="L97" s="3" t="e">
        <f t="shared" si="2"/>
        <v>#N/A</v>
      </c>
      <c r="M97" s="3" t="e">
        <f t="shared" si="3"/>
        <v>#N/A</v>
      </c>
      <c r="N97" s="3" t="e">
        <f t="shared" si="4"/>
        <v>#N/A</v>
      </c>
      <c r="O97" s="3" t="e">
        <f t="shared" si="5"/>
        <v>#N/A</v>
      </c>
    </row>
    <row r="98" spans="1:15" ht="14.25" customHeight="1">
      <c r="A98" s="2" t="s">
        <v>18</v>
      </c>
      <c r="B98" s="2">
        <v>1909</v>
      </c>
      <c r="C98" s="2" t="s">
        <v>21</v>
      </c>
      <c r="D98" s="2">
        <v>73608</v>
      </c>
      <c r="E98" s="2">
        <v>12335</v>
      </c>
      <c r="J98" s="3">
        <f t="shared" si="0"/>
        <v>3739.4838447470024</v>
      </c>
      <c r="K98" s="3">
        <f t="shared" si="1"/>
        <v>12.335000000000001</v>
      </c>
      <c r="L98" s="3" t="e">
        <f t="shared" si="2"/>
        <v>#N/A</v>
      </c>
      <c r="M98" s="3" t="e">
        <f t="shared" si="3"/>
        <v>#N/A</v>
      </c>
      <c r="N98" s="3" t="e">
        <f t="shared" si="4"/>
        <v>#N/A</v>
      </c>
      <c r="O98" s="3" t="e">
        <f t="shared" si="5"/>
        <v>#N/A</v>
      </c>
    </row>
    <row r="99" spans="1:15" ht="14.25" customHeight="1">
      <c r="A99" s="2" t="s">
        <v>18</v>
      </c>
      <c r="B99" s="2">
        <v>1910</v>
      </c>
      <c r="C99" s="2" t="s">
        <v>21</v>
      </c>
      <c r="D99" s="2">
        <v>72554</v>
      </c>
      <c r="E99" s="2">
        <v>14648</v>
      </c>
      <c r="J99" s="3">
        <f t="shared" si="0"/>
        <v>3685.9378175167649</v>
      </c>
      <c r="K99" s="3">
        <f t="shared" si="1"/>
        <v>14.648</v>
      </c>
      <c r="L99" s="3" t="e">
        <f t="shared" si="2"/>
        <v>#N/A</v>
      </c>
      <c r="M99" s="3" t="e">
        <f t="shared" si="3"/>
        <v>#N/A</v>
      </c>
      <c r="N99" s="3" t="e">
        <f t="shared" si="4"/>
        <v>#N/A</v>
      </c>
      <c r="O99" s="3" t="e">
        <f t="shared" si="5"/>
        <v>#N/A</v>
      </c>
    </row>
    <row r="100" spans="1:15" ht="14.25" customHeight="1">
      <c r="A100" s="2" t="s">
        <v>18</v>
      </c>
      <c r="B100" s="2">
        <v>1914</v>
      </c>
      <c r="C100" s="2" t="s">
        <v>21</v>
      </c>
      <c r="D100" s="2">
        <v>88167</v>
      </c>
      <c r="E100" s="2">
        <v>22123</v>
      </c>
      <c r="J100" s="3">
        <f t="shared" si="0"/>
        <v>4479.1200975411502</v>
      </c>
      <c r="K100" s="3">
        <f t="shared" si="1"/>
        <v>22.123000000000001</v>
      </c>
      <c r="L100" s="3" t="e">
        <f t="shared" si="2"/>
        <v>#N/A</v>
      </c>
      <c r="M100" s="3" t="e">
        <f t="shared" si="3"/>
        <v>#N/A</v>
      </c>
      <c r="N100" s="3" t="e">
        <f t="shared" si="4"/>
        <v>#N/A</v>
      </c>
      <c r="O100" s="3" t="e">
        <f t="shared" si="5"/>
        <v>#N/A</v>
      </c>
    </row>
    <row r="101" spans="1:15" ht="14.25" customHeight="1">
      <c r="A101" s="2" t="s">
        <v>18</v>
      </c>
      <c r="B101" s="2">
        <v>1915</v>
      </c>
      <c r="C101" s="2" t="s">
        <v>21</v>
      </c>
      <c r="D101" s="2">
        <v>94242</v>
      </c>
      <c r="E101" s="2">
        <v>25001</v>
      </c>
      <c r="J101" s="3">
        <f t="shared" si="0"/>
        <v>4787.746393009551</v>
      </c>
      <c r="K101" s="3">
        <f t="shared" si="1"/>
        <v>25.001000000000001</v>
      </c>
      <c r="L101" s="3" t="e">
        <f t="shared" si="2"/>
        <v>#N/A</v>
      </c>
      <c r="M101" s="3" t="e">
        <f t="shared" si="3"/>
        <v>#N/A</v>
      </c>
      <c r="N101" s="3" t="e">
        <f t="shared" si="4"/>
        <v>#N/A</v>
      </c>
      <c r="O101" s="3" t="e">
        <f t="shared" si="5"/>
        <v>#N/A</v>
      </c>
    </row>
    <row r="102" spans="1:15" ht="14.25" customHeight="1">
      <c r="A102" s="2" t="s">
        <v>18</v>
      </c>
      <c r="B102" s="2">
        <v>1916</v>
      </c>
      <c r="C102" s="2" t="s">
        <v>21</v>
      </c>
      <c r="D102" s="2">
        <v>47997</v>
      </c>
      <c r="E102" s="2">
        <v>20838</v>
      </c>
      <c r="J102" s="3">
        <f t="shared" si="0"/>
        <v>2438.3763462710831</v>
      </c>
      <c r="K102" s="3">
        <f t="shared" si="1"/>
        <v>20.838000000000001</v>
      </c>
      <c r="L102" s="3" t="e">
        <f t="shared" si="2"/>
        <v>#N/A</v>
      </c>
      <c r="M102" s="3" t="e">
        <f t="shared" si="3"/>
        <v>#N/A</v>
      </c>
      <c r="N102" s="3" t="e">
        <f t="shared" si="4"/>
        <v>#N/A</v>
      </c>
      <c r="O102" s="3" t="e">
        <f t="shared" si="5"/>
        <v>#N/A</v>
      </c>
    </row>
    <row r="103" spans="1:15" ht="14.25" customHeight="1">
      <c r="A103" s="2" t="s">
        <v>18</v>
      </c>
      <c r="B103" s="2">
        <v>1917</v>
      </c>
      <c r="C103" s="2" t="s">
        <v>21</v>
      </c>
      <c r="D103" s="2">
        <v>67289</v>
      </c>
      <c r="E103" s="2">
        <v>35200</v>
      </c>
      <c r="J103" s="3">
        <f t="shared" si="0"/>
        <v>3418.4616947774839</v>
      </c>
      <c r="K103" s="3">
        <f t="shared" si="1"/>
        <v>35.200000000000003</v>
      </c>
      <c r="L103" s="3" t="e">
        <f t="shared" si="2"/>
        <v>#N/A</v>
      </c>
      <c r="M103" s="3" t="e">
        <f t="shared" si="3"/>
        <v>#N/A</v>
      </c>
      <c r="N103" s="3" t="e">
        <f t="shared" si="4"/>
        <v>#N/A</v>
      </c>
      <c r="O103" s="3" t="e">
        <f t="shared" si="5"/>
        <v>#N/A</v>
      </c>
    </row>
    <row r="104" spans="1:15" ht="14.25" customHeight="1">
      <c r="A104" s="2" t="s">
        <v>18</v>
      </c>
      <c r="B104" s="2">
        <v>1918</v>
      </c>
      <c r="C104" s="2" t="s">
        <v>21</v>
      </c>
      <c r="D104" s="2">
        <v>74133</v>
      </c>
      <c r="E104" s="2">
        <v>64585</v>
      </c>
      <c r="J104" s="3">
        <f t="shared" si="0"/>
        <v>3766.1552529973583</v>
      </c>
      <c r="K104" s="3">
        <f t="shared" si="1"/>
        <v>64.584999999999994</v>
      </c>
      <c r="L104" s="3" t="e">
        <f t="shared" si="2"/>
        <v>#N/A</v>
      </c>
      <c r="M104" s="3" t="e">
        <f t="shared" si="3"/>
        <v>#N/A</v>
      </c>
      <c r="N104" s="3" t="e">
        <f t="shared" si="4"/>
        <v>#N/A</v>
      </c>
      <c r="O104" s="3" t="e">
        <f t="shared" si="5"/>
        <v>#N/A</v>
      </c>
    </row>
    <row r="105" spans="1:15" ht="14.25" customHeight="1">
      <c r="A105" s="2" t="s">
        <v>18</v>
      </c>
      <c r="B105" s="2">
        <v>1903</v>
      </c>
      <c r="C105" s="2" t="s">
        <v>22</v>
      </c>
      <c r="D105" s="2">
        <v>1364936</v>
      </c>
      <c r="E105" s="2">
        <v>832092</v>
      </c>
      <c r="J105" s="3">
        <f t="shared" si="0"/>
        <v>69342.410079252179</v>
      </c>
      <c r="K105" s="3">
        <f t="shared" si="1"/>
        <v>832.09199999999998</v>
      </c>
      <c r="L105" s="3" t="e">
        <f t="shared" si="2"/>
        <v>#N/A</v>
      </c>
      <c r="M105" s="3" t="e">
        <f t="shared" si="3"/>
        <v>#N/A</v>
      </c>
      <c r="N105" s="3" t="e">
        <f t="shared" si="4"/>
        <v>#N/A</v>
      </c>
      <c r="O105" s="3" t="e">
        <f t="shared" si="5"/>
        <v>#N/A</v>
      </c>
    </row>
    <row r="106" spans="1:15" ht="14.25" customHeight="1">
      <c r="A106" s="2" t="s">
        <v>18</v>
      </c>
      <c r="B106" s="2">
        <v>1904</v>
      </c>
      <c r="C106" s="2" t="s">
        <v>22</v>
      </c>
      <c r="D106" s="2">
        <v>1253037</v>
      </c>
      <c r="E106" s="2">
        <v>735056</v>
      </c>
      <c r="J106" s="3">
        <f t="shared" si="0"/>
        <v>63657.640723430195</v>
      </c>
      <c r="K106" s="3">
        <f t="shared" si="1"/>
        <v>735.05600000000004</v>
      </c>
      <c r="L106" s="3" t="e">
        <f t="shared" si="2"/>
        <v>#N/A</v>
      </c>
      <c r="M106" s="3" t="e">
        <f t="shared" si="3"/>
        <v>#N/A</v>
      </c>
      <c r="N106" s="3" t="e">
        <f t="shared" si="4"/>
        <v>#N/A</v>
      </c>
      <c r="O106" s="3" t="e">
        <f t="shared" si="5"/>
        <v>#N/A</v>
      </c>
    </row>
    <row r="107" spans="1:15" ht="14.25" customHeight="1">
      <c r="A107" s="2" t="s">
        <v>18</v>
      </c>
      <c r="B107" s="2">
        <v>1905</v>
      </c>
      <c r="C107" s="2" t="s">
        <v>22</v>
      </c>
      <c r="D107" s="2">
        <v>1423567</v>
      </c>
      <c r="E107" s="2">
        <v>876294</v>
      </c>
      <c r="J107" s="3">
        <f t="shared" si="0"/>
        <v>72321.022149969518</v>
      </c>
      <c r="K107" s="3">
        <f t="shared" si="1"/>
        <v>876.29399999999998</v>
      </c>
      <c r="L107" s="3" t="e">
        <f t="shared" si="2"/>
        <v>#N/A</v>
      </c>
      <c r="M107" s="3" t="e">
        <f t="shared" si="3"/>
        <v>#N/A</v>
      </c>
      <c r="N107" s="3" t="e">
        <f t="shared" si="4"/>
        <v>#N/A</v>
      </c>
      <c r="O107" s="3" t="e">
        <f t="shared" si="5"/>
        <v>#N/A</v>
      </c>
    </row>
    <row r="108" spans="1:15" ht="14.25" customHeight="1">
      <c r="A108" s="2" t="s">
        <v>18</v>
      </c>
      <c r="B108" s="2">
        <v>1906</v>
      </c>
      <c r="C108" s="2" t="s">
        <v>22</v>
      </c>
      <c r="D108" s="2">
        <f>1000258+491587+324452+94667</f>
        <v>1910964</v>
      </c>
      <c r="E108" s="2">
        <f>600386+304273+154882+57945</f>
        <v>1117486</v>
      </c>
      <c r="J108" s="3">
        <f t="shared" si="0"/>
        <v>97082.097134728712</v>
      </c>
      <c r="K108" s="3">
        <f t="shared" si="1"/>
        <v>1117.4860000000001</v>
      </c>
      <c r="L108" s="3" t="e">
        <f t="shared" si="2"/>
        <v>#N/A</v>
      </c>
      <c r="M108" s="3" t="e">
        <f t="shared" si="3"/>
        <v>#N/A</v>
      </c>
      <c r="N108" s="3" t="e">
        <f t="shared" si="4"/>
        <v>#N/A</v>
      </c>
      <c r="O108" s="3" t="e">
        <f t="shared" si="5"/>
        <v>#N/A</v>
      </c>
    </row>
    <row r="109" spans="1:15" ht="14.25" customHeight="1">
      <c r="A109" s="2" t="s">
        <v>18</v>
      </c>
      <c r="B109" s="2">
        <v>1907</v>
      </c>
      <c r="C109" s="2" t="s">
        <v>22</v>
      </c>
      <c r="D109" s="2">
        <f>1073413+485904+299683+88968</f>
        <v>1947968</v>
      </c>
      <c r="E109" s="2">
        <f>708758+321210+146484+48192</f>
        <v>1224644</v>
      </c>
      <c r="J109" s="3">
        <f t="shared" si="0"/>
        <v>98961.999593578541</v>
      </c>
      <c r="K109" s="3">
        <f t="shared" si="1"/>
        <v>1224.644</v>
      </c>
      <c r="L109" s="3" t="e">
        <f t="shared" si="2"/>
        <v>#N/A</v>
      </c>
      <c r="M109" s="3" t="e">
        <f t="shared" si="3"/>
        <v>#N/A</v>
      </c>
      <c r="N109" s="3" t="e">
        <f t="shared" si="4"/>
        <v>#N/A</v>
      </c>
      <c r="O109" s="3" t="e">
        <f t="shared" si="5"/>
        <v>#N/A</v>
      </c>
    </row>
    <row r="110" spans="1:15" ht="14.25" customHeight="1">
      <c r="A110" s="2" t="s">
        <v>18</v>
      </c>
      <c r="B110" s="2">
        <v>1908</v>
      </c>
      <c r="C110" s="2" t="s">
        <v>22</v>
      </c>
      <c r="D110" s="2">
        <v>1928836</v>
      </c>
      <c r="E110" s="2">
        <v>1149632</v>
      </c>
      <c r="J110" s="3">
        <f t="shared" si="0"/>
        <v>97990.0426742532</v>
      </c>
      <c r="K110" s="3">
        <f t="shared" si="1"/>
        <v>1149.6320000000001</v>
      </c>
      <c r="L110" s="3" t="e">
        <f t="shared" si="2"/>
        <v>#N/A</v>
      </c>
      <c r="M110" s="3" t="e">
        <f t="shared" si="3"/>
        <v>#N/A</v>
      </c>
      <c r="N110" s="3" t="e">
        <f t="shared" si="4"/>
        <v>#N/A</v>
      </c>
      <c r="O110" s="3" t="e">
        <f t="shared" si="5"/>
        <v>#N/A</v>
      </c>
    </row>
    <row r="111" spans="1:15" ht="14.25" customHeight="1">
      <c r="A111" s="2" t="s">
        <v>18</v>
      </c>
      <c r="B111" s="2">
        <v>1909</v>
      </c>
      <c r="C111" s="2" t="s">
        <v>22</v>
      </c>
      <c r="D111" s="2">
        <v>2151109</v>
      </c>
      <c r="E111" s="2">
        <v>959827</v>
      </c>
      <c r="J111" s="3">
        <f t="shared" si="0"/>
        <v>109282.10729526519</v>
      </c>
      <c r="K111" s="3">
        <f t="shared" si="1"/>
        <v>959.827</v>
      </c>
      <c r="L111" s="3" t="e">
        <f t="shared" si="2"/>
        <v>#N/A</v>
      </c>
      <c r="M111" s="3" t="e">
        <f t="shared" si="3"/>
        <v>#N/A</v>
      </c>
      <c r="N111" s="3" t="e">
        <f t="shared" si="4"/>
        <v>#N/A</v>
      </c>
      <c r="O111" s="3" t="e">
        <f t="shared" si="5"/>
        <v>#N/A</v>
      </c>
    </row>
    <row r="112" spans="1:15" ht="14.25" customHeight="1">
      <c r="A112" s="2" t="s">
        <v>18</v>
      </c>
      <c r="B112" s="2">
        <v>1910</v>
      </c>
      <c r="C112" s="2" t="s">
        <v>22</v>
      </c>
      <c r="D112" s="2">
        <v>2365409</v>
      </c>
      <c r="E112" s="2">
        <v>1178974</v>
      </c>
      <c r="J112" s="3">
        <f t="shared" si="0"/>
        <v>120169.12212964844</v>
      </c>
      <c r="K112" s="3">
        <f t="shared" si="1"/>
        <v>1178.9739999999999</v>
      </c>
      <c r="L112" s="3" t="e">
        <f t="shared" si="2"/>
        <v>#N/A</v>
      </c>
      <c r="M112" s="3" t="e">
        <f t="shared" si="3"/>
        <v>#N/A</v>
      </c>
      <c r="N112" s="3" t="e">
        <f t="shared" si="4"/>
        <v>#N/A</v>
      </c>
      <c r="O112" s="3" t="e">
        <f t="shared" si="5"/>
        <v>#N/A</v>
      </c>
    </row>
    <row r="113" spans="1:15" ht="14.25" customHeight="1">
      <c r="A113" s="2" t="s">
        <v>18</v>
      </c>
      <c r="B113" s="2">
        <v>1914</v>
      </c>
      <c r="C113" s="2" t="s">
        <v>22</v>
      </c>
      <c r="D113" s="2">
        <v>2579101</v>
      </c>
      <c r="E113" s="2">
        <v>1755758</v>
      </c>
      <c r="J113" s="3">
        <f t="shared" si="0"/>
        <v>131025.24893314367</v>
      </c>
      <c r="K113" s="3">
        <f t="shared" si="1"/>
        <v>1755.758</v>
      </c>
      <c r="L113" s="3" t="e">
        <f t="shared" si="2"/>
        <v>#N/A</v>
      </c>
      <c r="M113" s="3" t="e">
        <f t="shared" si="3"/>
        <v>#N/A</v>
      </c>
      <c r="N113" s="3" t="e">
        <f t="shared" si="4"/>
        <v>#N/A</v>
      </c>
      <c r="O113" s="3" t="e">
        <f t="shared" si="5"/>
        <v>#N/A</v>
      </c>
    </row>
    <row r="114" spans="1:15" ht="14.25" customHeight="1">
      <c r="A114" s="2" t="s">
        <v>18</v>
      </c>
      <c r="B114" s="2">
        <v>1915</v>
      </c>
      <c r="C114" s="2" t="s">
        <v>22</v>
      </c>
      <c r="D114" s="2">
        <v>1361131</v>
      </c>
      <c r="E114" s="2">
        <v>1699198</v>
      </c>
      <c r="J114" s="3">
        <f t="shared" si="0"/>
        <v>69149.105872790082</v>
      </c>
      <c r="K114" s="3">
        <f t="shared" si="1"/>
        <v>1699.1980000000001</v>
      </c>
      <c r="L114" s="3" t="e">
        <f t="shared" si="2"/>
        <v>#N/A</v>
      </c>
      <c r="M114" s="3" t="e">
        <f t="shared" si="3"/>
        <v>#N/A</v>
      </c>
      <c r="N114" s="3" t="e">
        <f t="shared" si="4"/>
        <v>#N/A</v>
      </c>
      <c r="O114" s="3" t="e">
        <f t="shared" si="5"/>
        <v>#N/A</v>
      </c>
    </row>
    <row r="115" spans="1:15" ht="14.25" customHeight="1">
      <c r="A115" s="2" t="s">
        <v>18</v>
      </c>
      <c r="B115" s="2">
        <v>1916</v>
      </c>
      <c r="C115" s="2" t="s">
        <v>22</v>
      </c>
      <c r="D115" s="2">
        <v>1104745</v>
      </c>
      <c r="E115" s="2">
        <v>1890903</v>
      </c>
      <c r="J115" s="3">
        <f t="shared" si="0"/>
        <v>56124.009347693558</v>
      </c>
      <c r="K115" s="3">
        <f t="shared" si="1"/>
        <v>1890.903</v>
      </c>
      <c r="L115" s="3" t="e">
        <f t="shared" si="2"/>
        <v>#N/A</v>
      </c>
      <c r="M115" s="3" t="e">
        <f t="shared" si="3"/>
        <v>#N/A</v>
      </c>
      <c r="N115" s="3" t="e">
        <f t="shared" si="4"/>
        <v>#N/A</v>
      </c>
      <c r="O115" s="3" t="e">
        <f t="shared" si="5"/>
        <v>#N/A</v>
      </c>
    </row>
    <row r="116" spans="1:15" ht="14.25" customHeight="1">
      <c r="A116" s="2" t="s">
        <v>18</v>
      </c>
      <c r="B116" s="2">
        <v>1917</v>
      </c>
      <c r="C116" s="2" t="s">
        <v>22</v>
      </c>
      <c r="D116" s="2">
        <v>861597</v>
      </c>
      <c r="E116" s="2">
        <v>2293363</v>
      </c>
      <c r="J116" s="3">
        <f t="shared" si="0"/>
        <v>43771.438731965049</v>
      </c>
      <c r="K116" s="3">
        <f t="shared" si="1"/>
        <v>2293.3629999999998</v>
      </c>
      <c r="L116" s="3" t="e">
        <f t="shared" si="2"/>
        <v>#N/A</v>
      </c>
      <c r="M116" s="3" t="e">
        <f t="shared" si="3"/>
        <v>#N/A</v>
      </c>
      <c r="N116" s="3" t="e">
        <f t="shared" si="4"/>
        <v>#N/A</v>
      </c>
      <c r="O116" s="3" t="e">
        <f t="shared" si="5"/>
        <v>#N/A</v>
      </c>
    </row>
    <row r="117" spans="1:15" ht="14.25" customHeight="1">
      <c r="A117" s="2" t="s">
        <v>18</v>
      </c>
      <c r="B117" s="2">
        <v>1918</v>
      </c>
      <c r="C117" s="2" t="s">
        <v>22</v>
      </c>
      <c r="D117" s="2">
        <v>646038</v>
      </c>
      <c r="E117" s="2">
        <v>2624789</v>
      </c>
      <c r="J117" s="3">
        <f t="shared" si="0"/>
        <v>32820.463320463321</v>
      </c>
      <c r="K117" s="3">
        <f t="shared" si="1"/>
        <v>2624.7890000000002</v>
      </c>
      <c r="L117" s="3" t="e">
        <f t="shared" si="2"/>
        <v>#N/A</v>
      </c>
      <c r="M117" s="3" t="e">
        <f t="shared" si="3"/>
        <v>#N/A</v>
      </c>
      <c r="N117" s="3" t="e">
        <f t="shared" si="4"/>
        <v>#N/A</v>
      </c>
      <c r="O117" s="3" t="e">
        <f t="shared" si="5"/>
        <v>#N/A</v>
      </c>
    </row>
    <row r="118" spans="1:15" ht="14.25" customHeight="1">
      <c r="A118" s="2" t="s">
        <v>18</v>
      </c>
      <c r="B118" s="2">
        <v>1903</v>
      </c>
      <c r="C118" s="2" t="s">
        <v>23</v>
      </c>
      <c r="D118" s="2">
        <v>2760162</v>
      </c>
      <c r="E118" s="2">
        <v>1388146</v>
      </c>
      <c r="J118" s="3">
        <f t="shared" si="0"/>
        <v>140223.63340784394</v>
      </c>
      <c r="K118" s="3">
        <f t="shared" si="1"/>
        <v>1388.146</v>
      </c>
      <c r="L118" s="3" t="e">
        <f t="shared" si="2"/>
        <v>#N/A</v>
      </c>
      <c r="M118" s="3" t="e">
        <f t="shared" si="3"/>
        <v>#N/A</v>
      </c>
      <c r="N118" s="3" t="e">
        <f t="shared" si="4"/>
        <v>#N/A</v>
      </c>
      <c r="O118" s="3" t="e">
        <f t="shared" si="5"/>
        <v>#N/A</v>
      </c>
    </row>
    <row r="119" spans="1:15" ht="14.25" customHeight="1">
      <c r="A119" s="2" t="s">
        <v>18</v>
      </c>
      <c r="B119" s="2">
        <v>1904</v>
      </c>
      <c r="C119" s="2" t="s">
        <v>23</v>
      </c>
      <c r="D119" s="2">
        <v>2531196</v>
      </c>
      <c r="E119" s="2">
        <v>1329358</v>
      </c>
      <c r="J119" s="3">
        <f t="shared" si="0"/>
        <v>128591.54643365169</v>
      </c>
      <c r="K119" s="3">
        <f t="shared" si="1"/>
        <v>1329.3579999999999</v>
      </c>
      <c r="L119" s="3" t="e">
        <f t="shared" si="2"/>
        <v>#N/A</v>
      </c>
      <c r="M119" s="3" t="e">
        <f t="shared" si="3"/>
        <v>#N/A</v>
      </c>
      <c r="N119" s="3" t="e">
        <f t="shared" si="4"/>
        <v>#N/A</v>
      </c>
      <c r="O119" s="3" t="e">
        <f t="shared" si="5"/>
        <v>#N/A</v>
      </c>
    </row>
    <row r="120" spans="1:15" ht="14.25" customHeight="1">
      <c r="A120" s="2" t="s">
        <v>18</v>
      </c>
      <c r="B120" s="2">
        <v>1905</v>
      </c>
      <c r="C120" s="2" t="s">
        <v>23</v>
      </c>
      <c r="D120" s="2">
        <v>2148369</v>
      </c>
      <c r="E120" s="2">
        <v>1329637</v>
      </c>
      <c r="J120" s="3">
        <f t="shared" si="0"/>
        <v>109142.90794553953</v>
      </c>
      <c r="K120" s="3">
        <f t="shared" si="1"/>
        <v>1329.6369999999999</v>
      </c>
      <c r="L120" s="3" t="e">
        <f t="shared" si="2"/>
        <v>#N/A</v>
      </c>
      <c r="M120" s="3" t="e">
        <f t="shared" si="3"/>
        <v>#N/A</v>
      </c>
      <c r="N120" s="3" t="e">
        <f t="shared" si="4"/>
        <v>#N/A</v>
      </c>
      <c r="O120" s="3" t="e">
        <f t="shared" si="5"/>
        <v>#N/A</v>
      </c>
    </row>
    <row r="121" spans="1:15" ht="14.25" customHeight="1">
      <c r="A121" s="2" t="s">
        <v>18</v>
      </c>
      <c r="B121" s="2">
        <v>1906</v>
      </c>
      <c r="C121" s="2" t="s">
        <v>23</v>
      </c>
      <c r="D121" s="2">
        <f>930459+431106+1378236+80623</f>
        <v>2820424</v>
      </c>
      <c r="E121" s="2">
        <f>673848+260365+439645+31510</f>
        <v>1405368</v>
      </c>
      <c r="J121" s="3">
        <f t="shared" si="0"/>
        <v>143285.10465352569</v>
      </c>
      <c r="K121" s="3">
        <f t="shared" si="1"/>
        <v>1405.3679999999999</v>
      </c>
      <c r="L121" s="3" t="e">
        <f t="shared" si="2"/>
        <v>#N/A</v>
      </c>
      <c r="M121" s="3" t="e">
        <f t="shared" si="3"/>
        <v>#N/A</v>
      </c>
      <c r="N121" s="3" t="e">
        <f t="shared" si="4"/>
        <v>#N/A</v>
      </c>
      <c r="O121" s="3" t="e">
        <f t="shared" si="5"/>
        <v>#N/A</v>
      </c>
    </row>
    <row r="122" spans="1:15" ht="14.25" customHeight="1">
      <c r="A122" s="2" t="s">
        <v>18</v>
      </c>
      <c r="B122" s="2">
        <v>1907</v>
      </c>
      <c r="C122" s="2" t="s">
        <v>23</v>
      </c>
      <c r="D122" s="2">
        <f>1038610+517627+1288117+18422</f>
        <v>2862776</v>
      </c>
      <c r="E122" s="2">
        <f>680399+277315+517848+9559</f>
        <v>1485121</v>
      </c>
      <c r="J122" s="3">
        <f t="shared" si="0"/>
        <v>145436.69985775248</v>
      </c>
      <c r="K122" s="3">
        <f t="shared" si="1"/>
        <v>1485.1210000000001</v>
      </c>
      <c r="L122" s="3" t="e">
        <f t="shared" si="2"/>
        <v>#N/A</v>
      </c>
      <c r="M122" s="3" t="e">
        <f t="shared" si="3"/>
        <v>#N/A</v>
      </c>
      <c r="N122" s="3" t="e">
        <f t="shared" si="4"/>
        <v>#N/A</v>
      </c>
      <c r="O122" s="3" t="e">
        <f t="shared" si="5"/>
        <v>#N/A</v>
      </c>
    </row>
    <row r="123" spans="1:15" ht="14.25" customHeight="1">
      <c r="A123" s="2" t="s">
        <v>18</v>
      </c>
      <c r="B123" s="2">
        <v>1908</v>
      </c>
      <c r="C123" s="2" t="s">
        <v>23</v>
      </c>
      <c r="D123" s="2">
        <v>2532283</v>
      </c>
      <c r="E123" s="2">
        <v>1421271</v>
      </c>
      <c r="J123" s="3">
        <f t="shared" si="0"/>
        <v>128646.76894940052</v>
      </c>
      <c r="K123" s="3">
        <f t="shared" si="1"/>
        <v>1421.271</v>
      </c>
      <c r="L123" s="3" t="e">
        <f t="shared" si="2"/>
        <v>#N/A</v>
      </c>
      <c r="M123" s="3" t="e">
        <f t="shared" si="3"/>
        <v>#N/A</v>
      </c>
      <c r="N123" s="3" t="e">
        <f t="shared" si="4"/>
        <v>#N/A</v>
      </c>
      <c r="O123" s="3" t="e">
        <f t="shared" si="5"/>
        <v>#N/A</v>
      </c>
    </row>
    <row r="124" spans="1:15" ht="14.25" customHeight="1">
      <c r="A124" s="2" t="s">
        <v>18</v>
      </c>
      <c r="B124" s="2">
        <v>1909</v>
      </c>
      <c r="C124" s="2" t="s">
        <v>23</v>
      </c>
      <c r="D124" s="2">
        <v>2223552</v>
      </c>
      <c r="E124" s="2">
        <v>1213630</v>
      </c>
      <c r="J124" s="3">
        <f t="shared" si="0"/>
        <v>112962.40601503759</v>
      </c>
      <c r="K124" s="3">
        <f t="shared" si="1"/>
        <v>1213.6300000000001</v>
      </c>
      <c r="L124" s="3" t="e">
        <f t="shared" si="2"/>
        <v>#N/A</v>
      </c>
      <c r="M124" s="3" t="e">
        <f t="shared" si="3"/>
        <v>#N/A</v>
      </c>
      <c r="N124" s="3" t="e">
        <f t="shared" si="4"/>
        <v>#N/A</v>
      </c>
      <c r="O124" s="3" t="e">
        <f t="shared" si="5"/>
        <v>#N/A</v>
      </c>
    </row>
    <row r="125" spans="1:15" ht="14.25" customHeight="1">
      <c r="A125" s="2" t="s">
        <v>18</v>
      </c>
      <c r="B125" s="2">
        <v>1910</v>
      </c>
      <c r="C125" s="2" t="s">
        <v>23</v>
      </c>
      <c r="D125" s="2">
        <v>2039479</v>
      </c>
      <c r="E125" s="2">
        <v>1220437</v>
      </c>
      <c r="J125" s="3">
        <f t="shared" si="0"/>
        <v>103611.00386100386</v>
      </c>
      <c r="K125" s="3">
        <f t="shared" si="1"/>
        <v>1220.4369999999999</v>
      </c>
      <c r="L125" s="3" t="e">
        <f t="shared" si="2"/>
        <v>#N/A</v>
      </c>
      <c r="M125" s="3" t="e">
        <f t="shared" si="3"/>
        <v>#N/A</v>
      </c>
      <c r="N125" s="3" t="e">
        <f t="shared" si="4"/>
        <v>#N/A</v>
      </c>
      <c r="O125" s="3" t="e">
        <f t="shared" si="5"/>
        <v>#N/A</v>
      </c>
    </row>
    <row r="126" spans="1:15" ht="14.25" customHeight="1">
      <c r="A126" s="2" t="s">
        <v>18</v>
      </c>
      <c r="B126" s="2">
        <v>1914</v>
      </c>
      <c r="C126" s="2" t="s">
        <v>23</v>
      </c>
      <c r="D126" s="2">
        <v>1337133</v>
      </c>
      <c r="E126" s="2">
        <v>1167769</v>
      </c>
      <c r="J126" s="3">
        <f t="shared" si="0"/>
        <v>67929.943100995733</v>
      </c>
      <c r="K126" s="3">
        <f t="shared" si="1"/>
        <v>1167.769</v>
      </c>
      <c r="L126" s="3" t="e">
        <f t="shared" si="2"/>
        <v>#N/A</v>
      </c>
      <c r="M126" s="3" t="e">
        <f t="shared" si="3"/>
        <v>#N/A</v>
      </c>
      <c r="N126" s="3" t="e">
        <f t="shared" si="4"/>
        <v>#N/A</v>
      </c>
      <c r="O126" s="3" t="e">
        <f t="shared" si="5"/>
        <v>#N/A</v>
      </c>
    </row>
    <row r="127" spans="1:15" ht="14.25" customHeight="1">
      <c r="A127" s="2" t="s">
        <v>18</v>
      </c>
      <c r="B127" s="2">
        <v>1915</v>
      </c>
      <c r="C127" s="2" t="s">
        <v>23</v>
      </c>
      <c r="D127" s="2">
        <v>1195827</v>
      </c>
      <c r="E127" s="2">
        <v>1733871</v>
      </c>
      <c r="J127" s="3">
        <f t="shared" si="0"/>
        <v>60751.219264377156</v>
      </c>
      <c r="K127" s="3">
        <f t="shared" si="1"/>
        <v>1733.8710000000001</v>
      </c>
      <c r="L127" s="3" t="e">
        <f t="shared" si="2"/>
        <v>#N/A</v>
      </c>
      <c r="M127" s="3" t="e">
        <f t="shared" si="3"/>
        <v>#N/A</v>
      </c>
      <c r="N127" s="3" t="e">
        <f t="shared" si="4"/>
        <v>#N/A</v>
      </c>
      <c r="O127" s="3" t="e">
        <f t="shared" si="5"/>
        <v>#N/A</v>
      </c>
    </row>
    <row r="128" spans="1:15" ht="14.25" customHeight="1">
      <c r="A128" s="2" t="s">
        <v>18</v>
      </c>
      <c r="B128" s="2">
        <v>1916</v>
      </c>
      <c r="C128" s="2" t="s">
        <v>23</v>
      </c>
      <c r="D128" s="2">
        <v>791815</v>
      </c>
      <c r="E128" s="2">
        <v>1446513</v>
      </c>
      <c r="J128" s="3">
        <f t="shared" si="0"/>
        <v>40226.325950010156</v>
      </c>
      <c r="K128" s="3">
        <f t="shared" si="1"/>
        <v>1446.5129999999999</v>
      </c>
      <c r="L128" s="3" t="e">
        <f t="shared" si="2"/>
        <v>#N/A</v>
      </c>
      <c r="M128" s="3" t="e">
        <f t="shared" si="3"/>
        <v>#N/A</v>
      </c>
      <c r="N128" s="3" t="e">
        <f t="shared" si="4"/>
        <v>#N/A</v>
      </c>
      <c r="O128" s="3" t="e">
        <f t="shared" si="5"/>
        <v>#N/A</v>
      </c>
    </row>
    <row r="129" spans="1:15" ht="14.25" customHeight="1">
      <c r="A129" s="2" t="s">
        <v>18</v>
      </c>
      <c r="B129" s="2">
        <v>1917</v>
      </c>
      <c r="C129" s="2" t="s">
        <v>23</v>
      </c>
      <c r="D129" s="2">
        <v>879035</v>
      </c>
      <c r="E129" s="2">
        <v>2345666</v>
      </c>
      <c r="J129" s="3">
        <f t="shared" si="0"/>
        <v>44657.335907335902</v>
      </c>
      <c r="K129" s="3">
        <f t="shared" si="1"/>
        <v>2345.6660000000002</v>
      </c>
      <c r="L129" s="3" t="e">
        <f t="shared" si="2"/>
        <v>#N/A</v>
      </c>
      <c r="M129" s="3" t="e">
        <f t="shared" si="3"/>
        <v>#N/A</v>
      </c>
      <c r="N129" s="3" t="e">
        <f t="shared" si="4"/>
        <v>#N/A</v>
      </c>
      <c r="O129" s="3" t="e">
        <f t="shared" si="5"/>
        <v>#N/A</v>
      </c>
    </row>
    <row r="130" spans="1:15" ht="14.25" customHeight="1">
      <c r="A130" s="2" t="s">
        <v>18</v>
      </c>
      <c r="B130" s="2">
        <v>1918</v>
      </c>
      <c r="C130" s="2" t="s">
        <v>23</v>
      </c>
      <c r="D130" s="2">
        <v>1161541</v>
      </c>
      <c r="E130" s="2">
        <v>4178691</v>
      </c>
      <c r="J130" s="3">
        <f t="shared" si="0"/>
        <v>59009.398496240596</v>
      </c>
      <c r="K130" s="3">
        <f t="shared" si="1"/>
        <v>4178.6909999999998</v>
      </c>
      <c r="L130" s="3" t="e">
        <f t="shared" si="2"/>
        <v>#N/A</v>
      </c>
      <c r="M130" s="3" t="e">
        <f t="shared" si="3"/>
        <v>#N/A</v>
      </c>
      <c r="N130" s="3" t="e">
        <f t="shared" si="4"/>
        <v>#N/A</v>
      </c>
      <c r="O130" s="3" t="e">
        <f t="shared" si="5"/>
        <v>#N/A</v>
      </c>
    </row>
    <row r="131" spans="1:15" ht="14.25" customHeight="1">
      <c r="A131" s="2" t="s">
        <v>18</v>
      </c>
      <c r="B131" s="2">
        <v>1903</v>
      </c>
      <c r="C131" s="2" t="s">
        <v>24</v>
      </c>
      <c r="D131" s="2">
        <f>241372+26076+33451</f>
        <v>300899</v>
      </c>
      <c r="E131" s="2">
        <v>130425</v>
      </c>
      <c r="J131" s="3">
        <f t="shared" si="0"/>
        <v>15286.476325950009</v>
      </c>
      <c r="K131" s="3">
        <f t="shared" si="1"/>
        <v>130.42500000000001</v>
      </c>
      <c r="L131" s="3" t="e">
        <f t="shared" si="2"/>
        <v>#N/A</v>
      </c>
      <c r="M131" s="3" t="e">
        <f t="shared" si="3"/>
        <v>#N/A</v>
      </c>
      <c r="N131" s="3" t="e">
        <f t="shared" si="4"/>
        <v>#N/A</v>
      </c>
      <c r="O131" s="3" t="e">
        <f t="shared" si="5"/>
        <v>#N/A</v>
      </c>
    </row>
    <row r="132" spans="1:15" ht="14.25" customHeight="1">
      <c r="A132" s="2" t="s">
        <v>18</v>
      </c>
      <c r="B132" s="2">
        <v>1904</v>
      </c>
      <c r="C132" s="2" t="s">
        <v>24</v>
      </c>
      <c r="D132" s="2">
        <v>327204</v>
      </c>
      <c r="E132" s="2">
        <v>138115</v>
      </c>
      <c r="J132" s="3">
        <f t="shared" si="0"/>
        <v>16622.840885998779</v>
      </c>
      <c r="K132" s="3">
        <f t="shared" si="1"/>
        <v>138.11500000000001</v>
      </c>
      <c r="L132" s="3" t="e">
        <f t="shared" si="2"/>
        <v>#N/A</v>
      </c>
      <c r="M132" s="3" t="e">
        <f t="shared" si="3"/>
        <v>#N/A</v>
      </c>
      <c r="N132" s="3" t="e">
        <f t="shared" si="4"/>
        <v>#N/A</v>
      </c>
      <c r="O132" s="3" t="e">
        <f t="shared" si="5"/>
        <v>#N/A</v>
      </c>
    </row>
    <row r="133" spans="1:15" ht="14.25" customHeight="1">
      <c r="A133" s="2" t="s">
        <v>18</v>
      </c>
      <c r="B133" s="2">
        <v>1905</v>
      </c>
      <c r="C133" s="2" t="s">
        <v>24</v>
      </c>
      <c r="D133" s="2">
        <v>347378</v>
      </c>
      <c r="E133" s="2">
        <v>169318</v>
      </c>
      <c r="J133" s="3">
        <f t="shared" si="0"/>
        <v>17647.73420036578</v>
      </c>
      <c r="K133" s="3">
        <f t="shared" si="1"/>
        <v>169.31800000000001</v>
      </c>
      <c r="L133" s="3" t="e">
        <f t="shared" si="2"/>
        <v>#N/A</v>
      </c>
      <c r="M133" s="3" t="e">
        <f t="shared" si="3"/>
        <v>#N/A</v>
      </c>
      <c r="N133" s="3" t="e">
        <f t="shared" si="4"/>
        <v>#N/A</v>
      </c>
      <c r="O133" s="3" t="e">
        <f t="shared" si="5"/>
        <v>#N/A</v>
      </c>
    </row>
    <row r="134" spans="1:15" ht="14.25" customHeight="1">
      <c r="A134" s="2" t="s">
        <v>18</v>
      </c>
      <c r="B134" s="2">
        <v>1906</v>
      </c>
      <c r="C134" s="2" t="s">
        <v>24</v>
      </c>
      <c r="D134" s="2">
        <v>276476</v>
      </c>
      <c r="E134" s="2">
        <v>136932</v>
      </c>
      <c r="J134" s="3">
        <f t="shared" si="0"/>
        <v>14045.722414143465</v>
      </c>
      <c r="K134" s="3">
        <f t="shared" si="1"/>
        <v>136.93199999999999</v>
      </c>
      <c r="L134" s="3" t="e">
        <f t="shared" si="2"/>
        <v>#N/A</v>
      </c>
      <c r="M134" s="3" t="e">
        <f t="shared" si="3"/>
        <v>#N/A</v>
      </c>
      <c r="N134" s="3" t="e">
        <f t="shared" si="4"/>
        <v>#N/A</v>
      </c>
      <c r="O134" s="3" t="e">
        <f t="shared" si="5"/>
        <v>#N/A</v>
      </c>
    </row>
    <row r="135" spans="1:15" ht="14.25" customHeight="1">
      <c r="A135" s="2" t="s">
        <v>18</v>
      </c>
      <c r="B135" s="2">
        <v>1907</v>
      </c>
      <c r="C135" s="2" t="s">
        <v>24</v>
      </c>
      <c r="D135" s="2">
        <v>257562</v>
      </c>
      <c r="E135" s="2">
        <v>122039</v>
      </c>
      <c r="J135" s="3">
        <f t="shared" si="0"/>
        <v>13084.84047957732</v>
      </c>
      <c r="K135" s="3">
        <f t="shared" si="1"/>
        <v>122.039</v>
      </c>
      <c r="L135" s="3" t="e">
        <f t="shared" si="2"/>
        <v>#N/A</v>
      </c>
      <c r="M135" s="3" t="e">
        <f t="shared" si="3"/>
        <v>#N/A</v>
      </c>
      <c r="N135" s="3" t="e">
        <f t="shared" si="4"/>
        <v>#N/A</v>
      </c>
      <c r="O135" s="3" t="e">
        <f t="shared" si="5"/>
        <v>#N/A</v>
      </c>
    </row>
    <row r="136" spans="1:15" ht="14.25" customHeight="1">
      <c r="A136" s="2" t="s">
        <v>18</v>
      </c>
      <c r="B136" s="2">
        <v>1908</v>
      </c>
      <c r="C136" s="2" t="s">
        <v>24</v>
      </c>
      <c r="D136" s="2">
        <v>299567</v>
      </c>
      <c r="E136" s="2">
        <v>132128</v>
      </c>
      <c r="J136" s="3">
        <f t="shared" si="0"/>
        <v>15218.807153017679</v>
      </c>
      <c r="K136" s="3">
        <f t="shared" si="1"/>
        <v>132.12799999999999</v>
      </c>
      <c r="L136" s="3" t="e">
        <f t="shared" si="2"/>
        <v>#N/A</v>
      </c>
      <c r="M136" s="3" t="e">
        <f t="shared" si="3"/>
        <v>#N/A</v>
      </c>
      <c r="N136" s="3" t="e">
        <f t="shared" si="4"/>
        <v>#N/A</v>
      </c>
      <c r="O136" s="3" t="e">
        <f t="shared" si="5"/>
        <v>#N/A</v>
      </c>
    </row>
    <row r="137" spans="1:15" ht="14.25" customHeight="1">
      <c r="A137" s="2" t="s">
        <v>18</v>
      </c>
      <c r="B137" s="2">
        <v>1909</v>
      </c>
      <c r="C137" s="2" t="s">
        <v>24</v>
      </c>
      <c r="D137" s="2">
        <v>304467</v>
      </c>
      <c r="E137" s="2">
        <v>132320</v>
      </c>
      <c r="J137" s="3">
        <f t="shared" si="0"/>
        <v>15467.740296687663</v>
      </c>
      <c r="K137" s="3">
        <f t="shared" si="1"/>
        <v>132.32</v>
      </c>
      <c r="L137" s="3" t="e">
        <f t="shared" si="2"/>
        <v>#N/A</v>
      </c>
      <c r="M137" s="3" t="e">
        <f t="shared" si="3"/>
        <v>#N/A</v>
      </c>
      <c r="N137" s="3" t="e">
        <f t="shared" si="4"/>
        <v>#N/A</v>
      </c>
      <c r="O137" s="3" t="e">
        <f t="shared" si="5"/>
        <v>#N/A</v>
      </c>
    </row>
    <row r="138" spans="1:15" ht="14.25" customHeight="1">
      <c r="A138" s="2" t="s">
        <v>18</v>
      </c>
      <c r="B138" s="2">
        <v>1910</v>
      </c>
      <c r="C138" s="2" t="s">
        <v>24</v>
      </c>
      <c r="D138" s="2">
        <v>334518</v>
      </c>
      <c r="E138" s="2">
        <v>162012</v>
      </c>
      <c r="J138" s="3">
        <f t="shared" si="0"/>
        <v>16994.411704938018</v>
      </c>
      <c r="K138" s="3">
        <f t="shared" si="1"/>
        <v>162.012</v>
      </c>
      <c r="L138" s="3" t="e">
        <f t="shared" si="2"/>
        <v>#N/A</v>
      </c>
      <c r="M138" s="3" t="e">
        <f t="shared" si="3"/>
        <v>#N/A</v>
      </c>
      <c r="N138" s="3" t="e">
        <f t="shared" si="4"/>
        <v>#N/A</v>
      </c>
      <c r="O138" s="3" t="e">
        <f t="shared" si="5"/>
        <v>#N/A</v>
      </c>
    </row>
    <row r="139" spans="1:15" ht="14.25" customHeight="1">
      <c r="A139" s="2" t="s">
        <v>18</v>
      </c>
      <c r="B139" s="2">
        <v>1914</v>
      </c>
      <c r="C139" s="2" t="s">
        <v>24</v>
      </c>
      <c r="D139" s="2">
        <v>358380</v>
      </c>
      <c r="E139" s="2">
        <v>254611</v>
      </c>
      <c r="J139" s="3">
        <f t="shared" si="0"/>
        <v>18206.665311928467</v>
      </c>
      <c r="K139" s="3">
        <f t="shared" si="1"/>
        <v>254.61099999999999</v>
      </c>
      <c r="L139" s="3" t="e">
        <f t="shared" si="2"/>
        <v>#N/A</v>
      </c>
      <c r="M139" s="3" t="e">
        <f t="shared" si="3"/>
        <v>#N/A</v>
      </c>
      <c r="N139" s="3" t="e">
        <f t="shared" si="4"/>
        <v>#N/A</v>
      </c>
      <c r="O139" s="3" t="e">
        <f t="shared" si="5"/>
        <v>#N/A</v>
      </c>
    </row>
    <row r="140" spans="1:15" ht="14.25" customHeight="1">
      <c r="A140" s="2" t="s">
        <v>18</v>
      </c>
      <c r="B140" s="2">
        <v>1915</v>
      </c>
      <c r="C140" s="2" t="s">
        <v>24</v>
      </c>
      <c r="D140" s="2">
        <v>210817</v>
      </c>
      <c r="E140" s="2">
        <v>275514</v>
      </c>
      <c r="J140" s="3">
        <f t="shared" si="0"/>
        <v>10710.069091648038</v>
      </c>
      <c r="K140" s="3">
        <f t="shared" si="1"/>
        <v>275.51400000000001</v>
      </c>
      <c r="L140" s="3" t="e">
        <f t="shared" si="2"/>
        <v>#N/A</v>
      </c>
      <c r="M140" s="3" t="e">
        <f t="shared" si="3"/>
        <v>#N/A</v>
      </c>
      <c r="N140" s="3" t="e">
        <f t="shared" si="4"/>
        <v>#N/A</v>
      </c>
      <c r="O140" s="3" t="e">
        <f t="shared" si="5"/>
        <v>#N/A</v>
      </c>
    </row>
    <row r="141" spans="1:15" ht="14.25" customHeight="1">
      <c r="A141" s="2" t="s">
        <v>18</v>
      </c>
      <c r="B141" s="2">
        <v>1916</v>
      </c>
      <c r="C141" s="2" t="s">
        <v>24</v>
      </c>
      <c r="D141" s="2">
        <v>157304</v>
      </c>
      <c r="E141" s="2">
        <v>255878</v>
      </c>
      <c r="J141" s="3">
        <f t="shared" si="0"/>
        <v>7991.4651493598858</v>
      </c>
      <c r="K141" s="3">
        <f t="shared" si="1"/>
        <v>255.87799999999999</v>
      </c>
      <c r="L141" s="3" t="e">
        <f t="shared" si="2"/>
        <v>#N/A</v>
      </c>
      <c r="M141" s="3" t="e">
        <f t="shared" si="3"/>
        <v>#N/A</v>
      </c>
      <c r="N141" s="3" t="e">
        <f t="shared" si="4"/>
        <v>#N/A</v>
      </c>
      <c r="O141" s="3" t="e">
        <f t="shared" si="5"/>
        <v>#N/A</v>
      </c>
    </row>
    <row r="142" spans="1:15" ht="14.25" customHeight="1">
      <c r="A142" s="2" t="s">
        <v>18</v>
      </c>
      <c r="B142" s="2">
        <v>1917</v>
      </c>
      <c r="C142" s="2" t="s">
        <v>24</v>
      </c>
      <c r="D142" s="2">
        <v>136094</v>
      </c>
      <c r="E142" s="2">
        <v>326602</v>
      </c>
      <c r="J142" s="3">
        <f t="shared" si="0"/>
        <v>6913.9402560455192</v>
      </c>
      <c r="K142" s="3">
        <f t="shared" si="1"/>
        <v>326.60199999999998</v>
      </c>
      <c r="L142" s="3" t="e">
        <f t="shared" si="2"/>
        <v>#N/A</v>
      </c>
      <c r="M142" s="3" t="e">
        <f t="shared" si="3"/>
        <v>#N/A</v>
      </c>
      <c r="N142" s="3" t="e">
        <f t="shared" si="4"/>
        <v>#N/A</v>
      </c>
      <c r="O142" s="3" t="e">
        <f t="shared" si="5"/>
        <v>#N/A</v>
      </c>
    </row>
    <row r="143" spans="1:15" ht="14.25" customHeight="1">
      <c r="A143" s="2" t="s">
        <v>18</v>
      </c>
      <c r="B143" s="2">
        <v>1918</v>
      </c>
      <c r="C143" s="2" t="s">
        <v>24</v>
      </c>
      <c r="D143" s="2">
        <v>174609</v>
      </c>
      <c r="E143" s="2">
        <v>582660</v>
      </c>
      <c r="J143" s="3">
        <f t="shared" si="0"/>
        <v>8870.6055679739893</v>
      </c>
      <c r="K143" s="3">
        <f t="shared" si="1"/>
        <v>582.66</v>
      </c>
      <c r="L143" s="3" t="e">
        <f t="shared" si="2"/>
        <v>#N/A</v>
      </c>
      <c r="M143" s="3" t="e">
        <f t="shared" si="3"/>
        <v>#N/A</v>
      </c>
      <c r="N143" s="3" t="e">
        <f t="shared" si="4"/>
        <v>#N/A</v>
      </c>
      <c r="O143" s="3" t="e">
        <f t="shared" si="5"/>
        <v>#N/A</v>
      </c>
    </row>
    <row r="144" spans="1:15" ht="14.25" customHeight="1">
      <c r="A144" s="2" t="s">
        <v>18</v>
      </c>
      <c r="B144" s="2">
        <v>1903</v>
      </c>
      <c r="C144" s="2" t="s">
        <v>25</v>
      </c>
      <c r="D144" s="2">
        <v>1114739</v>
      </c>
      <c r="E144" s="2">
        <v>1076176</v>
      </c>
      <c r="J144" s="3">
        <f t="shared" si="0"/>
        <v>56631.731355415563</v>
      </c>
      <c r="K144" s="3">
        <f t="shared" si="1"/>
        <v>1076.1759999999999</v>
      </c>
      <c r="L144" s="3" t="e">
        <f t="shared" si="2"/>
        <v>#N/A</v>
      </c>
      <c r="M144" s="3" t="e">
        <f t="shared" si="3"/>
        <v>#N/A</v>
      </c>
      <c r="N144" s="3" t="e">
        <f t="shared" si="4"/>
        <v>#N/A</v>
      </c>
      <c r="O144" s="3" t="e">
        <f t="shared" si="5"/>
        <v>#N/A</v>
      </c>
    </row>
    <row r="145" spans="1:15" ht="14.25" customHeight="1">
      <c r="A145" s="2" t="s">
        <v>18</v>
      </c>
      <c r="B145" s="2">
        <v>1904</v>
      </c>
      <c r="C145" s="2" t="s">
        <v>25</v>
      </c>
      <c r="D145" s="2">
        <v>1123717</v>
      </c>
      <c r="E145" s="2">
        <v>833917</v>
      </c>
      <c r="J145" s="3">
        <f t="shared" si="0"/>
        <v>57087.837837837833</v>
      </c>
      <c r="K145" s="3">
        <f t="shared" si="1"/>
        <v>833.91700000000003</v>
      </c>
      <c r="L145" s="3" t="e">
        <f t="shared" si="2"/>
        <v>#N/A</v>
      </c>
      <c r="M145" s="3" t="e">
        <f t="shared" si="3"/>
        <v>#N/A</v>
      </c>
      <c r="N145" s="3" t="e">
        <f t="shared" si="4"/>
        <v>#N/A</v>
      </c>
      <c r="O145" s="3" t="e">
        <f t="shared" si="5"/>
        <v>#N/A</v>
      </c>
    </row>
    <row r="146" spans="1:15" ht="14.25" customHeight="1">
      <c r="A146" s="2" t="s">
        <v>18</v>
      </c>
      <c r="B146" s="2">
        <v>1905</v>
      </c>
      <c r="C146" s="2" t="s">
        <v>25</v>
      </c>
      <c r="D146" s="2">
        <v>1074375</v>
      </c>
      <c r="E146" s="2">
        <v>1090000</v>
      </c>
      <c r="J146" s="3">
        <f t="shared" si="0"/>
        <v>54581.131883763461</v>
      </c>
      <c r="K146" s="3">
        <f t="shared" si="1"/>
        <v>1090</v>
      </c>
      <c r="L146" s="3" t="e">
        <f t="shared" si="2"/>
        <v>#N/A</v>
      </c>
      <c r="M146" s="3" t="e">
        <f t="shared" si="3"/>
        <v>#N/A</v>
      </c>
      <c r="N146" s="3" t="e">
        <f t="shared" si="4"/>
        <v>#N/A</v>
      </c>
      <c r="O146" s="3" t="e">
        <f t="shared" si="5"/>
        <v>#N/A</v>
      </c>
    </row>
    <row r="147" spans="1:15" ht="14.25" customHeight="1">
      <c r="A147" s="2" t="s">
        <v>18</v>
      </c>
      <c r="B147" s="2">
        <v>1906</v>
      </c>
      <c r="C147" s="2" t="s">
        <v>25</v>
      </c>
      <c r="D147" s="2">
        <f>340587+265696+189832+57035</f>
        <v>853150</v>
      </c>
      <c r="E147" s="2">
        <f>462618+302225+110673+70064</f>
        <v>945580</v>
      </c>
      <c r="J147" s="3">
        <f t="shared" si="0"/>
        <v>43342.308473887417</v>
      </c>
      <c r="K147" s="3">
        <f t="shared" si="1"/>
        <v>945.58</v>
      </c>
      <c r="L147" s="3" t="e">
        <f t="shared" si="2"/>
        <v>#N/A</v>
      </c>
      <c r="M147" s="3" t="e">
        <f t="shared" si="3"/>
        <v>#N/A</v>
      </c>
      <c r="N147" s="3" t="e">
        <f t="shared" si="4"/>
        <v>#N/A</v>
      </c>
      <c r="O147" s="3" t="e">
        <f t="shared" si="5"/>
        <v>#N/A</v>
      </c>
    </row>
    <row r="148" spans="1:15" ht="14.25" customHeight="1">
      <c r="A148" s="2" t="s">
        <v>18</v>
      </c>
      <c r="B148" s="2">
        <v>1907</v>
      </c>
      <c r="C148" s="2" t="s">
        <v>25</v>
      </c>
      <c r="D148" s="2">
        <f>287081+328613+300653+49696</f>
        <v>966043</v>
      </c>
      <c r="E148" s="2">
        <f>389995+353909+156175+51765</f>
        <v>951844</v>
      </c>
      <c r="J148" s="3">
        <f t="shared" si="0"/>
        <v>49077.575695996748</v>
      </c>
      <c r="K148" s="3">
        <f t="shared" si="1"/>
        <v>951.84400000000005</v>
      </c>
      <c r="L148" s="3" t="e">
        <f t="shared" si="2"/>
        <v>#N/A</v>
      </c>
      <c r="M148" s="3" t="e">
        <f t="shared" si="3"/>
        <v>#N/A</v>
      </c>
      <c r="N148" s="3" t="e">
        <f t="shared" si="4"/>
        <v>#N/A</v>
      </c>
      <c r="O148" s="3" t="e">
        <f t="shared" si="5"/>
        <v>#N/A</v>
      </c>
    </row>
    <row r="149" spans="1:15" ht="14.25" customHeight="1">
      <c r="A149" s="2" t="s">
        <v>18</v>
      </c>
      <c r="B149" s="2">
        <v>1908</v>
      </c>
      <c r="C149" s="2" t="s">
        <v>25</v>
      </c>
      <c r="D149" s="2">
        <v>923603</v>
      </c>
      <c r="E149" s="2">
        <v>959453</v>
      </c>
      <c r="J149" s="3">
        <f t="shared" si="0"/>
        <v>46921.509855720382</v>
      </c>
      <c r="K149" s="3">
        <f t="shared" si="1"/>
        <v>959.45299999999997</v>
      </c>
      <c r="L149" s="3" t="e">
        <f t="shared" si="2"/>
        <v>#N/A</v>
      </c>
      <c r="M149" s="3" t="e">
        <f t="shared" si="3"/>
        <v>#N/A</v>
      </c>
      <c r="N149" s="3" t="e">
        <f t="shared" si="4"/>
        <v>#N/A</v>
      </c>
      <c r="O149" s="3" t="e">
        <f t="shared" si="5"/>
        <v>#N/A</v>
      </c>
    </row>
    <row r="150" spans="1:15" ht="14.25" customHeight="1">
      <c r="A150" s="2" t="s">
        <v>18</v>
      </c>
      <c r="B150" s="2">
        <v>1909</v>
      </c>
      <c r="C150" s="2" t="s">
        <v>25</v>
      </c>
      <c r="D150" s="2">
        <v>1051665</v>
      </c>
      <c r="E150" s="2">
        <v>919627</v>
      </c>
      <c r="J150" s="3">
        <f t="shared" si="0"/>
        <v>53427.402966876645</v>
      </c>
      <c r="K150" s="3">
        <f t="shared" si="1"/>
        <v>919.62699999999995</v>
      </c>
      <c r="L150" s="3" t="e">
        <f t="shared" si="2"/>
        <v>#N/A</v>
      </c>
      <c r="M150" s="3" t="e">
        <f t="shared" si="3"/>
        <v>#N/A</v>
      </c>
      <c r="N150" s="3" t="e">
        <f t="shared" si="4"/>
        <v>#N/A</v>
      </c>
      <c r="O150" s="3" t="e">
        <f t="shared" si="5"/>
        <v>#N/A</v>
      </c>
    </row>
    <row r="151" spans="1:15" ht="14.25" customHeight="1">
      <c r="A151" s="2" t="s">
        <v>18</v>
      </c>
      <c r="B151" s="2">
        <v>1910</v>
      </c>
      <c r="C151" s="2" t="s">
        <v>25</v>
      </c>
      <c r="D151" s="2">
        <v>941462</v>
      </c>
      <c r="E151" s="2">
        <v>955155</v>
      </c>
      <c r="J151" s="3">
        <f t="shared" si="0"/>
        <v>47828.794960373903</v>
      </c>
      <c r="K151" s="3">
        <f t="shared" si="1"/>
        <v>955.15499999999997</v>
      </c>
      <c r="L151" s="3" t="e">
        <f t="shared" si="2"/>
        <v>#N/A</v>
      </c>
      <c r="M151" s="3" t="e">
        <f t="shared" si="3"/>
        <v>#N/A</v>
      </c>
      <c r="N151" s="3" t="e">
        <f t="shared" si="4"/>
        <v>#N/A</v>
      </c>
      <c r="O151" s="3" t="e">
        <f t="shared" si="5"/>
        <v>#N/A</v>
      </c>
    </row>
    <row r="152" spans="1:15" ht="14.25" customHeight="1">
      <c r="A152" s="2" t="s">
        <v>18</v>
      </c>
      <c r="B152" s="2">
        <v>1914</v>
      </c>
      <c r="C152" s="2" t="s">
        <v>25</v>
      </c>
      <c r="D152" s="2">
        <v>562285</v>
      </c>
      <c r="E152" s="2">
        <v>874192</v>
      </c>
      <c r="J152" s="3">
        <f t="shared" si="0"/>
        <v>28565.586262954683</v>
      </c>
      <c r="K152" s="3">
        <f t="shared" si="1"/>
        <v>874.19200000000001</v>
      </c>
      <c r="L152" s="3" t="e">
        <f t="shared" si="2"/>
        <v>#N/A</v>
      </c>
      <c r="M152" s="3" t="e">
        <f t="shared" si="3"/>
        <v>#N/A</v>
      </c>
      <c r="N152" s="3" t="e">
        <f t="shared" si="4"/>
        <v>#N/A</v>
      </c>
      <c r="O152" s="3" t="e">
        <f t="shared" si="5"/>
        <v>#N/A</v>
      </c>
    </row>
    <row r="153" spans="1:15" ht="14.25" customHeight="1">
      <c r="A153" s="2" t="s">
        <v>18</v>
      </c>
      <c r="B153" s="2">
        <v>1915</v>
      </c>
      <c r="C153" s="2" t="s">
        <v>25</v>
      </c>
      <c r="D153" s="2">
        <v>227538</v>
      </c>
      <c r="E153" s="2">
        <v>607484</v>
      </c>
      <c r="J153" s="3">
        <f t="shared" si="0"/>
        <v>11559.540743751269</v>
      </c>
      <c r="K153" s="3">
        <f t="shared" si="1"/>
        <v>607.48400000000004</v>
      </c>
      <c r="L153" s="3" t="e">
        <f t="shared" si="2"/>
        <v>#N/A</v>
      </c>
      <c r="M153" s="3" t="e">
        <f t="shared" si="3"/>
        <v>#N/A</v>
      </c>
      <c r="N153" s="3" t="e">
        <f t="shared" si="4"/>
        <v>#N/A</v>
      </c>
      <c r="O153" s="3" t="e">
        <f t="shared" si="5"/>
        <v>#N/A</v>
      </c>
    </row>
    <row r="154" spans="1:15" ht="14.25" customHeight="1">
      <c r="A154" s="2" t="s">
        <v>18</v>
      </c>
      <c r="B154" s="2">
        <v>1916</v>
      </c>
      <c r="C154" s="2" t="s">
        <v>25</v>
      </c>
      <c r="D154" s="2">
        <v>226419</v>
      </c>
      <c r="E154" s="2">
        <v>731273</v>
      </c>
      <c r="J154" s="3">
        <f t="shared" si="0"/>
        <v>11502.692542166225</v>
      </c>
      <c r="K154" s="3">
        <f t="shared" si="1"/>
        <v>731.27300000000002</v>
      </c>
      <c r="L154" s="3" t="e">
        <f t="shared" si="2"/>
        <v>#N/A</v>
      </c>
      <c r="M154" s="3" t="e">
        <f t="shared" si="3"/>
        <v>#N/A</v>
      </c>
      <c r="N154" s="3" t="e">
        <f t="shared" si="4"/>
        <v>#N/A</v>
      </c>
      <c r="O154" s="3" t="e">
        <f t="shared" si="5"/>
        <v>#N/A</v>
      </c>
    </row>
    <row r="155" spans="1:15" ht="14.25" customHeight="1">
      <c r="A155" s="2" t="s">
        <v>18</v>
      </c>
      <c r="B155" s="2">
        <v>1917</v>
      </c>
      <c r="C155" s="2" t="s">
        <v>25</v>
      </c>
      <c r="D155" s="2">
        <v>177667</v>
      </c>
      <c r="E155" s="2">
        <v>832569</v>
      </c>
      <c r="J155" s="3">
        <f t="shared" si="0"/>
        <v>9025.9601706970116</v>
      </c>
      <c r="K155" s="3">
        <f t="shared" si="1"/>
        <v>832.56899999999996</v>
      </c>
      <c r="L155" s="3" t="e">
        <f t="shared" si="2"/>
        <v>#N/A</v>
      </c>
      <c r="M155" s="3" t="e">
        <f t="shared" si="3"/>
        <v>#N/A</v>
      </c>
      <c r="N155" s="3" t="e">
        <f t="shared" si="4"/>
        <v>#N/A</v>
      </c>
      <c r="O155" s="3" t="e">
        <f t="shared" si="5"/>
        <v>#N/A</v>
      </c>
    </row>
    <row r="156" spans="1:15" ht="14.25" customHeight="1">
      <c r="A156" s="2" t="s">
        <v>18</v>
      </c>
      <c r="B156" s="2">
        <v>1918</v>
      </c>
      <c r="C156" s="2" t="s">
        <v>25</v>
      </c>
      <c r="D156" s="2">
        <v>372547</v>
      </c>
      <c r="E156" s="2">
        <v>2286152</v>
      </c>
      <c r="J156" s="3">
        <f t="shared" si="0"/>
        <v>18926.386913229016</v>
      </c>
      <c r="K156" s="3">
        <f t="shared" si="1"/>
        <v>2286.152</v>
      </c>
      <c r="L156" s="3" t="e">
        <f t="shared" si="2"/>
        <v>#N/A</v>
      </c>
      <c r="M156" s="3" t="e">
        <f t="shared" si="3"/>
        <v>#N/A</v>
      </c>
      <c r="N156" s="3" t="e">
        <f t="shared" si="4"/>
        <v>#N/A</v>
      </c>
      <c r="O156" s="3" t="e">
        <f t="shared" si="5"/>
        <v>#N/A</v>
      </c>
    </row>
    <row r="157" spans="1:15" ht="14.25" customHeight="1">
      <c r="A157" s="2" t="s">
        <v>15</v>
      </c>
      <c r="B157" s="2">
        <v>1900</v>
      </c>
      <c r="C157" s="2" t="s">
        <v>22</v>
      </c>
      <c r="D157" s="4">
        <v>1050150</v>
      </c>
      <c r="E157" s="4">
        <v>656930</v>
      </c>
      <c r="F157" s="2" t="s">
        <v>17</v>
      </c>
      <c r="G157" s="2" t="s">
        <v>17</v>
      </c>
      <c r="H157" s="2" t="s">
        <v>17</v>
      </c>
      <c r="I157" s="2" t="s">
        <v>17</v>
      </c>
      <c r="J157" s="3">
        <f t="shared" si="0"/>
        <v>53350.436903068476</v>
      </c>
      <c r="K157" s="3">
        <f t="shared" si="1"/>
        <v>656.93</v>
      </c>
      <c r="L157" s="3" t="e">
        <f t="shared" si="2"/>
        <v>#VALUE!</v>
      </c>
      <c r="M157" s="3" t="e">
        <f t="shared" si="3"/>
        <v>#VALUE!</v>
      </c>
      <c r="N157" s="3" t="e">
        <f t="shared" si="4"/>
        <v>#VALUE!</v>
      </c>
      <c r="O157" s="3" t="e">
        <f t="shared" si="5"/>
        <v>#VALUE!</v>
      </c>
    </row>
    <row r="158" spans="1:15" ht="14.25" customHeight="1">
      <c r="A158" s="2" t="s">
        <v>15</v>
      </c>
      <c r="B158" s="2">
        <v>1901</v>
      </c>
      <c r="C158" s="2" t="s">
        <v>22</v>
      </c>
      <c r="D158" s="4">
        <v>1040328</v>
      </c>
      <c r="E158" s="4">
        <v>666552</v>
      </c>
      <c r="J158" s="3">
        <f t="shared" si="0"/>
        <v>52851.452956716115</v>
      </c>
      <c r="K158" s="3">
        <f t="shared" si="1"/>
        <v>666.55200000000002</v>
      </c>
      <c r="L158" s="3" t="e">
        <f t="shared" si="2"/>
        <v>#N/A</v>
      </c>
      <c r="M158" s="3" t="e">
        <f t="shared" si="3"/>
        <v>#N/A</v>
      </c>
      <c r="N158" s="3" t="e">
        <f t="shared" si="4"/>
        <v>#N/A</v>
      </c>
      <c r="O158" s="3" t="e">
        <f t="shared" si="5"/>
        <v>#N/A</v>
      </c>
    </row>
    <row r="159" spans="1:15" ht="14.25" customHeight="1">
      <c r="A159" s="2" t="s">
        <v>15</v>
      </c>
      <c r="B159" s="2">
        <v>1902</v>
      </c>
      <c r="C159" s="2" t="s">
        <v>22</v>
      </c>
      <c r="D159" s="4">
        <v>1534628</v>
      </c>
      <c r="E159" s="4">
        <v>865934</v>
      </c>
      <c r="J159" s="3">
        <f t="shared" si="0"/>
        <v>77963.218857955697</v>
      </c>
      <c r="K159" s="3">
        <f t="shared" si="1"/>
        <v>865.93399999999997</v>
      </c>
      <c r="L159" s="3" t="e">
        <f t="shared" si="2"/>
        <v>#N/A</v>
      </c>
      <c r="M159" s="3" t="e">
        <f t="shared" si="3"/>
        <v>#N/A</v>
      </c>
      <c r="N159" s="3" t="e">
        <f t="shared" si="4"/>
        <v>#N/A</v>
      </c>
      <c r="O159" s="3" t="e">
        <f t="shared" si="5"/>
        <v>#N/A</v>
      </c>
    </row>
    <row r="160" spans="1:15" ht="14.25" customHeight="1">
      <c r="A160" s="2" t="s">
        <v>15</v>
      </c>
      <c r="B160" s="2">
        <v>1903</v>
      </c>
      <c r="C160" s="2" t="s">
        <v>22</v>
      </c>
      <c r="J160" s="3" t="e">
        <f t="shared" si="0"/>
        <v>#N/A</v>
      </c>
      <c r="K160" s="3" t="e">
        <f t="shared" si="1"/>
        <v>#N/A</v>
      </c>
      <c r="L160" s="3" t="e">
        <f t="shared" si="2"/>
        <v>#N/A</v>
      </c>
      <c r="M160" s="3" t="e">
        <f t="shared" si="3"/>
        <v>#N/A</v>
      </c>
      <c r="N160" s="3" t="e">
        <f t="shared" si="4"/>
        <v>#N/A</v>
      </c>
      <c r="O160" s="3" t="e">
        <f t="shared" si="5"/>
        <v>#N/A</v>
      </c>
    </row>
    <row r="161" spans="1:15" ht="14.25" customHeight="1">
      <c r="A161" s="2" t="s">
        <v>15</v>
      </c>
      <c r="B161" s="2">
        <v>1904</v>
      </c>
      <c r="C161" s="2" t="s">
        <v>22</v>
      </c>
      <c r="J161" s="3" t="e">
        <f t="shared" si="0"/>
        <v>#N/A</v>
      </c>
      <c r="K161" s="3" t="e">
        <f t="shared" si="1"/>
        <v>#N/A</v>
      </c>
      <c r="L161" s="3" t="e">
        <f t="shared" si="2"/>
        <v>#N/A</v>
      </c>
      <c r="M161" s="3" t="e">
        <f t="shared" si="3"/>
        <v>#N/A</v>
      </c>
      <c r="N161" s="3" t="e">
        <f t="shared" si="4"/>
        <v>#N/A</v>
      </c>
      <c r="O161" s="3" t="e">
        <f t="shared" si="5"/>
        <v>#N/A</v>
      </c>
    </row>
    <row r="162" spans="1:15" ht="14.25" customHeight="1">
      <c r="A162" s="2" t="s">
        <v>15</v>
      </c>
      <c r="B162" s="2">
        <v>1905</v>
      </c>
      <c r="C162" s="2" t="s">
        <v>22</v>
      </c>
      <c r="F162" s="2" t="s">
        <v>17</v>
      </c>
      <c r="G162" s="2" t="s">
        <v>17</v>
      </c>
      <c r="H162" s="2" t="s">
        <v>17</v>
      </c>
      <c r="I162" s="2" t="s">
        <v>17</v>
      </c>
      <c r="J162" s="3" t="e">
        <f t="shared" si="0"/>
        <v>#N/A</v>
      </c>
      <c r="K162" s="3" t="e">
        <f t="shared" si="1"/>
        <v>#N/A</v>
      </c>
      <c r="L162" s="3" t="e">
        <f t="shared" si="2"/>
        <v>#VALUE!</v>
      </c>
      <c r="M162" s="3" t="e">
        <f t="shared" si="3"/>
        <v>#VALUE!</v>
      </c>
      <c r="N162" s="3" t="e">
        <f t="shared" si="4"/>
        <v>#VALUE!</v>
      </c>
      <c r="O162" s="3" t="e">
        <f t="shared" si="5"/>
        <v>#VALUE!</v>
      </c>
    </row>
    <row r="163" spans="1:15" ht="14.25" customHeight="1">
      <c r="A163" s="2" t="s">
        <v>15</v>
      </c>
      <c r="B163" s="2">
        <v>1906</v>
      </c>
      <c r="C163" s="2" t="s">
        <v>22</v>
      </c>
      <c r="J163" s="3" t="e">
        <f t="shared" si="0"/>
        <v>#N/A</v>
      </c>
      <c r="K163" s="3" t="e">
        <f t="shared" si="1"/>
        <v>#N/A</v>
      </c>
      <c r="L163" s="3" t="e">
        <f t="shared" si="2"/>
        <v>#N/A</v>
      </c>
      <c r="M163" s="3" t="e">
        <f t="shared" si="3"/>
        <v>#N/A</v>
      </c>
      <c r="N163" s="3" t="e">
        <f t="shared" si="4"/>
        <v>#N/A</v>
      </c>
      <c r="O163" s="3" t="e">
        <f t="shared" si="5"/>
        <v>#N/A</v>
      </c>
    </row>
    <row r="164" spans="1:15" ht="14.25" customHeight="1">
      <c r="A164" s="2" t="s">
        <v>15</v>
      </c>
      <c r="B164" s="2">
        <v>1907</v>
      </c>
      <c r="C164" s="2" t="s">
        <v>22</v>
      </c>
      <c r="J164" s="3" t="e">
        <f t="shared" si="0"/>
        <v>#N/A</v>
      </c>
      <c r="K164" s="3" t="e">
        <f t="shared" si="1"/>
        <v>#N/A</v>
      </c>
      <c r="L164" s="3" t="e">
        <f t="shared" si="2"/>
        <v>#N/A</v>
      </c>
      <c r="M164" s="3" t="e">
        <f t="shared" si="3"/>
        <v>#N/A</v>
      </c>
      <c r="N164" s="3" t="e">
        <f t="shared" si="4"/>
        <v>#N/A</v>
      </c>
      <c r="O164" s="3" t="e">
        <f t="shared" si="5"/>
        <v>#N/A</v>
      </c>
    </row>
    <row r="165" spans="1:15" ht="14.25" customHeight="1">
      <c r="A165" s="2" t="s">
        <v>15</v>
      </c>
      <c r="B165" s="2">
        <v>1908</v>
      </c>
      <c r="C165" s="2" t="s">
        <v>22</v>
      </c>
      <c r="J165" s="3" t="e">
        <f t="shared" si="0"/>
        <v>#N/A</v>
      </c>
      <c r="K165" s="3" t="e">
        <f t="shared" si="1"/>
        <v>#N/A</v>
      </c>
      <c r="L165" s="3" t="e">
        <f t="shared" si="2"/>
        <v>#N/A</v>
      </c>
      <c r="M165" s="3" t="e">
        <f t="shared" si="3"/>
        <v>#N/A</v>
      </c>
      <c r="N165" s="3" t="e">
        <f t="shared" si="4"/>
        <v>#N/A</v>
      </c>
      <c r="O165" s="3" t="e">
        <f t="shared" si="5"/>
        <v>#N/A</v>
      </c>
    </row>
    <row r="166" spans="1:15" ht="14.25" customHeight="1">
      <c r="A166" s="2" t="s">
        <v>15</v>
      </c>
      <c r="B166" s="2">
        <v>1909</v>
      </c>
      <c r="C166" s="2" t="s">
        <v>22</v>
      </c>
      <c r="J166" s="3" t="e">
        <f t="shared" si="0"/>
        <v>#N/A</v>
      </c>
      <c r="K166" s="3" t="e">
        <f t="shared" si="1"/>
        <v>#N/A</v>
      </c>
      <c r="L166" s="3" t="e">
        <f t="shared" si="2"/>
        <v>#N/A</v>
      </c>
      <c r="M166" s="3" t="e">
        <f t="shared" si="3"/>
        <v>#N/A</v>
      </c>
      <c r="N166" s="3" t="e">
        <f t="shared" si="4"/>
        <v>#N/A</v>
      </c>
      <c r="O166" s="3" t="e">
        <f t="shared" si="5"/>
        <v>#N/A</v>
      </c>
    </row>
    <row r="167" spans="1:15" ht="14.25" customHeight="1">
      <c r="A167" s="2" t="s">
        <v>15</v>
      </c>
      <c r="B167" s="2">
        <v>1910</v>
      </c>
      <c r="C167" s="2" t="s">
        <v>22</v>
      </c>
      <c r="F167" s="2">
        <f>37931+277922</f>
        <v>315853</v>
      </c>
      <c r="G167" s="2">
        <f>37035+338649</f>
        <v>375684</v>
      </c>
      <c r="H167" s="2" t="s">
        <v>17</v>
      </c>
      <c r="I167" s="2" t="s">
        <v>17</v>
      </c>
      <c r="J167" s="3" t="e">
        <f t="shared" si="0"/>
        <v>#N/A</v>
      </c>
      <c r="K167" s="3" t="e">
        <f t="shared" si="1"/>
        <v>#N/A</v>
      </c>
      <c r="L167" s="3">
        <f t="shared" si="2"/>
        <v>16046.179638284901</v>
      </c>
      <c r="M167" s="3">
        <f t="shared" si="3"/>
        <v>375.68400000000003</v>
      </c>
      <c r="N167" s="3" t="e">
        <f t="shared" si="4"/>
        <v>#VALUE!</v>
      </c>
      <c r="O167" s="3" t="e">
        <f t="shared" si="5"/>
        <v>#VALUE!</v>
      </c>
    </row>
    <row r="168" spans="1:15" ht="14.25" customHeight="1">
      <c r="A168" s="2" t="s">
        <v>15</v>
      </c>
      <c r="B168" s="2">
        <v>1911</v>
      </c>
      <c r="C168" s="2" t="s">
        <v>22</v>
      </c>
      <c r="D168" s="2">
        <v>3547808</v>
      </c>
      <c r="J168" s="3">
        <f t="shared" si="0"/>
        <v>180238.16297500508</v>
      </c>
      <c r="K168" s="3" t="e">
        <f t="shared" si="1"/>
        <v>#N/A</v>
      </c>
      <c r="L168" s="3" t="e">
        <f t="shared" si="2"/>
        <v>#N/A</v>
      </c>
      <c r="M168" s="3" t="e">
        <f t="shared" si="3"/>
        <v>#N/A</v>
      </c>
      <c r="N168" s="3" t="e">
        <f t="shared" si="4"/>
        <v>#N/A</v>
      </c>
      <c r="O168" s="3" t="e">
        <f t="shared" si="5"/>
        <v>#N/A</v>
      </c>
    </row>
    <row r="169" spans="1:15" ht="14.25" customHeight="1">
      <c r="A169" s="2" t="s">
        <v>15</v>
      </c>
      <c r="B169" s="2">
        <v>1912</v>
      </c>
      <c r="C169" s="2" t="s">
        <v>22</v>
      </c>
      <c r="D169" s="2">
        <v>3406579</v>
      </c>
      <c r="J169" s="3">
        <f t="shared" si="0"/>
        <v>173063.35094492987</v>
      </c>
      <c r="K169" s="3" t="e">
        <f t="shared" si="1"/>
        <v>#N/A</v>
      </c>
      <c r="L169" s="3" t="e">
        <f t="shared" si="2"/>
        <v>#N/A</v>
      </c>
      <c r="M169" s="3" t="e">
        <f t="shared" si="3"/>
        <v>#N/A</v>
      </c>
      <c r="N169" s="3" t="e">
        <f t="shared" si="4"/>
        <v>#N/A</v>
      </c>
      <c r="O169" s="3" t="e">
        <f t="shared" si="5"/>
        <v>#N/A</v>
      </c>
    </row>
    <row r="170" spans="1:15" ht="14.25" customHeight="1">
      <c r="A170" s="2" t="s">
        <v>15</v>
      </c>
      <c r="B170" s="2">
        <v>1913</v>
      </c>
      <c r="C170" s="2" t="s">
        <v>22</v>
      </c>
      <c r="D170" s="2">
        <v>3514022</v>
      </c>
      <c r="J170" s="3">
        <f t="shared" si="0"/>
        <v>178521.74354805934</v>
      </c>
      <c r="K170" s="3" t="e">
        <f t="shared" si="1"/>
        <v>#N/A</v>
      </c>
      <c r="L170" s="3" t="e">
        <f t="shared" si="2"/>
        <v>#N/A</v>
      </c>
      <c r="M170" s="3" t="e">
        <f t="shared" si="3"/>
        <v>#N/A</v>
      </c>
      <c r="N170" s="3" t="e">
        <f t="shared" si="4"/>
        <v>#N/A</v>
      </c>
      <c r="O170" s="3" t="e">
        <f t="shared" si="5"/>
        <v>#N/A</v>
      </c>
    </row>
    <row r="171" spans="1:15" ht="14.25" customHeight="1">
      <c r="A171" s="2" t="s">
        <v>15</v>
      </c>
      <c r="B171" s="2">
        <v>1914</v>
      </c>
      <c r="C171" s="2" t="s">
        <v>22</v>
      </c>
      <c r="F171" s="2">
        <f>25960+418155</f>
        <v>444115</v>
      </c>
      <c r="G171" s="2">
        <f>29110+606660</f>
        <v>635770</v>
      </c>
      <c r="H171" s="2">
        <v>0</v>
      </c>
      <c r="I171" s="2">
        <v>0</v>
      </c>
      <c r="J171" s="3" t="e">
        <f t="shared" si="0"/>
        <v>#N/A</v>
      </c>
      <c r="K171" s="3" t="e">
        <f t="shared" si="1"/>
        <v>#N/A</v>
      </c>
      <c r="L171" s="3">
        <f t="shared" si="2"/>
        <v>22562.233285917497</v>
      </c>
      <c r="M171" s="3">
        <f t="shared" si="3"/>
        <v>635.77</v>
      </c>
      <c r="N171" s="3">
        <f t="shared" si="4"/>
        <v>0</v>
      </c>
      <c r="O171" s="3">
        <f t="shared" si="5"/>
        <v>0</v>
      </c>
    </row>
    <row r="172" spans="1:15" ht="14.25" customHeight="1">
      <c r="A172" s="2" t="s">
        <v>15</v>
      </c>
      <c r="B172" s="2">
        <v>1915</v>
      </c>
      <c r="C172" s="2" t="s">
        <v>22</v>
      </c>
      <c r="F172" s="2">
        <f>108+152416</f>
        <v>152524</v>
      </c>
      <c r="G172" s="2">
        <f>340+281026</f>
        <v>281366</v>
      </c>
      <c r="H172" s="2">
        <v>0</v>
      </c>
      <c r="I172" s="2">
        <v>0</v>
      </c>
      <c r="J172" s="3" t="e">
        <f t="shared" si="0"/>
        <v>#N/A</v>
      </c>
      <c r="K172" s="3" t="e">
        <f t="shared" si="1"/>
        <v>#N/A</v>
      </c>
      <c r="L172" s="3">
        <f t="shared" si="2"/>
        <v>7748.6283275756959</v>
      </c>
      <c r="M172" s="3">
        <f t="shared" si="3"/>
        <v>281.36599999999999</v>
      </c>
      <c r="N172" s="3">
        <f t="shared" si="4"/>
        <v>0</v>
      </c>
      <c r="O172" s="3">
        <f t="shared" si="5"/>
        <v>0</v>
      </c>
    </row>
    <row r="173" spans="1:15" ht="14.25" customHeight="1">
      <c r="A173" s="2" t="s">
        <v>15</v>
      </c>
      <c r="B173" s="2">
        <v>1916</v>
      </c>
      <c r="C173" s="2" t="s">
        <v>22</v>
      </c>
      <c r="F173" s="2">
        <f>604+148241</f>
        <v>148845</v>
      </c>
      <c r="G173" s="2">
        <f>1806+383287</f>
        <v>385093</v>
      </c>
      <c r="H173" s="2">
        <v>0</v>
      </c>
      <c r="I173" s="2">
        <v>0</v>
      </c>
      <c r="J173" s="3" t="e">
        <f t="shared" si="0"/>
        <v>#N/A</v>
      </c>
      <c r="K173" s="3" t="e">
        <f t="shared" si="1"/>
        <v>#N/A</v>
      </c>
      <c r="L173" s="3">
        <f t="shared" si="2"/>
        <v>7561.7252590936796</v>
      </c>
      <c r="M173" s="3">
        <f t="shared" si="3"/>
        <v>385.09300000000002</v>
      </c>
      <c r="N173" s="3">
        <f t="shared" si="4"/>
        <v>0</v>
      </c>
      <c r="O173" s="3">
        <f t="shared" si="5"/>
        <v>0</v>
      </c>
    </row>
    <row r="174" spans="1:15" ht="14.25" customHeight="1">
      <c r="A174" s="2" t="s">
        <v>15</v>
      </c>
      <c r="B174" s="2">
        <v>1917</v>
      </c>
      <c r="C174" s="2" t="s">
        <v>22</v>
      </c>
      <c r="F174" s="2">
        <f>135+123205</f>
        <v>123340</v>
      </c>
      <c r="G174" s="2">
        <f>347+391003</f>
        <v>391350</v>
      </c>
      <c r="H174" s="2">
        <v>0</v>
      </c>
      <c r="I174" s="2">
        <v>0</v>
      </c>
      <c r="J174" s="3" t="e">
        <f t="shared" si="0"/>
        <v>#N/A</v>
      </c>
      <c r="K174" s="3" t="e">
        <f t="shared" si="1"/>
        <v>#N/A</v>
      </c>
      <c r="L174" s="3">
        <f t="shared" si="2"/>
        <v>6266.0028449502133</v>
      </c>
      <c r="M174" s="3">
        <f t="shared" si="3"/>
        <v>391.35</v>
      </c>
      <c r="N174" s="3">
        <f t="shared" si="4"/>
        <v>0</v>
      </c>
      <c r="O174" s="3">
        <f t="shared" si="5"/>
        <v>0</v>
      </c>
    </row>
    <row r="175" spans="1:15" ht="14.25" customHeight="1">
      <c r="A175" s="2" t="s">
        <v>15</v>
      </c>
      <c r="B175" s="2">
        <v>1918</v>
      </c>
      <c r="C175" s="2" t="s">
        <v>22</v>
      </c>
      <c r="F175" s="2">
        <f>16+100105</f>
        <v>100121</v>
      </c>
      <c r="G175" s="2">
        <f>72+437773</f>
        <v>437845</v>
      </c>
      <c r="H175" s="2">
        <v>0</v>
      </c>
      <c r="I175" s="2">
        <v>0</v>
      </c>
      <c r="J175" s="3" t="e">
        <f t="shared" si="0"/>
        <v>#N/A</v>
      </c>
      <c r="K175" s="3" t="e">
        <f t="shared" si="1"/>
        <v>#N/A</v>
      </c>
      <c r="L175" s="3">
        <f t="shared" si="2"/>
        <v>5086.4153627311516</v>
      </c>
      <c r="M175" s="3">
        <f t="shared" si="3"/>
        <v>437.84500000000003</v>
      </c>
      <c r="N175" s="3">
        <f t="shared" si="4"/>
        <v>0</v>
      </c>
      <c r="O175" s="3">
        <f t="shared" si="5"/>
        <v>0</v>
      </c>
    </row>
    <row r="176" spans="1:15" ht="14.25" customHeight="1">
      <c r="A176" s="2" t="s">
        <v>15</v>
      </c>
      <c r="B176" s="2">
        <v>1919</v>
      </c>
      <c r="C176" s="2" t="s">
        <v>22</v>
      </c>
      <c r="D176" s="2">
        <v>2200950</v>
      </c>
      <c r="F176" s="2">
        <f>147+147782</f>
        <v>147929</v>
      </c>
      <c r="G176" s="2">
        <f>549+755808</f>
        <v>756357</v>
      </c>
      <c r="H176" s="2">
        <v>0</v>
      </c>
      <c r="I176" s="2">
        <v>0</v>
      </c>
      <c r="J176" s="3">
        <f t="shared" si="0"/>
        <v>111814.163787848</v>
      </c>
      <c r="K176" s="3" t="e">
        <f t="shared" si="1"/>
        <v>#N/A</v>
      </c>
      <c r="L176" s="3">
        <f t="shared" si="2"/>
        <v>7515.1900020321073</v>
      </c>
      <c r="M176" s="3">
        <f t="shared" si="3"/>
        <v>756.35699999999997</v>
      </c>
      <c r="N176" s="3">
        <f t="shared" si="4"/>
        <v>0</v>
      </c>
      <c r="O176" s="3">
        <f t="shared" si="5"/>
        <v>0</v>
      </c>
    </row>
    <row r="177" spans="1:15" ht="14.25" customHeight="1">
      <c r="A177" s="2" t="s">
        <v>15</v>
      </c>
      <c r="B177" s="2">
        <v>1920</v>
      </c>
      <c r="C177" s="2" t="s">
        <v>22</v>
      </c>
      <c r="D177" s="2">
        <v>3454742</v>
      </c>
      <c r="F177" s="2">
        <f>2365+182948</f>
        <v>185313</v>
      </c>
      <c r="G177" s="2">
        <f>5961+801907</f>
        <v>807868</v>
      </c>
      <c r="H177" s="2" t="s">
        <v>17</v>
      </c>
      <c r="I177" s="2" t="s">
        <v>17</v>
      </c>
      <c r="J177" s="3">
        <f t="shared" si="0"/>
        <v>175510.16053647632</v>
      </c>
      <c r="K177" s="3" t="e">
        <f t="shared" si="1"/>
        <v>#N/A</v>
      </c>
      <c r="L177" s="3">
        <f t="shared" si="2"/>
        <v>9414.3974801869535</v>
      </c>
      <c r="M177" s="3">
        <f t="shared" si="3"/>
        <v>807.86800000000005</v>
      </c>
      <c r="N177" s="3" t="e">
        <f t="shared" si="4"/>
        <v>#VALUE!</v>
      </c>
      <c r="O177" s="3" t="e">
        <f t="shared" si="5"/>
        <v>#VALUE!</v>
      </c>
    </row>
    <row r="178" spans="1:15" ht="14.25" customHeight="1">
      <c r="A178" s="2" t="s">
        <v>15</v>
      </c>
      <c r="B178" s="2">
        <v>1921</v>
      </c>
      <c r="C178" s="2" t="s">
        <v>22</v>
      </c>
      <c r="D178" s="2">
        <v>2754090</v>
      </c>
      <c r="J178" s="3">
        <f t="shared" si="0"/>
        <v>139915.15952042266</v>
      </c>
      <c r="K178" s="3" t="e">
        <f t="shared" si="1"/>
        <v>#N/A</v>
      </c>
      <c r="L178" s="3" t="e">
        <f t="shared" si="2"/>
        <v>#N/A</v>
      </c>
      <c r="M178" s="3" t="e">
        <f t="shared" si="3"/>
        <v>#N/A</v>
      </c>
      <c r="N178" s="3" t="e">
        <f t="shared" si="4"/>
        <v>#N/A</v>
      </c>
      <c r="O178" s="3" t="e">
        <f t="shared" si="5"/>
        <v>#N/A</v>
      </c>
    </row>
    <row r="179" spans="1:15" ht="14.25" customHeight="1">
      <c r="A179" s="2" t="s">
        <v>15</v>
      </c>
      <c r="B179" s="2">
        <v>1922</v>
      </c>
      <c r="C179" s="2" t="s">
        <v>22</v>
      </c>
      <c r="D179" s="2">
        <v>3090399</v>
      </c>
      <c r="J179" s="3">
        <f t="shared" si="0"/>
        <v>157000.55882950619</v>
      </c>
      <c r="K179" s="3" t="e">
        <f t="shared" si="1"/>
        <v>#N/A</v>
      </c>
      <c r="L179" s="3" t="e">
        <f t="shared" si="2"/>
        <v>#N/A</v>
      </c>
      <c r="M179" s="3" t="e">
        <f t="shared" si="3"/>
        <v>#N/A</v>
      </c>
      <c r="N179" s="3" t="e">
        <f t="shared" si="4"/>
        <v>#N/A</v>
      </c>
      <c r="O179" s="3" t="e">
        <f t="shared" si="5"/>
        <v>#N/A</v>
      </c>
    </row>
    <row r="180" spans="1:15" ht="14.25" customHeight="1">
      <c r="A180" s="2" t="s">
        <v>15</v>
      </c>
      <c r="B180" s="2">
        <v>1923</v>
      </c>
      <c r="C180" s="2" t="s">
        <v>22</v>
      </c>
      <c r="D180" s="2">
        <v>2562804</v>
      </c>
      <c r="J180" s="3">
        <f t="shared" si="0"/>
        <v>130197.31761837025</v>
      </c>
      <c r="K180" s="3" t="e">
        <f t="shared" si="1"/>
        <v>#N/A</v>
      </c>
      <c r="L180" s="3" t="e">
        <f t="shared" si="2"/>
        <v>#N/A</v>
      </c>
      <c r="M180" s="3" t="e">
        <f t="shared" si="3"/>
        <v>#N/A</v>
      </c>
      <c r="N180" s="3" t="e">
        <f t="shared" si="4"/>
        <v>#N/A</v>
      </c>
      <c r="O180" s="3" t="e">
        <f t="shared" si="5"/>
        <v>#N/A</v>
      </c>
    </row>
    <row r="181" spans="1:15" ht="14.25" customHeight="1">
      <c r="A181" s="2" t="s">
        <v>15</v>
      </c>
      <c r="B181" s="2">
        <v>1924</v>
      </c>
      <c r="C181" s="2" t="s">
        <v>22</v>
      </c>
      <c r="D181" s="2">
        <v>3142326</v>
      </c>
      <c r="J181" s="3">
        <f t="shared" si="0"/>
        <v>159638.58971753708</v>
      </c>
      <c r="K181" s="3" t="e">
        <f t="shared" si="1"/>
        <v>#N/A</v>
      </c>
      <c r="L181" s="3" t="e">
        <f t="shared" si="2"/>
        <v>#N/A</v>
      </c>
      <c r="M181" s="3" t="e">
        <f t="shared" si="3"/>
        <v>#N/A</v>
      </c>
      <c r="N181" s="3" t="e">
        <f t="shared" si="4"/>
        <v>#N/A</v>
      </c>
      <c r="O181" s="3" t="e">
        <f t="shared" si="5"/>
        <v>#N/A</v>
      </c>
    </row>
    <row r="182" spans="1:15" ht="14.25" customHeight="1">
      <c r="A182" s="2" t="s">
        <v>15</v>
      </c>
      <c r="B182" s="2">
        <v>1925</v>
      </c>
      <c r="C182" s="2" t="s">
        <v>22</v>
      </c>
      <c r="D182" s="2">
        <v>3295247</v>
      </c>
      <c r="F182" s="2">
        <f>21676+455275</f>
        <v>476951</v>
      </c>
      <c r="G182" s="2">
        <f>47045+1155941</f>
        <v>1202986</v>
      </c>
      <c r="H182" s="2">
        <f>823026+221633</f>
        <v>1044659</v>
      </c>
      <c r="I182" s="2">
        <f>488511+364340</f>
        <v>852851</v>
      </c>
      <c r="J182" s="3">
        <f t="shared" si="0"/>
        <v>167407.38671001827</v>
      </c>
      <c r="K182" s="3" t="e">
        <f t="shared" si="1"/>
        <v>#N/A</v>
      </c>
      <c r="L182" s="3">
        <f t="shared" si="2"/>
        <v>24230.390164600689</v>
      </c>
      <c r="M182" s="3">
        <f t="shared" si="3"/>
        <v>1202.9860000000001</v>
      </c>
      <c r="N182" s="3">
        <f t="shared" si="4"/>
        <v>53071.479374110953</v>
      </c>
      <c r="O182" s="3">
        <f t="shared" si="5"/>
        <v>852.851</v>
      </c>
    </row>
    <row r="183" spans="1:15" ht="14.25" customHeight="1">
      <c r="A183" s="2" t="s">
        <v>15</v>
      </c>
      <c r="B183" s="2">
        <v>1926</v>
      </c>
      <c r="C183" s="2" t="s">
        <v>22</v>
      </c>
      <c r="D183" s="2">
        <v>3331687</v>
      </c>
      <c r="J183" s="3">
        <f t="shared" si="0"/>
        <v>169258.63645600487</v>
      </c>
      <c r="K183" s="3" t="e">
        <f t="shared" si="1"/>
        <v>#N/A</v>
      </c>
      <c r="L183" s="3" t="e">
        <f t="shared" si="2"/>
        <v>#N/A</v>
      </c>
      <c r="M183" s="3" t="e">
        <f t="shared" si="3"/>
        <v>#N/A</v>
      </c>
      <c r="N183" s="3" t="e">
        <f t="shared" si="4"/>
        <v>#N/A</v>
      </c>
      <c r="O183" s="3" t="e">
        <f t="shared" si="5"/>
        <v>#N/A</v>
      </c>
    </row>
    <row r="184" spans="1:15" ht="14.25" customHeight="1">
      <c r="A184" s="2" t="s">
        <v>15</v>
      </c>
      <c r="B184" s="2">
        <v>1927</v>
      </c>
      <c r="C184" s="2" t="s">
        <v>22</v>
      </c>
      <c r="D184" s="2">
        <v>3624167</v>
      </c>
      <c r="J184" s="3">
        <f t="shared" si="0"/>
        <v>184117.40499898393</v>
      </c>
      <c r="K184" s="3" t="e">
        <f t="shared" si="1"/>
        <v>#N/A</v>
      </c>
      <c r="L184" s="3" t="e">
        <f t="shared" si="2"/>
        <v>#N/A</v>
      </c>
      <c r="M184" s="3" t="e">
        <f t="shared" si="3"/>
        <v>#N/A</v>
      </c>
      <c r="N184" s="3" t="e">
        <f t="shared" si="4"/>
        <v>#N/A</v>
      </c>
      <c r="O184" s="3" t="e">
        <f t="shared" si="5"/>
        <v>#N/A</v>
      </c>
    </row>
    <row r="185" spans="1:15" ht="14.25" customHeight="1">
      <c r="A185" s="2" t="s">
        <v>15</v>
      </c>
      <c r="B185" s="2">
        <v>1928</v>
      </c>
      <c r="C185" s="2" t="s">
        <v>22</v>
      </c>
      <c r="D185" s="2">
        <v>3303894</v>
      </c>
      <c r="J185" s="3">
        <f t="shared" si="0"/>
        <v>167846.67750457223</v>
      </c>
      <c r="K185" s="3" t="e">
        <f t="shared" si="1"/>
        <v>#N/A</v>
      </c>
      <c r="L185" s="3" t="e">
        <f t="shared" si="2"/>
        <v>#N/A</v>
      </c>
      <c r="M185" s="3" t="e">
        <f t="shared" si="3"/>
        <v>#N/A</v>
      </c>
      <c r="N185" s="3" t="e">
        <f t="shared" si="4"/>
        <v>#N/A</v>
      </c>
      <c r="O185" s="3" t="e">
        <f t="shared" si="5"/>
        <v>#N/A</v>
      </c>
    </row>
    <row r="186" spans="1:15" ht="14.25" customHeight="1">
      <c r="A186" s="2" t="s">
        <v>15</v>
      </c>
      <c r="B186" s="2">
        <v>1929</v>
      </c>
      <c r="C186" s="2" t="s">
        <v>22</v>
      </c>
      <c r="D186" s="2">
        <v>3610858</v>
      </c>
      <c r="J186" s="3">
        <f t="shared" si="0"/>
        <v>183441.27209916682</v>
      </c>
      <c r="K186" s="3" t="e">
        <f t="shared" si="1"/>
        <v>#N/A</v>
      </c>
      <c r="L186" s="3" t="e">
        <f t="shared" si="2"/>
        <v>#N/A</v>
      </c>
      <c r="M186" s="3" t="e">
        <f t="shared" si="3"/>
        <v>#N/A</v>
      </c>
      <c r="N186" s="3" t="e">
        <f t="shared" si="4"/>
        <v>#N/A</v>
      </c>
      <c r="O186" s="3" t="e">
        <f t="shared" si="5"/>
        <v>#N/A</v>
      </c>
    </row>
    <row r="187" spans="1:15" ht="14.25" customHeight="1">
      <c r="A187" s="2" t="s">
        <v>15</v>
      </c>
      <c r="B187" s="2">
        <v>1930</v>
      </c>
      <c r="C187" s="2" t="s">
        <v>22</v>
      </c>
      <c r="D187" s="2">
        <v>4905780</v>
      </c>
      <c r="F187" s="2">
        <f>36250+347482</f>
        <v>383732</v>
      </c>
      <c r="G187" s="2">
        <f>74577+731616</f>
        <v>806193</v>
      </c>
      <c r="H187" s="2">
        <f>947500+125268</f>
        <v>1072768</v>
      </c>
      <c r="I187" s="2">
        <f>604968+199615</f>
        <v>804583</v>
      </c>
      <c r="J187" s="3">
        <f t="shared" si="0"/>
        <v>249226.78317415158</v>
      </c>
      <c r="K187" s="3" t="e">
        <f t="shared" si="1"/>
        <v>#N/A</v>
      </c>
      <c r="L187" s="3">
        <f t="shared" si="2"/>
        <v>19494.614915667546</v>
      </c>
      <c r="M187" s="3">
        <f t="shared" si="3"/>
        <v>806.19299999999998</v>
      </c>
      <c r="N187" s="3">
        <f t="shared" si="4"/>
        <v>54499.491973176184</v>
      </c>
      <c r="O187" s="3">
        <f t="shared" si="5"/>
        <v>804.58299999999997</v>
      </c>
    </row>
    <row r="188" spans="1:15" ht="14.25" customHeight="1">
      <c r="A188" s="2" t="s">
        <v>15</v>
      </c>
      <c r="B188" s="2">
        <v>1931</v>
      </c>
      <c r="C188" s="2" t="s">
        <v>22</v>
      </c>
      <c r="D188" s="2">
        <v>5178278</v>
      </c>
      <c r="J188" s="3">
        <f t="shared" si="0"/>
        <v>263070.4125177809</v>
      </c>
      <c r="K188" s="3" t="e">
        <f t="shared" si="1"/>
        <v>#N/A</v>
      </c>
      <c r="L188" s="3" t="e">
        <f t="shared" si="2"/>
        <v>#N/A</v>
      </c>
      <c r="M188" s="3" t="e">
        <f t="shared" si="3"/>
        <v>#N/A</v>
      </c>
      <c r="N188" s="3" t="e">
        <f t="shared" si="4"/>
        <v>#N/A</v>
      </c>
      <c r="O188" s="3" t="e">
        <f t="shared" si="5"/>
        <v>#N/A</v>
      </c>
    </row>
    <row r="189" spans="1:15" ht="14.25" customHeight="1">
      <c r="A189" s="2" t="s">
        <v>15</v>
      </c>
      <c r="B189" s="2">
        <v>1932</v>
      </c>
      <c r="C189" s="2" t="s">
        <v>22</v>
      </c>
      <c r="D189" s="2">
        <v>5541369</v>
      </c>
      <c r="J189" s="3">
        <f t="shared" si="0"/>
        <v>281516.40926640923</v>
      </c>
      <c r="K189" s="3" t="e">
        <f t="shared" si="1"/>
        <v>#N/A</v>
      </c>
      <c r="L189" s="3" t="e">
        <f t="shared" si="2"/>
        <v>#N/A</v>
      </c>
      <c r="M189" s="3" t="e">
        <f t="shared" si="3"/>
        <v>#N/A</v>
      </c>
      <c r="N189" s="3" t="e">
        <f t="shared" si="4"/>
        <v>#N/A</v>
      </c>
      <c r="O189" s="3" t="e">
        <f t="shared" si="5"/>
        <v>#N/A</v>
      </c>
    </row>
    <row r="190" spans="1:15" ht="14.25" customHeight="1">
      <c r="A190" s="2" t="s">
        <v>15</v>
      </c>
      <c r="B190" s="2">
        <v>1933</v>
      </c>
      <c r="C190" s="2" t="s">
        <v>22</v>
      </c>
      <c r="D190" s="2">
        <v>5533717</v>
      </c>
      <c r="J190" s="3">
        <f t="shared" si="0"/>
        <v>281127.66714082501</v>
      </c>
      <c r="K190" s="3" t="e">
        <f t="shared" si="1"/>
        <v>#N/A</v>
      </c>
      <c r="L190" s="3" t="e">
        <f t="shared" si="2"/>
        <v>#N/A</v>
      </c>
      <c r="M190" s="3" t="e">
        <f t="shared" si="3"/>
        <v>#N/A</v>
      </c>
      <c r="N190" s="3" t="e">
        <f t="shared" si="4"/>
        <v>#N/A</v>
      </c>
      <c r="O190" s="3" t="e">
        <f t="shared" si="5"/>
        <v>#N/A</v>
      </c>
    </row>
    <row r="191" spans="1:15" ht="14.25" customHeight="1">
      <c r="A191" s="2" t="s">
        <v>15</v>
      </c>
      <c r="B191" s="2">
        <v>1934</v>
      </c>
      <c r="C191" s="2" t="s">
        <v>22</v>
      </c>
      <c r="D191" s="2">
        <v>5549165</v>
      </c>
      <c r="J191" s="3">
        <f t="shared" si="0"/>
        <v>281912.46697825642</v>
      </c>
      <c r="K191" s="3" t="e">
        <f t="shared" si="1"/>
        <v>#N/A</v>
      </c>
      <c r="L191" s="3" t="e">
        <f t="shared" si="2"/>
        <v>#N/A</v>
      </c>
      <c r="M191" s="3" t="e">
        <f t="shared" si="3"/>
        <v>#N/A</v>
      </c>
      <c r="N191" s="3" t="e">
        <f t="shared" si="4"/>
        <v>#N/A</v>
      </c>
      <c r="O191" s="3" t="e">
        <f t="shared" si="5"/>
        <v>#N/A</v>
      </c>
    </row>
    <row r="192" spans="1:15" ht="14.25" customHeight="1">
      <c r="A192" s="2" t="s">
        <v>15</v>
      </c>
      <c r="B192" s="2">
        <v>1935</v>
      </c>
      <c r="C192" s="2" t="s">
        <v>22</v>
      </c>
      <c r="D192" s="2">
        <v>6096990</v>
      </c>
      <c r="F192" s="2">
        <f>56598+195452</f>
        <v>252050</v>
      </c>
      <c r="G192" s="2">
        <f>100937+275222</f>
        <v>376159</v>
      </c>
      <c r="H192" s="2">
        <f>392897+91586</f>
        <v>484483</v>
      </c>
      <c r="I192" s="2">
        <f>196498+100063</f>
        <v>296561</v>
      </c>
      <c r="J192" s="3">
        <f t="shared" si="0"/>
        <v>309743.44645397278</v>
      </c>
      <c r="K192" s="3" t="e">
        <f t="shared" si="1"/>
        <v>#N/A</v>
      </c>
      <c r="L192" s="3">
        <f t="shared" si="2"/>
        <v>12804.816094289778</v>
      </c>
      <c r="M192" s="3">
        <f t="shared" si="3"/>
        <v>376.15899999999999</v>
      </c>
      <c r="N192" s="3">
        <f t="shared" si="4"/>
        <v>24613.035968299126</v>
      </c>
      <c r="O192" s="3">
        <f t="shared" si="5"/>
        <v>296.56099999999998</v>
      </c>
    </row>
    <row r="193" spans="1:15" ht="14.25" customHeight="1">
      <c r="A193" s="2" t="s">
        <v>15</v>
      </c>
      <c r="B193" s="2">
        <v>1936</v>
      </c>
      <c r="C193" s="2" t="s">
        <v>22</v>
      </c>
      <c r="D193" s="2">
        <v>7092074</v>
      </c>
      <c r="J193" s="3">
        <f t="shared" si="0"/>
        <v>360296.38284901442</v>
      </c>
      <c r="K193" s="3" t="e">
        <f t="shared" si="1"/>
        <v>#N/A</v>
      </c>
      <c r="L193" s="3" t="e">
        <f t="shared" si="2"/>
        <v>#N/A</v>
      </c>
      <c r="M193" s="3" t="e">
        <f t="shared" si="3"/>
        <v>#N/A</v>
      </c>
      <c r="N193" s="3" t="e">
        <f t="shared" si="4"/>
        <v>#N/A</v>
      </c>
      <c r="O193" s="3" t="e">
        <f t="shared" si="5"/>
        <v>#N/A</v>
      </c>
    </row>
    <row r="194" spans="1:15" ht="14.25" customHeight="1">
      <c r="A194" s="2" t="s">
        <v>15</v>
      </c>
      <c r="B194" s="2">
        <v>1937</v>
      </c>
      <c r="C194" s="2" t="s">
        <v>22</v>
      </c>
      <c r="D194" s="2">
        <v>7510553</v>
      </c>
      <c r="J194" s="3">
        <f t="shared" si="0"/>
        <v>381556.23856939643</v>
      </c>
      <c r="K194" s="3" t="e">
        <f t="shared" si="1"/>
        <v>#N/A</v>
      </c>
      <c r="L194" s="3" t="e">
        <f t="shared" si="2"/>
        <v>#N/A</v>
      </c>
      <c r="M194" s="3" t="e">
        <f t="shared" si="3"/>
        <v>#N/A</v>
      </c>
      <c r="N194" s="3" t="e">
        <f t="shared" si="4"/>
        <v>#N/A</v>
      </c>
      <c r="O194" s="3" t="e">
        <f t="shared" si="5"/>
        <v>#N/A</v>
      </c>
    </row>
    <row r="195" spans="1:15" ht="14.25" customHeight="1">
      <c r="A195" s="2" t="s">
        <v>15</v>
      </c>
      <c r="B195" s="2">
        <v>1938</v>
      </c>
      <c r="C195" s="2" t="s">
        <v>22</v>
      </c>
      <c r="D195" s="2">
        <v>6994147</v>
      </c>
      <c r="J195" s="3">
        <f t="shared" si="0"/>
        <v>355321.42857142858</v>
      </c>
      <c r="K195" s="3" t="e">
        <f t="shared" si="1"/>
        <v>#N/A</v>
      </c>
      <c r="L195" s="3" t="e">
        <f t="shared" si="2"/>
        <v>#N/A</v>
      </c>
      <c r="M195" s="3" t="e">
        <f t="shared" si="3"/>
        <v>#N/A</v>
      </c>
      <c r="N195" s="3" t="e">
        <f t="shared" si="4"/>
        <v>#N/A</v>
      </c>
      <c r="O195" s="3" t="e">
        <f t="shared" si="5"/>
        <v>#N/A</v>
      </c>
    </row>
    <row r="196" spans="1:15" ht="14.25" customHeight="1">
      <c r="A196" s="2" t="s">
        <v>15</v>
      </c>
      <c r="B196" s="2">
        <v>1939</v>
      </c>
      <c r="C196" s="2" t="s">
        <v>22</v>
      </c>
      <c r="D196" s="2">
        <v>5209792</v>
      </c>
      <c r="J196" s="3">
        <f t="shared" si="0"/>
        <v>264671.40825035563</v>
      </c>
      <c r="K196" s="3" t="e">
        <f t="shared" si="1"/>
        <v>#N/A</v>
      </c>
      <c r="L196" s="3" t="e">
        <f t="shared" si="2"/>
        <v>#N/A</v>
      </c>
      <c r="M196" s="3" t="e">
        <f t="shared" si="3"/>
        <v>#N/A</v>
      </c>
      <c r="N196" s="3" t="e">
        <f t="shared" si="4"/>
        <v>#N/A</v>
      </c>
      <c r="O196" s="3" t="e">
        <f t="shared" si="5"/>
        <v>#N/A</v>
      </c>
    </row>
    <row r="197" spans="1:15" ht="14.25" customHeight="1">
      <c r="A197" s="2" t="s">
        <v>15</v>
      </c>
      <c r="B197" s="2">
        <v>1940</v>
      </c>
      <c r="C197" s="2" t="s">
        <v>22</v>
      </c>
      <c r="D197" s="2">
        <v>1258513</v>
      </c>
      <c r="F197" s="2">
        <f>5418+58525</f>
        <v>63943</v>
      </c>
      <c r="G197" s="2">
        <f>16211+127557</f>
        <v>143768</v>
      </c>
      <c r="H197" s="2">
        <f>1781794+44968</f>
        <v>1826762</v>
      </c>
      <c r="I197" s="2">
        <f>3274837+76048</f>
        <v>3350885</v>
      </c>
      <c r="J197" s="3">
        <f t="shared" si="0"/>
        <v>63935.836212151997</v>
      </c>
      <c r="K197" s="3" t="e">
        <f t="shared" si="1"/>
        <v>#N/A</v>
      </c>
      <c r="L197" s="3">
        <f t="shared" si="2"/>
        <v>3248.475919528551</v>
      </c>
      <c r="M197" s="3">
        <f t="shared" si="3"/>
        <v>143.768</v>
      </c>
      <c r="N197" s="3">
        <f t="shared" si="4"/>
        <v>92804.40967283072</v>
      </c>
      <c r="O197" s="3">
        <f t="shared" si="5"/>
        <v>3350.8850000000002</v>
      </c>
    </row>
    <row r="198" spans="1:15" ht="14.25" customHeight="1">
      <c r="A198" s="2" t="s">
        <v>15</v>
      </c>
      <c r="B198" s="2">
        <v>1941</v>
      </c>
      <c r="C198" s="2" t="s">
        <v>22</v>
      </c>
      <c r="D198" s="2">
        <v>863537</v>
      </c>
      <c r="J198" s="3">
        <f t="shared" si="0"/>
        <v>43869.99593578541</v>
      </c>
      <c r="K198" s="3" t="e">
        <f t="shared" si="1"/>
        <v>#N/A</v>
      </c>
      <c r="L198" s="3" t="e">
        <f t="shared" si="2"/>
        <v>#N/A</v>
      </c>
      <c r="M198" s="3" t="e">
        <f t="shared" si="3"/>
        <v>#N/A</v>
      </c>
      <c r="N198" s="3" t="e">
        <f t="shared" si="4"/>
        <v>#N/A</v>
      </c>
      <c r="O198" s="3" t="e">
        <f t="shared" si="5"/>
        <v>#N/A</v>
      </c>
    </row>
    <row r="199" spans="1:15" ht="14.25" customHeight="1">
      <c r="A199" s="2" t="s">
        <v>15</v>
      </c>
      <c r="B199" s="2">
        <v>1942</v>
      </c>
      <c r="C199" s="2" t="s">
        <v>22</v>
      </c>
      <c r="D199" s="2">
        <v>1073432</v>
      </c>
      <c r="F199" s="2">
        <f>180+63546</f>
        <v>63726</v>
      </c>
      <c r="G199" s="2">
        <f>586+245997</f>
        <v>246583</v>
      </c>
      <c r="H199" s="2">
        <f>1699570+1215</f>
        <v>1700785</v>
      </c>
      <c r="I199" s="2">
        <f>5551176+6386</f>
        <v>5557562</v>
      </c>
      <c r="J199" s="3">
        <f t="shared" si="0"/>
        <v>54533.224954277583</v>
      </c>
      <c r="K199" s="3" t="e">
        <f t="shared" si="1"/>
        <v>#N/A</v>
      </c>
      <c r="L199" s="3">
        <f t="shared" si="2"/>
        <v>3237.4517374517372</v>
      </c>
      <c r="M199" s="3">
        <f t="shared" si="3"/>
        <v>246.583</v>
      </c>
      <c r="N199" s="3">
        <f t="shared" si="4"/>
        <v>86404.440154440148</v>
      </c>
      <c r="O199" s="3">
        <f t="shared" si="5"/>
        <v>5557.5619999999999</v>
      </c>
    </row>
    <row r="200" spans="1:15" ht="14.25" customHeight="1">
      <c r="A200" s="2" t="s">
        <v>15</v>
      </c>
      <c r="B200" s="2">
        <v>1943</v>
      </c>
      <c r="C200" s="2" t="s">
        <v>22</v>
      </c>
      <c r="D200" s="2">
        <v>1413433</v>
      </c>
      <c r="J200" s="3">
        <f t="shared" si="0"/>
        <v>71806.18776671408</v>
      </c>
      <c r="K200" s="3" t="e">
        <f t="shared" si="1"/>
        <v>#N/A</v>
      </c>
      <c r="L200" s="3" t="e">
        <f t="shared" si="2"/>
        <v>#N/A</v>
      </c>
      <c r="M200" s="3" t="e">
        <f t="shared" si="3"/>
        <v>#N/A</v>
      </c>
      <c r="N200" s="3" t="e">
        <f t="shared" si="4"/>
        <v>#N/A</v>
      </c>
      <c r="O200" s="3" t="e">
        <f t="shared" si="5"/>
        <v>#N/A</v>
      </c>
    </row>
    <row r="201" spans="1:15" ht="14.25" customHeight="1">
      <c r="A201" s="2" t="s">
        <v>15</v>
      </c>
      <c r="B201" s="2">
        <v>1944</v>
      </c>
      <c r="C201" s="2" t="s">
        <v>22</v>
      </c>
      <c r="D201" s="2">
        <v>1510356</v>
      </c>
      <c r="F201" s="2">
        <v>0</v>
      </c>
      <c r="G201" s="2">
        <v>0</v>
      </c>
      <c r="H201" s="2">
        <f>2404470+23839</f>
        <v>2428309</v>
      </c>
      <c r="I201" s="2">
        <f>8203167+86753</f>
        <v>8289920</v>
      </c>
      <c r="J201" s="3">
        <f t="shared" si="0"/>
        <v>76730.136151188781</v>
      </c>
      <c r="K201" s="3" t="e">
        <f t="shared" si="1"/>
        <v>#N/A</v>
      </c>
      <c r="L201" s="3">
        <f t="shared" si="2"/>
        <v>0</v>
      </c>
      <c r="M201" s="3">
        <f t="shared" si="3"/>
        <v>0</v>
      </c>
      <c r="N201" s="3">
        <f t="shared" si="4"/>
        <v>123364.61085145295</v>
      </c>
      <c r="O201" s="3">
        <f t="shared" si="5"/>
        <v>8289.92</v>
      </c>
    </row>
    <row r="202" spans="1:15" ht="14.25" customHeight="1">
      <c r="A202" s="2" t="s">
        <v>15</v>
      </c>
      <c r="B202" s="2">
        <v>1945</v>
      </c>
      <c r="C202" s="2" t="s">
        <v>22</v>
      </c>
      <c r="D202" s="2">
        <v>2378334</v>
      </c>
      <c r="J202" s="3">
        <f t="shared" si="0"/>
        <v>120825.746799431</v>
      </c>
      <c r="K202" s="3" t="e">
        <f t="shared" si="1"/>
        <v>#N/A</v>
      </c>
      <c r="L202" s="3" t="e">
        <f t="shared" si="2"/>
        <v>#N/A</v>
      </c>
      <c r="M202" s="3" t="e">
        <f t="shared" si="3"/>
        <v>#N/A</v>
      </c>
      <c r="N202" s="3" t="e">
        <f t="shared" si="4"/>
        <v>#N/A</v>
      </c>
      <c r="O202" s="3" t="e">
        <f t="shared" si="5"/>
        <v>#N/A</v>
      </c>
    </row>
    <row r="203" spans="1:15" ht="14.25" customHeight="1">
      <c r="A203" s="2" t="s">
        <v>15</v>
      </c>
      <c r="B203" s="2">
        <v>1946</v>
      </c>
      <c r="C203" s="2" t="s">
        <v>22</v>
      </c>
      <c r="D203" s="2">
        <v>5636102</v>
      </c>
      <c r="F203" s="2">
        <f>1508+7262</f>
        <v>8770</v>
      </c>
      <c r="G203" s="2">
        <f>7334+40556</f>
        <v>47890</v>
      </c>
      <c r="H203" s="2">
        <f>1772189+478</f>
        <v>1772667</v>
      </c>
      <c r="I203" s="2">
        <f>4894835+2873</f>
        <v>4897708</v>
      </c>
      <c r="J203" s="3">
        <f t="shared" si="0"/>
        <v>286329.09977646818</v>
      </c>
      <c r="K203" s="3" t="e">
        <f t="shared" si="1"/>
        <v>#N/A</v>
      </c>
      <c r="L203" s="3">
        <f t="shared" si="2"/>
        <v>445.5395244868929</v>
      </c>
      <c r="M203" s="3">
        <f t="shared" si="3"/>
        <v>47.89</v>
      </c>
      <c r="N203" s="3">
        <f t="shared" si="4"/>
        <v>90056.238569396461</v>
      </c>
      <c r="O203" s="3">
        <f t="shared" si="5"/>
        <v>4897.7079999999996</v>
      </c>
    </row>
    <row r="204" spans="1:15" ht="14.25" customHeight="1">
      <c r="A204" s="2" t="s">
        <v>15</v>
      </c>
      <c r="B204" s="2">
        <v>1947</v>
      </c>
      <c r="C204" s="2" t="s">
        <v>22</v>
      </c>
      <c r="D204" s="2">
        <v>6280398</v>
      </c>
      <c r="J204" s="3">
        <f t="shared" si="0"/>
        <v>319061.0648242227</v>
      </c>
      <c r="K204" s="3" t="e">
        <f t="shared" si="1"/>
        <v>#N/A</v>
      </c>
      <c r="L204" s="3" t="e">
        <f t="shared" si="2"/>
        <v>#N/A</v>
      </c>
      <c r="M204" s="3" t="e">
        <f t="shared" si="3"/>
        <v>#N/A</v>
      </c>
      <c r="N204" s="3" t="e">
        <f t="shared" si="4"/>
        <v>#N/A</v>
      </c>
      <c r="O204" s="3" t="e">
        <f t="shared" si="5"/>
        <v>#N/A</v>
      </c>
    </row>
    <row r="205" spans="1:15" ht="14.25" customHeight="1">
      <c r="A205" s="2" t="s">
        <v>15</v>
      </c>
      <c r="B205" s="2">
        <v>1948</v>
      </c>
      <c r="C205" s="2" t="s">
        <v>22</v>
      </c>
      <c r="D205" s="2">
        <v>6754097</v>
      </c>
      <c r="J205" s="3">
        <f t="shared" si="0"/>
        <v>343126.24466571835</v>
      </c>
      <c r="K205" s="3" t="e">
        <f t="shared" si="1"/>
        <v>#N/A</v>
      </c>
      <c r="L205" s="3" t="e">
        <f t="shared" si="2"/>
        <v>#N/A</v>
      </c>
      <c r="M205" s="3" t="e">
        <f t="shared" si="3"/>
        <v>#N/A</v>
      </c>
      <c r="N205" s="3" t="e">
        <f t="shared" si="4"/>
        <v>#N/A</v>
      </c>
      <c r="O205" s="3" t="e">
        <f t="shared" si="5"/>
        <v>#N/A</v>
      </c>
    </row>
    <row r="206" spans="1:15" ht="14.25" customHeight="1">
      <c r="A206" s="2" t="s">
        <v>15</v>
      </c>
      <c r="B206" s="2">
        <v>1949</v>
      </c>
      <c r="C206" s="2" t="s">
        <v>22</v>
      </c>
      <c r="D206" s="2">
        <v>7636881</v>
      </c>
      <c r="J206" s="3">
        <f t="shared" si="0"/>
        <v>387974.03982930299</v>
      </c>
      <c r="K206" s="3" t="e">
        <f t="shared" si="1"/>
        <v>#N/A</v>
      </c>
      <c r="L206" s="3" t="e">
        <f t="shared" si="2"/>
        <v>#N/A</v>
      </c>
      <c r="M206" s="3" t="e">
        <f t="shared" si="3"/>
        <v>#N/A</v>
      </c>
      <c r="N206" s="3" t="e">
        <f t="shared" si="4"/>
        <v>#N/A</v>
      </c>
      <c r="O206" s="3" t="e">
        <f t="shared" si="5"/>
        <v>#N/A</v>
      </c>
    </row>
    <row r="207" spans="1:15" ht="14.25" customHeight="1">
      <c r="A207" s="2" t="s">
        <v>15</v>
      </c>
      <c r="B207" s="2">
        <v>1950</v>
      </c>
      <c r="C207" s="2" t="s">
        <v>22</v>
      </c>
      <c r="D207" s="2">
        <v>6438714</v>
      </c>
      <c r="F207" s="2">
        <v>94336</v>
      </c>
      <c r="G207" s="2">
        <v>669657</v>
      </c>
      <c r="H207" s="2">
        <f>521559</f>
        <v>521559</v>
      </c>
      <c r="I207" s="2">
        <v>1032185</v>
      </c>
      <c r="J207" s="3">
        <f t="shared" si="0"/>
        <v>327103.94228815282</v>
      </c>
      <c r="K207" s="3" t="e">
        <f t="shared" si="1"/>
        <v>#N/A</v>
      </c>
      <c r="L207" s="3">
        <f t="shared" si="2"/>
        <v>4792.5218451534238</v>
      </c>
      <c r="M207" s="3">
        <f t="shared" si="3"/>
        <v>669.65700000000004</v>
      </c>
      <c r="N207" s="3">
        <f t="shared" si="4"/>
        <v>26496.596220280429</v>
      </c>
      <c r="O207" s="3">
        <f t="shared" si="5"/>
        <v>1032.1849999999999</v>
      </c>
    </row>
    <row r="208" spans="1:15" ht="14.25" customHeight="1">
      <c r="A208" s="2" t="s">
        <v>15</v>
      </c>
      <c r="B208" s="2">
        <v>1951</v>
      </c>
      <c r="C208" s="2" t="s">
        <v>22</v>
      </c>
      <c r="D208" s="2">
        <v>7440657</v>
      </c>
      <c r="J208" s="3">
        <f t="shared" si="0"/>
        <v>378005.33428165002</v>
      </c>
      <c r="K208" s="3" t="e">
        <f t="shared" si="1"/>
        <v>#N/A</v>
      </c>
      <c r="L208" s="3" t="e">
        <f t="shared" si="2"/>
        <v>#N/A</v>
      </c>
      <c r="M208" s="3" t="e">
        <f t="shared" si="3"/>
        <v>#N/A</v>
      </c>
      <c r="N208" s="3" t="e">
        <f t="shared" si="4"/>
        <v>#N/A</v>
      </c>
      <c r="O208" s="3" t="e">
        <f t="shared" si="5"/>
        <v>#N/A</v>
      </c>
    </row>
    <row r="209" spans="1:15" ht="14.25" customHeight="1">
      <c r="A209" s="2" t="s">
        <v>15</v>
      </c>
      <c r="B209" s="2">
        <v>1952</v>
      </c>
      <c r="C209" s="2" t="s">
        <v>22</v>
      </c>
      <c r="D209" s="2">
        <v>7566554</v>
      </c>
      <c r="J209" s="3">
        <f t="shared" si="0"/>
        <v>384401.23958545009</v>
      </c>
      <c r="K209" s="3" t="e">
        <f t="shared" si="1"/>
        <v>#N/A</v>
      </c>
      <c r="L209" s="3" t="e">
        <f t="shared" si="2"/>
        <v>#N/A</v>
      </c>
      <c r="M209" s="3" t="e">
        <f t="shared" si="3"/>
        <v>#N/A</v>
      </c>
      <c r="N209" s="3" t="e">
        <f t="shared" si="4"/>
        <v>#N/A</v>
      </c>
      <c r="O209" s="3" t="e">
        <f t="shared" si="5"/>
        <v>#N/A</v>
      </c>
    </row>
    <row r="210" spans="1:15" ht="14.25" customHeight="1">
      <c r="A210" s="2" t="s">
        <v>15</v>
      </c>
      <c r="B210" s="2">
        <v>1953</v>
      </c>
      <c r="C210" s="2" t="s">
        <v>22</v>
      </c>
      <c r="D210" s="2">
        <v>7123908</v>
      </c>
      <c r="J210" s="3">
        <f t="shared" si="0"/>
        <v>361913.63543995121</v>
      </c>
      <c r="K210" s="3" t="e">
        <f t="shared" si="1"/>
        <v>#N/A</v>
      </c>
      <c r="L210" s="3" t="e">
        <f t="shared" si="2"/>
        <v>#N/A</v>
      </c>
      <c r="M210" s="3" t="e">
        <f t="shared" si="3"/>
        <v>#N/A</v>
      </c>
      <c r="N210" s="3" t="e">
        <f t="shared" si="4"/>
        <v>#N/A</v>
      </c>
      <c r="O210" s="3" t="e">
        <f t="shared" si="5"/>
        <v>#N/A</v>
      </c>
    </row>
    <row r="211" spans="1:15" ht="14.25" customHeight="1">
      <c r="A211" s="2" t="s">
        <v>15</v>
      </c>
      <c r="B211" s="2">
        <v>1954</v>
      </c>
      <c r="C211" s="2" t="s">
        <v>22</v>
      </c>
      <c r="D211" s="2">
        <v>7090119</v>
      </c>
      <c r="J211" s="3">
        <f t="shared" si="0"/>
        <v>360197.0636049583</v>
      </c>
      <c r="K211" s="3" t="e">
        <f t="shared" si="1"/>
        <v>#N/A</v>
      </c>
      <c r="L211" s="3" t="e">
        <f t="shared" si="2"/>
        <v>#N/A</v>
      </c>
      <c r="M211" s="3" t="e">
        <f t="shared" si="3"/>
        <v>#N/A</v>
      </c>
      <c r="N211" s="3" t="e">
        <f t="shared" si="4"/>
        <v>#N/A</v>
      </c>
      <c r="O211" s="3" t="e">
        <f t="shared" si="5"/>
        <v>#N/A</v>
      </c>
    </row>
    <row r="212" spans="1:15" ht="14.25" customHeight="1">
      <c r="A212" s="2" t="s">
        <v>15</v>
      </c>
      <c r="B212" s="2">
        <v>1955</v>
      </c>
      <c r="C212" s="2" t="s">
        <v>22</v>
      </c>
      <c r="D212" s="2">
        <v>7453362</v>
      </c>
      <c r="F212" s="2">
        <v>125347</v>
      </c>
      <c r="G212" s="2">
        <v>735116</v>
      </c>
      <c r="H212" s="2">
        <f>315272</f>
        <v>315272</v>
      </c>
      <c r="I212" s="2">
        <f>614214</f>
        <v>614214</v>
      </c>
      <c r="J212" s="3">
        <f t="shared" si="0"/>
        <v>378650.78236130864</v>
      </c>
      <c r="K212" s="3" t="e">
        <f t="shared" si="1"/>
        <v>#N/A</v>
      </c>
      <c r="L212" s="3">
        <f t="shared" si="2"/>
        <v>6367.9638284901439</v>
      </c>
      <c r="M212" s="3">
        <f t="shared" si="3"/>
        <v>735.11599999999999</v>
      </c>
      <c r="N212" s="3">
        <f t="shared" si="4"/>
        <v>16016.663279821174</v>
      </c>
      <c r="O212" s="3">
        <f t="shared" si="5"/>
        <v>614.21400000000006</v>
      </c>
    </row>
    <row r="213" spans="1:15" ht="14.25" customHeight="1">
      <c r="A213" s="2" t="s">
        <v>15</v>
      </c>
      <c r="B213" s="2">
        <v>1956</v>
      </c>
      <c r="C213" s="2" t="s">
        <v>22</v>
      </c>
      <c r="D213" s="2">
        <v>7752000</v>
      </c>
      <c r="E213" s="2">
        <v>18641000</v>
      </c>
      <c r="J213" s="3">
        <f t="shared" si="0"/>
        <v>393822.39382239379</v>
      </c>
      <c r="K213" s="3">
        <f t="shared" si="1"/>
        <v>18641</v>
      </c>
      <c r="L213" s="3" t="e">
        <f t="shared" si="2"/>
        <v>#N/A</v>
      </c>
      <c r="M213" s="3" t="e">
        <f t="shared" si="3"/>
        <v>#N/A</v>
      </c>
      <c r="N213" s="3" t="e">
        <f t="shared" si="4"/>
        <v>#N/A</v>
      </c>
      <c r="O213" s="3" t="e">
        <f t="shared" si="5"/>
        <v>#N/A</v>
      </c>
    </row>
    <row r="214" spans="1:15" ht="14.25" customHeight="1">
      <c r="A214" s="2" t="s">
        <v>15</v>
      </c>
      <c r="B214" s="2">
        <v>1957</v>
      </c>
      <c r="C214" s="2" t="s">
        <v>22</v>
      </c>
      <c r="D214" s="2">
        <v>6774000</v>
      </c>
      <c r="E214" s="2">
        <v>19233000</v>
      </c>
      <c r="J214" s="3">
        <f t="shared" si="0"/>
        <v>344137.37045315991</v>
      </c>
      <c r="K214" s="3">
        <f t="shared" si="1"/>
        <v>19233</v>
      </c>
      <c r="L214" s="3" t="e">
        <f t="shared" si="2"/>
        <v>#N/A</v>
      </c>
      <c r="M214" s="3" t="e">
        <f t="shared" si="3"/>
        <v>#N/A</v>
      </c>
      <c r="N214" s="3" t="e">
        <f t="shared" si="4"/>
        <v>#N/A</v>
      </c>
      <c r="O214" s="3" t="e">
        <f t="shared" si="5"/>
        <v>#N/A</v>
      </c>
    </row>
    <row r="215" spans="1:15" ht="14.25" customHeight="1">
      <c r="A215" s="2" t="s">
        <v>15</v>
      </c>
      <c r="B215" s="2">
        <v>1958</v>
      </c>
      <c r="C215" s="2" t="s">
        <v>22</v>
      </c>
      <c r="D215" s="2">
        <v>6748000</v>
      </c>
      <c r="E215" s="2">
        <v>20345000</v>
      </c>
      <c r="J215" s="3">
        <f t="shared" si="0"/>
        <v>342816.50071123755</v>
      </c>
      <c r="K215" s="3">
        <f t="shared" si="1"/>
        <v>20345</v>
      </c>
      <c r="L215" s="3" t="e">
        <f t="shared" si="2"/>
        <v>#N/A</v>
      </c>
      <c r="M215" s="3" t="e">
        <f t="shared" si="3"/>
        <v>#N/A</v>
      </c>
      <c r="N215" s="3" t="e">
        <f t="shared" si="4"/>
        <v>#N/A</v>
      </c>
      <c r="O215" s="3" t="e">
        <f t="shared" si="5"/>
        <v>#N/A</v>
      </c>
    </row>
    <row r="216" spans="1:15" ht="14.25" customHeight="1">
      <c r="A216" s="2" t="s">
        <v>15</v>
      </c>
      <c r="B216" s="2">
        <v>1959</v>
      </c>
      <c r="C216" s="2" t="s">
        <v>22</v>
      </c>
      <c r="D216" s="2">
        <v>6720000</v>
      </c>
      <c r="E216" s="2">
        <v>20731000</v>
      </c>
      <c r="J216" s="3">
        <f t="shared" si="0"/>
        <v>341394.02560455189</v>
      </c>
      <c r="K216" s="3">
        <f t="shared" si="1"/>
        <v>20731</v>
      </c>
      <c r="L216" s="3" t="e">
        <f t="shared" si="2"/>
        <v>#N/A</v>
      </c>
      <c r="M216" s="3" t="e">
        <f t="shared" si="3"/>
        <v>#N/A</v>
      </c>
      <c r="N216" s="3" t="e">
        <f t="shared" si="4"/>
        <v>#N/A</v>
      </c>
      <c r="O216" s="3" t="e">
        <f t="shared" si="5"/>
        <v>#N/A</v>
      </c>
    </row>
    <row r="217" spans="1:15" ht="14.25" customHeight="1">
      <c r="A217" s="2" t="s">
        <v>15</v>
      </c>
      <c r="B217" s="2">
        <v>1960</v>
      </c>
      <c r="C217" s="2" t="s">
        <v>22</v>
      </c>
      <c r="D217" s="2">
        <v>6193000</v>
      </c>
      <c r="E217" s="2">
        <v>20771000</v>
      </c>
      <c r="F217" s="2">
        <f>62300</f>
        <v>62300</v>
      </c>
      <c r="G217" s="2">
        <f>515993</f>
        <v>515993</v>
      </c>
      <c r="H217" s="2">
        <f>736420</f>
        <v>736420</v>
      </c>
      <c r="I217" s="2">
        <f>2914111</f>
        <v>2914111</v>
      </c>
      <c r="J217" s="3">
        <f t="shared" si="0"/>
        <v>314621.01198943303</v>
      </c>
      <c r="K217" s="3">
        <f t="shared" si="1"/>
        <v>20771</v>
      </c>
      <c r="L217" s="3">
        <f t="shared" si="2"/>
        <v>3165.0071123755333</v>
      </c>
      <c r="M217" s="3">
        <f t="shared" si="3"/>
        <v>515.99300000000005</v>
      </c>
      <c r="N217" s="3">
        <f t="shared" si="4"/>
        <v>37412.111359479779</v>
      </c>
      <c r="O217" s="3">
        <f t="shared" si="5"/>
        <v>2914.1109999999999</v>
      </c>
    </row>
    <row r="218" spans="1:15" ht="14.25" customHeight="1">
      <c r="A218" s="2" t="s">
        <v>15</v>
      </c>
      <c r="B218" s="2">
        <v>1961</v>
      </c>
      <c r="C218" s="2" t="s">
        <v>22</v>
      </c>
      <c r="D218" s="2">
        <v>5745000</v>
      </c>
      <c r="E218" s="2">
        <v>19589000</v>
      </c>
      <c r="J218" s="3">
        <f t="shared" si="0"/>
        <v>291861.41028246289</v>
      </c>
      <c r="K218" s="3">
        <f t="shared" si="1"/>
        <v>19589</v>
      </c>
      <c r="L218" s="3" t="e">
        <f t="shared" si="2"/>
        <v>#N/A</v>
      </c>
      <c r="M218" s="3" t="e">
        <f t="shared" si="3"/>
        <v>#N/A</v>
      </c>
      <c r="N218" s="3" t="e">
        <f t="shared" si="4"/>
        <v>#N/A</v>
      </c>
      <c r="O218" s="3" t="e">
        <f t="shared" si="5"/>
        <v>#N/A</v>
      </c>
    </row>
    <row r="219" spans="1:15" ht="14.25" customHeight="1">
      <c r="A219" s="2" t="s">
        <v>15</v>
      </c>
      <c r="B219" s="2">
        <v>1962</v>
      </c>
      <c r="C219" s="2" t="s">
        <v>22</v>
      </c>
      <c r="D219" s="2">
        <v>6304000</v>
      </c>
      <c r="E219" s="2">
        <v>19188000</v>
      </c>
      <c r="J219" s="3">
        <f t="shared" si="0"/>
        <v>320260.10973379394</v>
      </c>
      <c r="K219" s="3">
        <f t="shared" si="1"/>
        <v>19188</v>
      </c>
      <c r="L219" s="3" t="e">
        <f t="shared" si="2"/>
        <v>#N/A</v>
      </c>
      <c r="M219" s="3" t="e">
        <f t="shared" si="3"/>
        <v>#N/A</v>
      </c>
      <c r="N219" s="3" t="e">
        <f t="shared" si="4"/>
        <v>#N/A</v>
      </c>
      <c r="O219" s="3" t="e">
        <f t="shared" si="5"/>
        <v>#N/A</v>
      </c>
    </row>
    <row r="220" spans="1:15" ht="14.25" customHeight="1">
      <c r="A220" s="2" t="s">
        <v>15</v>
      </c>
      <c r="B220" s="2">
        <v>1963</v>
      </c>
      <c r="C220" s="2" t="s">
        <v>22</v>
      </c>
      <c r="D220" s="2">
        <v>6329000</v>
      </c>
      <c r="E220" s="2">
        <v>21561000</v>
      </c>
      <c r="J220" s="3">
        <f t="shared" si="0"/>
        <v>321530.17679333466</v>
      </c>
      <c r="K220" s="3">
        <f t="shared" si="1"/>
        <v>21561</v>
      </c>
      <c r="L220" s="3" t="e">
        <f t="shared" si="2"/>
        <v>#N/A</v>
      </c>
      <c r="M220" s="3" t="e">
        <f t="shared" si="3"/>
        <v>#N/A</v>
      </c>
      <c r="N220" s="3" t="e">
        <f t="shared" si="4"/>
        <v>#N/A</v>
      </c>
      <c r="O220" s="3" t="e">
        <f t="shared" si="5"/>
        <v>#N/A</v>
      </c>
    </row>
    <row r="221" spans="1:15" ht="14.25" customHeight="1">
      <c r="A221" s="2" t="s">
        <v>15</v>
      </c>
      <c r="B221" s="2">
        <v>1964</v>
      </c>
      <c r="C221" s="2" t="s">
        <v>22</v>
      </c>
      <c r="D221" s="2">
        <v>5902000</v>
      </c>
      <c r="E221" s="2">
        <v>23093000</v>
      </c>
      <c r="J221" s="3">
        <f t="shared" si="0"/>
        <v>299837.43141637876</v>
      </c>
      <c r="K221" s="3">
        <f t="shared" si="1"/>
        <v>23093</v>
      </c>
      <c r="L221" s="3" t="e">
        <f t="shared" si="2"/>
        <v>#N/A</v>
      </c>
      <c r="M221" s="3" t="e">
        <f t="shared" si="3"/>
        <v>#N/A</v>
      </c>
      <c r="N221" s="3" t="e">
        <f t="shared" si="4"/>
        <v>#N/A</v>
      </c>
      <c r="O221" s="3" t="e">
        <f t="shared" si="5"/>
        <v>#N/A</v>
      </c>
    </row>
    <row r="222" spans="1:15" ht="14.25" customHeight="1">
      <c r="A222" s="2" t="s">
        <v>15</v>
      </c>
      <c r="B222" s="2">
        <v>1900</v>
      </c>
      <c r="C222" s="2" t="s">
        <v>23</v>
      </c>
      <c r="D222" s="4">
        <v>3260862</v>
      </c>
      <c r="E222" s="4">
        <v>2210595</v>
      </c>
      <c r="F222" s="2" t="s">
        <v>17</v>
      </c>
      <c r="G222" s="2" t="s">
        <v>17</v>
      </c>
      <c r="H222" s="2" t="s">
        <v>17</v>
      </c>
      <c r="I222" s="2" t="s">
        <v>17</v>
      </c>
      <c r="J222" s="3">
        <f t="shared" si="0"/>
        <v>165660.53647632594</v>
      </c>
      <c r="K222" s="3">
        <f t="shared" si="1"/>
        <v>2210.5949999999998</v>
      </c>
      <c r="L222" s="3" t="e">
        <f t="shared" si="2"/>
        <v>#VALUE!</v>
      </c>
      <c r="M222" s="3" t="e">
        <f t="shared" si="3"/>
        <v>#VALUE!</v>
      </c>
      <c r="N222" s="3" t="e">
        <f t="shared" si="4"/>
        <v>#VALUE!</v>
      </c>
      <c r="O222" s="3" t="e">
        <f t="shared" si="5"/>
        <v>#VALUE!</v>
      </c>
    </row>
    <row r="223" spans="1:15" ht="14.25" customHeight="1">
      <c r="A223" s="2" t="s">
        <v>15</v>
      </c>
      <c r="B223" s="2">
        <v>1901</v>
      </c>
      <c r="C223" s="2" t="s">
        <v>23</v>
      </c>
      <c r="D223" s="4">
        <v>3193819</v>
      </c>
      <c r="E223" s="4">
        <v>2237195</v>
      </c>
      <c r="J223" s="3">
        <f t="shared" si="0"/>
        <v>162254.57224141434</v>
      </c>
      <c r="K223" s="3">
        <f t="shared" si="1"/>
        <v>2237.1950000000002</v>
      </c>
      <c r="L223" s="3" t="e">
        <f t="shared" si="2"/>
        <v>#N/A</v>
      </c>
      <c r="M223" s="3" t="e">
        <f t="shared" si="3"/>
        <v>#N/A</v>
      </c>
      <c r="N223" s="3" t="e">
        <f t="shared" si="4"/>
        <v>#N/A</v>
      </c>
      <c r="O223" s="3" t="e">
        <f t="shared" si="5"/>
        <v>#N/A</v>
      </c>
    </row>
    <row r="224" spans="1:15" ht="14.25" customHeight="1">
      <c r="A224" s="2" t="s">
        <v>15</v>
      </c>
      <c r="B224" s="2">
        <v>1902</v>
      </c>
      <c r="C224" s="2" t="s">
        <v>23</v>
      </c>
      <c r="D224" s="4">
        <v>2941204</v>
      </c>
      <c r="E224" s="4">
        <v>1787942</v>
      </c>
      <c r="J224" s="3">
        <f t="shared" si="0"/>
        <v>149421.05263157893</v>
      </c>
      <c r="K224" s="3">
        <f t="shared" si="1"/>
        <v>1787.942</v>
      </c>
      <c r="L224" s="3" t="e">
        <f t="shared" si="2"/>
        <v>#N/A</v>
      </c>
      <c r="M224" s="3" t="e">
        <f t="shared" si="3"/>
        <v>#N/A</v>
      </c>
      <c r="N224" s="3" t="e">
        <f t="shared" si="4"/>
        <v>#N/A</v>
      </c>
      <c r="O224" s="3" t="e">
        <f t="shared" si="5"/>
        <v>#N/A</v>
      </c>
    </row>
    <row r="225" spans="1:15" ht="14.25" customHeight="1">
      <c r="A225" s="2" t="s">
        <v>15</v>
      </c>
      <c r="B225" s="2">
        <v>1903</v>
      </c>
      <c r="C225" s="2" t="s">
        <v>23</v>
      </c>
      <c r="J225" s="3" t="e">
        <f t="shared" si="0"/>
        <v>#N/A</v>
      </c>
      <c r="K225" s="3" t="e">
        <f t="shared" si="1"/>
        <v>#N/A</v>
      </c>
      <c r="L225" s="3" t="e">
        <f t="shared" si="2"/>
        <v>#N/A</v>
      </c>
      <c r="M225" s="3" t="e">
        <f t="shared" si="3"/>
        <v>#N/A</v>
      </c>
      <c r="N225" s="3" t="e">
        <f t="shared" si="4"/>
        <v>#N/A</v>
      </c>
      <c r="O225" s="3" t="e">
        <f t="shared" si="5"/>
        <v>#N/A</v>
      </c>
    </row>
    <row r="226" spans="1:15" ht="14.25" customHeight="1">
      <c r="A226" s="2" t="s">
        <v>15</v>
      </c>
      <c r="B226" s="2">
        <v>1904</v>
      </c>
      <c r="C226" s="2" t="s">
        <v>23</v>
      </c>
      <c r="J226" s="3" t="e">
        <f t="shared" si="0"/>
        <v>#N/A</v>
      </c>
      <c r="K226" s="3" t="e">
        <f t="shared" si="1"/>
        <v>#N/A</v>
      </c>
      <c r="L226" s="3" t="e">
        <f t="shared" si="2"/>
        <v>#N/A</v>
      </c>
      <c r="M226" s="3" t="e">
        <f t="shared" si="3"/>
        <v>#N/A</v>
      </c>
      <c r="N226" s="3" t="e">
        <f t="shared" si="4"/>
        <v>#N/A</v>
      </c>
      <c r="O226" s="3" t="e">
        <f t="shared" si="5"/>
        <v>#N/A</v>
      </c>
    </row>
    <row r="227" spans="1:15" ht="14.25" customHeight="1">
      <c r="A227" s="2" t="s">
        <v>15</v>
      </c>
      <c r="B227" s="2">
        <v>1905</v>
      </c>
      <c r="C227" s="2" t="s">
        <v>23</v>
      </c>
      <c r="F227" s="2" t="s">
        <v>17</v>
      </c>
      <c r="G227" s="2" t="s">
        <v>17</v>
      </c>
      <c r="H227" s="2" t="s">
        <v>17</v>
      </c>
      <c r="I227" s="2" t="s">
        <v>17</v>
      </c>
      <c r="J227" s="3" t="e">
        <f t="shared" si="0"/>
        <v>#N/A</v>
      </c>
      <c r="K227" s="3" t="e">
        <f t="shared" si="1"/>
        <v>#N/A</v>
      </c>
      <c r="L227" s="3" t="e">
        <f t="shared" si="2"/>
        <v>#VALUE!</v>
      </c>
      <c r="M227" s="3" t="e">
        <f t="shared" si="3"/>
        <v>#VALUE!</v>
      </c>
      <c r="N227" s="3" t="e">
        <f t="shared" si="4"/>
        <v>#VALUE!</v>
      </c>
      <c r="O227" s="3" t="e">
        <f t="shared" si="5"/>
        <v>#VALUE!</v>
      </c>
    </row>
    <row r="228" spans="1:15" ht="14.25" customHeight="1">
      <c r="A228" s="2" t="s">
        <v>15</v>
      </c>
      <c r="B228" s="2">
        <v>1906</v>
      </c>
      <c r="C228" s="2" t="s">
        <v>23</v>
      </c>
      <c r="J228" s="3" t="e">
        <f t="shared" si="0"/>
        <v>#N/A</v>
      </c>
      <c r="K228" s="3" t="e">
        <f t="shared" si="1"/>
        <v>#N/A</v>
      </c>
      <c r="L228" s="3" t="e">
        <f t="shared" si="2"/>
        <v>#N/A</v>
      </c>
      <c r="M228" s="3" t="e">
        <f t="shared" si="3"/>
        <v>#N/A</v>
      </c>
      <c r="N228" s="3" t="e">
        <f t="shared" si="4"/>
        <v>#N/A</v>
      </c>
      <c r="O228" s="3" t="e">
        <f t="shared" si="5"/>
        <v>#N/A</v>
      </c>
    </row>
    <row r="229" spans="1:15" ht="14.25" customHeight="1">
      <c r="A229" s="2" t="s">
        <v>15</v>
      </c>
      <c r="B229" s="2">
        <v>1907</v>
      </c>
      <c r="C229" s="2" t="s">
        <v>23</v>
      </c>
      <c r="J229" s="3" t="e">
        <f t="shared" si="0"/>
        <v>#N/A</v>
      </c>
      <c r="K229" s="3" t="e">
        <f t="shared" si="1"/>
        <v>#N/A</v>
      </c>
      <c r="L229" s="3" t="e">
        <f t="shared" si="2"/>
        <v>#N/A</v>
      </c>
      <c r="M229" s="3" t="e">
        <f t="shared" si="3"/>
        <v>#N/A</v>
      </c>
      <c r="N229" s="3" t="e">
        <f t="shared" si="4"/>
        <v>#N/A</v>
      </c>
      <c r="O229" s="3" t="e">
        <f t="shared" si="5"/>
        <v>#N/A</v>
      </c>
    </row>
    <row r="230" spans="1:15" ht="14.25" customHeight="1">
      <c r="A230" s="2" t="s">
        <v>15</v>
      </c>
      <c r="B230" s="2">
        <v>1908</v>
      </c>
      <c r="C230" s="2" t="s">
        <v>23</v>
      </c>
      <c r="J230" s="3" t="e">
        <f t="shared" si="0"/>
        <v>#N/A</v>
      </c>
      <c r="K230" s="3" t="e">
        <f t="shared" si="1"/>
        <v>#N/A</v>
      </c>
      <c r="L230" s="3" t="e">
        <f t="shared" si="2"/>
        <v>#N/A</v>
      </c>
      <c r="M230" s="3" t="e">
        <f t="shared" si="3"/>
        <v>#N/A</v>
      </c>
      <c r="N230" s="3" t="e">
        <f t="shared" si="4"/>
        <v>#N/A</v>
      </c>
      <c r="O230" s="3" t="e">
        <f t="shared" si="5"/>
        <v>#N/A</v>
      </c>
    </row>
    <row r="231" spans="1:15" ht="14.25" customHeight="1">
      <c r="A231" s="2" t="s">
        <v>15</v>
      </c>
      <c r="B231" s="2">
        <v>1910</v>
      </c>
      <c r="C231" s="2" t="s">
        <v>23</v>
      </c>
      <c r="F231" s="2">
        <f>37944+26519</f>
        <v>64463</v>
      </c>
      <c r="G231" s="2">
        <f>43263+36228</f>
        <v>79491</v>
      </c>
      <c r="H231" s="2" t="s">
        <v>17</v>
      </c>
      <c r="I231" s="2" t="s">
        <v>17</v>
      </c>
      <c r="J231" s="3" t="e">
        <f t="shared" si="0"/>
        <v>#N/A</v>
      </c>
      <c r="K231" s="3" t="e">
        <f t="shared" si="1"/>
        <v>#N/A</v>
      </c>
      <c r="L231" s="3">
        <f t="shared" si="2"/>
        <v>3274.8933143669983</v>
      </c>
      <c r="M231" s="3">
        <f t="shared" si="3"/>
        <v>79.491</v>
      </c>
      <c r="N231" s="3" t="e">
        <f t="shared" si="4"/>
        <v>#VALUE!</v>
      </c>
      <c r="O231" s="3" t="e">
        <f t="shared" si="5"/>
        <v>#VALUE!</v>
      </c>
    </row>
    <row r="232" spans="1:15" ht="14.25" customHeight="1">
      <c r="A232" s="2" t="s">
        <v>15</v>
      </c>
      <c r="B232" s="2">
        <v>1911</v>
      </c>
      <c r="C232" s="2" t="s">
        <v>23</v>
      </c>
      <c r="D232" s="2">
        <v>3127980</v>
      </c>
      <c r="J232" s="3">
        <f t="shared" si="0"/>
        <v>158909.77443609023</v>
      </c>
      <c r="K232" s="3" t="e">
        <f t="shared" si="1"/>
        <v>#N/A</v>
      </c>
      <c r="L232" s="3" t="e">
        <f t="shared" si="2"/>
        <v>#N/A</v>
      </c>
      <c r="M232" s="3" t="e">
        <f t="shared" si="3"/>
        <v>#N/A</v>
      </c>
      <c r="N232" s="3" t="e">
        <f t="shared" si="4"/>
        <v>#N/A</v>
      </c>
      <c r="O232" s="3" t="e">
        <f t="shared" si="5"/>
        <v>#N/A</v>
      </c>
    </row>
    <row r="233" spans="1:15" ht="14.25" customHeight="1">
      <c r="A233" s="2" t="s">
        <v>15</v>
      </c>
      <c r="B233" s="2">
        <v>1912</v>
      </c>
      <c r="C233" s="2" t="s">
        <v>23</v>
      </c>
      <c r="D233" s="2">
        <v>2863188</v>
      </c>
      <c r="J233" s="3">
        <f t="shared" si="0"/>
        <v>145457.63056289373</v>
      </c>
      <c r="K233" s="3" t="e">
        <f t="shared" si="1"/>
        <v>#N/A</v>
      </c>
      <c r="L233" s="3" t="e">
        <f t="shared" si="2"/>
        <v>#N/A</v>
      </c>
      <c r="M233" s="3" t="e">
        <f t="shared" si="3"/>
        <v>#N/A</v>
      </c>
      <c r="N233" s="3" t="e">
        <f t="shared" si="4"/>
        <v>#N/A</v>
      </c>
      <c r="O233" s="3" t="e">
        <f t="shared" si="5"/>
        <v>#N/A</v>
      </c>
    </row>
    <row r="234" spans="1:15" ht="14.25" customHeight="1">
      <c r="A234" s="2" t="s">
        <v>15</v>
      </c>
      <c r="B234" s="2">
        <v>1913</v>
      </c>
      <c r="C234" s="2" t="s">
        <v>23</v>
      </c>
      <c r="D234" s="2">
        <v>2210476</v>
      </c>
      <c r="J234" s="3">
        <f t="shared" si="0"/>
        <v>112298.1101402154</v>
      </c>
      <c r="K234" s="3" t="e">
        <f t="shared" si="1"/>
        <v>#N/A</v>
      </c>
      <c r="L234" s="3" t="e">
        <f t="shared" si="2"/>
        <v>#N/A</v>
      </c>
      <c r="M234" s="3" t="e">
        <f t="shared" si="3"/>
        <v>#N/A</v>
      </c>
      <c r="N234" s="3" t="e">
        <f t="shared" si="4"/>
        <v>#N/A</v>
      </c>
      <c r="O234" s="3" t="e">
        <f t="shared" si="5"/>
        <v>#N/A</v>
      </c>
    </row>
    <row r="235" spans="1:15" ht="14.25" customHeight="1">
      <c r="A235" s="2" t="s">
        <v>15</v>
      </c>
      <c r="B235" s="2">
        <v>1914</v>
      </c>
      <c r="C235" s="2" t="s">
        <v>23</v>
      </c>
      <c r="F235" s="2">
        <f>31240+30210</f>
        <v>61450</v>
      </c>
      <c r="G235" s="2">
        <f>38856+57930</f>
        <v>96786</v>
      </c>
      <c r="H235" s="2" t="s">
        <v>17</v>
      </c>
      <c r="I235" s="2" t="s">
        <v>17</v>
      </c>
      <c r="J235" s="3" t="e">
        <f t="shared" si="0"/>
        <v>#N/A</v>
      </c>
      <c r="K235" s="3" t="e">
        <f t="shared" si="1"/>
        <v>#N/A</v>
      </c>
      <c r="L235" s="3">
        <f t="shared" si="2"/>
        <v>3121.824832351148</v>
      </c>
      <c r="M235" s="3">
        <f t="shared" si="3"/>
        <v>96.786000000000001</v>
      </c>
      <c r="N235" s="3" t="e">
        <f t="shared" si="4"/>
        <v>#VALUE!</v>
      </c>
      <c r="O235" s="3" t="e">
        <f t="shared" si="5"/>
        <v>#VALUE!</v>
      </c>
    </row>
    <row r="236" spans="1:15" ht="14.25" customHeight="1">
      <c r="A236" s="2" t="s">
        <v>15</v>
      </c>
      <c r="B236" s="2">
        <v>1915</v>
      </c>
      <c r="C236" s="2" t="s">
        <v>23</v>
      </c>
      <c r="F236" s="2">
        <f>0+13951</f>
        <v>13951</v>
      </c>
      <c r="G236" s="2">
        <f>0+37944</f>
        <v>37944</v>
      </c>
      <c r="H236" s="2" t="s">
        <v>17</v>
      </c>
      <c r="I236" s="2" t="s">
        <v>17</v>
      </c>
      <c r="J236" s="3" t="e">
        <f t="shared" si="0"/>
        <v>#N/A</v>
      </c>
      <c r="K236" s="3" t="e">
        <f t="shared" si="1"/>
        <v>#N/A</v>
      </c>
      <c r="L236" s="3">
        <f t="shared" si="2"/>
        <v>708.74822190611656</v>
      </c>
      <c r="M236" s="3">
        <f t="shared" si="3"/>
        <v>37.944000000000003</v>
      </c>
      <c r="N236" s="3" t="e">
        <f t="shared" si="4"/>
        <v>#VALUE!</v>
      </c>
      <c r="O236" s="3" t="e">
        <f t="shared" si="5"/>
        <v>#VALUE!</v>
      </c>
    </row>
    <row r="237" spans="1:15" ht="14.25" customHeight="1">
      <c r="A237" s="2" t="s">
        <v>15</v>
      </c>
      <c r="B237" s="2">
        <v>1916</v>
      </c>
      <c r="C237" s="2" t="s">
        <v>23</v>
      </c>
      <c r="F237" s="2">
        <f>7+10796</f>
        <v>10803</v>
      </c>
      <c r="G237" s="2">
        <f>34+34418</f>
        <v>34452</v>
      </c>
      <c r="H237" s="2" t="s">
        <v>17</v>
      </c>
      <c r="I237" s="2" t="s">
        <v>17</v>
      </c>
      <c r="J237" s="3" t="e">
        <f t="shared" si="0"/>
        <v>#N/A</v>
      </c>
      <c r="K237" s="3" t="e">
        <f t="shared" si="1"/>
        <v>#N/A</v>
      </c>
      <c r="L237" s="3">
        <f t="shared" si="2"/>
        <v>548.82137776874617</v>
      </c>
      <c r="M237" s="3">
        <f t="shared" si="3"/>
        <v>34.451999999999998</v>
      </c>
      <c r="N237" s="3" t="e">
        <f t="shared" si="4"/>
        <v>#VALUE!</v>
      </c>
      <c r="O237" s="3" t="e">
        <f t="shared" si="5"/>
        <v>#VALUE!</v>
      </c>
    </row>
    <row r="238" spans="1:15" ht="14.25" customHeight="1">
      <c r="A238" s="2" t="s">
        <v>15</v>
      </c>
      <c r="B238" s="2">
        <v>1917</v>
      </c>
      <c r="C238" s="2" t="s">
        <v>23</v>
      </c>
      <c r="F238" s="2">
        <f>0+3617</f>
        <v>3617</v>
      </c>
      <c r="G238" s="2">
        <f>0+10210</f>
        <v>10210</v>
      </c>
      <c r="H238" s="2" t="s">
        <v>17</v>
      </c>
      <c r="I238" s="2" t="s">
        <v>17</v>
      </c>
      <c r="J238" s="3" t="e">
        <f t="shared" si="0"/>
        <v>#N/A</v>
      </c>
      <c r="K238" s="3" t="e">
        <f t="shared" si="1"/>
        <v>#N/A</v>
      </c>
      <c r="L238" s="3">
        <f t="shared" si="2"/>
        <v>183.75330217435479</v>
      </c>
      <c r="M238" s="3">
        <f t="shared" si="3"/>
        <v>10.210000000000001</v>
      </c>
      <c r="N238" s="3" t="e">
        <f t="shared" si="4"/>
        <v>#VALUE!</v>
      </c>
      <c r="O238" s="3" t="e">
        <f t="shared" si="5"/>
        <v>#VALUE!</v>
      </c>
    </row>
    <row r="239" spans="1:15" ht="14.25" customHeight="1">
      <c r="A239" s="2" t="s">
        <v>15</v>
      </c>
      <c r="B239" s="2">
        <v>1918</v>
      </c>
      <c r="C239" s="2" t="s">
        <v>23</v>
      </c>
      <c r="F239" s="2">
        <f>0+2774</f>
        <v>2774</v>
      </c>
      <c r="G239" s="2">
        <f>0+13401</f>
        <v>13401</v>
      </c>
      <c r="H239" s="2" t="s">
        <v>17</v>
      </c>
      <c r="I239" s="2" t="s">
        <v>17</v>
      </c>
      <c r="J239" s="3" t="e">
        <f t="shared" si="0"/>
        <v>#N/A</v>
      </c>
      <c r="K239" s="3" t="e">
        <f t="shared" si="1"/>
        <v>#N/A</v>
      </c>
      <c r="L239" s="3">
        <f t="shared" si="2"/>
        <v>140.92664092664091</v>
      </c>
      <c r="M239" s="3">
        <f t="shared" si="3"/>
        <v>13.401</v>
      </c>
      <c r="N239" s="3" t="e">
        <f t="shared" si="4"/>
        <v>#VALUE!</v>
      </c>
      <c r="O239" s="3" t="e">
        <f t="shared" si="5"/>
        <v>#VALUE!</v>
      </c>
    </row>
    <row r="240" spans="1:15" ht="14.25" customHeight="1">
      <c r="A240" s="2" t="s">
        <v>15</v>
      </c>
      <c r="B240" s="2">
        <v>1919</v>
      </c>
      <c r="C240" s="2" t="s">
        <v>23</v>
      </c>
      <c r="D240" s="2">
        <v>3035164</v>
      </c>
      <c r="F240" s="2">
        <f>90+16964</f>
        <v>17054</v>
      </c>
      <c r="G240" s="2">
        <f>350+73525</f>
        <v>73875</v>
      </c>
      <c r="H240" s="2" t="s">
        <v>17</v>
      </c>
      <c r="I240" s="2" t="s">
        <v>17</v>
      </c>
      <c r="J240" s="3">
        <f t="shared" si="0"/>
        <v>154194.47266815687</v>
      </c>
      <c r="K240" s="3" t="e">
        <f t="shared" si="1"/>
        <v>#N/A</v>
      </c>
      <c r="L240" s="3">
        <f t="shared" si="2"/>
        <v>866.38894533631367</v>
      </c>
      <c r="M240" s="3">
        <f t="shared" si="3"/>
        <v>73.875</v>
      </c>
      <c r="N240" s="3" t="e">
        <f t="shared" si="4"/>
        <v>#VALUE!</v>
      </c>
      <c r="O240" s="3" t="e">
        <f t="shared" si="5"/>
        <v>#VALUE!</v>
      </c>
    </row>
    <row r="241" spans="1:15" ht="14.25" customHeight="1">
      <c r="A241" s="2" t="s">
        <v>15</v>
      </c>
      <c r="B241" s="2">
        <v>1920</v>
      </c>
      <c r="C241" s="2" t="s">
        <v>23</v>
      </c>
      <c r="D241" s="2">
        <v>3931463</v>
      </c>
      <c r="F241" s="2">
        <f>2137+26249</f>
        <v>28386</v>
      </c>
      <c r="G241" s="2">
        <f>4862+91146</f>
        <v>96008</v>
      </c>
      <c r="H241" s="2" t="s">
        <v>17</v>
      </c>
      <c r="I241" s="2" t="s">
        <v>17</v>
      </c>
      <c r="J241" s="3">
        <f t="shared" si="0"/>
        <v>199728.86608412923</v>
      </c>
      <c r="K241" s="3" t="e">
        <f t="shared" si="1"/>
        <v>#N/A</v>
      </c>
      <c r="L241" s="3">
        <f t="shared" si="2"/>
        <v>1442.084942084942</v>
      </c>
      <c r="M241" s="3">
        <f t="shared" si="3"/>
        <v>96.007999999999996</v>
      </c>
      <c r="N241" s="3" t="e">
        <f t="shared" si="4"/>
        <v>#VALUE!</v>
      </c>
      <c r="O241" s="3" t="e">
        <f t="shared" si="5"/>
        <v>#VALUE!</v>
      </c>
    </row>
    <row r="242" spans="1:15" ht="14.25" customHeight="1">
      <c r="A242" s="2" t="s">
        <v>15</v>
      </c>
      <c r="B242" s="2">
        <v>1921</v>
      </c>
      <c r="C242" s="2" t="s">
        <v>23</v>
      </c>
      <c r="D242" s="2">
        <v>3133630</v>
      </c>
      <c r="J242" s="3">
        <f t="shared" si="0"/>
        <v>159196.80959154642</v>
      </c>
      <c r="K242" s="3" t="e">
        <f t="shared" si="1"/>
        <v>#N/A</v>
      </c>
      <c r="L242" s="3" t="e">
        <f t="shared" si="2"/>
        <v>#N/A</v>
      </c>
      <c r="M242" s="3" t="e">
        <f t="shared" si="3"/>
        <v>#N/A</v>
      </c>
      <c r="N242" s="3" t="e">
        <f t="shared" si="4"/>
        <v>#N/A</v>
      </c>
      <c r="O242" s="3" t="e">
        <f t="shared" si="5"/>
        <v>#N/A</v>
      </c>
    </row>
    <row r="243" spans="1:15" ht="14.25" customHeight="1">
      <c r="A243" s="2" t="s">
        <v>15</v>
      </c>
      <c r="B243" s="2">
        <v>1922</v>
      </c>
      <c r="C243" s="2" t="s">
        <v>23</v>
      </c>
      <c r="D243" s="2">
        <v>3399440</v>
      </c>
      <c r="J243" s="3">
        <f t="shared" si="0"/>
        <v>172700.67059540743</v>
      </c>
      <c r="K243" s="3" t="e">
        <f t="shared" si="1"/>
        <v>#N/A</v>
      </c>
      <c r="L243" s="3" t="e">
        <f t="shared" si="2"/>
        <v>#N/A</v>
      </c>
      <c r="M243" s="3" t="e">
        <f t="shared" si="3"/>
        <v>#N/A</v>
      </c>
      <c r="N243" s="3" t="e">
        <f t="shared" si="4"/>
        <v>#N/A</v>
      </c>
      <c r="O243" s="3" t="e">
        <f t="shared" si="5"/>
        <v>#N/A</v>
      </c>
    </row>
    <row r="244" spans="1:15" ht="14.25" customHeight="1">
      <c r="A244" s="2" t="s">
        <v>15</v>
      </c>
      <c r="B244" s="2">
        <v>1923</v>
      </c>
      <c r="C244" s="2" t="s">
        <v>23</v>
      </c>
      <c r="D244" s="2">
        <v>2776632</v>
      </c>
      <c r="J244" s="3">
        <f t="shared" si="0"/>
        <v>141060.35358666937</v>
      </c>
      <c r="K244" s="3" t="e">
        <f t="shared" si="1"/>
        <v>#N/A</v>
      </c>
      <c r="L244" s="3" t="e">
        <f t="shared" si="2"/>
        <v>#N/A</v>
      </c>
      <c r="M244" s="3" t="e">
        <f t="shared" si="3"/>
        <v>#N/A</v>
      </c>
      <c r="N244" s="3" t="e">
        <f t="shared" si="4"/>
        <v>#N/A</v>
      </c>
      <c r="O244" s="3" t="e">
        <f t="shared" si="5"/>
        <v>#N/A</v>
      </c>
    </row>
    <row r="245" spans="1:15" ht="14.25" customHeight="1">
      <c r="A245" s="2" t="s">
        <v>15</v>
      </c>
      <c r="B245" s="2">
        <v>1924</v>
      </c>
      <c r="C245" s="2" t="s">
        <v>23</v>
      </c>
      <c r="D245" s="2">
        <v>2530626</v>
      </c>
      <c r="J245" s="3">
        <f t="shared" si="0"/>
        <v>128562.58890469416</v>
      </c>
      <c r="K245" s="3" t="e">
        <f t="shared" si="1"/>
        <v>#N/A</v>
      </c>
      <c r="L245" s="3" t="e">
        <f t="shared" si="2"/>
        <v>#N/A</v>
      </c>
      <c r="M245" s="3" t="e">
        <f t="shared" si="3"/>
        <v>#N/A</v>
      </c>
      <c r="N245" s="3" t="e">
        <f t="shared" si="4"/>
        <v>#N/A</v>
      </c>
      <c r="O245" s="3" t="e">
        <f t="shared" si="5"/>
        <v>#N/A</v>
      </c>
    </row>
    <row r="246" spans="1:15" ht="14.25" customHeight="1">
      <c r="A246" s="2" t="s">
        <v>15</v>
      </c>
      <c r="B246" s="2">
        <v>1925</v>
      </c>
      <c r="C246" s="2" t="s">
        <v>23</v>
      </c>
      <c r="D246" s="2">
        <v>3186472</v>
      </c>
      <c r="F246" s="2">
        <f>4443+25033</f>
        <v>29476</v>
      </c>
      <c r="G246" s="2">
        <f>6729+61509</f>
        <v>68238</v>
      </c>
      <c r="H246" s="2">
        <f>191209+3095</f>
        <v>194304</v>
      </c>
      <c r="I246" s="2">
        <f>256570+5296</f>
        <v>261866</v>
      </c>
      <c r="J246" s="3">
        <f t="shared" si="0"/>
        <v>161881.32493395649</v>
      </c>
      <c r="K246" s="3" t="e">
        <f t="shared" si="1"/>
        <v>#N/A</v>
      </c>
      <c r="L246" s="3">
        <f t="shared" si="2"/>
        <v>1497.4598658809184</v>
      </c>
      <c r="M246" s="3">
        <f t="shared" si="3"/>
        <v>68.238</v>
      </c>
      <c r="N246" s="3">
        <f t="shared" si="4"/>
        <v>9871.1643974801864</v>
      </c>
      <c r="O246" s="3">
        <f t="shared" si="5"/>
        <v>261.86599999999999</v>
      </c>
    </row>
    <row r="247" spans="1:15" ht="14.25" customHeight="1">
      <c r="A247" s="2" t="s">
        <v>15</v>
      </c>
      <c r="B247" s="2">
        <v>1926</v>
      </c>
      <c r="C247" s="2" t="s">
        <v>23</v>
      </c>
      <c r="D247" s="2">
        <v>2911316</v>
      </c>
      <c r="J247" s="3">
        <f t="shared" si="0"/>
        <v>147902.66206055679</v>
      </c>
      <c r="K247" s="3" t="e">
        <f t="shared" si="1"/>
        <v>#N/A</v>
      </c>
      <c r="L247" s="3" t="e">
        <f t="shared" si="2"/>
        <v>#N/A</v>
      </c>
      <c r="M247" s="3" t="e">
        <f t="shared" si="3"/>
        <v>#N/A</v>
      </c>
      <c r="N247" s="3" t="e">
        <f t="shared" si="4"/>
        <v>#N/A</v>
      </c>
      <c r="O247" s="3" t="e">
        <f t="shared" si="5"/>
        <v>#N/A</v>
      </c>
    </row>
    <row r="248" spans="1:15" ht="14.25" customHeight="1">
      <c r="A248" s="2" t="s">
        <v>15</v>
      </c>
      <c r="B248" s="2">
        <v>1927</v>
      </c>
      <c r="C248" s="2" t="s">
        <v>23</v>
      </c>
      <c r="D248" s="2">
        <v>2963939</v>
      </c>
      <c r="J248" s="3">
        <f t="shared" si="0"/>
        <v>150576.0516155253</v>
      </c>
      <c r="K248" s="3" t="e">
        <f t="shared" si="1"/>
        <v>#N/A</v>
      </c>
      <c r="L248" s="3" t="e">
        <f t="shared" si="2"/>
        <v>#N/A</v>
      </c>
      <c r="M248" s="3" t="e">
        <f t="shared" si="3"/>
        <v>#N/A</v>
      </c>
      <c r="N248" s="3" t="e">
        <f t="shared" si="4"/>
        <v>#N/A</v>
      </c>
      <c r="O248" s="3" t="e">
        <f t="shared" si="5"/>
        <v>#N/A</v>
      </c>
    </row>
    <row r="249" spans="1:15" ht="14.25" customHeight="1">
      <c r="A249" s="2" t="s">
        <v>15</v>
      </c>
      <c r="B249" s="2">
        <v>1928</v>
      </c>
      <c r="C249" s="2" t="s">
        <v>23</v>
      </c>
      <c r="D249" s="2">
        <v>2974164</v>
      </c>
      <c r="J249" s="3">
        <f t="shared" si="0"/>
        <v>151095.50904287744</v>
      </c>
      <c r="K249" s="3" t="e">
        <f t="shared" si="1"/>
        <v>#N/A</v>
      </c>
      <c r="L249" s="3" t="e">
        <f t="shared" si="2"/>
        <v>#N/A</v>
      </c>
      <c r="M249" s="3" t="e">
        <f t="shared" si="3"/>
        <v>#N/A</v>
      </c>
      <c r="N249" s="3" t="e">
        <f t="shared" si="4"/>
        <v>#N/A</v>
      </c>
      <c r="O249" s="3" t="e">
        <f t="shared" si="5"/>
        <v>#N/A</v>
      </c>
    </row>
    <row r="250" spans="1:15" ht="14.25" customHeight="1">
      <c r="A250" s="2" t="s">
        <v>15</v>
      </c>
      <c r="B250" s="2">
        <v>1929</v>
      </c>
      <c r="C250" s="2" t="s">
        <v>23</v>
      </c>
      <c r="D250" s="2">
        <v>3078661</v>
      </c>
      <c r="J250" s="3">
        <f t="shared" si="0"/>
        <v>156404.23694371062</v>
      </c>
      <c r="K250" s="3" t="e">
        <f t="shared" si="1"/>
        <v>#N/A</v>
      </c>
      <c r="L250" s="3" t="e">
        <f t="shared" si="2"/>
        <v>#N/A</v>
      </c>
      <c r="M250" s="3" t="e">
        <f t="shared" si="3"/>
        <v>#N/A</v>
      </c>
      <c r="N250" s="3" t="e">
        <f t="shared" si="4"/>
        <v>#N/A</v>
      </c>
      <c r="O250" s="3" t="e">
        <f t="shared" si="5"/>
        <v>#N/A</v>
      </c>
    </row>
    <row r="251" spans="1:15" ht="14.25" customHeight="1">
      <c r="A251" s="2" t="s">
        <v>15</v>
      </c>
      <c r="B251" s="2">
        <v>1930</v>
      </c>
      <c r="C251" s="2" t="s">
        <v>23</v>
      </c>
      <c r="D251" s="2">
        <v>3541162</v>
      </c>
      <c r="F251" s="2">
        <f>5133+21119</f>
        <v>26252</v>
      </c>
      <c r="G251" s="2">
        <f>11555+54428</f>
        <v>65983</v>
      </c>
      <c r="H251" s="2">
        <f>353710+1289</f>
        <v>354999</v>
      </c>
      <c r="I251" s="2">
        <f>398470+1942</f>
        <v>400412</v>
      </c>
      <c r="J251" s="3">
        <f t="shared" si="0"/>
        <v>179900.52834789676</v>
      </c>
      <c r="K251" s="3" t="e">
        <f t="shared" si="1"/>
        <v>#N/A</v>
      </c>
      <c r="L251" s="3">
        <f t="shared" si="2"/>
        <v>1333.6720178825442</v>
      </c>
      <c r="M251" s="3">
        <f t="shared" si="3"/>
        <v>65.983000000000004</v>
      </c>
      <c r="N251" s="3">
        <f t="shared" si="4"/>
        <v>18034.901442796177</v>
      </c>
      <c r="O251" s="3">
        <f t="shared" si="5"/>
        <v>400.41199999999998</v>
      </c>
    </row>
    <row r="252" spans="1:15" ht="14.25" customHeight="1">
      <c r="A252" s="2" t="s">
        <v>15</v>
      </c>
      <c r="B252" s="2">
        <v>1931</v>
      </c>
      <c r="C252" s="2" t="s">
        <v>23</v>
      </c>
      <c r="D252" s="2">
        <v>3083351</v>
      </c>
      <c r="J252" s="3">
        <f t="shared" si="0"/>
        <v>156642.50152408046</v>
      </c>
      <c r="K252" s="3" t="e">
        <f t="shared" si="1"/>
        <v>#N/A</v>
      </c>
      <c r="L252" s="3" t="e">
        <f t="shared" si="2"/>
        <v>#N/A</v>
      </c>
      <c r="M252" s="3" t="e">
        <f t="shared" si="3"/>
        <v>#N/A</v>
      </c>
      <c r="N252" s="3" t="e">
        <f t="shared" si="4"/>
        <v>#N/A</v>
      </c>
      <c r="O252" s="3" t="e">
        <f t="shared" si="5"/>
        <v>#N/A</v>
      </c>
    </row>
    <row r="253" spans="1:15" ht="14.25" customHeight="1">
      <c r="A253" s="2" t="s">
        <v>15</v>
      </c>
      <c r="B253" s="2">
        <v>1932</v>
      </c>
      <c r="C253" s="2" t="s">
        <v>23</v>
      </c>
      <c r="D253" s="2">
        <v>2861250</v>
      </c>
      <c r="J253" s="3">
        <f t="shared" si="0"/>
        <v>145359.17496443811</v>
      </c>
      <c r="K253" s="3" t="e">
        <f t="shared" si="1"/>
        <v>#N/A</v>
      </c>
      <c r="L253" s="3" t="e">
        <f t="shared" si="2"/>
        <v>#N/A</v>
      </c>
      <c r="M253" s="3" t="e">
        <f t="shared" si="3"/>
        <v>#N/A</v>
      </c>
      <c r="N253" s="3" t="e">
        <f t="shared" si="4"/>
        <v>#N/A</v>
      </c>
      <c r="O253" s="3" t="e">
        <f t="shared" si="5"/>
        <v>#N/A</v>
      </c>
    </row>
    <row r="254" spans="1:15" ht="14.25" customHeight="1">
      <c r="A254" s="2" t="s">
        <v>15</v>
      </c>
      <c r="B254" s="2">
        <v>1933</v>
      </c>
      <c r="C254" s="2" t="s">
        <v>23</v>
      </c>
      <c r="D254" s="2">
        <v>2763404</v>
      </c>
      <c r="J254" s="3">
        <f t="shared" si="0"/>
        <v>140388.33570412517</v>
      </c>
      <c r="K254" s="3" t="e">
        <f t="shared" si="1"/>
        <v>#N/A</v>
      </c>
      <c r="L254" s="3" t="e">
        <f t="shared" si="2"/>
        <v>#N/A</v>
      </c>
      <c r="M254" s="3" t="e">
        <f t="shared" si="3"/>
        <v>#N/A</v>
      </c>
      <c r="N254" s="3" t="e">
        <f t="shared" si="4"/>
        <v>#N/A</v>
      </c>
      <c r="O254" s="3" t="e">
        <f t="shared" si="5"/>
        <v>#N/A</v>
      </c>
    </row>
    <row r="255" spans="1:15" ht="14.25" customHeight="1">
      <c r="A255" s="2" t="s">
        <v>15</v>
      </c>
      <c r="B255" s="2">
        <v>1934</v>
      </c>
      <c r="C255" s="2" t="s">
        <v>23</v>
      </c>
      <c r="D255" s="2">
        <v>2307069</v>
      </c>
      <c r="J255" s="3">
        <f t="shared" si="0"/>
        <v>117205.29363950416</v>
      </c>
      <c r="K255" s="3" t="e">
        <f t="shared" si="1"/>
        <v>#N/A</v>
      </c>
      <c r="L255" s="3" t="e">
        <f t="shared" si="2"/>
        <v>#N/A</v>
      </c>
      <c r="M255" s="3" t="e">
        <f t="shared" si="3"/>
        <v>#N/A</v>
      </c>
      <c r="N255" s="3" t="e">
        <f t="shared" si="4"/>
        <v>#N/A</v>
      </c>
      <c r="O255" s="3" t="e">
        <f t="shared" si="5"/>
        <v>#N/A</v>
      </c>
    </row>
    <row r="256" spans="1:15" ht="14.25" customHeight="1">
      <c r="A256" s="2" t="s">
        <v>15</v>
      </c>
      <c r="B256" s="2">
        <v>1935</v>
      </c>
      <c r="C256" s="2" t="s">
        <v>23</v>
      </c>
      <c r="D256" s="2">
        <v>2207179</v>
      </c>
      <c r="F256" s="2">
        <f>4638+10166</f>
        <v>14804</v>
      </c>
      <c r="G256" s="2">
        <f>10646+23439</f>
        <v>34085</v>
      </c>
      <c r="H256" s="2">
        <v>154960</v>
      </c>
      <c r="I256" s="2">
        <v>151658</v>
      </c>
      <c r="J256" s="3">
        <f t="shared" si="0"/>
        <v>112130.61369640316</v>
      </c>
      <c r="K256" s="3" t="e">
        <f t="shared" si="1"/>
        <v>#N/A</v>
      </c>
      <c r="L256" s="3">
        <f t="shared" si="2"/>
        <v>752.08290997764675</v>
      </c>
      <c r="M256" s="3">
        <f t="shared" si="3"/>
        <v>34.085000000000001</v>
      </c>
      <c r="N256" s="3">
        <f t="shared" si="4"/>
        <v>7872.3836618573459</v>
      </c>
      <c r="O256" s="3">
        <f t="shared" si="5"/>
        <v>151.65799999999999</v>
      </c>
    </row>
    <row r="257" spans="1:15" ht="14.25" customHeight="1">
      <c r="A257" s="2" t="s">
        <v>15</v>
      </c>
      <c r="B257" s="2">
        <v>1936</v>
      </c>
      <c r="C257" s="2" t="s">
        <v>23</v>
      </c>
      <c r="D257" s="2">
        <v>2320123</v>
      </c>
      <c r="J257" s="3">
        <f t="shared" ref="J257:J511" si="6">IF(D257="", NA(), D257/19.684)</f>
        <v>117868.47185531395</v>
      </c>
      <c r="K257" s="3" t="e">
        <f t="shared" ref="K257:K511" si="7">IF(E257="", NA(), E257/1000)</f>
        <v>#N/A</v>
      </c>
      <c r="L257" s="3" t="e">
        <f t="shared" ref="L257:L511" si="8">IF(F257="", NA(), F257/19.684)</f>
        <v>#N/A</v>
      </c>
      <c r="M257" s="3" t="e">
        <f t="shared" ref="M257:M511" si="9">IF(G257="", NA(), G257/1000)</f>
        <v>#N/A</v>
      </c>
      <c r="N257" s="3" t="e">
        <f t="shared" ref="N257:N511" si="10">IF(H257="", NA(), H257/19.684)</f>
        <v>#N/A</v>
      </c>
      <c r="O257" s="3" t="e">
        <f t="shared" ref="O257:O511" si="11">IF(I257="", NA(), I257/1000)</f>
        <v>#N/A</v>
      </c>
    </row>
    <row r="258" spans="1:15" ht="14.25" customHeight="1">
      <c r="A258" s="2" t="s">
        <v>15</v>
      </c>
      <c r="B258" s="2">
        <v>1937</v>
      </c>
      <c r="C258" s="2" t="s">
        <v>23</v>
      </c>
      <c r="D258" s="2">
        <v>2977340</v>
      </c>
      <c r="J258" s="3">
        <f t="shared" si="6"/>
        <v>151256.85836212151</v>
      </c>
      <c r="K258" s="3" t="e">
        <f t="shared" si="7"/>
        <v>#N/A</v>
      </c>
      <c r="L258" s="3" t="e">
        <f t="shared" si="8"/>
        <v>#N/A</v>
      </c>
      <c r="M258" s="3" t="e">
        <f t="shared" si="9"/>
        <v>#N/A</v>
      </c>
      <c r="N258" s="3" t="e">
        <f t="shared" si="10"/>
        <v>#N/A</v>
      </c>
      <c r="O258" s="3" t="e">
        <f t="shared" si="11"/>
        <v>#N/A</v>
      </c>
    </row>
    <row r="259" spans="1:15" ht="14.25" customHeight="1">
      <c r="A259" s="2" t="s">
        <v>15</v>
      </c>
      <c r="B259" s="2">
        <v>1938</v>
      </c>
      <c r="C259" s="2" t="s">
        <v>23</v>
      </c>
      <c r="D259" s="2">
        <v>2858365</v>
      </c>
      <c r="J259" s="3">
        <f t="shared" si="6"/>
        <v>145212.60922576711</v>
      </c>
      <c r="K259" s="3" t="e">
        <f t="shared" si="7"/>
        <v>#N/A</v>
      </c>
      <c r="L259" s="3" t="e">
        <f t="shared" si="8"/>
        <v>#N/A</v>
      </c>
      <c r="M259" s="3" t="e">
        <f t="shared" si="9"/>
        <v>#N/A</v>
      </c>
      <c r="N259" s="3" t="e">
        <f t="shared" si="10"/>
        <v>#N/A</v>
      </c>
      <c r="O259" s="3" t="e">
        <f t="shared" si="11"/>
        <v>#N/A</v>
      </c>
    </row>
    <row r="260" spans="1:15" ht="14.25" customHeight="1">
      <c r="A260" s="2" t="s">
        <v>15</v>
      </c>
      <c r="B260" s="2">
        <v>1939</v>
      </c>
      <c r="C260" s="2" t="s">
        <v>23</v>
      </c>
      <c r="D260" s="2">
        <v>2244686</v>
      </c>
      <c r="J260" s="3">
        <f t="shared" si="6"/>
        <v>114036.06990449096</v>
      </c>
      <c r="K260" s="3" t="e">
        <f t="shared" si="7"/>
        <v>#N/A</v>
      </c>
      <c r="L260" s="3" t="e">
        <f t="shared" si="8"/>
        <v>#N/A</v>
      </c>
      <c r="M260" s="3" t="e">
        <f t="shared" si="9"/>
        <v>#N/A</v>
      </c>
      <c r="N260" s="3" t="e">
        <f t="shared" si="10"/>
        <v>#N/A</v>
      </c>
      <c r="O260" s="3" t="e">
        <f t="shared" si="11"/>
        <v>#N/A</v>
      </c>
    </row>
    <row r="261" spans="1:15" ht="14.25" customHeight="1">
      <c r="A261" s="2" t="s">
        <v>15</v>
      </c>
      <c r="B261" s="2">
        <v>1940</v>
      </c>
      <c r="C261" s="2" t="s">
        <v>23</v>
      </c>
      <c r="D261" s="2">
        <v>982896</v>
      </c>
      <c r="F261" s="2">
        <f>1919+3774</f>
        <v>5693</v>
      </c>
      <c r="G261" s="2">
        <f>3306+12094</f>
        <v>15400</v>
      </c>
      <c r="H261" s="2">
        <v>404833</v>
      </c>
      <c r="I261" s="2">
        <v>840488</v>
      </c>
      <c r="J261" s="3">
        <f t="shared" si="6"/>
        <v>49933.753302174351</v>
      </c>
      <c r="K261" s="3" t="e">
        <f t="shared" si="7"/>
        <v>#N/A</v>
      </c>
      <c r="L261" s="3">
        <f t="shared" si="8"/>
        <v>289.21967079861815</v>
      </c>
      <c r="M261" s="3">
        <f t="shared" si="9"/>
        <v>15.4</v>
      </c>
      <c r="N261" s="3">
        <f t="shared" si="10"/>
        <v>20566.602316602315</v>
      </c>
      <c r="O261" s="3">
        <f t="shared" si="11"/>
        <v>840.48800000000006</v>
      </c>
    </row>
    <row r="262" spans="1:15" ht="14.25" customHeight="1">
      <c r="A262" s="2" t="s">
        <v>15</v>
      </c>
      <c r="B262" s="2">
        <v>1941</v>
      </c>
      <c r="C262" s="2" t="s">
        <v>23</v>
      </c>
      <c r="D262" s="2">
        <v>713773</v>
      </c>
      <c r="J262" s="3">
        <f t="shared" si="6"/>
        <v>36261.58301158301</v>
      </c>
      <c r="K262" s="3" t="e">
        <f t="shared" si="7"/>
        <v>#N/A</v>
      </c>
      <c r="L262" s="3" t="e">
        <f t="shared" si="8"/>
        <v>#N/A</v>
      </c>
      <c r="M262" s="3" t="e">
        <f t="shared" si="9"/>
        <v>#N/A</v>
      </c>
      <c r="N262" s="3" t="e">
        <f t="shared" si="10"/>
        <v>#N/A</v>
      </c>
      <c r="O262" s="3" t="e">
        <f t="shared" si="11"/>
        <v>#N/A</v>
      </c>
    </row>
    <row r="263" spans="1:15" ht="14.25" customHeight="1">
      <c r="A263" s="2" t="s">
        <v>15</v>
      </c>
      <c r="B263" s="2">
        <v>1942</v>
      </c>
      <c r="C263" s="2" t="s">
        <v>23</v>
      </c>
      <c r="D263" s="2">
        <v>775384</v>
      </c>
      <c r="F263" s="2">
        <f>0+650</f>
        <v>650</v>
      </c>
      <c r="G263" s="2">
        <f>0+2180</f>
        <v>2180</v>
      </c>
      <c r="H263" s="2">
        <v>306225</v>
      </c>
      <c r="I263" s="2">
        <v>946616</v>
      </c>
      <c r="J263" s="3">
        <f t="shared" si="6"/>
        <v>39391.587075797601</v>
      </c>
      <c r="K263" s="3" t="e">
        <f t="shared" si="7"/>
        <v>#N/A</v>
      </c>
      <c r="L263" s="3">
        <f t="shared" si="8"/>
        <v>33.021743548059334</v>
      </c>
      <c r="M263" s="3">
        <f t="shared" si="9"/>
        <v>2.1800000000000002</v>
      </c>
      <c r="N263" s="3">
        <f t="shared" si="10"/>
        <v>15557.051412314569</v>
      </c>
      <c r="O263" s="3">
        <f t="shared" si="11"/>
        <v>946.61599999999999</v>
      </c>
    </row>
    <row r="264" spans="1:15" ht="14.25" customHeight="1">
      <c r="A264" s="2" t="s">
        <v>15</v>
      </c>
      <c r="B264" s="2">
        <v>1943</v>
      </c>
      <c r="C264" s="2" t="s">
        <v>23</v>
      </c>
      <c r="D264" s="2">
        <v>621396</v>
      </c>
      <c r="J264" s="3">
        <f t="shared" si="6"/>
        <v>31568.583621215199</v>
      </c>
      <c r="K264" s="3" t="e">
        <f t="shared" si="7"/>
        <v>#N/A</v>
      </c>
      <c r="L264" s="3" t="e">
        <f t="shared" si="8"/>
        <v>#N/A</v>
      </c>
      <c r="M264" s="3" t="e">
        <f t="shared" si="9"/>
        <v>#N/A</v>
      </c>
      <c r="N264" s="3" t="e">
        <f t="shared" si="10"/>
        <v>#N/A</v>
      </c>
      <c r="O264" s="3" t="e">
        <f t="shared" si="11"/>
        <v>#N/A</v>
      </c>
    </row>
    <row r="265" spans="1:15" ht="14.25" customHeight="1">
      <c r="A265" s="2" t="s">
        <v>15</v>
      </c>
      <c r="B265" s="2">
        <v>1944</v>
      </c>
      <c r="C265" s="2" t="s">
        <v>23</v>
      </c>
      <c r="D265" s="2">
        <v>591294</v>
      </c>
      <c r="F265" s="2">
        <v>0</v>
      </c>
      <c r="G265" s="2">
        <v>5</v>
      </c>
      <c r="H265" s="2">
        <f>219858</f>
        <v>219858</v>
      </c>
      <c r="I265" s="2">
        <v>685244</v>
      </c>
      <c r="J265" s="3">
        <f t="shared" si="6"/>
        <v>30039.32127616338</v>
      </c>
      <c r="K265" s="3" t="e">
        <f t="shared" si="7"/>
        <v>#N/A</v>
      </c>
      <c r="L265" s="3">
        <f t="shared" si="8"/>
        <v>0</v>
      </c>
      <c r="M265" s="3">
        <f t="shared" si="9"/>
        <v>5.0000000000000001E-3</v>
      </c>
      <c r="N265" s="3">
        <f t="shared" si="10"/>
        <v>11169.376143060354</v>
      </c>
      <c r="O265" s="3">
        <f t="shared" si="11"/>
        <v>685.24400000000003</v>
      </c>
    </row>
    <row r="266" spans="1:15" ht="14.25" customHeight="1">
      <c r="A266" s="2" t="s">
        <v>15</v>
      </c>
      <c r="B266" s="2">
        <v>1945</v>
      </c>
      <c r="C266" s="2" t="s">
        <v>23</v>
      </c>
      <c r="D266" s="2">
        <v>1159558</v>
      </c>
      <c r="J266" s="3">
        <f t="shared" si="6"/>
        <v>58908.656777077827</v>
      </c>
      <c r="K266" s="3" t="e">
        <f t="shared" si="7"/>
        <v>#N/A</v>
      </c>
      <c r="L266" s="3" t="e">
        <f t="shared" si="8"/>
        <v>#N/A</v>
      </c>
      <c r="M266" s="3" t="e">
        <f t="shared" si="9"/>
        <v>#N/A</v>
      </c>
      <c r="N266" s="3" t="e">
        <f t="shared" si="10"/>
        <v>#N/A</v>
      </c>
      <c r="O266" s="3" t="e">
        <f t="shared" si="11"/>
        <v>#N/A</v>
      </c>
    </row>
    <row r="267" spans="1:15" ht="14.25" customHeight="1">
      <c r="A267" s="2" t="s">
        <v>15</v>
      </c>
      <c r="B267" s="2">
        <v>1946</v>
      </c>
      <c r="C267" s="2" t="s">
        <v>23</v>
      </c>
      <c r="D267" s="2">
        <v>2872977</v>
      </c>
      <c r="F267" s="2">
        <f>201+605</f>
        <v>806</v>
      </c>
      <c r="G267" s="2">
        <f>953+3385</f>
        <v>4338</v>
      </c>
      <c r="H267" s="2">
        <v>490393</v>
      </c>
      <c r="I267" s="2">
        <v>1296477</v>
      </c>
      <c r="J267" s="3">
        <f t="shared" si="6"/>
        <v>145954.93802072748</v>
      </c>
      <c r="K267" s="3" t="e">
        <f t="shared" si="7"/>
        <v>#N/A</v>
      </c>
      <c r="L267" s="3">
        <f t="shared" si="8"/>
        <v>40.946961999593576</v>
      </c>
      <c r="M267" s="3">
        <f t="shared" si="9"/>
        <v>4.3380000000000001</v>
      </c>
      <c r="N267" s="3">
        <f t="shared" si="10"/>
        <v>24913.279821174558</v>
      </c>
      <c r="O267" s="3">
        <f t="shared" si="11"/>
        <v>1296.4770000000001</v>
      </c>
    </row>
    <row r="268" spans="1:15" ht="14.25" customHeight="1">
      <c r="A268" s="2" t="s">
        <v>15</v>
      </c>
      <c r="B268" s="2">
        <v>1947</v>
      </c>
      <c r="C268" s="2" t="s">
        <v>23</v>
      </c>
      <c r="D268" s="2">
        <v>3151999</v>
      </c>
      <c r="J268" s="3">
        <f t="shared" si="6"/>
        <v>160130.00406421459</v>
      </c>
      <c r="K268" s="3" t="e">
        <f t="shared" si="7"/>
        <v>#N/A</v>
      </c>
      <c r="L268" s="3" t="e">
        <f t="shared" si="8"/>
        <v>#N/A</v>
      </c>
      <c r="M268" s="3" t="e">
        <f t="shared" si="9"/>
        <v>#N/A</v>
      </c>
      <c r="N268" s="3" t="e">
        <f t="shared" si="10"/>
        <v>#N/A</v>
      </c>
      <c r="O268" s="3" t="e">
        <f t="shared" si="11"/>
        <v>#N/A</v>
      </c>
    </row>
    <row r="269" spans="1:15" ht="14.25" customHeight="1">
      <c r="A269" s="2" t="s">
        <v>15</v>
      </c>
      <c r="B269" s="2">
        <v>1948</v>
      </c>
      <c r="C269" s="2" t="s">
        <v>23</v>
      </c>
      <c r="D269" s="2">
        <v>2575116</v>
      </c>
      <c r="J269" s="3">
        <f t="shared" si="6"/>
        <v>130822.80024385286</v>
      </c>
      <c r="K269" s="3" t="e">
        <f t="shared" si="7"/>
        <v>#N/A</v>
      </c>
      <c r="L269" s="3" t="e">
        <f t="shared" si="8"/>
        <v>#N/A</v>
      </c>
      <c r="M269" s="3" t="e">
        <f t="shared" si="9"/>
        <v>#N/A</v>
      </c>
      <c r="N269" s="3" t="e">
        <f t="shared" si="10"/>
        <v>#N/A</v>
      </c>
      <c r="O269" s="3" t="e">
        <f t="shared" si="11"/>
        <v>#N/A</v>
      </c>
    </row>
    <row r="270" spans="1:15" ht="14.25" customHeight="1">
      <c r="A270" s="2" t="s">
        <v>15</v>
      </c>
      <c r="B270" s="2">
        <v>1949</v>
      </c>
      <c r="C270" s="2" t="s">
        <v>23</v>
      </c>
      <c r="D270" s="2">
        <v>2622146</v>
      </c>
      <c r="J270" s="3">
        <f t="shared" si="6"/>
        <v>133212.05039626092</v>
      </c>
      <c r="K270" s="3" t="e">
        <f t="shared" si="7"/>
        <v>#N/A</v>
      </c>
      <c r="L270" s="3" t="e">
        <f t="shared" si="8"/>
        <v>#N/A</v>
      </c>
      <c r="M270" s="3" t="e">
        <f t="shared" si="9"/>
        <v>#N/A</v>
      </c>
      <c r="N270" s="3" t="e">
        <f t="shared" si="10"/>
        <v>#N/A</v>
      </c>
      <c r="O270" s="3" t="e">
        <f t="shared" si="11"/>
        <v>#N/A</v>
      </c>
    </row>
    <row r="271" spans="1:15" ht="14.25" customHeight="1">
      <c r="A271" s="2" t="s">
        <v>15</v>
      </c>
      <c r="B271" s="2">
        <v>1950</v>
      </c>
      <c r="C271" s="2" t="s">
        <v>23</v>
      </c>
      <c r="D271" s="2">
        <v>2528197</v>
      </c>
      <c r="F271" s="2" t="s">
        <v>17</v>
      </c>
      <c r="G271" s="2" t="s">
        <v>17</v>
      </c>
      <c r="H271" s="2">
        <v>282607</v>
      </c>
      <c r="I271" s="2">
        <v>686561</v>
      </c>
      <c r="J271" s="3">
        <f t="shared" si="6"/>
        <v>128439.18918918919</v>
      </c>
      <c r="K271" s="3" t="e">
        <f t="shared" si="7"/>
        <v>#N/A</v>
      </c>
      <c r="L271" s="3" t="e">
        <f t="shared" si="8"/>
        <v>#VALUE!</v>
      </c>
      <c r="M271" s="3" t="e">
        <f t="shared" si="9"/>
        <v>#VALUE!</v>
      </c>
      <c r="N271" s="3">
        <f t="shared" si="10"/>
        <v>14357.193659825238</v>
      </c>
      <c r="O271" s="3">
        <f t="shared" si="11"/>
        <v>686.56100000000004</v>
      </c>
    </row>
    <row r="272" spans="1:15" ht="14.25" customHeight="1">
      <c r="A272" s="2" t="s">
        <v>15</v>
      </c>
      <c r="B272" s="2">
        <v>1951</v>
      </c>
      <c r="C272" s="2" t="s">
        <v>23</v>
      </c>
      <c r="D272" s="2">
        <v>2355044</v>
      </c>
      <c r="J272" s="3">
        <f t="shared" si="6"/>
        <v>119642.55232676285</v>
      </c>
      <c r="K272" s="3" t="e">
        <f t="shared" si="7"/>
        <v>#N/A</v>
      </c>
      <c r="L272" s="3" t="e">
        <f t="shared" si="8"/>
        <v>#N/A</v>
      </c>
      <c r="M272" s="3" t="e">
        <f t="shared" si="9"/>
        <v>#N/A</v>
      </c>
      <c r="N272" s="3" t="e">
        <f t="shared" si="10"/>
        <v>#N/A</v>
      </c>
      <c r="O272" s="3" t="e">
        <f t="shared" si="11"/>
        <v>#N/A</v>
      </c>
    </row>
    <row r="273" spans="1:15" ht="14.25" customHeight="1">
      <c r="A273" s="2" t="s">
        <v>15</v>
      </c>
      <c r="B273" s="2">
        <v>1952</v>
      </c>
      <c r="C273" s="2" t="s">
        <v>23</v>
      </c>
      <c r="D273" s="2">
        <v>2170022</v>
      </c>
      <c r="J273" s="3">
        <f t="shared" si="6"/>
        <v>110242.93842714895</v>
      </c>
      <c r="K273" s="3" t="e">
        <f t="shared" si="7"/>
        <v>#N/A</v>
      </c>
      <c r="L273" s="3" t="e">
        <f t="shared" si="8"/>
        <v>#N/A</v>
      </c>
      <c r="M273" s="3" t="e">
        <f t="shared" si="9"/>
        <v>#N/A</v>
      </c>
      <c r="N273" s="3" t="e">
        <f t="shared" si="10"/>
        <v>#N/A</v>
      </c>
      <c r="O273" s="3" t="e">
        <f t="shared" si="11"/>
        <v>#N/A</v>
      </c>
    </row>
    <row r="274" spans="1:15" ht="14.25" customHeight="1">
      <c r="A274" s="2" t="s">
        <v>15</v>
      </c>
      <c r="B274" s="2">
        <v>1953</v>
      </c>
      <c r="C274" s="2" t="s">
        <v>23</v>
      </c>
      <c r="D274" s="2">
        <v>2330809</v>
      </c>
      <c r="J274" s="3">
        <f t="shared" si="6"/>
        <v>118411.34931924405</v>
      </c>
      <c r="K274" s="3" t="e">
        <f t="shared" si="7"/>
        <v>#N/A</v>
      </c>
      <c r="L274" s="3" t="e">
        <f t="shared" si="8"/>
        <v>#N/A</v>
      </c>
      <c r="M274" s="3" t="e">
        <f t="shared" si="9"/>
        <v>#N/A</v>
      </c>
      <c r="N274" s="3" t="e">
        <f t="shared" si="10"/>
        <v>#N/A</v>
      </c>
      <c r="O274" s="3" t="e">
        <f t="shared" si="11"/>
        <v>#N/A</v>
      </c>
    </row>
    <row r="275" spans="1:15" ht="14.25" customHeight="1">
      <c r="A275" s="2" t="s">
        <v>15</v>
      </c>
      <c r="B275" s="2">
        <v>1954</v>
      </c>
      <c r="C275" s="2" t="s">
        <v>23</v>
      </c>
      <c r="D275" s="2">
        <v>2492242</v>
      </c>
      <c r="J275" s="3">
        <f t="shared" si="6"/>
        <v>126612.57874415768</v>
      </c>
      <c r="K275" s="3" t="e">
        <f t="shared" si="7"/>
        <v>#N/A</v>
      </c>
      <c r="L275" s="3" t="e">
        <f t="shared" si="8"/>
        <v>#N/A</v>
      </c>
      <c r="M275" s="3" t="e">
        <f t="shared" si="9"/>
        <v>#N/A</v>
      </c>
      <c r="N275" s="3" t="e">
        <f t="shared" si="10"/>
        <v>#N/A</v>
      </c>
      <c r="O275" s="3" t="e">
        <f t="shared" si="11"/>
        <v>#N/A</v>
      </c>
    </row>
    <row r="276" spans="1:15" ht="14.25" customHeight="1">
      <c r="A276" s="2" t="s">
        <v>15</v>
      </c>
      <c r="B276" s="2">
        <v>1955</v>
      </c>
      <c r="C276" s="2" t="s">
        <v>23</v>
      </c>
      <c r="D276" s="2">
        <v>2909222</v>
      </c>
      <c r="F276" s="2" t="s">
        <v>17</v>
      </c>
      <c r="G276" s="2" t="s">
        <v>17</v>
      </c>
      <c r="H276" s="2">
        <f>237387</f>
        <v>237387</v>
      </c>
      <c r="I276" s="2">
        <f>615839</f>
        <v>615839</v>
      </c>
      <c r="J276" s="3">
        <f t="shared" si="6"/>
        <v>147796.28124364966</v>
      </c>
      <c r="K276" s="3" t="e">
        <f t="shared" si="7"/>
        <v>#N/A</v>
      </c>
      <c r="L276" s="3" t="e">
        <f t="shared" si="8"/>
        <v>#VALUE!</v>
      </c>
      <c r="M276" s="3" t="e">
        <f t="shared" si="9"/>
        <v>#VALUE!</v>
      </c>
      <c r="N276" s="3">
        <f t="shared" si="10"/>
        <v>12059.896362527941</v>
      </c>
      <c r="O276" s="3">
        <f t="shared" si="11"/>
        <v>615.83900000000006</v>
      </c>
    </row>
    <row r="277" spans="1:15" ht="14.25" customHeight="1">
      <c r="A277" s="2" t="s">
        <v>15</v>
      </c>
      <c r="B277" s="2">
        <v>1956</v>
      </c>
      <c r="C277" s="2" t="s">
        <v>23</v>
      </c>
      <c r="D277" s="2">
        <v>2959000</v>
      </c>
      <c r="E277" s="2">
        <v>8039000</v>
      </c>
      <c r="J277" s="3">
        <f t="shared" si="6"/>
        <v>150325.13716724241</v>
      </c>
      <c r="K277" s="3">
        <f t="shared" si="7"/>
        <v>8039</v>
      </c>
      <c r="L277" s="3" t="e">
        <f t="shared" si="8"/>
        <v>#N/A</v>
      </c>
      <c r="M277" s="3" t="e">
        <f t="shared" si="9"/>
        <v>#N/A</v>
      </c>
      <c r="N277" s="3" t="e">
        <f t="shared" si="10"/>
        <v>#N/A</v>
      </c>
      <c r="O277" s="3" t="e">
        <f t="shared" si="11"/>
        <v>#N/A</v>
      </c>
    </row>
    <row r="278" spans="1:15" ht="14.25" customHeight="1">
      <c r="A278" s="2" t="s">
        <v>15</v>
      </c>
      <c r="B278" s="2">
        <v>1957</v>
      </c>
      <c r="C278" s="2" t="s">
        <v>23</v>
      </c>
      <c r="D278" s="2">
        <v>3130000</v>
      </c>
      <c r="E278" s="2">
        <v>8825000</v>
      </c>
      <c r="J278" s="3">
        <f t="shared" si="6"/>
        <v>159012.39585450111</v>
      </c>
      <c r="K278" s="3">
        <f t="shared" si="7"/>
        <v>8825</v>
      </c>
      <c r="L278" s="3" t="e">
        <f t="shared" si="8"/>
        <v>#N/A</v>
      </c>
      <c r="M278" s="3" t="e">
        <f t="shared" si="9"/>
        <v>#N/A</v>
      </c>
      <c r="N278" s="3" t="e">
        <f t="shared" si="10"/>
        <v>#N/A</v>
      </c>
      <c r="O278" s="3" t="e">
        <f t="shared" si="11"/>
        <v>#N/A</v>
      </c>
    </row>
    <row r="279" spans="1:15" ht="14.25" customHeight="1">
      <c r="A279" s="2" t="s">
        <v>15</v>
      </c>
      <c r="B279" s="2">
        <v>1958</v>
      </c>
      <c r="C279" s="2" t="s">
        <v>23</v>
      </c>
      <c r="D279" s="2">
        <v>2853000</v>
      </c>
      <c r="E279" s="2">
        <v>9131000</v>
      </c>
      <c r="J279" s="3">
        <f t="shared" si="6"/>
        <v>144940.05283478968</v>
      </c>
      <c r="K279" s="3">
        <f t="shared" si="7"/>
        <v>9131</v>
      </c>
      <c r="L279" s="3" t="e">
        <f t="shared" si="8"/>
        <v>#N/A</v>
      </c>
      <c r="M279" s="3" t="e">
        <f t="shared" si="9"/>
        <v>#N/A</v>
      </c>
      <c r="N279" s="3" t="e">
        <f t="shared" si="10"/>
        <v>#N/A</v>
      </c>
      <c r="O279" s="3" t="e">
        <f t="shared" si="11"/>
        <v>#N/A</v>
      </c>
    </row>
    <row r="280" spans="1:15" ht="14.25" customHeight="1">
      <c r="A280" s="2" t="s">
        <v>15</v>
      </c>
      <c r="B280" s="2">
        <v>1959</v>
      </c>
      <c r="C280" s="2" t="s">
        <v>23</v>
      </c>
      <c r="D280" s="2">
        <v>2415000</v>
      </c>
      <c r="E280" s="2">
        <v>8768000</v>
      </c>
      <c r="J280" s="3">
        <f t="shared" si="6"/>
        <v>122688.47795163584</v>
      </c>
      <c r="K280" s="3">
        <f t="shared" si="7"/>
        <v>8768</v>
      </c>
      <c r="L280" s="3" t="e">
        <f t="shared" si="8"/>
        <v>#N/A</v>
      </c>
      <c r="M280" s="3" t="e">
        <f t="shared" si="9"/>
        <v>#N/A</v>
      </c>
      <c r="N280" s="3" t="e">
        <f t="shared" si="10"/>
        <v>#N/A</v>
      </c>
      <c r="O280" s="3" t="e">
        <f t="shared" si="11"/>
        <v>#N/A</v>
      </c>
    </row>
    <row r="281" spans="1:15" ht="14.25" customHeight="1">
      <c r="A281" s="2" t="s">
        <v>15</v>
      </c>
      <c r="B281" s="2">
        <v>1960</v>
      </c>
      <c r="C281" s="2" t="s">
        <v>23</v>
      </c>
      <c r="D281" s="2">
        <v>2688000</v>
      </c>
      <c r="E281" s="2">
        <v>9761000</v>
      </c>
      <c r="F281" s="2" t="s">
        <v>17</v>
      </c>
      <c r="G281" s="2" t="s">
        <v>17</v>
      </c>
      <c r="H281" s="2">
        <f>389568</f>
        <v>389568</v>
      </c>
      <c r="I281" s="2">
        <f>1726684</f>
        <v>1726684</v>
      </c>
      <c r="J281" s="3">
        <f t="shared" si="6"/>
        <v>136557.61024182077</v>
      </c>
      <c r="K281" s="3">
        <f t="shared" si="7"/>
        <v>9761</v>
      </c>
      <c r="L281" s="3" t="e">
        <f t="shared" si="8"/>
        <v>#VALUE!</v>
      </c>
      <c r="M281" s="3" t="e">
        <f t="shared" si="9"/>
        <v>#VALUE!</v>
      </c>
      <c r="N281" s="3">
        <f t="shared" si="10"/>
        <v>19791.099370046737</v>
      </c>
      <c r="O281" s="3">
        <f t="shared" si="11"/>
        <v>1726.684</v>
      </c>
    </row>
    <row r="282" spans="1:15" ht="14.25" customHeight="1">
      <c r="A282" s="2" t="s">
        <v>15</v>
      </c>
      <c r="B282" s="2">
        <v>1961</v>
      </c>
      <c r="C282" s="2" t="s">
        <v>23</v>
      </c>
      <c r="D282" s="2">
        <v>2626000</v>
      </c>
      <c r="E282" s="2">
        <v>9962000</v>
      </c>
      <c r="J282" s="3">
        <f t="shared" si="6"/>
        <v>133407.84393415973</v>
      </c>
      <c r="K282" s="3">
        <f t="shared" si="7"/>
        <v>9962</v>
      </c>
      <c r="L282" s="3" t="e">
        <f t="shared" si="8"/>
        <v>#N/A</v>
      </c>
      <c r="M282" s="3" t="e">
        <f t="shared" si="9"/>
        <v>#N/A</v>
      </c>
      <c r="N282" s="3" t="e">
        <f t="shared" si="10"/>
        <v>#N/A</v>
      </c>
      <c r="O282" s="3" t="e">
        <f t="shared" si="11"/>
        <v>#N/A</v>
      </c>
    </row>
    <row r="283" spans="1:15" ht="14.25" customHeight="1">
      <c r="A283" s="2" t="s">
        <v>15</v>
      </c>
      <c r="B283" s="2">
        <v>1962</v>
      </c>
      <c r="C283" s="2" t="s">
        <v>23</v>
      </c>
      <c r="D283" s="2">
        <v>2705000</v>
      </c>
      <c r="E283" s="2">
        <v>9673000</v>
      </c>
      <c r="J283" s="3">
        <f t="shared" si="6"/>
        <v>137421.25584230846</v>
      </c>
      <c r="K283" s="3">
        <f t="shared" si="7"/>
        <v>9673</v>
      </c>
      <c r="L283" s="3" t="e">
        <f t="shared" si="8"/>
        <v>#N/A</v>
      </c>
      <c r="M283" s="3" t="e">
        <f t="shared" si="9"/>
        <v>#N/A</v>
      </c>
      <c r="N283" s="3" t="e">
        <f t="shared" si="10"/>
        <v>#N/A</v>
      </c>
      <c r="O283" s="3" t="e">
        <f t="shared" si="11"/>
        <v>#N/A</v>
      </c>
    </row>
    <row r="284" spans="1:15" ht="14.25" customHeight="1">
      <c r="A284" s="2" t="s">
        <v>15</v>
      </c>
      <c r="B284" s="2">
        <v>1963</v>
      </c>
      <c r="C284" s="2" t="s">
        <v>23</v>
      </c>
      <c r="D284" s="2">
        <v>2409000</v>
      </c>
      <c r="E284" s="2">
        <v>9404000</v>
      </c>
      <c r="J284" s="3">
        <f t="shared" si="6"/>
        <v>122383.66185734606</v>
      </c>
      <c r="K284" s="3">
        <f t="shared" si="7"/>
        <v>9404</v>
      </c>
      <c r="L284" s="3" t="e">
        <f t="shared" si="8"/>
        <v>#N/A</v>
      </c>
      <c r="M284" s="3" t="e">
        <f t="shared" si="9"/>
        <v>#N/A</v>
      </c>
      <c r="N284" s="3" t="e">
        <f t="shared" si="10"/>
        <v>#N/A</v>
      </c>
      <c r="O284" s="3" t="e">
        <f t="shared" si="11"/>
        <v>#N/A</v>
      </c>
    </row>
    <row r="285" spans="1:15" ht="14.25" customHeight="1">
      <c r="A285" s="2" t="s">
        <v>15</v>
      </c>
      <c r="B285" s="2">
        <v>1964</v>
      </c>
      <c r="C285" s="2" t="s">
        <v>23</v>
      </c>
      <c r="D285" s="4">
        <v>2953000</v>
      </c>
      <c r="E285" s="4">
        <v>10220000</v>
      </c>
      <c r="J285" s="3">
        <f t="shared" si="6"/>
        <v>150020.32107295265</v>
      </c>
      <c r="K285" s="3">
        <f t="shared" si="7"/>
        <v>10220</v>
      </c>
      <c r="L285" s="3" t="e">
        <f t="shared" si="8"/>
        <v>#N/A</v>
      </c>
      <c r="M285" s="3" t="e">
        <f t="shared" si="9"/>
        <v>#N/A</v>
      </c>
      <c r="N285" s="3" t="e">
        <f t="shared" si="10"/>
        <v>#N/A</v>
      </c>
      <c r="O285" s="3" t="e">
        <f t="shared" si="11"/>
        <v>#N/A</v>
      </c>
    </row>
    <row r="286" spans="1:15" ht="14.25" customHeight="1">
      <c r="A286" s="2" t="s">
        <v>15</v>
      </c>
      <c r="B286" s="2">
        <v>1900</v>
      </c>
      <c r="C286" s="2" t="s">
        <v>19</v>
      </c>
      <c r="D286" s="4">
        <v>6168469</v>
      </c>
      <c r="E286" s="4">
        <v>2247987</v>
      </c>
      <c r="F286" s="4" t="s">
        <v>26</v>
      </c>
      <c r="G286" s="4">
        <v>2337822</v>
      </c>
      <c r="H286" s="2" t="s">
        <v>17</v>
      </c>
      <c r="I286" s="2" t="s">
        <v>17</v>
      </c>
      <c r="J286" s="3">
        <f t="shared" si="6"/>
        <v>313374.77138792927</v>
      </c>
      <c r="K286" s="3">
        <f t="shared" si="7"/>
        <v>2247.9870000000001</v>
      </c>
      <c r="L286" s="3" t="e">
        <f t="shared" si="8"/>
        <v>#VALUE!</v>
      </c>
      <c r="M286" s="3">
        <f t="shared" si="9"/>
        <v>2337.8220000000001</v>
      </c>
      <c r="N286" s="3" t="e">
        <f t="shared" si="10"/>
        <v>#VALUE!</v>
      </c>
      <c r="O286" s="3" t="e">
        <f t="shared" si="11"/>
        <v>#VALUE!</v>
      </c>
    </row>
    <row r="287" spans="1:15" ht="14.25" customHeight="1">
      <c r="A287" s="2" t="s">
        <v>15</v>
      </c>
      <c r="B287" s="2">
        <v>1901</v>
      </c>
      <c r="C287" s="2" t="s">
        <v>19</v>
      </c>
      <c r="D287" s="4">
        <v>7057841</v>
      </c>
      <c r="E287" s="4">
        <v>2028781</v>
      </c>
      <c r="J287" s="3">
        <f t="shared" si="6"/>
        <v>358557.25462304405</v>
      </c>
      <c r="K287" s="3">
        <f t="shared" si="7"/>
        <v>2028.7809999999999</v>
      </c>
      <c r="L287" s="3" t="e">
        <f t="shared" si="8"/>
        <v>#N/A</v>
      </c>
      <c r="M287" s="3" t="e">
        <f t="shared" si="9"/>
        <v>#N/A</v>
      </c>
      <c r="N287" s="3" t="e">
        <f t="shared" si="10"/>
        <v>#N/A</v>
      </c>
      <c r="O287" s="3" t="e">
        <f t="shared" si="11"/>
        <v>#N/A</v>
      </c>
    </row>
    <row r="288" spans="1:15" ht="14.25" customHeight="1">
      <c r="A288" s="2" t="s">
        <v>15</v>
      </c>
      <c r="B288" s="2">
        <v>1902</v>
      </c>
      <c r="C288" s="2" t="s">
        <v>19</v>
      </c>
      <c r="D288" s="4">
        <v>8437666</v>
      </c>
      <c r="E288" s="4">
        <v>2631912</v>
      </c>
      <c r="J288" s="3">
        <f t="shared" si="6"/>
        <v>428656.06584027637</v>
      </c>
      <c r="K288" s="3">
        <f t="shared" si="7"/>
        <v>2631.9119999999998</v>
      </c>
      <c r="L288" s="3" t="e">
        <f t="shared" si="8"/>
        <v>#N/A</v>
      </c>
      <c r="M288" s="3" t="e">
        <f t="shared" si="9"/>
        <v>#N/A</v>
      </c>
      <c r="N288" s="3" t="e">
        <f t="shared" si="10"/>
        <v>#N/A</v>
      </c>
      <c r="O288" s="3" t="e">
        <f t="shared" si="11"/>
        <v>#N/A</v>
      </c>
    </row>
    <row r="289" spans="1:15" ht="14.25" customHeight="1">
      <c r="A289" s="2" t="s">
        <v>15</v>
      </c>
      <c r="B289" s="2">
        <v>1903</v>
      </c>
      <c r="C289" s="2" t="s">
        <v>19</v>
      </c>
      <c r="D289" s="4"/>
      <c r="E289" s="4"/>
      <c r="J289" s="3" t="e">
        <f t="shared" si="6"/>
        <v>#N/A</v>
      </c>
      <c r="K289" s="3" t="e">
        <f t="shared" si="7"/>
        <v>#N/A</v>
      </c>
      <c r="L289" s="3" t="e">
        <f t="shared" si="8"/>
        <v>#N/A</v>
      </c>
      <c r="M289" s="3" t="e">
        <f t="shared" si="9"/>
        <v>#N/A</v>
      </c>
      <c r="N289" s="3" t="e">
        <f t="shared" si="10"/>
        <v>#N/A</v>
      </c>
      <c r="O289" s="3" t="e">
        <f t="shared" si="11"/>
        <v>#N/A</v>
      </c>
    </row>
    <row r="290" spans="1:15" ht="14.25" customHeight="1">
      <c r="A290" s="2" t="s">
        <v>15</v>
      </c>
      <c r="B290" s="2">
        <v>1904</v>
      </c>
      <c r="C290" s="2" t="s">
        <v>19</v>
      </c>
      <c r="D290" s="4"/>
      <c r="E290" s="4"/>
      <c r="J290" s="3" t="e">
        <f t="shared" si="6"/>
        <v>#N/A</v>
      </c>
      <c r="K290" s="3" t="e">
        <f t="shared" si="7"/>
        <v>#N/A</v>
      </c>
      <c r="L290" s="3" t="e">
        <f t="shared" si="8"/>
        <v>#N/A</v>
      </c>
      <c r="M290" s="3" t="e">
        <f t="shared" si="9"/>
        <v>#N/A</v>
      </c>
      <c r="N290" s="3" t="e">
        <f t="shared" si="10"/>
        <v>#N/A</v>
      </c>
      <c r="O290" s="3" t="e">
        <f t="shared" si="11"/>
        <v>#N/A</v>
      </c>
    </row>
    <row r="291" spans="1:15" ht="14.25" customHeight="1">
      <c r="A291" s="2" t="s">
        <v>15</v>
      </c>
      <c r="B291" s="2">
        <v>1905</v>
      </c>
      <c r="C291" s="2" t="s">
        <v>19</v>
      </c>
      <c r="F291" s="4" t="s">
        <v>27</v>
      </c>
      <c r="G291" s="4">
        <v>3133889</v>
      </c>
      <c r="H291" s="2">
        <v>602422</v>
      </c>
      <c r="I291" s="2">
        <v>205530</v>
      </c>
      <c r="J291" s="3" t="e">
        <f t="shared" si="6"/>
        <v>#N/A</v>
      </c>
      <c r="K291" s="3" t="e">
        <f t="shared" si="7"/>
        <v>#N/A</v>
      </c>
      <c r="L291" s="3" t="e">
        <f t="shared" si="8"/>
        <v>#VALUE!</v>
      </c>
      <c r="M291" s="3">
        <f t="shared" si="9"/>
        <v>3133.8890000000001</v>
      </c>
      <c r="N291" s="3">
        <f t="shared" si="10"/>
        <v>30604.653525706155</v>
      </c>
      <c r="O291" s="3">
        <f t="shared" si="11"/>
        <v>205.53</v>
      </c>
    </row>
    <row r="292" spans="1:15" ht="14.25" customHeight="1">
      <c r="A292" s="2" t="s">
        <v>15</v>
      </c>
      <c r="B292" s="2">
        <v>1906</v>
      </c>
      <c r="C292" s="2" t="s">
        <v>19</v>
      </c>
      <c r="J292" s="3" t="e">
        <f t="shared" si="6"/>
        <v>#N/A</v>
      </c>
      <c r="K292" s="3" t="e">
        <f t="shared" si="7"/>
        <v>#N/A</v>
      </c>
      <c r="L292" s="3" t="e">
        <f t="shared" si="8"/>
        <v>#N/A</v>
      </c>
      <c r="M292" s="3" t="e">
        <f t="shared" si="9"/>
        <v>#N/A</v>
      </c>
      <c r="N292" s="3" t="e">
        <f t="shared" si="10"/>
        <v>#N/A</v>
      </c>
      <c r="O292" s="3" t="e">
        <f t="shared" si="11"/>
        <v>#N/A</v>
      </c>
    </row>
    <row r="293" spans="1:15" ht="14.25" customHeight="1">
      <c r="A293" s="2" t="s">
        <v>15</v>
      </c>
      <c r="B293" s="2">
        <v>1907</v>
      </c>
      <c r="C293" s="2" t="s">
        <v>19</v>
      </c>
      <c r="J293" s="3" t="e">
        <f t="shared" si="6"/>
        <v>#N/A</v>
      </c>
      <c r="K293" s="3" t="e">
        <f t="shared" si="7"/>
        <v>#N/A</v>
      </c>
      <c r="L293" s="3" t="e">
        <f t="shared" si="8"/>
        <v>#N/A</v>
      </c>
      <c r="M293" s="3" t="e">
        <f t="shared" si="9"/>
        <v>#N/A</v>
      </c>
      <c r="N293" s="3" t="e">
        <f t="shared" si="10"/>
        <v>#N/A</v>
      </c>
      <c r="O293" s="3" t="e">
        <f t="shared" si="11"/>
        <v>#N/A</v>
      </c>
    </row>
    <row r="294" spans="1:15" ht="14.25" customHeight="1">
      <c r="A294" s="2" t="s">
        <v>15</v>
      </c>
      <c r="B294" s="2">
        <v>1908</v>
      </c>
      <c r="C294" s="2" t="s">
        <v>19</v>
      </c>
      <c r="J294" s="3" t="e">
        <f t="shared" si="6"/>
        <v>#N/A</v>
      </c>
      <c r="K294" s="3" t="e">
        <f t="shared" si="7"/>
        <v>#N/A</v>
      </c>
      <c r="L294" s="3" t="e">
        <f t="shared" si="8"/>
        <v>#N/A</v>
      </c>
      <c r="M294" s="3" t="e">
        <f t="shared" si="9"/>
        <v>#N/A</v>
      </c>
      <c r="N294" s="3" t="e">
        <f t="shared" si="10"/>
        <v>#N/A</v>
      </c>
      <c r="O294" s="3" t="e">
        <f t="shared" si="11"/>
        <v>#N/A</v>
      </c>
    </row>
    <row r="295" spans="1:15" ht="14.25" customHeight="1">
      <c r="A295" s="2" t="s">
        <v>15</v>
      </c>
      <c r="B295" s="2">
        <v>1909</v>
      </c>
      <c r="C295" s="2" t="s">
        <v>19</v>
      </c>
      <c r="J295" s="3" t="e">
        <f t="shared" si="6"/>
        <v>#N/A</v>
      </c>
      <c r="K295" s="3" t="e">
        <f t="shared" si="7"/>
        <v>#N/A</v>
      </c>
      <c r="L295" s="3" t="e">
        <f t="shared" si="8"/>
        <v>#N/A</v>
      </c>
      <c r="M295" s="3" t="e">
        <f t="shared" si="9"/>
        <v>#N/A</v>
      </c>
      <c r="N295" s="3" t="e">
        <f t="shared" si="10"/>
        <v>#N/A</v>
      </c>
      <c r="O295" s="3" t="e">
        <f t="shared" si="11"/>
        <v>#N/A</v>
      </c>
    </row>
    <row r="296" spans="1:15" ht="14.25" customHeight="1">
      <c r="A296" s="2" t="s">
        <v>15</v>
      </c>
      <c r="B296" s="2">
        <v>1910</v>
      </c>
      <c r="C296" s="2" t="s">
        <v>19</v>
      </c>
      <c r="F296" s="2">
        <f>680124+7361990</f>
        <v>8042114</v>
      </c>
      <c r="G296" s="2">
        <f>311075+3723233</f>
        <v>4034308</v>
      </c>
      <c r="H296" s="2">
        <f>1320700</f>
        <v>1320700</v>
      </c>
      <c r="I296" s="2">
        <f>330399</f>
        <v>330399</v>
      </c>
      <c r="J296" s="3" t="e">
        <f t="shared" si="6"/>
        <v>#N/A</v>
      </c>
      <c r="K296" s="3" t="e">
        <f t="shared" si="7"/>
        <v>#N/A</v>
      </c>
      <c r="L296" s="3">
        <f t="shared" si="8"/>
        <v>408560.96321885794</v>
      </c>
      <c r="M296" s="3">
        <f t="shared" si="9"/>
        <v>4034.308</v>
      </c>
      <c r="N296" s="3">
        <f t="shared" si="10"/>
        <v>67095.102621418409</v>
      </c>
      <c r="O296" s="3">
        <f t="shared" si="11"/>
        <v>330.399</v>
      </c>
    </row>
    <row r="297" spans="1:15" ht="14.25" customHeight="1">
      <c r="A297" s="2" t="s">
        <v>15</v>
      </c>
      <c r="B297" s="2">
        <v>1911</v>
      </c>
      <c r="C297" s="2" t="s">
        <v>19</v>
      </c>
      <c r="D297" s="2">
        <v>10032460</v>
      </c>
      <c r="J297" s="3">
        <f t="shared" si="6"/>
        <v>509675.8788864052</v>
      </c>
      <c r="K297" s="3" t="e">
        <f t="shared" si="7"/>
        <v>#N/A</v>
      </c>
      <c r="L297" s="3" t="e">
        <f t="shared" si="8"/>
        <v>#N/A</v>
      </c>
      <c r="M297" s="3" t="e">
        <f t="shared" si="9"/>
        <v>#N/A</v>
      </c>
      <c r="N297" s="3" t="e">
        <f t="shared" si="10"/>
        <v>#N/A</v>
      </c>
      <c r="O297" s="3" t="e">
        <f t="shared" si="11"/>
        <v>#N/A</v>
      </c>
    </row>
    <row r="298" spans="1:15" ht="14.25" customHeight="1">
      <c r="A298" s="2" t="s">
        <v>15</v>
      </c>
      <c r="B298" s="2">
        <v>1912</v>
      </c>
      <c r="C298" s="2" t="s">
        <v>19</v>
      </c>
      <c r="D298" s="2">
        <v>10578387</v>
      </c>
      <c r="J298" s="3">
        <f t="shared" si="6"/>
        <v>537410.43487096112</v>
      </c>
      <c r="K298" s="3" t="e">
        <f t="shared" si="7"/>
        <v>#N/A</v>
      </c>
      <c r="L298" s="3" t="e">
        <f t="shared" si="8"/>
        <v>#N/A</v>
      </c>
      <c r="M298" s="3" t="e">
        <f t="shared" si="9"/>
        <v>#N/A</v>
      </c>
      <c r="N298" s="3" t="e">
        <f t="shared" si="10"/>
        <v>#N/A</v>
      </c>
      <c r="O298" s="3" t="e">
        <f t="shared" si="11"/>
        <v>#N/A</v>
      </c>
    </row>
    <row r="299" spans="1:15" ht="14.25" customHeight="1">
      <c r="A299" s="2" t="s">
        <v>15</v>
      </c>
      <c r="B299" s="2">
        <v>1913</v>
      </c>
      <c r="C299" s="2" t="s">
        <v>19</v>
      </c>
      <c r="D299" s="2">
        <v>11762746</v>
      </c>
      <c r="J299" s="3">
        <f t="shared" si="6"/>
        <v>597579.04897378583</v>
      </c>
      <c r="K299" s="3" t="e">
        <f t="shared" si="7"/>
        <v>#N/A</v>
      </c>
      <c r="L299" s="3" t="e">
        <f t="shared" si="8"/>
        <v>#N/A</v>
      </c>
      <c r="M299" s="3" t="e">
        <f t="shared" si="9"/>
        <v>#N/A</v>
      </c>
      <c r="N299" s="3" t="e">
        <f t="shared" si="10"/>
        <v>#N/A</v>
      </c>
      <c r="O299" s="3" t="e">
        <f t="shared" si="11"/>
        <v>#N/A</v>
      </c>
    </row>
    <row r="300" spans="1:15" ht="14.25" customHeight="1">
      <c r="A300" s="2" t="s">
        <v>15</v>
      </c>
      <c r="B300" s="2">
        <v>1914</v>
      </c>
      <c r="C300" s="2" t="s">
        <v>19</v>
      </c>
      <c r="F300" s="2">
        <f>181363+3870577</f>
        <v>4051940</v>
      </c>
      <c r="G300" s="2">
        <f>86818+2253959</f>
        <v>2340777</v>
      </c>
      <c r="H300" s="2">
        <v>953289</v>
      </c>
      <c r="I300" s="2">
        <v>270869</v>
      </c>
      <c r="J300" s="3" t="e">
        <f t="shared" si="6"/>
        <v>#N/A</v>
      </c>
      <c r="K300" s="3" t="e">
        <f t="shared" si="7"/>
        <v>#N/A</v>
      </c>
      <c r="L300" s="3">
        <f t="shared" si="8"/>
        <v>205849.42084942083</v>
      </c>
      <c r="M300" s="3">
        <f t="shared" si="9"/>
        <v>2340.777</v>
      </c>
      <c r="N300" s="3">
        <f t="shared" si="10"/>
        <v>48429.638284901441</v>
      </c>
      <c r="O300" s="3">
        <f t="shared" si="11"/>
        <v>270.86900000000003</v>
      </c>
    </row>
    <row r="301" spans="1:15" ht="14.25" customHeight="1">
      <c r="A301" s="2" t="s">
        <v>15</v>
      </c>
      <c r="B301" s="2">
        <v>1915</v>
      </c>
      <c r="C301" s="2" t="s">
        <v>19</v>
      </c>
      <c r="F301" s="2">
        <f>3338+1008621</f>
        <v>1011959</v>
      </c>
      <c r="G301" s="2">
        <f>3547+916046</f>
        <v>919593</v>
      </c>
      <c r="H301" s="2">
        <v>791925</v>
      </c>
      <c r="I301" s="2">
        <v>429384</v>
      </c>
      <c r="J301" s="3" t="e">
        <f t="shared" si="6"/>
        <v>#N/A</v>
      </c>
      <c r="K301" s="3" t="e">
        <f t="shared" si="7"/>
        <v>#N/A</v>
      </c>
      <c r="L301" s="3">
        <f t="shared" si="8"/>
        <v>51410.231660231657</v>
      </c>
      <c r="M301" s="3">
        <f t="shared" si="9"/>
        <v>919.59299999999996</v>
      </c>
      <c r="N301" s="3">
        <f t="shared" si="10"/>
        <v>40231.914245072141</v>
      </c>
      <c r="O301" s="3">
        <f t="shared" si="11"/>
        <v>429.38400000000001</v>
      </c>
    </row>
    <row r="302" spans="1:15" ht="14.25" customHeight="1">
      <c r="A302" s="2" t="s">
        <v>15</v>
      </c>
      <c r="B302" s="2">
        <v>1916</v>
      </c>
      <c r="C302" s="2" t="s">
        <v>19</v>
      </c>
      <c r="F302" s="2">
        <f>37775+1509385</f>
        <v>1547160</v>
      </c>
      <c r="G302" s="2">
        <f>41144+1675859</f>
        <v>1717003</v>
      </c>
      <c r="H302" s="2">
        <v>171830</v>
      </c>
      <c r="I302" s="2">
        <v>192394</v>
      </c>
      <c r="J302" s="3" t="e">
        <f t="shared" si="6"/>
        <v>#N/A</v>
      </c>
      <c r="K302" s="3" t="e">
        <f t="shared" si="7"/>
        <v>#N/A</v>
      </c>
      <c r="L302" s="3">
        <f t="shared" si="8"/>
        <v>78599.878073562286</v>
      </c>
      <c r="M302" s="3">
        <f t="shared" si="9"/>
        <v>1717.0029999999999</v>
      </c>
      <c r="N302" s="3">
        <f t="shared" si="10"/>
        <v>8729.4249136354392</v>
      </c>
      <c r="O302" s="3">
        <f t="shared" si="11"/>
        <v>192.39400000000001</v>
      </c>
    </row>
    <row r="303" spans="1:15" ht="14.25" customHeight="1">
      <c r="A303" s="2" t="s">
        <v>15</v>
      </c>
      <c r="B303" s="2">
        <v>1917</v>
      </c>
      <c r="C303" s="2" t="s">
        <v>19</v>
      </c>
      <c r="F303" s="2">
        <f>169+315612</f>
        <v>315781</v>
      </c>
      <c r="G303" s="2">
        <f>362+395890</f>
        <v>396252</v>
      </c>
      <c r="H303" s="2">
        <v>230303</v>
      </c>
      <c r="I303" s="2">
        <v>310563</v>
      </c>
      <c r="J303" s="3" t="e">
        <f t="shared" si="6"/>
        <v>#N/A</v>
      </c>
      <c r="K303" s="3" t="e">
        <f t="shared" si="7"/>
        <v>#N/A</v>
      </c>
      <c r="L303" s="3">
        <f t="shared" si="8"/>
        <v>16042.521845153424</v>
      </c>
      <c r="M303" s="3">
        <f t="shared" si="9"/>
        <v>396.25200000000001</v>
      </c>
      <c r="N303" s="3">
        <f t="shared" si="10"/>
        <v>11700.010160536476</v>
      </c>
      <c r="O303" s="3">
        <f t="shared" si="11"/>
        <v>310.56299999999999</v>
      </c>
    </row>
    <row r="304" spans="1:15" ht="14.25" customHeight="1">
      <c r="A304" s="2" t="s">
        <v>15</v>
      </c>
      <c r="B304" s="2">
        <v>1918</v>
      </c>
      <c r="C304" s="2" t="s">
        <v>19</v>
      </c>
      <c r="F304" s="2">
        <f>67+177742</f>
        <v>177809</v>
      </c>
      <c r="G304" s="2">
        <f>166+231758</f>
        <v>231924</v>
      </c>
      <c r="H304" s="2">
        <v>586532</v>
      </c>
      <c r="I304" s="2">
        <v>650502</v>
      </c>
      <c r="J304" s="3" t="e">
        <f t="shared" si="6"/>
        <v>#N/A</v>
      </c>
      <c r="K304" s="3" t="e">
        <f t="shared" si="7"/>
        <v>#N/A</v>
      </c>
      <c r="L304" s="3">
        <f t="shared" si="8"/>
        <v>9033.1741515952035</v>
      </c>
      <c r="M304" s="3">
        <f t="shared" si="9"/>
        <v>231.92400000000001</v>
      </c>
      <c r="N304" s="3">
        <f t="shared" si="10"/>
        <v>29797.398902662058</v>
      </c>
      <c r="O304" s="3">
        <f t="shared" si="11"/>
        <v>650.50199999999995</v>
      </c>
    </row>
    <row r="305" spans="1:15" ht="14.25" customHeight="1">
      <c r="A305" s="2" t="s">
        <v>15</v>
      </c>
      <c r="B305" s="2">
        <v>1919</v>
      </c>
      <c r="C305" s="2" t="s">
        <v>19</v>
      </c>
      <c r="D305" s="2">
        <v>7287911</v>
      </c>
      <c r="F305" s="2">
        <f>16916+2305942</f>
        <v>2322858</v>
      </c>
      <c r="G305" s="2">
        <f>19733+3106301</f>
        <v>3126034</v>
      </c>
      <c r="H305" s="2">
        <v>485279</v>
      </c>
      <c r="I305" s="2">
        <v>642847</v>
      </c>
      <c r="J305" s="3">
        <f t="shared" si="6"/>
        <v>370245.42775858566</v>
      </c>
      <c r="K305" s="3" t="e">
        <f t="shared" si="7"/>
        <v>#N/A</v>
      </c>
      <c r="L305" s="3">
        <f t="shared" si="8"/>
        <v>118007.41719162771</v>
      </c>
      <c r="M305" s="3">
        <f t="shared" si="9"/>
        <v>3126.0340000000001</v>
      </c>
      <c r="N305" s="3">
        <f t="shared" si="10"/>
        <v>24653.474903474904</v>
      </c>
      <c r="O305" s="3">
        <f t="shared" si="11"/>
        <v>642.84699999999998</v>
      </c>
    </row>
    <row r="306" spans="1:15" ht="14.25" customHeight="1">
      <c r="A306" s="2" t="s">
        <v>15</v>
      </c>
      <c r="B306" s="2">
        <v>1920</v>
      </c>
      <c r="C306" s="2" t="s">
        <v>19</v>
      </c>
      <c r="D306" s="2">
        <v>7791701</v>
      </c>
      <c r="F306" s="2">
        <f>400739+3028960</f>
        <v>3429699</v>
      </c>
      <c r="G306" s="2">
        <f>351471+4905789</f>
        <v>5257260</v>
      </c>
      <c r="H306" s="2">
        <f>587164</f>
        <v>587164</v>
      </c>
      <c r="I306" s="2">
        <v>358842</v>
      </c>
      <c r="J306" s="3">
        <f t="shared" si="6"/>
        <v>395839.31111562689</v>
      </c>
      <c r="K306" s="3" t="e">
        <f t="shared" si="7"/>
        <v>#N/A</v>
      </c>
      <c r="L306" s="3">
        <f t="shared" si="8"/>
        <v>174237.90896159317</v>
      </c>
      <c r="M306" s="3">
        <f t="shared" si="9"/>
        <v>5257.26</v>
      </c>
      <c r="N306" s="3">
        <f t="shared" si="10"/>
        <v>29829.50619792725</v>
      </c>
      <c r="O306" s="3">
        <f t="shared" si="11"/>
        <v>358.84199999999998</v>
      </c>
    </row>
    <row r="307" spans="1:15" ht="14.25" customHeight="1">
      <c r="A307" s="2" t="s">
        <v>15</v>
      </c>
      <c r="B307" s="2">
        <v>1921</v>
      </c>
      <c r="C307" s="2" t="s">
        <v>19</v>
      </c>
      <c r="D307" s="2">
        <v>5297822</v>
      </c>
      <c r="J307" s="3">
        <f t="shared" si="6"/>
        <v>269143.56838041049</v>
      </c>
      <c r="K307" s="3" t="e">
        <f t="shared" si="7"/>
        <v>#N/A</v>
      </c>
      <c r="L307" s="3" t="e">
        <f t="shared" si="8"/>
        <v>#N/A</v>
      </c>
      <c r="M307" s="3" t="e">
        <f t="shared" si="9"/>
        <v>#N/A</v>
      </c>
      <c r="N307" s="3" t="e">
        <f t="shared" si="10"/>
        <v>#N/A</v>
      </c>
      <c r="O307" s="3" t="e">
        <f t="shared" si="11"/>
        <v>#N/A</v>
      </c>
    </row>
    <row r="308" spans="1:15" ht="14.25" customHeight="1">
      <c r="A308" s="2" t="s">
        <v>15</v>
      </c>
      <c r="B308" s="2">
        <v>1922</v>
      </c>
      <c r="C308" s="2" t="s">
        <v>19</v>
      </c>
      <c r="D308" s="2">
        <v>5383075</v>
      </c>
      <c r="J308" s="3">
        <f t="shared" si="6"/>
        <v>273474.64946149156</v>
      </c>
      <c r="K308" s="3" t="e">
        <f t="shared" si="7"/>
        <v>#N/A</v>
      </c>
      <c r="L308" s="3" t="e">
        <f t="shared" si="8"/>
        <v>#N/A</v>
      </c>
      <c r="M308" s="3" t="e">
        <f t="shared" si="9"/>
        <v>#N/A</v>
      </c>
      <c r="N308" s="3" t="e">
        <f t="shared" si="10"/>
        <v>#N/A</v>
      </c>
      <c r="O308" s="3" t="e">
        <f t="shared" si="11"/>
        <v>#N/A</v>
      </c>
    </row>
    <row r="309" spans="1:15" ht="14.25" customHeight="1">
      <c r="A309" s="2" t="s">
        <v>15</v>
      </c>
      <c r="B309" s="2">
        <v>1923</v>
      </c>
      <c r="C309" s="2" t="s">
        <v>19</v>
      </c>
      <c r="D309" s="2">
        <v>6287740</v>
      </c>
      <c r="J309" s="3">
        <f t="shared" si="6"/>
        <v>319434.05811826861</v>
      </c>
      <c r="K309" s="3" t="e">
        <f t="shared" si="7"/>
        <v>#N/A</v>
      </c>
      <c r="L309" s="3" t="e">
        <f t="shared" si="8"/>
        <v>#N/A</v>
      </c>
      <c r="M309" s="3" t="e">
        <f t="shared" si="9"/>
        <v>#N/A</v>
      </c>
      <c r="N309" s="3" t="e">
        <f t="shared" si="10"/>
        <v>#N/A</v>
      </c>
      <c r="O309" s="3" t="e">
        <f t="shared" si="11"/>
        <v>#N/A</v>
      </c>
    </row>
    <row r="310" spans="1:15" ht="14.25" customHeight="1">
      <c r="A310" s="2" t="s">
        <v>15</v>
      </c>
      <c r="B310" s="2">
        <v>1924</v>
      </c>
      <c r="C310" s="2" t="s">
        <v>19</v>
      </c>
      <c r="D310" s="2">
        <v>9228012</v>
      </c>
      <c r="J310" s="3">
        <f t="shared" si="6"/>
        <v>468807.76264986792</v>
      </c>
      <c r="K310" s="3" t="e">
        <f t="shared" si="7"/>
        <v>#N/A</v>
      </c>
      <c r="L310" s="3" t="e">
        <f t="shared" si="8"/>
        <v>#N/A</v>
      </c>
      <c r="M310" s="3" t="e">
        <f t="shared" si="9"/>
        <v>#N/A</v>
      </c>
      <c r="N310" s="3" t="e">
        <f t="shared" si="10"/>
        <v>#N/A</v>
      </c>
      <c r="O310" s="3" t="e">
        <f t="shared" si="11"/>
        <v>#N/A</v>
      </c>
    </row>
    <row r="311" spans="1:15" ht="14.25" customHeight="1">
      <c r="A311" s="2" t="s">
        <v>15</v>
      </c>
      <c r="B311" s="2">
        <v>1925</v>
      </c>
      <c r="C311" s="2" t="s">
        <v>19</v>
      </c>
      <c r="D311" s="2">
        <v>7101289</v>
      </c>
      <c r="F311" s="2">
        <f>1048260+4601978+123862</f>
        <v>5774100</v>
      </c>
      <c r="G311" s="2">
        <f>720750+4242886+318417</f>
        <v>5282053</v>
      </c>
      <c r="H311" s="2">
        <f>698466+56113+32373</f>
        <v>786952</v>
      </c>
      <c r="I311" s="2">
        <f>389430+75759+119403</f>
        <v>584592</v>
      </c>
      <c r="J311" s="3">
        <f t="shared" si="6"/>
        <v>360764.52956716111</v>
      </c>
      <c r="K311" s="3" t="e">
        <f t="shared" si="7"/>
        <v>#N/A</v>
      </c>
      <c r="L311" s="3">
        <f t="shared" si="8"/>
        <v>293339.76833976834</v>
      </c>
      <c r="M311" s="3">
        <f t="shared" si="9"/>
        <v>5282.0529999999999</v>
      </c>
      <c r="N311" s="3">
        <f t="shared" si="10"/>
        <v>39979.272505588291</v>
      </c>
      <c r="O311" s="3">
        <f t="shared" si="11"/>
        <v>584.59199999999998</v>
      </c>
    </row>
    <row r="312" spans="1:15" ht="14.25" customHeight="1">
      <c r="A312" s="2" t="s">
        <v>15</v>
      </c>
      <c r="B312" s="2">
        <v>1926</v>
      </c>
      <c r="C312" s="2" t="s">
        <v>19</v>
      </c>
      <c r="D312" s="2">
        <v>7626805</v>
      </c>
      <c r="J312" s="3">
        <f t="shared" si="6"/>
        <v>387462.15200162568</v>
      </c>
      <c r="K312" s="3" t="e">
        <f t="shared" si="7"/>
        <v>#N/A</v>
      </c>
      <c r="L312" s="3" t="e">
        <f t="shared" si="8"/>
        <v>#N/A</v>
      </c>
      <c r="M312" s="3" t="e">
        <f t="shared" si="9"/>
        <v>#N/A</v>
      </c>
      <c r="N312" s="3" t="e">
        <f t="shared" si="10"/>
        <v>#N/A</v>
      </c>
      <c r="O312" s="3" t="e">
        <f t="shared" si="11"/>
        <v>#N/A</v>
      </c>
    </row>
    <row r="313" spans="1:15" ht="14.25" customHeight="1">
      <c r="A313" s="2" t="s">
        <v>15</v>
      </c>
      <c r="B313" s="2">
        <v>1927</v>
      </c>
      <c r="C313" s="2" t="s">
        <v>19</v>
      </c>
      <c r="D313" s="2">
        <v>7709007</v>
      </c>
      <c r="J313" s="3">
        <f t="shared" si="6"/>
        <v>391638.23409876041</v>
      </c>
      <c r="K313" s="3" t="e">
        <f t="shared" si="7"/>
        <v>#N/A</v>
      </c>
      <c r="L313" s="3" t="e">
        <f t="shared" si="8"/>
        <v>#N/A</v>
      </c>
      <c r="M313" s="3" t="e">
        <f t="shared" si="9"/>
        <v>#N/A</v>
      </c>
      <c r="N313" s="3" t="e">
        <f t="shared" si="10"/>
        <v>#N/A</v>
      </c>
      <c r="O313" s="3" t="e">
        <f t="shared" si="11"/>
        <v>#N/A</v>
      </c>
    </row>
    <row r="314" spans="1:15" ht="14.25" customHeight="1">
      <c r="A314" s="2" t="s">
        <v>15</v>
      </c>
      <c r="B314" s="2">
        <v>1928</v>
      </c>
      <c r="C314" s="2" t="s">
        <v>19</v>
      </c>
      <c r="D314" s="2">
        <v>8159650</v>
      </c>
      <c r="J314" s="3">
        <f t="shared" si="6"/>
        <v>414532.10729526519</v>
      </c>
      <c r="K314" s="3" t="e">
        <f t="shared" si="7"/>
        <v>#N/A</v>
      </c>
      <c r="L314" s="3" t="e">
        <f t="shared" si="8"/>
        <v>#N/A</v>
      </c>
      <c r="M314" s="3" t="e">
        <f t="shared" si="9"/>
        <v>#N/A</v>
      </c>
      <c r="N314" s="3" t="e">
        <f t="shared" si="10"/>
        <v>#N/A</v>
      </c>
      <c r="O314" s="3" t="e">
        <f t="shared" si="11"/>
        <v>#N/A</v>
      </c>
    </row>
    <row r="315" spans="1:15" ht="14.25" customHeight="1">
      <c r="A315" s="2" t="s">
        <v>15</v>
      </c>
      <c r="B315" s="2">
        <v>1929</v>
      </c>
      <c r="C315" s="2" t="s">
        <v>19</v>
      </c>
      <c r="D315" s="2">
        <v>8264237</v>
      </c>
      <c r="J315" s="3">
        <f t="shared" si="6"/>
        <v>419845.40743751265</v>
      </c>
      <c r="K315" s="3" t="e">
        <f t="shared" si="7"/>
        <v>#N/A</v>
      </c>
      <c r="L315" s="3" t="e">
        <f t="shared" si="8"/>
        <v>#N/A</v>
      </c>
      <c r="M315" s="3" t="e">
        <f t="shared" si="9"/>
        <v>#N/A</v>
      </c>
      <c r="N315" s="3" t="e">
        <f t="shared" si="10"/>
        <v>#N/A</v>
      </c>
      <c r="O315" s="3" t="e">
        <f t="shared" si="11"/>
        <v>#N/A</v>
      </c>
    </row>
    <row r="316" spans="1:15" ht="14.25" customHeight="1">
      <c r="A316" s="2" t="s">
        <v>15</v>
      </c>
      <c r="B316" s="2">
        <v>1930</v>
      </c>
      <c r="C316" s="2" t="s">
        <v>19</v>
      </c>
      <c r="D316" s="2">
        <v>7397498</v>
      </c>
      <c r="F316" s="2">
        <f>1053508+5031192+86166</f>
        <v>6170866</v>
      </c>
      <c r="G316" s="2">
        <f>639275+4150325+209432</f>
        <v>4999032</v>
      </c>
      <c r="H316" s="2">
        <f>760203+21383+7649</f>
        <v>789235</v>
      </c>
      <c r="I316" s="2">
        <f>383760+21790+26526</f>
        <v>432076</v>
      </c>
      <c r="J316" s="3">
        <f t="shared" si="6"/>
        <v>375812.7413127413</v>
      </c>
      <c r="K316" s="3" t="e">
        <f t="shared" si="7"/>
        <v>#N/A</v>
      </c>
      <c r="L316" s="3">
        <f t="shared" si="8"/>
        <v>313496.54541759804</v>
      </c>
      <c r="M316" s="3">
        <f t="shared" si="9"/>
        <v>4999.0320000000002</v>
      </c>
      <c r="N316" s="3">
        <f t="shared" si="10"/>
        <v>40095.255029465552</v>
      </c>
      <c r="O316" s="3">
        <f t="shared" si="11"/>
        <v>432.07600000000002</v>
      </c>
    </row>
    <row r="317" spans="1:15" ht="14.25" customHeight="1">
      <c r="A317" s="2" t="s">
        <v>15</v>
      </c>
      <c r="B317" s="2">
        <v>1931</v>
      </c>
      <c r="C317" s="2" t="s">
        <v>19</v>
      </c>
      <c r="D317" s="2">
        <v>5525499</v>
      </c>
      <c r="J317" s="3">
        <f t="shared" si="6"/>
        <v>280710.1706970128</v>
      </c>
      <c r="K317" s="3" t="e">
        <f t="shared" si="7"/>
        <v>#N/A</v>
      </c>
      <c r="L317" s="3" t="e">
        <f t="shared" si="8"/>
        <v>#N/A</v>
      </c>
      <c r="M317" s="3" t="e">
        <f t="shared" si="9"/>
        <v>#N/A</v>
      </c>
      <c r="N317" s="3" t="e">
        <f t="shared" si="10"/>
        <v>#N/A</v>
      </c>
      <c r="O317" s="3" t="e">
        <f t="shared" si="11"/>
        <v>#N/A</v>
      </c>
    </row>
    <row r="318" spans="1:15" ht="14.25" customHeight="1">
      <c r="A318" s="2" t="s">
        <v>15</v>
      </c>
      <c r="B318" s="2">
        <v>1932</v>
      </c>
      <c r="C318" s="2" t="s">
        <v>19</v>
      </c>
      <c r="D318" s="2">
        <v>5208965</v>
      </c>
      <c r="J318" s="3">
        <f t="shared" si="6"/>
        <v>264629.39443202602</v>
      </c>
      <c r="K318" s="3" t="e">
        <f t="shared" si="7"/>
        <v>#N/A</v>
      </c>
      <c r="L318" s="3" t="e">
        <f t="shared" si="8"/>
        <v>#N/A</v>
      </c>
      <c r="M318" s="3" t="e">
        <f t="shared" si="9"/>
        <v>#N/A</v>
      </c>
      <c r="N318" s="3" t="e">
        <f t="shared" si="10"/>
        <v>#N/A</v>
      </c>
      <c r="O318" s="3" t="e">
        <f t="shared" si="11"/>
        <v>#N/A</v>
      </c>
    </row>
    <row r="319" spans="1:15" ht="14.25" customHeight="1">
      <c r="A319" s="2" t="s">
        <v>15</v>
      </c>
      <c r="B319" s="2">
        <v>1933</v>
      </c>
      <c r="C319" s="2" t="s">
        <v>19</v>
      </c>
      <c r="D319" s="2">
        <v>4687711</v>
      </c>
      <c r="J319" s="3">
        <f t="shared" si="6"/>
        <v>238148.29302987197</v>
      </c>
      <c r="K319" s="3" t="e">
        <f t="shared" si="7"/>
        <v>#N/A</v>
      </c>
      <c r="L319" s="3" t="e">
        <f t="shared" si="8"/>
        <v>#N/A</v>
      </c>
      <c r="M319" s="3" t="e">
        <f t="shared" si="9"/>
        <v>#N/A</v>
      </c>
      <c r="N319" s="3" t="e">
        <f t="shared" si="10"/>
        <v>#N/A</v>
      </c>
      <c r="O319" s="3" t="e">
        <f t="shared" si="11"/>
        <v>#N/A</v>
      </c>
    </row>
    <row r="320" spans="1:15" ht="14.25" customHeight="1">
      <c r="A320" s="2" t="s">
        <v>15</v>
      </c>
      <c r="B320" s="2">
        <v>1934</v>
      </c>
      <c r="C320" s="2" t="s">
        <v>19</v>
      </c>
      <c r="D320" s="2">
        <v>4786914</v>
      </c>
      <c r="J320" s="3">
        <f t="shared" si="6"/>
        <v>243188.07153017679</v>
      </c>
      <c r="K320" s="3" t="e">
        <f t="shared" si="7"/>
        <v>#N/A</v>
      </c>
      <c r="L320" s="3" t="e">
        <f t="shared" si="8"/>
        <v>#N/A</v>
      </c>
      <c r="M320" s="3" t="e">
        <f t="shared" si="9"/>
        <v>#N/A</v>
      </c>
      <c r="N320" s="3" t="e">
        <f t="shared" si="10"/>
        <v>#N/A</v>
      </c>
      <c r="O320" s="3" t="e">
        <f t="shared" si="11"/>
        <v>#N/A</v>
      </c>
    </row>
    <row r="321" spans="1:15" ht="14.25" customHeight="1">
      <c r="A321" s="2" t="s">
        <v>15</v>
      </c>
      <c r="B321" s="2">
        <v>1935</v>
      </c>
      <c r="C321" s="2" t="s">
        <v>19</v>
      </c>
      <c r="D321" s="2">
        <v>5680235</v>
      </c>
      <c r="F321" s="2">
        <f>718002+3067684+57852</f>
        <v>3843538</v>
      </c>
      <c r="G321" s="2">
        <f>381457+2020539+151142</f>
        <v>2553138</v>
      </c>
      <c r="H321" s="2">
        <f>507829+42840+13774</f>
        <v>564443</v>
      </c>
      <c r="I321" s="2">
        <f>199724+13839+35240</f>
        <v>248803</v>
      </c>
      <c r="J321" s="3">
        <f t="shared" si="6"/>
        <v>288571.17455801665</v>
      </c>
      <c r="K321" s="3" t="e">
        <f t="shared" si="7"/>
        <v>#N/A</v>
      </c>
      <c r="L321" s="3">
        <f t="shared" si="8"/>
        <v>195262.04023572445</v>
      </c>
      <c r="M321" s="3">
        <f t="shared" si="9"/>
        <v>2553.1379999999999</v>
      </c>
      <c r="N321" s="3">
        <f t="shared" si="10"/>
        <v>28675.218451534238</v>
      </c>
      <c r="O321" s="3">
        <f t="shared" si="11"/>
        <v>248.803</v>
      </c>
    </row>
    <row r="322" spans="1:15" ht="14.25" customHeight="1">
      <c r="A322" s="2" t="s">
        <v>15</v>
      </c>
      <c r="B322" s="2">
        <v>1936</v>
      </c>
      <c r="C322" s="2" t="s">
        <v>19</v>
      </c>
      <c r="D322" s="2">
        <v>5557853</v>
      </c>
      <c r="J322" s="3">
        <f t="shared" si="6"/>
        <v>282353.84068278805</v>
      </c>
      <c r="K322" s="3" t="e">
        <f t="shared" si="7"/>
        <v>#N/A</v>
      </c>
      <c r="L322" s="3" t="e">
        <f t="shared" si="8"/>
        <v>#N/A</v>
      </c>
      <c r="M322" s="3" t="e">
        <f t="shared" si="9"/>
        <v>#N/A</v>
      </c>
      <c r="N322" s="3" t="e">
        <f t="shared" si="10"/>
        <v>#N/A</v>
      </c>
      <c r="O322" s="3" t="e">
        <f t="shared" si="11"/>
        <v>#N/A</v>
      </c>
    </row>
    <row r="323" spans="1:15" ht="14.25" customHeight="1">
      <c r="A323" s="2" t="s">
        <v>15</v>
      </c>
      <c r="B323" s="2">
        <v>1937</v>
      </c>
      <c r="C323" s="2" t="s">
        <v>19</v>
      </c>
      <c r="D323" s="2">
        <v>5515674</v>
      </c>
      <c r="J323" s="3">
        <f t="shared" si="6"/>
        <v>280211.0343426133</v>
      </c>
      <c r="K323" s="3" t="e">
        <f t="shared" si="7"/>
        <v>#N/A</v>
      </c>
      <c r="L323" s="3" t="e">
        <f t="shared" si="8"/>
        <v>#N/A</v>
      </c>
      <c r="M323" s="3" t="e">
        <f t="shared" si="9"/>
        <v>#N/A</v>
      </c>
      <c r="N323" s="3" t="e">
        <f t="shared" si="10"/>
        <v>#N/A</v>
      </c>
      <c r="O323" s="3" t="e">
        <f t="shared" si="11"/>
        <v>#N/A</v>
      </c>
    </row>
    <row r="324" spans="1:15" ht="14.25" customHeight="1">
      <c r="A324" s="2" t="s">
        <v>15</v>
      </c>
      <c r="B324" s="2">
        <v>1938</v>
      </c>
      <c r="C324" s="2" t="s">
        <v>19</v>
      </c>
      <c r="D324" s="2">
        <v>5387202</v>
      </c>
      <c r="J324" s="3">
        <f t="shared" si="6"/>
        <v>273684.31213168055</v>
      </c>
      <c r="K324" s="3" t="e">
        <f t="shared" si="7"/>
        <v>#N/A</v>
      </c>
      <c r="L324" s="3" t="e">
        <f t="shared" si="8"/>
        <v>#N/A</v>
      </c>
      <c r="M324" s="3" t="e">
        <f t="shared" si="9"/>
        <v>#N/A</v>
      </c>
      <c r="N324" s="3" t="e">
        <f t="shared" si="10"/>
        <v>#N/A</v>
      </c>
      <c r="O324" s="3" t="e">
        <f t="shared" si="11"/>
        <v>#N/A</v>
      </c>
    </row>
    <row r="325" spans="1:15" ht="14.25" customHeight="1">
      <c r="A325" s="2" t="s">
        <v>15</v>
      </c>
      <c r="B325" s="2">
        <v>1939</v>
      </c>
      <c r="C325" s="2" t="s">
        <v>19</v>
      </c>
      <c r="D325" s="2">
        <v>3140608</v>
      </c>
      <c r="J325" s="3">
        <f t="shared" si="6"/>
        <v>159551.31070920543</v>
      </c>
      <c r="K325" s="3" t="e">
        <f t="shared" si="7"/>
        <v>#N/A</v>
      </c>
      <c r="L325" s="3" t="e">
        <f t="shared" si="8"/>
        <v>#N/A</v>
      </c>
      <c r="M325" s="3" t="e">
        <f t="shared" si="9"/>
        <v>#N/A</v>
      </c>
      <c r="N325" s="3" t="e">
        <f t="shared" si="10"/>
        <v>#N/A</v>
      </c>
      <c r="O325" s="3" t="e">
        <f t="shared" si="11"/>
        <v>#N/A</v>
      </c>
    </row>
    <row r="326" spans="1:15" ht="14.25" customHeight="1">
      <c r="A326" s="2" t="s">
        <v>15</v>
      </c>
      <c r="B326" s="2">
        <v>1940</v>
      </c>
      <c r="C326" s="2" t="s">
        <v>19</v>
      </c>
      <c r="D326" s="2">
        <v>1339719</v>
      </c>
      <c r="F326" s="2">
        <f>6761+300007+422+21980</f>
        <v>329170</v>
      </c>
      <c r="G326" s="2">
        <f>10367+391801+697+82249</f>
        <v>485114</v>
      </c>
      <c r="H326" s="2">
        <f>131313+8161+154008</f>
        <v>293482</v>
      </c>
      <c r="I326" s="2">
        <f>140626+22811+420234</f>
        <v>583671</v>
      </c>
      <c r="J326" s="3">
        <f t="shared" si="6"/>
        <v>68061.318837634622</v>
      </c>
      <c r="K326" s="3" t="e">
        <f t="shared" si="7"/>
        <v>#N/A</v>
      </c>
      <c r="L326" s="3">
        <f t="shared" si="8"/>
        <v>16722.718959561065</v>
      </c>
      <c r="M326" s="3">
        <f t="shared" si="9"/>
        <v>485.11399999999998</v>
      </c>
      <c r="N326" s="3">
        <f t="shared" si="10"/>
        <v>14909.672830725462</v>
      </c>
      <c r="O326" s="3">
        <f t="shared" si="11"/>
        <v>583.67100000000005</v>
      </c>
    </row>
    <row r="327" spans="1:15" ht="14.25" customHeight="1">
      <c r="A327" s="2" t="s">
        <v>15</v>
      </c>
      <c r="B327" s="2">
        <v>1941</v>
      </c>
      <c r="C327" s="2" t="s">
        <v>19</v>
      </c>
      <c r="D327" s="2">
        <v>1058812</v>
      </c>
      <c r="J327" s="3">
        <f t="shared" si="6"/>
        <v>53790.489737858159</v>
      </c>
      <c r="K327" s="3" t="e">
        <f t="shared" si="7"/>
        <v>#N/A</v>
      </c>
      <c r="L327" s="3" t="e">
        <f t="shared" si="8"/>
        <v>#N/A</v>
      </c>
      <c r="M327" s="3" t="e">
        <f t="shared" si="9"/>
        <v>#N/A</v>
      </c>
      <c r="N327" s="3" t="e">
        <f t="shared" si="10"/>
        <v>#N/A</v>
      </c>
      <c r="O327" s="3" t="e">
        <f t="shared" si="11"/>
        <v>#N/A</v>
      </c>
    </row>
    <row r="328" spans="1:15" ht="14.25" customHeight="1">
      <c r="A328" s="2" t="s">
        <v>15</v>
      </c>
      <c r="B328" s="2">
        <v>1942</v>
      </c>
      <c r="C328" s="2" t="s">
        <v>19</v>
      </c>
      <c r="D328" s="2">
        <v>1365250</v>
      </c>
      <c r="F328" s="2">
        <f>0+76+328</f>
        <v>404</v>
      </c>
      <c r="G328" s="2">
        <f>0+257+1872</f>
        <v>2129</v>
      </c>
      <c r="H328" s="2">
        <f>16317+23440+508278</f>
        <v>548035</v>
      </c>
      <c r="I328" s="2">
        <f>23483+34212+1622492</f>
        <v>1680187</v>
      </c>
      <c r="J328" s="3">
        <f t="shared" si="6"/>
        <v>69358.362121520011</v>
      </c>
      <c r="K328" s="3" t="e">
        <f t="shared" si="7"/>
        <v>#N/A</v>
      </c>
      <c r="L328" s="3">
        <f t="shared" si="8"/>
        <v>20.524283682178417</v>
      </c>
      <c r="M328" s="3">
        <f t="shared" si="9"/>
        <v>2.129</v>
      </c>
      <c r="N328" s="3">
        <f t="shared" si="10"/>
        <v>27841.648039016458</v>
      </c>
      <c r="O328" s="3">
        <f t="shared" si="11"/>
        <v>1680.1869999999999</v>
      </c>
    </row>
    <row r="329" spans="1:15" ht="14.25" customHeight="1">
      <c r="A329" s="2" t="s">
        <v>15</v>
      </c>
      <c r="B329" s="2">
        <v>1943</v>
      </c>
      <c r="C329" s="2" t="s">
        <v>19</v>
      </c>
      <c r="D329" s="2">
        <v>1494393</v>
      </c>
      <c r="J329" s="3">
        <f t="shared" si="6"/>
        <v>75919.172932330825</v>
      </c>
      <c r="K329" s="3" t="e">
        <f t="shared" si="7"/>
        <v>#N/A</v>
      </c>
      <c r="L329" s="3" t="e">
        <f t="shared" si="8"/>
        <v>#N/A</v>
      </c>
      <c r="M329" s="3" t="e">
        <f t="shared" si="9"/>
        <v>#N/A</v>
      </c>
      <c r="N329" s="3" t="e">
        <f t="shared" si="10"/>
        <v>#N/A</v>
      </c>
      <c r="O329" s="3" t="e">
        <f t="shared" si="11"/>
        <v>#N/A</v>
      </c>
    </row>
    <row r="330" spans="1:15" ht="14.25" customHeight="1">
      <c r="A330" s="2" t="s">
        <v>15</v>
      </c>
      <c r="B330" s="2">
        <v>1944</v>
      </c>
      <c r="C330" s="2" t="s">
        <v>19</v>
      </c>
      <c r="D330" s="2">
        <v>1535062</v>
      </c>
      <c r="F330" s="2">
        <f>692+10+48</f>
        <v>750</v>
      </c>
      <c r="G330" s="2">
        <f>1187+54+267</f>
        <v>1508</v>
      </c>
      <c r="H330" s="2">
        <f>15802+21467+264897</f>
        <v>302166</v>
      </c>
      <c r="I330" s="2">
        <f>26088+56551+1021046</f>
        <v>1103685</v>
      </c>
      <c r="J330" s="3">
        <f t="shared" si="6"/>
        <v>77985.267222109323</v>
      </c>
      <c r="K330" s="3" t="e">
        <f t="shared" si="7"/>
        <v>#N/A</v>
      </c>
      <c r="L330" s="3">
        <f t="shared" si="8"/>
        <v>38.102011786222313</v>
      </c>
      <c r="M330" s="3">
        <f t="shared" si="9"/>
        <v>1.508</v>
      </c>
      <c r="N330" s="3">
        <f t="shared" si="10"/>
        <v>15350.843324527534</v>
      </c>
      <c r="O330" s="3">
        <f t="shared" si="11"/>
        <v>1103.6849999999999</v>
      </c>
    </row>
    <row r="331" spans="1:15" ht="14.25" customHeight="1">
      <c r="A331" s="2" t="s">
        <v>15</v>
      </c>
      <c r="B331" s="2">
        <v>1945</v>
      </c>
      <c r="C331" s="2" t="s">
        <v>19</v>
      </c>
      <c r="D331" s="2">
        <v>2838129</v>
      </c>
      <c r="J331" s="3">
        <f t="shared" si="6"/>
        <v>144184.56614509245</v>
      </c>
      <c r="K331" s="3" t="e">
        <f t="shared" si="7"/>
        <v>#N/A</v>
      </c>
      <c r="L331" s="3" t="e">
        <f t="shared" si="8"/>
        <v>#N/A</v>
      </c>
      <c r="M331" s="3" t="e">
        <f t="shared" si="9"/>
        <v>#N/A</v>
      </c>
      <c r="N331" s="3" t="e">
        <f t="shared" si="10"/>
        <v>#N/A</v>
      </c>
      <c r="O331" s="3" t="e">
        <f t="shared" si="11"/>
        <v>#N/A</v>
      </c>
    </row>
    <row r="332" spans="1:15" ht="14.25" customHeight="1">
      <c r="A332" s="2" t="s">
        <v>15</v>
      </c>
      <c r="B332" s="2">
        <v>1946</v>
      </c>
      <c r="C332" s="2" t="s">
        <v>19</v>
      </c>
      <c r="D332" s="2">
        <v>3985120</v>
      </c>
      <c r="F332" s="2">
        <f>228201+641743+57640</f>
        <v>927584</v>
      </c>
      <c r="G332" s="2">
        <f>411080+1528338+347755</f>
        <v>2287173</v>
      </c>
      <c r="H332" s="2">
        <f>418732+51491+36784</f>
        <v>507007</v>
      </c>
      <c r="I332" s="2">
        <f>379907+167683+273875</f>
        <v>821465</v>
      </c>
      <c r="J332" s="3">
        <f t="shared" si="6"/>
        <v>202454.78561268034</v>
      </c>
      <c r="K332" s="3" t="e">
        <f t="shared" si="7"/>
        <v>#N/A</v>
      </c>
      <c r="L332" s="3">
        <f t="shared" si="8"/>
        <v>47123.755334281646</v>
      </c>
      <c r="M332" s="3">
        <f t="shared" si="9"/>
        <v>2287.1729999999998</v>
      </c>
      <c r="N332" s="3">
        <f t="shared" si="10"/>
        <v>25757.315586262954</v>
      </c>
      <c r="O332" s="3">
        <f t="shared" si="11"/>
        <v>821.46500000000003</v>
      </c>
    </row>
    <row r="333" spans="1:15" ht="14.25" customHeight="1">
      <c r="A333" s="2" t="s">
        <v>15</v>
      </c>
      <c r="B333" s="2">
        <v>1947</v>
      </c>
      <c r="C333" s="2" t="s">
        <v>19</v>
      </c>
      <c r="D333" s="2">
        <v>4400540</v>
      </c>
      <c r="J333" s="3">
        <f t="shared" si="6"/>
        <v>223559.23592765696</v>
      </c>
      <c r="K333" s="3" t="e">
        <f t="shared" si="7"/>
        <v>#N/A</v>
      </c>
      <c r="L333" s="3" t="e">
        <f t="shared" si="8"/>
        <v>#N/A</v>
      </c>
      <c r="M333" s="3" t="e">
        <f t="shared" si="9"/>
        <v>#N/A</v>
      </c>
      <c r="N333" s="3" t="e">
        <f t="shared" si="10"/>
        <v>#N/A</v>
      </c>
      <c r="O333" s="3" t="e">
        <f t="shared" si="11"/>
        <v>#N/A</v>
      </c>
    </row>
    <row r="334" spans="1:15" ht="14.25" customHeight="1">
      <c r="A334" s="2" t="s">
        <v>15</v>
      </c>
      <c r="B334" s="2">
        <v>1948</v>
      </c>
      <c r="C334" s="2" t="s">
        <v>19</v>
      </c>
      <c r="D334" s="2">
        <v>5270892</v>
      </c>
      <c r="J334" s="3">
        <f t="shared" si="6"/>
        <v>267775.4521438732</v>
      </c>
      <c r="K334" s="3" t="e">
        <f t="shared" si="7"/>
        <v>#N/A</v>
      </c>
      <c r="L334" s="3" t="e">
        <f t="shared" si="8"/>
        <v>#N/A</v>
      </c>
      <c r="M334" s="3" t="e">
        <f t="shared" si="9"/>
        <v>#N/A</v>
      </c>
      <c r="N334" s="3" t="e">
        <f t="shared" si="10"/>
        <v>#N/A</v>
      </c>
      <c r="O334" s="3" t="e">
        <f t="shared" si="11"/>
        <v>#N/A</v>
      </c>
    </row>
    <row r="335" spans="1:15" ht="14.25" customHeight="1">
      <c r="A335" s="2" t="s">
        <v>15</v>
      </c>
      <c r="B335" s="2">
        <v>1949</v>
      </c>
      <c r="C335" s="2" t="s">
        <v>19</v>
      </c>
      <c r="D335" s="2">
        <v>4025755</v>
      </c>
      <c r="J335" s="3">
        <f t="shared" si="6"/>
        <v>204519.15261125786</v>
      </c>
      <c r="K335" s="3" t="e">
        <f t="shared" si="7"/>
        <v>#N/A</v>
      </c>
      <c r="L335" s="3" t="e">
        <f t="shared" si="8"/>
        <v>#N/A</v>
      </c>
      <c r="M335" s="3" t="e">
        <f t="shared" si="9"/>
        <v>#N/A</v>
      </c>
      <c r="N335" s="3" t="e">
        <f t="shared" si="10"/>
        <v>#N/A</v>
      </c>
      <c r="O335" s="3" t="e">
        <f t="shared" si="11"/>
        <v>#N/A</v>
      </c>
    </row>
    <row r="336" spans="1:15" ht="14.25" customHeight="1">
      <c r="A336" s="2" t="s">
        <v>15</v>
      </c>
      <c r="B336" s="2">
        <v>1950</v>
      </c>
      <c r="C336" s="2" t="s">
        <v>19</v>
      </c>
      <c r="D336" s="2">
        <v>3526114</v>
      </c>
      <c r="F336" s="2">
        <f>171883+628653+205527</f>
        <v>1006063</v>
      </c>
      <c r="G336" s="2">
        <f>295117+1831320+1333434</f>
        <v>3459871</v>
      </c>
      <c r="H336" s="2">
        <f>239318+18149+703</f>
        <v>258170</v>
      </c>
      <c r="I336" s="2">
        <f>272373+35680+7327</f>
        <v>315380</v>
      </c>
      <c r="J336" s="3">
        <f t="shared" si="6"/>
        <v>179136.049583418</v>
      </c>
      <c r="K336" s="3" t="e">
        <f t="shared" si="7"/>
        <v>#N/A</v>
      </c>
      <c r="L336" s="3">
        <f t="shared" si="8"/>
        <v>51110.699044909568</v>
      </c>
      <c r="M336" s="3">
        <f t="shared" si="9"/>
        <v>3459.8710000000001</v>
      </c>
      <c r="N336" s="3">
        <f t="shared" si="10"/>
        <v>13115.728510465351</v>
      </c>
      <c r="O336" s="3">
        <f t="shared" si="11"/>
        <v>315.38</v>
      </c>
    </row>
    <row r="337" spans="1:15" ht="14.25" customHeight="1">
      <c r="A337" s="2" t="s">
        <v>15</v>
      </c>
      <c r="B337" s="2">
        <v>1951</v>
      </c>
      <c r="C337" s="2" t="s">
        <v>19</v>
      </c>
      <c r="D337" s="2">
        <v>3282999</v>
      </c>
      <c r="J337" s="3">
        <f t="shared" si="6"/>
        <v>166785.15545620807</v>
      </c>
      <c r="K337" s="3" t="e">
        <f t="shared" si="7"/>
        <v>#N/A</v>
      </c>
      <c r="L337" s="3" t="e">
        <f t="shared" si="8"/>
        <v>#N/A</v>
      </c>
      <c r="M337" s="3" t="e">
        <f t="shared" si="9"/>
        <v>#N/A</v>
      </c>
      <c r="N337" s="3" t="e">
        <f t="shared" si="10"/>
        <v>#N/A</v>
      </c>
      <c r="O337" s="3" t="e">
        <f t="shared" si="11"/>
        <v>#N/A</v>
      </c>
    </row>
    <row r="338" spans="1:15" ht="14.25" customHeight="1">
      <c r="A338" s="2" t="s">
        <v>15</v>
      </c>
      <c r="B338" s="2">
        <v>1952</v>
      </c>
      <c r="C338" s="2" t="s">
        <v>19</v>
      </c>
      <c r="D338" s="2">
        <v>4119445</v>
      </c>
      <c r="J338" s="3">
        <f t="shared" si="6"/>
        <v>209278.85592359275</v>
      </c>
      <c r="K338" s="3" t="e">
        <f t="shared" si="7"/>
        <v>#N/A</v>
      </c>
      <c r="L338" s="3" t="e">
        <f t="shared" si="8"/>
        <v>#N/A</v>
      </c>
      <c r="M338" s="3" t="e">
        <f t="shared" si="9"/>
        <v>#N/A</v>
      </c>
      <c r="N338" s="3" t="e">
        <f t="shared" si="10"/>
        <v>#N/A</v>
      </c>
      <c r="O338" s="3" t="e">
        <f t="shared" si="11"/>
        <v>#N/A</v>
      </c>
    </row>
    <row r="339" spans="1:15" ht="14.25" customHeight="1">
      <c r="A339" s="2" t="s">
        <v>15</v>
      </c>
      <c r="B339" s="2">
        <v>1953</v>
      </c>
      <c r="C339" s="2" t="s">
        <v>19</v>
      </c>
      <c r="D339" s="2">
        <v>4442167</v>
      </c>
      <c r="J339" s="3">
        <f t="shared" si="6"/>
        <v>225673.99918715708</v>
      </c>
      <c r="K339" s="3" t="e">
        <f t="shared" si="7"/>
        <v>#N/A</v>
      </c>
      <c r="L339" s="3" t="e">
        <f t="shared" si="8"/>
        <v>#N/A</v>
      </c>
      <c r="M339" s="3" t="e">
        <f t="shared" si="9"/>
        <v>#N/A</v>
      </c>
      <c r="N339" s="3" t="e">
        <f t="shared" si="10"/>
        <v>#N/A</v>
      </c>
      <c r="O339" s="3" t="e">
        <f t="shared" si="11"/>
        <v>#N/A</v>
      </c>
    </row>
    <row r="340" spans="1:15" ht="14.25" customHeight="1">
      <c r="A340" s="2" t="s">
        <v>15</v>
      </c>
      <c r="B340" s="2">
        <v>1954</v>
      </c>
      <c r="C340" s="2" t="s">
        <v>19</v>
      </c>
      <c r="D340" s="2">
        <v>3848933</v>
      </c>
      <c r="J340" s="3">
        <f t="shared" si="6"/>
        <v>195536.12070717334</v>
      </c>
      <c r="K340" s="3" t="e">
        <f t="shared" si="7"/>
        <v>#N/A</v>
      </c>
      <c r="L340" s="3" t="e">
        <f t="shared" si="8"/>
        <v>#N/A</v>
      </c>
      <c r="M340" s="3" t="e">
        <f t="shared" si="9"/>
        <v>#N/A</v>
      </c>
      <c r="N340" s="3" t="e">
        <f t="shared" si="10"/>
        <v>#N/A</v>
      </c>
      <c r="O340" s="3" t="e">
        <f t="shared" si="11"/>
        <v>#N/A</v>
      </c>
    </row>
    <row r="341" spans="1:15" ht="14.25" customHeight="1">
      <c r="A341" s="2" t="s">
        <v>15</v>
      </c>
      <c r="B341" s="2">
        <v>1955</v>
      </c>
      <c r="C341" s="2" t="s">
        <v>19</v>
      </c>
      <c r="D341" s="2">
        <v>3216484</v>
      </c>
      <c r="F341" s="2">
        <f>28129+400943+38191</f>
        <v>467263</v>
      </c>
      <c r="G341" s="2">
        <f>89542+1345665+464466</f>
        <v>1899673</v>
      </c>
      <c r="H341" s="2">
        <f>381544+2379+7969</f>
        <v>391892</v>
      </c>
      <c r="I341" s="2">
        <f>575096+7505+94674</f>
        <v>677275</v>
      </c>
      <c r="J341" s="3">
        <f t="shared" si="6"/>
        <v>163406.01503759398</v>
      </c>
      <c r="K341" s="3" t="e">
        <f t="shared" si="7"/>
        <v>#N/A</v>
      </c>
      <c r="L341" s="3">
        <f t="shared" si="8"/>
        <v>23738.213777687462</v>
      </c>
      <c r="M341" s="3">
        <f t="shared" si="9"/>
        <v>1899.673</v>
      </c>
      <c r="N341" s="3">
        <f t="shared" si="10"/>
        <v>19909.164803901644</v>
      </c>
      <c r="O341" s="3">
        <f t="shared" si="11"/>
        <v>677.27499999999998</v>
      </c>
    </row>
    <row r="342" spans="1:15" ht="14.25" customHeight="1">
      <c r="A342" s="2" t="s">
        <v>15</v>
      </c>
      <c r="B342" s="2">
        <v>1956</v>
      </c>
      <c r="C342" s="2" t="s">
        <v>19</v>
      </c>
      <c r="D342" s="2">
        <v>2704000</v>
      </c>
      <c r="E342" s="2">
        <v>2879000</v>
      </c>
      <c r="J342" s="3">
        <f t="shared" si="6"/>
        <v>137370.45315992684</v>
      </c>
      <c r="K342" s="3">
        <f t="shared" si="7"/>
        <v>2879</v>
      </c>
      <c r="L342" s="3" t="e">
        <f t="shared" si="8"/>
        <v>#N/A</v>
      </c>
      <c r="M342" s="3" t="e">
        <f t="shared" si="9"/>
        <v>#N/A</v>
      </c>
      <c r="N342" s="3" t="e">
        <f t="shared" si="10"/>
        <v>#N/A</v>
      </c>
      <c r="O342" s="3" t="e">
        <f t="shared" si="11"/>
        <v>#N/A</v>
      </c>
    </row>
    <row r="343" spans="1:15" ht="14.25" customHeight="1">
      <c r="A343" s="2" t="s">
        <v>15</v>
      </c>
      <c r="B343" s="2">
        <v>1957</v>
      </c>
      <c r="C343" s="2" t="s">
        <v>19</v>
      </c>
      <c r="D343" s="2">
        <v>2394000</v>
      </c>
      <c r="E343" s="2">
        <v>2685000</v>
      </c>
      <c r="J343" s="3">
        <f t="shared" si="6"/>
        <v>121621.62162162161</v>
      </c>
      <c r="K343" s="3">
        <f t="shared" si="7"/>
        <v>2685</v>
      </c>
      <c r="L343" s="3" t="e">
        <f t="shared" si="8"/>
        <v>#N/A</v>
      </c>
      <c r="M343" s="3" t="e">
        <f t="shared" si="9"/>
        <v>#N/A</v>
      </c>
      <c r="N343" s="3" t="e">
        <f t="shared" si="10"/>
        <v>#N/A</v>
      </c>
      <c r="O343" s="3" t="e">
        <f t="shared" si="11"/>
        <v>#N/A</v>
      </c>
    </row>
    <row r="344" spans="1:15" ht="14.25" customHeight="1">
      <c r="A344" s="2" t="s">
        <v>15</v>
      </c>
      <c r="B344" s="2">
        <v>1958</v>
      </c>
      <c r="C344" s="2" t="s">
        <v>19</v>
      </c>
      <c r="D344" s="2">
        <v>2220000</v>
      </c>
      <c r="E344" s="2">
        <v>2784000</v>
      </c>
      <c r="J344" s="3">
        <f t="shared" si="6"/>
        <v>112781.95488721805</v>
      </c>
      <c r="K344" s="3">
        <f t="shared" si="7"/>
        <v>2784</v>
      </c>
      <c r="L344" s="3" t="e">
        <f t="shared" si="8"/>
        <v>#N/A</v>
      </c>
      <c r="M344" s="3" t="e">
        <f t="shared" si="9"/>
        <v>#N/A</v>
      </c>
      <c r="N344" s="3" t="e">
        <f t="shared" si="10"/>
        <v>#N/A</v>
      </c>
      <c r="O344" s="3" t="e">
        <f t="shared" si="11"/>
        <v>#N/A</v>
      </c>
    </row>
    <row r="345" spans="1:15" ht="14.25" customHeight="1">
      <c r="A345" s="2" t="s">
        <v>15</v>
      </c>
      <c r="B345" s="2">
        <v>1959</v>
      </c>
      <c r="C345" s="2" t="s">
        <v>19</v>
      </c>
      <c r="D345" s="2">
        <v>2734000</v>
      </c>
      <c r="E345" s="2">
        <v>2895000</v>
      </c>
      <c r="J345" s="3">
        <f t="shared" si="6"/>
        <v>138894.53363137573</v>
      </c>
      <c r="K345" s="3">
        <f t="shared" si="7"/>
        <v>2895</v>
      </c>
      <c r="L345" s="3" t="e">
        <f t="shared" si="8"/>
        <v>#N/A</v>
      </c>
      <c r="M345" s="3" t="e">
        <f t="shared" si="9"/>
        <v>#N/A</v>
      </c>
      <c r="N345" s="3" t="e">
        <f t="shared" si="10"/>
        <v>#N/A</v>
      </c>
      <c r="O345" s="3" t="e">
        <f t="shared" si="11"/>
        <v>#N/A</v>
      </c>
    </row>
    <row r="346" spans="1:15" ht="14.25" customHeight="1">
      <c r="A346" s="2" t="s">
        <v>15</v>
      </c>
      <c r="B346" s="2">
        <v>1960</v>
      </c>
      <c r="C346" s="2" t="s">
        <v>19</v>
      </c>
      <c r="D346" s="2">
        <v>2185000</v>
      </c>
      <c r="E346" s="2">
        <v>2515000</v>
      </c>
      <c r="F346" s="2">
        <f>159014+208908+101869</f>
        <v>469791</v>
      </c>
      <c r="G346" s="2">
        <f>207918+954435+897679</f>
        <v>2060032</v>
      </c>
      <c r="H346" s="2">
        <f>297604+13575+4325</f>
        <v>315504</v>
      </c>
      <c r="I346" s="2">
        <f>531894+42081+54948</f>
        <v>628923</v>
      </c>
      <c r="J346" s="3">
        <f t="shared" si="6"/>
        <v>111003.86100386099</v>
      </c>
      <c r="K346" s="3">
        <f t="shared" si="7"/>
        <v>2515</v>
      </c>
      <c r="L346" s="3">
        <f t="shared" si="8"/>
        <v>23866.64295874822</v>
      </c>
      <c r="M346" s="3">
        <f t="shared" si="9"/>
        <v>2060.0320000000002</v>
      </c>
      <c r="N346" s="3">
        <f t="shared" si="10"/>
        <v>16028.449502133712</v>
      </c>
      <c r="O346" s="3">
        <f t="shared" si="11"/>
        <v>628.923</v>
      </c>
    </row>
    <row r="347" spans="1:15" ht="14.25" customHeight="1">
      <c r="A347" s="2" t="s">
        <v>15</v>
      </c>
      <c r="B347" s="2">
        <v>1961</v>
      </c>
      <c r="C347" s="2" t="s">
        <v>19</v>
      </c>
      <c r="D347" s="2">
        <v>1782000</v>
      </c>
      <c r="E347" s="2">
        <v>2336000</v>
      </c>
      <c r="J347" s="3">
        <f t="shared" si="6"/>
        <v>90530.380004064209</v>
      </c>
      <c r="K347" s="3">
        <f t="shared" si="7"/>
        <v>2336</v>
      </c>
      <c r="L347" s="3" t="e">
        <f t="shared" si="8"/>
        <v>#N/A</v>
      </c>
      <c r="M347" s="3" t="e">
        <f t="shared" si="9"/>
        <v>#N/A</v>
      </c>
      <c r="N347" s="3" t="e">
        <f t="shared" si="10"/>
        <v>#N/A</v>
      </c>
      <c r="O347" s="3" t="e">
        <f t="shared" si="11"/>
        <v>#N/A</v>
      </c>
    </row>
    <row r="348" spans="1:15" ht="14.25" customHeight="1">
      <c r="A348" s="2" t="s">
        <v>15</v>
      </c>
      <c r="B348" s="2">
        <v>1962</v>
      </c>
      <c r="C348" s="2" t="s">
        <v>19</v>
      </c>
      <c r="D348" s="2">
        <v>1793000</v>
      </c>
      <c r="E348" s="2">
        <v>2777000</v>
      </c>
      <c r="J348" s="3">
        <f t="shared" si="6"/>
        <v>91089.209510262139</v>
      </c>
      <c r="K348" s="3">
        <f t="shared" si="7"/>
        <v>2777</v>
      </c>
      <c r="L348" s="3" t="e">
        <f t="shared" si="8"/>
        <v>#N/A</v>
      </c>
      <c r="M348" s="3" t="e">
        <f t="shared" si="9"/>
        <v>#N/A</v>
      </c>
      <c r="N348" s="3" t="e">
        <f t="shared" si="10"/>
        <v>#N/A</v>
      </c>
      <c r="O348" s="3" t="e">
        <f t="shared" si="11"/>
        <v>#N/A</v>
      </c>
    </row>
    <row r="349" spans="1:15" ht="14.25" customHeight="1">
      <c r="A349" s="2" t="s">
        <v>15</v>
      </c>
      <c r="B349" s="2">
        <v>1963</v>
      </c>
      <c r="C349" s="2" t="s">
        <v>19</v>
      </c>
      <c r="D349" s="2">
        <v>2095000</v>
      </c>
      <c r="E349" s="2">
        <v>2733000</v>
      </c>
      <c r="J349" s="3">
        <f t="shared" si="6"/>
        <v>106431.61958951432</v>
      </c>
      <c r="K349" s="3">
        <f t="shared" si="7"/>
        <v>2733</v>
      </c>
      <c r="L349" s="3" t="e">
        <f t="shared" si="8"/>
        <v>#N/A</v>
      </c>
      <c r="M349" s="3" t="e">
        <f t="shared" si="9"/>
        <v>#N/A</v>
      </c>
      <c r="N349" s="3" t="e">
        <f t="shared" si="10"/>
        <v>#N/A</v>
      </c>
      <c r="O349" s="3" t="e">
        <f t="shared" si="11"/>
        <v>#N/A</v>
      </c>
    </row>
    <row r="350" spans="1:15" ht="14.25" customHeight="1">
      <c r="A350" s="2" t="s">
        <v>15</v>
      </c>
      <c r="B350" s="2">
        <v>1964</v>
      </c>
      <c r="C350" s="2" t="s">
        <v>19</v>
      </c>
      <c r="D350" s="2">
        <v>1958000</v>
      </c>
      <c r="E350" s="2">
        <v>2723000</v>
      </c>
      <c r="J350" s="3">
        <f t="shared" si="6"/>
        <v>99471.652103231041</v>
      </c>
      <c r="K350" s="3">
        <f t="shared" si="7"/>
        <v>2723</v>
      </c>
      <c r="L350" s="3" t="e">
        <f t="shared" si="8"/>
        <v>#N/A</v>
      </c>
      <c r="M350" s="3" t="e">
        <f t="shared" si="9"/>
        <v>#N/A</v>
      </c>
      <c r="N350" s="3" t="e">
        <f t="shared" si="10"/>
        <v>#N/A</v>
      </c>
      <c r="O350" s="3" t="e">
        <f t="shared" si="11"/>
        <v>#N/A</v>
      </c>
    </row>
    <row r="351" spans="1:15" ht="14.25" customHeight="1">
      <c r="A351" s="2" t="s">
        <v>15</v>
      </c>
      <c r="B351" s="2">
        <v>1900</v>
      </c>
      <c r="C351" s="2" t="s">
        <v>28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3" t="e">
        <f t="shared" si="6"/>
        <v>#VALUE!</v>
      </c>
      <c r="K351" s="3" t="e">
        <f t="shared" si="7"/>
        <v>#VALUE!</v>
      </c>
      <c r="L351" s="3" t="e">
        <f t="shared" si="8"/>
        <v>#VALUE!</v>
      </c>
      <c r="M351" s="3" t="e">
        <f t="shared" si="9"/>
        <v>#VALUE!</v>
      </c>
      <c r="N351" s="3" t="e">
        <f t="shared" si="10"/>
        <v>#VALUE!</v>
      </c>
      <c r="O351" s="3" t="e">
        <f t="shared" si="11"/>
        <v>#VALUE!</v>
      </c>
    </row>
    <row r="352" spans="1:15" ht="14.25" customHeight="1">
      <c r="A352" s="2" t="s">
        <v>15</v>
      </c>
      <c r="B352" s="2">
        <v>1901</v>
      </c>
      <c r="C352" s="2" t="s">
        <v>28</v>
      </c>
      <c r="D352" s="2" t="s">
        <v>17</v>
      </c>
      <c r="E352" s="2" t="s">
        <v>17</v>
      </c>
      <c r="J352" s="3" t="e">
        <f t="shared" si="6"/>
        <v>#VALUE!</v>
      </c>
      <c r="K352" s="3" t="e">
        <f t="shared" si="7"/>
        <v>#VALUE!</v>
      </c>
      <c r="L352" s="3" t="e">
        <f t="shared" si="8"/>
        <v>#N/A</v>
      </c>
      <c r="M352" s="3" t="e">
        <f t="shared" si="9"/>
        <v>#N/A</v>
      </c>
      <c r="N352" s="3" t="e">
        <f t="shared" si="10"/>
        <v>#N/A</v>
      </c>
      <c r="O352" s="3" t="e">
        <f t="shared" si="11"/>
        <v>#N/A</v>
      </c>
    </row>
    <row r="353" spans="1:15" ht="14.25" customHeight="1">
      <c r="A353" s="2" t="s">
        <v>15</v>
      </c>
      <c r="B353" s="2">
        <v>1902</v>
      </c>
      <c r="C353" s="2" t="s">
        <v>28</v>
      </c>
      <c r="D353" s="2" t="s">
        <v>17</v>
      </c>
      <c r="E353" s="2" t="s">
        <v>17</v>
      </c>
      <c r="J353" s="3" t="e">
        <f t="shared" si="6"/>
        <v>#VALUE!</v>
      </c>
      <c r="K353" s="3" t="e">
        <f t="shared" si="7"/>
        <v>#VALUE!</v>
      </c>
      <c r="L353" s="3" t="e">
        <f t="shared" si="8"/>
        <v>#N/A</v>
      </c>
      <c r="M353" s="3" t="e">
        <f t="shared" si="9"/>
        <v>#N/A</v>
      </c>
      <c r="N353" s="3" t="e">
        <f t="shared" si="10"/>
        <v>#N/A</v>
      </c>
      <c r="O353" s="3" t="e">
        <f t="shared" si="11"/>
        <v>#N/A</v>
      </c>
    </row>
    <row r="354" spans="1:15" ht="14.25" customHeight="1">
      <c r="A354" s="2" t="s">
        <v>15</v>
      </c>
      <c r="B354" s="2">
        <v>1903</v>
      </c>
      <c r="C354" s="2" t="s">
        <v>28</v>
      </c>
      <c r="D354" s="2" t="s">
        <v>17</v>
      </c>
      <c r="E354" s="2" t="s">
        <v>17</v>
      </c>
      <c r="J354" s="3" t="e">
        <f t="shared" si="6"/>
        <v>#VALUE!</v>
      </c>
      <c r="K354" s="3" t="e">
        <f t="shared" si="7"/>
        <v>#VALUE!</v>
      </c>
      <c r="L354" s="3" t="e">
        <f t="shared" si="8"/>
        <v>#N/A</v>
      </c>
      <c r="M354" s="3" t="e">
        <f t="shared" si="9"/>
        <v>#N/A</v>
      </c>
      <c r="N354" s="3" t="e">
        <f t="shared" si="10"/>
        <v>#N/A</v>
      </c>
      <c r="O354" s="3" t="e">
        <f t="shared" si="11"/>
        <v>#N/A</v>
      </c>
    </row>
    <row r="355" spans="1:15" ht="14.25" customHeight="1">
      <c r="A355" s="2" t="s">
        <v>15</v>
      </c>
      <c r="B355" s="2">
        <v>1904</v>
      </c>
      <c r="C355" s="2" t="s">
        <v>28</v>
      </c>
      <c r="D355" s="2" t="s">
        <v>17</v>
      </c>
      <c r="E355" s="2" t="s">
        <v>17</v>
      </c>
      <c r="J355" s="3" t="e">
        <f t="shared" si="6"/>
        <v>#VALUE!</v>
      </c>
      <c r="K355" s="3" t="e">
        <f t="shared" si="7"/>
        <v>#VALUE!</v>
      </c>
      <c r="L355" s="3" t="e">
        <f t="shared" si="8"/>
        <v>#N/A</v>
      </c>
      <c r="M355" s="3" t="e">
        <f t="shared" si="9"/>
        <v>#N/A</v>
      </c>
      <c r="N355" s="3" t="e">
        <f t="shared" si="10"/>
        <v>#N/A</v>
      </c>
      <c r="O355" s="3" t="e">
        <f t="shared" si="11"/>
        <v>#N/A</v>
      </c>
    </row>
    <row r="356" spans="1:15" ht="14.25" customHeight="1">
      <c r="A356" s="2" t="s">
        <v>15</v>
      </c>
      <c r="B356" s="2">
        <v>1905</v>
      </c>
      <c r="C356" s="2" t="s">
        <v>28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>
        <f>73390+78407+53145</f>
        <v>204942</v>
      </c>
      <c r="I356" s="2">
        <f>64380+44496+335705</f>
        <v>444581</v>
      </c>
      <c r="J356" s="3" t="e">
        <f t="shared" si="6"/>
        <v>#VALUE!</v>
      </c>
      <c r="K356" s="3" t="e">
        <f t="shared" si="7"/>
        <v>#VALUE!</v>
      </c>
      <c r="L356" s="3" t="e">
        <f t="shared" si="8"/>
        <v>#VALUE!</v>
      </c>
      <c r="M356" s="3" t="e">
        <f t="shared" si="9"/>
        <v>#VALUE!</v>
      </c>
      <c r="N356" s="3">
        <f t="shared" si="10"/>
        <v>10411.603332655965</v>
      </c>
      <c r="O356" s="3">
        <f t="shared" si="11"/>
        <v>444.58100000000002</v>
      </c>
    </row>
    <row r="357" spans="1:15" ht="14.25" customHeight="1">
      <c r="A357" s="2" t="s">
        <v>15</v>
      </c>
      <c r="B357" s="2">
        <v>1906</v>
      </c>
      <c r="C357" s="2" t="s">
        <v>28</v>
      </c>
      <c r="D357" s="2" t="s">
        <v>17</v>
      </c>
      <c r="E357" s="2" t="s">
        <v>17</v>
      </c>
      <c r="J357" s="3" t="e">
        <f t="shared" si="6"/>
        <v>#VALUE!</v>
      </c>
      <c r="K357" s="3" t="e">
        <f t="shared" si="7"/>
        <v>#VALUE!</v>
      </c>
      <c r="L357" s="3" t="e">
        <f t="shared" si="8"/>
        <v>#N/A</v>
      </c>
      <c r="M357" s="3" t="e">
        <f t="shared" si="9"/>
        <v>#N/A</v>
      </c>
      <c r="N357" s="3" t="e">
        <f t="shared" si="10"/>
        <v>#N/A</v>
      </c>
      <c r="O357" s="3" t="e">
        <f t="shared" si="11"/>
        <v>#N/A</v>
      </c>
    </row>
    <row r="358" spans="1:15" ht="14.25" customHeight="1">
      <c r="A358" s="2" t="s">
        <v>15</v>
      </c>
      <c r="B358" s="2">
        <v>1907</v>
      </c>
      <c r="C358" s="2" t="s">
        <v>28</v>
      </c>
      <c r="D358" s="2" t="s">
        <v>17</v>
      </c>
      <c r="E358" s="2" t="s">
        <v>17</v>
      </c>
      <c r="J358" s="3" t="e">
        <f t="shared" si="6"/>
        <v>#VALUE!</v>
      </c>
      <c r="K358" s="3" t="e">
        <f t="shared" si="7"/>
        <v>#VALUE!</v>
      </c>
      <c r="L358" s="3" t="e">
        <f t="shared" si="8"/>
        <v>#N/A</v>
      </c>
      <c r="M358" s="3" t="e">
        <f t="shared" si="9"/>
        <v>#N/A</v>
      </c>
      <c r="N358" s="3" t="e">
        <f t="shared" si="10"/>
        <v>#N/A</v>
      </c>
      <c r="O358" s="3" t="e">
        <f t="shared" si="11"/>
        <v>#N/A</v>
      </c>
    </row>
    <row r="359" spans="1:15" ht="14.25" customHeight="1">
      <c r="A359" s="2" t="s">
        <v>15</v>
      </c>
      <c r="B359" s="2">
        <v>1908</v>
      </c>
      <c r="C359" s="2" t="s">
        <v>28</v>
      </c>
      <c r="D359" s="2" t="s">
        <v>17</v>
      </c>
      <c r="E359" s="2" t="s">
        <v>17</v>
      </c>
      <c r="J359" s="3" t="e">
        <f t="shared" si="6"/>
        <v>#VALUE!</v>
      </c>
      <c r="K359" s="3" t="e">
        <f t="shared" si="7"/>
        <v>#VALUE!</v>
      </c>
      <c r="L359" s="3" t="e">
        <f t="shared" si="8"/>
        <v>#N/A</v>
      </c>
      <c r="M359" s="3" t="e">
        <f t="shared" si="9"/>
        <v>#N/A</v>
      </c>
      <c r="N359" s="3" t="e">
        <f t="shared" si="10"/>
        <v>#N/A</v>
      </c>
      <c r="O359" s="3" t="e">
        <f t="shared" si="11"/>
        <v>#N/A</v>
      </c>
    </row>
    <row r="360" spans="1:15" ht="14.25" customHeight="1">
      <c r="A360" s="2" t="s">
        <v>15</v>
      </c>
      <c r="B360" s="2">
        <v>1909</v>
      </c>
      <c r="C360" s="2" t="s">
        <v>28</v>
      </c>
      <c r="D360" s="2" t="s">
        <v>17</v>
      </c>
      <c r="E360" s="2" t="s">
        <v>17</v>
      </c>
      <c r="J360" s="3" t="e">
        <f t="shared" si="6"/>
        <v>#VALUE!</v>
      </c>
      <c r="K360" s="3" t="e">
        <f t="shared" si="7"/>
        <v>#VALUE!</v>
      </c>
      <c r="L360" s="3" t="e">
        <f t="shared" si="8"/>
        <v>#N/A</v>
      </c>
      <c r="M360" s="3" t="e">
        <f t="shared" si="9"/>
        <v>#N/A</v>
      </c>
      <c r="N360" s="3" t="e">
        <f t="shared" si="10"/>
        <v>#N/A</v>
      </c>
      <c r="O360" s="3" t="e">
        <f t="shared" si="11"/>
        <v>#N/A</v>
      </c>
    </row>
    <row r="361" spans="1:15" ht="14.25" customHeight="1">
      <c r="A361" s="2" t="s">
        <v>15</v>
      </c>
      <c r="B361" s="2">
        <v>1910</v>
      </c>
      <c r="C361" s="2" t="s">
        <v>28</v>
      </c>
      <c r="D361" s="2" t="s">
        <v>17</v>
      </c>
      <c r="E361" s="2" t="s">
        <v>17</v>
      </c>
      <c r="F361" s="2">
        <v>17259</v>
      </c>
      <c r="G361" s="2">
        <v>37122</v>
      </c>
      <c r="H361" s="2">
        <f>78637+129712+37040</f>
        <v>245389</v>
      </c>
      <c r="I361" s="2">
        <f>126215+54515+293710</f>
        <v>474440</v>
      </c>
      <c r="J361" s="3" t="e">
        <f t="shared" si="6"/>
        <v>#VALUE!</v>
      </c>
      <c r="K361" s="3" t="e">
        <f t="shared" si="7"/>
        <v>#VALUE!</v>
      </c>
      <c r="L361" s="3">
        <f t="shared" si="8"/>
        <v>876.80349522454776</v>
      </c>
      <c r="M361" s="3">
        <f t="shared" si="9"/>
        <v>37.122</v>
      </c>
      <c r="N361" s="3">
        <f t="shared" si="10"/>
        <v>12466.419426945742</v>
      </c>
      <c r="O361" s="3">
        <f t="shared" si="11"/>
        <v>474.44</v>
      </c>
    </row>
    <row r="362" spans="1:15" ht="14.25" customHeight="1">
      <c r="A362" s="2" t="s">
        <v>15</v>
      </c>
      <c r="B362" s="2">
        <v>1911</v>
      </c>
      <c r="C362" s="2" t="s">
        <v>28</v>
      </c>
      <c r="D362" s="2" t="s">
        <v>17</v>
      </c>
      <c r="E362" s="2" t="s">
        <v>17</v>
      </c>
      <c r="J362" s="3" t="e">
        <f t="shared" si="6"/>
        <v>#VALUE!</v>
      </c>
      <c r="K362" s="3" t="e">
        <f t="shared" si="7"/>
        <v>#VALUE!</v>
      </c>
      <c r="L362" s="3" t="e">
        <f t="shared" si="8"/>
        <v>#N/A</v>
      </c>
      <c r="M362" s="3" t="e">
        <f t="shared" si="9"/>
        <v>#N/A</v>
      </c>
      <c r="N362" s="3" t="e">
        <f t="shared" si="10"/>
        <v>#N/A</v>
      </c>
      <c r="O362" s="3" t="e">
        <f t="shared" si="11"/>
        <v>#N/A</v>
      </c>
    </row>
    <row r="363" spans="1:15" ht="14.25" customHeight="1">
      <c r="A363" s="2" t="s">
        <v>15</v>
      </c>
      <c r="B363" s="2">
        <v>1912</v>
      </c>
      <c r="C363" s="2" t="s">
        <v>28</v>
      </c>
      <c r="D363" s="2" t="s">
        <v>17</v>
      </c>
      <c r="E363" s="2" t="s">
        <v>17</v>
      </c>
      <c r="J363" s="3" t="e">
        <f t="shared" si="6"/>
        <v>#VALUE!</v>
      </c>
      <c r="K363" s="3" t="e">
        <f t="shared" si="7"/>
        <v>#VALUE!</v>
      </c>
      <c r="L363" s="3" t="e">
        <f t="shared" si="8"/>
        <v>#N/A</v>
      </c>
      <c r="M363" s="3" t="e">
        <f t="shared" si="9"/>
        <v>#N/A</v>
      </c>
      <c r="N363" s="3" t="e">
        <f t="shared" si="10"/>
        <v>#N/A</v>
      </c>
      <c r="O363" s="3" t="e">
        <f t="shared" si="11"/>
        <v>#N/A</v>
      </c>
    </row>
    <row r="364" spans="1:15" ht="14.25" customHeight="1">
      <c r="A364" s="2" t="s">
        <v>15</v>
      </c>
      <c r="B364" s="2">
        <v>1913</v>
      </c>
      <c r="C364" s="2" t="s">
        <v>28</v>
      </c>
      <c r="D364" s="2" t="s">
        <v>17</v>
      </c>
      <c r="E364" s="2" t="s">
        <v>17</v>
      </c>
      <c r="J364" s="3" t="e">
        <f t="shared" si="6"/>
        <v>#VALUE!</v>
      </c>
      <c r="K364" s="3" t="e">
        <f t="shared" si="7"/>
        <v>#VALUE!</v>
      </c>
      <c r="L364" s="3" t="e">
        <f t="shared" si="8"/>
        <v>#N/A</v>
      </c>
      <c r="M364" s="3" t="e">
        <f t="shared" si="9"/>
        <v>#N/A</v>
      </c>
      <c r="N364" s="3" t="e">
        <f t="shared" si="10"/>
        <v>#N/A</v>
      </c>
      <c r="O364" s="3" t="e">
        <f t="shared" si="11"/>
        <v>#N/A</v>
      </c>
    </row>
    <row r="365" spans="1:15" ht="14.25" customHeight="1">
      <c r="A365" s="2" t="s">
        <v>15</v>
      </c>
      <c r="B365" s="2">
        <v>1914</v>
      </c>
      <c r="C365" s="2" t="s">
        <v>28</v>
      </c>
      <c r="D365" s="2" t="s">
        <v>17</v>
      </c>
      <c r="E365" s="2" t="s">
        <v>17</v>
      </c>
      <c r="F365" s="2">
        <v>22349</v>
      </c>
      <c r="G365" s="2">
        <v>35398</v>
      </c>
      <c r="H365" s="2">
        <f>55710+133080+34560</f>
        <v>223350</v>
      </c>
      <c r="I365" s="2">
        <f>68770+76113+349418</f>
        <v>494301</v>
      </c>
      <c r="J365" s="3" t="e">
        <f t="shared" si="6"/>
        <v>#VALUE!</v>
      </c>
      <c r="K365" s="3" t="e">
        <f t="shared" si="7"/>
        <v>#VALUE!</v>
      </c>
      <c r="L365" s="3">
        <f t="shared" si="8"/>
        <v>1135.3891485470433</v>
      </c>
      <c r="M365" s="3">
        <f t="shared" si="9"/>
        <v>35.398000000000003</v>
      </c>
      <c r="N365" s="3">
        <f t="shared" si="10"/>
        <v>11346.779109937004</v>
      </c>
      <c r="O365" s="3">
        <f t="shared" si="11"/>
        <v>494.30099999999999</v>
      </c>
    </row>
    <row r="366" spans="1:15" ht="14.25" customHeight="1">
      <c r="A366" s="2" t="s">
        <v>15</v>
      </c>
      <c r="B366" s="2">
        <v>1915</v>
      </c>
      <c r="C366" s="2" t="s">
        <v>28</v>
      </c>
      <c r="D366" s="2" t="s">
        <v>17</v>
      </c>
      <c r="E366" s="2" t="s">
        <v>17</v>
      </c>
      <c r="F366" s="2">
        <v>3946</v>
      </c>
      <c r="G366" s="2">
        <v>3978</v>
      </c>
      <c r="H366" s="2">
        <f>34672+103843+43457</f>
        <v>181972</v>
      </c>
      <c r="I366" s="2">
        <f>36511+48073+351231</f>
        <v>435815</v>
      </c>
      <c r="J366" s="3" t="e">
        <f t="shared" si="6"/>
        <v>#VALUE!</v>
      </c>
      <c r="K366" s="3" t="e">
        <f t="shared" si="7"/>
        <v>#VALUE!</v>
      </c>
      <c r="L366" s="3">
        <f t="shared" si="8"/>
        <v>200.46738467791099</v>
      </c>
      <c r="M366" s="3">
        <f t="shared" si="9"/>
        <v>3.9780000000000002</v>
      </c>
      <c r="N366" s="3">
        <f t="shared" si="10"/>
        <v>9244.6657183499283</v>
      </c>
      <c r="O366" s="3">
        <f t="shared" si="11"/>
        <v>435.815</v>
      </c>
    </row>
    <row r="367" spans="1:15" ht="14.25" customHeight="1">
      <c r="A367" s="2" t="s">
        <v>15</v>
      </c>
      <c r="B367" s="2">
        <v>1916</v>
      </c>
      <c r="C367" s="2" t="s">
        <v>28</v>
      </c>
      <c r="D367" s="2" t="s">
        <v>17</v>
      </c>
      <c r="E367" s="2" t="s">
        <v>17</v>
      </c>
      <c r="F367" s="2">
        <v>6844</v>
      </c>
      <c r="G367" s="2">
        <v>4332</v>
      </c>
      <c r="H367" s="2">
        <f>30755+80432+52033</f>
        <v>163220</v>
      </c>
      <c r="I367" s="2">
        <f>32324+52221+518254</f>
        <v>602799</v>
      </c>
      <c r="J367" s="3" t="e">
        <f t="shared" si="6"/>
        <v>#VALUE!</v>
      </c>
      <c r="K367" s="3" t="e">
        <f t="shared" si="7"/>
        <v>#VALUE!</v>
      </c>
      <c r="L367" s="3">
        <f t="shared" si="8"/>
        <v>347.69355821987398</v>
      </c>
      <c r="M367" s="3">
        <f t="shared" si="9"/>
        <v>4.3319999999999999</v>
      </c>
      <c r="N367" s="3">
        <f t="shared" si="10"/>
        <v>8292.0138183296076</v>
      </c>
      <c r="O367" s="3">
        <f t="shared" si="11"/>
        <v>602.79899999999998</v>
      </c>
    </row>
    <row r="368" spans="1:15" ht="14.25" customHeight="1">
      <c r="A368" s="2" t="s">
        <v>15</v>
      </c>
      <c r="B368" s="2">
        <v>1917</v>
      </c>
      <c r="C368" s="2" t="s">
        <v>28</v>
      </c>
      <c r="D368" s="2" t="s">
        <v>17</v>
      </c>
      <c r="E368" s="2" t="s">
        <v>17</v>
      </c>
      <c r="F368" s="2">
        <v>421</v>
      </c>
      <c r="G368" s="2">
        <v>1235</v>
      </c>
      <c r="H368" s="2">
        <f>13267+5262+22248</f>
        <v>40777</v>
      </c>
      <c r="I368" s="2">
        <f>12743+5907+273567</f>
        <v>292217</v>
      </c>
      <c r="J368" s="3" t="e">
        <f t="shared" si="6"/>
        <v>#VALUE!</v>
      </c>
      <c r="K368" s="3" t="e">
        <f t="shared" si="7"/>
        <v>#VALUE!</v>
      </c>
      <c r="L368" s="3">
        <f t="shared" si="8"/>
        <v>21.387929282666125</v>
      </c>
      <c r="M368" s="3">
        <f t="shared" si="9"/>
        <v>1.2350000000000001</v>
      </c>
      <c r="N368" s="3">
        <f t="shared" si="10"/>
        <v>2071.580979475716</v>
      </c>
      <c r="O368" s="3">
        <f t="shared" si="11"/>
        <v>292.21699999999998</v>
      </c>
    </row>
    <row r="369" spans="1:15" ht="14.25" customHeight="1">
      <c r="A369" s="2" t="s">
        <v>15</v>
      </c>
      <c r="B369" s="2">
        <v>1918</v>
      </c>
      <c r="C369" s="2" t="s">
        <v>28</v>
      </c>
      <c r="D369" s="2" t="s">
        <v>17</v>
      </c>
      <c r="E369" s="2" t="s">
        <v>17</v>
      </c>
      <c r="F369" s="2">
        <v>72</v>
      </c>
      <c r="G369" s="2">
        <v>95</v>
      </c>
      <c r="H369" s="2">
        <f>603+5518+17489</f>
        <v>23610</v>
      </c>
      <c r="I369" s="2">
        <f>1191+14495+326867</f>
        <v>342553</v>
      </c>
      <c r="J369" s="3" t="e">
        <f t="shared" si="6"/>
        <v>#VALUE!</v>
      </c>
      <c r="K369" s="3" t="e">
        <f t="shared" si="7"/>
        <v>#VALUE!</v>
      </c>
      <c r="L369" s="3">
        <f t="shared" si="8"/>
        <v>3.6577931314773418</v>
      </c>
      <c r="M369" s="3">
        <f t="shared" si="9"/>
        <v>9.5000000000000001E-2</v>
      </c>
      <c r="N369" s="3">
        <f t="shared" si="10"/>
        <v>1199.4513310302784</v>
      </c>
      <c r="O369" s="3">
        <f t="shared" si="11"/>
        <v>342.553</v>
      </c>
    </row>
    <row r="370" spans="1:15" ht="14.25" customHeight="1">
      <c r="A370" s="2" t="s">
        <v>15</v>
      </c>
      <c r="B370" s="2">
        <v>1919</v>
      </c>
      <c r="C370" s="2" t="s">
        <v>28</v>
      </c>
      <c r="D370" s="2" t="s">
        <v>17</v>
      </c>
      <c r="E370" s="2" t="s">
        <v>17</v>
      </c>
      <c r="F370" s="2">
        <v>7345</v>
      </c>
      <c r="G370" s="2">
        <v>13414</v>
      </c>
      <c r="H370" s="2">
        <f>16411+61283+33261</f>
        <v>110955</v>
      </c>
      <c r="I370" s="2">
        <f>27080+63452+634395</f>
        <v>724927</v>
      </c>
      <c r="J370" s="3" t="e">
        <f t="shared" si="6"/>
        <v>#VALUE!</v>
      </c>
      <c r="K370" s="3" t="e">
        <f t="shared" si="7"/>
        <v>#VALUE!</v>
      </c>
      <c r="L370" s="3">
        <f t="shared" si="8"/>
        <v>373.1457020930705</v>
      </c>
      <c r="M370" s="3">
        <f t="shared" si="9"/>
        <v>13.414</v>
      </c>
      <c r="N370" s="3">
        <f t="shared" si="10"/>
        <v>5636.8116236537289</v>
      </c>
      <c r="O370" s="3">
        <f t="shared" si="11"/>
        <v>724.92700000000002</v>
      </c>
    </row>
    <row r="371" spans="1:15" ht="14.25" customHeight="1">
      <c r="A371" s="2" t="s">
        <v>15</v>
      </c>
      <c r="B371" s="2">
        <v>1920</v>
      </c>
      <c r="C371" s="2" t="s">
        <v>28</v>
      </c>
      <c r="D371" s="2" t="s">
        <v>17</v>
      </c>
      <c r="E371" s="2" t="s">
        <v>17</v>
      </c>
      <c r="F371" s="2">
        <v>2975</v>
      </c>
      <c r="G371" s="2">
        <v>13963</v>
      </c>
      <c r="H371" s="2">
        <f>22788+129696+25035</f>
        <v>177519</v>
      </c>
      <c r="I371" s="2">
        <f>38962+119158+573787</f>
        <v>731907</v>
      </c>
      <c r="J371" s="3" t="e">
        <f t="shared" si="6"/>
        <v>#VALUE!</v>
      </c>
      <c r="K371" s="3" t="e">
        <f t="shared" si="7"/>
        <v>#VALUE!</v>
      </c>
      <c r="L371" s="3">
        <f t="shared" si="8"/>
        <v>151.13798008534849</v>
      </c>
      <c r="M371" s="3">
        <f t="shared" si="9"/>
        <v>13.962999999999999</v>
      </c>
      <c r="N371" s="3">
        <f t="shared" si="10"/>
        <v>9018.4413737045306</v>
      </c>
      <c r="O371" s="3">
        <f t="shared" si="11"/>
        <v>731.90700000000004</v>
      </c>
    </row>
    <row r="372" spans="1:15" ht="14.25" customHeight="1">
      <c r="A372" s="2" t="s">
        <v>15</v>
      </c>
      <c r="B372" s="2">
        <v>1921</v>
      </c>
      <c r="C372" s="2" t="s">
        <v>28</v>
      </c>
      <c r="D372" s="2" t="s">
        <v>17</v>
      </c>
      <c r="E372" s="2" t="s">
        <v>17</v>
      </c>
      <c r="J372" s="3" t="e">
        <f t="shared" si="6"/>
        <v>#VALUE!</v>
      </c>
      <c r="K372" s="3" t="e">
        <f t="shared" si="7"/>
        <v>#VALUE!</v>
      </c>
      <c r="L372" s="3" t="e">
        <f t="shared" si="8"/>
        <v>#N/A</v>
      </c>
      <c r="M372" s="3" t="e">
        <f t="shared" si="9"/>
        <v>#N/A</v>
      </c>
      <c r="N372" s="3" t="e">
        <f t="shared" si="10"/>
        <v>#N/A</v>
      </c>
      <c r="O372" s="3" t="e">
        <f t="shared" si="11"/>
        <v>#N/A</v>
      </c>
    </row>
    <row r="373" spans="1:15" ht="14.25" customHeight="1">
      <c r="A373" s="2" t="s">
        <v>15</v>
      </c>
      <c r="B373" s="2">
        <v>1922</v>
      </c>
      <c r="C373" s="2" t="s">
        <v>28</v>
      </c>
      <c r="D373" s="2" t="s">
        <v>17</v>
      </c>
      <c r="E373" s="2" t="s">
        <v>17</v>
      </c>
      <c r="J373" s="3" t="e">
        <f t="shared" si="6"/>
        <v>#VALUE!</v>
      </c>
      <c r="K373" s="3" t="e">
        <f t="shared" si="7"/>
        <v>#VALUE!</v>
      </c>
      <c r="L373" s="3" t="e">
        <f t="shared" si="8"/>
        <v>#N/A</v>
      </c>
      <c r="M373" s="3" t="e">
        <f t="shared" si="9"/>
        <v>#N/A</v>
      </c>
      <c r="N373" s="3" t="e">
        <f t="shared" si="10"/>
        <v>#N/A</v>
      </c>
      <c r="O373" s="3" t="e">
        <f t="shared" si="11"/>
        <v>#N/A</v>
      </c>
    </row>
    <row r="374" spans="1:15" ht="14.25" customHeight="1">
      <c r="A374" s="2" t="s">
        <v>15</v>
      </c>
      <c r="B374" s="2">
        <v>1923</v>
      </c>
      <c r="C374" s="2" t="s">
        <v>28</v>
      </c>
      <c r="D374" s="2" t="s">
        <v>17</v>
      </c>
      <c r="E374" s="2" t="s">
        <v>17</v>
      </c>
      <c r="J374" s="3" t="e">
        <f t="shared" si="6"/>
        <v>#VALUE!</v>
      </c>
      <c r="K374" s="3" t="e">
        <f t="shared" si="7"/>
        <v>#VALUE!</v>
      </c>
      <c r="L374" s="3" t="e">
        <f t="shared" si="8"/>
        <v>#N/A</v>
      </c>
      <c r="M374" s="3" t="e">
        <f t="shared" si="9"/>
        <v>#N/A</v>
      </c>
      <c r="N374" s="3" t="e">
        <f t="shared" si="10"/>
        <v>#N/A</v>
      </c>
      <c r="O374" s="3" t="e">
        <f t="shared" si="11"/>
        <v>#N/A</v>
      </c>
    </row>
    <row r="375" spans="1:15" ht="14.25" customHeight="1">
      <c r="A375" s="2" t="s">
        <v>15</v>
      </c>
      <c r="B375" s="2">
        <v>1924</v>
      </c>
      <c r="C375" s="2" t="s">
        <v>28</v>
      </c>
      <c r="D375" s="2" t="s">
        <v>17</v>
      </c>
      <c r="E375" s="2" t="s">
        <v>17</v>
      </c>
      <c r="J375" s="3" t="e">
        <f t="shared" si="6"/>
        <v>#VALUE!</v>
      </c>
      <c r="K375" s="3" t="e">
        <f t="shared" si="7"/>
        <v>#VALUE!</v>
      </c>
      <c r="L375" s="3" t="e">
        <f t="shared" si="8"/>
        <v>#N/A</v>
      </c>
      <c r="M375" s="3" t="e">
        <f t="shared" si="9"/>
        <v>#N/A</v>
      </c>
      <c r="N375" s="3" t="e">
        <f t="shared" si="10"/>
        <v>#N/A</v>
      </c>
      <c r="O375" s="3" t="e">
        <f t="shared" si="11"/>
        <v>#N/A</v>
      </c>
    </row>
    <row r="376" spans="1:15" ht="14.25" customHeight="1">
      <c r="A376" s="2" t="s">
        <v>15</v>
      </c>
      <c r="B376" s="2">
        <v>1925</v>
      </c>
      <c r="C376" s="2" t="s">
        <v>28</v>
      </c>
      <c r="D376" s="2" t="s">
        <v>17</v>
      </c>
      <c r="E376" s="2" t="s">
        <v>17</v>
      </c>
      <c r="F376" s="2">
        <f>1784+4020</f>
        <v>5804</v>
      </c>
      <c r="G376" s="2">
        <f>5652+19703</f>
        <v>25355</v>
      </c>
      <c r="H376" s="2">
        <f>41380+83343+106859+31209</f>
        <v>262791</v>
      </c>
      <c r="I376" s="2">
        <f>136843+18411+167386+526583</f>
        <v>849223</v>
      </c>
      <c r="J376" s="3" t="e">
        <f t="shared" si="6"/>
        <v>#VALUE!</v>
      </c>
      <c r="K376" s="3" t="e">
        <f t="shared" si="7"/>
        <v>#VALUE!</v>
      </c>
      <c r="L376" s="3">
        <f t="shared" si="8"/>
        <v>294.85876854297908</v>
      </c>
      <c r="M376" s="3">
        <f t="shared" si="9"/>
        <v>25.355</v>
      </c>
      <c r="N376" s="3">
        <f t="shared" si="10"/>
        <v>13350.487705750864</v>
      </c>
      <c r="O376" s="3">
        <f t="shared" si="11"/>
        <v>849.22299999999996</v>
      </c>
    </row>
    <row r="377" spans="1:15" ht="14.25" customHeight="1">
      <c r="A377" s="2" t="s">
        <v>15</v>
      </c>
      <c r="B377" s="2">
        <v>1926</v>
      </c>
      <c r="C377" s="2" t="s">
        <v>28</v>
      </c>
      <c r="D377" s="2" t="s">
        <v>17</v>
      </c>
      <c r="E377" s="2" t="s">
        <v>17</v>
      </c>
      <c r="J377" s="3" t="e">
        <f t="shared" si="6"/>
        <v>#VALUE!</v>
      </c>
      <c r="K377" s="3" t="e">
        <f t="shared" si="7"/>
        <v>#VALUE!</v>
      </c>
      <c r="L377" s="3" t="e">
        <f t="shared" si="8"/>
        <v>#N/A</v>
      </c>
      <c r="M377" s="3" t="e">
        <f t="shared" si="9"/>
        <v>#N/A</v>
      </c>
      <c r="N377" s="3" t="e">
        <f t="shared" si="10"/>
        <v>#N/A</v>
      </c>
      <c r="O377" s="3" t="e">
        <f t="shared" si="11"/>
        <v>#N/A</v>
      </c>
    </row>
    <row r="378" spans="1:15" ht="14.25" customHeight="1">
      <c r="A378" s="2" t="s">
        <v>15</v>
      </c>
      <c r="B378" s="2">
        <v>1927</v>
      </c>
      <c r="C378" s="2" t="s">
        <v>28</v>
      </c>
      <c r="D378" s="2" t="s">
        <v>17</v>
      </c>
      <c r="E378" s="2" t="s">
        <v>17</v>
      </c>
      <c r="J378" s="3" t="e">
        <f t="shared" si="6"/>
        <v>#VALUE!</v>
      </c>
      <c r="K378" s="3" t="e">
        <f t="shared" si="7"/>
        <v>#VALUE!</v>
      </c>
      <c r="L378" s="3" t="e">
        <f t="shared" si="8"/>
        <v>#N/A</v>
      </c>
      <c r="M378" s="3" t="e">
        <f t="shared" si="9"/>
        <v>#N/A</v>
      </c>
      <c r="N378" s="3" t="e">
        <f t="shared" si="10"/>
        <v>#N/A</v>
      </c>
      <c r="O378" s="3" t="e">
        <f t="shared" si="11"/>
        <v>#N/A</v>
      </c>
    </row>
    <row r="379" spans="1:15" ht="14.25" customHeight="1">
      <c r="A379" s="2" t="s">
        <v>15</v>
      </c>
      <c r="B379" s="2">
        <v>1928</v>
      </c>
      <c r="C379" s="2" t="s">
        <v>28</v>
      </c>
      <c r="D379" s="2" t="s">
        <v>17</v>
      </c>
      <c r="E379" s="2" t="s">
        <v>17</v>
      </c>
      <c r="J379" s="3" t="e">
        <f t="shared" si="6"/>
        <v>#VALUE!</v>
      </c>
      <c r="K379" s="3" t="e">
        <f t="shared" si="7"/>
        <v>#VALUE!</v>
      </c>
      <c r="L379" s="3" t="e">
        <f t="shared" si="8"/>
        <v>#N/A</v>
      </c>
      <c r="M379" s="3" t="e">
        <f t="shared" si="9"/>
        <v>#N/A</v>
      </c>
      <c r="N379" s="3" t="e">
        <f t="shared" si="10"/>
        <v>#N/A</v>
      </c>
      <c r="O379" s="3" t="e">
        <f t="shared" si="11"/>
        <v>#N/A</v>
      </c>
    </row>
    <row r="380" spans="1:15" ht="14.25" customHeight="1">
      <c r="A380" s="2" t="s">
        <v>15</v>
      </c>
      <c r="B380" s="2">
        <v>1929</v>
      </c>
      <c r="C380" s="2" t="s">
        <v>28</v>
      </c>
      <c r="D380" s="2" t="s">
        <v>17</v>
      </c>
      <c r="E380" s="2" t="s">
        <v>17</v>
      </c>
      <c r="J380" s="3" t="e">
        <f t="shared" si="6"/>
        <v>#VALUE!</v>
      </c>
      <c r="K380" s="3" t="e">
        <f t="shared" si="7"/>
        <v>#VALUE!</v>
      </c>
      <c r="L380" s="3" t="e">
        <f t="shared" si="8"/>
        <v>#N/A</v>
      </c>
      <c r="M380" s="3" t="e">
        <f t="shared" si="9"/>
        <v>#N/A</v>
      </c>
      <c r="N380" s="3" t="e">
        <f t="shared" si="10"/>
        <v>#N/A</v>
      </c>
      <c r="O380" s="3" t="e">
        <f t="shared" si="11"/>
        <v>#N/A</v>
      </c>
    </row>
    <row r="381" spans="1:15" ht="14.25" customHeight="1">
      <c r="A381" s="2" t="s">
        <v>15</v>
      </c>
      <c r="B381" s="2">
        <v>1930</v>
      </c>
      <c r="C381" s="2" t="s">
        <v>28</v>
      </c>
      <c r="D381" s="2" t="s">
        <v>17</v>
      </c>
      <c r="E381" s="2" t="s">
        <v>17</v>
      </c>
      <c r="F381" s="2">
        <f>545+2463</f>
        <v>3008</v>
      </c>
      <c r="G381" s="2">
        <f>2507+13874</f>
        <v>16381</v>
      </c>
      <c r="H381" s="2">
        <f>54536+53053+92719+21745+66810</f>
        <v>288863</v>
      </c>
      <c r="I381" s="2">
        <f>152831+13442+175171+300725+621343-5650</f>
        <v>1257862</v>
      </c>
      <c r="J381" s="3" t="e">
        <f t="shared" si="6"/>
        <v>#VALUE!</v>
      </c>
      <c r="K381" s="3" t="e">
        <f t="shared" si="7"/>
        <v>#VALUE!</v>
      </c>
      <c r="L381" s="3">
        <f t="shared" si="8"/>
        <v>152.81446860394229</v>
      </c>
      <c r="M381" s="3">
        <f t="shared" si="9"/>
        <v>16.381</v>
      </c>
      <c r="N381" s="3">
        <f t="shared" si="10"/>
        <v>14675.015240804714</v>
      </c>
      <c r="O381" s="3">
        <f t="shared" si="11"/>
        <v>1257.8620000000001</v>
      </c>
    </row>
    <row r="382" spans="1:15" ht="14.25" customHeight="1">
      <c r="A382" s="2" t="s">
        <v>15</v>
      </c>
      <c r="B382" s="2">
        <v>1931</v>
      </c>
      <c r="C382" s="2" t="s">
        <v>28</v>
      </c>
      <c r="D382" s="2" t="s">
        <v>17</v>
      </c>
      <c r="E382" s="2" t="s">
        <v>17</v>
      </c>
      <c r="J382" s="3" t="e">
        <f t="shared" si="6"/>
        <v>#VALUE!</v>
      </c>
      <c r="K382" s="3" t="e">
        <f t="shared" si="7"/>
        <v>#VALUE!</v>
      </c>
      <c r="L382" s="3" t="e">
        <f t="shared" si="8"/>
        <v>#N/A</v>
      </c>
      <c r="M382" s="3" t="e">
        <f t="shared" si="9"/>
        <v>#N/A</v>
      </c>
      <c r="N382" s="3" t="e">
        <f t="shared" si="10"/>
        <v>#N/A</v>
      </c>
      <c r="O382" s="3" t="e">
        <f t="shared" si="11"/>
        <v>#N/A</v>
      </c>
    </row>
    <row r="383" spans="1:15" ht="14.25" customHeight="1">
      <c r="A383" s="2" t="s">
        <v>15</v>
      </c>
      <c r="B383" s="2">
        <v>1932</v>
      </c>
      <c r="C383" s="2" t="s">
        <v>28</v>
      </c>
      <c r="D383" s="2" t="s">
        <v>17</v>
      </c>
      <c r="E383" s="2" t="s">
        <v>17</v>
      </c>
      <c r="J383" s="3" t="e">
        <f t="shared" si="6"/>
        <v>#VALUE!</v>
      </c>
      <c r="K383" s="3" t="e">
        <f t="shared" si="7"/>
        <v>#VALUE!</v>
      </c>
      <c r="L383" s="3" t="e">
        <f t="shared" si="8"/>
        <v>#N/A</v>
      </c>
      <c r="M383" s="3" t="e">
        <f t="shared" si="9"/>
        <v>#N/A</v>
      </c>
      <c r="N383" s="3" t="e">
        <f t="shared" si="10"/>
        <v>#N/A</v>
      </c>
      <c r="O383" s="3" t="e">
        <f t="shared" si="11"/>
        <v>#N/A</v>
      </c>
    </row>
    <row r="384" spans="1:15" ht="14.25" customHeight="1">
      <c r="A384" s="2" t="s">
        <v>15</v>
      </c>
      <c r="B384" s="2">
        <v>1933</v>
      </c>
      <c r="C384" s="2" t="s">
        <v>28</v>
      </c>
      <c r="D384" s="2" t="s">
        <v>17</v>
      </c>
      <c r="E384" s="2" t="s">
        <v>17</v>
      </c>
      <c r="J384" s="3" t="e">
        <f t="shared" si="6"/>
        <v>#VALUE!</v>
      </c>
      <c r="K384" s="3" t="e">
        <f t="shared" si="7"/>
        <v>#VALUE!</v>
      </c>
      <c r="L384" s="3" t="e">
        <f t="shared" si="8"/>
        <v>#N/A</v>
      </c>
      <c r="M384" s="3" t="e">
        <f t="shared" si="9"/>
        <v>#N/A</v>
      </c>
      <c r="N384" s="3" t="e">
        <f t="shared" si="10"/>
        <v>#N/A</v>
      </c>
      <c r="O384" s="3" t="e">
        <f t="shared" si="11"/>
        <v>#N/A</v>
      </c>
    </row>
    <row r="385" spans="1:15" ht="14.25" customHeight="1">
      <c r="A385" s="2" t="s">
        <v>15</v>
      </c>
      <c r="B385" s="2">
        <v>1934</v>
      </c>
      <c r="C385" s="2" t="s">
        <v>28</v>
      </c>
      <c r="D385" s="2" t="s">
        <v>17</v>
      </c>
      <c r="E385" s="2" t="s">
        <v>17</v>
      </c>
      <c r="J385" s="3" t="e">
        <f t="shared" si="6"/>
        <v>#VALUE!</v>
      </c>
      <c r="K385" s="3" t="e">
        <f t="shared" si="7"/>
        <v>#VALUE!</v>
      </c>
      <c r="L385" s="3" t="e">
        <f t="shared" si="8"/>
        <v>#N/A</v>
      </c>
      <c r="M385" s="3" t="e">
        <f t="shared" si="9"/>
        <v>#N/A</v>
      </c>
      <c r="N385" s="3" t="e">
        <f t="shared" si="10"/>
        <v>#N/A</v>
      </c>
      <c r="O385" s="3" t="e">
        <f t="shared" si="11"/>
        <v>#N/A</v>
      </c>
    </row>
    <row r="386" spans="1:15" ht="14.25" customHeight="1">
      <c r="A386" s="2" t="s">
        <v>15</v>
      </c>
      <c r="B386" s="2">
        <v>1935</v>
      </c>
      <c r="C386" s="2" t="s">
        <v>28</v>
      </c>
      <c r="D386" s="2" t="s">
        <v>17</v>
      </c>
      <c r="E386" s="2" t="s">
        <v>17</v>
      </c>
      <c r="F386" s="2">
        <f>231+10061</f>
        <v>10292</v>
      </c>
      <c r="G386" s="2">
        <f>876+18594</f>
        <v>19470</v>
      </c>
      <c r="H386" s="2">
        <f>30208+32289+110524+25007+80898</f>
        <v>278926</v>
      </c>
      <c r="I386" s="2">
        <f>66571+77149+82500+312980+625584</f>
        <v>1164784</v>
      </c>
      <c r="J386" s="3" t="e">
        <f t="shared" si="6"/>
        <v>#VALUE!</v>
      </c>
      <c r="K386" s="3" t="e">
        <f t="shared" si="7"/>
        <v>#VALUE!</v>
      </c>
      <c r="L386" s="3">
        <f t="shared" si="8"/>
        <v>522.86120707173336</v>
      </c>
      <c r="M386" s="3">
        <f t="shared" si="9"/>
        <v>19.47</v>
      </c>
      <c r="N386" s="3">
        <f t="shared" si="10"/>
        <v>14170.188985978459</v>
      </c>
      <c r="O386" s="3">
        <f t="shared" si="11"/>
        <v>1164.7840000000001</v>
      </c>
    </row>
    <row r="387" spans="1:15" ht="14.25" customHeight="1">
      <c r="A387" s="2" t="s">
        <v>15</v>
      </c>
      <c r="B387" s="2">
        <v>1936</v>
      </c>
      <c r="C387" s="2" t="s">
        <v>28</v>
      </c>
      <c r="D387" s="2" t="s">
        <v>17</v>
      </c>
      <c r="E387" s="2" t="s">
        <v>17</v>
      </c>
      <c r="J387" s="3" t="e">
        <f t="shared" si="6"/>
        <v>#VALUE!</v>
      </c>
      <c r="K387" s="3" t="e">
        <f t="shared" si="7"/>
        <v>#VALUE!</v>
      </c>
      <c r="L387" s="3" t="e">
        <f t="shared" si="8"/>
        <v>#N/A</v>
      </c>
      <c r="M387" s="3" t="e">
        <f t="shared" si="9"/>
        <v>#N/A</v>
      </c>
      <c r="N387" s="3" t="e">
        <f t="shared" si="10"/>
        <v>#N/A</v>
      </c>
      <c r="O387" s="3" t="e">
        <f t="shared" si="11"/>
        <v>#N/A</v>
      </c>
    </row>
    <row r="388" spans="1:15" ht="14.25" customHeight="1">
      <c r="A388" s="2" t="s">
        <v>15</v>
      </c>
      <c r="B388" s="2">
        <v>1937</v>
      </c>
      <c r="C388" s="2" t="s">
        <v>28</v>
      </c>
      <c r="D388" s="2" t="s">
        <v>17</v>
      </c>
      <c r="E388" s="2" t="s">
        <v>17</v>
      </c>
      <c r="J388" s="3" t="e">
        <f t="shared" si="6"/>
        <v>#VALUE!</v>
      </c>
      <c r="K388" s="3" t="e">
        <f t="shared" si="7"/>
        <v>#VALUE!</v>
      </c>
      <c r="L388" s="3" t="e">
        <f t="shared" si="8"/>
        <v>#N/A</v>
      </c>
      <c r="M388" s="3" t="e">
        <f t="shared" si="9"/>
        <v>#N/A</v>
      </c>
      <c r="N388" s="3" t="e">
        <f t="shared" si="10"/>
        <v>#N/A</v>
      </c>
      <c r="O388" s="3" t="e">
        <f t="shared" si="11"/>
        <v>#N/A</v>
      </c>
    </row>
    <row r="389" spans="1:15" ht="14.25" customHeight="1">
      <c r="A389" s="2" t="s">
        <v>15</v>
      </c>
      <c r="B389" s="2">
        <v>1938</v>
      </c>
      <c r="C389" s="2" t="s">
        <v>28</v>
      </c>
      <c r="D389" s="2" t="s">
        <v>17</v>
      </c>
      <c r="E389" s="2" t="s">
        <v>17</v>
      </c>
      <c r="J389" s="3" t="e">
        <f t="shared" si="6"/>
        <v>#VALUE!</v>
      </c>
      <c r="K389" s="3" t="e">
        <f t="shared" si="7"/>
        <v>#VALUE!</v>
      </c>
      <c r="L389" s="3" t="e">
        <f t="shared" si="8"/>
        <v>#N/A</v>
      </c>
      <c r="M389" s="3" t="e">
        <f t="shared" si="9"/>
        <v>#N/A</v>
      </c>
      <c r="N389" s="3" t="e">
        <f t="shared" si="10"/>
        <v>#N/A</v>
      </c>
      <c r="O389" s="3" t="e">
        <f t="shared" si="11"/>
        <v>#N/A</v>
      </c>
    </row>
    <row r="390" spans="1:15" ht="14.25" customHeight="1">
      <c r="A390" s="2" t="s">
        <v>15</v>
      </c>
      <c r="B390" s="2">
        <v>1939</v>
      </c>
      <c r="C390" s="2" t="s">
        <v>28</v>
      </c>
      <c r="D390" s="2" t="s">
        <v>17</v>
      </c>
      <c r="E390" s="2" t="s">
        <v>17</v>
      </c>
      <c r="F390" s="2">
        <v>4006</v>
      </c>
      <c r="G390" s="2">
        <v>6074</v>
      </c>
      <c r="H390" s="2">
        <f>23398+29144+81107+14258+83864</f>
        <v>231771</v>
      </c>
      <c r="I390" s="2">
        <f>42125+83679+112779+169078+706732</f>
        <v>1114393</v>
      </c>
      <c r="J390" s="3" t="e">
        <f t="shared" si="6"/>
        <v>#VALUE!</v>
      </c>
      <c r="K390" s="3" t="e">
        <f t="shared" si="7"/>
        <v>#VALUE!</v>
      </c>
      <c r="L390" s="3">
        <f t="shared" si="8"/>
        <v>203.51554562080878</v>
      </c>
      <c r="M390" s="3">
        <f t="shared" si="9"/>
        <v>6.0739999999999998</v>
      </c>
      <c r="N390" s="3">
        <f t="shared" si="10"/>
        <v>11774.588498272708</v>
      </c>
      <c r="O390" s="3">
        <f t="shared" si="11"/>
        <v>1114.393</v>
      </c>
    </row>
    <row r="391" spans="1:15" ht="14.25" customHeight="1">
      <c r="A391" s="2" t="s">
        <v>15</v>
      </c>
      <c r="B391" s="2">
        <v>1940</v>
      </c>
      <c r="C391" s="2" t="s">
        <v>28</v>
      </c>
      <c r="D391" s="2" t="s">
        <v>17</v>
      </c>
      <c r="E391" s="2" t="s">
        <v>17</v>
      </c>
      <c r="F391" s="2">
        <v>910</v>
      </c>
      <c r="G391" s="2">
        <v>1099</v>
      </c>
      <c r="H391" s="2">
        <f>2304+3394+69324+2479+1394</f>
        <v>78895</v>
      </c>
      <c r="I391" s="2">
        <f>7808+12447+67612+32487+18082</f>
        <v>138436</v>
      </c>
      <c r="J391" s="3" t="e">
        <f t="shared" si="6"/>
        <v>#VALUE!</v>
      </c>
      <c r="K391" s="3" t="e">
        <f t="shared" si="7"/>
        <v>#VALUE!</v>
      </c>
      <c r="L391" s="3">
        <f t="shared" si="8"/>
        <v>46.230440967283073</v>
      </c>
      <c r="M391" s="3">
        <f t="shared" si="9"/>
        <v>1.099</v>
      </c>
      <c r="N391" s="3">
        <f t="shared" si="10"/>
        <v>4008.0776264986789</v>
      </c>
      <c r="O391" s="3">
        <f t="shared" si="11"/>
        <v>138.43600000000001</v>
      </c>
    </row>
    <row r="392" spans="1:15" ht="14.25" customHeight="1">
      <c r="A392" s="2" t="s">
        <v>15</v>
      </c>
      <c r="B392" s="2">
        <v>1941</v>
      </c>
      <c r="C392" s="2" t="s">
        <v>28</v>
      </c>
      <c r="D392" s="2" t="s">
        <v>17</v>
      </c>
      <c r="E392" s="2" t="s">
        <v>17</v>
      </c>
      <c r="J392" s="3" t="e">
        <f t="shared" si="6"/>
        <v>#VALUE!</v>
      </c>
      <c r="K392" s="3" t="e">
        <f t="shared" si="7"/>
        <v>#VALUE!</v>
      </c>
      <c r="L392" s="3" t="e">
        <f t="shared" si="8"/>
        <v>#N/A</v>
      </c>
      <c r="M392" s="3" t="e">
        <f t="shared" si="9"/>
        <v>#N/A</v>
      </c>
      <c r="N392" s="3" t="e">
        <f t="shared" si="10"/>
        <v>#N/A</v>
      </c>
      <c r="O392" s="3" t="e">
        <f t="shared" si="11"/>
        <v>#N/A</v>
      </c>
    </row>
    <row r="393" spans="1:15" ht="14.25" customHeight="1">
      <c r="A393" s="2" t="s">
        <v>15</v>
      </c>
      <c r="B393" s="2">
        <v>1942</v>
      </c>
      <c r="C393" s="2" t="s">
        <v>28</v>
      </c>
      <c r="D393" s="2" t="s">
        <v>17</v>
      </c>
      <c r="E393" s="2" t="s">
        <v>17</v>
      </c>
      <c r="F393" s="2">
        <v>6</v>
      </c>
      <c r="G393" s="2">
        <v>14</v>
      </c>
      <c r="H393" s="2">
        <f>392+23+113126+0+0</f>
        <v>113541</v>
      </c>
      <c r="I393" s="2">
        <f>3495+313+88915+2+0</f>
        <v>92725</v>
      </c>
      <c r="J393" s="3" t="e">
        <f t="shared" si="6"/>
        <v>#VALUE!</v>
      </c>
      <c r="K393" s="3" t="e">
        <f t="shared" si="7"/>
        <v>#VALUE!</v>
      </c>
      <c r="L393" s="3">
        <f t="shared" si="8"/>
        <v>0.30481609428977846</v>
      </c>
      <c r="M393" s="3">
        <f t="shared" si="9"/>
        <v>1.4E-2</v>
      </c>
      <c r="N393" s="3">
        <f t="shared" si="10"/>
        <v>5768.1873602926235</v>
      </c>
      <c r="O393" s="3">
        <f t="shared" si="11"/>
        <v>92.724999999999994</v>
      </c>
    </row>
    <row r="394" spans="1:15" ht="14.25" customHeight="1">
      <c r="A394" s="2" t="s">
        <v>15</v>
      </c>
      <c r="B394" s="2">
        <v>1943</v>
      </c>
      <c r="C394" s="2" t="s">
        <v>28</v>
      </c>
      <c r="D394" s="2" t="s">
        <v>17</v>
      </c>
      <c r="E394" s="2" t="s">
        <v>17</v>
      </c>
      <c r="J394" s="3" t="e">
        <f t="shared" si="6"/>
        <v>#VALUE!</v>
      </c>
      <c r="K394" s="3" t="e">
        <f t="shared" si="7"/>
        <v>#VALUE!</v>
      </c>
      <c r="L394" s="3" t="e">
        <f t="shared" si="8"/>
        <v>#N/A</v>
      </c>
      <c r="M394" s="3" t="e">
        <f t="shared" si="9"/>
        <v>#N/A</v>
      </c>
      <c r="N394" s="3" t="e">
        <f t="shared" si="10"/>
        <v>#N/A</v>
      </c>
      <c r="O394" s="3" t="e">
        <f t="shared" si="11"/>
        <v>#N/A</v>
      </c>
    </row>
    <row r="395" spans="1:15" ht="14.25" customHeight="1">
      <c r="A395" s="2" t="s">
        <v>15</v>
      </c>
      <c r="B395" s="2">
        <v>1944</v>
      </c>
      <c r="C395" s="2" t="s">
        <v>28</v>
      </c>
      <c r="D395" s="2" t="s">
        <v>17</v>
      </c>
      <c r="E395" s="2" t="s">
        <v>17</v>
      </c>
      <c r="F395" s="2">
        <v>0</v>
      </c>
      <c r="G395" s="2">
        <v>0</v>
      </c>
      <c r="H395" s="2">
        <f>1721+34+81667+1276+0</f>
        <v>84698</v>
      </c>
      <c r="I395" s="2">
        <f>16249+505+119321+18368+1</f>
        <v>154444</v>
      </c>
      <c r="J395" s="3" t="e">
        <f t="shared" si="6"/>
        <v>#VALUE!</v>
      </c>
      <c r="K395" s="3" t="e">
        <f t="shared" si="7"/>
        <v>#VALUE!</v>
      </c>
      <c r="L395" s="3">
        <f t="shared" si="8"/>
        <v>0</v>
      </c>
      <c r="M395" s="3">
        <f t="shared" si="9"/>
        <v>0</v>
      </c>
      <c r="N395" s="3">
        <f t="shared" si="10"/>
        <v>4302.8855923592764</v>
      </c>
      <c r="O395" s="3">
        <f t="shared" si="11"/>
        <v>154.44399999999999</v>
      </c>
    </row>
    <row r="396" spans="1:15" ht="14.25" customHeight="1">
      <c r="A396" s="2" t="s">
        <v>15</v>
      </c>
      <c r="B396" s="2">
        <v>1945</v>
      </c>
      <c r="C396" s="2" t="s">
        <v>28</v>
      </c>
      <c r="D396" s="2" t="s">
        <v>17</v>
      </c>
      <c r="E396" s="2" t="s">
        <v>17</v>
      </c>
      <c r="J396" s="3" t="e">
        <f t="shared" si="6"/>
        <v>#VALUE!</v>
      </c>
      <c r="K396" s="3" t="e">
        <f t="shared" si="7"/>
        <v>#VALUE!</v>
      </c>
      <c r="L396" s="3" t="e">
        <f t="shared" si="8"/>
        <v>#N/A</v>
      </c>
      <c r="M396" s="3" t="e">
        <f t="shared" si="9"/>
        <v>#N/A</v>
      </c>
      <c r="N396" s="3" t="e">
        <f t="shared" si="10"/>
        <v>#N/A</v>
      </c>
      <c r="O396" s="3" t="e">
        <f t="shared" si="11"/>
        <v>#N/A</v>
      </c>
    </row>
    <row r="397" spans="1:15" ht="14.25" customHeight="1">
      <c r="A397" s="2" t="s">
        <v>15</v>
      </c>
      <c r="B397" s="2">
        <v>1946</v>
      </c>
      <c r="C397" s="2" t="s">
        <v>28</v>
      </c>
      <c r="D397" s="2" t="s">
        <v>17</v>
      </c>
      <c r="E397" s="2" t="s">
        <v>17</v>
      </c>
      <c r="F397" s="2">
        <v>39</v>
      </c>
      <c r="G397" s="2">
        <v>263</v>
      </c>
      <c r="H397" s="2">
        <f>4739+8343+67068+2+0</f>
        <v>80152</v>
      </c>
      <c r="I397" s="2">
        <f>49607+94265+136193+32+1</f>
        <v>280098</v>
      </c>
      <c r="J397" s="3" t="e">
        <f t="shared" si="6"/>
        <v>#VALUE!</v>
      </c>
      <c r="K397" s="3" t="e">
        <f t="shared" si="7"/>
        <v>#VALUE!</v>
      </c>
      <c r="L397" s="3">
        <f t="shared" si="8"/>
        <v>1.9813046128835601</v>
      </c>
      <c r="M397" s="3">
        <f t="shared" si="9"/>
        <v>0.26300000000000001</v>
      </c>
      <c r="N397" s="3">
        <f t="shared" si="10"/>
        <v>4071.9365982523873</v>
      </c>
      <c r="O397" s="3">
        <f t="shared" si="11"/>
        <v>280.09800000000001</v>
      </c>
    </row>
    <row r="398" spans="1:15" ht="14.25" customHeight="1">
      <c r="A398" s="2" t="s">
        <v>15</v>
      </c>
      <c r="B398" s="2">
        <v>1947</v>
      </c>
      <c r="C398" s="2" t="s">
        <v>28</v>
      </c>
      <c r="D398" s="2" t="s">
        <v>17</v>
      </c>
      <c r="E398" s="2" t="s">
        <v>17</v>
      </c>
      <c r="J398" s="3" t="e">
        <f t="shared" si="6"/>
        <v>#VALUE!</v>
      </c>
      <c r="K398" s="3" t="e">
        <f t="shared" si="7"/>
        <v>#VALUE!</v>
      </c>
      <c r="L398" s="3" t="e">
        <f t="shared" si="8"/>
        <v>#N/A</v>
      </c>
      <c r="M398" s="3" t="e">
        <f t="shared" si="9"/>
        <v>#N/A</v>
      </c>
      <c r="N398" s="3" t="e">
        <f t="shared" si="10"/>
        <v>#N/A</v>
      </c>
      <c r="O398" s="3" t="e">
        <f t="shared" si="11"/>
        <v>#N/A</v>
      </c>
    </row>
    <row r="399" spans="1:15" ht="14.25" customHeight="1">
      <c r="A399" s="2" t="s">
        <v>15</v>
      </c>
      <c r="B399" s="2">
        <v>1948</v>
      </c>
      <c r="C399" s="2" t="s">
        <v>28</v>
      </c>
      <c r="D399" s="2" t="s">
        <v>17</v>
      </c>
      <c r="E399" s="2" t="s">
        <v>17</v>
      </c>
      <c r="J399" s="3" t="e">
        <f t="shared" si="6"/>
        <v>#VALUE!</v>
      </c>
      <c r="K399" s="3" t="e">
        <f t="shared" si="7"/>
        <v>#VALUE!</v>
      </c>
      <c r="L399" s="3" t="e">
        <f t="shared" si="8"/>
        <v>#N/A</v>
      </c>
      <c r="M399" s="3" t="e">
        <f t="shared" si="9"/>
        <v>#N/A</v>
      </c>
      <c r="N399" s="3" t="e">
        <f t="shared" si="10"/>
        <v>#N/A</v>
      </c>
      <c r="O399" s="3" t="e">
        <f t="shared" si="11"/>
        <v>#N/A</v>
      </c>
    </row>
    <row r="400" spans="1:15" ht="14.25" customHeight="1">
      <c r="A400" s="2" t="s">
        <v>15</v>
      </c>
      <c r="B400" s="2">
        <v>1949</v>
      </c>
      <c r="C400" s="2" t="s">
        <v>28</v>
      </c>
      <c r="D400" s="2" t="s">
        <v>17</v>
      </c>
      <c r="E400" s="2" t="s">
        <v>17</v>
      </c>
      <c r="J400" s="3" t="e">
        <f t="shared" si="6"/>
        <v>#VALUE!</v>
      </c>
      <c r="K400" s="3" t="e">
        <f t="shared" si="7"/>
        <v>#VALUE!</v>
      </c>
      <c r="L400" s="3" t="e">
        <f t="shared" si="8"/>
        <v>#N/A</v>
      </c>
      <c r="M400" s="3" t="e">
        <f t="shared" si="9"/>
        <v>#N/A</v>
      </c>
      <c r="N400" s="3" t="e">
        <f t="shared" si="10"/>
        <v>#N/A</v>
      </c>
      <c r="O400" s="3" t="e">
        <f t="shared" si="11"/>
        <v>#N/A</v>
      </c>
    </row>
    <row r="401" spans="1:15" ht="14.25" customHeight="1">
      <c r="A401" s="2" t="s">
        <v>15</v>
      </c>
      <c r="B401" s="2">
        <v>1950</v>
      </c>
      <c r="C401" s="2" t="s">
        <v>28</v>
      </c>
      <c r="D401" s="2" t="s">
        <v>17</v>
      </c>
      <c r="E401" s="2" t="s">
        <v>17</v>
      </c>
      <c r="F401" s="2">
        <v>3427</v>
      </c>
      <c r="G401" s="2">
        <v>59388</v>
      </c>
      <c r="H401" s="2">
        <f>2567+20662+80423+2550+3638</f>
        <v>109840</v>
      </c>
      <c r="I401" s="2">
        <f>24219+221294+148430+160830+92512</f>
        <v>647285</v>
      </c>
      <c r="J401" s="3" t="e">
        <f t="shared" si="6"/>
        <v>#VALUE!</v>
      </c>
      <c r="K401" s="3" t="e">
        <f t="shared" si="7"/>
        <v>#VALUE!</v>
      </c>
      <c r="L401" s="3">
        <f t="shared" si="8"/>
        <v>174.10079252184514</v>
      </c>
      <c r="M401" s="3">
        <f t="shared" si="9"/>
        <v>59.387999999999998</v>
      </c>
      <c r="N401" s="3">
        <f t="shared" si="10"/>
        <v>5580.1666327982111</v>
      </c>
      <c r="O401" s="3">
        <f t="shared" si="11"/>
        <v>647.28499999999997</v>
      </c>
    </row>
    <row r="402" spans="1:15" ht="14.25" customHeight="1">
      <c r="A402" s="2" t="s">
        <v>15</v>
      </c>
      <c r="B402" s="2">
        <v>1951</v>
      </c>
      <c r="C402" s="2" t="s">
        <v>28</v>
      </c>
      <c r="D402" s="2" t="s">
        <v>17</v>
      </c>
      <c r="E402" s="2" t="s">
        <v>17</v>
      </c>
      <c r="J402" s="3" t="e">
        <f t="shared" si="6"/>
        <v>#VALUE!</v>
      </c>
      <c r="K402" s="3" t="e">
        <f t="shared" si="7"/>
        <v>#VALUE!</v>
      </c>
      <c r="L402" s="3" t="e">
        <f t="shared" si="8"/>
        <v>#N/A</v>
      </c>
      <c r="M402" s="3" t="e">
        <f t="shared" si="9"/>
        <v>#N/A</v>
      </c>
      <c r="N402" s="3" t="e">
        <f t="shared" si="10"/>
        <v>#N/A</v>
      </c>
      <c r="O402" s="3" t="e">
        <f t="shared" si="11"/>
        <v>#N/A</v>
      </c>
    </row>
    <row r="403" spans="1:15" ht="14.25" customHeight="1">
      <c r="A403" s="2" t="s">
        <v>15</v>
      </c>
      <c r="B403" s="2">
        <v>1952</v>
      </c>
      <c r="C403" s="2" t="s">
        <v>28</v>
      </c>
      <c r="D403" s="2" t="s">
        <v>17</v>
      </c>
      <c r="E403" s="2" t="s">
        <v>17</v>
      </c>
      <c r="J403" s="3" t="e">
        <f t="shared" si="6"/>
        <v>#VALUE!</v>
      </c>
      <c r="K403" s="3" t="e">
        <f t="shared" si="7"/>
        <v>#VALUE!</v>
      </c>
      <c r="L403" s="3" t="e">
        <f t="shared" si="8"/>
        <v>#N/A</v>
      </c>
      <c r="M403" s="3" t="e">
        <f t="shared" si="9"/>
        <v>#N/A</v>
      </c>
      <c r="N403" s="3" t="e">
        <f t="shared" si="10"/>
        <v>#N/A</v>
      </c>
      <c r="O403" s="3" t="e">
        <f t="shared" si="11"/>
        <v>#N/A</v>
      </c>
    </row>
    <row r="404" spans="1:15" ht="14.25" customHeight="1">
      <c r="A404" s="2" t="s">
        <v>15</v>
      </c>
      <c r="B404" s="2">
        <v>1953</v>
      </c>
      <c r="C404" s="2" t="s">
        <v>28</v>
      </c>
      <c r="D404" s="2" t="s">
        <v>17</v>
      </c>
      <c r="E404" s="2" t="s">
        <v>17</v>
      </c>
      <c r="J404" s="3" t="e">
        <f t="shared" si="6"/>
        <v>#VALUE!</v>
      </c>
      <c r="K404" s="3" t="e">
        <f t="shared" si="7"/>
        <v>#VALUE!</v>
      </c>
      <c r="L404" s="3" t="e">
        <f t="shared" si="8"/>
        <v>#N/A</v>
      </c>
      <c r="M404" s="3" t="e">
        <f t="shared" si="9"/>
        <v>#N/A</v>
      </c>
      <c r="N404" s="3" t="e">
        <f t="shared" si="10"/>
        <v>#N/A</v>
      </c>
      <c r="O404" s="3" t="e">
        <f t="shared" si="11"/>
        <v>#N/A</v>
      </c>
    </row>
    <row r="405" spans="1:15" ht="14.25" customHeight="1">
      <c r="A405" s="2" t="s">
        <v>15</v>
      </c>
      <c r="B405" s="2">
        <v>1954</v>
      </c>
      <c r="C405" s="2" t="s">
        <v>28</v>
      </c>
      <c r="D405" s="2" t="s">
        <v>17</v>
      </c>
      <c r="E405" s="2" t="s">
        <v>17</v>
      </c>
      <c r="J405" s="3" t="e">
        <f t="shared" si="6"/>
        <v>#VALUE!</v>
      </c>
      <c r="K405" s="3" t="e">
        <f t="shared" si="7"/>
        <v>#VALUE!</v>
      </c>
      <c r="L405" s="3" t="e">
        <f t="shared" si="8"/>
        <v>#N/A</v>
      </c>
      <c r="M405" s="3" t="e">
        <f t="shared" si="9"/>
        <v>#N/A</v>
      </c>
      <c r="N405" s="3" t="e">
        <f t="shared" si="10"/>
        <v>#N/A</v>
      </c>
      <c r="O405" s="3" t="e">
        <f t="shared" si="11"/>
        <v>#N/A</v>
      </c>
    </row>
    <row r="406" spans="1:15" ht="14.25" customHeight="1">
      <c r="A406" s="2" t="s">
        <v>15</v>
      </c>
      <c r="B406" s="2">
        <v>1955</v>
      </c>
      <c r="C406" s="2" t="s">
        <v>28</v>
      </c>
      <c r="D406" s="2" t="s">
        <v>17</v>
      </c>
      <c r="E406" s="2" t="s">
        <v>17</v>
      </c>
      <c r="F406" s="2">
        <f>20761</f>
        <v>20761</v>
      </c>
      <c r="G406" s="2">
        <f>239969</f>
        <v>239969</v>
      </c>
      <c r="H406" s="2">
        <f>151448+1928+64246</f>
        <v>217622</v>
      </c>
      <c r="I406" s="2">
        <f>906828+115273+2320519</f>
        <v>3342620</v>
      </c>
      <c r="J406" s="3" t="e">
        <f t="shared" si="6"/>
        <v>#VALUE!</v>
      </c>
      <c r="K406" s="3" t="e">
        <f t="shared" si="7"/>
        <v>#VALUE!</v>
      </c>
      <c r="L406" s="3">
        <f t="shared" si="8"/>
        <v>1054.7144889250151</v>
      </c>
      <c r="M406" s="3">
        <f t="shared" si="9"/>
        <v>239.96899999999999</v>
      </c>
      <c r="N406" s="3">
        <f t="shared" si="10"/>
        <v>11055.781345255029</v>
      </c>
      <c r="O406" s="3">
        <f t="shared" si="11"/>
        <v>3342.62</v>
      </c>
    </row>
    <row r="407" spans="1:15" ht="14.25" customHeight="1">
      <c r="A407" s="2" t="s">
        <v>15</v>
      </c>
      <c r="B407" s="2">
        <v>1956</v>
      </c>
      <c r="C407" s="2" t="s">
        <v>28</v>
      </c>
      <c r="D407" s="2" t="s">
        <v>17</v>
      </c>
      <c r="E407" s="2" t="s">
        <v>17</v>
      </c>
      <c r="J407" s="3" t="e">
        <f t="shared" si="6"/>
        <v>#VALUE!</v>
      </c>
      <c r="K407" s="3" t="e">
        <f t="shared" si="7"/>
        <v>#VALUE!</v>
      </c>
      <c r="L407" s="3" t="e">
        <f t="shared" si="8"/>
        <v>#N/A</v>
      </c>
      <c r="M407" s="3" t="e">
        <f t="shared" si="9"/>
        <v>#N/A</v>
      </c>
      <c r="N407" s="3" t="e">
        <f t="shared" si="10"/>
        <v>#N/A</v>
      </c>
      <c r="O407" s="3" t="e">
        <f t="shared" si="11"/>
        <v>#N/A</v>
      </c>
    </row>
    <row r="408" spans="1:15" ht="14.25" customHeight="1">
      <c r="A408" s="2" t="s">
        <v>15</v>
      </c>
      <c r="B408" s="2">
        <v>1957</v>
      </c>
      <c r="C408" s="2" t="s">
        <v>28</v>
      </c>
      <c r="D408" s="2" t="s">
        <v>17</v>
      </c>
      <c r="E408" s="2" t="s">
        <v>17</v>
      </c>
      <c r="J408" s="3" t="e">
        <f t="shared" si="6"/>
        <v>#VALUE!</v>
      </c>
      <c r="K408" s="3" t="e">
        <f t="shared" si="7"/>
        <v>#VALUE!</v>
      </c>
      <c r="L408" s="3" t="e">
        <f t="shared" si="8"/>
        <v>#N/A</v>
      </c>
      <c r="M408" s="3" t="e">
        <f t="shared" si="9"/>
        <v>#N/A</v>
      </c>
      <c r="N408" s="3" t="e">
        <f t="shared" si="10"/>
        <v>#N/A</v>
      </c>
      <c r="O408" s="3" t="e">
        <f t="shared" si="11"/>
        <v>#N/A</v>
      </c>
    </row>
    <row r="409" spans="1:15" ht="14.25" customHeight="1">
      <c r="A409" s="2" t="s">
        <v>15</v>
      </c>
      <c r="B409" s="2">
        <v>1958</v>
      </c>
      <c r="C409" s="2" t="s">
        <v>28</v>
      </c>
      <c r="D409" s="2" t="s">
        <v>17</v>
      </c>
      <c r="E409" s="2" t="s">
        <v>17</v>
      </c>
      <c r="J409" s="3" t="e">
        <f t="shared" si="6"/>
        <v>#VALUE!</v>
      </c>
      <c r="K409" s="3" t="e">
        <f t="shared" si="7"/>
        <v>#VALUE!</v>
      </c>
      <c r="L409" s="3" t="e">
        <f t="shared" si="8"/>
        <v>#N/A</v>
      </c>
      <c r="M409" s="3" t="e">
        <f t="shared" si="9"/>
        <v>#N/A</v>
      </c>
      <c r="N409" s="3" t="e">
        <f t="shared" si="10"/>
        <v>#N/A</v>
      </c>
      <c r="O409" s="3" t="e">
        <f t="shared" si="11"/>
        <v>#N/A</v>
      </c>
    </row>
    <row r="410" spans="1:15" ht="14.25" customHeight="1">
      <c r="A410" s="2" t="s">
        <v>15</v>
      </c>
      <c r="B410" s="2">
        <v>1959</v>
      </c>
      <c r="C410" s="2" t="s">
        <v>28</v>
      </c>
      <c r="D410" s="2" t="s">
        <v>17</v>
      </c>
      <c r="E410" s="2" t="s">
        <v>17</v>
      </c>
      <c r="J410" s="3" t="e">
        <f t="shared" si="6"/>
        <v>#VALUE!</v>
      </c>
      <c r="K410" s="3" t="e">
        <f t="shared" si="7"/>
        <v>#VALUE!</v>
      </c>
      <c r="L410" s="3" t="e">
        <f t="shared" si="8"/>
        <v>#N/A</v>
      </c>
      <c r="M410" s="3" t="e">
        <f t="shared" si="9"/>
        <v>#N/A</v>
      </c>
      <c r="N410" s="3" t="e">
        <f t="shared" si="10"/>
        <v>#N/A</v>
      </c>
      <c r="O410" s="3" t="e">
        <f t="shared" si="11"/>
        <v>#N/A</v>
      </c>
    </row>
    <row r="411" spans="1:15" ht="14.25" customHeight="1">
      <c r="A411" s="2" t="s">
        <v>15</v>
      </c>
      <c r="B411" s="2">
        <v>1960</v>
      </c>
      <c r="C411" s="2" t="s">
        <v>28</v>
      </c>
      <c r="D411" s="2" t="s">
        <v>17</v>
      </c>
      <c r="E411" s="2" t="s">
        <v>17</v>
      </c>
      <c r="F411" s="2">
        <f>20479</f>
        <v>20479</v>
      </c>
      <c r="G411" s="2">
        <f>436091</f>
        <v>436091</v>
      </c>
      <c r="H411" s="2">
        <f>98874+3984+46677</f>
        <v>149535</v>
      </c>
      <c r="I411" s="2">
        <f>1034925+253043+2116717</f>
        <v>3404685</v>
      </c>
      <c r="J411" s="3" t="e">
        <f t="shared" si="6"/>
        <v>#VALUE!</v>
      </c>
      <c r="K411" s="3" t="e">
        <f t="shared" si="7"/>
        <v>#VALUE!</v>
      </c>
      <c r="L411" s="3">
        <f t="shared" si="8"/>
        <v>1040.3881324933957</v>
      </c>
      <c r="M411" s="3">
        <f t="shared" si="9"/>
        <v>436.09100000000001</v>
      </c>
      <c r="N411" s="3">
        <f t="shared" si="10"/>
        <v>7596.7791099370043</v>
      </c>
      <c r="O411" s="3">
        <f t="shared" si="11"/>
        <v>3404.6849999999999</v>
      </c>
    </row>
    <row r="412" spans="1:15" ht="14.25" customHeight="1">
      <c r="A412" s="2" t="s">
        <v>15</v>
      </c>
      <c r="B412" s="2">
        <v>1961</v>
      </c>
      <c r="C412" s="2" t="s">
        <v>28</v>
      </c>
      <c r="D412" s="2" t="s">
        <v>17</v>
      </c>
      <c r="E412" s="2" t="s">
        <v>17</v>
      </c>
      <c r="J412" s="3" t="e">
        <f t="shared" si="6"/>
        <v>#VALUE!</v>
      </c>
      <c r="K412" s="3" t="e">
        <f t="shared" si="7"/>
        <v>#VALUE!</v>
      </c>
      <c r="L412" s="3" t="e">
        <f t="shared" si="8"/>
        <v>#N/A</v>
      </c>
      <c r="M412" s="3" t="e">
        <f t="shared" si="9"/>
        <v>#N/A</v>
      </c>
      <c r="N412" s="3" t="e">
        <f t="shared" si="10"/>
        <v>#N/A</v>
      </c>
      <c r="O412" s="3" t="e">
        <f t="shared" si="11"/>
        <v>#N/A</v>
      </c>
    </row>
    <row r="413" spans="1:15" ht="14.25" customHeight="1">
      <c r="A413" s="2" t="s">
        <v>15</v>
      </c>
      <c r="B413" s="2">
        <v>1962</v>
      </c>
      <c r="C413" s="2" t="s">
        <v>28</v>
      </c>
      <c r="D413" s="2">
        <v>591000</v>
      </c>
      <c r="E413" s="2">
        <v>2461000</v>
      </c>
      <c r="J413" s="3">
        <f t="shared" si="6"/>
        <v>30024.38528754318</v>
      </c>
      <c r="K413" s="3">
        <f t="shared" si="7"/>
        <v>2461</v>
      </c>
      <c r="L413" s="3" t="e">
        <f t="shared" si="8"/>
        <v>#N/A</v>
      </c>
      <c r="M413" s="3" t="e">
        <f t="shared" si="9"/>
        <v>#N/A</v>
      </c>
      <c r="N413" s="3" t="e">
        <f t="shared" si="10"/>
        <v>#N/A</v>
      </c>
      <c r="O413" s="3" t="e">
        <f t="shared" si="11"/>
        <v>#N/A</v>
      </c>
    </row>
    <row r="414" spans="1:15" ht="14.25" customHeight="1">
      <c r="A414" s="2" t="s">
        <v>15</v>
      </c>
      <c r="B414" s="2">
        <v>1963</v>
      </c>
      <c r="C414" s="2" t="s">
        <v>28</v>
      </c>
      <c r="D414" s="2">
        <v>556000</v>
      </c>
      <c r="E414" s="2">
        <v>2522000</v>
      </c>
      <c r="J414" s="3">
        <f t="shared" si="6"/>
        <v>28246.29140418614</v>
      </c>
      <c r="K414" s="3">
        <f t="shared" si="7"/>
        <v>2522</v>
      </c>
      <c r="L414" s="3" t="e">
        <f t="shared" si="8"/>
        <v>#N/A</v>
      </c>
      <c r="M414" s="3" t="e">
        <f t="shared" si="9"/>
        <v>#N/A</v>
      </c>
      <c r="N414" s="3" t="e">
        <f t="shared" si="10"/>
        <v>#N/A</v>
      </c>
      <c r="O414" s="3" t="e">
        <f t="shared" si="11"/>
        <v>#N/A</v>
      </c>
    </row>
    <row r="415" spans="1:15" ht="14.25" customHeight="1">
      <c r="A415" s="2" t="s">
        <v>15</v>
      </c>
      <c r="B415" s="2">
        <v>1964</v>
      </c>
      <c r="C415" s="2" t="s">
        <v>28</v>
      </c>
      <c r="D415" s="2">
        <v>559000</v>
      </c>
      <c r="E415" s="2">
        <v>2945000</v>
      </c>
      <c r="J415" s="3">
        <f t="shared" si="6"/>
        <v>28398.699451331027</v>
      </c>
      <c r="K415" s="3">
        <f t="shared" si="7"/>
        <v>2945</v>
      </c>
      <c r="L415" s="3" t="e">
        <f t="shared" si="8"/>
        <v>#N/A</v>
      </c>
      <c r="M415" s="3" t="e">
        <f t="shared" si="9"/>
        <v>#N/A</v>
      </c>
      <c r="N415" s="3" t="e">
        <f t="shared" si="10"/>
        <v>#N/A</v>
      </c>
      <c r="O415" s="3" t="e">
        <f t="shared" si="11"/>
        <v>#N/A</v>
      </c>
    </row>
    <row r="416" spans="1:15" ht="14.25" customHeight="1">
      <c r="A416" s="2" t="s">
        <v>15</v>
      </c>
      <c r="B416" s="2">
        <v>1900</v>
      </c>
      <c r="C416" s="2" t="s">
        <v>29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3" t="e">
        <f t="shared" si="6"/>
        <v>#VALUE!</v>
      </c>
      <c r="K416" s="3" t="e">
        <f t="shared" si="7"/>
        <v>#VALUE!</v>
      </c>
      <c r="L416" s="3" t="e">
        <f t="shared" si="8"/>
        <v>#VALUE!</v>
      </c>
      <c r="M416" s="3" t="e">
        <f t="shared" si="9"/>
        <v>#VALUE!</v>
      </c>
      <c r="N416" s="3" t="e">
        <f t="shared" si="10"/>
        <v>#VALUE!</v>
      </c>
      <c r="O416" s="3" t="e">
        <f t="shared" si="11"/>
        <v>#VALUE!</v>
      </c>
    </row>
    <row r="417" spans="1:15" ht="14.25" customHeight="1">
      <c r="A417" s="2" t="s">
        <v>15</v>
      </c>
      <c r="B417" s="2">
        <v>1901</v>
      </c>
      <c r="C417" s="2" t="s">
        <v>29</v>
      </c>
      <c r="D417" s="2" t="s">
        <v>17</v>
      </c>
      <c r="E417" s="2" t="s">
        <v>17</v>
      </c>
      <c r="J417" s="3" t="e">
        <f t="shared" si="6"/>
        <v>#VALUE!</v>
      </c>
      <c r="K417" s="3" t="e">
        <f t="shared" si="7"/>
        <v>#VALUE!</v>
      </c>
      <c r="L417" s="3" t="e">
        <f t="shared" si="8"/>
        <v>#N/A</v>
      </c>
      <c r="M417" s="3" t="e">
        <f t="shared" si="9"/>
        <v>#N/A</v>
      </c>
      <c r="N417" s="3" t="e">
        <f t="shared" si="10"/>
        <v>#N/A</v>
      </c>
      <c r="O417" s="3" t="e">
        <f t="shared" si="11"/>
        <v>#N/A</v>
      </c>
    </row>
    <row r="418" spans="1:15" ht="14.25" customHeight="1">
      <c r="A418" s="2" t="s">
        <v>15</v>
      </c>
      <c r="B418" s="2">
        <v>1902</v>
      </c>
      <c r="C418" s="2" t="s">
        <v>29</v>
      </c>
      <c r="D418" s="2" t="s">
        <v>17</v>
      </c>
      <c r="E418" s="2" t="s">
        <v>17</v>
      </c>
      <c r="J418" s="3" t="e">
        <f t="shared" si="6"/>
        <v>#VALUE!</v>
      </c>
      <c r="K418" s="3" t="e">
        <f t="shared" si="7"/>
        <v>#VALUE!</v>
      </c>
      <c r="L418" s="3" t="e">
        <f t="shared" si="8"/>
        <v>#N/A</v>
      </c>
      <c r="M418" s="3" t="e">
        <f t="shared" si="9"/>
        <v>#N/A</v>
      </c>
      <c r="N418" s="3" t="e">
        <f t="shared" si="10"/>
        <v>#N/A</v>
      </c>
      <c r="O418" s="3" t="e">
        <f t="shared" si="11"/>
        <v>#N/A</v>
      </c>
    </row>
    <row r="419" spans="1:15" ht="14.25" customHeight="1">
      <c r="A419" s="2" t="s">
        <v>15</v>
      </c>
      <c r="B419" s="2">
        <v>1903</v>
      </c>
      <c r="C419" s="2" t="s">
        <v>29</v>
      </c>
      <c r="D419" s="2" t="s">
        <v>17</v>
      </c>
      <c r="E419" s="2" t="s">
        <v>17</v>
      </c>
      <c r="J419" s="3" t="e">
        <f t="shared" si="6"/>
        <v>#VALUE!</v>
      </c>
      <c r="K419" s="3" t="e">
        <f t="shared" si="7"/>
        <v>#VALUE!</v>
      </c>
      <c r="L419" s="3" t="e">
        <f t="shared" si="8"/>
        <v>#N/A</v>
      </c>
      <c r="M419" s="3" t="e">
        <f t="shared" si="9"/>
        <v>#N/A</v>
      </c>
      <c r="N419" s="3" t="e">
        <f t="shared" si="10"/>
        <v>#N/A</v>
      </c>
      <c r="O419" s="3" t="e">
        <f t="shared" si="11"/>
        <v>#N/A</v>
      </c>
    </row>
    <row r="420" spans="1:15" ht="14.25" customHeight="1">
      <c r="A420" s="2" t="s">
        <v>15</v>
      </c>
      <c r="B420" s="2">
        <v>1904</v>
      </c>
      <c r="C420" s="2" t="s">
        <v>29</v>
      </c>
      <c r="D420" s="2" t="s">
        <v>17</v>
      </c>
      <c r="E420" s="2" t="s">
        <v>17</v>
      </c>
      <c r="J420" s="3" t="e">
        <f t="shared" si="6"/>
        <v>#VALUE!</v>
      </c>
      <c r="K420" s="3" t="e">
        <f t="shared" si="7"/>
        <v>#VALUE!</v>
      </c>
      <c r="L420" s="3" t="e">
        <f t="shared" si="8"/>
        <v>#N/A</v>
      </c>
      <c r="M420" s="3" t="e">
        <f t="shared" si="9"/>
        <v>#N/A</v>
      </c>
      <c r="N420" s="3" t="e">
        <f t="shared" si="10"/>
        <v>#N/A</v>
      </c>
      <c r="O420" s="3" t="e">
        <f t="shared" si="11"/>
        <v>#N/A</v>
      </c>
    </row>
    <row r="421" spans="1:15" ht="14.25" customHeight="1">
      <c r="A421" s="2" t="s">
        <v>15</v>
      </c>
      <c r="B421" s="2">
        <v>1905</v>
      </c>
      <c r="C421" s="2" t="s">
        <v>29</v>
      </c>
      <c r="D421" s="2" t="s">
        <v>17</v>
      </c>
      <c r="E421" s="2" t="s">
        <v>17</v>
      </c>
      <c r="F421" s="2">
        <f>6799</f>
        <v>6799</v>
      </c>
      <c r="G421" s="2">
        <f>52050</f>
        <v>52050</v>
      </c>
      <c r="H421" s="2">
        <v>353017</v>
      </c>
      <c r="I421" s="2">
        <v>929961</v>
      </c>
      <c r="J421" s="3" t="e">
        <f t="shared" si="6"/>
        <v>#VALUE!</v>
      </c>
      <c r="K421" s="3" t="e">
        <f t="shared" si="7"/>
        <v>#VALUE!</v>
      </c>
      <c r="L421" s="3">
        <f t="shared" si="8"/>
        <v>345.40743751270065</v>
      </c>
      <c r="M421" s="3">
        <f t="shared" si="9"/>
        <v>52.05</v>
      </c>
      <c r="N421" s="3">
        <f t="shared" si="10"/>
        <v>17934.21052631579</v>
      </c>
      <c r="O421" s="3">
        <f t="shared" si="11"/>
        <v>929.96100000000001</v>
      </c>
    </row>
    <row r="422" spans="1:15" ht="14.25" customHeight="1">
      <c r="A422" s="2" t="s">
        <v>15</v>
      </c>
      <c r="B422" s="2">
        <v>1906</v>
      </c>
      <c r="C422" s="2" t="s">
        <v>29</v>
      </c>
      <c r="D422" s="2" t="s">
        <v>17</v>
      </c>
      <c r="E422" s="2" t="s">
        <v>17</v>
      </c>
      <c r="J422" s="3" t="e">
        <f t="shared" si="6"/>
        <v>#VALUE!</v>
      </c>
      <c r="K422" s="3" t="e">
        <f t="shared" si="7"/>
        <v>#VALUE!</v>
      </c>
      <c r="L422" s="3" t="e">
        <f t="shared" si="8"/>
        <v>#N/A</v>
      </c>
      <c r="M422" s="3" t="e">
        <f t="shared" si="9"/>
        <v>#N/A</v>
      </c>
      <c r="N422" s="3" t="e">
        <f t="shared" si="10"/>
        <v>#N/A</v>
      </c>
      <c r="O422" s="3" t="e">
        <f t="shared" si="11"/>
        <v>#N/A</v>
      </c>
    </row>
    <row r="423" spans="1:15" ht="14.25" customHeight="1">
      <c r="A423" s="2" t="s">
        <v>15</v>
      </c>
      <c r="B423" s="2">
        <v>1907</v>
      </c>
      <c r="C423" s="2" t="s">
        <v>29</v>
      </c>
      <c r="D423" s="2" t="s">
        <v>17</v>
      </c>
      <c r="E423" s="2" t="s">
        <v>17</v>
      </c>
      <c r="J423" s="3" t="e">
        <f t="shared" si="6"/>
        <v>#VALUE!</v>
      </c>
      <c r="K423" s="3" t="e">
        <f t="shared" si="7"/>
        <v>#VALUE!</v>
      </c>
      <c r="L423" s="3" t="e">
        <f t="shared" si="8"/>
        <v>#N/A</v>
      </c>
      <c r="M423" s="3" t="e">
        <f t="shared" si="9"/>
        <v>#N/A</v>
      </c>
      <c r="N423" s="3" t="e">
        <f t="shared" si="10"/>
        <v>#N/A</v>
      </c>
      <c r="O423" s="3" t="e">
        <f t="shared" si="11"/>
        <v>#N/A</v>
      </c>
    </row>
    <row r="424" spans="1:15" ht="14.25" customHeight="1">
      <c r="A424" s="2" t="s">
        <v>15</v>
      </c>
      <c r="B424" s="2">
        <v>1908</v>
      </c>
      <c r="C424" s="2" t="s">
        <v>29</v>
      </c>
      <c r="D424" s="2" t="s">
        <v>17</v>
      </c>
      <c r="E424" s="2" t="s">
        <v>17</v>
      </c>
      <c r="J424" s="3" t="e">
        <f t="shared" si="6"/>
        <v>#VALUE!</v>
      </c>
      <c r="K424" s="3" t="e">
        <f t="shared" si="7"/>
        <v>#VALUE!</v>
      </c>
      <c r="L424" s="3" t="e">
        <f t="shared" si="8"/>
        <v>#N/A</v>
      </c>
      <c r="M424" s="3" t="e">
        <f t="shared" si="9"/>
        <v>#N/A</v>
      </c>
      <c r="N424" s="3" t="e">
        <f t="shared" si="10"/>
        <v>#N/A</v>
      </c>
      <c r="O424" s="3" t="e">
        <f t="shared" si="11"/>
        <v>#N/A</v>
      </c>
    </row>
    <row r="425" spans="1:15" ht="14.25" customHeight="1">
      <c r="A425" s="2" t="s">
        <v>15</v>
      </c>
      <c r="B425" s="2">
        <v>1909</v>
      </c>
      <c r="C425" s="2" t="s">
        <v>29</v>
      </c>
      <c r="D425" s="2" t="s">
        <v>17</v>
      </c>
      <c r="E425" s="2" t="s">
        <v>17</v>
      </c>
      <c r="J425" s="3" t="e">
        <f t="shared" si="6"/>
        <v>#VALUE!</v>
      </c>
      <c r="K425" s="3" t="e">
        <f t="shared" si="7"/>
        <v>#VALUE!</v>
      </c>
      <c r="L425" s="3" t="e">
        <f t="shared" si="8"/>
        <v>#N/A</v>
      </c>
      <c r="M425" s="3" t="e">
        <f t="shared" si="9"/>
        <v>#N/A</v>
      </c>
      <c r="N425" s="3" t="e">
        <f t="shared" si="10"/>
        <v>#N/A</v>
      </c>
      <c r="O425" s="3" t="e">
        <f t="shared" si="11"/>
        <v>#N/A</v>
      </c>
    </row>
    <row r="426" spans="1:15" ht="14.25" customHeight="1">
      <c r="A426" s="2" t="s">
        <v>15</v>
      </c>
      <c r="B426" s="2">
        <v>1910</v>
      </c>
      <c r="C426" s="2" t="s">
        <v>29</v>
      </c>
      <c r="D426" s="2" t="s">
        <v>17</v>
      </c>
      <c r="E426" s="2" t="s">
        <v>17</v>
      </c>
      <c r="F426" s="2">
        <f>7519+176</f>
        <v>7695</v>
      </c>
      <c r="G426" s="2">
        <f>68376+918</f>
        <v>69294</v>
      </c>
      <c r="H426" s="2">
        <v>635986</v>
      </c>
      <c r="I426" s="2">
        <v>1765134</v>
      </c>
      <c r="J426" s="3" t="e">
        <f t="shared" si="6"/>
        <v>#VALUE!</v>
      </c>
      <c r="K426" s="3" t="e">
        <f t="shared" si="7"/>
        <v>#VALUE!</v>
      </c>
      <c r="L426" s="3">
        <f t="shared" si="8"/>
        <v>390.92664092664091</v>
      </c>
      <c r="M426" s="3">
        <f t="shared" si="9"/>
        <v>69.293999999999997</v>
      </c>
      <c r="N426" s="3">
        <f t="shared" si="10"/>
        <v>32309.794757163178</v>
      </c>
      <c r="O426" s="3">
        <f t="shared" si="11"/>
        <v>1765.134</v>
      </c>
    </row>
    <row r="427" spans="1:15" ht="14.25" customHeight="1">
      <c r="A427" s="2" t="s">
        <v>15</v>
      </c>
      <c r="B427" s="2">
        <v>1911</v>
      </c>
      <c r="C427" s="2" t="s">
        <v>29</v>
      </c>
      <c r="D427" s="2" t="s">
        <v>17</v>
      </c>
      <c r="E427" s="2" t="s">
        <v>17</v>
      </c>
      <c r="J427" s="3" t="e">
        <f t="shared" si="6"/>
        <v>#VALUE!</v>
      </c>
      <c r="K427" s="3" t="e">
        <f t="shared" si="7"/>
        <v>#VALUE!</v>
      </c>
      <c r="L427" s="3" t="e">
        <f t="shared" si="8"/>
        <v>#N/A</v>
      </c>
      <c r="M427" s="3" t="e">
        <f t="shared" si="9"/>
        <v>#N/A</v>
      </c>
      <c r="N427" s="3" t="e">
        <f t="shared" si="10"/>
        <v>#N/A</v>
      </c>
      <c r="O427" s="3" t="e">
        <f t="shared" si="11"/>
        <v>#N/A</v>
      </c>
    </row>
    <row r="428" spans="1:15" ht="14.25" customHeight="1">
      <c r="A428" s="2" t="s">
        <v>15</v>
      </c>
      <c r="B428" s="2">
        <v>1912</v>
      </c>
      <c r="C428" s="2" t="s">
        <v>29</v>
      </c>
      <c r="D428" s="2" t="s">
        <v>17</v>
      </c>
      <c r="E428" s="2" t="s">
        <v>17</v>
      </c>
      <c r="J428" s="3" t="e">
        <f t="shared" si="6"/>
        <v>#VALUE!</v>
      </c>
      <c r="K428" s="3" t="e">
        <f t="shared" si="7"/>
        <v>#VALUE!</v>
      </c>
      <c r="L428" s="3" t="e">
        <f t="shared" si="8"/>
        <v>#N/A</v>
      </c>
      <c r="M428" s="3" t="e">
        <f t="shared" si="9"/>
        <v>#N/A</v>
      </c>
      <c r="N428" s="3" t="e">
        <f t="shared" si="10"/>
        <v>#N/A</v>
      </c>
      <c r="O428" s="3" t="e">
        <f t="shared" si="11"/>
        <v>#N/A</v>
      </c>
    </row>
    <row r="429" spans="1:15" ht="14.25" customHeight="1">
      <c r="A429" s="2" t="s">
        <v>15</v>
      </c>
      <c r="B429" s="2">
        <v>1913</v>
      </c>
      <c r="C429" s="2" t="s">
        <v>29</v>
      </c>
      <c r="D429" s="2" t="s">
        <v>17</v>
      </c>
      <c r="E429" s="2" t="s">
        <v>17</v>
      </c>
      <c r="J429" s="3" t="e">
        <f t="shared" si="6"/>
        <v>#VALUE!</v>
      </c>
      <c r="K429" s="3" t="e">
        <f t="shared" si="7"/>
        <v>#VALUE!</v>
      </c>
      <c r="L429" s="3" t="e">
        <f t="shared" si="8"/>
        <v>#N/A</v>
      </c>
      <c r="M429" s="3" t="e">
        <f t="shared" si="9"/>
        <v>#N/A</v>
      </c>
      <c r="N429" s="3" t="e">
        <f t="shared" si="10"/>
        <v>#N/A</v>
      </c>
      <c r="O429" s="3" t="e">
        <f t="shared" si="11"/>
        <v>#N/A</v>
      </c>
    </row>
    <row r="430" spans="1:15" ht="14.25" customHeight="1">
      <c r="A430" s="2" t="s">
        <v>15</v>
      </c>
      <c r="B430" s="2">
        <v>1914</v>
      </c>
      <c r="C430" s="2" t="s">
        <v>29</v>
      </c>
      <c r="D430" s="2" t="s">
        <v>17</v>
      </c>
      <c r="E430" s="2" t="s">
        <v>17</v>
      </c>
      <c r="F430" s="2">
        <f>4902+293</f>
        <v>5195</v>
      </c>
      <c r="G430" s="2">
        <f>52836+1657</f>
        <v>54493</v>
      </c>
      <c r="H430" s="2">
        <v>883170</v>
      </c>
      <c r="I430" s="2">
        <v>2569941</v>
      </c>
      <c r="J430" s="3" t="e">
        <f t="shared" si="6"/>
        <v>#VALUE!</v>
      </c>
      <c r="K430" s="3" t="e">
        <f t="shared" si="7"/>
        <v>#VALUE!</v>
      </c>
      <c r="L430" s="3">
        <f t="shared" si="8"/>
        <v>263.91993497256652</v>
      </c>
      <c r="M430" s="3">
        <f t="shared" si="9"/>
        <v>54.493000000000002</v>
      </c>
      <c r="N430" s="3">
        <f t="shared" si="10"/>
        <v>44867.40499898394</v>
      </c>
      <c r="O430" s="3">
        <f t="shared" si="11"/>
        <v>2569.9409999999998</v>
      </c>
    </row>
    <row r="431" spans="1:15" ht="14.25" customHeight="1">
      <c r="A431" s="2" t="s">
        <v>15</v>
      </c>
      <c r="B431" s="2">
        <v>1915</v>
      </c>
      <c r="C431" s="2" t="s">
        <v>29</v>
      </c>
      <c r="D431" s="2" t="s">
        <v>17</v>
      </c>
      <c r="E431" s="2" t="s">
        <v>17</v>
      </c>
      <c r="F431" s="2">
        <f>135+472</f>
        <v>607</v>
      </c>
      <c r="G431" s="2">
        <f>889+3087</f>
        <v>3976</v>
      </c>
      <c r="H431" s="2">
        <v>1014102</v>
      </c>
      <c r="I431" s="2">
        <v>3406673</v>
      </c>
      <c r="J431" s="3" t="e">
        <f t="shared" si="6"/>
        <v>#VALUE!</v>
      </c>
      <c r="K431" s="3" t="e">
        <f t="shared" si="7"/>
        <v>#VALUE!</v>
      </c>
      <c r="L431" s="3">
        <f t="shared" si="8"/>
        <v>30.837228205649257</v>
      </c>
      <c r="M431" s="3">
        <f t="shared" si="9"/>
        <v>3.976</v>
      </c>
      <c r="N431" s="3">
        <f t="shared" si="10"/>
        <v>51519.101808575491</v>
      </c>
      <c r="O431" s="3">
        <f t="shared" si="11"/>
        <v>3406.6729999999998</v>
      </c>
    </row>
    <row r="432" spans="1:15" ht="14.25" customHeight="1">
      <c r="A432" s="2" t="s">
        <v>15</v>
      </c>
      <c r="B432" s="2">
        <v>1916</v>
      </c>
      <c r="C432" s="2" t="s">
        <v>29</v>
      </c>
      <c r="D432" s="2" t="s">
        <v>17</v>
      </c>
      <c r="E432" s="2" t="s">
        <v>17</v>
      </c>
      <c r="F432" s="2">
        <f>70+778</f>
        <v>848</v>
      </c>
      <c r="G432" s="2">
        <f>376+6159</f>
        <v>6535</v>
      </c>
      <c r="H432" s="2">
        <v>1395291</v>
      </c>
      <c r="I432" s="2">
        <v>4890486</v>
      </c>
      <c r="J432" s="3" t="e">
        <f t="shared" si="6"/>
        <v>#VALUE!</v>
      </c>
      <c r="K432" s="3" t="e">
        <f t="shared" si="7"/>
        <v>#VALUE!</v>
      </c>
      <c r="L432" s="3">
        <f t="shared" si="8"/>
        <v>43.080674659622026</v>
      </c>
      <c r="M432" s="3">
        <f t="shared" si="9"/>
        <v>6.5350000000000001</v>
      </c>
      <c r="N432" s="3">
        <f t="shared" si="10"/>
        <v>70884.525502946548</v>
      </c>
      <c r="O432" s="3">
        <f t="shared" si="11"/>
        <v>4890.4859999999999</v>
      </c>
    </row>
    <row r="433" spans="1:15" ht="14.25" customHeight="1">
      <c r="A433" s="2" t="s">
        <v>15</v>
      </c>
      <c r="B433" s="2">
        <v>1917</v>
      </c>
      <c r="C433" s="2" t="s">
        <v>29</v>
      </c>
      <c r="D433" s="2" t="s">
        <v>17</v>
      </c>
      <c r="E433" s="2" t="s">
        <v>17</v>
      </c>
      <c r="F433" s="2">
        <f>0+446</f>
        <v>446</v>
      </c>
      <c r="G433" s="2">
        <f>0+2941</f>
        <v>2941</v>
      </c>
      <c r="H433" s="2">
        <v>645795</v>
      </c>
      <c r="I433" s="2">
        <v>3018845</v>
      </c>
      <c r="J433" s="3" t="e">
        <f t="shared" si="6"/>
        <v>#VALUE!</v>
      </c>
      <c r="K433" s="3" t="e">
        <f t="shared" si="7"/>
        <v>#VALUE!</v>
      </c>
      <c r="L433" s="3">
        <f t="shared" si="8"/>
        <v>22.657996342206868</v>
      </c>
      <c r="M433" s="3">
        <f t="shared" si="9"/>
        <v>2.9409999999999998</v>
      </c>
      <c r="N433" s="3">
        <f t="shared" si="10"/>
        <v>32808.118268644583</v>
      </c>
      <c r="O433" s="3">
        <f t="shared" si="11"/>
        <v>3018.8449999999998</v>
      </c>
    </row>
    <row r="434" spans="1:15" ht="14.25" customHeight="1">
      <c r="A434" s="2" t="s">
        <v>15</v>
      </c>
      <c r="B434" s="2">
        <v>1918</v>
      </c>
      <c r="C434" s="2" t="s">
        <v>29</v>
      </c>
      <c r="D434" s="2" t="s">
        <v>17</v>
      </c>
      <c r="E434" s="2" t="s">
        <v>17</v>
      </c>
      <c r="F434" s="2">
        <f t="shared" ref="F434:G434" si="12">0</f>
        <v>0</v>
      </c>
      <c r="G434" s="2">
        <f t="shared" si="12"/>
        <v>0</v>
      </c>
      <c r="H434" s="2">
        <v>889373</v>
      </c>
      <c r="I434" s="2">
        <v>5330230</v>
      </c>
      <c r="J434" s="3" t="e">
        <f t="shared" si="6"/>
        <v>#VALUE!</v>
      </c>
      <c r="K434" s="3" t="e">
        <f t="shared" si="7"/>
        <v>#VALUE!</v>
      </c>
      <c r="L434" s="3">
        <f t="shared" si="8"/>
        <v>0</v>
      </c>
      <c r="M434" s="3">
        <f t="shared" si="9"/>
        <v>0</v>
      </c>
      <c r="N434" s="3">
        <f t="shared" si="10"/>
        <v>45182.534037797195</v>
      </c>
      <c r="O434" s="3">
        <f t="shared" si="11"/>
        <v>5330.23</v>
      </c>
    </row>
    <row r="435" spans="1:15" ht="14.25" customHeight="1">
      <c r="A435" s="2" t="s">
        <v>15</v>
      </c>
      <c r="B435" s="2">
        <v>1919</v>
      </c>
      <c r="C435" s="2" t="s">
        <v>29</v>
      </c>
      <c r="D435" s="2" t="s">
        <v>17</v>
      </c>
      <c r="E435" s="2" t="s">
        <v>17</v>
      </c>
      <c r="F435" s="2">
        <f>112+585</f>
        <v>697</v>
      </c>
      <c r="G435" s="2">
        <f>1135+8204</f>
        <v>9339</v>
      </c>
      <c r="H435" s="2">
        <v>1139642</v>
      </c>
      <c r="I435" s="2">
        <v>8150254</v>
      </c>
      <c r="J435" s="3" t="e">
        <f t="shared" si="6"/>
        <v>#VALUE!</v>
      </c>
      <c r="K435" s="3" t="e">
        <f t="shared" si="7"/>
        <v>#VALUE!</v>
      </c>
      <c r="L435" s="3">
        <f t="shared" si="8"/>
        <v>35.409469619995932</v>
      </c>
      <c r="M435" s="3">
        <f t="shared" si="9"/>
        <v>9.3390000000000004</v>
      </c>
      <c r="N435" s="3">
        <f t="shared" si="10"/>
        <v>57896.870554765286</v>
      </c>
      <c r="O435" s="3">
        <f t="shared" si="11"/>
        <v>8150.2539999999999</v>
      </c>
    </row>
    <row r="436" spans="1:15" ht="14.25" customHeight="1">
      <c r="A436" s="2" t="s">
        <v>15</v>
      </c>
      <c r="B436" s="2">
        <v>1920</v>
      </c>
      <c r="C436" s="2" t="s">
        <v>29</v>
      </c>
      <c r="D436" s="2" t="s">
        <v>17</v>
      </c>
      <c r="E436" s="2" t="s">
        <v>17</v>
      </c>
      <c r="F436" s="2">
        <f>672+933</f>
        <v>1605</v>
      </c>
      <c r="G436" s="2">
        <f>10808+14158</f>
        <v>24966</v>
      </c>
      <c r="H436" s="2">
        <v>849944</v>
      </c>
      <c r="I436" s="2">
        <v>7488009</v>
      </c>
      <c r="J436" s="3" t="e">
        <f t="shared" si="6"/>
        <v>#VALUE!</v>
      </c>
      <c r="K436" s="3" t="e">
        <f t="shared" si="7"/>
        <v>#VALUE!</v>
      </c>
      <c r="L436" s="3">
        <f t="shared" si="8"/>
        <v>81.538305222515746</v>
      </c>
      <c r="M436" s="3">
        <f t="shared" si="9"/>
        <v>24.966000000000001</v>
      </c>
      <c r="N436" s="3">
        <f t="shared" si="10"/>
        <v>43179.435074171917</v>
      </c>
      <c r="O436" s="3">
        <f t="shared" si="11"/>
        <v>7488.009</v>
      </c>
    </row>
    <row r="437" spans="1:15" ht="14.25" customHeight="1">
      <c r="A437" s="2" t="s">
        <v>15</v>
      </c>
      <c r="B437" s="2">
        <v>1921</v>
      </c>
      <c r="C437" s="2" t="s">
        <v>29</v>
      </c>
      <c r="D437" s="2" t="s">
        <v>17</v>
      </c>
      <c r="E437" s="2" t="s">
        <v>17</v>
      </c>
      <c r="J437" s="3" t="e">
        <f t="shared" si="6"/>
        <v>#VALUE!</v>
      </c>
      <c r="K437" s="3" t="e">
        <f t="shared" si="7"/>
        <v>#VALUE!</v>
      </c>
      <c r="L437" s="3" t="e">
        <f t="shared" si="8"/>
        <v>#N/A</v>
      </c>
      <c r="M437" s="3" t="e">
        <f t="shared" si="9"/>
        <v>#N/A</v>
      </c>
      <c r="N437" s="3" t="e">
        <f t="shared" si="10"/>
        <v>#N/A</v>
      </c>
      <c r="O437" s="3" t="e">
        <f t="shared" si="11"/>
        <v>#N/A</v>
      </c>
    </row>
    <row r="438" spans="1:15" ht="14.25" customHeight="1">
      <c r="A438" s="2" t="s">
        <v>15</v>
      </c>
      <c r="B438" s="2">
        <v>1922</v>
      </c>
      <c r="C438" s="2" t="s">
        <v>29</v>
      </c>
      <c r="D438" s="2" t="s">
        <v>17</v>
      </c>
      <c r="E438" s="2" t="s">
        <v>17</v>
      </c>
      <c r="J438" s="3" t="e">
        <f t="shared" si="6"/>
        <v>#VALUE!</v>
      </c>
      <c r="K438" s="3" t="e">
        <f t="shared" si="7"/>
        <v>#VALUE!</v>
      </c>
      <c r="L438" s="3" t="e">
        <f t="shared" si="8"/>
        <v>#N/A</v>
      </c>
      <c r="M438" s="3" t="e">
        <f t="shared" si="9"/>
        <v>#N/A</v>
      </c>
      <c r="N438" s="3" t="e">
        <f t="shared" si="10"/>
        <v>#N/A</v>
      </c>
      <c r="O438" s="3" t="e">
        <f t="shared" si="11"/>
        <v>#N/A</v>
      </c>
    </row>
    <row r="439" spans="1:15" ht="14.25" customHeight="1">
      <c r="A439" s="2" t="s">
        <v>15</v>
      </c>
      <c r="B439" s="2">
        <v>1923</v>
      </c>
      <c r="C439" s="2" t="s">
        <v>29</v>
      </c>
      <c r="D439" s="2" t="s">
        <v>17</v>
      </c>
      <c r="E439" s="2" t="s">
        <v>17</v>
      </c>
      <c r="J439" s="3" t="e">
        <f t="shared" si="6"/>
        <v>#VALUE!</v>
      </c>
      <c r="K439" s="3" t="e">
        <f t="shared" si="7"/>
        <v>#VALUE!</v>
      </c>
      <c r="L439" s="3" t="e">
        <f t="shared" si="8"/>
        <v>#N/A</v>
      </c>
      <c r="M439" s="3" t="e">
        <f t="shared" si="9"/>
        <v>#N/A</v>
      </c>
      <c r="N439" s="3" t="e">
        <f t="shared" si="10"/>
        <v>#N/A</v>
      </c>
      <c r="O439" s="3" t="e">
        <f t="shared" si="11"/>
        <v>#N/A</v>
      </c>
    </row>
    <row r="440" spans="1:15" ht="14.25" customHeight="1">
      <c r="A440" s="2" t="s">
        <v>15</v>
      </c>
      <c r="B440" s="2">
        <v>1924</v>
      </c>
      <c r="C440" s="2" t="s">
        <v>29</v>
      </c>
      <c r="D440" s="2" t="s">
        <v>17</v>
      </c>
      <c r="E440" s="2" t="s">
        <v>17</v>
      </c>
      <c r="J440" s="3" t="e">
        <f t="shared" si="6"/>
        <v>#VALUE!</v>
      </c>
      <c r="K440" s="3" t="e">
        <f t="shared" si="7"/>
        <v>#VALUE!</v>
      </c>
      <c r="L440" s="3" t="e">
        <f t="shared" si="8"/>
        <v>#N/A</v>
      </c>
      <c r="M440" s="3" t="e">
        <f t="shared" si="9"/>
        <v>#N/A</v>
      </c>
      <c r="N440" s="3" t="e">
        <f t="shared" si="10"/>
        <v>#N/A</v>
      </c>
      <c r="O440" s="3" t="e">
        <f t="shared" si="11"/>
        <v>#N/A</v>
      </c>
    </row>
    <row r="441" spans="1:15" ht="14.25" customHeight="1">
      <c r="A441" s="2" t="s">
        <v>15</v>
      </c>
      <c r="B441" s="2">
        <v>1925</v>
      </c>
      <c r="C441" s="2" t="s">
        <v>29</v>
      </c>
      <c r="D441" s="2" t="s">
        <v>17</v>
      </c>
      <c r="E441" s="2" t="s">
        <v>17</v>
      </c>
      <c r="F441" s="2">
        <f>2895+700</f>
        <v>3595</v>
      </c>
      <c r="G441" s="2">
        <f>34850+8949</f>
        <v>43799</v>
      </c>
      <c r="H441" s="2">
        <f>84721+19086+683578</f>
        <v>787385</v>
      </c>
      <c r="I441" s="2">
        <f>619525+83525+3892833</f>
        <v>4595883</v>
      </c>
      <c r="J441" s="3" t="e">
        <f t="shared" si="6"/>
        <v>#VALUE!</v>
      </c>
      <c r="K441" s="3" t="e">
        <f t="shared" si="7"/>
        <v>#VALUE!</v>
      </c>
      <c r="L441" s="3">
        <f t="shared" si="8"/>
        <v>182.63564316195894</v>
      </c>
      <c r="M441" s="3">
        <f t="shared" si="9"/>
        <v>43.798999999999999</v>
      </c>
      <c r="N441" s="3">
        <f t="shared" si="10"/>
        <v>40001.270067059537</v>
      </c>
      <c r="O441" s="3">
        <f t="shared" si="11"/>
        <v>4595.8829999999998</v>
      </c>
    </row>
    <row r="442" spans="1:15" ht="14.25" customHeight="1">
      <c r="A442" s="2" t="s">
        <v>15</v>
      </c>
      <c r="B442" s="2">
        <v>1926</v>
      </c>
      <c r="C442" s="2" t="s">
        <v>29</v>
      </c>
      <c r="D442" s="2" t="s">
        <v>17</v>
      </c>
      <c r="E442" s="2" t="s">
        <v>17</v>
      </c>
      <c r="J442" s="3" t="e">
        <f t="shared" si="6"/>
        <v>#VALUE!</v>
      </c>
      <c r="K442" s="3" t="e">
        <f t="shared" si="7"/>
        <v>#VALUE!</v>
      </c>
      <c r="L442" s="3" t="e">
        <f t="shared" si="8"/>
        <v>#N/A</v>
      </c>
      <c r="M442" s="3" t="e">
        <f t="shared" si="9"/>
        <v>#N/A</v>
      </c>
      <c r="N442" s="3" t="e">
        <f t="shared" si="10"/>
        <v>#N/A</v>
      </c>
      <c r="O442" s="3" t="e">
        <f t="shared" si="11"/>
        <v>#N/A</v>
      </c>
    </row>
    <row r="443" spans="1:15" ht="14.25" customHeight="1">
      <c r="A443" s="2" t="s">
        <v>15</v>
      </c>
      <c r="B443" s="2">
        <v>1927</v>
      </c>
      <c r="C443" s="2" t="s">
        <v>29</v>
      </c>
      <c r="D443" s="2" t="s">
        <v>17</v>
      </c>
      <c r="E443" s="2" t="s">
        <v>17</v>
      </c>
      <c r="J443" s="3" t="e">
        <f t="shared" si="6"/>
        <v>#VALUE!</v>
      </c>
      <c r="K443" s="3" t="e">
        <f t="shared" si="7"/>
        <v>#VALUE!</v>
      </c>
      <c r="L443" s="3" t="e">
        <f t="shared" si="8"/>
        <v>#N/A</v>
      </c>
      <c r="M443" s="3" t="e">
        <f t="shared" si="9"/>
        <v>#N/A</v>
      </c>
      <c r="N443" s="3" t="e">
        <f t="shared" si="10"/>
        <v>#N/A</v>
      </c>
      <c r="O443" s="3" t="e">
        <f t="shared" si="11"/>
        <v>#N/A</v>
      </c>
    </row>
    <row r="444" spans="1:15" ht="14.25" customHeight="1">
      <c r="A444" s="2" t="s">
        <v>15</v>
      </c>
      <c r="B444" s="2">
        <v>1928</v>
      </c>
      <c r="C444" s="2" t="s">
        <v>29</v>
      </c>
      <c r="D444" s="2" t="s">
        <v>17</v>
      </c>
      <c r="E444" s="2" t="s">
        <v>17</v>
      </c>
      <c r="J444" s="3" t="e">
        <f t="shared" si="6"/>
        <v>#VALUE!</v>
      </c>
      <c r="K444" s="3" t="e">
        <f t="shared" si="7"/>
        <v>#VALUE!</v>
      </c>
      <c r="L444" s="3" t="e">
        <f t="shared" si="8"/>
        <v>#N/A</v>
      </c>
      <c r="M444" s="3" t="e">
        <f t="shared" si="9"/>
        <v>#N/A</v>
      </c>
      <c r="N444" s="3" t="e">
        <f t="shared" si="10"/>
        <v>#N/A</v>
      </c>
      <c r="O444" s="3" t="e">
        <f t="shared" si="11"/>
        <v>#N/A</v>
      </c>
    </row>
    <row r="445" spans="1:15" ht="14.25" customHeight="1">
      <c r="A445" s="2" t="s">
        <v>15</v>
      </c>
      <c r="B445" s="2">
        <v>1929</v>
      </c>
      <c r="C445" s="2" t="s">
        <v>29</v>
      </c>
      <c r="D445" s="2" t="s">
        <v>17</v>
      </c>
      <c r="E445" s="2" t="s">
        <v>17</v>
      </c>
      <c r="J445" s="3" t="e">
        <f t="shared" si="6"/>
        <v>#VALUE!</v>
      </c>
      <c r="K445" s="3" t="e">
        <f t="shared" si="7"/>
        <v>#VALUE!</v>
      </c>
      <c r="L445" s="3" t="e">
        <f t="shared" si="8"/>
        <v>#N/A</v>
      </c>
      <c r="M445" s="3" t="e">
        <f t="shared" si="9"/>
        <v>#N/A</v>
      </c>
      <c r="N445" s="3" t="e">
        <f t="shared" si="10"/>
        <v>#N/A</v>
      </c>
      <c r="O445" s="3" t="e">
        <f t="shared" si="11"/>
        <v>#N/A</v>
      </c>
    </row>
    <row r="446" spans="1:15" ht="14.25" customHeight="1">
      <c r="A446" s="2" t="s">
        <v>15</v>
      </c>
      <c r="B446" s="2">
        <v>1930</v>
      </c>
      <c r="C446" s="2" t="s">
        <v>29</v>
      </c>
      <c r="D446" s="2" t="s">
        <v>17</v>
      </c>
      <c r="E446" s="2" t="s">
        <v>17</v>
      </c>
      <c r="F446" s="2">
        <f>2324+885</f>
        <v>3209</v>
      </c>
      <c r="G446" s="2">
        <f>30378+11290</f>
        <v>41668</v>
      </c>
      <c r="H446" s="2">
        <f>126231+8942+931965</f>
        <v>1067138</v>
      </c>
      <c r="I446" s="2">
        <f>761925+43407+4557364</f>
        <v>5362696</v>
      </c>
      <c r="J446" s="3" t="e">
        <f t="shared" si="6"/>
        <v>#VALUE!</v>
      </c>
      <c r="K446" s="3" t="e">
        <f t="shared" si="7"/>
        <v>#VALUE!</v>
      </c>
      <c r="L446" s="3">
        <f t="shared" si="8"/>
        <v>163.02580776264986</v>
      </c>
      <c r="M446" s="3">
        <f t="shared" si="9"/>
        <v>41.667999999999999</v>
      </c>
      <c r="N446" s="3">
        <f t="shared" si="10"/>
        <v>54213.472871367609</v>
      </c>
      <c r="O446" s="3">
        <f t="shared" si="11"/>
        <v>5362.6959999999999</v>
      </c>
    </row>
    <row r="447" spans="1:15" ht="14.25" customHeight="1">
      <c r="A447" s="2" t="s">
        <v>15</v>
      </c>
      <c r="B447" s="2">
        <v>1931</v>
      </c>
      <c r="C447" s="2" t="s">
        <v>29</v>
      </c>
      <c r="D447" s="2" t="s">
        <v>17</v>
      </c>
      <c r="E447" s="2" t="s">
        <v>17</v>
      </c>
      <c r="J447" s="3" t="e">
        <f t="shared" si="6"/>
        <v>#VALUE!</v>
      </c>
      <c r="K447" s="3" t="e">
        <f t="shared" si="7"/>
        <v>#VALUE!</v>
      </c>
      <c r="L447" s="3" t="e">
        <f t="shared" si="8"/>
        <v>#N/A</v>
      </c>
      <c r="M447" s="3" t="e">
        <f t="shared" si="9"/>
        <v>#N/A</v>
      </c>
      <c r="N447" s="3" t="e">
        <f t="shared" si="10"/>
        <v>#N/A</v>
      </c>
      <c r="O447" s="3" t="e">
        <f t="shared" si="11"/>
        <v>#N/A</v>
      </c>
    </row>
    <row r="448" spans="1:15" ht="14.25" customHeight="1">
      <c r="A448" s="2" t="s">
        <v>15</v>
      </c>
      <c r="B448" s="2">
        <v>1932</v>
      </c>
      <c r="C448" s="2" t="s">
        <v>29</v>
      </c>
      <c r="D448" s="2" t="s">
        <v>17</v>
      </c>
      <c r="E448" s="2" t="s">
        <v>17</v>
      </c>
      <c r="J448" s="3" t="e">
        <f t="shared" si="6"/>
        <v>#VALUE!</v>
      </c>
      <c r="K448" s="3" t="e">
        <f t="shared" si="7"/>
        <v>#VALUE!</v>
      </c>
      <c r="L448" s="3" t="e">
        <f t="shared" si="8"/>
        <v>#N/A</v>
      </c>
      <c r="M448" s="3" t="e">
        <f t="shared" si="9"/>
        <v>#N/A</v>
      </c>
      <c r="N448" s="3" t="e">
        <f t="shared" si="10"/>
        <v>#N/A</v>
      </c>
      <c r="O448" s="3" t="e">
        <f t="shared" si="11"/>
        <v>#N/A</v>
      </c>
    </row>
    <row r="449" spans="1:15" ht="14.25" customHeight="1">
      <c r="A449" s="2" t="s">
        <v>15</v>
      </c>
      <c r="B449" s="2">
        <v>1933</v>
      </c>
      <c r="C449" s="2" t="s">
        <v>29</v>
      </c>
      <c r="D449" s="2" t="s">
        <v>17</v>
      </c>
      <c r="E449" s="2" t="s">
        <v>17</v>
      </c>
      <c r="J449" s="3" t="e">
        <f t="shared" si="6"/>
        <v>#VALUE!</v>
      </c>
      <c r="K449" s="3" t="e">
        <f t="shared" si="7"/>
        <v>#VALUE!</v>
      </c>
      <c r="L449" s="3" t="e">
        <f t="shared" si="8"/>
        <v>#N/A</v>
      </c>
      <c r="M449" s="3" t="e">
        <f t="shared" si="9"/>
        <v>#N/A</v>
      </c>
      <c r="N449" s="3" t="e">
        <f t="shared" si="10"/>
        <v>#N/A</v>
      </c>
      <c r="O449" s="3" t="e">
        <f t="shared" si="11"/>
        <v>#N/A</v>
      </c>
    </row>
    <row r="450" spans="1:15" ht="14.25" customHeight="1">
      <c r="A450" s="2" t="s">
        <v>15</v>
      </c>
      <c r="B450" s="2">
        <v>1934</v>
      </c>
      <c r="C450" s="2" t="s">
        <v>29</v>
      </c>
      <c r="D450" s="2" t="s">
        <v>17</v>
      </c>
      <c r="E450" s="2" t="s">
        <v>17</v>
      </c>
      <c r="J450" s="3" t="e">
        <f t="shared" si="6"/>
        <v>#VALUE!</v>
      </c>
      <c r="K450" s="3" t="e">
        <f t="shared" si="7"/>
        <v>#VALUE!</v>
      </c>
      <c r="L450" s="3" t="e">
        <f t="shared" si="8"/>
        <v>#N/A</v>
      </c>
      <c r="M450" s="3" t="e">
        <f t="shared" si="9"/>
        <v>#N/A</v>
      </c>
      <c r="N450" s="3" t="e">
        <f t="shared" si="10"/>
        <v>#N/A</v>
      </c>
      <c r="O450" s="3" t="e">
        <f t="shared" si="11"/>
        <v>#N/A</v>
      </c>
    </row>
    <row r="451" spans="1:15" ht="14.25" customHeight="1">
      <c r="A451" s="2" t="s">
        <v>15</v>
      </c>
      <c r="B451" s="2">
        <v>1935</v>
      </c>
      <c r="C451" s="2" t="s">
        <v>29</v>
      </c>
      <c r="D451" s="2" t="s">
        <v>17</v>
      </c>
      <c r="E451" s="2" t="s">
        <v>17</v>
      </c>
      <c r="F451" s="2">
        <f>4029</f>
        <v>4029</v>
      </c>
      <c r="G451" s="2">
        <f>41377</f>
        <v>41377</v>
      </c>
      <c r="H451" s="2">
        <f>38782+3552+1033990</f>
        <v>1076324</v>
      </c>
      <c r="I451" s="2">
        <f>282837+19420+3886695</f>
        <v>4188952</v>
      </c>
      <c r="J451" s="3" t="e">
        <f t="shared" si="6"/>
        <v>#VALUE!</v>
      </c>
      <c r="K451" s="3" t="e">
        <f t="shared" si="7"/>
        <v>#VALUE!</v>
      </c>
      <c r="L451" s="3">
        <f t="shared" si="8"/>
        <v>204.68400731558626</v>
      </c>
      <c r="M451" s="3">
        <f t="shared" si="9"/>
        <v>41.377000000000002</v>
      </c>
      <c r="N451" s="3">
        <f t="shared" si="10"/>
        <v>54680.146311725257</v>
      </c>
      <c r="O451" s="3">
        <f t="shared" si="11"/>
        <v>4188.9520000000002</v>
      </c>
    </row>
    <row r="452" spans="1:15" ht="14.25" customHeight="1">
      <c r="A452" s="2" t="s">
        <v>15</v>
      </c>
      <c r="B452" s="2">
        <v>1936</v>
      </c>
      <c r="C452" s="2" t="s">
        <v>29</v>
      </c>
      <c r="D452" s="2" t="s">
        <v>17</v>
      </c>
      <c r="E452" s="2" t="s">
        <v>17</v>
      </c>
      <c r="J452" s="3" t="e">
        <f t="shared" si="6"/>
        <v>#VALUE!</v>
      </c>
      <c r="K452" s="3" t="e">
        <f t="shared" si="7"/>
        <v>#VALUE!</v>
      </c>
      <c r="L452" s="3" t="e">
        <f t="shared" si="8"/>
        <v>#N/A</v>
      </c>
      <c r="M452" s="3" t="e">
        <f t="shared" si="9"/>
        <v>#N/A</v>
      </c>
      <c r="N452" s="3" t="e">
        <f t="shared" si="10"/>
        <v>#N/A</v>
      </c>
      <c r="O452" s="3" t="e">
        <f t="shared" si="11"/>
        <v>#N/A</v>
      </c>
    </row>
    <row r="453" spans="1:15" ht="14.25" customHeight="1">
      <c r="A453" s="2" t="s">
        <v>15</v>
      </c>
      <c r="B453" s="2">
        <v>1937</v>
      </c>
      <c r="C453" s="2" t="s">
        <v>29</v>
      </c>
      <c r="D453" s="2" t="s">
        <v>17</v>
      </c>
      <c r="E453" s="2" t="s">
        <v>17</v>
      </c>
      <c r="J453" s="3" t="e">
        <f t="shared" si="6"/>
        <v>#VALUE!</v>
      </c>
      <c r="K453" s="3" t="e">
        <f t="shared" si="7"/>
        <v>#VALUE!</v>
      </c>
      <c r="L453" s="3" t="e">
        <f t="shared" si="8"/>
        <v>#N/A</v>
      </c>
      <c r="M453" s="3" t="e">
        <f t="shared" si="9"/>
        <v>#N/A</v>
      </c>
      <c r="N453" s="3" t="e">
        <f t="shared" si="10"/>
        <v>#N/A</v>
      </c>
      <c r="O453" s="3" t="e">
        <f t="shared" si="11"/>
        <v>#N/A</v>
      </c>
    </row>
    <row r="454" spans="1:15" ht="14.25" customHeight="1">
      <c r="A454" s="2" t="s">
        <v>15</v>
      </c>
      <c r="B454" s="2">
        <v>1938</v>
      </c>
      <c r="C454" s="2" t="s">
        <v>29</v>
      </c>
      <c r="D454" s="2" t="s">
        <v>17</v>
      </c>
      <c r="E454" s="2" t="s">
        <v>17</v>
      </c>
      <c r="J454" s="3" t="e">
        <f t="shared" si="6"/>
        <v>#VALUE!</v>
      </c>
      <c r="K454" s="3" t="e">
        <f t="shared" si="7"/>
        <v>#VALUE!</v>
      </c>
      <c r="L454" s="3" t="e">
        <f t="shared" si="8"/>
        <v>#N/A</v>
      </c>
      <c r="M454" s="3" t="e">
        <f t="shared" si="9"/>
        <v>#N/A</v>
      </c>
      <c r="N454" s="3" t="e">
        <f t="shared" si="10"/>
        <v>#N/A</v>
      </c>
      <c r="O454" s="3" t="e">
        <f t="shared" si="11"/>
        <v>#N/A</v>
      </c>
    </row>
    <row r="455" spans="1:15" ht="14.25" customHeight="1">
      <c r="A455" s="2" t="s">
        <v>15</v>
      </c>
      <c r="B455" s="2">
        <v>1939</v>
      </c>
      <c r="C455" s="2" t="s">
        <v>29</v>
      </c>
      <c r="D455" s="2" t="s">
        <v>17</v>
      </c>
      <c r="E455" s="2" t="s">
        <v>17</v>
      </c>
      <c r="J455" s="3" t="e">
        <f t="shared" si="6"/>
        <v>#VALUE!</v>
      </c>
      <c r="K455" s="3" t="e">
        <f t="shared" si="7"/>
        <v>#VALUE!</v>
      </c>
      <c r="L455" s="3" t="e">
        <f t="shared" si="8"/>
        <v>#N/A</v>
      </c>
      <c r="M455" s="3" t="e">
        <f t="shared" si="9"/>
        <v>#N/A</v>
      </c>
      <c r="N455" s="3" t="e">
        <f t="shared" si="10"/>
        <v>#N/A</v>
      </c>
      <c r="O455" s="3" t="e">
        <f t="shared" si="11"/>
        <v>#N/A</v>
      </c>
    </row>
    <row r="456" spans="1:15" ht="14.25" customHeight="1">
      <c r="A456" s="2" t="s">
        <v>15</v>
      </c>
      <c r="B456" s="2">
        <v>1940</v>
      </c>
      <c r="C456" s="2" t="s">
        <v>29</v>
      </c>
      <c r="D456" s="2" t="s">
        <v>17</v>
      </c>
      <c r="E456" s="2" t="s">
        <v>17</v>
      </c>
      <c r="F456" s="2">
        <v>435</v>
      </c>
      <c r="G456" s="2">
        <v>5374</v>
      </c>
      <c r="H456" s="2">
        <f>16046+67283+2179+1038987</f>
        <v>1124495</v>
      </c>
      <c r="I456" s="2">
        <f>147584+326416+14973+5338171</f>
        <v>5827144</v>
      </c>
      <c r="J456" s="3" t="e">
        <f t="shared" si="6"/>
        <v>#VALUE!</v>
      </c>
      <c r="K456" s="3" t="e">
        <f t="shared" si="7"/>
        <v>#VALUE!</v>
      </c>
      <c r="L456" s="3">
        <f t="shared" si="8"/>
        <v>22.099166836008941</v>
      </c>
      <c r="M456" s="3">
        <f t="shared" si="9"/>
        <v>5.3739999999999997</v>
      </c>
      <c r="N456" s="3">
        <f t="shared" si="10"/>
        <v>57127.362324730741</v>
      </c>
      <c r="O456" s="3">
        <f t="shared" si="11"/>
        <v>5827.1440000000002</v>
      </c>
    </row>
    <row r="457" spans="1:15" ht="14.25" customHeight="1">
      <c r="A457" s="2" t="s">
        <v>15</v>
      </c>
      <c r="B457" s="2">
        <v>1941</v>
      </c>
      <c r="C457" s="2" t="s">
        <v>29</v>
      </c>
      <c r="D457" s="2" t="s">
        <v>17</v>
      </c>
      <c r="E457" s="2" t="s">
        <v>17</v>
      </c>
      <c r="J457" s="3" t="e">
        <f t="shared" si="6"/>
        <v>#VALUE!</v>
      </c>
      <c r="K457" s="3" t="e">
        <f t="shared" si="7"/>
        <v>#VALUE!</v>
      </c>
      <c r="L457" s="3" t="e">
        <f t="shared" si="8"/>
        <v>#N/A</v>
      </c>
      <c r="M457" s="3" t="e">
        <f t="shared" si="9"/>
        <v>#N/A</v>
      </c>
      <c r="N457" s="3" t="e">
        <f t="shared" si="10"/>
        <v>#N/A</v>
      </c>
      <c r="O457" s="3" t="e">
        <f t="shared" si="11"/>
        <v>#N/A</v>
      </c>
    </row>
    <row r="458" spans="1:15" ht="14.25" customHeight="1">
      <c r="A458" s="2" t="s">
        <v>15</v>
      </c>
      <c r="B458" s="2">
        <v>1942</v>
      </c>
      <c r="C458" s="2" t="s">
        <v>29</v>
      </c>
      <c r="D458" s="2" t="s">
        <v>17</v>
      </c>
      <c r="E458" s="2" t="s">
        <v>17</v>
      </c>
      <c r="F458" s="2">
        <v>0</v>
      </c>
      <c r="G458" s="2">
        <v>0</v>
      </c>
      <c r="H458" s="2">
        <f>21347+5+1485+1082637</f>
        <v>1105474</v>
      </c>
      <c r="I458" s="2">
        <f>382076+33+10537+5485612</f>
        <v>5878258</v>
      </c>
      <c r="J458" s="3" t="e">
        <f t="shared" si="6"/>
        <v>#VALUE!</v>
      </c>
      <c r="K458" s="3" t="e">
        <f t="shared" si="7"/>
        <v>#VALUE!</v>
      </c>
      <c r="L458" s="3">
        <f t="shared" si="8"/>
        <v>0</v>
      </c>
      <c r="M458" s="3">
        <f t="shared" si="9"/>
        <v>0</v>
      </c>
      <c r="N458" s="3">
        <f t="shared" si="10"/>
        <v>56161.044503149766</v>
      </c>
      <c r="O458" s="3">
        <f t="shared" si="11"/>
        <v>5878.2579999999998</v>
      </c>
    </row>
    <row r="459" spans="1:15" ht="14.25" customHeight="1">
      <c r="A459" s="2" t="s">
        <v>15</v>
      </c>
      <c r="B459" s="2">
        <v>1943</v>
      </c>
      <c r="C459" s="2" t="s">
        <v>29</v>
      </c>
      <c r="D459" s="2" t="s">
        <v>17</v>
      </c>
      <c r="E459" s="2" t="s">
        <v>17</v>
      </c>
      <c r="J459" s="3" t="e">
        <f t="shared" si="6"/>
        <v>#VALUE!</v>
      </c>
      <c r="K459" s="3" t="e">
        <f t="shared" si="7"/>
        <v>#VALUE!</v>
      </c>
      <c r="L459" s="3" t="e">
        <f t="shared" si="8"/>
        <v>#N/A</v>
      </c>
      <c r="M459" s="3" t="e">
        <f t="shared" si="9"/>
        <v>#N/A</v>
      </c>
      <c r="N459" s="3" t="e">
        <f t="shared" si="10"/>
        <v>#N/A</v>
      </c>
      <c r="O459" s="3" t="e">
        <f t="shared" si="11"/>
        <v>#N/A</v>
      </c>
    </row>
    <row r="460" spans="1:15" ht="14.25" customHeight="1">
      <c r="A460" s="2" t="s">
        <v>15</v>
      </c>
      <c r="B460" s="2">
        <v>1944</v>
      </c>
      <c r="C460" s="2" t="s">
        <v>29</v>
      </c>
      <c r="D460" s="2" t="s">
        <v>17</v>
      </c>
      <c r="E460" s="2" t="s">
        <v>17</v>
      </c>
      <c r="F460" s="2">
        <v>0</v>
      </c>
      <c r="G460" s="2">
        <v>0</v>
      </c>
      <c r="H460" s="2">
        <f>10646+1+266+457871</f>
        <v>468784</v>
      </c>
      <c r="I460" s="2">
        <f>175000+3+783+2698725</f>
        <v>2874511</v>
      </c>
      <c r="J460" s="3" t="e">
        <f t="shared" si="6"/>
        <v>#VALUE!</v>
      </c>
      <c r="K460" s="3" t="e">
        <f t="shared" si="7"/>
        <v>#VALUE!</v>
      </c>
      <c r="L460" s="3">
        <f t="shared" si="8"/>
        <v>0</v>
      </c>
      <c r="M460" s="3">
        <f t="shared" si="9"/>
        <v>0</v>
      </c>
      <c r="N460" s="3">
        <f t="shared" si="10"/>
        <v>23815.484657589921</v>
      </c>
      <c r="O460" s="3">
        <f t="shared" si="11"/>
        <v>2874.511</v>
      </c>
    </row>
    <row r="461" spans="1:15" ht="14.25" customHeight="1">
      <c r="A461" s="2" t="s">
        <v>15</v>
      </c>
      <c r="B461" s="2">
        <v>1945</v>
      </c>
      <c r="C461" s="2" t="s">
        <v>29</v>
      </c>
      <c r="D461" s="2" t="s">
        <v>17</v>
      </c>
      <c r="E461" s="2" t="s">
        <v>17</v>
      </c>
      <c r="J461" s="3" t="e">
        <f t="shared" si="6"/>
        <v>#VALUE!</v>
      </c>
      <c r="K461" s="3" t="e">
        <f t="shared" si="7"/>
        <v>#VALUE!</v>
      </c>
      <c r="L461" s="3" t="e">
        <f t="shared" si="8"/>
        <v>#N/A</v>
      </c>
      <c r="M461" s="3" t="e">
        <f t="shared" si="9"/>
        <v>#N/A</v>
      </c>
      <c r="N461" s="3" t="e">
        <f t="shared" si="10"/>
        <v>#N/A</v>
      </c>
      <c r="O461" s="3" t="e">
        <f t="shared" si="11"/>
        <v>#N/A</v>
      </c>
    </row>
    <row r="462" spans="1:15" ht="14.25" customHeight="1">
      <c r="A462" s="2" t="s">
        <v>15</v>
      </c>
      <c r="B462" s="2">
        <v>1946</v>
      </c>
      <c r="C462" s="2" t="s">
        <v>29</v>
      </c>
      <c r="D462" s="2" t="s">
        <v>17</v>
      </c>
      <c r="E462" s="2" t="s">
        <v>17</v>
      </c>
      <c r="F462" s="2">
        <v>0</v>
      </c>
      <c r="G462" s="2">
        <v>13</v>
      </c>
      <c r="H462" s="2">
        <f>19984+3385+599+859120</f>
        <v>883088</v>
      </c>
      <c r="I462" s="2">
        <f>313641+58444+9463+6640492</f>
        <v>7022040</v>
      </c>
      <c r="J462" s="3" t="e">
        <f t="shared" si="6"/>
        <v>#VALUE!</v>
      </c>
      <c r="K462" s="3" t="e">
        <f t="shared" si="7"/>
        <v>#VALUE!</v>
      </c>
      <c r="L462" s="3">
        <f t="shared" si="8"/>
        <v>0</v>
      </c>
      <c r="M462" s="3">
        <f t="shared" si="9"/>
        <v>1.2999999999999999E-2</v>
      </c>
      <c r="N462" s="3">
        <f t="shared" si="10"/>
        <v>44863.239179028649</v>
      </c>
      <c r="O462" s="3">
        <f t="shared" si="11"/>
        <v>7022.04</v>
      </c>
    </row>
    <row r="463" spans="1:15" ht="14.25" customHeight="1">
      <c r="A463" s="2" t="s">
        <v>15</v>
      </c>
      <c r="B463" s="2">
        <v>1947</v>
      </c>
      <c r="C463" s="2" t="s">
        <v>29</v>
      </c>
      <c r="D463" s="2" t="s">
        <v>17</v>
      </c>
      <c r="E463" s="2" t="s">
        <v>17</v>
      </c>
      <c r="J463" s="3" t="e">
        <f t="shared" si="6"/>
        <v>#VALUE!</v>
      </c>
      <c r="K463" s="3" t="e">
        <f t="shared" si="7"/>
        <v>#VALUE!</v>
      </c>
      <c r="L463" s="3" t="e">
        <f t="shared" si="8"/>
        <v>#N/A</v>
      </c>
      <c r="M463" s="3" t="e">
        <f t="shared" si="9"/>
        <v>#N/A</v>
      </c>
      <c r="N463" s="3" t="e">
        <f t="shared" si="10"/>
        <v>#N/A</v>
      </c>
      <c r="O463" s="3" t="e">
        <f t="shared" si="11"/>
        <v>#N/A</v>
      </c>
    </row>
    <row r="464" spans="1:15" ht="14.25" customHeight="1">
      <c r="A464" s="2" t="s">
        <v>15</v>
      </c>
      <c r="B464" s="2">
        <v>1948</v>
      </c>
      <c r="C464" s="2" t="s">
        <v>29</v>
      </c>
      <c r="D464" s="2" t="s">
        <v>17</v>
      </c>
      <c r="E464" s="2" t="s">
        <v>17</v>
      </c>
      <c r="J464" s="3" t="e">
        <f t="shared" si="6"/>
        <v>#VALUE!</v>
      </c>
      <c r="K464" s="3" t="e">
        <f t="shared" si="7"/>
        <v>#VALUE!</v>
      </c>
      <c r="L464" s="3" t="e">
        <f t="shared" si="8"/>
        <v>#N/A</v>
      </c>
      <c r="M464" s="3" t="e">
        <f t="shared" si="9"/>
        <v>#N/A</v>
      </c>
      <c r="N464" s="3" t="e">
        <f t="shared" si="10"/>
        <v>#N/A</v>
      </c>
      <c r="O464" s="3" t="e">
        <f t="shared" si="11"/>
        <v>#N/A</v>
      </c>
    </row>
    <row r="465" spans="1:15" ht="14.25" customHeight="1">
      <c r="A465" s="2" t="s">
        <v>15</v>
      </c>
      <c r="B465" s="2">
        <v>1949</v>
      </c>
      <c r="C465" s="2" t="s">
        <v>29</v>
      </c>
      <c r="D465" s="2" t="s">
        <v>17</v>
      </c>
      <c r="E465" s="2" t="s">
        <v>17</v>
      </c>
      <c r="J465" s="3" t="e">
        <f t="shared" si="6"/>
        <v>#VALUE!</v>
      </c>
      <c r="K465" s="3" t="e">
        <f t="shared" si="7"/>
        <v>#VALUE!</v>
      </c>
      <c r="L465" s="3" t="e">
        <f t="shared" si="8"/>
        <v>#N/A</v>
      </c>
      <c r="M465" s="3" t="e">
        <f t="shared" si="9"/>
        <v>#N/A</v>
      </c>
      <c r="N465" s="3" t="e">
        <f t="shared" si="10"/>
        <v>#N/A</v>
      </c>
      <c r="O465" s="3" t="e">
        <f t="shared" si="11"/>
        <v>#N/A</v>
      </c>
    </row>
    <row r="466" spans="1:15" ht="14.25" customHeight="1">
      <c r="A466" s="2" t="s">
        <v>15</v>
      </c>
      <c r="B466" s="2">
        <v>1950</v>
      </c>
      <c r="C466" s="2" t="s">
        <v>29</v>
      </c>
      <c r="D466" s="2" t="s">
        <v>17</v>
      </c>
      <c r="E466" s="2" t="s">
        <v>17</v>
      </c>
      <c r="F466" s="2" t="s">
        <v>17</v>
      </c>
      <c r="G466" s="2" t="s">
        <v>17</v>
      </c>
      <c r="H466" s="2">
        <f>27681+15299+83069</f>
        <v>126049</v>
      </c>
      <c r="I466" s="2">
        <f>812713+356275+1342669</f>
        <v>2511657</v>
      </c>
      <c r="J466" s="3" t="e">
        <f t="shared" si="6"/>
        <v>#VALUE!</v>
      </c>
      <c r="K466" s="3" t="e">
        <f t="shared" si="7"/>
        <v>#VALUE!</v>
      </c>
      <c r="L466" s="3" t="e">
        <f t="shared" si="8"/>
        <v>#VALUE!</v>
      </c>
      <c r="M466" s="3" t="e">
        <f t="shared" si="9"/>
        <v>#VALUE!</v>
      </c>
      <c r="N466" s="3">
        <f t="shared" si="10"/>
        <v>6403.6273115220483</v>
      </c>
      <c r="O466" s="3">
        <f t="shared" si="11"/>
        <v>2511.6570000000002</v>
      </c>
    </row>
    <row r="467" spans="1:15" ht="14.25" customHeight="1">
      <c r="A467" s="2" t="s">
        <v>15</v>
      </c>
      <c r="B467" s="2">
        <v>1951</v>
      </c>
      <c r="C467" s="2" t="s">
        <v>29</v>
      </c>
      <c r="D467" s="2" t="s">
        <v>17</v>
      </c>
      <c r="E467" s="2" t="s">
        <v>17</v>
      </c>
      <c r="J467" s="3" t="e">
        <f t="shared" si="6"/>
        <v>#VALUE!</v>
      </c>
      <c r="K467" s="3" t="e">
        <f t="shared" si="7"/>
        <v>#VALUE!</v>
      </c>
      <c r="L467" s="3" t="e">
        <f t="shared" si="8"/>
        <v>#N/A</v>
      </c>
      <c r="M467" s="3" t="e">
        <f t="shared" si="9"/>
        <v>#N/A</v>
      </c>
      <c r="N467" s="3" t="e">
        <f t="shared" si="10"/>
        <v>#N/A</v>
      </c>
      <c r="O467" s="3" t="e">
        <f t="shared" si="11"/>
        <v>#N/A</v>
      </c>
    </row>
    <row r="468" spans="1:15" ht="14.25" customHeight="1">
      <c r="A468" s="2" t="s">
        <v>15</v>
      </c>
      <c r="B468" s="2">
        <v>1952</v>
      </c>
      <c r="C468" s="2" t="s">
        <v>29</v>
      </c>
      <c r="D468" s="2" t="s">
        <v>17</v>
      </c>
      <c r="E468" s="2" t="s">
        <v>17</v>
      </c>
      <c r="J468" s="3" t="e">
        <f t="shared" si="6"/>
        <v>#VALUE!</v>
      </c>
      <c r="K468" s="3" t="e">
        <f t="shared" si="7"/>
        <v>#VALUE!</v>
      </c>
      <c r="L468" s="3" t="e">
        <f t="shared" si="8"/>
        <v>#N/A</v>
      </c>
      <c r="M468" s="3" t="e">
        <f t="shared" si="9"/>
        <v>#N/A</v>
      </c>
      <c r="N468" s="3" t="e">
        <f t="shared" si="10"/>
        <v>#N/A</v>
      </c>
      <c r="O468" s="3" t="e">
        <f t="shared" si="11"/>
        <v>#N/A</v>
      </c>
    </row>
    <row r="469" spans="1:15" ht="14.25" customHeight="1">
      <c r="A469" s="2" t="s">
        <v>15</v>
      </c>
      <c r="B469" s="2">
        <v>1953</v>
      </c>
      <c r="C469" s="2" t="s">
        <v>29</v>
      </c>
      <c r="D469" s="2" t="s">
        <v>17</v>
      </c>
      <c r="E469" s="2" t="s">
        <v>17</v>
      </c>
      <c r="J469" s="3" t="e">
        <f t="shared" si="6"/>
        <v>#VALUE!</v>
      </c>
      <c r="K469" s="3" t="e">
        <f t="shared" si="7"/>
        <v>#VALUE!</v>
      </c>
      <c r="L469" s="3" t="e">
        <f t="shared" si="8"/>
        <v>#N/A</v>
      </c>
      <c r="M469" s="3" t="e">
        <f t="shared" si="9"/>
        <v>#N/A</v>
      </c>
      <c r="N469" s="3" t="e">
        <f t="shared" si="10"/>
        <v>#N/A</v>
      </c>
      <c r="O469" s="3" t="e">
        <f t="shared" si="11"/>
        <v>#N/A</v>
      </c>
    </row>
    <row r="470" spans="1:15" ht="14.25" customHeight="1">
      <c r="A470" s="2" t="s">
        <v>15</v>
      </c>
      <c r="B470" s="2">
        <v>1954</v>
      </c>
      <c r="C470" s="2" t="s">
        <v>29</v>
      </c>
      <c r="D470" s="2" t="s">
        <v>17</v>
      </c>
      <c r="E470" s="2" t="s">
        <v>17</v>
      </c>
      <c r="J470" s="3" t="e">
        <f t="shared" si="6"/>
        <v>#VALUE!</v>
      </c>
      <c r="K470" s="3" t="e">
        <f t="shared" si="7"/>
        <v>#VALUE!</v>
      </c>
      <c r="L470" s="3" t="e">
        <f t="shared" si="8"/>
        <v>#N/A</v>
      </c>
      <c r="M470" s="3" t="e">
        <f t="shared" si="9"/>
        <v>#N/A</v>
      </c>
      <c r="N470" s="3" t="e">
        <f t="shared" si="10"/>
        <v>#N/A</v>
      </c>
      <c r="O470" s="3" t="e">
        <f t="shared" si="11"/>
        <v>#N/A</v>
      </c>
    </row>
    <row r="471" spans="1:15" ht="14.25" customHeight="1">
      <c r="A471" s="2" t="s">
        <v>15</v>
      </c>
      <c r="B471" s="2">
        <v>1955</v>
      </c>
      <c r="C471" s="2" t="s">
        <v>29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>
        <f>11824+28045+178134</f>
        <v>218003</v>
      </c>
      <c r="I471" s="2">
        <f>457077+882686+4717752</f>
        <v>6057515</v>
      </c>
      <c r="J471" s="3" t="e">
        <f t="shared" si="6"/>
        <v>#VALUE!</v>
      </c>
      <c r="K471" s="3" t="e">
        <f t="shared" si="7"/>
        <v>#VALUE!</v>
      </c>
      <c r="L471" s="3" t="e">
        <f t="shared" si="8"/>
        <v>#VALUE!</v>
      </c>
      <c r="M471" s="3" t="e">
        <f t="shared" si="9"/>
        <v>#VALUE!</v>
      </c>
      <c r="N471" s="3">
        <f t="shared" si="10"/>
        <v>11075.13716724243</v>
      </c>
      <c r="O471" s="3">
        <f t="shared" si="11"/>
        <v>6057.5150000000003</v>
      </c>
    </row>
    <row r="472" spans="1:15" ht="14.25" customHeight="1">
      <c r="A472" s="2" t="s">
        <v>15</v>
      </c>
      <c r="B472" s="2">
        <v>1956</v>
      </c>
      <c r="C472" s="2" t="s">
        <v>29</v>
      </c>
      <c r="D472" s="2" t="s">
        <v>17</v>
      </c>
      <c r="E472" s="2" t="s">
        <v>17</v>
      </c>
      <c r="J472" s="3" t="e">
        <f t="shared" si="6"/>
        <v>#VALUE!</v>
      </c>
      <c r="K472" s="3" t="e">
        <f t="shared" si="7"/>
        <v>#VALUE!</v>
      </c>
      <c r="L472" s="3" t="e">
        <f t="shared" si="8"/>
        <v>#N/A</v>
      </c>
      <c r="M472" s="3" t="e">
        <f t="shared" si="9"/>
        <v>#N/A</v>
      </c>
      <c r="N472" s="3" t="e">
        <f t="shared" si="10"/>
        <v>#N/A</v>
      </c>
      <c r="O472" s="3" t="e">
        <f t="shared" si="11"/>
        <v>#N/A</v>
      </c>
    </row>
    <row r="473" spans="1:15" ht="14.25" customHeight="1">
      <c r="A473" s="2" t="s">
        <v>15</v>
      </c>
      <c r="B473" s="2">
        <v>1957</v>
      </c>
      <c r="C473" s="2" t="s">
        <v>29</v>
      </c>
      <c r="D473" s="2" t="s">
        <v>17</v>
      </c>
      <c r="E473" s="2" t="s">
        <v>17</v>
      </c>
      <c r="J473" s="3" t="e">
        <f t="shared" si="6"/>
        <v>#VALUE!</v>
      </c>
      <c r="K473" s="3" t="e">
        <f t="shared" si="7"/>
        <v>#VALUE!</v>
      </c>
      <c r="L473" s="3" t="e">
        <f t="shared" si="8"/>
        <v>#N/A</v>
      </c>
      <c r="M473" s="3" t="e">
        <f t="shared" si="9"/>
        <v>#N/A</v>
      </c>
      <c r="N473" s="3" t="e">
        <f t="shared" si="10"/>
        <v>#N/A</v>
      </c>
      <c r="O473" s="3" t="e">
        <f t="shared" si="11"/>
        <v>#N/A</v>
      </c>
    </row>
    <row r="474" spans="1:15" ht="14.25" customHeight="1">
      <c r="A474" s="2" t="s">
        <v>15</v>
      </c>
      <c r="B474" s="2">
        <v>1958</v>
      </c>
      <c r="C474" s="2" t="s">
        <v>29</v>
      </c>
      <c r="D474" s="2" t="s">
        <v>17</v>
      </c>
      <c r="E474" s="2" t="s">
        <v>17</v>
      </c>
      <c r="J474" s="3" t="e">
        <f t="shared" si="6"/>
        <v>#VALUE!</v>
      </c>
      <c r="K474" s="3" t="e">
        <f t="shared" si="7"/>
        <v>#VALUE!</v>
      </c>
      <c r="L474" s="3" t="e">
        <f t="shared" si="8"/>
        <v>#N/A</v>
      </c>
      <c r="M474" s="3" t="e">
        <f t="shared" si="9"/>
        <v>#N/A</v>
      </c>
      <c r="N474" s="3" t="e">
        <f t="shared" si="10"/>
        <v>#N/A</v>
      </c>
      <c r="O474" s="3" t="e">
        <f t="shared" si="11"/>
        <v>#N/A</v>
      </c>
    </row>
    <row r="475" spans="1:15" ht="14.25" customHeight="1">
      <c r="A475" s="2" t="s">
        <v>15</v>
      </c>
      <c r="B475" s="2">
        <v>1959</v>
      </c>
      <c r="C475" s="2" t="s">
        <v>29</v>
      </c>
      <c r="D475" s="2" t="s">
        <v>17</v>
      </c>
      <c r="E475" s="2" t="s">
        <v>17</v>
      </c>
      <c r="J475" s="3" t="e">
        <f t="shared" si="6"/>
        <v>#VALUE!</v>
      </c>
      <c r="K475" s="3" t="e">
        <f t="shared" si="7"/>
        <v>#VALUE!</v>
      </c>
      <c r="L475" s="3" t="e">
        <f t="shared" si="8"/>
        <v>#N/A</v>
      </c>
      <c r="M475" s="3" t="e">
        <f t="shared" si="9"/>
        <v>#N/A</v>
      </c>
      <c r="N475" s="3" t="e">
        <f t="shared" si="10"/>
        <v>#N/A</v>
      </c>
      <c r="O475" s="3" t="e">
        <f t="shared" si="11"/>
        <v>#N/A</v>
      </c>
    </row>
    <row r="476" spans="1:15" ht="14.25" customHeight="1">
      <c r="A476" s="2" t="s">
        <v>15</v>
      </c>
      <c r="B476" s="2">
        <v>1960</v>
      </c>
      <c r="C476" s="2" t="s">
        <v>29</v>
      </c>
      <c r="D476" s="2" t="s">
        <v>17</v>
      </c>
      <c r="E476" s="2" t="s">
        <v>17</v>
      </c>
      <c r="F476" s="2" t="s">
        <v>17</v>
      </c>
      <c r="G476" s="2" t="s">
        <v>17</v>
      </c>
      <c r="H476" s="2">
        <f>9661+74927+643803</f>
        <v>728391</v>
      </c>
      <c r="I476" s="2">
        <f>21456371+410915+2056906</f>
        <v>23924192</v>
      </c>
      <c r="J476" s="3" t="e">
        <f t="shared" si="6"/>
        <v>#VALUE!</v>
      </c>
      <c r="K476" s="3" t="e">
        <f t="shared" si="7"/>
        <v>#VALUE!</v>
      </c>
      <c r="L476" s="3" t="e">
        <f t="shared" si="8"/>
        <v>#VALUE!</v>
      </c>
      <c r="M476" s="3" t="e">
        <f t="shared" si="9"/>
        <v>#VALUE!</v>
      </c>
      <c r="N476" s="3">
        <f t="shared" si="10"/>
        <v>37004.216622637672</v>
      </c>
      <c r="O476" s="3">
        <f t="shared" si="11"/>
        <v>23924.191999999999</v>
      </c>
    </row>
    <row r="477" spans="1:15" ht="14.25" customHeight="1">
      <c r="A477" s="2" t="s">
        <v>15</v>
      </c>
      <c r="B477" s="2">
        <v>1961</v>
      </c>
      <c r="C477" s="2" t="s">
        <v>29</v>
      </c>
      <c r="D477" s="2" t="s">
        <v>17</v>
      </c>
      <c r="E477" s="2" t="s">
        <v>17</v>
      </c>
      <c r="J477" s="3" t="e">
        <f t="shared" si="6"/>
        <v>#VALUE!</v>
      </c>
      <c r="K477" s="3" t="e">
        <f t="shared" si="7"/>
        <v>#VALUE!</v>
      </c>
      <c r="L477" s="3" t="e">
        <f t="shared" si="8"/>
        <v>#N/A</v>
      </c>
      <c r="M477" s="3" t="e">
        <f t="shared" si="9"/>
        <v>#N/A</v>
      </c>
      <c r="N477" s="3" t="e">
        <f t="shared" si="10"/>
        <v>#N/A</v>
      </c>
      <c r="O477" s="3" t="e">
        <f t="shared" si="11"/>
        <v>#N/A</v>
      </c>
    </row>
    <row r="478" spans="1:15" ht="14.25" customHeight="1">
      <c r="A478" s="2" t="s">
        <v>15</v>
      </c>
      <c r="B478" s="2">
        <v>1962</v>
      </c>
      <c r="C478" s="2" t="s">
        <v>29</v>
      </c>
      <c r="D478" s="2" t="s">
        <v>17</v>
      </c>
      <c r="E478" s="2" t="s">
        <v>17</v>
      </c>
      <c r="J478" s="3" t="e">
        <f t="shared" si="6"/>
        <v>#VALUE!</v>
      </c>
      <c r="K478" s="3" t="e">
        <f t="shared" si="7"/>
        <v>#VALUE!</v>
      </c>
      <c r="L478" s="3" t="e">
        <f t="shared" si="8"/>
        <v>#N/A</v>
      </c>
      <c r="M478" s="3" t="e">
        <f t="shared" si="9"/>
        <v>#N/A</v>
      </c>
      <c r="N478" s="3" t="e">
        <f t="shared" si="10"/>
        <v>#N/A</v>
      </c>
      <c r="O478" s="3" t="e">
        <f t="shared" si="11"/>
        <v>#N/A</v>
      </c>
    </row>
    <row r="479" spans="1:15" ht="14.25" customHeight="1">
      <c r="A479" s="2" t="s">
        <v>15</v>
      </c>
      <c r="B479" s="2">
        <v>1963</v>
      </c>
      <c r="C479" s="2" t="s">
        <v>29</v>
      </c>
      <c r="D479" s="2" t="s">
        <v>17</v>
      </c>
      <c r="E479" s="2" t="s">
        <v>17</v>
      </c>
      <c r="J479" s="3" t="e">
        <f t="shared" si="6"/>
        <v>#VALUE!</v>
      </c>
      <c r="K479" s="3" t="e">
        <f t="shared" si="7"/>
        <v>#VALUE!</v>
      </c>
      <c r="L479" s="3" t="e">
        <f t="shared" si="8"/>
        <v>#N/A</v>
      </c>
      <c r="M479" s="3" t="e">
        <f t="shared" si="9"/>
        <v>#N/A</v>
      </c>
      <c r="N479" s="3" t="e">
        <f t="shared" si="10"/>
        <v>#N/A</v>
      </c>
      <c r="O479" s="3" t="e">
        <f t="shared" si="11"/>
        <v>#N/A</v>
      </c>
    </row>
    <row r="480" spans="1:15" ht="14.25" customHeight="1">
      <c r="A480" s="2" t="s">
        <v>15</v>
      </c>
      <c r="B480" s="2">
        <v>1964</v>
      </c>
      <c r="C480" s="2" t="s">
        <v>29</v>
      </c>
      <c r="D480" s="2" t="s">
        <v>17</v>
      </c>
      <c r="E480" s="2" t="s">
        <v>17</v>
      </c>
      <c r="J480" s="3" t="e">
        <f t="shared" si="6"/>
        <v>#VALUE!</v>
      </c>
      <c r="K480" s="3" t="e">
        <f t="shared" si="7"/>
        <v>#VALUE!</v>
      </c>
      <c r="L480" s="3" t="e">
        <f t="shared" si="8"/>
        <v>#N/A</v>
      </c>
      <c r="M480" s="3" t="e">
        <f t="shared" si="9"/>
        <v>#N/A</v>
      </c>
      <c r="N480" s="3" t="e">
        <f t="shared" si="10"/>
        <v>#N/A</v>
      </c>
      <c r="O480" s="3" t="e">
        <f t="shared" si="11"/>
        <v>#N/A</v>
      </c>
    </row>
    <row r="481" spans="1:15" ht="14.25" customHeight="1">
      <c r="A481" s="2" t="s">
        <v>15</v>
      </c>
      <c r="B481" s="2">
        <v>1900</v>
      </c>
      <c r="C481" s="2" t="s">
        <v>20</v>
      </c>
      <c r="D481" s="4">
        <v>569770</v>
      </c>
      <c r="E481" s="4">
        <v>304081</v>
      </c>
      <c r="F481" s="2" t="s">
        <v>17</v>
      </c>
      <c r="G481" s="2" t="s">
        <v>17</v>
      </c>
      <c r="H481" s="2" t="s">
        <v>17</v>
      </c>
      <c r="I481" s="2" t="s">
        <v>17</v>
      </c>
      <c r="J481" s="3">
        <f t="shared" si="6"/>
        <v>28945.844340581181</v>
      </c>
      <c r="K481" s="3">
        <f t="shared" si="7"/>
        <v>304.08100000000002</v>
      </c>
      <c r="L481" s="3" t="e">
        <f t="shared" si="8"/>
        <v>#VALUE!</v>
      </c>
      <c r="M481" s="3" t="e">
        <f t="shared" si="9"/>
        <v>#VALUE!</v>
      </c>
      <c r="N481" s="3" t="e">
        <f t="shared" si="10"/>
        <v>#VALUE!</v>
      </c>
      <c r="O481" s="3" t="e">
        <f t="shared" si="11"/>
        <v>#VALUE!</v>
      </c>
    </row>
    <row r="482" spans="1:15" ht="14.25" customHeight="1">
      <c r="A482" s="2" t="s">
        <v>15</v>
      </c>
      <c r="B482" s="2">
        <v>1901</v>
      </c>
      <c r="C482" s="2" t="s">
        <v>20</v>
      </c>
      <c r="D482" s="4">
        <v>684250</v>
      </c>
      <c r="E482" s="4">
        <v>373454</v>
      </c>
      <c r="J482" s="3">
        <f t="shared" si="6"/>
        <v>34761.735419630153</v>
      </c>
      <c r="K482" s="3">
        <f t="shared" si="7"/>
        <v>373.45400000000001</v>
      </c>
      <c r="L482" s="3" t="e">
        <f t="shared" si="8"/>
        <v>#N/A</v>
      </c>
      <c r="M482" s="3" t="e">
        <f t="shared" si="9"/>
        <v>#N/A</v>
      </c>
      <c r="N482" s="3" t="e">
        <f t="shared" si="10"/>
        <v>#N/A</v>
      </c>
      <c r="O482" s="3" t="e">
        <f t="shared" si="11"/>
        <v>#N/A</v>
      </c>
    </row>
    <row r="483" spans="1:15" ht="14.25" customHeight="1">
      <c r="A483" s="2" t="s">
        <v>15</v>
      </c>
      <c r="B483" s="2">
        <v>1902</v>
      </c>
      <c r="C483" s="2" t="s">
        <v>20</v>
      </c>
      <c r="D483" s="4">
        <v>599983</v>
      </c>
      <c r="E483" s="4">
        <v>390821</v>
      </c>
      <c r="J483" s="3">
        <f t="shared" si="6"/>
        <v>30480.745783377362</v>
      </c>
      <c r="K483" s="3">
        <f t="shared" si="7"/>
        <v>390.82100000000003</v>
      </c>
      <c r="L483" s="3" t="e">
        <f t="shared" si="8"/>
        <v>#N/A</v>
      </c>
      <c r="M483" s="3" t="e">
        <f t="shared" si="9"/>
        <v>#N/A</v>
      </c>
      <c r="N483" s="3" t="e">
        <f t="shared" si="10"/>
        <v>#N/A</v>
      </c>
      <c r="O483" s="3" t="e">
        <f t="shared" si="11"/>
        <v>#N/A</v>
      </c>
    </row>
    <row r="484" spans="1:15" ht="14.25" customHeight="1">
      <c r="A484" s="2" t="s">
        <v>15</v>
      </c>
      <c r="B484" s="2">
        <v>1903</v>
      </c>
      <c r="C484" s="2" t="s">
        <v>20</v>
      </c>
      <c r="J484" s="3" t="e">
        <f t="shared" si="6"/>
        <v>#N/A</v>
      </c>
      <c r="K484" s="3" t="e">
        <f t="shared" si="7"/>
        <v>#N/A</v>
      </c>
      <c r="L484" s="3" t="e">
        <f t="shared" si="8"/>
        <v>#N/A</v>
      </c>
      <c r="M484" s="3" t="e">
        <f t="shared" si="9"/>
        <v>#N/A</v>
      </c>
      <c r="N484" s="3" t="e">
        <f t="shared" si="10"/>
        <v>#N/A</v>
      </c>
      <c r="O484" s="3" t="e">
        <f t="shared" si="11"/>
        <v>#N/A</v>
      </c>
    </row>
    <row r="485" spans="1:15" ht="14.25" customHeight="1">
      <c r="A485" s="2" t="s">
        <v>15</v>
      </c>
      <c r="B485" s="2">
        <v>1904</v>
      </c>
      <c r="C485" s="2" t="s">
        <v>20</v>
      </c>
      <c r="J485" s="3" t="e">
        <f t="shared" si="6"/>
        <v>#N/A</v>
      </c>
      <c r="K485" s="3" t="e">
        <f t="shared" si="7"/>
        <v>#N/A</v>
      </c>
      <c r="L485" s="3" t="e">
        <f t="shared" si="8"/>
        <v>#N/A</v>
      </c>
      <c r="M485" s="3" t="e">
        <f t="shared" si="9"/>
        <v>#N/A</v>
      </c>
      <c r="N485" s="3" t="e">
        <f t="shared" si="10"/>
        <v>#N/A</v>
      </c>
      <c r="O485" s="3" t="e">
        <f t="shared" si="11"/>
        <v>#N/A</v>
      </c>
    </row>
    <row r="486" spans="1:15" ht="14.25" customHeight="1">
      <c r="A486" s="2" t="s">
        <v>15</v>
      </c>
      <c r="B486" s="2">
        <v>1905</v>
      </c>
      <c r="C486" s="2" t="s">
        <v>20</v>
      </c>
      <c r="F486" s="2" t="s">
        <v>17</v>
      </c>
      <c r="G486" s="2" t="s">
        <v>17</v>
      </c>
      <c r="H486" s="2" t="s">
        <v>17</v>
      </c>
      <c r="I486" s="2" t="s">
        <v>17</v>
      </c>
      <c r="J486" s="3" t="e">
        <f t="shared" si="6"/>
        <v>#N/A</v>
      </c>
      <c r="K486" s="3" t="e">
        <f t="shared" si="7"/>
        <v>#N/A</v>
      </c>
      <c r="L486" s="3" t="e">
        <f t="shared" si="8"/>
        <v>#VALUE!</v>
      </c>
      <c r="M486" s="3" t="e">
        <f t="shared" si="9"/>
        <v>#VALUE!</v>
      </c>
      <c r="N486" s="3" t="e">
        <f t="shared" si="10"/>
        <v>#VALUE!</v>
      </c>
      <c r="O486" s="3" t="e">
        <f t="shared" si="11"/>
        <v>#VALUE!</v>
      </c>
    </row>
    <row r="487" spans="1:15" ht="14.25" customHeight="1">
      <c r="A487" s="2" t="s">
        <v>15</v>
      </c>
      <c r="B487" s="2">
        <v>1906</v>
      </c>
      <c r="C487" s="2" t="s">
        <v>20</v>
      </c>
      <c r="J487" s="3" t="e">
        <f t="shared" si="6"/>
        <v>#N/A</v>
      </c>
      <c r="K487" s="3" t="e">
        <f t="shared" si="7"/>
        <v>#N/A</v>
      </c>
      <c r="L487" s="3" t="e">
        <f t="shared" si="8"/>
        <v>#N/A</v>
      </c>
      <c r="M487" s="3" t="e">
        <f t="shared" si="9"/>
        <v>#N/A</v>
      </c>
      <c r="N487" s="3" t="e">
        <f t="shared" si="10"/>
        <v>#N/A</v>
      </c>
      <c r="O487" s="3" t="e">
        <f t="shared" si="11"/>
        <v>#N/A</v>
      </c>
    </row>
    <row r="488" spans="1:15" ht="14.25" customHeight="1">
      <c r="A488" s="2" t="s">
        <v>15</v>
      </c>
      <c r="B488" s="2">
        <v>1907</v>
      </c>
      <c r="C488" s="2" t="s">
        <v>20</v>
      </c>
      <c r="J488" s="3" t="e">
        <f t="shared" si="6"/>
        <v>#N/A</v>
      </c>
      <c r="K488" s="3" t="e">
        <f t="shared" si="7"/>
        <v>#N/A</v>
      </c>
      <c r="L488" s="3" t="e">
        <f t="shared" si="8"/>
        <v>#N/A</v>
      </c>
      <c r="M488" s="3" t="e">
        <f t="shared" si="9"/>
        <v>#N/A</v>
      </c>
      <c r="N488" s="3" t="e">
        <f t="shared" si="10"/>
        <v>#N/A</v>
      </c>
      <c r="O488" s="3" t="e">
        <f t="shared" si="11"/>
        <v>#N/A</v>
      </c>
    </row>
    <row r="489" spans="1:15" ht="14.25" customHeight="1">
      <c r="A489" s="2" t="s">
        <v>15</v>
      </c>
      <c r="B489" s="2">
        <v>1908</v>
      </c>
      <c r="C489" s="2" t="s">
        <v>20</v>
      </c>
      <c r="J489" s="3" t="e">
        <f t="shared" si="6"/>
        <v>#N/A</v>
      </c>
      <c r="K489" s="3" t="e">
        <f t="shared" si="7"/>
        <v>#N/A</v>
      </c>
      <c r="L489" s="3" t="e">
        <f t="shared" si="8"/>
        <v>#N/A</v>
      </c>
      <c r="M489" s="3" t="e">
        <f t="shared" si="9"/>
        <v>#N/A</v>
      </c>
      <c r="N489" s="3" t="e">
        <f t="shared" si="10"/>
        <v>#N/A</v>
      </c>
      <c r="O489" s="3" t="e">
        <f t="shared" si="11"/>
        <v>#N/A</v>
      </c>
    </row>
    <row r="490" spans="1:15" ht="14.25" customHeight="1">
      <c r="A490" s="2" t="s">
        <v>15</v>
      </c>
      <c r="B490" s="2">
        <v>1909</v>
      </c>
      <c r="C490" s="2" t="s">
        <v>20</v>
      </c>
      <c r="J490" s="3" t="e">
        <f t="shared" si="6"/>
        <v>#N/A</v>
      </c>
      <c r="K490" s="3" t="e">
        <f t="shared" si="7"/>
        <v>#N/A</v>
      </c>
      <c r="L490" s="3" t="e">
        <f t="shared" si="8"/>
        <v>#N/A</v>
      </c>
      <c r="M490" s="3" t="e">
        <f t="shared" si="9"/>
        <v>#N/A</v>
      </c>
      <c r="N490" s="3" t="e">
        <f t="shared" si="10"/>
        <v>#N/A</v>
      </c>
      <c r="O490" s="3" t="e">
        <f t="shared" si="11"/>
        <v>#N/A</v>
      </c>
    </row>
    <row r="491" spans="1:15" ht="14.25" customHeight="1">
      <c r="A491" s="2" t="s">
        <v>15</v>
      </c>
      <c r="B491" s="2">
        <v>1910</v>
      </c>
      <c r="C491" s="2" t="s">
        <v>20</v>
      </c>
      <c r="F491" s="2">
        <f>10113+172124</f>
        <v>182237</v>
      </c>
      <c r="G491" s="2">
        <f>13142+160508</f>
        <v>173650</v>
      </c>
      <c r="H491" s="2" t="s">
        <v>17</v>
      </c>
      <c r="I491" s="2" t="s">
        <v>17</v>
      </c>
      <c r="J491" s="3" t="e">
        <f t="shared" si="6"/>
        <v>#N/A</v>
      </c>
      <c r="K491" s="3" t="e">
        <f t="shared" si="7"/>
        <v>#N/A</v>
      </c>
      <c r="L491" s="3">
        <f t="shared" si="8"/>
        <v>9258.1284291810607</v>
      </c>
      <c r="M491" s="3">
        <f t="shared" si="9"/>
        <v>173.65</v>
      </c>
      <c r="N491" s="3" t="e">
        <f t="shared" si="10"/>
        <v>#VALUE!</v>
      </c>
      <c r="O491" s="3" t="e">
        <f t="shared" si="11"/>
        <v>#VALUE!</v>
      </c>
    </row>
    <row r="492" spans="1:15" ht="14.25" customHeight="1">
      <c r="A492" s="2" t="s">
        <v>15</v>
      </c>
      <c r="B492" s="2">
        <v>1911</v>
      </c>
      <c r="C492" s="2" t="s">
        <v>20</v>
      </c>
      <c r="D492" s="2">
        <v>421330</v>
      </c>
      <c r="J492" s="3">
        <f t="shared" si="6"/>
        <v>21404.69416785206</v>
      </c>
      <c r="K492" s="3" t="e">
        <f t="shared" si="7"/>
        <v>#N/A</v>
      </c>
      <c r="L492" s="3" t="e">
        <f t="shared" si="8"/>
        <v>#N/A</v>
      </c>
      <c r="M492" s="3" t="e">
        <f t="shared" si="9"/>
        <v>#N/A</v>
      </c>
      <c r="N492" s="3" t="e">
        <f t="shared" si="10"/>
        <v>#N/A</v>
      </c>
      <c r="O492" s="3" t="e">
        <f t="shared" si="11"/>
        <v>#N/A</v>
      </c>
    </row>
    <row r="493" spans="1:15" ht="14.25" customHeight="1">
      <c r="A493" s="2" t="s">
        <v>15</v>
      </c>
      <c r="B493" s="2">
        <v>1912</v>
      </c>
      <c r="C493" s="2" t="s">
        <v>20</v>
      </c>
      <c r="D493" s="2">
        <v>381253</v>
      </c>
      <c r="J493" s="3">
        <f t="shared" si="6"/>
        <v>19368.675066043485</v>
      </c>
      <c r="K493" s="3" t="e">
        <f t="shared" si="7"/>
        <v>#N/A</v>
      </c>
      <c r="L493" s="3" t="e">
        <f t="shared" si="8"/>
        <v>#N/A</v>
      </c>
      <c r="M493" s="3" t="e">
        <f t="shared" si="9"/>
        <v>#N/A</v>
      </c>
      <c r="N493" s="3" t="e">
        <f t="shared" si="10"/>
        <v>#N/A</v>
      </c>
      <c r="O493" s="3" t="e">
        <f t="shared" si="11"/>
        <v>#N/A</v>
      </c>
    </row>
    <row r="494" spans="1:15" ht="14.25" customHeight="1">
      <c r="A494" s="2" t="s">
        <v>15</v>
      </c>
      <c r="B494" s="2">
        <v>1913</v>
      </c>
      <c r="C494" s="2" t="s">
        <v>20</v>
      </c>
      <c r="D494" s="2">
        <v>419428</v>
      </c>
      <c r="J494" s="3">
        <f t="shared" si="6"/>
        <v>21308.067465962202</v>
      </c>
      <c r="K494" s="3" t="e">
        <f t="shared" si="7"/>
        <v>#N/A</v>
      </c>
      <c r="L494" s="3" t="e">
        <f t="shared" si="8"/>
        <v>#N/A</v>
      </c>
      <c r="M494" s="3" t="e">
        <f t="shared" si="9"/>
        <v>#N/A</v>
      </c>
      <c r="N494" s="3" t="e">
        <f t="shared" si="10"/>
        <v>#N/A</v>
      </c>
      <c r="O494" s="3" t="e">
        <f t="shared" si="11"/>
        <v>#N/A</v>
      </c>
    </row>
    <row r="495" spans="1:15" ht="14.25" customHeight="1">
      <c r="A495" s="2" t="s">
        <v>15</v>
      </c>
      <c r="B495" s="2">
        <v>1914</v>
      </c>
      <c r="C495" s="2" t="s">
        <v>20</v>
      </c>
      <c r="F495" s="2">
        <f>10288+125182</f>
        <v>135470</v>
      </c>
      <c r="G495" s="2">
        <f>12546+106158</f>
        <v>118704</v>
      </c>
      <c r="H495" s="2" t="s">
        <v>17</v>
      </c>
      <c r="I495" s="2" t="s">
        <v>17</v>
      </c>
      <c r="J495" s="3" t="e">
        <f t="shared" si="6"/>
        <v>#N/A</v>
      </c>
      <c r="K495" s="3" t="e">
        <f t="shared" si="7"/>
        <v>#N/A</v>
      </c>
      <c r="L495" s="3">
        <f t="shared" si="8"/>
        <v>6882.2393822393815</v>
      </c>
      <c r="M495" s="3">
        <f t="shared" si="9"/>
        <v>118.70399999999999</v>
      </c>
      <c r="N495" s="3" t="e">
        <f t="shared" si="10"/>
        <v>#VALUE!</v>
      </c>
      <c r="O495" s="3" t="e">
        <f t="shared" si="11"/>
        <v>#VALUE!</v>
      </c>
    </row>
    <row r="496" spans="1:15" ht="14.25" customHeight="1">
      <c r="A496" s="2" t="s">
        <v>15</v>
      </c>
      <c r="B496" s="2">
        <v>1915</v>
      </c>
      <c r="C496" s="2" t="s">
        <v>20</v>
      </c>
      <c r="F496" s="2">
        <f>28634+41193</f>
        <v>69827</v>
      </c>
      <c r="G496" s="2">
        <f>66832+47280</f>
        <v>114112</v>
      </c>
      <c r="H496" s="2" t="s">
        <v>17</v>
      </c>
      <c r="I496" s="2" t="s">
        <v>17</v>
      </c>
      <c r="J496" s="3" t="e">
        <f t="shared" si="6"/>
        <v>#N/A</v>
      </c>
      <c r="K496" s="3" t="e">
        <f t="shared" si="7"/>
        <v>#N/A</v>
      </c>
      <c r="L496" s="3">
        <f t="shared" si="8"/>
        <v>3547.3989026620602</v>
      </c>
      <c r="M496" s="3">
        <f t="shared" si="9"/>
        <v>114.11199999999999</v>
      </c>
      <c r="N496" s="3" t="e">
        <f t="shared" si="10"/>
        <v>#VALUE!</v>
      </c>
      <c r="O496" s="3" t="e">
        <f t="shared" si="11"/>
        <v>#VALUE!</v>
      </c>
    </row>
    <row r="497" spans="1:15" ht="14.25" customHeight="1">
      <c r="A497" s="2" t="s">
        <v>15</v>
      </c>
      <c r="B497" s="2">
        <v>1916</v>
      </c>
      <c r="C497" s="2" t="s">
        <v>20</v>
      </c>
      <c r="F497" s="2">
        <f>2512+58393</f>
        <v>60905</v>
      </c>
      <c r="G497" s="2">
        <f>4903+74049</f>
        <v>78952</v>
      </c>
      <c r="H497" s="2" t="s">
        <v>17</v>
      </c>
      <c r="I497" s="2" t="s">
        <v>17</v>
      </c>
      <c r="J497" s="3" t="e">
        <f t="shared" si="6"/>
        <v>#N/A</v>
      </c>
      <c r="K497" s="3" t="e">
        <f t="shared" si="7"/>
        <v>#N/A</v>
      </c>
      <c r="L497" s="3">
        <f t="shared" si="8"/>
        <v>3094.1373704531597</v>
      </c>
      <c r="M497" s="3">
        <f t="shared" si="9"/>
        <v>78.951999999999998</v>
      </c>
      <c r="N497" s="3" t="e">
        <f t="shared" si="10"/>
        <v>#VALUE!</v>
      </c>
      <c r="O497" s="3" t="e">
        <f t="shared" si="11"/>
        <v>#VALUE!</v>
      </c>
    </row>
    <row r="498" spans="1:15" ht="14.25" customHeight="1">
      <c r="A498" s="2" t="s">
        <v>15</v>
      </c>
      <c r="B498" s="2">
        <v>1917</v>
      </c>
      <c r="C498" s="2" t="s">
        <v>20</v>
      </c>
      <c r="F498" s="2">
        <f>69+70245</f>
        <v>70314</v>
      </c>
      <c r="G498" s="2">
        <f>149+170585</f>
        <v>170734</v>
      </c>
      <c r="H498" s="2" t="s">
        <v>17</v>
      </c>
      <c r="I498" s="2" t="s">
        <v>17</v>
      </c>
      <c r="J498" s="3" t="e">
        <f t="shared" si="6"/>
        <v>#N/A</v>
      </c>
      <c r="K498" s="3" t="e">
        <f t="shared" si="7"/>
        <v>#N/A</v>
      </c>
      <c r="L498" s="3">
        <f t="shared" si="8"/>
        <v>3572.139808981914</v>
      </c>
      <c r="M498" s="3">
        <f t="shared" si="9"/>
        <v>170.73400000000001</v>
      </c>
      <c r="N498" s="3" t="e">
        <f t="shared" si="10"/>
        <v>#VALUE!</v>
      </c>
      <c r="O498" s="3" t="e">
        <f t="shared" si="11"/>
        <v>#VALUE!</v>
      </c>
    </row>
    <row r="499" spans="1:15" ht="14.25" customHeight="1">
      <c r="A499" s="2" t="s">
        <v>15</v>
      </c>
      <c r="B499" s="2">
        <v>1918</v>
      </c>
      <c r="C499" s="2" t="s">
        <v>20</v>
      </c>
      <c r="F499" s="2">
        <f>13+93178</f>
        <v>93191</v>
      </c>
      <c r="G499" s="2">
        <f>23+289685</f>
        <v>289708</v>
      </c>
      <c r="H499" s="2" t="s">
        <v>17</v>
      </c>
      <c r="I499" s="2" t="s">
        <v>17</v>
      </c>
      <c r="J499" s="3" t="e">
        <f t="shared" si="6"/>
        <v>#N/A</v>
      </c>
      <c r="K499" s="3" t="e">
        <f t="shared" si="7"/>
        <v>#N/A</v>
      </c>
      <c r="L499" s="3">
        <f t="shared" si="8"/>
        <v>4734.3527738264575</v>
      </c>
      <c r="M499" s="3">
        <f t="shared" si="9"/>
        <v>289.70800000000003</v>
      </c>
      <c r="N499" s="3" t="e">
        <f t="shared" si="10"/>
        <v>#VALUE!</v>
      </c>
      <c r="O499" s="3" t="e">
        <f t="shared" si="11"/>
        <v>#VALUE!</v>
      </c>
    </row>
    <row r="500" spans="1:15" ht="14.25" customHeight="1">
      <c r="A500" s="2" t="s">
        <v>15</v>
      </c>
      <c r="B500" s="2">
        <v>1919</v>
      </c>
      <c r="C500" s="2" t="s">
        <v>20</v>
      </c>
      <c r="D500" s="2">
        <v>264561</v>
      </c>
      <c r="F500" s="2">
        <f>118+136192</f>
        <v>136310</v>
      </c>
      <c r="G500" s="2">
        <f>312+377205</f>
        <v>377517</v>
      </c>
      <c r="H500" s="2" t="s">
        <v>17</v>
      </c>
      <c r="I500" s="2" t="s">
        <v>17</v>
      </c>
      <c r="J500" s="3">
        <f t="shared" si="6"/>
        <v>13440.408453566348</v>
      </c>
      <c r="K500" s="3" t="e">
        <f t="shared" si="7"/>
        <v>#N/A</v>
      </c>
      <c r="L500" s="3">
        <f t="shared" si="8"/>
        <v>6924.9136354399507</v>
      </c>
      <c r="M500" s="3">
        <f t="shared" si="9"/>
        <v>377.517</v>
      </c>
      <c r="N500" s="3" t="e">
        <f t="shared" si="10"/>
        <v>#VALUE!</v>
      </c>
      <c r="O500" s="3" t="e">
        <f t="shared" si="11"/>
        <v>#VALUE!</v>
      </c>
    </row>
    <row r="501" spans="1:15" ht="14.25" customHeight="1">
      <c r="A501" s="2" t="s">
        <v>15</v>
      </c>
      <c r="B501" s="2">
        <v>1920</v>
      </c>
      <c r="C501" s="2" t="s">
        <v>20</v>
      </c>
      <c r="D501" s="2">
        <v>397435</v>
      </c>
      <c r="F501" s="2">
        <f>5477+112466</f>
        <v>117943</v>
      </c>
      <c r="G501" s="2">
        <f>8170+250760</f>
        <v>258930</v>
      </c>
      <c r="H501" s="2" t="s">
        <v>17</v>
      </c>
      <c r="I501" s="2" t="s">
        <v>17</v>
      </c>
      <c r="J501" s="3">
        <f t="shared" si="6"/>
        <v>20190.76407234302</v>
      </c>
      <c r="K501" s="3" t="e">
        <f t="shared" si="7"/>
        <v>#N/A</v>
      </c>
      <c r="L501" s="3">
        <f t="shared" si="8"/>
        <v>5991.8207681365575</v>
      </c>
      <c r="M501" s="3">
        <f t="shared" si="9"/>
        <v>258.93</v>
      </c>
      <c r="N501" s="3" t="e">
        <f t="shared" si="10"/>
        <v>#VALUE!</v>
      </c>
      <c r="O501" s="3" t="e">
        <f t="shared" si="11"/>
        <v>#VALUE!</v>
      </c>
    </row>
    <row r="502" spans="1:15" ht="14.25" customHeight="1">
      <c r="A502" s="2" t="s">
        <v>15</v>
      </c>
      <c r="B502" s="2">
        <v>1921</v>
      </c>
      <c r="C502" s="2" t="s">
        <v>20</v>
      </c>
      <c r="D502" s="2">
        <v>348836</v>
      </c>
      <c r="J502" s="3">
        <f t="shared" si="6"/>
        <v>17721.804511278195</v>
      </c>
      <c r="K502" s="3" t="e">
        <f t="shared" si="7"/>
        <v>#N/A</v>
      </c>
      <c r="L502" s="3" t="e">
        <f t="shared" si="8"/>
        <v>#N/A</v>
      </c>
      <c r="M502" s="3" t="e">
        <f t="shared" si="9"/>
        <v>#N/A</v>
      </c>
      <c r="N502" s="3" t="e">
        <f t="shared" si="10"/>
        <v>#N/A</v>
      </c>
      <c r="O502" s="3" t="e">
        <f t="shared" si="11"/>
        <v>#N/A</v>
      </c>
    </row>
    <row r="503" spans="1:15" ht="14.25" customHeight="1">
      <c r="A503" s="2" t="s">
        <v>15</v>
      </c>
      <c r="B503" s="2">
        <v>1922</v>
      </c>
      <c r="C503" s="2" t="s">
        <v>20</v>
      </c>
      <c r="D503" s="2">
        <v>312502</v>
      </c>
      <c r="J503" s="3">
        <f t="shared" si="6"/>
        <v>15875.939849624059</v>
      </c>
      <c r="K503" s="3" t="e">
        <f t="shared" si="7"/>
        <v>#N/A</v>
      </c>
      <c r="L503" s="3" t="e">
        <f t="shared" si="8"/>
        <v>#N/A</v>
      </c>
      <c r="M503" s="3" t="e">
        <f t="shared" si="9"/>
        <v>#N/A</v>
      </c>
      <c r="N503" s="3" t="e">
        <f t="shared" si="10"/>
        <v>#N/A</v>
      </c>
      <c r="O503" s="3" t="e">
        <f t="shared" si="11"/>
        <v>#N/A</v>
      </c>
    </row>
    <row r="504" spans="1:15" ht="14.25" customHeight="1">
      <c r="A504" s="2" t="s">
        <v>15</v>
      </c>
      <c r="B504" s="2">
        <v>1923</v>
      </c>
      <c r="C504" s="2" t="s">
        <v>20</v>
      </c>
      <c r="D504" s="2">
        <v>261753</v>
      </c>
      <c r="J504" s="3">
        <f t="shared" si="6"/>
        <v>13297.754521438732</v>
      </c>
      <c r="K504" s="3" t="e">
        <f t="shared" si="7"/>
        <v>#N/A</v>
      </c>
      <c r="L504" s="3" t="e">
        <f t="shared" si="8"/>
        <v>#N/A</v>
      </c>
      <c r="M504" s="3" t="e">
        <f t="shared" si="9"/>
        <v>#N/A</v>
      </c>
      <c r="N504" s="3" t="e">
        <f t="shared" si="10"/>
        <v>#N/A</v>
      </c>
      <c r="O504" s="3" t="e">
        <f t="shared" si="11"/>
        <v>#N/A</v>
      </c>
    </row>
    <row r="505" spans="1:15" ht="14.25" customHeight="1">
      <c r="A505" s="2" t="s">
        <v>15</v>
      </c>
      <c r="B505" s="2">
        <v>1924</v>
      </c>
      <c r="C505" s="2" t="s">
        <v>20</v>
      </c>
      <c r="D505" s="2">
        <v>245088</v>
      </c>
      <c r="J505" s="3">
        <f t="shared" si="6"/>
        <v>12451.127819548872</v>
      </c>
      <c r="K505" s="3" t="e">
        <f t="shared" si="7"/>
        <v>#N/A</v>
      </c>
      <c r="L505" s="3" t="e">
        <f t="shared" si="8"/>
        <v>#N/A</v>
      </c>
      <c r="M505" s="3" t="e">
        <f t="shared" si="9"/>
        <v>#N/A</v>
      </c>
      <c r="N505" s="3" t="e">
        <f t="shared" si="10"/>
        <v>#N/A</v>
      </c>
      <c r="O505" s="3" t="e">
        <f t="shared" si="11"/>
        <v>#N/A</v>
      </c>
    </row>
    <row r="506" spans="1:15" ht="14.25" customHeight="1">
      <c r="A506" s="2" t="s">
        <v>15</v>
      </c>
      <c r="B506" s="2">
        <v>1925</v>
      </c>
      <c r="C506" s="2" t="s">
        <v>20</v>
      </c>
      <c r="D506" s="2">
        <v>229614</v>
      </c>
      <c r="F506" s="2">
        <f>16785+22407</f>
        <v>39192</v>
      </c>
      <c r="G506" s="2">
        <f>23609+33177</f>
        <v>56786</v>
      </c>
      <c r="H506" s="2">
        <f>50068</f>
        <v>50068</v>
      </c>
      <c r="I506" s="2">
        <f>58806</f>
        <v>58806</v>
      </c>
      <c r="J506" s="3">
        <f t="shared" si="6"/>
        <v>11665.007112375533</v>
      </c>
      <c r="K506" s="3" t="e">
        <f t="shared" si="7"/>
        <v>#N/A</v>
      </c>
      <c r="L506" s="3">
        <f t="shared" si="8"/>
        <v>1991.058727900833</v>
      </c>
      <c r="M506" s="3">
        <f t="shared" si="9"/>
        <v>56.786000000000001</v>
      </c>
      <c r="N506" s="3">
        <f t="shared" si="10"/>
        <v>2543.5887014834384</v>
      </c>
      <c r="O506" s="3">
        <f t="shared" si="11"/>
        <v>58.805999999999997</v>
      </c>
    </row>
    <row r="507" spans="1:15" ht="14.25" customHeight="1">
      <c r="A507" s="2" t="s">
        <v>15</v>
      </c>
      <c r="B507" s="2">
        <v>1926</v>
      </c>
      <c r="C507" s="2" t="s">
        <v>20</v>
      </c>
      <c r="D507" s="2">
        <v>198670</v>
      </c>
      <c r="J507" s="3">
        <f t="shared" si="6"/>
        <v>10092.968908758381</v>
      </c>
      <c r="K507" s="3" t="e">
        <f t="shared" si="7"/>
        <v>#N/A</v>
      </c>
      <c r="L507" s="3" t="e">
        <f t="shared" si="8"/>
        <v>#N/A</v>
      </c>
      <c r="M507" s="3" t="e">
        <f t="shared" si="9"/>
        <v>#N/A</v>
      </c>
      <c r="N507" s="3" t="e">
        <f t="shared" si="10"/>
        <v>#N/A</v>
      </c>
      <c r="O507" s="3" t="e">
        <f t="shared" si="11"/>
        <v>#N/A</v>
      </c>
    </row>
    <row r="508" spans="1:15" ht="14.25" customHeight="1">
      <c r="A508" s="2" t="s">
        <v>15</v>
      </c>
      <c r="B508" s="2">
        <v>1927</v>
      </c>
      <c r="C508" s="2" t="s">
        <v>20</v>
      </c>
      <c r="D508" s="2">
        <v>186175</v>
      </c>
      <c r="J508" s="3">
        <f t="shared" si="6"/>
        <v>9458.1893923999178</v>
      </c>
      <c r="K508" s="3" t="e">
        <f t="shared" si="7"/>
        <v>#N/A</v>
      </c>
      <c r="L508" s="3" t="e">
        <f t="shared" si="8"/>
        <v>#N/A</v>
      </c>
      <c r="M508" s="3" t="e">
        <f t="shared" si="9"/>
        <v>#N/A</v>
      </c>
      <c r="N508" s="3" t="e">
        <f t="shared" si="10"/>
        <v>#N/A</v>
      </c>
      <c r="O508" s="3" t="e">
        <f t="shared" si="11"/>
        <v>#N/A</v>
      </c>
    </row>
    <row r="509" spans="1:15" ht="14.25" customHeight="1">
      <c r="A509" s="2" t="s">
        <v>15</v>
      </c>
      <c r="B509" s="2">
        <v>1928</v>
      </c>
      <c r="C509" s="2" t="s">
        <v>20</v>
      </c>
      <c r="D509" s="2">
        <v>171998</v>
      </c>
      <c r="J509" s="3">
        <f t="shared" si="6"/>
        <v>8737.9597642755525</v>
      </c>
      <c r="K509" s="3" t="e">
        <f t="shared" si="7"/>
        <v>#N/A</v>
      </c>
      <c r="L509" s="3" t="e">
        <f t="shared" si="8"/>
        <v>#N/A</v>
      </c>
      <c r="M509" s="3" t="e">
        <f t="shared" si="9"/>
        <v>#N/A</v>
      </c>
      <c r="N509" s="3" t="e">
        <f t="shared" si="10"/>
        <v>#N/A</v>
      </c>
      <c r="O509" s="3" t="e">
        <f t="shared" si="11"/>
        <v>#N/A</v>
      </c>
    </row>
    <row r="510" spans="1:15" ht="14.25" customHeight="1">
      <c r="A510" s="2" t="s">
        <v>15</v>
      </c>
      <c r="B510" s="2">
        <v>1929</v>
      </c>
      <c r="C510" s="2" t="s">
        <v>20</v>
      </c>
      <c r="D510" s="2">
        <v>189015</v>
      </c>
      <c r="J510" s="3">
        <f t="shared" si="6"/>
        <v>9602.4690103637458</v>
      </c>
      <c r="K510" s="3" t="e">
        <f t="shared" si="7"/>
        <v>#N/A</v>
      </c>
      <c r="L510" s="3" t="e">
        <f t="shared" si="8"/>
        <v>#N/A</v>
      </c>
      <c r="M510" s="3" t="e">
        <f t="shared" si="9"/>
        <v>#N/A</v>
      </c>
      <c r="N510" s="3" t="e">
        <f t="shared" si="10"/>
        <v>#N/A</v>
      </c>
      <c r="O510" s="3" t="e">
        <f t="shared" si="11"/>
        <v>#N/A</v>
      </c>
    </row>
    <row r="511" spans="1:15" ht="14.25" customHeight="1">
      <c r="A511" s="2" t="s">
        <v>15</v>
      </c>
      <c r="B511" s="2">
        <v>1930</v>
      </c>
      <c r="C511" s="2" t="s">
        <v>20</v>
      </c>
      <c r="D511" s="2">
        <v>173175</v>
      </c>
      <c r="F511" s="2">
        <f>5843+8517</f>
        <v>14360</v>
      </c>
      <c r="G511" s="2">
        <f>9543+5765</f>
        <v>15308</v>
      </c>
      <c r="H511" s="2">
        <v>37633</v>
      </c>
      <c r="I511" s="2">
        <v>38516</v>
      </c>
      <c r="J511" s="3">
        <f t="shared" si="6"/>
        <v>8797.7545214387319</v>
      </c>
      <c r="K511" s="3" t="e">
        <f t="shared" si="7"/>
        <v>#N/A</v>
      </c>
      <c r="L511" s="3">
        <f t="shared" si="8"/>
        <v>729.52651900020317</v>
      </c>
      <c r="M511" s="3">
        <f t="shared" si="9"/>
        <v>15.308</v>
      </c>
      <c r="N511" s="3">
        <f t="shared" si="10"/>
        <v>1911.8573460678722</v>
      </c>
      <c r="O511" s="3">
        <f t="shared" si="11"/>
        <v>38.515999999999998</v>
      </c>
    </row>
    <row r="512" spans="1:15" ht="14.25" customHeight="1">
      <c r="A512" s="2" t="s">
        <v>15</v>
      </c>
      <c r="B512" s="2">
        <v>1931</v>
      </c>
      <c r="C512" s="2" t="s">
        <v>20</v>
      </c>
      <c r="D512" s="2">
        <v>203325</v>
      </c>
      <c r="J512" s="3">
        <f t="shared" ref="J512:J740" si="13">IF(D512="", NA(), D512/19.684)</f>
        <v>10329.455395244868</v>
      </c>
      <c r="K512" s="3" t="e">
        <f t="shared" ref="K512:K740" si="14">IF(E512="", NA(), E512/1000)</f>
        <v>#N/A</v>
      </c>
      <c r="L512" s="3" t="e">
        <f t="shared" ref="L512:L740" si="15">IF(F512="", NA(), F512/19.684)</f>
        <v>#N/A</v>
      </c>
      <c r="M512" s="3" t="e">
        <f t="shared" ref="M512:M740" si="16">IF(G512="", NA(), G512/1000)</f>
        <v>#N/A</v>
      </c>
      <c r="N512" s="3" t="e">
        <f t="shared" ref="N512:N740" si="17">IF(H512="", NA(), H512/19.684)</f>
        <v>#N/A</v>
      </c>
      <c r="O512" s="3" t="e">
        <f t="shared" ref="O512:O740" si="18">IF(I512="", NA(), I512/1000)</f>
        <v>#N/A</v>
      </c>
    </row>
    <row r="513" spans="1:15" ht="14.25" customHeight="1">
      <c r="A513" s="2" t="s">
        <v>15</v>
      </c>
      <c r="B513" s="2">
        <v>1932</v>
      </c>
      <c r="C513" s="2" t="s">
        <v>20</v>
      </c>
      <c r="D513" s="2">
        <v>186383</v>
      </c>
      <c r="J513" s="3">
        <f t="shared" si="13"/>
        <v>9468.7563503352976</v>
      </c>
      <c r="K513" s="3" t="e">
        <f t="shared" si="14"/>
        <v>#N/A</v>
      </c>
      <c r="L513" s="3" t="e">
        <f t="shared" si="15"/>
        <v>#N/A</v>
      </c>
      <c r="M513" s="3" t="e">
        <f t="shared" si="16"/>
        <v>#N/A</v>
      </c>
      <c r="N513" s="3" t="e">
        <f t="shared" si="17"/>
        <v>#N/A</v>
      </c>
      <c r="O513" s="3" t="e">
        <f t="shared" si="18"/>
        <v>#N/A</v>
      </c>
    </row>
    <row r="514" spans="1:15" ht="14.25" customHeight="1">
      <c r="A514" s="2" t="s">
        <v>15</v>
      </c>
      <c r="B514" s="2">
        <v>1933</v>
      </c>
      <c r="C514" s="2" t="s">
        <v>20</v>
      </c>
      <c r="D514" s="2">
        <v>216350</v>
      </c>
      <c r="J514" s="3">
        <f t="shared" si="13"/>
        <v>10991.160333265596</v>
      </c>
      <c r="K514" s="3" t="e">
        <f t="shared" si="14"/>
        <v>#N/A</v>
      </c>
      <c r="L514" s="3" t="e">
        <f t="shared" si="15"/>
        <v>#N/A</v>
      </c>
      <c r="M514" s="3" t="e">
        <f t="shared" si="16"/>
        <v>#N/A</v>
      </c>
      <c r="N514" s="3" t="e">
        <f t="shared" si="17"/>
        <v>#N/A</v>
      </c>
      <c r="O514" s="3" t="e">
        <f t="shared" si="18"/>
        <v>#N/A</v>
      </c>
    </row>
    <row r="515" spans="1:15" ht="14.25" customHeight="1">
      <c r="A515" s="2" t="s">
        <v>15</v>
      </c>
      <c r="B515" s="2">
        <v>1934</v>
      </c>
      <c r="C515" s="2" t="s">
        <v>20</v>
      </c>
      <c r="D515" s="2">
        <v>219175</v>
      </c>
      <c r="J515" s="3">
        <f t="shared" si="13"/>
        <v>11134.6779109937</v>
      </c>
      <c r="K515" s="3" t="e">
        <f t="shared" si="14"/>
        <v>#N/A</v>
      </c>
      <c r="L515" s="3" t="e">
        <f t="shared" si="15"/>
        <v>#N/A</v>
      </c>
      <c r="M515" s="3" t="e">
        <f t="shared" si="16"/>
        <v>#N/A</v>
      </c>
      <c r="N515" s="3" t="e">
        <f t="shared" si="17"/>
        <v>#N/A</v>
      </c>
      <c r="O515" s="3" t="e">
        <f t="shared" si="18"/>
        <v>#N/A</v>
      </c>
    </row>
    <row r="516" spans="1:15" ht="14.25" customHeight="1">
      <c r="A516" s="2" t="s">
        <v>15</v>
      </c>
      <c r="B516" s="2">
        <v>1935</v>
      </c>
      <c r="C516" s="2" t="s">
        <v>20</v>
      </c>
      <c r="D516" s="2">
        <v>228685</v>
      </c>
      <c r="F516" s="2">
        <v>4961</v>
      </c>
      <c r="G516" s="2">
        <v>6469</v>
      </c>
      <c r="H516" s="2">
        <v>11607</v>
      </c>
      <c r="I516" s="2">
        <v>8768</v>
      </c>
      <c r="J516" s="3">
        <f t="shared" si="13"/>
        <v>11617.811420442998</v>
      </c>
      <c r="K516" s="3" t="e">
        <f t="shared" si="14"/>
        <v>#N/A</v>
      </c>
      <c r="L516" s="3">
        <f t="shared" si="15"/>
        <v>252.03210729526518</v>
      </c>
      <c r="M516" s="3">
        <f t="shared" si="16"/>
        <v>6.4690000000000003</v>
      </c>
      <c r="N516" s="3">
        <f t="shared" si="17"/>
        <v>589.66673440357647</v>
      </c>
      <c r="O516" s="3">
        <f t="shared" si="18"/>
        <v>8.7680000000000007</v>
      </c>
    </row>
    <row r="517" spans="1:15" ht="14.25" customHeight="1">
      <c r="A517" s="2" t="s">
        <v>15</v>
      </c>
      <c r="B517" s="2">
        <v>1936</v>
      </c>
      <c r="C517" s="2" t="s">
        <v>20</v>
      </c>
      <c r="D517" s="2">
        <v>248716</v>
      </c>
      <c r="J517" s="3">
        <f t="shared" si="13"/>
        <v>12635.439951229424</v>
      </c>
      <c r="K517" s="3" t="e">
        <f t="shared" si="14"/>
        <v>#N/A</v>
      </c>
      <c r="L517" s="3" t="e">
        <f t="shared" si="15"/>
        <v>#N/A</v>
      </c>
      <c r="M517" s="3" t="e">
        <f t="shared" si="16"/>
        <v>#N/A</v>
      </c>
      <c r="N517" s="3" t="e">
        <f t="shared" si="17"/>
        <v>#N/A</v>
      </c>
      <c r="O517" s="3" t="e">
        <f t="shared" si="18"/>
        <v>#N/A</v>
      </c>
    </row>
    <row r="518" spans="1:15" ht="14.25" customHeight="1">
      <c r="A518" s="2" t="s">
        <v>15</v>
      </c>
      <c r="B518" s="2">
        <v>1937</v>
      </c>
      <c r="C518" s="2" t="s">
        <v>20</v>
      </c>
      <c r="D518" s="2">
        <v>179287</v>
      </c>
      <c r="J518" s="3">
        <f t="shared" si="13"/>
        <v>9108.2605161552528</v>
      </c>
      <c r="K518" s="3" t="e">
        <f t="shared" si="14"/>
        <v>#N/A</v>
      </c>
      <c r="L518" s="3" t="e">
        <f t="shared" si="15"/>
        <v>#N/A</v>
      </c>
      <c r="M518" s="3" t="e">
        <f t="shared" si="16"/>
        <v>#N/A</v>
      </c>
      <c r="N518" s="3" t="e">
        <f t="shared" si="17"/>
        <v>#N/A</v>
      </c>
      <c r="O518" s="3" t="e">
        <f t="shared" si="18"/>
        <v>#N/A</v>
      </c>
    </row>
    <row r="519" spans="1:15" ht="14.25" customHeight="1">
      <c r="A519" s="2" t="s">
        <v>15</v>
      </c>
      <c r="B519" s="2">
        <v>1938</v>
      </c>
      <c r="C519" s="2" t="s">
        <v>20</v>
      </c>
      <c r="D519" s="2">
        <v>201145</v>
      </c>
      <c r="J519" s="3">
        <f t="shared" si="13"/>
        <v>10218.705547652915</v>
      </c>
      <c r="K519" s="3" t="e">
        <f t="shared" si="14"/>
        <v>#N/A</v>
      </c>
      <c r="L519" s="3" t="e">
        <f t="shared" si="15"/>
        <v>#N/A</v>
      </c>
      <c r="M519" s="3" t="e">
        <f t="shared" si="16"/>
        <v>#N/A</v>
      </c>
      <c r="N519" s="3" t="e">
        <f t="shared" si="17"/>
        <v>#N/A</v>
      </c>
      <c r="O519" s="3" t="e">
        <f t="shared" si="18"/>
        <v>#N/A</v>
      </c>
    </row>
    <row r="520" spans="1:15" ht="14.25" customHeight="1">
      <c r="A520" s="2" t="s">
        <v>15</v>
      </c>
      <c r="B520" s="2">
        <v>1939</v>
      </c>
      <c r="C520" s="2" t="s">
        <v>20</v>
      </c>
      <c r="D520" s="2">
        <v>132907</v>
      </c>
      <c r="J520" s="3">
        <f t="shared" si="13"/>
        <v>6752.0321072952647</v>
      </c>
      <c r="K520" s="3" t="e">
        <f t="shared" si="14"/>
        <v>#N/A</v>
      </c>
      <c r="L520" s="3" t="e">
        <f t="shared" si="15"/>
        <v>#N/A</v>
      </c>
      <c r="M520" s="3" t="e">
        <f t="shared" si="16"/>
        <v>#N/A</v>
      </c>
      <c r="N520" s="3" t="e">
        <f t="shared" si="17"/>
        <v>#N/A</v>
      </c>
      <c r="O520" s="3" t="e">
        <f t="shared" si="18"/>
        <v>#N/A</v>
      </c>
    </row>
    <row r="521" spans="1:15" ht="14.25" customHeight="1">
      <c r="A521" s="2" t="s">
        <v>15</v>
      </c>
      <c r="B521" s="2">
        <v>1940</v>
      </c>
      <c r="C521" s="2" t="s">
        <v>20</v>
      </c>
      <c r="D521" s="2">
        <v>125040</v>
      </c>
      <c r="F521" s="2" t="s">
        <v>17</v>
      </c>
      <c r="G521" s="2" t="s">
        <v>17</v>
      </c>
      <c r="H521" s="2" t="s">
        <v>17</v>
      </c>
      <c r="I521" s="2" t="s">
        <v>17</v>
      </c>
      <c r="J521" s="3">
        <f t="shared" si="13"/>
        <v>6352.3674049989841</v>
      </c>
      <c r="K521" s="3" t="e">
        <f t="shared" si="14"/>
        <v>#N/A</v>
      </c>
      <c r="L521" s="3" t="e">
        <f t="shared" si="15"/>
        <v>#VALUE!</v>
      </c>
      <c r="M521" s="3" t="e">
        <f t="shared" si="16"/>
        <v>#VALUE!</v>
      </c>
      <c r="N521" s="3" t="e">
        <f t="shared" si="17"/>
        <v>#VALUE!</v>
      </c>
      <c r="O521" s="3" t="e">
        <f t="shared" si="18"/>
        <v>#VALUE!</v>
      </c>
    </row>
    <row r="522" spans="1:15" ht="14.25" customHeight="1">
      <c r="A522" s="2" t="s">
        <v>15</v>
      </c>
      <c r="B522" s="2">
        <v>1941</v>
      </c>
      <c r="C522" s="2" t="s">
        <v>20</v>
      </c>
      <c r="D522" s="2">
        <v>72677</v>
      </c>
      <c r="J522" s="3">
        <f t="shared" si="13"/>
        <v>3692.1865474497054</v>
      </c>
      <c r="K522" s="3" t="e">
        <f t="shared" si="14"/>
        <v>#N/A</v>
      </c>
      <c r="L522" s="3" t="e">
        <f t="shared" si="15"/>
        <v>#N/A</v>
      </c>
      <c r="M522" s="3" t="e">
        <f t="shared" si="16"/>
        <v>#N/A</v>
      </c>
      <c r="N522" s="3" t="e">
        <f t="shared" si="17"/>
        <v>#N/A</v>
      </c>
      <c r="O522" s="3" t="e">
        <f t="shared" si="18"/>
        <v>#N/A</v>
      </c>
    </row>
    <row r="523" spans="1:15" ht="14.25" customHeight="1">
      <c r="A523" s="2" t="s">
        <v>15</v>
      </c>
      <c r="B523" s="2">
        <v>1942</v>
      </c>
      <c r="C523" s="2" t="s">
        <v>20</v>
      </c>
      <c r="D523" s="2">
        <v>83145</v>
      </c>
      <c r="F523" s="2" t="s">
        <v>17</v>
      </c>
      <c r="G523" s="2" t="s">
        <v>17</v>
      </c>
      <c r="H523" s="2" t="s">
        <v>17</v>
      </c>
      <c r="I523" s="2" t="s">
        <v>17</v>
      </c>
      <c r="J523" s="3">
        <f t="shared" si="13"/>
        <v>4223.9890266206057</v>
      </c>
      <c r="K523" s="3" t="e">
        <f t="shared" si="14"/>
        <v>#N/A</v>
      </c>
      <c r="L523" s="3" t="e">
        <f t="shared" si="15"/>
        <v>#VALUE!</v>
      </c>
      <c r="M523" s="3" t="e">
        <f t="shared" si="16"/>
        <v>#VALUE!</v>
      </c>
      <c r="N523" s="3" t="e">
        <f t="shared" si="17"/>
        <v>#VALUE!</v>
      </c>
      <c r="O523" s="3" t="e">
        <f t="shared" si="18"/>
        <v>#VALUE!</v>
      </c>
    </row>
    <row r="524" spans="1:15" ht="14.25" customHeight="1">
      <c r="A524" s="2" t="s">
        <v>15</v>
      </c>
      <c r="B524" s="2">
        <v>1943</v>
      </c>
      <c r="C524" s="2" t="s">
        <v>20</v>
      </c>
      <c r="D524" s="2">
        <v>46163</v>
      </c>
      <c r="J524" s="3">
        <f t="shared" si="13"/>
        <v>2345.2042267831739</v>
      </c>
      <c r="K524" s="3" t="e">
        <f t="shared" si="14"/>
        <v>#N/A</v>
      </c>
      <c r="L524" s="3" t="e">
        <f t="shared" si="15"/>
        <v>#N/A</v>
      </c>
      <c r="M524" s="3" t="e">
        <f t="shared" si="16"/>
        <v>#N/A</v>
      </c>
      <c r="N524" s="3" t="e">
        <f t="shared" si="17"/>
        <v>#N/A</v>
      </c>
      <c r="O524" s="3" t="e">
        <f t="shared" si="18"/>
        <v>#N/A</v>
      </c>
    </row>
    <row r="525" spans="1:15" ht="14.25" customHeight="1">
      <c r="A525" s="2" t="s">
        <v>15</v>
      </c>
      <c r="B525" s="2">
        <v>1944</v>
      </c>
      <c r="C525" s="2" t="s">
        <v>20</v>
      </c>
      <c r="D525" s="2">
        <v>71832</v>
      </c>
      <c r="F525" s="2" t="s">
        <v>17</v>
      </c>
      <c r="G525" s="2" t="s">
        <v>17</v>
      </c>
      <c r="H525" s="2" t="s">
        <v>17</v>
      </c>
      <c r="I525" s="2" t="s">
        <v>17</v>
      </c>
      <c r="J525" s="3">
        <f t="shared" si="13"/>
        <v>3649.2582808372281</v>
      </c>
      <c r="K525" s="3" t="e">
        <f t="shared" si="14"/>
        <v>#N/A</v>
      </c>
      <c r="L525" s="3" t="e">
        <f t="shared" si="15"/>
        <v>#VALUE!</v>
      </c>
      <c r="M525" s="3" t="e">
        <f t="shared" si="16"/>
        <v>#VALUE!</v>
      </c>
      <c r="N525" s="3" t="e">
        <f t="shared" si="17"/>
        <v>#VALUE!</v>
      </c>
      <c r="O525" s="3" t="e">
        <f t="shared" si="18"/>
        <v>#VALUE!</v>
      </c>
    </row>
    <row r="526" spans="1:15" ht="14.25" customHeight="1">
      <c r="A526" s="2" t="s">
        <v>15</v>
      </c>
      <c r="B526" s="2">
        <v>1945</v>
      </c>
      <c r="C526" s="2" t="s">
        <v>20</v>
      </c>
      <c r="D526" s="2">
        <v>73024</v>
      </c>
      <c r="J526" s="3">
        <f t="shared" si="13"/>
        <v>3709.8150782361308</v>
      </c>
      <c r="K526" s="3" t="e">
        <f t="shared" si="14"/>
        <v>#N/A</v>
      </c>
      <c r="L526" s="3" t="e">
        <f t="shared" si="15"/>
        <v>#N/A</v>
      </c>
      <c r="M526" s="3" t="e">
        <f t="shared" si="16"/>
        <v>#N/A</v>
      </c>
      <c r="N526" s="3" t="e">
        <f t="shared" si="17"/>
        <v>#N/A</v>
      </c>
      <c r="O526" s="3" t="e">
        <f t="shared" si="18"/>
        <v>#N/A</v>
      </c>
    </row>
    <row r="527" spans="1:15" ht="14.25" customHeight="1">
      <c r="A527" s="2" t="s">
        <v>15</v>
      </c>
      <c r="B527" s="2">
        <v>1946</v>
      </c>
      <c r="C527" s="2" t="s">
        <v>20</v>
      </c>
      <c r="D527" s="2">
        <v>62423</v>
      </c>
      <c r="F527" s="2" t="s">
        <v>17</v>
      </c>
      <c r="G527" s="2" t="s">
        <v>17</v>
      </c>
      <c r="H527" s="2" t="s">
        <v>17</v>
      </c>
      <c r="I527" s="2" t="s">
        <v>17</v>
      </c>
      <c r="J527" s="3">
        <f t="shared" si="13"/>
        <v>3171.2558423084738</v>
      </c>
      <c r="K527" s="3" t="e">
        <f t="shared" si="14"/>
        <v>#N/A</v>
      </c>
      <c r="L527" s="3" t="e">
        <f t="shared" si="15"/>
        <v>#VALUE!</v>
      </c>
      <c r="M527" s="3" t="e">
        <f t="shared" si="16"/>
        <v>#VALUE!</v>
      </c>
      <c r="N527" s="3" t="e">
        <f t="shared" si="17"/>
        <v>#VALUE!</v>
      </c>
      <c r="O527" s="3" t="e">
        <f t="shared" si="18"/>
        <v>#VALUE!</v>
      </c>
    </row>
    <row r="528" spans="1:15" ht="14.25" customHeight="1">
      <c r="A528" s="2" t="s">
        <v>15</v>
      </c>
      <c r="B528" s="2">
        <v>1947</v>
      </c>
      <c r="C528" s="2" t="s">
        <v>20</v>
      </c>
      <c r="D528" s="2">
        <v>71513</v>
      </c>
      <c r="J528" s="3">
        <f t="shared" si="13"/>
        <v>3633.052225157488</v>
      </c>
      <c r="K528" s="3" t="e">
        <f t="shared" si="14"/>
        <v>#N/A</v>
      </c>
      <c r="L528" s="3" t="e">
        <f t="shared" si="15"/>
        <v>#N/A</v>
      </c>
      <c r="M528" s="3" t="e">
        <f t="shared" si="16"/>
        <v>#N/A</v>
      </c>
      <c r="N528" s="3" t="e">
        <f t="shared" si="17"/>
        <v>#N/A</v>
      </c>
      <c r="O528" s="3" t="e">
        <f t="shared" si="18"/>
        <v>#N/A</v>
      </c>
    </row>
    <row r="529" spans="1:15" ht="14.25" customHeight="1">
      <c r="A529" s="2" t="s">
        <v>15</v>
      </c>
      <c r="B529" s="2">
        <v>1948</v>
      </c>
      <c r="C529" s="2" t="s">
        <v>20</v>
      </c>
      <c r="D529" s="2">
        <v>160459</v>
      </c>
      <c r="J529" s="3">
        <f t="shared" si="13"/>
        <v>8151.7476122739272</v>
      </c>
      <c r="K529" s="3" t="e">
        <f t="shared" si="14"/>
        <v>#N/A</v>
      </c>
      <c r="L529" s="3" t="e">
        <f t="shared" si="15"/>
        <v>#N/A</v>
      </c>
      <c r="M529" s="3" t="e">
        <f t="shared" si="16"/>
        <v>#N/A</v>
      </c>
      <c r="N529" s="3" t="e">
        <f t="shared" si="17"/>
        <v>#N/A</v>
      </c>
      <c r="O529" s="3" t="e">
        <f t="shared" si="18"/>
        <v>#N/A</v>
      </c>
    </row>
    <row r="530" spans="1:15" ht="14.25" customHeight="1">
      <c r="A530" s="2" t="s">
        <v>15</v>
      </c>
      <c r="B530" s="2">
        <v>1949</v>
      </c>
      <c r="C530" s="2" t="s">
        <v>20</v>
      </c>
      <c r="D530" s="2">
        <v>134952</v>
      </c>
      <c r="J530" s="3">
        <f t="shared" si="13"/>
        <v>6855.9235927656973</v>
      </c>
      <c r="K530" s="3" t="e">
        <f t="shared" si="14"/>
        <v>#N/A</v>
      </c>
      <c r="L530" s="3" t="e">
        <f t="shared" si="15"/>
        <v>#N/A</v>
      </c>
      <c r="M530" s="3" t="e">
        <f t="shared" si="16"/>
        <v>#N/A</v>
      </c>
      <c r="N530" s="3" t="e">
        <f t="shared" si="17"/>
        <v>#N/A</v>
      </c>
      <c r="O530" s="3" t="e">
        <f t="shared" si="18"/>
        <v>#N/A</v>
      </c>
    </row>
    <row r="531" spans="1:15" ht="14.25" customHeight="1">
      <c r="A531" s="2" t="s">
        <v>15</v>
      </c>
      <c r="B531" s="2">
        <v>1950</v>
      </c>
      <c r="C531" s="2" t="s">
        <v>20</v>
      </c>
      <c r="D531" s="2">
        <v>81754</v>
      </c>
      <c r="F531" s="2" t="s">
        <v>17</v>
      </c>
      <c r="G531" s="2" t="s">
        <v>17</v>
      </c>
      <c r="H531" s="2" t="s">
        <v>17</v>
      </c>
      <c r="I531" s="2" t="s">
        <v>17</v>
      </c>
      <c r="J531" s="3">
        <f t="shared" si="13"/>
        <v>4153.3224954277584</v>
      </c>
      <c r="K531" s="3" t="e">
        <f t="shared" si="14"/>
        <v>#N/A</v>
      </c>
      <c r="L531" s="3" t="e">
        <f t="shared" si="15"/>
        <v>#VALUE!</v>
      </c>
      <c r="M531" s="3" t="e">
        <f t="shared" si="16"/>
        <v>#VALUE!</v>
      </c>
      <c r="N531" s="3" t="e">
        <f t="shared" si="17"/>
        <v>#VALUE!</v>
      </c>
      <c r="O531" s="3" t="e">
        <f t="shared" si="18"/>
        <v>#VALUE!</v>
      </c>
    </row>
    <row r="532" spans="1:15" ht="14.25" customHeight="1">
      <c r="A532" s="2" t="s">
        <v>15</v>
      </c>
      <c r="B532" s="2">
        <v>1951</v>
      </c>
      <c r="C532" s="2" t="s">
        <v>20</v>
      </c>
      <c r="D532" s="2">
        <v>124313</v>
      </c>
      <c r="J532" s="3">
        <f t="shared" si="13"/>
        <v>6315.4338549075392</v>
      </c>
      <c r="K532" s="3" t="e">
        <f t="shared" si="14"/>
        <v>#N/A</v>
      </c>
      <c r="L532" s="3" t="e">
        <f t="shared" si="15"/>
        <v>#N/A</v>
      </c>
      <c r="M532" s="3" t="e">
        <f t="shared" si="16"/>
        <v>#N/A</v>
      </c>
      <c r="N532" s="3" t="e">
        <f t="shared" si="17"/>
        <v>#N/A</v>
      </c>
      <c r="O532" s="3" t="e">
        <f t="shared" si="18"/>
        <v>#N/A</v>
      </c>
    </row>
    <row r="533" spans="1:15" ht="14.25" customHeight="1">
      <c r="A533" s="2" t="s">
        <v>15</v>
      </c>
      <c r="B533" s="2">
        <v>1952</v>
      </c>
      <c r="C533" s="2" t="s">
        <v>20</v>
      </c>
      <c r="D533" s="2">
        <v>130508</v>
      </c>
      <c r="J533" s="3">
        <f t="shared" si="13"/>
        <v>6630.156472261735</v>
      </c>
      <c r="K533" s="3" t="e">
        <f t="shared" si="14"/>
        <v>#N/A</v>
      </c>
      <c r="L533" s="3" t="e">
        <f t="shared" si="15"/>
        <v>#N/A</v>
      </c>
      <c r="M533" s="3" t="e">
        <f t="shared" si="16"/>
        <v>#N/A</v>
      </c>
      <c r="N533" s="3" t="e">
        <f t="shared" si="17"/>
        <v>#N/A</v>
      </c>
      <c r="O533" s="3" t="e">
        <f t="shared" si="18"/>
        <v>#N/A</v>
      </c>
    </row>
    <row r="534" spans="1:15" ht="14.25" customHeight="1">
      <c r="A534" s="2" t="s">
        <v>15</v>
      </c>
      <c r="B534" s="2">
        <v>1953</v>
      </c>
      <c r="C534" s="2" t="s">
        <v>20</v>
      </c>
      <c r="D534" s="2">
        <v>88731</v>
      </c>
      <c r="J534" s="3">
        <f t="shared" si="13"/>
        <v>4507.772810404389</v>
      </c>
      <c r="K534" s="3" t="e">
        <f t="shared" si="14"/>
        <v>#N/A</v>
      </c>
      <c r="L534" s="3" t="e">
        <f t="shared" si="15"/>
        <v>#N/A</v>
      </c>
      <c r="M534" s="3" t="e">
        <f t="shared" si="16"/>
        <v>#N/A</v>
      </c>
      <c r="N534" s="3" t="e">
        <f t="shared" si="17"/>
        <v>#N/A</v>
      </c>
      <c r="O534" s="3" t="e">
        <f t="shared" si="18"/>
        <v>#N/A</v>
      </c>
    </row>
    <row r="535" spans="1:15" ht="14.25" customHeight="1">
      <c r="A535" s="2" t="s">
        <v>15</v>
      </c>
      <c r="B535" s="2">
        <v>1954</v>
      </c>
      <c r="C535" s="2" t="s">
        <v>20</v>
      </c>
      <c r="D535" s="2">
        <v>98584</v>
      </c>
      <c r="J535" s="3">
        <f t="shared" si="13"/>
        <v>5008.331639910587</v>
      </c>
      <c r="K535" s="3" t="e">
        <f t="shared" si="14"/>
        <v>#N/A</v>
      </c>
      <c r="L535" s="3" t="e">
        <f t="shared" si="15"/>
        <v>#N/A</v>
      </c>
      <c r="M535" s="3" t="e">
        <f t="shared" si="16"/>
        <v>#N/A</v>
      </c>
      <c r="N535" s="3" t="e">
        <f t="shared" si="17"/>
        <v>#N/A</v>
      </c>
      <c r="O535" s="3" t="e">
        <f t="shared" si="18"/>
        <v>#N/A</v>
      </c>
    </row>
    <row r="536" spans="1:15" ht="14.25" customHeight="1">
      <c r="A536" s="2" t="s">
        <v>15</v>
      </c>
      <c r="B536" s="2">
        <v>1955</v>
      </c>
      <c r="C536" s="2" t="s">
        <v>20</v>
      </c>
      <c r="D536" s="2">
        <v>83396</v>
      </c>
      <c r="F536" s="2" t="s">
        <v>17</v>
      </c>
      <c r="G536" s="2" t="s">
        <v>17</v>
      </c>
      <c r="H536" s="2" t="s">
        <v>17</v>
      </c>
      <c r="I536" s="2" t="s">
        <v>17</v>
      </c>
      <c r="J536" s="3">
        <f t="shared" si="13"/>
        <v>4236.7404998983948</v>
      </c>
      <c r="K536" s="3" t="e">
        <f t="shared" si="14"/>
        <v>#N/A</v>
      </c>
      <c r="L536" s="3" t="e">
        <f t="shared" si="15"/>
        <v>#VALUE!</v>
      </c>
      <c r="M536" s="3" t="e">
        <f t="shared" si="16"/>
        <v>#VALUE!</v>
      </c>
      <c r="N536" s="3" t="e">
        <f t="shared" si="17"/>
        <v>#VALUE!</v>
      </c>
      <c r="O536" s="3" t="e">
        <f t="shared" si="18"/>
        <v>#VALUE!</v>
      </c>
    </row>
    <row r="537" spans="1:15" ht="14.25" customHeight="1">
      <c r="A537" s="2" t="s">
        <v>15</v>
      </c>
      <c r="B537" s="2">
        <v>1956</v>
      </c>
      <c r="C537" s="2" t="s">
        <v>20</v>
      </c>
      <c r="D537" s="2">
        <v>60821</v>
      </c>
      <c r="J537" s="3">
        <f t="shared" si="13"/>
        <v>3089.8699451331026</v>
      </c>
      <c r="K537" s="3" t="e">
        <f t="shared" si="14"/>
        <v>#N/A</v>
      </c>
      <c r="L537" s="3" t="e">
        <f t="shared" si="15"/>
        <v>#N/A</v>
      </c>
      <c r="M537" s="3" t="e">
        <f t="shared" si="16"/>
        <v>#N/A</v>
      </c>
      <c r="N537" s="3" t="e">
        <f t="shared" si="17"/>
        <v>#N/A</v>
      </c>
      <c r="O537" s="3" t="e">
        <f t="shared" si="18"/>
        <v>#N/A</v>
      </c>
    </row>
    <row r="538" spans="1:15" ht="14.25" customHeight="1">
      <c r="A538" s="2" t="s">
        <v>15</v>
      </c>
      <c r="B538" s="2">
        <v>1957</v>
      </c>
      <c r="C538" s="2" t="s">
        <v>20</v>
      </c>
      <c r="D538" s="2">
        <v>73872</v>
      </c>
      <c r="J538" s="3">
        <f t="shared" si="13"/>
        <v>3752.8957528957526</v>
      </c>
      <c r="K538" s="3" t="e">
        <f t="shared" si="14"/>
        <v>#N/A</v>
      </c>
      <c r="L538" s="3" t="e">
        <f t="shared" si="15"/>
        <v>#N/A</v>
      </c>
      <c r="M538" s="3" t="e">
        <f t="shared" si="16"/>
        <v>#N/A</v>
      </c>
      <c r="N538" s="3" t="e">
        <f t="shared" si="17"/>
        <v>#N/A</v>
      </c>
      <c r="O538" s="3" t="e">
        <f t="shared" si="18"/>
        <v>#N/A</v>
      </c>
    </row>
    <row r="539" spans="1:15" ht="14.25" customHeight="1">
      <c r="A539" s="2" t="s">
        <v>15</v>
      </c>
      <c r="B539" s="2">
        <v>1958</v>
      </c>
      <c r="C539" s="2" t="s">
        <v>20</v>
      </c>
      <c r="D539" s="2">
        <v>76791</v>
      </c>
      <c r="J539" s="3">
        <f t="shared" si="13"/>
        <v>3901.1887827677301</v>
      </c>
      <c r="K539" s="3" t="e">
        <f t="shared" si="14"/>
        <v>#N/A</v>
      </c>
      <c r="L539" s="3" t="e">
        <f t="shared" si="15"/>
        <v>#N/A</v>
      </c>
      <c r="M539" s="3" t="e">
        <f t="shared" si="16"/>
        <v>#N/A</v>
      </c>
      <c r="N539" s="3" t="e">
        <f t="shared" si="17"/>
        <v>#N/A</v>
      </c>
      <c r="O539" s="3" t="e">
        <f t="shared" si="18"/>
        <v>#N/A</v>
      </c>
    </row>
    <row r="540" spans="1:15" ht="14.25" customHeight="1">
      <c r="A540" s="2" t="s">
        <v>15</v>
      </c>
      <c r="B540" s="2">
        <v>1959</v>
      </c>
      <c r="C540" s="2" t="s">
        <v>20</v>
      </c>
      <c r="D540" s="2">
        <v>94848</v>
      </c>
      <c r="J540" s="3">
        <f t="shared" si="13"/>
        <v>4818.5328185328181</v>
      </c>
      <c r="K540" s="3" t="e">
        <f t="shared" si="14"/>
        <v>#N/A</v>
      </c>
      <c r="L540" s="3" t="e">
        <f t="shared" si="15"/>
        <v>#N/A</v>
      </c>
      <c r="M540" s="3" t="e">
        <f t="shared" si="16"/>
        <v>#N/A</v>
      </c>
      <c r="N540" s="3" t="e">
        <f t="shared" si="17"/>
        <v>#N/A</v>
      </c>
      <c r="O540" s="3" t="e">
        <f t="shared" si="18"/>
        <v>#N/A</v>
      </c>
    </row>
    <row r="541" spans="1:15" ht="14.25" customHeight="1">
      <c r="A541" s="2" t="s">
        <v>15</v>
      </c>
      <c r="B541" s="2">
        <v>1960</v>
      </c>
      <c r="C541" s="2" t="s">
        <v>20</v>
      </c>
      <c r="D541" s="2">
        <f>24238+49971</f>
        <v>74209</v>
      </c>
      <c r="F541" s="2" t="s">
        <v>17</v>
      </c>
      <c r="G541" s="2" t="s">
        <v>17</v>
      </c>
      <c r="H541" s="2" t="s">
        <v>17</v>
      </c>
      <c r="I541" s="2" t="s">
        <v>17</v>
      </c>
      <c r="J541" s="3">
        <f t="shared" si="13"/>
        <v>3770.0162568583619</v>
      </c>
      <c r="K541" s="3" t="e">
        <f t="shared" si="14"/>
        <v>#N/A</v>
      </c>
      <c r="L541" s="3" t="e">
        <f t="shared" si="15"/>
        <v>#VALUE!</v>
      </c>
      <c r="M541" s="3" t="e">
        <f t="shared" si="16"/>
        <v>#VALUE!</v>
      </c>
      <c r="N541" s="3" t="e">
        <f t="shared" si="17"/>
        <v>#VALUE!</v>
      </c>
      <c r="O541" s="3" t="e">
        <f t="shared" si="18"/>
        <v>#VALUE!</v>
      </c>
    </row>
    <row r="542" spans="1:15" ht="14.25" customHeight="1">
      <c r="A542" s="2" t="s">
        <v>15</v>
      </c>
      <c r="B542" s="2">
        <v>1961</v>
      </c>
      <c r="C542" s="2" t="s">
        <v>20</v>
      </c>
      <c r="D542" s="2">
        <f>33364+63643</f>
        <v>97007</v>
      </c>
      <c r="J542" s="3">
        <f t="shared" si="13"/>
        <v>4928.2158097947568</v>
      </c>
      <c r="K542" s="3" t="e">
        <f t="shared" si="14"/>
        <v>#N/A</v>
      </c>
      <c r="L542" s="3" t="e">
        <f t="shared" si="15"/>
        <v>#N/A</v>
      </c>
      <c r="M542" s="3" t="e">
        <f t="shared" si="16"/>
        <v>#N/A</v>
      </c>
      <c r="N542" s="3" t="e">
        <f t="shared" si="17"/>
        <v>#N/A</v>
      </c>
      <c r="O542" s="3" t="e">
        <f t="shared" si="18"/>
        <v>#N/A</v>
      </c>
    </row>
    <row r="543" spans="1:15" ht="14.25" customHeight="1">
      <c r="A543" s="2" t="s">
        <v>15</v>
      </c>
      <c r="B543" s="2">
        <v>1962</v>
      </c>
      <c r="C543" s="2" t="s">
        <v>20</v>
      </c>
      <c r="D543" s="2">
        <f>32662+54209</f>
        <v>86871</v>
      </c>
      <c r="J543" s="3">
        <f t="shared" si="13"/>
        <v>4413.2798211745576</v>
      </c>
      <c r="K543" s="3" t="e">
        <f t="shared" si="14"/>
        <v>#N/A</v>
      </c>
      <c r="L543" s="3" t="e">
        <f t="shared" si="15"/>
        <v>#N/A</v>
      </c>
      <c r="M543" s="3" t="e">
        <f t="shared" si="16"/>
        <v>#N/A</v>
      </c>
      <c r="N543" s="3" t="e">
        <f t="shared" si="17"/>
        <v>#N/A</v>
      </c>
      <c r="O543" s="3" t="e">
        <f t="shared" si="18"/>
        <v>#N/A</v>
      </c>
    </row>
    <row r="544" spans="1:15" ht="14.25" customHeight="1">
      <c r="A544" s="2" t="s">
        <v>15</v>
      </c>
      <c r="B544" s="2">
        <v>1963</v>
      </c>
      <c r="C544" s="2" t="s">
        <v>20</v>
      </c>
      <c r="D544" s="2">
        <f>36727+46584</f>
        <v>83311</v>
      </c>
      <c r="J544" s="3">
        <f t="shared" si="13"/>
        <v>4232.4222718959563</v>
      </c>
      <c r="K544" s="3" t="e">
        <f t="shared" si="14"/>
        <v>#N/A</v>
      </c>
      <c r="L544" s="3" t="e">
        <f t="shared" si="15"/>
        <v>#N/A</v>
      </c>
      <c r="M544" s="3" t="e">
        <f t="shared" si="16"/>
        <v>#N/A</v>
      </c>
      <c r="N544" s="3" t="e">
        <f t="shared" si="17"/>
        <v>#N/A</v>
      </c>
      <c r="O544" s="3" t="e">
        <f t="shared" si="18"/>
        <v>#N/A</v>
      </c>
    </row>
    <row r="545" spans="1:15" ht="14.25" customHeight="1">
      <c r="A545" s="2" t="s">
        <v>15</v>
      </c>
      <c r="B545" s="2">
        <v>1964</v>
      </c>
      <c r="C545" s="2" t="s">
        <v>20</v>
      </c>
      <c r="D545" s="4">
        <f>36669+28453</f>
        <v>65122</v>
      </c>
      <c r="E545" s="4"/>
      <c r="J545" s="3">
        <f t="shared" si="13"/>
        <v>3308.3722820564926</v>
      </c>
      <c r="K545" s="3" t="e">
        <f t="shared" si="14"/>
        <v>#N/A</v>
      </c>
      <c r="L545" s="3" t="e">
        <f t="shared" si="15"/>
        <v>#N/A</v>
      </c>
      <c r="M545" s="3" t="e">
        <f t="shared" si="16"/>
        <v>#N/A</v>
      </c>
      <c r="N545" s="3" t="e">
        <f t="shared" si="17"/>
        <v>#N/A</v>
      </c>
      <c r="O545" s="3" t="e">
        <f t="shared" si="18"/>
        <v>#N/A</v>
      </c>
    </row>
    <row r="546" spans="1:15" ht="14.25" customHeight="1">
      <c r="A546" s="2" t="s">
        <v>15</v>
      </c>
      <c r="B546" s="2">
        <v>1900</v>
      </c>
      <c r="C546" s="2" t="s">
        <v>25</v>
      </c>
      <c r="D546" s="4">
        <v>752504</v>
      </c>
      <c r="E546" s="4">
        <v>909328</v>
      </c>
      <c r="J546" s="3">
        <f t="shared" si="13"/>
        <v>38229.22170290591</v>
      </c>
      <c r="K546" s="3">
        <f t="shared" si="14"/>
        <v>909.32799999999997</v>
      </c>
      <c r="L546" s="3" t="e">
        <f t="shared" si="15"/>
        <v>#N/A</v>
      </c>
      <c r="M546" s="3" t="e">
        <f t="shared" si="16"/>
        <v>#N/A</v>
      </c>
      <c r="N546" s="3" t="e">
        <f t="shared" si="17"/>
        <v>#N/A</v>
      </c>
      <c r="O546" s="3" t="e">
        <f t="shared" si="18"/>
        <v>#N/A</v>
      </c>
    </row>
    <row r="547" spans="1:15" ht="14.25" customHeight="1">
      <c r="A547" s="2" t="s">
        <v>15</v>
      </c>
      <c r="B547" s="2">
        <v>1901</v>
      </c>
      <c r="C547" s="2" t="s">
        <v>25</v>
      </c>
      <c r="D547" s="4">
        <v>848188</v>
      </c>
      <c r="E547" s="4">
        <v>934474</v>
      </c>
      <c r="J547" s="3">
        <f t="shared" si="13"/>
        <v>43090.225563909771</v>
      </c>
      <c r="K547" s="3">
        <f t="shared" si="14"/>
        <v>934.47400000000005</v>
      </c>
      <c r="L547" s="3" t="e">
        <f t="shared" si="15"/>
        <v>#N/A</v>
      </c>
      <c r="M547" s="3" t="e">
        <f t="shared" si="16"/>
        <v>#N/A</v>
      </c>
      <c r="N547" s="3" t="e">
        <f t="shared" si="17"/>
        <v>#N/A</v>
      </c>
      <c r="O547" s="3" t="e">
        <f t="shared" si="18"/>
        <v>#N/A</v>
      </c>
    </row>
    <row r="548" spans="1:15" ht="14.25" customHeight="1">
      <c r="A548" s="2" t="s">
        <v>15</v>
      </c>
      <c r="B548" s="2">
        <v>1902</v>
      </c>
      <c r="C548" s="2" t="s">
        <v>25</v>
      </c>
      <c r="D548" s="4">
        <v>1276637</v>
      </c>
      <c r="E548" s="4">
        <v>1034482</v>
      </c>
      <c r="J548" s="3">
        <f t="shared" si="13"/>
        <v>64856.584027636658</v>
      </c>
      <c r="K548" s="3">
        <f t="shared" si="14"/>
        <v>1034.482</v>
      </c>
      <c r="L548" s="3" t="e">
        <f t="shared" si="15"/>
        <v>#N/A</v>
      </c>
      <c r="M548" s="3" t="e">
        <f t="shared" si="16"/>
        <v>#N/A</v>
      </c>
      <c r="N548" s="3" t="e">
        <f t="shared" si="17"/>
        <v>#N/A</v>
      </c>
      <c r="O548" s="3" t="e">
        <f t="shared" si="18"/>
        <v>#N/A</v>
      </c>
    </row>
    <row r="549" spans="1:15" ht="14.25" customHeight="1">
      <c r="A549" s="2" t="s">
        <v>15</v>
      </c>
      <c r="B549" s="2">
        <v>1903</v>
      </c>
      <c r="C549" s="2" t="s">
        <v>25</v>
      </c>
      <c r="J549" s="3" t="e">
        <f t="shared" si="13"/>
        <v>#N/A</v>
      </c>
      <c r="K549" s="3" t="e">
        <f t="shared" si="14"/>
        <v>#N/A</v>
      </c>
      <c r="L549" s="3" t="e">
        <f t="shared" si="15"/>
        <v>#N/A</v>
      </c>
      <c r="M549" s="3" t="e">
        <f t="shared" si="16"/>
        <v>#N/A</v>
      </c>
      <c r="N549" s="3" t="e">
        <f t="shared" si="17"/>
        <v>#N/A</v>
      </c>
      <c r="O549" s="3" t="e">
        <f t="shared" si="18"/>
        <v>#N/A</v>
      </c>
    </row>
    <row r="550" spans="1:15" ht="14.25" customHeight="1">
      <c r="A550" s="2" t="s">
        <v>15</v>
      </c>
      <c r="B550" s="2">
        <v>1904</v>
      </c>
      <c r="C550" s="2" t="s">
        <v>25</v>
      </c>
      <c r="J550" s="3" t="e">
        <f t="shared" si="13"/>
        <v>#N/A</v>
      </c>
      <c r="K550" s="3" t="e">
        <f t="shared" si="14"/>
        <v>#N/A</v>
      </c>
      <c r="L550" s="3" t="e">
        <f t="shared" si="15"/>
        <v>#N/A</v>
      </c>
      <c r="M550" s="3" t="e">
        <f t="shared" si="16"/>
        <v>#N/A</v>
      </c>
      <c r="N550" s="3" t="e">
        <f t="shared" si="17"/>
        <v>#N/A</v>
      </c>
      <c r="O550" s="3" t="e">
        <f t="shared" si="18"/>
        <v>#N/A</v>
      </c>
    </row>
    <row r="551" spans="1:15" ht="14.25" customHeight="1">
      <c r="A551" s="2" t="s">
        <v>15</v>
      </c>
      <c r="B551" s="2">
        <v>1905</v>
      </c>
      <c r="C551" s="2" t="s">
        <v>25</v>
      </c>
      <c r="J551" s="3" t="e">
        <f t="shared" si="13"/>
        <v>#N/A</v>
      </c>
      <c r="K551" s="3" t="e">
        <f t="shared" si="14"/>
        <v>#N/A</v>
      </c>
      <c r="L551" s="3" t="e">
        <f t="shared" si="15"/>
        <v>#N/A</v>
      </c>
      <c r="M551" s="3" t="e">
        <f t="shared" si="16"/>
        <v>#N/A</v>
      </c>
      <c r="N551" s="3" t="e">
        <f t="shared" si="17"/>
        <v>#N/A</v>
      </c>
      <c r="O551" s="3" t="e">
        <f t="shared" si="18"/>
        <v>#N/A</v>
      </c>
    </row>
    <row r="552" spans="1:15" ht="14.25" customHeight="1">
      <c r="A552" s="2" t="s">
        <v>15</v>
      </c>
      <c r="B552" s="2">
        <v>1906</v>
      </c>
      <c r="C552" s="2" t="s">
        <v>25</v>
      </c>
      <c r="J552" s="3" t="e">
        <f t="shared" si="13"/>
        <v>#N/A</v>
      </c>
      <c r="K552" s="3" t="e">
        <f t="shared" si="14"/>
        <v>#N/A</v>
      </c>
      <c r="L552" s="3" t="e">
        <f t="shared" si="15"/>
        <v>#N/A</v>
      </c>
      <c r="M552" s="3" t="e">
        <f t="shared" si="16"/>
        <v>#N/A</v>
      </c>
      <c r="N552" s="3" t="e">
        <f t="shared" si="17"/>
        <v>#N/A</v>
      </c>
      <c r="O552" s="3" t="e">
        <f t="shared" si="18"/>
        <v>#N/A</v>
      </c>
    </row>
    <row r="553" spans="1:15" ht="14.25" customHeight="1">
      <c r="A553" s="2" t="s">
        <v>15</v>
      </c>
      <c r="B553" s="2">
        <v>1907</v>
      </c>
      <c r="C553" s="2" t="s">
        <v>25</v>
      </c>
      <c r="J553" s="3" t="e">
        <f t="shared" si="13"/>
        <v>#N/A</v>
      </c>
      <c r="K553" s="3" t="e">
        <f t="shared" si="14"/>
        <v>#N/A</v>
      </c>
      <c r="L553" s="3" t="e">
        <f t="shared" si="15"/>
        <v>#N/A</v>
      </c>
      <c r="M553" s="3" t="e">
        <f t="shared" si="16"/>
        <v>#N/A</v>
      </c>
      <c r="N553" s="3" t="e">
        <f t="shared" si="17"/>
        <v>#N/A</v>
      </c>
      <c r="O553" s="3" t="e">
        <f t="shared" si="18"/>
        <v>#N/A</v>
      </c>
    </row>
    <row r="554" spans="1:15" ht="14.25" customHeight="1">
      <c r="A554" s="2" t="s">
        <v>15</v>
      </c>
      <c r="B554" s="2">
        <v>1908</v>
      </c>
      <c r="C554" s="2" t="s">
        <v>25</v>
      </c>
      <c r="J554" s="3" t="e">
        <f t="shared" si="13"/>
        <v>#N/A</v>
      </c>
      <c r="K554" s="3" t="e">
        <f t="shared" si="14"/>
        <v>#N/A</v>
      </c>
      <c r="L554" s="3" t="e">
        <f t="shared" si="15"/>
        <v>#N/A</v>
      </c>
      <c r="M554" s="3" t="e">
        <f t="shared" si="16"/>
        <v>#N/A</v>
      </c>
      <c r="N554" s="3" t="e">
        <f t="shared" si="17"/>
        <v>#N/A</v>
      </c>
      <c r="O554" s="3" t="e">
        <f t="shared" si="18"/>
        <v>#N/A</v>
      </c>
    </row>
    <row r="555" spans="1:15" ht="14.25" customHeight="1">
      <c r="A555" s="2" t="s">
        <v>15</v>
      </c>
      <c r="B555" s="2">
        <v>1909</v>
      </c>
      <c r="C555" s="2" t="s">
        <v>25</v>
      </c>
      <c r="J555" s="3" t="e">
        <f t="shared" si="13"/>
        <v>#N/A</v>
      </c>
      <c r="K555" s="3" t="e">
        <f t="shared" si="14"/>
        <v>#N/A</v>
      </c>
      <c r="L555" s="3" t="e">
        <f t="shared" si="15"/>
        <v>#N/A</v>
      </c>
      <c r="M555" s="3" t="e">
        <f t="shared" si="16"/>
        <v>#N/A</v>
      </c>
      <c r="N555" s="3" t="e">
        <f t="shared" si="17"/>
        <v>#N/A</v>
      </c>
      <c r="O555" s="3" t="e">
        <f t="shared" si="18"/>
        <v>#N/A</v>
      </c>
    </row>
    <row r="556" spans="1:15" ht="14.25" customHeight="1">
      <c r="A556" s="2" t="s">
        <v>15</v>
      </c>
      <c r="B556" s="2">
        <v>1910</v>
      </c>
      <c r="C556" s="2" t="s">
        <v>25</v>
      </c>
      <c r="J556" s="3" t="e">
        <f t="shared" si="13"/>
        <v>#N/A</v>
      </c>
      <c r="K556" s="3" t="e">
        <f t="shared" si="14"/>
        <v>#N/A</v>
      </c>
      <c r="L556" s="3" t="e">
        <f t="shared" si="15"/>
        <v>#N/A</v>
      </c>
      <c r="M556" s="3" t="e">
        <f t="shared" si="16"/>
        <v>#N/A</v>
      </c>
      <c r="N556" s="3" t="e">
        <f t="shared" si="17"/>
        <v>#N/A</v>
      </c>
      <c r="O556" s="3" t="e">
        <f t="shared" si="18"/>
        <v>#N/A</v>
      </c>
    </row>
    <row r="557" spans="1:15" ht="14.25" customHeight="1">
      <c r="A557" s="2" t="s">
        <v>15</v>
      </c>
      <c r="B557" s="2">
        <v>1911</v>
      </c>
      <c r="C557" s="2" t="s">
        <v>25</v>
      </c>
      <c r="D557" s="2">
        <v>1039533</v>
      </c>
      <c r="J557" s="3">
        <f t="shared" si="13"/>
        <v>52811.064824222718</v>
      </c>
      <c r="K557" s="3" t="e">
        <f t="shared" si="14"/>
        <v>#N/A</v>
      </c>
      <c r="L557" s="3" t="e">
        <f t="shared" si="15"/>
        <v>#N/A</v>
      </c>
      <c r="M557" s="3" t="e">
        <f t="shared" si="16"/>
        <v>#N/A</v>
      </c>
      <c r="N557" s="3" t="e">
        <f t="shared" si="17"/>
        <v>#N/A</v>
      </c>
      <c r="O557" s="3" t="e">
        <f t="shared" si="18"/>
        <v>#N/A</v>
      </c>
    </row>
    <row r="558" spans="1:15" ht="14.25" customHeight="1">
      <c r="A558" s="2" t="s">
        <v>15</v>
      </c>
      <c r="B558" s="2">
        <v>1912</v>
      </c>
      <c r="C558" s="2" t="s">
        <v>25</v>
      </c>
      <c r="D558" s="2">
        <v>881988</v>
      </c>
      <c r="J558" s="3">
        <f t="shared" si="13"/>
        <v>44807.356228408855</v>
      </c>
      <c r="K558" s="3" t="e">
        <f t="shared" si="14"/>
        <v>#N/A</v>
      </c>
      <c r="L558" s="3" t="e">
        <f t="shared" si="15"/>
        <v>#N/A</v>
      </c>
      <c r="M558" s="3" t="e">
        <f t="shared" si="16"/>
        <v>#N/A</v>
      </c>
      <c r="N558" s="3" t="e">
        <f t="shared" si="17"/>
        <v>#N/A</v>
      </c>
      <c r="O558" s="3" t="e">
        <f t="shared" si="18"/>
        <v>#N/A</v>
      </c>
    </row>
    <row r="559" spans="1:15" ht="14.25" customHeight="1">
      <c r="A559" s="2" t="s">
        <v>15</v>
      </c>
      <c r="B559" s="2">
        <v>1913</v>
      </c>
      <c r="C559" s="2" t="s">
        <v>25</v>
      </c>
      <c r="D559" s="2">
        <v>742948</v>
      </c>
      <c r="J559" s="3">
        <f t="shared" si="13"/>
        <v>37743.751270067056</v>
      </c>
      <c r="K559" s="3" t="e">
        <f t="shared" si="14"/>
        <v>#N/A</v>
      </c>
      <c r="L559" s="3" t="e">
        <f t="shared" si="15"/>
        <v>#N/A</v>
      </c>
      <c r="M559" s="3" t="e">
        <f t="shared" si="16"/>
        <v>#N/A</v>
      </c>
      <c r="N559" s="3" t="e">
        <f t="shared" si="17"/>
        <v>#N/A</v>
      </c>
      <c r="O559" s="3" t="e">
        <f t="shared" si="18"/>
        <v>#N/A</v>
      </c>
    </row>
    <row r="560" spans="1:15" ht="14.25" customHeight="1">
      <c r="A560" s="2" t="s">
        <v>15</v>
      </c>
      <c r="B560" s="2">
        <v>1914</v>
      </c>
      <c r="C560" s="2" t="s">
        <v>25</v>
      </c>
      <c r="J560" s="3" t="e">
        <f t="shared" si="13"/>
        <v>#N/A</v>
      </c>
      <c r="K560" s="3" t="e">
        <f t="shared" si="14"/>
        <v>#N/A</v>
      </c>
      <c r="L560" s="3" t="e">
        <f t="shared" si="15"/>
        <v>#N/A</v>
      </c>
      <c r="M560" s="3" t="e">
        <f t="shared" si="16"/>
        <v>#N/A</v>
      </c>
      <c r="N560" s="3" t="e">
        <f t="shared" si="17"/>
        <v>#N/A</v>
      </c>
      <c r="O560" s="3" t="e">
        <f t="shared" si="18"/>
        <v>#N/A</v>
      </c>
    </row>
    <row r="561" spans="1:15" ht="14.25" customHeight="1">
      <c r="A561" s="2" t="s">
        <v>15</v>
      </c>
      <c r="B561" s="2">
        <v>1915</v>
      </c>
      <c r="C561" s="2" t="s">
        <v>25</v>
      </c>
      <c r="J561" s="3" t="e">
        <f t="shared" si="13"/>
        <v>#N/A</v>
      </c>
      <c r="K561" s="3" t="e">
        <f t="shared" si="14"/>
        <v>#N/A</v>
      </c>
      <c r="L561" s="3" t="e">
        <f t="shared" si="15"/>
        <v>#N/A</v>
      </c>
      <c r="M561" s="3" t="e">
        <f t="shared" si="16"/>
        <v>#N/A</v>
      </c>
      <c r="N561" s="3" t="e">
        <f t="shared" si="17"/>
        <v>#N/A</v>
      </c>
      <c r="O561" s="3" t="e">
        <f t="shared" si="18"/>
        <v>#N/A</v>
      </c>
    </row>
    <row r="562" spans="1:15" ht="14.25" customHeight="1">
      <c r="A562" s="2" t="s">
        <v>15</v>
      </c>
      <c r="B562" s="2">
        <v>1916</v>
      </c>
      <c r="C562" s="2" t="s">
        <v>25</v>
      </c>
      <c r="J562" s="3" t="e">
        <f t="shared" si="13"/>
        <v>#N/A</v>
      </c>
      <c r="K562" s="3" t="e">
        <f t="shared" si="14"/>
        <v>#N/A</v>
      </c>
      <c r="L562" s="3" t="e">
        <f t="shared" si="15"/>
        <v>#N/A</v>
      </c>
      <c r="M562" s="3" t="e">
        <f t="shared" si="16"/>
        <v>#N/A</v>
      </c>
      <c r="N562" s="3" t="e">
        <f t="shared" si="17"/>
        <v>#N/A</v>
      </c>
      <c r="O562" s="3" t="e">
        <f t="shared" si="18"/>
        <v>#N/A</v>
      </c>
    </row>
    <row r="563" spans="1:15" ht="14.25" customHeight="1">
      <c r="A563" s="2" t="s">
        <v>15</v>
      </c>
      <c r="B563" s="2">
        <v>1917</v>
      </c>
      <c r="C563" s="2" t="s">
        <v>25</v>
      </c>
      <c r="J563" s="3" t="e">
        <f t="shared" si="13"/>
        <v>#N/A</v>
      </c>
      <c r="K563" s="3" t="e">
        <f t="shared" si="14"/>
        <v>#N/A</v>
      </c>
      <c r="L563" s="3" t="e">
        <f t="shared" si="15"/>
        <v>#N/A</v>
      </c>
      <c r="M563" s="3" t="e">
        <f t="shared" si="16"/>
        <v>#N/A</v>
      </c>
      <c r="N563" s="3" t="e">
        <f t="shared" si="17"/>
        <v>#N/A</v>
      </c>
      <c r="O563" s="3" t="e">
        <f t="shared" si="18"/>
        <v>#N/A</v>
      </c>
    </row>
    <row r="564" spans="1:15" ht="14.25" customHeight="1">
      <c r="A564" s="2" t="s">
        <v>15</v>
      </c>
      <c r="B564" s="2">
        <v>1918</v>
      </c>
      <c r="C564" s="2" t="s">
        <v>25</v>
      </c>
      <c r="J564" s="3" t="e">
        <f t="shared" si="13"/>
        <v>#N/A</v>
      </c>
      <c r="K564" s="3" t="e">
        <f t="shared" si="14"/>
        <v>#N/A</v>
      </c>
      <c r="L564" s="3" t="e">
        <f t="shared" si="15"/>
        <v>#N/A</v>
      </c>
      <c r="M564" s="3" t="e">
        <f t="shared" si="16"/>
        <v>#N/A</v>
      </c>
      <c r="N564" s="3" t="e">
        <f t="shared" si="17"/>
        <v>#N/A</v>
      </c>
      <c r="O564" s="3" t="e">
        <f t="shared" si="18"/>
        <v>#N/A</v>
      </c>
    </row>
    <row r="565" spans="1:15" ht="14.25" customHeight="1">
      <c r="A565" s="2" t="s">
        <v>15</v>
      </c>
      <c r="B565" s="2">
        <v>1919</v>
      </c>
      <c r="C565" s="2" t="s">
        <v>25</v>
      </c>
      <c r="D565" s="2">
        <v>736249</v>
      </c>
      <c r="J565" s="3">
        <f t="shared" si="13"/>
        <v>37403.424100792523</v>
      </c>
      <c r="K565" s="3" t="e">
        <f t="shared" si="14"/>
        <v>#N/A</v>
      </c>
      <c r="L565" s="3" t="e">
        <f t="shared" si="15"/>
        <v>#N/A</v>
      </c>
      <c r="M565" s="3" t="e">
        <f t="shared" si="16"/>
        <v>#N/A</v>
      </c>
      <c r="N565" s="3" t="e">
        <f t="shared" si="17"/>
        <v>#N/A</v>
      </c>
      <c r="O565" s="3" t="e">
        <f t="shared" si="18"/>
        <v>#N/A</v>
      </c>
    </row>
    <row r="566" spans="1:15" ht="14.25" customHeight="1">
      <c r="A566" s="2" t="s">
        <v>15</v>
      </c>
      <c r="B566" s="2">
        <v>1920</v>
      </c>
      <c r="C566" s="2" t="s">
        <v>25</v>
      </c>
      <c r="D566" s="2">
        <v>1000859</v>
      </c>
      <c r="J566" s="3">
        <f t="shared" si="13"/>
        <v>50846.321885795565</v>
      </c>
      <c r="K566" s="3" t="e">
        <f t="shared" si="14"/>
        <v>#N/A</v>
      </c>
      <c r="L566" s="3" t="e">
        <f t="shared" si="15"/>
        <v>#N/A</v>
      </c>
      <c r="M566" s="3" t="e">
        <f t="shared" si="16"/>
        <v>#N/A</v>
      </c>
      <c r="N566" s="3" t="e">
        <f t="shared" si="17"/>
        <v>#N/A</v>
      </c>
      <c r="O566" s="3" t="e">
        <f t="shared" si="18"/>
        <v>#N/A</v>
      </c>
    </row>
    <row r="567" spans="1:15" ht="14.25" customHeight="1">
      <c r="A567" s="2" t="s">
        <v>15</v>
      </c>
      <c r="B567" s="2">
        <v>1921</v>
      </c>
      <c r="C567" s="2" t="s">
        <v>25</v>
      </c>
      <c r="D567" s="2">
        <v>744958</v>
      </c>
      <c r="J567" s="3">
        <f t="shared" si="13"/>
        <v>37845.86466165413</v>
      </c>
      <c r="K567" s="3" t="e">
        <f t="shared" si="14"/>
        <v>#N/A</v>
      </c>
      <c r="L567" s="3" t="e">
        <f t="shared" si="15"/>
        <v>#N/A</v>
      </c>
      <c r="M567" s="3" t="e">
        <f t="shared" si="16"/>
        <v>#N/A</v>
      </c>
      <c r="N567" s="3" t="e">
        <f t="shared" si="17"/>
        <v>#N/A</v>
      </c>
      <c r="O567" s="3" t="e">
        <f t="shared" si="18"/>
        <v>#N/A</v>
      </c>
    </row>
    <row r="568" spans="1:15" ht="14.25" customHeight="1">
      <c r="A568" s="2" t="s">
        <v>15</v>
      </c>
      <c r="B568" s="2">
        <v>1922</v>
      </c>
      <c r="C568" s="2" t="s">
        <v>25</v>
      </c>
      <c r="D568" s="2">
        <v>833703</v>
      </c>
      <c r="J568" s="3">
        <f t="shared" si="13"/>
        <v>42354.348709611862</v>
      </c>
      <c r="K568" s="3" t="e">
        <f t="shared" si="14"/>
        <v>#N/A</v>
      </c>
      <c r="L568" s="3" t="e">
        <f t="shared" si="15"/>
        <v>#N/A</v>
      </c>
      <c r="M568" s="3" t="e">
        <f t="shared" si="16"/>
        <v>#N/A</v>
      </c>
      <c r="N568" s="3" t="e">
        <f t="shared" si="17"/>
        <v>#N/A</v>
      </c>
      <c r="O568" s="3" t="e">
        <f t="shared" si="18"/>
        <v>#N/A</v>
      </c>
    </row>
    <row r="569" spans="1:15" ht="14.25" customHeight="1">
      <c r="A569" s="2" t="s">
        <v>15</v>
      </c>
      <c r="B569" s="2">
        <v>1923</v>
      </c>
      <c r="C569" s="2" t="s">
        <v>25</v>
      </c>
      <c r="D569" s="2">
        <v>747585</v>
      </c>
      <c r="J569" s="3">
        <f t="shared" si="13"/>
        <v>37979.323308270672</v>
      </c>
      <c r="K569" s="3" t="e">
        <f t="shared" si="14"/>
        <v>#N/A</v>
      </c>
      <c r="L569" s="3" t="e">
        <f t="shared" si="15"/>
        <v>#N/A</v>
      </c>
      <c r="M569" s="3" t="e">
        <f t="shared" si="16"/>
        <v>#N/A</v>
      </c>
      <c r="N569" s="3" t="e">
        <f t="shared" si="17"/>
        <v>#N/A</v>
      </c>
      <c r="O569" s="3" t="e">
        <f t="shared" si="18"/>
        <v>#N/A</v>
      </c>
    </row>
    <row r="570" spans="1:15" ht="14.25" customHeight="1">
      <c r="A570" s="2" t="s">
        <v>15</v>
      </c>
      <c r="B570" s="2">
        <v>1924</v>
      </c>
      <c r="C570" s="2" t="s">
        <v>25</v>
      </c>
      <c r="D570" s="2">
        <v>719426</v>
      </c>
      <c r="J570" s="3">
        <f t="shared" si="13"/>
        <v>36548.770575086361</v>
      </c>
      <c r="K570" s="3" t="e">
        <f t="shared" si="14"/>
        <v>#N/A</v>
      </c>
      <c r="L570" s="3" t="e">
        <f t="shared" si="15"/>
        <v>#N/A</v>
      </c>
      <c r="M570" s="3" t="e">
        <f t="shared" si="16"/>
        <v>#N/A</v>
      </c>
      <c r="N570" s="3" t="e">
        <f t="shared" si="17"/>
        <v>#N/A</v>
      </c>
      <c r="O570" s="3" t="e">
        <f t="shared" si="18"/>
        <v>#N/A</v>
      </c>
    </row>
    <row r="571" spans="1:15" ht="14.25" customHeight="1">
      <c r="A571" s="2" t="s">
        <v>15</v>
      </c>
      <c r="B571" s="2">
        <v>1925</v>
      </c>
      <c r="C571" s="2" t="s">
        <v>25</v>
      </c>
      <c r="D571" s="2">
        <v>735548</v>
      </c>
      <c r="J571" s="3">
        <f t="shared" si="13"/>
        <v>37367.811420442995</v>
      </c>
      <c r="K571" s="3" t="e">
        <f t="shared" si="14"/>
        <v>#N/A</v>
      </c>
      <c r="L571" s="3" t="e">
        <f t="shared" si="15"/>
        <v>#N/A</v>
      </c>
      <c r="M571" s="3" t="e">
        <f t="shared" si="16"/>
        <v>#N/A</v>
      </c>
      <c r="N571" s="3" t="e">
        <f t="shared" si="17"/>
        <v>#N/A</v>
      </c>
      <c r="O571" s="3" t="e">
        <f t="shared" si="18"/>
        <v>#N/A</v>
      </c>
    </row>
    <row r="572" spans="1:15" ht="14.25" customHeight="1">
      <c r="A572" s="2" t="s">
        <v>15</v>
      </c>
      <c r="B572" s="2">
        <v>1926</v>
      </c>
      <c r="C572" s="2" t="s">
        <v>25</v>
      </c>
      <c r="D572" s="2">
        <v>629522</v>
      </c>
      <c r="J572" s="3">
        <f t="shared" si="13"/>
        <v>31981.406218248321</v>
      </c>
      <c r="K572" s="3" t="e">
        <f t="shared" si="14"/>
        <v>#N/A</v>
      </c>
      <c r="L572" s="3" t="e">
        <f t="shared" si="15"/>
        <v>#N/A</v>
      </c>
      <c r="M572" s="3" t="e">
        <f t="shared" si="16"/>
        <v>#N/A</v>
      </c>
      <c r="N572" s="3" t="e">
        <f t="shared" si="17"/>
        <v>#N/A</v>
      </c>
      <c r="O572" s="3" t="e">
        <f t="shared" si="18"/>
        <v>#N/A</v>
      </c>
    </row>
    <row r="573" spans="1:15" ht="14.25" customHeight="1">
      <c r="A573" s="2" t="s">
        <v>15</v>
      </c>
      <c r="B573" s="2">
        <v>1927</v>
      </c>
      <c r="C573" s="2" t="s">
        <v>25</v>
      </c>
      <c r="D573" s="2">
        <v>702861</v>
      </c>
      <c r="J573" s="3">
        <f t="shared" si="13"/>
        <v>35707.224141434664</v>
      </c>
      <c r="K573" s="3" t="e">
        <f t="shared" si="14"/>
        <v>#N/A</v>
      </c>
      <c r="L573" s="3" t="e">
        <f t="shared" si="15"/>
        <v>#N/A</v>
      </c>
      <c r="M573" s="3" t="e">
        <f t="shared" si="16"/>
        <v>#N/A</v>
      </c>
      <c r="N573" s="3" t="e">
        <f t="shared" si="17"/>
        <v>#N/A</v>
      </c>
      <c r="O573" s="3" t="e">
        <f t="shared" si="18"/>
        <v>#N/A</v>
      </c>
    </row>
    <row r="574" spans="1:15" ht="14.25" customHeight="1">
      <c r="A574" s="2" t="s">
        <v>15</v>
      </c>
      <c r="B574" s="2">
        <v>1928</v>
      </c>
      <c r="C574" s="2" t="s">
        <v>25</v>
      </c>
      <c r="D574" s="2">
        <v>647470</v>
      </c>
      <c r="J574" s="3">
        <f t="shared" si="13"/>
        <v>32893.212761633811</v>
      </c>
      <c r="K574" s="3" t="e">
        <f t="shared" si="14"/>
        <v>#N/A</v>
      </c>
      <c r="L574" s="3" t="e">
        <f t="shared" si="15"/>
        <v>#N/A</v>
      </c>
      <c r="M574" s="3" t="e">
        <f t="shared" si="16"/>
        <v>#N/A</v>
      </c>
      <c r="N574" s="3" t="e">
        <f t="shared" si="17"/>
        <v>#N/A</v>
      </c>
      <c r="O574" s="3" t="e">
        <f t="shared" si="18"/>
        <v>#N/A</v>
      </c>
    </row>
    <row r="575" spans="1:15" ht="14.25" customHeight="1">
      <c r="A575" s="2" t="s">
        <v>15</v>
      </c>
      <c r="B575" s="2">
        <v>1929</v>
      </c>
      <c r="C575" s="2" t="s">
        <v>25</v>
      </c>
      <c r="D575" s="2">
        <v>691973</v>
      </c>
      <c r="J575" s="3">
        <f t="shared" si="13"/>
        <v>35154.084535663482</v>
      </c>
      <c r="K575" s="3" t="e">
        <f t="shared" si="14"/>
        <v>#N/A</v>
      </c>
      <c r="L575" s="3" t="e">
        <f t="shared" si="15"/>
        <v>#N/A</v>
      </c>
      <c r="M575" s="3" t="e">
        <f t="shared" si="16"/>
        <v>#N/A</v>
      </c>
      <c r="N575" s="3" t="e">
        <f t="shared" si="17"/>
        <v>#N/A</v>
      </c>
      <c r="O575" s="3" t="e">
        <f t="shared" si="18"/>
        <v>#N/A</v>
      </c>
    </row>
    <row r="576" spans="1:15" ht="14.25" customHeight="1">
      <c r="A576" s="2" t="s">
        <v>15</v>
      </c>
      <c r="B576" s="2">
        <v>1930</v>
      </c>
      <c r="C576" s="2" t="s">
        <v>25</v>
      </c>
      <c r="D576" s="2">
        <v>705971</v>
      </c>
      <c r="J576" s="3">
        <f t="shared" si="13"/>
        <v>35865.220483641533</v>
      </c>
      <c r="K576" s="3" t="e">
        <f t="shared" si="14"/>
        <v>#N/A</v>
      </c>
      <c r="L576" s="3" t="e">
        <f t="shared" si="15"/>
        <v>#N/A</v>
      </c>
      <c r="M576" s="3" t="e">
        <f t="shared" si="16"/>
        <v>#N/A</v>
      </c>
      <c r="N576" s="3" t="e">
        <f t="shared" si="17"/>
        <v>#N/A</v>
      </c>
      <c r="O576" s="3" t="e">
        <f t="shared" si="18"/>
        <v>#N/A</v>
      </c>
    </row>
    <row r="577" spans="1:15" ht="14.25" customHeight="1">
      <c r="A577" s="2" t="s">
        <v>15</v>
      </c>
      <c r="B577" s="2">
        <v>1931</v>
      </c>
      <c r="C577" s="2" t="s">
        <v>25</v>
      </c>
      <c r="D577" s="2">
        <v>657051</v>
      </c>
      <c r="J577" s="3">
        <f t="shared" si="13"/>
        <v>33379.95326153221</v>
      </c>
      <c r="K577" s="3" t="e">
        <f t="shared" si="14"/>
        <v>#N/A</v>
      </c>
      <c r="L577" s="3" t="e">
        <f t="shared" si="15"/>
        <v>#N/A</v>
      </c>
      <c r="M577" s="3" t="e">
        <f t="shared" si="16"/>
        <v>#N/A</v>
      </c>
      <c r="N577" s="3" t="e">
        <f t="shared" si="17"/>
        <v>#N/A</v>
      </c>
      <c r="O577" s="3" t="e">
        <f t="shared" si="18"/>
        <v>#N/A</v>
      </c>
    </row>
    <row r="578" spans="1:15" ht="14.25" customHeight="1">
      <c r="A578" s="2" t="s">
        <v>15</v>
      </c>
      <c r="B578" s="2">
        <v>1932</v>
      </c>
      <c r="C578" s="2" t="s">
        <v>25</v>
      </c>
      <c r="D578" s="2">
        <v>581248</v>
      </c>
      <c r="J578" s="3">
        <f t="shared" si="13"/>
        <v>29528.957528957526</v>
      </c>
      <c r="K578" s="3" t="e">
        <f t="shared" si="14"/>
        <v>#N/A</v>
      </c>
      <c r="L578" s="3" t="e">
        <f t="shared" si="15"/>
        <v>#N/A</v>
      </c>
      <c r="M578" s="3" t="e">
        <f t="shared" si="16"/>
        <v>#N/A</v>
      </c>
      <c r="N578" s="3" t="e">
        <f t="shared" si="17"/>
        <v>#N/A</v>
      </c>
      <c r="O578" s="3" t="e">
        <f t="shared" si="18"/>
        <v>#N/A</v>
      </c>
    </row>
    <row r="579" spans="1:15" ht="14.25" customHeight="1">
      <c r="A579" s="2" t="s">
        <v>15</v>
      </c>
      <c r="B579" s="2">
        <v>1933</v>
      </c>
      <c r="C579" s="2" t="s">
        <v>25</v>
      </c>
      <c r="D579" s="2">
        <v>607151</v>
      </c>
      <c r="J579" s="3">
        <f t="shared" si="13"/>
        <v>30844.899410688882</v>
      </c>
      <c r="K579" s="3" t="e">
        <f t="shared" si="14"/>
        <v>#N/A</v>
      </c>
      <c r="L579" s="3" t="e">
        <f t="shared" si="15"/>
        <v>#N/A</v>
      </c>
      <c r="M579" s="3" t="e">
        <f t="shared" si="16"/>
        <v>#N/A</v>
      </c>
      <c r="N579" s="3" t="e">
        <f t="shared" si="17"/>
        <v>#N/A</v>
      </c>
      <c r="O579" s="3" t="e">
        <f t="shared" si="18"/>
        <v>#N/A</v>
      </c>
    </row>
    <row r="580" spans="1:15" ht="14.25" customHeight="1">
      <c r="A580" s="2" t="s">
        <v>15</v>
      </c>
      <c r="B580" s="2">
        <v>1934</v>
      </c>
      <c r="C580" s="2" t="s">
        <v>25</v>
      </c>
      <c r="D580" s="2">
        <v>634431</v>
      </c>
      <c r="J580" s="3">
        <f t="shared" si="13"/>
        <v>32230.796586059743</v>
      </c>
      <c r="K580" s="3" t="e">
        <f t="shared" si="14"/>
        <v>#N/A</v>
      </c>
      <c r="L580" s="3" t="e">
        <f t="shared" si="15"/>
        <v>#N/A</v>
      </c>
      <c r="M580" s="3" t="e">
        <f t="shared" si="16"/>
        <v>#N/A</v>
      </c>
      <c r="N580" s="3" t="e">
        <f t="shared" si="17"/>
        <v>#N/A</v>
      </c>
      <c r="O580" s="3" t="e">
        <f t="shared" si="18"/>
        <v>#N/A</v>
      </c>
    </row>
    <row r="581" spans="1:15" ht="14.25" customHeight="1">
      <c r="A581" s="2" t="s">
        <v>15</v>
      </c>
      <c r="B581" s="2">
        <v>1935</v>
      </c>
      <c r="C581" s="2" t="s">
        <v>25</v>
      </c>
      <c r="D581" s="2">
        <v>584154</v>
      </c>
      <c r="J581" s="3">
        <f t="shared" si="13"/>
        <v>29676.590123958544</v>
      </c>
      <c r="K581" s="3" t="e">
        <f t="shared" si="14"/>
        <v>#N/A</v>
      </c>
      <c r="L581" s="3" t="e">
        <f t="shared" si="15"/>
        <v>#N/A</v>
      </c>
      <c r="M581" s="3" t="e">
        <f t="shared" si="16"/>
        <v>#N/A</v>
      </c>
      <c r="N581" s="3" t="e">
        <f t="shared" si="17"/>
        <v>#N/A</v>
      </c>
      <c r="O581" s="3" t="e">
        <f t="shared" si="18"/>
        <v>#N/A</v>
      </c>
    </row>
    <row r="582" spans="1:15" ht="14.25" customHeight="1">
      <c r="A582" s="2" t="s">
        <v>15</v>
      </c>
      <c r="B582" s="2">
        <v>1936</v>
      </c>
      <c r="C582" s="2" t="s">
        <v>25</v>
      </c>
      <c r="D582" s="2">
        <v>621473</v>
      </c>
      <c r="J582" s="3">
        <f t="shared" si="13"/>
        <v>31572.495427758586</v>
      </c>
      <c r="K582" s="3" t="e">
        <f t="shared" si="14"/>
        <v>#N/A</v>
      </c>
      <c r="L582" s="3" t="e">
        <f t="shared" si="15"/>
        <v>#N/A</v>
      </c>
      <c r="M582" s="3" t="e">
        <f t="shared" si="16"/>
        <v>#N/A</v>
      </c>
      <c r="N582" s="3" t="e">
        <f t="shared" si="17"/>
        <v>#N/A</v>
      </c>
      <c r="O582" s="3" t="e">
        <f t="shared" si="18"/>
        <v>#N/A</v>
      </c>
    </row>
    <row r="583" spans="1:15" ht="14.25" customHeight="1">
      <c r="A583" s="2" t="s">
        <v>15</v>
      </c>
      <c r="B583" s="2">
        <v>1937</v>
      </c>
      <c r="C583" s="2" t="s">
        <v>25</v>
      </c>
      <c r="D583" s="2">
        <v>594579</v>
      </c>
      <c r="J583" s="3">
        <f t="shared" si="13"/>
        <v>30206.208087787032</v>
      </c>
      <c r="K583" s="3" t="e">
        <f t="shared" si="14"/>
        <v>#N/A</v>
      </c>
      <c r="L583" s="3" t="e">
        <f t="shared" si="15"/>
        <v>#N/A</v>
      </c>
      <c r="M583" s="3" t="e">
        <f t="shared" si="16"/>
        <v>#N/A</v>
      </c>
      <c r="N583" s="3" t="e">
        <f t="shared" si="17"/>
        <v>#N/A</v>
      </c>
      <c r="O583" s="3" t="e">
        <f t="shared" si="18"/>
        <v>#N/A</v>
      </c>
    </row>
    <row r="584" spans="1:15" ht="14.25" customHeight="1">
      <c r="A584" s="2" t="s">
        <v>15</v>
      </c>
      <c r="B584" s="2">
        <v>1938</v>
      </c>
      <c r="C584" s="2" t="s">
        <v>25</v>
      </c>
      <c r="D584" s="2">
        <v>531827</v>
      </c>
      <c r="J584" s="3">
        <f t="shared" si="13"/>
        <v>27018.238162975005</v>
      </c>
      <c r="K584" s="3" t="e">
        <f t="shared" si="14"/>
        <v>#N/A</v>
      </c>
      <c r="L584" s="3" t="e">
        <f t="shared" si="15"/>
        <v>#N/A</v>
      </c>
      <c r="M584" s="3" t="e">
        <f t="shared" si="16"/>
        <v>#N/A</v>
      </c>
      <c r="N584" s="3" t="e">
        <f t="shared" si="17"/>
        <v>#N/A</v>
      </c>
      <c r="O584" s="3" t="e">
        <f t="shared" si="18"/>
        <v>#N/A</v>
      </c>
    </row>
    <row r="585" spans="1:15" ht="14.25" customHeight="1">
      <c r="A585" s="2" t="s">
        <v>15</v>
      </c>
      <c r="B585" s="2">
        <v>1939</v>
      </c>
      <c r="C585" s="2" t="s">
        <v>25</v>
      </c>
      <c r="D585" s="2">
        <v>450101</v>
      </c>
      <c r="J585" s="3">
        <f t="shared" si="13"/>
        <v>22866.338142653931</v>
      </c>
      <c r="K585" s="3" t="e">
        <f t="shared" si="14"/>
        <v>#N/A</v>
      </c>
      <c r="L585" s="3" t="e">
        <f t="shared" si="15"/>
        <v>#N/A</v>
      </c>
      <c r="M585" s="3" t="e">
        <f t="shared" si="16"/>
        <v>#N/A</v>
      </c>
      <c r="N585" s="3" t="e">
        <f t="shared" si="17"/>
        <v>#N/A</v>
      </c>
      <c r="O585" s="3" t="e">
        <f t="shared" si="18"/>
        <v>#N/A</v>
      </c>
    </row>
    <row r="586" spans="1:15" ht="14.25" customHeight="1">
      <c r="A586" s="2" t="s">
        <v>15</v>
      </c>
      <c r="B586" s="2">
        <v>1940</v>
      </c>
      <c r="C586" s="2" t="s">
        <v>25</v>
      </c>
      <c r="D586" s="2">
        <v>179186</v>
      </c>
      <c r="J586" s="3">
        <f t="shared" si="13"/>
        <v>9103.1294452347083</v>
      </c>
      <c r="K586" s="3" t="e">
        <f t="shared" si="14"/>
        <v>#N/A</v>
      </c>
      <c r="L586" s="3" t="e">
        <f t="shared" si="15"/>
        <v>#N/A</v>
      </c>
      <c r="M586" s="3" t="e">
        <f t="shared" si="16"/>
        <v>#N/A</v>
      </c>
      <c r="N586" s="3" t="e">
        <f t="shared" si="17"/>
        <v>#N/A</v>
      </c>
      <c r="O586" s="3" t="e">
        <f t="shared" si="18"/>
        <v>#N/A</v>
      </c>
    </row>
    <row r="587" spans="1:15" ht="14.25" customHeight="1">
      <c r="A587" s="2" t="s">
        <v>15</v>
      </c>
      <c r="B587" s="2">
        <v>1941</v>
      </c>
      <c r="C587" s="2" t="s">
        <v>25</v>
      </c>
      <c r="D587" s="2">
        <v>159371</v>
      </c>
      <c r="J587" s="3">
        <f t="shared" si="13"/>
        <v>8096.4742938427144</v>
      </c>
      <c r="K587" s="3" t="e">
        <f t="shared" si="14"/>
        <v>#N/A</v>
      </c>
      <c r="L587" s="3" t="e">
        <f t="shared" si="15"/>
        <v>#N/A</v>
      </c>
      <c r="M587" s="3" t="e">
        <f t="shared" si="16"/>
        <v>#N/A</v>
      </c>
      <c r="N587" s="3" t="e">
        <f t="shared" si="17"/>
        <v>#N/A</v>
      </c>
      <c r="O587" s="3" t="e">
        <f t="shared" si="18"/>
        <v>#N/A</v>
      </c>
    </row>
    <row r="588" spans="1:15" ht="14.25" customHeight="1">
      <c r="A588" s="2" t="s">
        <v>15</v>
      </c>
      <c r="B588" s="2">
        <v>1942</v>
      </c>
      <c r="C588" s="2" t="s">
        <v>25</v>
      </c>
      <c r="D588" s="2">
        <v>194885</v>
      </c>
      <c r="J588" s="3">
        <f t="shared" si="13"/>
        <v>9900.680755943913</v>
      </c>
      <c r="K588" s="3" t="e">
        <f t="shared" si="14"/>
        <v>#N/A</v>
      </c>
      <c r="L588" s="3" t="e">
        <f t="shared" si="15"/>
        <v>#N/A</v>
      </c>
      <c r="M588" s="3" t="e">
        <f t="shared" si="16"/>
        <v>#N/A</v>
      </c>
      <c r="N588" s="3" t="e">
        <f t="shared" si="17"/>
        <v>#N/A</v>
      </c>
      <c r="O588" s="3" t="e">
        <f t="shared" si="18"/>
        <v>#N/A</v>
      </c>
    </row>
    <row r="589" spans="1:15" ht="14.25" customHeight="1">
      <c r="A589" s="2" t="s">
        <v>15</v>
      </c>
      <c r="B589" s="2">
        <v>1943</v>
      </c>
      <c r="C589" s="2" t="s">
        <v>25</v>
      </c>
      <c r="D589" s="2">
        <v>238832</v>
      </c>
      <c r="J589" s="3">
        <f t="shared" si="13"/>
        <v>12133.306238569396</v>
      </c>
      <c r="K589" s="3" t="e">
        <f t="shared" si="14"/>
        <v>#N/A</v>
      </c>
      <c r="L589" s="3" t="e">
        <f t="shared" si="15"/>
        <v>#N/A</v>
      </c>
      <c r="M589" s="3" t="e">
        <f t="shared" si="16"/>
        <v>#N/A</v>
      </c>
      <c r="N589" s="3" t="e">
        <f t="shared" si="17"/>
        <v>#N/A</v>
      </c>
      <c r="O589" s="3" t="e">
        <f t="shared" si="18"/>
        <v>#N/A</v>
      </c>
    </row>
    <row r="590" spans="1:15" ht="14.25" customHeight="1">
      <c r="A590" s="2" t="s">
        <v>15</v>
      </c>
      <c r="B590" s="2">
        <v>1944</v>
      </c>
      <c r="C590" s="2" t="s">
        <v>25</v>
      </c>
      <c r="D590" s="2">
        <v>408464</v>
      </c>
      <c r="J590" s="3">
        <f t="shared" si="13"/>
        <v>20751.066856330013</v>
      </c>
      <c r="K590" s="3" t="e">
        <f t="shared" si="14"/>
        <v>#N/A</v>
      </c>
      <c r="L590" s="3" t="e">
        <f t="shared" si="15"/>
        <v>#N/A</v>
      </c>
      <c r="M590" s="3" t="e">
        <f t="shared" si="16"/>
        <v>#N/A</v>
      </c>
      <c r="N590" s="3" t="e">
        <f t="shared" si="17"/>
        <v>#N/A</v>
      </c>
      <c r="O590" s="3" t="e">
        <f t="shared" si="18"/>
        <v>#N/A</v>
      </c>
    </row>
    <row r="591" spans="1:15" ht="14.25" customHeight="1">
      <c r="A591" s="2" t="s">
        <v>15</v>
      </c>
      <c r="B591" s="2">
        <v>1945</v>
      </c>
      <c r="C591" s="2" t="s">
        <v>25</v>
      </c>
      <c r="D591" s="2">
        <v>988763</v>
      </c>
      <c r="J591" s="3">
        <f t="shared" si="13"/>
        <v>50231.812639707372</v>
      </c>
      <c r="K591" s="3" t="e">
        <f t="shared" si="14"/>
        <v>#N/A</v>
      </c>
      <c r="L591" s="3" t="e">
        <f t="shared" si="15"/>
        <v>#N/A</v>
      </c>
      <c r="M591" s="3" t="e">
        <f t="shared" si="16"/>
        <v>#N/A</v>
      </c>
      <c r="N591" s="3" t="e">
        <f t="shared" si="17"/>
        <v>#N/A</v>
      </c>
      <c r="O591" s="3" t="e">
        <f t="shared" si="18"/>
        <v>#N/A</v>
      </c>
    </row>
    <row r="592" spans="1:15" ht="14.25" customHeight="1">
      <c r="A592" s="2" t="s">
        <v>15</v>
      </c>
      <c r="B592" s="2">
        <v>1946</v>
      </c>
      <c r="C592" s="2" t="s">
        <v>25</v>
      </c>
      <c r="D592" s="2">
        <v>1188870</v>
      </c>
      <c r="J592" s="3">
        <f t="shared" si="13"/>
        <v>60397.785003048157</v>
      </c>
      <c r="K592" s="3" t="e">
        <f t="shared" si="14"/>
        <v>#N/A</v>
      </c>
      <c r="L592" s="3" t="e">
        <f t="shared" si="15"/>
        <v>#N/A</v>
      </c>
      <c r="M592" s="3" t="e">
        <f t="shared" si="16"/>
        <v>#N/A</v>
      </c>
      <c r="N592" s="3" t="e">
        <f t="shared" si="17"/>
        <v>#N/A</v>
      </c>
      <c r="O592" s="3" t="e">
        <f t="shared" si="18"/>
        <v>#N/A</v>
      </c>
    </row>
    <row r="593" spans="1:15" ht="14.25" customHeight="1">
      <c r="A593" s="2" t="s">
        <v>15</v>
      </c>
      <c r="B593" s="2">
        <v>1947</v>
      </c>
      <c r="C593" s="2" t="s">
        <v>25</v>
      </c>
      <c r="D593" s="2">
        <v>963842</v>
      </c>
      <c r="J593" s="3">
        <f t="shared" si="13"/>
        <v>48965.758992074778</v>
      </c>
      <c r="K593" s="3" t="e">
        <f t="shared" si="14"/>
        <v>#N/A</v>
      </c>
      <c r="L593" s="3" t="e">
        <f t="shared" si="15"/>
        <v>#N/A</v>
      </c>
      <c r="M593" s="3" t="e">
        <f t="shared" si="16"/>
        <v>#N/A</v>
      </c>
      <c r="N593" s="3" t="e">
        <f t="shared" si="17"/>
        <v>#N/A</v>
      </c>
      <c r="O593" s="3" t="e">
        <f t="shared" si="18"/>
        <v>#N/A</v>
      </c>
    </row>
    <row r="594" spans="1:15" ht="14.25" customHeight="1">
      <c r="A594" s="2" t="s">
        <v>15</v>
      </c>
      <c r="B594" s="2">
        <v>1948</v>
      </c>
      <c r="C594" s="2" t="s">
        <v>25</v>
      </c>
      <c r="D594" s="2">
        <v>779357</v>
      </c>
      <c r="J594" s="3">
        <f t="shared" si="13"/>
        <v>39593.426132899818</v>
      </c>
      <c r="K594" s="3" t="e">
        <f t="shared" si="14"/>
        <v>#N/A</v>
      </c>
      <c r="L594" s="3" t="e">
        <f t="shared" si="15"/>
        <v>#N/A</v>
      </c>
      <c r="M594" s="3" t="e">
        <f t="shared" si="16"/>
        <v>#N/A</v>
      </c>
      <c r="N594" s="3" t="e">
        <f t="shared" si="17"/>
        <v>#N/A</v>
      </c>
      <c r="O594" s="3" t="e">
        <f t="shared" si="18"/>
        <v>#N/A</v>
      </c>
    </row>
    <row r="595" spans="1:15" ht="14.25" customHeight="1">
      <c r="A595" s="2" t="s">
        <v>15</v>
      </c>
      <c r="B595" s="2">
        <v>1949</v>
      </c>
      <c r="C595" s="2" t="s">
        <v>25</v>
      </c>
      <c r="D595" s="2">
        <v>719664</v>
      </c>
      <c r="J595" s="3">
        <f t="shared" si="13"/>
        <v>36560.861613493187</v>
      </c>
      <c r="K595" s="3" t="e">
        <f t="shared" si="14"/>
        <v>#N/A</v>
      </c>
      <c r="L595" s="3" t="e">
        <f t="shared" si="15"/>
        <v>#N/A</v>
      </c>
      <c r="M595" s="3" t="e">
        <f t="shared" si="16"/>
        <v>#N/A</v>
      </c>
      <c r="N595" s="3" t="e">
        <f t="shared" si="17"/>
        <v>#N/A</v>
      </c>
      <c r="O595" s="3" t="e">
        <f t="shared" si="18"/>
        <v>#N/A</v>
      </c>
    </row>
    <row r="596" spans="1:15" ht="14.25" customHeight="1">
      <c r="A596" s="2" t="s">
        <v>15</v>
      </c>
      <c r="B596" s="2">
        <v>1950</v>
      </c>
      <c r="C596" s="2" t="s">
        <v>25</v>
      </c>
      <c r="D596" s="2">
        <v>648614</v>
      </c>
      <c r="J596" s="3">
        <f t="shared" si="13"/>
        <v>32951.331030278394</v>
      </c>
      <c r="K596" s="3" t="e">
        <f t="shared" si="14"/>
        <v>#N/A</v>
      </c>
      <c r="L596" s="3" t="e">
        <f t="shared" si="15"/>
        <v>#N/A</v>
      </c>
      <c r="M596" s="3" t="e">
        <f t="shared" si="16"/>
        <v>#N/A</v>
      </c>
      <c r="N596" s="3" t="e">
        <f t="shared" si="17"/>
        <v>#N/A</v>
      </c>
      <c r="O596" s="3" t="e">
        <f t="shared" si="18"/>
        <v>#N/A</v>
      </c>
    </row>
    <row r="597" spans="1:15" ht="14.25" customHeight="1">
      <c r="A597" s="2" t="s">
        <v>15</v>
      </c>
      <c r="B597" s="2">
        <v>1951</v>
      </c>
      <c r="C597" s="2" t="s">
        <v>25</v>
      </c>
      <c r="D597" s="2">
        <v>563543</v>
      </c>
      <c r="J597" s="3">
        <f t="shared" si="13"/>
        <v>28629.496037390774</v>
      </c>
      <c r="K597" s="3" t="e">
        <f t="shared" si="14"/>
        <v>#N/A</v>
      </c>
      <c r="L597" s="3" t="e">
        <f t="shared" si="15"/>
        <v>#N/A</v>
      </c>
      <c r="M597" s="3" t="e">
        <f t="shared" si="16"/>
        <v>#N/A</v>
      </c>
      <c r="N597" s="3" t="e">
        <f t="shared" si="17"/>
        <v>#N/A</v>
      </c>
      <c r="O597" s="3" t="e">
        <f t="shared" si="18"/>
        <v>#N/A</v>
      </c>
    </row>
    <row r="598" spans="1:15" ht="14.25" customHeight="1">
      <c r="A598" s="2" t="s">
        <v>15</v>
      </c>
      <c r="B598" s="2">
        <v>1952</v>
      </c>
      <c r="C598" s="2" t="s">
        <v>25</v>
      </c>
      <c r="D598" s="2">
        <v>584353</v>
      </c>
      <c r="J598" s="3">
        <f t="shared" si="13"/>
        <v>29686.699857752486</v>
      </c>
      <c r="K598" s="3" t="e">
        <f t="shared" si="14"/>
        <v>#N/A</v>
      </c>
      <c r="L598" s="3" t="e">
        <f t="shared" si="15"/>
        <v>#N/A</v>
      </c>
      <c r="M598" s="3" t="e">
        <f t="shared" si="16"/>
        <v>#N/A</v>
      </c>
      <c r="N598" s="3" t="e">
        <f t="shared" si="17"/>
        <v>#N/A</v>
      </c>
      <c r="O598" s="3" t="e">
        <f t="shared" si="18"/>
        <v>#N/A</v>
      </c>
    </row>
    <row r="599" spans="1:15" ht="14.25" customHeight="1">
      <c r="A599" s="2" t="s">
        <v>15</v>
      </c>
      <c r="B599" s="2">
        <v>1953</v>
      </c>
      <c r="C599" s="2" t="s">
        <v>25</v>
      </c>
      <c r="D599" s="2">
        <v>649903</v>
      </c>
      <c r="J599" s="3">
        <f t="shared" si="13"/>
        <v>33016.815687868315</v>
      </c>
      <c r="K599" s="3" t="e">
        <f t="shared" si="14"/>
        <v>#N/A</v>
      </c>
      <c r="L599" s="3" t="e">
        <f t="shared" si="15"/>
        <v>#N/A</v>
      </c>
      <c r="M599" s="3" t="e">
        <f t="shared" si="16"/>
        <v>#N/A</v>
      </c>
      <c r="N599" s="3" t="e">
        <f t="shared" si="17"/>
        <v>#N/A</v>
      </c>
      <c r="O599" s="3" t="e">
        <f t="shared" si="18"/>
        <v>#N/A</v>
      </c>
    </row>
    <row r="600" spans="1:15" ht="14.25" customHeight="1">
      <c r="A600" s="2" t="s">
        <v>15</v>
      </c>
      <c r="B600" s="2">
        <v>1954</v>
      </c>
      <c r="C600" s="2" t="s">
        <v>25</v>
      </c>
      <c r="D600" s="2">
        <v>651200</v>
      </c>
      <c r="J600" s="3">
        <f t="shared" si="13"/>
        <v>33082.70676691729</v>
      </c>
      <c r="K600" s="3" t="e">
        <f t="shared" si="14"/>
        <v>#N/A</v>
      </c>
      <c r="L600" s="3" t="e">
        <f t="shared" si="15"/>
        <v>#N/A</v>
      </c>
      <c r="M600" s="3" t="e">
        <f t="shared" si="16"/>
        <v>#N/A</v>
      </c>
      <c r="N600" s="3" t="e">
        <f t="shared" si="17"/>
        <v>#N/A</v>
      </c>
      <c r="O600" s="3" t="e">
        <f t="shared" si="18"/>
        <v>#N/A</v>
      </c>
    </row>
    <row r="601" spans="1:15" ht="14.25" customHeight="1">
      <c r="A601" s="2" t="s">
        <v>15</v>
      </c>
      <c r="B601" s="2">
        <v>1955</v>
      </c>
      <c r="C601" s="2" t="s">
        <v>25</v>
      </c>
      <c r="D601" s="2">
        <v>737765</v>
      </c>
      <c r="J601" s="3">
        <f t="shared" si="13"/>
        <v>37480.440967283073</v>
      </c>
      <c r="K601" s="3" t="e">
        <f t="shared" si="14"/>
        <v>#N/A</v>
      </c>
      <c r="L601" s="3" t="e">
        <f t="shared" si="15"/>
        <v>#N/A</v>
      </c>
      <c r="M601" s="3" t="e">
        <f t="shared" si="16"/>
        <v>#N/A</v>
      </c>
      <c r="N601" s="3" t="e">
        <f t="shared" si="17"/>
        <v>#N/A</v>
      </c>
      <c r="O601" s="3" t="e">
        <f t="shared" si="18"/>
        <v>#N/A</v>
      </c>
    </row>
    <row r="602" spans="1:15" ht="14.25" customHeight="1">
      <c r="A602" s="2" t="s">
        <v>15</v>
      </c>
      <c r="B602" s="2">
        <v>1956</v>
      </c>
      <c r="C602" s="2" t="s">
        <v>25</v>
      </c>
      <c r="D602" s="2">
        <v>671000</v>
      </c>
      <c r="E602" s="2">
        <v>4374000</v>
      </c>
      <c r="J602" s="3">
        <f t="shared" si="13"/>
        <v>34088.599878073561</v>
      </c>
      <c r="K602" s="3">
        <f t="shared" si="14"/>
        <v>4374</v>
      </c>
      <c r="L602" s="3" t="e">
        <f t="shared" si="15"/>
        <v>#N/A</v>
      </c>
      <c r="M602" s="3" t="e">
        <f t="shared" si="16"/>
        <v>#N/A</v>
      </c>
      <c r="N602" s="3" t="e">
        <f t="shared" si="17"/>
        <v>#N/A</v>
      </c>
      <c r="O602" s="3" t="e">
        <f t="shared" si="18"/>
        <v>#N/A</v>
      </c>
    </row>
    <row r="603" spans="1:15" ht="14.25" customHeight="1">
      <c r="A603" s="2" t="s">
        <v>15</v>
      </c>
      <c r="B603" s="2">
        <v>1957</v>
      </c>
      <c r="C603" s="2" t="s">
        <v>25</v>
      </c>
      <c r="D603" s="2">
        <v>674000</v>
      </c>
      <c r="E603" s="2">
        <v>4219000</v>
      </c>
      <c r="J603" s="3">
        <f t="shared" si="13"/>
        <v>34241.007925218451</v>
      </c>
      <c r="K603" s="3">
        <f t="shared" si="14"/>
        <v>4219</v>
      </c>
      <c r="L603" s="3" t="e">
        <f t="shared" si="15"/>
        <v>#N/A</v>
      </c>
      <c r="M603" s="3" t="e">
        <f t="shared" si="16"/>
        <v>#N/A</v>
      </c>
      <c r="N603" s="3" t="e">
        <f t="shared" si="17"/>
        <v>#N/A</v>
      </c>
      <c r="O603" s="3" t="e">
        <f t="shared" si="18"/>
        <v>#N/A</v>
      </c>
    </row>
    <row r="604" spans="1:15" ht="14.25" customHeight="1">
      <c r="A604" s="2" t="s">
        <v>15</v>
      </c>
      <c r="B604" s="2">
        <v>1958</v>
      </c>
      <c r="C604" s="2" t="s">
        <v>25</v>
      </c>
      <c r="D604" s="2">
        <v>702000</v>
      </c>
      <c r="E604" s="2">
        <v>4540000</v>
      </c>
      <c r="J604" s="3">
        <f t="shared" si="13"/>
        <v>35663.483031904085</v>
      </c>
      <c r="K604" s="3">
        <f t="shared" si="14"/>
        <v>4540</v>
      </c>
      <c r="L604" s="3" t="e">
        <f t="shared" si="15"/>
        <v>#N/A</v>
      </c>
      <c r="M604" s="3" t="e">
        <f t="shared" si="16"/>
        <v>#N/A</v>
      </c>
      <c r="N604" s="3" t="e">
        <f t="shared" si="17"/>
        <v>#N/A</v>
      </c>
      <c r="O604" s="3" t="e">
        <f t="shared" si="18"/>
        <v>#N/A</v>
      </c>
    </row>
    <row r="605" spans="1:15" ht="14.25" customHeight="1">
      <c r="A605" s="2" t="s">
        <v>15</v>
      </c>
      <c r="B605" s="2">
        <v>1959</v>
      </c>
      <c r="C605" s="2" t="s">
        <v>25</v>
      </c>
      <c r="D605" s="2">
        <v>787000</v>
      </c>
      <c r="E605" s="2">
        <v>4906000</v>
      </c>
      <c r="J605" s="3">
        <f t="shared" si="13"/>
        <v>39981.71103434261</v>
      </c>
      <c r="K605" s="3">
        <f t="shared" si="14"/>
        <v>4906</v>
      </c>
      <c r="L605" s="3" t="e">
        <f t="shared" si="15"/>
        <v>#N/A</v>
      </c>
      <c r="M605" s="3" t="e">
        <f t="shared" si="16"/>
        <v>#N/A</v>
      </c>
      <c r="N605" s="3" t="e">
        <f t="shared" si="17"/>
        <v>#N/A</v>
      </c>
      <c r="O605" s="3" t="e">
        <f t="shared" si="18"/>
        <v>#N/A</v>
      </c>
    </row>
    <row r="606" spans="1:15" ht="14.25" customHeight="1">
      <c r="A606" s="2" t="s">
        <v>15</v>
      </c>
      <c r="B606" s="2">
        <v>1960</v>
      </c>
      <c r="C606" s="2" t="s">
        <v>25</v>
      </c>
      <c r="D606" s="2">
        <v>721000</v>
      </c>
      <c r="E606" s="2">
        <v>4817000</v>
      </c>
      <c r="J606" s="3">
        <f t="shared" si="13"/>
        <v>36628.733997155046</v>
      </c>
      <c r="K606" s="3">
        <f t="shared" si="14"/>
        <v>4817</v>
      </c>
      <c r="L606" s="3" t="e">
        <f t="shared" si="15"/>
        <v>#N/A</v>
      </c>
      <c r="M606" s="3" t="e">
        <f t="shared" si="16"/>
        <v>#N/A</v>
      </c>
      <c r="N606" s="3" t="e">
        <f t="shared" si="17"/>
        <v>#N/A</v>
      </c>
      <c r="O606" s="3" t="e">
        <f t="shared" si="18"/>
        <v>#N/A</v>
      </c>
    </row>
    <row r="607" spans="1:15" ht="14.25" customHeight="1">
      <c r="A607" s="2" t="s">
        <v>15</v>
      </c>
      <c r="B607" s="2">
        <v>1961</v>
      </c>
      <c r="C607" s="2" t="s">
        <v>25</v>
      </c>
      <c r="D607" s="2">
        <v>695000</v>
      </c>
      <c r="E607" s="2">
        <v>4714000</v>
      </c>
      <c r="J607" s="3">
        <f t="shared" si="13"/>
        <v>35307.864255232671</v>
      </c>
      <c r="K607" s="3">
        <f t="shared" si="14"/>
        <v>4714</v>
      </c>
      <c r="L607" s="3" t="e">
        <f t="shared" si="15"/>
        <v>#N/A</v>
      </c>
      <c r="M607" s="3" t="e">
        <f t="shared" si="16"/>
        <v>#N/A</v>
      </c>
      <c r="N607" s="3" t="e">
        <f t="shared" si="17"/>
        <v>#N/A</v>
      </c>
      <c r="O607" s="3" t="e">
        <f t="shared" si="18"/>
        <v>#N/A</v>
      </c>
    </row>
    <row r="608" spans="1:15" ht="14.25" customHeight="1">
      <c r="A608" s="2" t="s">
        <v>15</v>
      </c>
      <c r="B608" s="2">
        <v>1962</v>
      </c>
      <c r="C608" s="2" t="s">
        <v>25</v>
      </c>
      <c r="D608" s="2">
        <v>710000</v>
      </c>
      <c r="E608" s="2">
        <v>4609000</v>
      </c>
      <c r="J608" s="3">
        <f t="shared" si="13"/>
        <v>36069.904490957124</v>
      </c>
      <c r="K608" s="3">
        <f t="shared" si="14"/>
        <v>4609</v>
      </c>
      <c r="L608" s="3" t="e">
        <f t="shared" si="15"/>
        <v>#N/A</v>
      </c>
      <c r="M608" s="3" t="e">
        <f t="shared" si="16"/>
        <v>#N/A</v>
      </c>
      <c r="N608" s="3" t="e">
        <f t="shared" si="17"/>
        <v>#N/A</v>
      </c>
      <c r="O608" s="3" t="e">
        <f t="shared" si="18"/>
        <v>#N/A</v>
      </c>
    </row>
    <row r="609" spans="1:15" ht="14.25" customHeight="1">
      <c r="A609" s="2" t="s">
        <v>15</v>
      </c>
      <c r="B609" s="2">
        <v>1963</v>
      </c>
      <c r="C609" s="2" t="s">
        <v>25</v>
      </c>
      <c r="D609" s="2">
        <v>796000</v>
      </c>
      <c r="E609" s="2">
        <v>4812000</v>
      </c>
      <c r="J609" s="3">
        <f t="shared" si="13"/>
        <v>40438.935175777282</v>
      </c>
      <c r="K609" s="3">
        <f t="shared" si="14"/>
        <v>4812</v>
      </c>
      <c r="L609" s="3" t="e">
        <f t="shared" si="15"/>
        <v>#N/A</v>
      </c>
      <c r="M609" s="3" t="e">
        <f t="shared" si="16"/>
        <v>#N/A</v>
      </c>
      <c r="N609" s="3" t="e">
        <f t="shared" si="17"/>
        <v>#N/A</v>
      </c>
      <c r="O609" s="3" t="e">
        <f t="shared" si="18"/>
        <v>#N/A</v>
      </c>
    </row>
    <row r="610" spans="1:15" ht="14.25" customHeight="1">
      <c r="A610" s="2" t="s">
        <v>15</v>
      </c>
      <c r="B610" s="2">
        <v>1964</v>
      </c>
      <c r="C610" s="2" t="s">
        <v>25</v>
      </c>
      <c r="D610" s="2">
        <v>823000</v>
      </c>
      <c r="E610" s="2">
        <v>5392000</v>
      </c>
      <c r="J610" s="3">
        <f t="shared" si="13"/>
        <v>41810.607600081283</v>
      </c>
      <c r="K610" s="3">
        <f t="shared" si="14"/>
        <v>5392</v>
      </c>
      <c r="L610" s="3" t="e">
        <f t="shared" si="15"/>
        <v>#N/A</v>
      </c>
      <c r="M610" s="3" t="e">
        <f t="shared" si="16"/>
        <v>#N/A</v>
      </c>
      <c r="N610" s="3" t="e">
        <f t="shared" si="17"/>
        <v>#N/A</v>
      </c>
      <c r="O610" s="3" t="e">
        <f t="shared" si="18"/>
        <v>#N/A</v>
      </c>
    </row>
    <row r="611" spans="1:15" ht="14.25" customHeight="1">
      <c r="A611" s="2" t="s">
        <v>15</v>
      </c>
      <c r="B611" s="2">
        <v>1900</v>
      </c>
      <c r="C611" s="2" t="s">
        <v>24</v>
      </c>
      <c r="D611" s="4" t="s">
        <v>17</v>
      </c>
      <c r="E611" s="4" t="s">
        <v>17</v>
      </c>
      <c r="J611" s="3" t="e">
        <f t="shared" si="13"/>
        <v>#VALUE!</v>
      </c>
      <c r="K611" s="3" t="e">
        <f t="shared" si="14"/>
        <v>#VALUE!</v>
      </c>
      <c r="L611" s="3" t="e">
        <f t="shared" si="15"/>
        <v>#N/A</v>
      </c>
      <c r="M611" s="3" t="e">
        <f t="shared" si="16"/>
        <v>#N/A</v>
      </c>
      <c r="N611" s="3" t="e">
        <f t="shared" si="17"/>
        <v>#N/A</v>
      </c>
      <c r="O611" s="3" t="e">
        <f t="shared" si="18"/>
        <v>#N/A</v>
      </c>
    </row>
    <row r="612" spans="1:15" ht="14.25" customHeight="1">
      <c r="A612" s="2" t="s">
        <v>15</v>
      </c>
      <c r="B612" s="2">
        <v>1901</v>
      </c>
      <c r="C612" s="2" t="s">
        <v>24</v>
      </c>
      <c r="D612" s="4" t="s">
        <v>17</v>
      </c>
      <c r="E612" s="4" t="s">
        <v>17</v>
      </c>
      <c r="J612" s="3" t="e">
        <f t="shared" si="13"/>
        <v>#VALUE!</v>
      </c>
      <c r="K612" s="3" t="e">
        <f t="shared" si="14"/>
        <v>#VALUE!</v>
      </c>
      <c r="L612" s="3" t="e">
        <f t="shared" si="15"/>
        <v>#N/A</v>
      </c>
      <c r="M612" s="3" t="e">
        <f t="shared" si="16"/>
        <v>#N/A</v>
      </c>
      <c r="N612" s="3" t="e">
        <f t="shared" si="17"/>
        <v>#N/A</v>
      </c>
      <c r="O612" s="3" t="e">
        <f t="shared" si="18"/>
        <v>#N/A</v>
      </c>
    </row>
    <row r="613" spans="1:15" ht="14.25" customHeight="1">
      <c r="A613" s="2" t="s">
        <v>15</v>
      </c>
      <c r="B613" s="2">
        <v>1902</v>
      </c>
      <c r="C613" s="2" t="s">
        <v>24</v>
      </c>
      <c r="D613" s="4">
        <v>403247</v>
      </c>
      <c r="E613" s="4">
        <v>181392</v>
      </c>
      <c r="J613" s="3">
        <f t="shared" si="13"/>
        <v>20486.029262345051</v>
      </c>
      <c r="K613" s="3">
        <f t="shared" si="14"/>
        <v>181.392</v>
      </c>
      <c r="L613" s="3" t="e">
        <f t="shared" si="15"/>
        <v>#N/A</v>
      </c>
      <c r="M613" s="3" t="e">
        <f t="shared" si="16"/>
        <v>#N/A</v>
      </c>
      <c r="N613" s="3" t="e">
        <f t="shared" si="17"/>
        <v>#N/A</v>
      </c>
      <c r="O613" s="3" t="e">
        <f t="shared" si="18"/>
        <v>#N/A</v>
      </c>
    </row>
    <row r="614" spans="1:15" ht="14.25" customHeight="1">
      <c r="A614" s="2" t="s">
        <v>15</v>
      </c>
      <c r="B614" s="2">
        <v>1903</v>
      </c>
      <c r="C614" s="2" t="s">
        <v>24</v>
      </c>
      <c r="D614" s="4"/>
      <c r="E614" s="4"/>
      <c r="J614" s="3" t="e">
        <f t="shared" si="13"/>
        <v>#N/A</v>
      </c>
      <c r="K614" s="3" t="e">
        <f t="shared" si="14"/>
        <v>#N/A</v>
      </c>
      <c r="L614" s="3" t="e">
        <f t="shared" si="15"/>
        <v>#N/A</v>
      </c>
      <c r="M614" s="3" t="e">
        <f t="shared" si="16"/>
        <v>#N/A</v>
      </c>
      <c r="N614" s="3" t="e">
        <f t="shared" si="17"/>
        <v>#N/A</v>
      </c>
      <c r="O614" s="3" t="e">
        <f t="shared" si="18"/>
        <v>#N/A</v>
      </c>
    </row>
    <row r="615" spans="1:15" ht="14.25" customHeight="1">
      <c r="A615" s="2" t="s">
        <v>15</v>
      </c>
      <c r="B615" s="2">
        <v>1904</v>
      </c>
      <c r="C615" s="2" t="s">
        <v>24</v>
      </c>
      <c r="D615" s="4"/>
      <c r="E615" s="4"/>
      <c r="J615" s="3" t="e">
        <f t="shared" si="13"/>
        <v>#N/A</v>
      </c>
      <c r="K615" s="3" t="e">
        <f t="shared" si="14"/>
        <v>#N/A</v>
      </c>
      <c r="L615" s="3" t="e">
        <f t="shared" si="15"/>
        <v>#N/A</v>
      </c>
      <c r="M615" s="3" t="e">
        <f t="shared" si="16"/>
        <v>#N/A</v>
      </c>
      <c r="N615" s="3" t="e">
        <f t="shared" si="17"/>
        <v>#N/A</v>
      </c>
      <c r="O615" s="3" t="e">
        <f t="shared" si="18"/>
        <v>#N/A</v>
      </c>
    </row>
    <row r="616" spans="1:15" ht="14.25" customHeight="1">
      <c r="A616" s="2" t="s">
        <v>15</v>
      </c>
      <c r="B616" s="2">
        <v>1905</v>
      </c>
      <c r="C616" s="2" t="s">
        <v>24</v>
      </c>
      <c r="D616" s="4"/>
      <c r="E616" s="4"/>
      <c r="J616" s="3" t="e">
        <f t="shared" si="13"/>
        <v>#N/A</v>
      </c>
      <c r="K616" s="3" t="e">
        <f t="shared" si="14"/>
        <v>#N/A</v>
      </c>
      <c r="L616" s="3" t="e">
        <f t="shared" si="15"/>
        <v>#N/A</v>
      </c>
      <c r="M616" s="3" t="e">
        <f t="shared" si="16"/>
        <v>#N/A</v>
      </c>
      <c r="N616" s="3" t="e">
        <f t="shared" si="17"/>
        <v>#N/A</v>
      </c>
      <c r="O616" s="3" t="e">
        <f t="shared" si="18"/>
        <v>#N/A</v>
      </c>
    </row>
    <row r="617" spans="1:15" ht="14.25" customHeight="1">
      <c r="A617" s="2" t="s">
        <v>15</v>
      </c>
      <c r="B617" s="2">
        <v>1906</v>
      </c>
      <c r="C617" s="2" t="s">
        <v>24</v>
      </c>
      <c r="J617" s="3" t="e">
        <f t="shared" si="13"/>
        <v>#N/A</v>
      </c>
      <c r="K617" s="3" t="e">
        <f t="shared" si="14"/>
        <v>#N/A</v>
      </c>
      <c r="L617" s="3" t="e">
        <f t="shared" si="15"/>
        <v>#N/A</v>
      </c>
      <c r="M617" s="3" t="e">
        <f t="shared" si="16"/>
        <v>#N/A</v>
      </c>
      <c r="N617" s="3" t="e">
        <f t="shared" si="17"/>
        <v>#N/A</v>
      </c>
      <c r="O617" s="3" t="e">
        <f t="shared" si="18"/>
        <v>#N/A</v>
      </c>
    </row>
    <row r="618" spans="1:15" ht="14.25" customHeight="1">
      <c r="A618" s="2" t="s">
        <v>15</v>
      </c>
      <c r="B618" s="2">
        <v>1907</v>
      </c>
      <c r="C618" s="2" t="s">
        <v>24</v>
      </c>
      <c r="J618" s="3" t="e">
        <f t="shared" si="13"/>
        <v>#N/A</v>
      </c>
      <c r="K618" s="3" t="e">
        <f t="shared" si="14"/>
        <v>#N/A</v>
      </c>
      <c r="L618" s="3" t="e">
        <f t="shared" si="15"/>
        <v>#N/A</v>
      </c>
      <c r="M618" s="3" t="e">
        <f t="shared" si="16"/>
        <v>#N/A</v>
      </c>
      <c r="N618" s="3" t="e">
        <f t="shared" si="17"/>
        <v>#N/A</v>
      </c>
      <c r="O618" s="3" t="e">
        <f t="shared" si="18"/>
        <v>#N/A</v>
      </c>
    </row>
    <row r="619" spans="1:15" ht="14.25" customHeight="1">
      <c r="A619" s="2" t="s">
        <v>15</v>
      </c>
      <c r="B619" s="2">
        <v>1908</v>
      </c>
      <c r="C619" s="2" t="s">
        <v>24</v>
      </c>
      <c r="J619" s="3" t="e">
        <f t="shared" si="13"/>
        <v>#N/A</v>
      </c>
      <c r="K619" s="3" t="e">
        <f t="shared" si="14"/>
        <v>#N/A</v>
      </c>
      <c r="L619" s="3" t="e">
        <f t="shared" si="15"/>
        <v>#N/A</v>
      </c>
      <c r="M619" s="3" t="e">
        <f t="shared" si="16"/>
        <v>#N/A</v>
      </c>
      <c r="N619" s="3" t="e">
        <f t="shared" si="17"/>
        <v>#N/A</v>
      </c>
      <c r="O619" s="3" t="e">
        <f t="shared" si="18"/>
        <v>#N/A</v>
      </c>
    </row>
    <row r="620" spans="1:15" ht="14.25" customHeight="1">
      <c r="A620" s="2" t="s">
        <v>15</v>
      </c>
      <c r="B620" s="2">
        <v>1909</v>
      </c>
      <c r="C620" s="2" t="s">
        <v>24</v>
      </c>
      <c r="J620" s="3" t="e">
        <f t="shared" si="13"/>
        <v>#N/A</v>
      </c>
      <c r="K620" s="3" t="e">
        <f t="shared" si="14"/>
        <v>#N/A</v>
      </c>
      <c r="L620" s="3" t="e">
        <f t="shared" si="15"/>
        <v>#N/A</v>
      </c>
      <c r="M620" s="3" t="e">
        <f t="shared" si="16"/>
        <v>#N/A</v>
      </c>
      <c r="N620" s="3" t="e">
        <f t="shared" si="17"/>
        <v>#N/A</v>
      </c>
      <c r="O620" s="3" t="e">
        <f t="shared" si="18"/>
        <v>#N/A</v>
      </c>
    </row>
    <row r="621" spans="1:15" ht="14.25" customHeight="1">
      <c r="A621" s="2" t="s">
        <v>15</v>
      </c>
      <c r="B621" s="2">
        <v>1910</v>
      </c>
      <c r="C621" s="2" t="s">
        <v>24</v>
      </c>
      <c r="J621" s="3" t="e">
        <f t="shared" si="13"/>
        <v>#N/A</v>
      </c>
      <c r="K621" s="3" t="e">
        <f t="shared" si="14"/>
        <v>#N/A</v>
      </c>
      <c r="L621" s="3" t="e">
        <f t="shared" si="15"/>
        <v>#N/A</v>
      </c>
      <c r="M621" s="3" t="e">
        <f t="shared" si="16"/>
        <v>#N/A</v>
      </c>
      <c r="N621" s="3" t="e">
        <f t="shared" si="17"/>
        <v>#N/A</v>
      </c>
      <c r="O621" s="3" t="e">
        <f t="shared" si="18"/>
        <v>#N/A</v>
      </c>
    </row>
    <row r="622" spans="1:15" ht="14.25" customHeight="1">
      <c r="A622" s="2" t="s">
        <v>15</v>
      </c>
      <c r="B622" s="2">
        <v>1911</v>
      </c>
      <c r="C622" s="2" t="s">
        <v>24</v>
      </c>
      <c r="D622" s="2">
        <v>457260</v>
      </c>
      <c r="J622" s="3">
        <f t="shared" si="13"/>
        <v>23230.034545824019</v>
      </c>
      <c r="K622" s="3" t="e">
        <f t="shared" si="14"/>
        <v>#N/A</v>
      </c>
      <c r="L622" s="3" t="e">
        <f t="shared" si="15"/>
        <v>#N/A</v>
      </c>
      <c r="M622" s="3" t="e">
        <f t="shared" si="16"/>
        <v>#N/A</v>
      </c>
      <c r="N622" s="3" t="e">
        <f t="shared" si="17"/>
        <v>#N/A</v>
      </c>
      <c r="O622" s="3" t="e">
        <f t="shared" si="18"/>
        <v>#N/A</v>
      </c>
    </row>
    <row r="623" spans="1:15" ht="14.25" customHeight="1">
      <c r="A623" s="2" t="s">
        <v>15</v>
      </c>
      <c r="B623" s="2">
        <v>1912</v>
      </c>
      <c r="C623" s="2" t="s">
        <v>24</v>
      </c>
      <c r="D623" s="2">
        <v>580838</v>
      </c>
      <c r="J623" s="3">
        <f t="shared" si="13"/>
        <v>29508.128429181059</v>
      </c>
      <c r="K623" s="3" t="e">
        <f t="shared" si="14"/>
        <v>#N/A</v>
      </c>
      <c r="L623" s="3" t="e">
        <f t="shared" si="15"/>
        <v>#N/A</v>
      </c>
      <c r="M623" s="3" t="e">
        <f t="shared" si="16"/>
        <v>#N/A</v>
      </c>
      <c r="N623" s="3" t="e">
        <f t="shared" si="17"/>
        <v>#N/A</v>
      </c>
      <c r="O623" s="3" t="e">
        <f t="shared" si="18"/>
        <v>#N/A</v>
      </c>
    </row>
    <row r="624" spans="1:15" ht="14.25" customHeight="1">
      <c r="A624" s="2" t="s">
        <v>15</v>
      </c>
      <c r="B624" s="2">
        <v>1913</v>
      </c>
      <c r="C624" s="2" t="s">
        <v>24</v>
      </c>
      <c r="D624" s="2">
        <v>649890</v>
      </c>
      <c r="J624" s="3">
        <f t="shared" si="13"/>
        <v>33016.155252997356</v>
      </c>
      <c r="K624" s="3" t="e">
        <f t="shared" si="14"/>
        <v>#N/A</v>
      </c>
      <c r="L624" s="3" t="e">
        <f t="shared" si="15"/>
        <v>#N/A</v>
      </c>
      <c r="M624" s="3" t="e">
        <f t="shared" si="16"/>
        <v>#N/A</v>
      </c>
      <c r="N624" s="3" t="e">
        <f t="shared" si="17"/>
        <v>#N/A</v>
      </c>
      <c r="O624" s="3" t="e">
        <f t="shared" si="18"/>
        <v>#N/A</v>
      </c>
    </row>
    <row r="625" spans="1:15" ht="14.25" customHeight="1">
      <c r="A625" s="2" t="s">
        <v>15</v>
      </c>
      <c r="B625" s="2">
        <v>1914</v>
      </c>
      <c r="C625" s="2" t="s">
        <v>24</v>
      </c>
      <c r="J625" s="3" t="e">
        <f t="shared" si="13"/>
        <v>#N/A</v>
      </c>
      <c r="K625" s="3" t="e">
        <f t="shared" si="14"/>
        <v>#N/A</v>
      </c>
      <c r="L625" s="3" t="e">
        <f t="shared" si="15"/>
        <v>#N/A</v>
      </c>
      <c r="M625" s="3" t="e">
        <f t="shared" si="16"/>
        <v>#N/A</v>
      </c>
      <c r="N625" s="3" t="e">
        <f t="shared" si="17"/>
        <v>#N/A</v>
      </c>
      <c r="O625" s="3" t="e">
        <f t="shared" si="18"/>
        <v>#N/A</v>
      </c>
    </row>
    <row r="626" spans="1:15" ht="14.25" customHeight="1">
      <c r="A626" s="2" t="s">
        <v>15</v>
      </c>
      <c r="B626" s="2">
        <v>1915</v>
      </c>
      <c r="C626" s="2" t="s">
        <v>24</v>
      </c>
      <c r="J626" s="3" t="e">
        <f t="shared" si="13"/>
        <v>#N/A</v>
      </c>
      <c r="K626" s="3" t="e">
        <f t="shared" si="14"/>
        <v>#N/A</v>
      </c>
      <c r="L626" s="3" t="e">
        <f t="shared" si="15"/>
        <v>#N/A</v>
      </c>
      <c r="M626" s="3" t="e">
        <f t="shared" si="16"/>
        <v>#N/A</v>
      </c>
      <c r="N626" s="3" t="e">
        <f t="shared" si="17"/>
        <v>#N/A</v>
      </c>
      <c r="O626" s="3" t="e">
        <f t="shared" si="18"/>
        <v>#N/A</v>
      </c>
    </row>
    <row r="627" spans="1:15" ht="14.25" customHeight="1">
      <c r="A627" s="2" t="s">
        <v>15</v>
      </c>
      <c r="B627" s="2">
        <v>1916</v>
      </c>
      <c r="C627" s="2" t="s">
        <v>24</v>
      </c>
      <c r="J627" s="3" t="e">
        <f t="shared" si="13"/>
        <v>#N/A</v>
      </c>
      <c r="K627" s="3" t="e">
        <f t="shared" si="14"/>
        <v>#N/A</v>
      </c>
      <c r="L627" s="3" t="e">
        <f t="shared" si="15"/>
        <v>#N/A</v>
      </c>
      <c r="M627" s="3" t="e">
        <f t="shared" si="16"/>
        <v>#N/A</v>
      </c>
      <c r="N627" s="3" t="e">
        <f t="shared" si="17"/>
        <v>#N/A</v>
      </c>
      <c r="O627" s="3" t="e">
        <f t="shared" si="18"/>
        <v>#N/A</v>
      </c>
    </row>
    <row r="628" spans="1:15" ht="14.25" customHeight="1">
      <c r="A628" s="2" t="s">
        <v>15</v>
      </c>
      <c r="B628" s="2">
        <v>1917</v>
      </c>
      <c r="C628" s="2" t="s">
        <v>24</v>
      </c>
      <c r="J628" s="3" t="e">
        <f t="shared" si="13"/>
        <v>#N/A</v>
      </c>
      <c r="K628" s="3" t="e">
        <f t="shared" si="14"/>
        <v>#N/A</v>
      </c>
      <c r="L628" s="3" t="e">
        <f t="shared" si="15"/>
        <v>#N/A</v>
      </c>
      <c r="M628" s="3" t="e">
        <f t="shared" si="16"/>
        <v>#N/A</v>
      </c>
      <c r="N628" s="3" t="e">
        <f t="shared" si="17"/>
        <v>#N/A</v>
      </c>
      <c r="O628" s="3" t="e">
        <f t="shared" si="18"/>
        <v>#N/A</v>
      </c>
    </row>
    <row r="629" spans="1:15" ht="14.25" customHeight="1">
      <c r="A629" s="2" t="s">
        <v>15</v>
      </c>
      <c r="B629" s="2">
        <v>1918</v>
      </c>
      <c r="C629" s="2" t="s">
        <v>24</v>
      </c>
      <c r="J629" s="3" t="e">
        <f t="shared" si="13"/>
        <v>#N/A</v>
      </c>
      <c r="K629" s="3" t="e">
        <f t="shared" si="14"/>
        <v>#N/A</v>
      </c>
      <c r="L629" s="3" t="e">
        <f t="shared" si="15"/>
        <v>#N/A</v>
      </c>
      <c r="M629" s="3" t="e">
        <f t="shared" si="16"/>
        <v>#N/A</v>
      </c>
      <c r="N629" s="3" t="e">
        <f t="shared" si="17"/>
        <v>#N/A</v>
      </c>
      <c r="O629" s="3" t="e">
        <f t="shared" si="18"/>
        <v>#N/A</v>
      </c>
    </row>
    <row r="630" spans="1:15" ht="14.25" customHeight="1">
      <c r="A630" s="2" t="s">
        <v>15</v>
      </c>
      <c r="B630" s="2">
        <v>1919</v>
      </c>
      <c r="C630" s="2" t="s">
        <v>24</v>
      </c>
      <c r="D630" s="2">
        <v>364830</v>
      </c>
      <c r="J630" s="3">
        <f t="shared" si="13"/>
        <v>18534.34261328998</v>
      </c>
      <c r="K630" s="3" t="e">
        <f t="shared" si="14"/>
        <v>#N/A</v>
      </c>
      <c r="L630" s="3" t="e">
        <f t="shared" si="15"/>
        <v>#N/A</v>
      </c>
      <c r="M630" s="3" t="e">
        <f t="shared" si="16"/>
        <v>#N/A</v>
      </c>
      <c r="N630" s="3" t="e">
        <f t="shared" si="17"/>
        <v>#N/A</v>
      </c>
      <c r="O630" s="3" t="e">
        <f t="shared" si="18"/>
        <v>#N/A</v>
      </c>
    </row>
    <row r="631" spans="1:15" ht="14.25" customHeight="1">
      <c r="A631" s="2" t="s">
        <v>15</v>
      </c>
      <c r="B631" s="2">
        <v>1920</v>
      </c>
      <c r="C631" s="2" t="s">
        <v>24</v>
      </c>
      <c r="D631" s="2">
        <v>569657</v>
      </c>
      <c r="J631" s="3">
        <f t="shared" si="13"/>
        <v>28940.103637472057</v>
      </c>
      <c r="K631" s="3" t="e">
        <f t="shared" si="14"/>
        <v>#N/A</v>
      </c>
      <c r="L631" s="3" t="e">
        <f t="shared" si="15"/>
        <v>#N/A</v>
      </c>
      <c r="M631" s="3" t="e">
        <f t="shared" si="16"/>
        <v>#N/A</v>
      </c>
      <c r="N631" s="3" t="e">
        <f t="shared" si="17"/>
        <v>#N/A</v>
      </c>
      <c r="O631" s="3" t="e">
        <f t="shared" si="18"/>
        <v>#N/A</v>
      </c>
    </row>
    <row r="632" spans="1:15" ht="14.25" customHeight="1">
      <c r="A632" s="2" t="s">
        <v>15</v>
      </c>
      <c r="B632" s="2">
        <v>1921</v>
      </c>
      <c r="C632" s="2" t="s">
        <v>24</v>
      </c>
      <c r="D632" s="2">
        <v>561907</v>
      </c>
      <c r="J632" s="3">
        <f t="shared" si="13"/>
        <v>28546.382849014426</v>
      </c>
      <c r="K632" s="3" t="e">
        <f t="shared" si="14"/>
        <v>#N/A</v>
      </c>
      <c r="L632" s="3" t="e">
        <f t="shared" si="15"/>
        <v>#N/A</v>
      </c>
      <c r="M632" s="3" t="e">
        <f t="shared" si="16"/>
        <v>#N/A</v>
      </c>
      <c r="N632" s="3" t="e">
        <f t="shared" si="17"/>
        <v>#N/A</v>
      </c>
      <c r="O632" s="3" t="e">
        <f t="shared" si="18"/>
        <v>#N/A</v>
      </c>
    </row>
    <row r="633" spans="1:15" ht="14.25" customHeight="1">
      <c r="A633" s="2" t="s">
        <v>15</v>
      </c>
      <c r="B633" s="2">
        <v>1922</v>
      </c>
      <c r="C633" s="2" t="s">
        <v>24</v>
      </c>
      <c r="D633" s="2">
        <v>480734</v>
      </c>
      <c r="J633" s="3">
        <f t="shared" si="13"/>
        <v>24422.576712050395</v>
      </c>
      <c r="K633" s="3" t="e">
        <f t="shared" si="14"/>
        <v>#N/A</v>
      </c>
      <c r="L633" s="3" t="e">
        <f t="shared" si="15"/>
        <v>#N/A</v>
      </c>
      <c r="M633" s="3" t="e">
        <f t="shared" si="16"/>
        <v>#N/A</v>
      </c>
      <c r="N633" s="3" t="e">
        <f t="shared" si="17"/>
        <v>#N/A</v>
      </c>
      <c r="O633" s="3" t="e">
        <f t="shared" si="18"/>
        <v>#N/A</v>
      </c>
    </row>
    <row r="634" spans="1:15" ht="14.25" customHeight="1">
      <c r="A634" s="2" t="s">
        <v>15</v>
      </c>
      <c r="B634" s="2">
        <v>1923</v>
      </c>
      <c r="C634" s="2" t="s">
        <v>24</v>
      </c>
      <c r="D634" s="2">
        <v>471519</v>
      </c>
      <c r="J634" s="3">
        <f t="shared" si="13"/>
        <v>23954.429993903675</v>
      </c>
      <c r="K634" s="3" t="e">
        <f t="shared" si="14"/>
        <v>#N/A</v>
      </c>
      <c r="L634" s="3" t="e">
        <f t="shared" si="15"/>
        <v>#N/A</v>
      </c>
      <c r="M634" s="3" t="e">
        <f t="shared" si="16"/>
        <v>#N/A</v>
      </c>
      <c r="N634" s="3" t="e">
        <f t="shared" si="17"/>
        <v>#N/A</v>
      </c>
      <c r="O634" s="3" t="e">
        <f t="shared" si="18"/>
        <v>#N/A</v>
      </c>
    </row>
    <row r="635" spans="1:15" ht="14.25" customHeight="1">
      <c r="A635" s="2" t="s">
        <v>15</v>
      </c>
      <c r="B635" s="2">
        <v>1924</v>
      </c>
      <c r="C635" s="2" t="s">
        <v>24</v>
      </c>
      <c r="D635" s="2">
        <v>516957</v>
      </c>
      <c r="J635" s="3">
        <f t="shared" si="13"/>
        <v>26262.80227596017</v>
      </c>
      <c r="K635" s="3" t="e">
        <f t="shared" si="14"/>
        <v>#N/A</v>
      </c>
      <c r="L635" s="3" t="e">
        <f t="shared" si="15"/>
        <v>#N/A</v>
      </c>
      <c r="M635" s="3" t="e">
        <f t="shared" si="16"/>
        <v>#N/A</v>
      </c>
      <c r="N635" s="3" t="e">
        <f t="shared" si="17"/>
        <v>#N/A</v>
      </c>
      <c r="O635" s="3" t="e">
        <f t="shared" si="18"/>
        <v>#N/A</v>
      </c>
    </row>
    <row r="636" spans="1:15" ht="14.25" customHeight="1">
      <c r="A636" s="2" t="s">
        <v>15</v>
      </c>
      <c r="B636" s="2">
        <v>1925</v>
      </c>
      <c r="C636" s="2" t="s">
        <v>24</v>
      </c>
      <c r="D636" s="2">
        <v>432109</v>
      </c>
      <c r="J636" s="3">
        <f t="shared" si="13"/>
        <v>21952.296281243649</v>
      </c>
      <c r="K636" s="3" t="e">
        <f t="shared" si="14"/>
        <v>#N/A</v>
      </c>
      <c r="L636" s="3" t="e">
        <f t="shared" si="15"/>
        <v>#N/A</v>
      </c>
      <c r="M636" s="3" t="e">
        <f t="shared" si="16"/>
        <v>#N/A</v>
      </c>
      <c r="N636" s="3" t="e">
        <f t="shared" si="17"/>
        <v>#N/A</v>
      </c>
      <c r="O636" s="3" t="e">
        <f t="shared" si="18"/>
        <v>#N/A</v>
      </c>
    </row>
    <row r="637" spans="1:15" ht="14.25" customHeight="1">
      <c r="A637" s="2" t="s">
        <v>15</v>
      </c>
      <c r="B637" s="2">
        <v>1926</v>
      </c>
      <c r="C637" s="2" t="s">
        <v>24</v>
      </c>
      <c r="D637" s="2">
        <v>437529</v>
      </c>
      <c r="J637" s="3">
        <f t="shared" si="13"/>
        <v>22227.646819752081</v>
      </c>
      <c r="K637" s="3" t="e">
        <f t="shared" si="14"/>
        <v>#N/A</v>
      </c>
      <c r="L637" s="3" t="e">
        <f t="shared" si="15"/>
        <v>#N/A</v>
      </c>
      <c r="M637" s="3" t="e">
        <f t="shared" si="16"/>
        <v>#N/A</v>
      </c>
      <c r="N637" s="3" t="e">
        <f t="shared" si="17"/>
        <v>#N/A</v>
      </c>
      <c r="O637" s="3" t="e">
        <f t="shared" si="18"/>
        <v>#N/A</v>
      </c>
    </row>
    <row r="638" spans="1:15" ht="14.25" customHeight="1">
      <c r="A638" s="2" t="s">
        <v>15</v>
      </c>
      <c r="B638" s="2">
        <v>1927</v>
      </c>
      <c r="C638" s="2" t="s">
        <v>24</v>
      </c>
      <c r="D638" s="2">
        <v>503477</v>
      </c>
      <c r="J638" s="3">
        <f t="shared" si="13"/>
        <v>25577.982117455802</v>
      </c>
      <c r="K638" s="3" t="e">
        <f t="shared" si="14"/>
        <v>#N/A</v>
      </c>
      <c r="L638" s="3" t="e">
        <f t="shared" si="15"/>
        <v>#N/A</v>
      </c>
      <c r="M638" s="3" t="e">
        <f t="shared" si="16"/>
        <v>#N/A</v>
      </c>
      <c r="N638" s="3" t="e">
        <f t="shared" si="17"/>
        <v>#N/A</v>
      </c>
      <c r="O638" s="3" t="e">
        <f t="shared" si="18"/>
        <v>#N/A</v>
      </c>
    </row>
    <row r="639" spans="1:15" ht="14.25" customHeight="1">
      <c r="A639" s="2" t="s">
        <v>15</v>
      </c>
      <c r="B639" s="2">
        <v>1928</v>
      </c>
      <c r="C639" s="2" t="s">
        <v>24</v>
      </c>
      <c r="D639" s="2">
        <v>509646</v>
      </c>
      <c r="J639" s="3">
        <f t="shared" si="13"/>
        <v>25891.383865068074</v>
      </c>
      <c r="K639" s="3" t="e">
        <f t="shared" si="14"/>
        <v>#N/A</v>
      </c>
      <c r="L639" s="3" t="e">
        <f t="shared" si="15"/>
        <v>#N/A</v>
      </c>
      <c r="M639" s="3" t="e">
        <f t="shared" si="16"/>
        <v>#N/A</v>
      </c>
      <c r="N639" s="3" t="e">
        <f t="shared" si="17"/>
        <v>#N/A</v>
      </c>
      <c r="O639" s="3" t="e">
        <f t="shared" si="18"/>
        <v>#N/A</v>
      </c>
    </row>
    <row r="640" spans="1:15" ht="14.25" customHeight="1">
      <c r="A640" s="2" t="s">
        <v>15</v>
      </c>
      <c r="B640" s="2">
        <v>1929</v>
      </c>
      <c r="C640" s="2" t="s">
        <v>24</v>
      </c>
      <c r="D640" s="2">
        <v>599121</v>
      </c>
      <c r="J640" s="3">
        <f t="shared" si="13"/>
        <v>30436.953871164395</v>
      </c>
      <c r="K640" s="3" t="e">
        <f t="shared" si="14"/>
        <v>#N/A</v>
      </c>
      <c r="L640" s="3" t="e">
        <f t="shared" si="15"/>
        <v>#N/A</v>
      </c>
      <c r="M640" s="3" t="e">
        <f t="shared" si="16"/>
        <v>#N/A</v>
      </c>
      <c r="N640" s="3" t="e">
        <f t="shared" si="17"/>
        <v>#N/A</v>
      </c>
      <c r="O640" s="3" t="e">
        <f t="shared" si="18"/>
        <v>#N/A</v>
      </c>
    </row>
    <row r="641" spans="1:15" ht="14.25" customHeight="1">
      <c r="A641" s="2" t="s">
        <v>15</v>
      </c>
      <c r="B641" s="2">
        <v>1930</v>
      </c>
      <c r="C641" s="2" t="s">
        <v>24</v>
      </c>
      <c r="D641" s="2">
        <v>552770</v>
      </c>
      <c r="J641" s="3">
        <f t="shared" si="13"/>
        <v>28082.198740093474</v>
      </c>
      <c r="K641" s="3" t="e">
        <f t="shared" si="14"/>
        <v>#N/A</v>
      </c>
      <c r="L641" s="3" t="e">
        <f t="shared" si="15"/>
        <v>#N/A</v>
      </c>
      <c r="M641" s="3" t="e">
        <f t="shared" si="16"/>
        <v>#N/A</v>
      </c>
      <c r="N641" s="3" t="e">
        <f t="shared" si="17"/>
        <v>#N/A</v>
      </c>
      <c r="O641" s="3" t="e">
        <f t="shared" si="18"/>
        <v>#N/A</v>
      </c>
    </row>
    <row r="642" spans="1:15" ht="14.25" customHeight="1">
      <c r="A642" s="2" t="s">
        <v>15</v>
      </c>
      <c r="B642" s="2">
        <v>1931</v>
      </c>
      <c r="C642" s="2" t="s">
        <v>24</v>
      </c>
      <c r="D642" s="2">
        <v>616857</v>
      </c>
      <c r="J642" s="3">
        <f t="shared" si="13"/>
        <v>31337.990245884983</v>
      </c>
      <c r="K642" s="3" t="e">
        <f t="shared" si="14"/>
        <v>#N/A</v>
      </c>
      <c r="L642" s="3" t="e">
        <f t="shared" si="15"/>
        <v>#N/A</v>
      </c>
      <c r="M642" s="3" t="e">
        <f t="shared" si="16"/>
        <v>#N/A</v>
      </c>
      <c r="N642" s="3" t="e">
        <f t="shared" si="17"/>
        <v>#N/A</v>
      </c>
      <c r="O642" s="3" t="e">
        <f t="shared" si="18"/>
        <v>#N/A</v>
      </c>
    </row>
    <row r="643" spans="1:15" ht="14.25" customHeight="1">
      <c r="A643" s="2" t="s">
        <v>15</v>
      </c>
      <c r="B643" s="2">
        <v>1932</v>
      </c>
      <c r="C643" s="2" t="s">
        <v>24</v>
      </c>
      <c r="D643" s="2">
        <v>690637</v>
      </c>
      <c r="J643" s="3">
        <f t="shared" si="13"/>
        <v>35086.212152001623</v>
      </c>
      <c r="K643" s="3" t="e">
        <f t="shared" si="14"/>
        <v>#N/A</v>
      </c>
      <c r="L643" s="3" t="e">
        <f t="shared" si="15"/>
        <v>#N/A</v>
      </c>
      <c r="M643" s="3" t="e">
        <f t="shared" si="16"/>
        <v>#N/A</v>
      </c>
      <c r="N643" s="3" t="e">
        <f t="shared" si="17"/>
        <v>#N/A</v>
      </c>
      <c r="O643" s="3" t="e">
        <f t="shared" si="18"/>
        <v>#N/A</v>
      </c>
    </row>
    <row r="644" spans="1:15" ht="14.25" customHeight="1">
      <c r="A644" s="2" t="s">
        <v>15</v>
      </c>
      <c r="B644" s="2">
        <v>1933</v>
      </c>
      <c r="C644" s="2" t="s">
        <v>24</v>
      </c>
      <c r="D644" s="2">
        <v>586779</v>
      </c>
      <c r="J644" s="3">
        <f t="shared" si="13"/>
        <v>29809.94716521032</v>
      </c>
      <c r="K644" s="3" t="e">
        <f t="shared" si="14"/>
        <v>#N/A</v>
      </c>
      <c r="L644" s="3" t="e">
        <f t="shared" si="15"/>
        <v>#N/A</v>
      </c>
      <c r="M644" s="3" t="e">
        <f t="shared" si="16"/>
        <v>#N/A</v>
      </c>
      <c r="N644" s="3" t="e">
        <f t="shared" si="17"/>
        <v>#N/A</v>
      </c>
      <c r="O644" s="3" t="e">
        <f t="shared" si="18"/>
        <v>#N/A</v>
      </c>
    </row>
    <row r="645" spans="1:15" ht="14.25" customHeight="1">
      <c r="A645" s="2" t="s">
        <v>15</v>
      </c>
      <c r="B645" s="2">
        <v>1934</v>
      </c>
      <c r="C645" s="2" t="s">
        <v>24</v>
      </c>
      <c r="D645" s="2">
        <v>619557</v>
      </c>
      <c r="J645" s="3">
        <f t="shared" si="13"/>
        <v>31475.157488315381</v>
      </c>
      <c r="K645" s="3" t="e">
        <f t="shared" si="14"/>
        <v>#N/A</v>
      </c>
      <c r="L645" s="3" t="e">
        <f t="shared" si="15"/>
        <v>#N/A</v>
      </c>
      <c r="M645" s="3" t="e">
        <f t="shared" si="16"/>
        <v>#N/A</v>
      </c>
      <c r="N645" s="3" t="e">
        <f t="shared" si="17"/>
        <v>#N/A</v>
      </c>
      <c r="O645" s="3" t="e">
        <f t="shared" si="18"/>
        <v>#N/A</v>
      </c>
    </row>
    <row r="646" spans="1:15" ht="14.25" customHeight="1">
      <c r="A646" s="2" t="s">
        <v>15</v>
      </c>
      <c r="B646" s="2">
        <v>1935</v>
      </c>
      <c r="C646" s="2" t="s">
        <v>24</v>
      </c>
      <c r="D646" s="2">
        <v>683421</v>
      </c>
      <c r="J646" s="3">
        <f t="shared" si="13"/>
        <v>34719.619995935784</v>
      </c>
      <c r="K646" s="3" t="e">
        <f t="shared" si="14"/>
        <v>#N/A</v>
      </c>
      <c r="L646" s="3" t="e">
        <f t="shared" si="15"/>
        <v>#N/A</v>
      </c>
      <c r="M646" s="3" t="e">
        <f t="shared" si="16"/>
        <v>#N/A</v>
      </c>
      <c r="N646" s="3" t="e">
        <f t="shared" si="17"/>
        <v>#N/A</v>
      </c>
      <c r="O646" s="3" t="e">
        <f t="shared" si="18"/>
        <v>#N/A</v>
      </c>
    </row>
    <row r="647" spans="1:15" ht="14.25" customHeight="1">
      <c r="A647" s="2" t="s">
        <v>15</v>
      </c>
      <c r="B647" s="2">
        <v>1936</v>
      </c>
      <c r="C647" s="2" t="s">
        <v>24</v>
      </c>
      <c r="D647" s="2">
        <v>571598</v>
      </c>
      <c r="J647" s="3">
        <f t="shared" si="13"/>
        <v>29038.711643974799</v>
      </c>
      <c r="K647" s="3" t="e">
        <f t="shared" si="14"/>
        <v>#N/A</v>
      </c>
      <c r="L647" s="3" t="e">
        <f t="shared" si="15"/>
        <v>#N/A</v>
      </c>
      <c r="M647" s="3" t="e">
        <f t="shared" si="16"/>
        <v>#N/A</v>
      </c>
      <c r="N647" s="3" t="e">
        <f t="shared" si="17"/>
        <v>#N/A</v>
      </c>
      <c r="O647" s="3" t="e">
        <f t="shared" si="18"/>
        <v>#N/A</v>
      </c>
    </row>
    <row r="648" spans="1:15" ht="14.25" customHeight="1">
      <c r="A648" s="2" t="s">
        <v>15</v>
      </c>
      <c r="B648" s="2">
        <v>1937</v>
      </c>
      <c r="C648" s="2" t="s">
        <v>24</v>
      </c>
      <c r="D648" s="2">
        <v>487379</v>
      </c>
      <c r="J648" s="3">
        <f t="shared" si="13"/>
        <v>24760.160536476324</v>
      </c>
      <c r="K648" s="3" t="e">
        <f t="shared" si="14"/>
        <v>#N/A</v>
      </c>
      <c r="L648" s="3" t="e">
        <f t="shared" si="15"/>
        <v>#N/A</v>
      </c>
      <c r="M648" s="3" t="e">
        <f t="shared" si="16"/>
        <v>#N/A</v>
      </c>
      <c r="N648" s="3" t="e">
        <f t="shared" si="17"/>
        <v>#N/A</v>
      </c>
      <c r="O648" s="3" t="e">
        <f t="shared" si="18"/>
        <v>#N/A</v>
      </c>
    </row>
    <row r="649" spans="1:15" ht="14.25" customHeight="1">
      <c r="A649" s="2" t="s">
        <v>15</v>
      </c>
      <c r="B649" s="2">
        <v>1938</v>
      </c>
      <c r="C649" s="2" t="s">
        <v>24</v>
      </c>
      <c r="D649" s="2">
        <v>590127</v>
      </c>
      <c r="J649" s="3">
        <f t="shared" si="13"/>
        <v>29980.034545824019</v>
      </c>
      <c r="K649" s="3" t="e">
        <f t="shared" si="14"/>
        <v>#N/A</v>
      </c>
      <c r="L649" s="3" t="e">
        <f t="shared" si="15"/>
        <v>#N/A</v>
      </c>
      <c r="M649" s="3" t="e">
        <f t="shared" si="16"/>
        <v>#N/A</v>
      </c>
      <c r="N649" s="3" t="e">
        <f t="shared" si="17"/>
        <v>#N/A</v>
      </c>
      <c r="O649" s="3" t="e">
        <f t="shared" si="18"/>
        <v>#N/A</v>
      </c>
    </row>
    <row r="650" spans="1:15" ht="14.25" customHeight="1">
      <c r="A650" s="2" t="s">
        <v>15</v>
      </c>
      <c r="B650" s="2">
        <v>1939</v>
      </c>
      <c r="C650" s="2" t="s">
        <v>24</v>
      </c>
      <c r="D650" s="2">
        <v>632673</v>
      </c>
      <c r="J650" s="3">
        <f t="shared" si="13"/>
        <v>32141.485470432835</v>
      </c>
      <c r="K650" s="3" t="e">
        <f t="shared" si="14"/>
        <v>#N/A</v>
      </c>
      <c r="L650" s="3" t="e">
        <f t="shared" si="15"/>
        <v>#N/A</v>
      </c>
      <c r="M650" s="3" t="e">
        <f t="shared" si="16"/>
        <v>#N/A</v>
      </c>
      <c r="N650" s="3" t="e">
        <f t="shared" si="17"/>
        <v>#N/A</v>
      </c>
      <c r="O650" s="3" t="e">
        <f t="shared" si="18"/>
        <v>#N/A</v>
      </c>
    </row>
    <row r="651" spans="1:15" ht="14.25" customHeight="1">
      <c r="A651" s="2" t="s">
        <v>15</v>
      </c>
      <c r="B651" s="2">
        <v>1940</v>
      </c>
      <c r="C651" s="2" t="s">
        <v>24</v>
      </c>
      <c r="D651" s="2">
        <v>407375</v>
      </c>
      <c r="J651" s="3">
        <f t="shared" si="13"/>
        <v>20695.74273521642</v>
      </c>
      <c r="K651" s="3" t="e">
        <f t="shared" si="14"/>
        <v>#N/A</v>
      </c>
      <c r="L651" s="3" t="e">
        <f t="shared" si="15"/>
        <v>#N/A</v>
      </c>
      <c r="M651" s="3" t="e">
        <f t="shared" si="16"/>
        <v>#N/A</v>
      </c>
      <c r="N651" s="3" t="e">
        <f t="shared" si="17"/>
        <v>#N/A</v>
      </c>
      <c r="O651" s="3" t="e">
        <f t="shared" si="18"/>
        <v>#N/A</v>
      </c>
    </row>
    <row r="652" spans="1:15" ht="14.25" customHeight="1">
      <c r="A652" s="2" t="s">
        <v>15</v>
      </c>
      <c r="B652" s="2">
        <v>1941</v>
      </c>
      <c r="C652" s="2" t="s">
        <v>24</v>
      </c>
      <c r="D652" s="2">
        <v>394787</v>
      </c>
      <c r="J652" s="3">
        <f t="shared" si="13"/>
        <v>20056.238569396464</v>
      </c>
      <c r="K652" s="3" t="e">
        <f t="shared" si="14"/>
        <v>#N/A</v>
      </c>
      <c r="L652" s="3" t="e">
        <f t="shared" si="15"/>
        <v>#N/A</v>
      </c>
      <c r="M652" s="3" t="e">
        <f t="shared" si="16"/>
        <v>#N/A</v>
      </c>
      <c r="N652" s="3" t="e">
        <f t="shared" si="17"/>
        <v>#N/A</v>
      </c>
      <c r="O652" s="3" t="e">
        <f t="shared" si="18"/>
        <v>#N/A</v>
      </c>
    </row>
    <row r="653" spans="1:15" ht="14.25" customHeight="1">
      <c r="A653" s="2" t="s">
        <v>15</v>
      </c>
      <c r="B653" s="2">
        <v>1942</v>
      </c>
      <c r="C653" s="2" t="s">
        <v>24</v>
      </c>
      <c r="D653" s="2">
        <v>521271</v>
      </c>
      <c r="J653" s="3">
        <f t="shared" si="13"/>
        <v>26481.965047754518</v>
      </c>
      <c r="K653" s="3" t="e">
        <f t="shared" si="14"/>
        <v>#N/A</v>
      </c>
      <c r="L653" s="3" t="e">
        <f t="shared" si="15"/>
        <v>#N/A</v>
      </c>
      <c r="M653" s="3" t="e">
        <f t="shared" si="16"/>
        <v>#N/A</v>
      </c>
      <c r="N653" s="3" t="e">
        <f t="shared" si="17"/>
        <v>#N/A</v>
      </c>
      <c r="O653" s="3" t="e">
        <f t="shared" si="18"/>
        <v>#N/A</v>
      </c>
    </row>
    <row r="654" spans="1:15" ht="14.25" customHeight="1">
      <c r="A654" s="2" t="s">
        <v>15</v>
      </c>
      <c r="B654" s="2">
        <v>1943</v>
      </c>
      <c r="C654" s="2" t="s">
        <v>24</v>
      </c>
      <c r="D654" s="2">
        <v>432429</v>
      </c>
      <c r="J654" s="3">
        <f t="shared" si="13"/>
        <v>21968.55313960577</v>
      </c>
      <c r="K654" s="3" t="e">
        <f t="shared" si="14"/>
        <v>#N/A</v>
      </c>
      <c r="L654" s="3" t="e">
        <f t="shared" si="15"/>
        <v>#N/A</v>
      </c>
      <c r="M654" s="3" t="e">
        <f t="shared" si="16"/>
        <v>#N/A</v>
      </c>
      <c r="N654" s="3" t="e">
        <f t="shared" si="17"/>
        <v>#N/A</v>
      </c>
      <c r="O654" s="3" t="e">
        <f t="shared" si="18"/>
        <v>#N/A</v>
      </c>
    </row>
    <row r="655" spans="1:15" ht="14.25" customHeight="1">
      <c r="A655" s="2" t="s">
        <v>15</v>
      </c>
      <c r="B655" s="2">
        <v>1944</v>
      </c>
      <c r="C655" s="2" t="s">
        <v>24</v>
      </c>
      <c r="D655" s="2">
        <v>411282</v>
      </c>
      <c r="J655" s="3">
        <f t="shared" si="13"/>
        <v>20894.228815281447</v>
      </c>
      <c r="K655" s="3" t="e">
        <f t="shared" si="14"/>
        <v>#N/A</v>
      </c>
      <c r="L655" s="3" t="e">
        <f t="shared" si="15"/>
        <v>#N/A</v>
      </c>
      <c r="M655" s="3" t="e">
        <f t="shared" si="16"/>
        <v>#N/A</v>
      </c>
      <c r="N655" s="3" t="e">
        <f t="shared" si="17"/>
        <v>#N/A</v>
      </c>
      <c r="O655" s="3" t="e">
        <f t="shared" si="18"/>
        <v>#N/A</v>
      </c>
    </row>
    <row r="656" spans="1:15" ht="14.25" customHeight="1">
      <c r="A656" s="2" t="s">
        <v>15</v>
      </c>
      <c r="B656" s="2">
        <v>1945</v>
      </c>
      <c r="C656" s="2" t="s">
        <v>24</v>
      </c>
      <c r="D656" s="2">
        <v>399370</v>
      </c>
      <c r="J656" s="3">
        <f t="shared" si="13"/>
        <v>20289.067262751472</v>
      </c>
      <c r="K656" s="3" t="e">
        <f t="shared" si="14"/>
        <v>#N/A</v>
      </c>
      <c r="L656" s="3" t="e">
        <f t="shared" si="15"/>
        <v>#N/A</v>
      </c>
      <c r="M656" s="3" t="e">
        <f t="shared" si="16"/>
        <v>#N/A</v>
      </c>
      <c r="N656" s="3" t="e">
        <f t="shared" si="17"/>
        <v>#N/A</v>
      </c>
      <c r="O656" s="3" t="e">
        <f t="shared" si="18"/>
        <v>#N/A</v>
      </c>
    </row>
    <row r="657" spans="1:15" ht="14.25" customHeight="1">
      <c r="A657" s="2" t="s">
        <v>15</v>
      </c>
      <c r="B657" s="2">
        <v>1946</v>
      </c>
      <c r="C657" s="2" t="s">
        <v>24</v>
      </c>
      <c r="D657" s="2">
        <v>657950</v>
      </c>
      <c r="J657" s="3">
        <f t="shared" si="13"/>
        <v>33425.624872993292</v>
      </c>
      <c r="K657" s="3" t="e">
        <f t="shared" si="14"/>
        <v>#N/A</v>
      </c>
      <c r="L657" s="3" t="e">
        <f t="shared" si="15"/>
        <v>#N/A</v>
      </c>
      <c r="M657" s="3" t="e">
        <f t="shared" si="16"/>
        <v>#N/A</v>
      </c>
      <c r="N657" s="3" t="e">
        <f t="shared" si="17"/>
        <v>#N/A</v>
      </c>
      <c r="O657" s="3" t="e">
        <f t="shared" si="18"/>
        <v>#N/A</v>
      </c>
    </row>
    <row r="658" spans="1:15" ht="14.25" customHeight="1">
      <c r="A658" s="2" t="s">
        <v>15</v>
      </c>
      <c r="B658" s="2">
        <v>1947</v>
      </c>
      <c r="C658" s="2" t="s">
        <v>24</v>
      </c>
      <c r="D658" s="2">
        <v>872989</v>
      </c>
      <c r="J658" s="3">
        <f t="shared" si="13"/>
        <v>44350.182889656571</v>
      </c>
      <c r="K658" s="3" t="e">
        <f t="shared" si="14"/>
        <v>#N/A</v>
      </c>
      <c r="L658" s="3" t="e">
        <f t="shared" si="15"/>
        <v>#N/A</v>
      </c>
      <c r="M658" s="3" t="e">
        <f t="shared" si="16"/>
        <v>#N/A</v>
      </c>
      <c r="N658" s="3" t="e">
        <f t="shared" si="17"/>
        <v>#N/A</v>
      </c>
      <c r="O658" s="3" t="e">
        <f t="shared" si="18"/>
        <v>#N/A</v>
      </c>
    </row>
    <row r="659" spans="1:15" ht="14.25" customHeight="1">
      <c r="A659" s="2" t="s">
        <v>15</v>
      </c>
      <c r="B659" s="2">
        <v>1948</v>
      </c>
      <c r="C659" s="2" t="s">
        <v>24</v>
      </c>
      <c r="D659" s="2">
        <v>945973</v>
      </c>
      <c r="J659" s="3">
        <f t="shared" si="13"/>
        <v>48057.96586059744</v>
      </c>
      <c r="K659" s="3" t="e">
        <f t="shared" si="14"/>
        <v>#N/A</v>
      </c>
      <c r="L659" s="3" t="e">
        <f t="shared" si="15"/>
        <v>#N/A</v>
      </c>
      <c r="M659" s="3" t="e">
        <f t="shared" si="16"/>
        <v>#N/A</v>
      </c>
      <c r="N659" s="3" t="e">
        <f t="shared" si="17"/>
        <v>#N/A</v>
      </c>
      <c r="O659" s="3" t="e">
        <f t="shared" si="18"/>
        <v>#N/A</v>
      </c>
    </row>
    <row r="660" spans="1:15" ht="14.25" customHeight="1">
      <c r="A660" s="2" t="s">
        <v>15</v>
      </c>
      <c r="B660" s="2">
        <v>1949</v>
      </c>
      <c r="C660" s="2" t="s">
        <v>24</v>
      </c>
      <c r="D660" s="2">
        <v>722517</v>
      </c>
      <c r="J660" s="3">
        <f t="shared" si="13"/>
        <v>36705.801666327978</v>
      </c>
      <c r="K660" s="3" t="e">
        <f t="shared" si="14"/>
        <v>#N/A</v>
      </c>
      <c r="L660" s="3" t="e">
        <f t="shared" si="15"/>
        <v>#N/A</v>
      </c>
      <c r="M660" s="3" t="e">
        <f t="shared" si="16"/>
        <v>#N/A</v>
      </c>
      <c r="N660" s="3" t="e">
        <f t="shared" si="17"/>
        <v>#N/A</v>
      </c>
      <c r="O660" s="3" t="e">
        <f t="shared" si="18"/>
        <v>#N/A</v>
      </c>
    </row>
    <row r="661" spans="1:15" ht="14.25" customHeight="1">
      <c r="A661" s="2" t="s">
        <v>15</v>
      </c>
      <c r="B661" s="2">
        <v>1950</v>
      </c>
      <c r="C661" s="2" t="s">
        <v>24</v>
      </c>
      <c r="D661" s="2">
        <v>678944</v>
      </c>
      <c r="J661" s="3">
        <f t="shared" si="13"/>
        <v>34492.176386913226</v>
      </c>
      <c r="K661" s="3" t="e">
        <f t="shared" si="14"/>
        <v>#N/A</v>
      </c>
      <c r="L661" s="3" t="e">
        <f t="shared" si="15"/>
        <v>#N/A</v>
      </c>
      <c r="M661" s="3" t="e">
        <f t="shared" si="16"/>
        <v>#N/A</v>
      </c>
      <c r="N661" s="3" t="e">
        <f t="shared" si="17"/>
        <v>#N/A</v>
      </c>
      <c r="O661" s="3" t="e">
        <f t="shared" si="18"/>
        <v>#N/A</v>
      </c>
    </row>
    <row r="662" spans="1:15" ht="14.25" customHeight="1">
      <c r="A662" s="2" t="s">
        <v>15</v>
      </c>
      <c r="B662" s="2">
        <v>1951</v>
      </c>
      <c r="C662" s="2" t="s">
        <v>24</v>
      </c>
      <c r="D662" s="2">
        <v>946962</v>
      </c>
      <c r="J662" s="3">
        <f t="shared" si="13"/>
        <v>48108.209713472868</v>
      </c>
      <c r="K662" s="3" t="e">
        <f t="shared" si="14"/>
        <v>#N/A</v>
      </c>
      <c r="L662" s="3" t="e">
        <f t="shared" si="15"/>
        <v>#N/A</v>
      </c>
      <c r="M662" s="3" t="e">
        <f t="shared" si="16"/>
        <v>#N/A</v>
      </c>
      <c r="N662" s="3" t="e">
        <f t="shared" si="17"/>
        <v>#N/A</v>
      </c>
      <c r="O662" s="3" t="e">
        <f t="shared" si="18"/>
        <v>#N/A</v>
      </c>
    </row>
    <row r="663" spans="1:15" ht="14.25" customHeight="1">
      <c r="A663" s="2" t="s">
        <v>15</v>
      </c>
      <c r="B663" s="2">
        <v>1952</v>
      </c>
      <c r="C663" s="2" t="s">
        <v>24</v>
      </c>
      <c r="D663" s="2">
        <v>1056574</v>
      </c>
      <c r="J663" s="3">
        <f t="shared" si="13"/>
        <v>53676.793334688067</v>
      </c>
      <c r="K663" s="3" t="e">
        <f t="shared" si="14"/>
        <v>#N/A</v>
      </c>
      <c r="L663" s="3" t="e">
        <f t="shared" si="15"/>
        <v>#N/A</v>
      </c>
      <c r="M663" s="3" t="e">
        <f t="shared" si="16"/>
        <v>#N/A</v>
      </c>
      <c r="N663" s="3" t="e">
        <f t="shared" si="17"/>
        <v>#N/A</v>
      </c>
      <c r="O663" s="3" t="e">
        <f t="shared" si="18"/>
        <v>#N/A</v>
      </c>
    </row>
    <row r="664" spans="1:15" ht="14.25" customHeight="1">
      <c r="A664" s="2" t="s">
        <v>15</v>
      </c>
      <c r="B664" s="2">
        <v>1953</v>
      </c>
      <c r="C664" s="2" t="s">
        <v>24</v>
      </c>
      <c r="D664" s="2">
        <v>938199</v>
      </c>
      <c r="J664" s="3">
        <f t="shared" si="13"/>
        <v>47663.025807762649</v>
      </c>
      <c r="K664" s="3" t="e">
        <f t="shared" si="14"/>
        <v>#N/A</v>
      </c>
      <c r="L664" s="3" t="e">
        <f t="shared" si="15"/>
        <v>#N/A</v>
      </c>
      <c r="M664" s="3" t="e">
        <f t="shared" si="16"/>
        <v>#N/A</v>
      </c>
      <c r="N664" s="3" t="e">
        <f t="shared" si="17"/>
        <v>#N/A</v>
      </c>
      <c r="O664" s="3" t="e">
        <f t="shared" si="18"/>
        <v>#N/A</v>
      </c>
    </row>
    <row r="665" spans="1:15" ht="14.25" customHeight="1">
      <c r="A665" s="2" t="s">
        <v>15</v>
      </c>
      <c r="B665" s="2">
        <v>1954</v>
      </c>
      <c r="C665" s="2" t="s">
        <v>24</v>
      </c>
      <c r="D665" s="2">
        <v>840271</v>
      </c>
      <c r="J665" s="3">
        <f t="shared" si="13"/>
        <v>42688.020727494411</v>
      </c>
      <c r="K665" s="3" t="e">
        <f t="shared" si="14"/>
        <v>#N/A</v>
      </c>
      <c r="L665" s="3" t="e">
        <f t="shared" si="15"/>
        <v>#N/A</v>
      </c>
      <c r="M665" s="3" t="e">
        <f t="shared" si="16"/>
        <v>#N/A</v>
      </c>
      <c r="N665" s="3" t="e">
        <f t="shared" si="17"/>
        <v>#N/A</v>
      </c>
      <c r="O665" s="3" t="e">
        <f t="shared" si="18"/>
        <v>#N/A</v>
      </c>
    </row>
    <row r="666" spans="1:15" ht="14.25" customHeight="1">
      <c r="A666" s="2" t="s">
        <v>15</v>
      </c>
      <c r="B666" s="2">
        <v>1955</v>
      </c>
      <c r="C666" s="2" t="s">
        <v>24</v>
      </c>
      <c r="D666" s="2">
        <v>963570</v>
      </c>
      <c r="J666" s="3">
        <f t="shared" si="13"/>
        <v>48951.940662466979</v>
      </c>
      <c r="K666" s="3" t="e">
        <f t="shared" si="14"/>
        <v>#N/A</v>
      </c>
      <c r="L666" s="3" t="e">
        <f t="shared" si="15"/>
        <v>#N/A</v>
      </c>
      <c r="M666" s="3" t="e">
        <f t="shared" si="16"/>
        <v>#N/A</v>
      </c>
      <c r="N666" s="3" t="e">
        <f t="shared" si="17"/>
        <v>#N/A</v>
      </c>
      <c r="O666" s="3" t="e">
        <f t="shared" si="18"/>
        <v>#N/A</v>
      </c>
    </row>
    <row r="667" spans="1:15" ht="14.25" customHeight="1">
      <c r="A667" s="2" t="s">
        <v>15</v>
      </c>
      <c r="B667" s="2">
        <v>1956</v>
      </c>
      <c r="C667" s="2" t="s">
        <v>24</v>
      </c>
      <c r="D667" s="2">
        <v>993000</v>
      </c>
      <c r="E667" s="2">
        <v>1956000</v>
      </c>
      <c r="J667" s="3">
        <f t="shared" si="13"/>
        <v>50447.063604958341</v>
      </c>
      <c r="K667" s="3">
        <f t="shared" si="14"/>
        <v>1956</v>
      </c>
      <c r="L667" s="3" t="e">
        <f t="shared" si="15"/>
        <v>#N/A</v>
      </c>
      <c r="M667" s="3" t="e">
        <f t="shared" si="16"/>
        <v>#N/A</v>
      </c>
      <c r="N667" s="3" t="e">
        <f t="shared" si="17"/>
        <v>#N/A</v>
      </c>
      <c r="O667" s="3" t="e">
        <f t="shared" si="18"/>
        <v>#N/A</v>
      </c>
    </row>
    <row r="668" spans="1:15" ht="14.25" customHeight="1">
      <c r="A668" s="2" t="s">
        <v>15</v>
      </c>
      <c r="B668" s="2">
        <v>1957</v>
      </c>
      <c r="C668" s="2" t="s">
        <v>24</v>
      </c>
      <c r="D668" s="2">
        <v>971000</v>
      </c>
      <c r="E668" s="2">
        <v>1818000</v>
      </c>
      <c r="J668" s="3">
        <f t="shared" si="13"/>
        <v>49329.404592562481</v>
      </c>
      <c r="K668" s="3">
        <f t="shared" si="14"/>
        <v>1818</v>
      </c>
      <c r="L668" s="3" t="e">
        <f t="shared" si="15"/>
        <v>#N/A</v>
      </c>
      <c r="M668" s="3" t="e">
        <f t="shared" si="16"/>
        <v>#N/A</v>
      </c>
      <c r="N668" s="3" t="e">
        <f t="shared" si="17"/>
        <v>#N/A</v>
      </c>
      <c r="O668" s="3" t="e">
        <f t="shared" si="18"/>
        <v>#N/A</v>
      </c>
    </row>
    <row r="669" spans="1:15" ht="14.25" customHeight="1">
      <c r="A669" s="2" t="s">
        <v>15</v>
      </c>
      <c r="B669" s="2">
        <v>1958</v>
      </c>
      <c r="C669" s="2" t="s">
        <v>24</v>
      </c>
      <c r="D669" s="2">
        <v>1047000</v>
      </c>
      <c r="E669" s="2">
        <v>2122000</v>
      </c>
      <c r="J669" s="3">
        <f t="shared" si="13"/>
        <v>53190.408453566342</v>
      </c>
      <c r="K669" s="3">
        <f t="shared" si="14"/>
        <v>2122</v>
      </c>
      <c r="L669" s="3" t="e">
        <f t="shared" si="15"/>
        <v>#N/A</v>
      </c>
      <c r="M669" s="3" t="e">
        <f t="shared" si="16"/>
        <v>#N/A</v>
      </c>
      <c r="N669" s="3" t="e">
        <f t="shared" si="17"/>
        <v>#N/A</v>
      </c>
      <c r="O669" s="3" t="e">
        <f t="shared" si="18"/>
        <v>#N/A</v>
      </c>
    </row>
    <row r="670" spans="1:15" ht="14.25" customHeight="1">
      <c r="A670" s="2" t="s">
        <v>15</v>
      </c>
      <c r="B670" s="2">
        <v>1959</v>
      </c>
      <c r="C670" s="2" t="s">
        <v>24</v>
      </c>
      <c r="D670" s="2">
        <v>1054000</v>
      </c>
      <c r="E670" s="2">
        <v>2478000</v>
      </c>
      <c r="J670" s="3">
        <f t="shared" si="13"/>
        <v>53546.027230237756</v>
      </c>
      <c r="K670" s="3">
        <f t="shared" si="14"/>
        <v>2478</v>
      </c>
      <c r="L670" s="3" t="e">
        <f t="shared" si="15"/>
        <v>#N/A</v>
      </c>
      <c r="M670" s="3" t="e">
        <f t="shared" si="16"/>
        <v>#N/A</v>
      </c>
      <c r="N670" s="3" t="e">
        <f t="shared" si="17"/>
        <v>#N/A</v>
      </c>
      <c r="O670" s="3" t="e">
        <f t="shared" si="18"/>
        <v>#N/A</v>
      </c>
    </row>
    <row r="671" spans="1:15" ht="14.25" customHeight="1">
      <c r="A671" s="2" t="s">
        <v>15</v>
      </c>
      <c r="B671" s="2">
        <v>1960</v>
      </c>
      <c r="C671" s="2" t="s">
        <v>24</v>
      </c>
      <c r="D671" s="2">
        <v>791000</v>
      </c>
      <c r="E671" s="2">
        <v>2069000</v>
      </c>
      <c r="J671" s="3">
        <f t="shared" si="13"/>
        <v>40184.921763869133</v>
      </c>
      <c r="K671" s="3">
        <f t="shared" si="14"/>
        <v>2069</v>
      </c>
      <c r="L671" s="3" t="e">
        <f t="shared" si="15"/>
        <v>#N/A</v>
      </c>
      <c r="M671" s="3" t="e">
        <f t="shared" si="16"/>
        <v>#N/A</v>
      </c>
      <c r="N671" s="3" t="e">
        <f t="shared" si="17"/>
        <v>#N/A</v>
      </c>
      <c r="O671" s="3" t="e">
        <f t="shared" si="18"/>
        <v>#N/A</v>
      </c>
    </row>
    <row r="672" spans="1:15" ht="14.25" customHeight="1">
      <c r="A672" s="2" t="s">
        <v>15</v>
      </c>
      <c r="B672" s="2">
        <v>1961</v>
      </c>
      <c r="C672" s="2" t="s">
        <v>24</v>
      </c>
      <c r="D672" s="2">
        <v>914000</v>
      </c>
      <c r="E672" s="2">
        <v>2090000</v>
      </c>
      <c r="J672" s="3">
        <f t="shared" si="13"/>
        <v>46433.651696809589</v>
      </c>
      <c r="K672" s="3">
        <f t="shared" si="14"/>
        <v>2090</v>
      </c>
      <c r="L672" s="3" t="e">
        <f t="shared" si="15"/>
        <v>#N/A</v>
      </c>
      <c r="M672" s="3" t="e">
        <f t="shared" si="16"/>
        <v>#N/A</v>
      </c>
      <c r="N672" s="3" t="e">
        <f t="shared" si="17"/>
        <v>#N/A</v>
      </c>
      <c r="O672" s="3" t="e">
        <f t="shared" si="18"/>
        <v>#N/A</v>
      </c>
    </row>
    <row r="673" spans="1:15" ht="14.25" customHeight="1">
      <c r="A673" s="2" t="s">
        <v>15</v>
      </c>
      <c r="B673" s="2">
        <v>1962</v>
      </c>
      <c r="C673" s="2" t="s">
        <v>24</v>
      </c>
      <c r="D673" s="2">
        <v>969000</v>
      </c>
      <c r="E673" s="2">
        <v>2172000</v>
      </c>
      <c r="J673" s="3">
        <f t="shared" si="13"/>
        <v>49227.799227799223</v>
      </c>
      <c r="K673" s="3">
        <f t="shared" si="14"/>
        <v>2172</v>
      </c>
      <c r="L673" s="3" t="e">
        <f t="shared" si="15"/>
        <v>#N/A</v>
      </c>
      <c r="M673" s="3" t="e">
        <f t="shared" si="16"/>
        <v>#N/A</v>
      </c>
      <c r="N673" s="3" t="e">
        <f t="shared" si="17"/>
        <v>#N/A</v>
      </c>
      <c r="O673" s="3" t="e">
        <f t="shared" si="18"/>
        <v>#N/A</v>
      </c>
    </row>
    <row r="674" spans="1:15" ht="14.25" customHeight="1">
      <c r="A674" s="2" t="s">
        <v>15</v>
      </c>
      <c r="B674" s="2">
        <v>1963</v>
      </c>
      <c r="C674" s="2" t="s">
        <v>24</v>
      </c>
      <c r="D674" s="2">
        <v>898000</v>
      </c>
      <c r="E674" s="2">
        <v>2085000</v>
      </c>
      <c r="J674" s="3">
        <f t="shared" si="13"/>
        <v>45620.808778703511</v>
      </c>
      <c r="K674" s="3">
        <f t="shared" si="14"/>
        <v>2085</v>
      </c>
      <c r="L674" s="3" t="e">
        <f t="shared" si="15"/>
        <v>#N/A</v>
      </c>
      <c r="M674" s="3" t="e">
        <f t="shared" si="16"/>
        <v>#N/A</v>
      </c>
      <c r="N674" s="3" t="e">
        <f t="shared" si="17"/>
        <v>#N/A</v>
      </c>
      <c r="O674" s="3" t="e">
        <f t="shared" si="18"/>
        <v>#N/A</v>
      </c>
    </row>
    <row r="675" spans="1:15" ht="14.25" customHeight="1">
      <c r="A675" s="2" t="s">
        <v>15</v>
      </c>
      <c r="B675" s="2">
        <v>1964</v>
      </c>
      <c r="C675" s="2" t="s">
        <v>24</v>
      </c>
      <c r="D675" s="2">
        <v>817000</v>
      </c>
      <c r="E675" s="2">
        <v>1761000</v>
      </c>
      <c r="J675" s="3">
        <f t="shared" si="13"/>
        <v>41505.791505791502</v>
      </c>
      <c r="K675" s="3">
        <f t="shared" si="14"/>
        <v>1761</v>
      </c>
      <c r="L675" s="3" t="e">
        <f t="shared" si="15"/>
        <v>#N/A</v>
      </c>
      <c r="M675" s="3" t="e">
        <f t="shared" si="16"/>
        <v>#N/A</v>
      </c>
      <c r="N675" s="3" t="e">
        <f t="shared" si="17"/>
        <v>#N/A</v>
      </c>
      <c r="O675" s="3" t="e">
        <f t="shared" si="18"/>
        <v>#N/A</v>
      </c>
    </row>
    <row r="676" spans="1:15" ht="14.25" customHeight="1">
      <c r="A676" s="2" t="s">
        <v>15</v>
      </c>
      <c r="B676" s="2">
        <v>1964</v>
      </c>
      <c r="C676" s="2" t="s">
        <v>30</v>
      </c>
      <c r="J676" s="3" t="e">
        <f t="shared" si="13"/>
        <v>#N/A</v>
      </c>
      <c r="K676" s="3" t="e">
        <f t="shared" si="14"/>
        <v>#N/A</v>
      </c>
      <c r="L676" s="3" t="e">
        <f t="shared" si="15"/>
        <v>#N/A</v>
      </c>
      <c r="M676" s="3" t="e">
        <f t="shared" si="16"/>
        <v>#N/A</v>
      </c>
      <c r="N676" s="3" t="e">
        <f t="shared" si="17"/>
        <v>#N/A</v>
      </c>
      <c r="O676" s="3" t="e">
        <f t="shared" si="18"/>
        <v>#N/A</v>
      </c>
    </row>
    <row r="677" spans="1:15" ht="14.25" customHeight="1">
      <c r="A677" s="2" t="s">
        <v>15</v>
      </c>
      <c r="B677" s="2">
        <v>1963</v>
      </c>
      <c r="C677" s="2" t="s">
        <v>30</v>
      </c>
      <c r="J677" s="3" t="e">
        <f t="shared" si="13"/>
        <v>#N/A</v>
      </c>
      <c r="K677" s="3" t="e">
        <f t="shared" si="14"/>
        <v>#N/A</v>
      </c>
      <c r="L677" s="3" t="e">
        <f t="shared" si="15"/>
        <v>#N/A</v>
      </c>
      <c r="M677" s="3" t="e">
        <f t="shared" si="16"/>
        <v>#N/A</v>
      </c>
      <c r="N677" s="3" t="e">
        <f t="shared" si="17"/>
        <v>#N/A</v>
      </c>
      <c r="O677" s="3" t="e">
        <f t="shared" si="18"/>
        <v>#N/A</v>
      </c>
    </row>
    <row r="678" spans="1:15" ht="14.25" customHeight="1">
      <c r="A678" s="2" t="s">
        <v>15</v>
      </c>
      <c r="B678" s="2">
        <v>1962</v>
      </c>
      <c r="C678" s="2" t="s">
        <v>30</v>
      </c>
      <c r="J678" s="3" t="e">
        <f t="shared" si="13"/>
        <v>#N/A</v>
      </c>
      <c r="K678" s="3" t="e">
        <f t="shared" si="14"/>
        <v>#N/A</v>
      </c>
      <c r="L678" s="3" t="e">
        <f t="shared" si="15"/>
        <v>#N/A</v>
      </c>
      <c r="M678" s="3" t="e">
        <f t="shared" si="16"/>
        <v>#N/A</v>
      </c>
      <c r="N678" s="3" t="e">
        <f t="shared" si="17"/>
        <v>#N/A</v>
      </c>
      <c r="O678" s="3" t="e">
        <f t="shared" si="18"/>
        <v>#N/A</v>
      </c>
    </row>
    <row r="679" spans="1:15" ht="14.25" customHeight="1">
      <c r="A679" s="2" t="s">
        <v>15</v>
      </c>
      <c r="B679" s="2">
        <v>1961</v>
      </c>
      <c r="C679" s="2" t="s">
        <v>30</v>
      </c>
      <c r="J679" s="3" t="e">
        <f t="shared" si="13"/>
        <v>#N/A</v>
      </c>
      <c r="K679" s="3" t="e">
        <f t="shared" si="14"/>
        <v>#N/A</v>
      </c>
      <c r="L679" s="3" t="e">
        <f t="shared" si="15"/>
        <v>#N/A</v>
      </c>
      <c r="M679" s="3" t="e">
        <f t="shared" si="16"/>
        <v>#N/A</v>
      </c>
      <c r="N679" s="3" t="e">
        <f t="shared" si="17"/>
        <v>#N/A</v>
      </c>
      <c r="O679" s="3" t="e">
        <f t="shared" si="18"/>
        <v>#N/A</v>
      </c>
    </row>
    <row r="680" spans="1:15" ht="14.25" customHeight="1">
      <c r="A680" s="2" t="s">
        <v>15</v>
      </c>
      <c r="B680" s="2">
        <v>1960</v>
      </c>
      <c r="C680" s="2" t="s">
        <v>30</v>
      </c>
      <c r="F680" s="2" t="s">
        <v>17</v>
      </c>
      <c r="G680" s="2" t="s">
        <v>17</v>
      </c>
      <c r="H680" s="2">
        <f>17893</f>
        <v>17893</v>
      </c>
      <c r="I680" s="2">
        <f>306652</f>
        <v>306652</v>
      </c>
      <c r="J680" s="3" t="e">
        <f t="shared" si="13"/>
        <v>#N/A</v>
      </c>
      <c r="K680" s="3" t="e">
        <f t="shared" si="14"/>
        <v>#N/A</v>
      </c>
      <c r="L680" s="3" t="e">
        <f t="shared" si="15"/>
        <v>#VALUE!</v>
      </c>
      <c r="M680" s="3" t="e">
        <f t="shared" si="16"/>
        <v>#VALUE!</v>
      </c>
      <c r="N680" s="3">
        <f t="shared" si="17"/>
        <v>909.01239585450105</v>
      </c>
      <c r="O680" s="3">
        <f t="shared" si="18"/>
        <v>306.65199999999999</v>
      </c>
    </row>
    <row r="681" spans="1:15" ht="14.25" customHeight="1">
      <c r="A681" s="2" t="s">
        <v>15</v>
      </c>
      <c r="B681" s="2">
        <v>1959</v>
      </c>
      <c r="C681" s="2" t="s">
        <v>30</v>
      </c>
      <c r="J681" s="3" t="e">
        <f t="shared" si="13"/>
        <v>#N/A</v>
      </c>
      <c r="K681" s="3" t="e">
        <f t="shared" si="14"/>
        <v>#N/A</v>
      </c>
      <c r="L681" s="3" t="e">
        <f t="shared" si="15"/>
        <v>#N/A</v>
      </c>
      <c r="M681" s="3" t="e">
        <f t="shared" si="16"/>
        <v>#N/A</v>
      </c>
      <c r="N681" s="3" t="e">
        <f t="shared" si="17"/>
        <v>#N/A</v>
      </c>
      <c r="O681" s="3" t="e">
        <f t="shared" si="18"/>
        <v>#N/A</v>
      </c>
    </row>
    <row r="682" spans="1:15" ht="14.25" customHeight="1">
      <c r="A682" s="2" t="s">
        <v>15</v>
      </c>
      <c r="B682" s="2">
        <v>1958</v>
      </c>
      <c r="C682" s="2" t="s">
        <v>30</v>
      </c>
      <c r="J682" s="3" t="e">
        <f t="shared" si="13"/>
        <v>#N/A</v>
      </c>
      <c r="K682" s="3" t="e">
        <f t="shared" si="14"/>
        <v>#N/A</v>
      </c>
      <c r="L682" s="3" t="e">
        <f t="shared" si="15"/>
        <v>#N/A</v>
      </c>
      <c r="M682" s="3" t="e">
        <f t="shared" si="16"/>
        <v>#N/A</v>
      </c>
      <c r="N682" s="3" t="e">
        <f t="shared" si="17"/>
        <v>#N/A</v>
      </c>
      <c r="O682" s="3" t="e">
        <f t="shared" si="18"/>
        <v>#N/A</v>
      </c>
    </row>
    <row r="683" spans="1:15" ht="14.25" customHeight="1">
      <c r="A683" s="2" t="s">
        <v>15</v>
      </c>
      <c r="B683" s="2">
        <v>1957</v>
      </c>
      <c r="C683" s="2" t="s">
        <v>30</v>
      </c>
      <c r="J683" s="3" t="e">
        <f t="shared" si="13"/>
        <v>#N/A</v>
      </c>
      <c r="K683" s="3" t="e">
        <f t="shared" si="14"/>
        <v>#N/A</v>
      </c>
      <c r="L683" s="3" t="e">
        <f t="shared" si="15"/>
        <v>#N/A</v>
      </c>
      <c r="M683" s="3" t="e">
        <f t="shared" si="16"/>
        <v>#N/A</v>
      </c>
      <c r="N683" s="3" t="e">
        <f t="shared" si="17"/>
        <v>#N/A</v>
      </c>
      <c r="O683" s="3" t="e">
        <f t="shared" si="18"/>
        <v>#N/A</v>
      </c>
    </row>
    <row r="684" spans="1:15" ht="14.25" customHeight="1">
      <c r="A684" s="2" t="s">
        <v>15</v>
      </c>
      <c r="B684" s="2">
        <v>1956</v>
      </c>
      <c r="C684" s="2" t="s">
        <v>30</v>
      </c>
      <c r="J684" s="3" t="e">
        <f t="shared" si="13"/>
        <v>#N/A</v>
      </c>
      <c r="K684" s="3" t="e">
        <f t="shared" si="14"/>
        <v>#N/A</v>
      </c>
      <c r="L684" s="3" t="e">
        <f t="shared" si="15"/>
        <v>#N/A</v>
      </c>
      <c r="M684" s="3" t="e">
        <f t="shared" si="16"/>
        <v>#N/A</v>
      </c>
      <c r="N684" s="3" t="e">
        <f t="shared" si="17"/>
        <v>#N/A</v>
      </c>
      <c r="O684" s="3" t="e">
        <f t="shared" si="18"/>
        <v>#N/A</v>
      </c>
    </row>
    <row r="685" spans="1:15" ht="14.25" customHeight="1">
      <c r="A685" s="2" t="s">
        <v>15</v>
      </c>
      <c r="B685" s="2">
        <v>1955</v>
      </c>
      <c r="C685" s="2" t="s">
        <v>30</v>
      </c>
      <c r="F685" s="2" t="s">
        <v>17</v>
      </c>
      <c r="G685" s="2" t="s">
        <v>17</v>
      </c>
      <c r="H685" s="2">
        <f>23752</f>
        <v>23752</v>
      </c>
      <c r="I685" s="2">
        <f>427414</f>
        <v>427414</v>
      </c>
      <c r="J685" s="3" t="e">
        <f t="shared" si="13"/>
        <v>#N/A</v>
      </c>
      <c r="K685" s="3" t="e">
        <f t="shared" si="14"/>
        <v>#N/A</v>
      </c>
      <c r="L685" s="3" t="e">
        <f t="shared" si="15"/>
        <v>#VALUE!</v>
      </c>
      <c r="M685" s="3" t="e">
        <f t="shared" si="16"/>
        <v>#VALUE!</v>
      </c>
      <c r="N685" s="3">
        <f t="shared" si="17"/>
        <v>1206.6653119284697</v>
      </c>
      <c r="O685" s="3">
        <f t="shared" si="18"/>
        <v>427.41399999999999</v>
      </c>
    </row>
    <row r="686" spans="1:15" ht="14.25" customHeight="1">
      <c r="A686" s="2" t="s">
        <v>15</v>
      </c>
      <c r="B686" s="2">
        <v>1954</v>
      </c>
      <c r="C686" s="2" t="s">
        <v>30</v>
      </c>
      <c r="J686" s="3" t="e">
        <f t="shared" si="13"/>
        <v>#N/A</v>
      </c>
      <c r="K686" s="3" t="e">
        <f t="shared" si="14"/>
        <v>#N/A</v>
      </c>
      <c r="L686" s="3" t="e">
        <f t="shared" si="15"/>
        <v>#N/A</v>
      </c>
      <c r="M686" s="3" t="e">
        <f t="shared" si="16"/>
        <v>#N/A</v>
      </c>
      <c r="N686" s="3" t="e">
        <f t="shared" si="17"/>
        <v>#N/A</v>
      </c>
      <c r="O686" s="3" t="e">
        <f t="shared" si="18"/>
        <v>#N/A</v>
      </c>
    </row>
    <row r="687" spans="1:15" ht="14.25" customHeight="1">
      <c r="A687" s="2" t="s">
        <v>15</v>
      </c>
      <c r="B687" s="2">
        <v>1953</v>
      </c>
      <c r="C687" s="2" t="s">
        <v>30</v>
      </c>
      <c r="J687" s="3" t="e">
        <f t="shared" si="13"/>
        <v>#N/A</v>
      </c>
      <c r="K687" s="3" t="e">
        <f t="shared" si="14"/>
        <v>#N/A</v>
      </c>
      <c r="L687" s="3" t="e">
        <f t="shared" si="15"/>
        <v>#N/A</v>
      </c>
      <c r="M687" s="3" t="e">
        <f t="shared" si="16"/>
        <v>#N/A</v>
      </c>
      <c r="N687" s="3" t="e">
        <f t="shared" si="17"/>
        <v>#N/A</v>
      </c>
      <c r="O687" s="3" t="e">
        <f t="shared" si="18"/>
        <v>#N/A</v>
      </c>
    </row>
    <row r="688" spans="1:15" ht="14.25" customHeight="1">
      <c r="A688" s="2" t="s">
        <v>15</v>
      </c>
      <c r="B688" s="2">
        <v>1952</v>
      </c>
      <c r="C688" s="2" t="s">
        <v>30</v>
      </c>
      <c r="J688" s="3" t="e">
        <f t="shared" si="13"/>
        <v>#N/A</v>
      </c>
      <c r="K688" s="3" t="e">
        <f t="shared" si="14"/>
        <v>#N/A</v>
      </c>
      <c r="L688" s="3" t="e">
        <f t="shared" si="15"/>
        <v>#N/A</v>
      </c>
      <c r="M688" s="3" t="e">
        <f t="shared" si="16"/>
        <v>#N/A</v>
      </c>
      <c r="N688" s="3" t="e">
        <f t="shared" si="17"/>
        <v>#N/A</v>
      </c>
      <c r="O688" s="3" t="e">
        <f t="shared" si="18"/>
        <v>#N/A</v>
      </c>
    </row>
    <row r="689" spans="1:15" ht="14.25" customHeight="1">
      <c r="A689" s="2" t="s">
        <v>15</v>
      </c>
      <c r="B689" s="2">
        <v>1951</v>
      </c>
      <c r="C689" s="2" t="s">
        <v>30</v>
      </c>
      <c r="J689" s="3" t="e">
        <f t="shared" si="13"/>
        <v>#N/A</v>
      </c>
      <c r="K689" s="3" t="e">
        <f t="shared" si="14"/>
        <v>#N/A</v>
      </c>
      <c r="L689" s="3" t="e">
        <f t="shared" si="15"/>
        <v>#N/A</v>
      </c>
      <c r="M689" s="3" t="e">
        <f t="shared" si="16"/>
        <v>#N/A</v>
      </c>
      <c r="N689" s="3" t="e">
        <f t="shared" si="17"/>
        <v>#N/A</v>
      </c>
      <c r="O689" s="3" t="e">
        <f t="shared" si="18"/>
        <v>#N/A</v>
      </c>
    </row>
    <row r="690" spans="1:15" ht="14.25" customHeight="1">
      <c r="A690" s="2" t="s">
        <v>15</v>
      </c>
      <c r="B690" s="2">
        <v>1950</v>
      </c>
      <c r="C690" s="2" t="s">
        <v>30</v>
      </c>
      <c r="F690" s="2" t="s">
        <v>17</v>
      </c>
      <c r="G690" s="2" t="s">
        <v>17</v>
      </c>
      <c r="H690" s="2">
        <v>20662</v>
      </c>
      <c r="I690" s="2">
        <v>221294</v>
      </c>
      <c r="J690" s="3" t="e">
        <f t="shared" si="13"/>
        <v>#N/A</v>
      </c>
      <c r="K690" s="3" t="e">
        <f t="shared" si="14"/>
        <v>#N/A</v>
      </c>
      <c r="L690" s="3" t="e">
        <f t="shared" si="15"/>
        <v>#VALUE!</v>
      </c>
      <c r="M690" s="3" t="e">
        <f t="shared" si="16"/>
        <v>#VALUE!</v>
      </c>
      <c r="N690" s="3">
        <f t="shared" si="17"/>
        <v>1049.6850233692339</v>
      </c>
      <c r="O690" s="3">
        <f t="shared" si="18"/>
        <v>221.29400000000001</v>
      </c>
    </row>
    <row r="691" spans="1:15" ht="14.25" customHeight="1">
      <c r="A691" s="2" t="s">
        <v>15</v>
      </c>
      <c r="B691" s="2">
        <v>1949</v>
      </c>
      <c r="C691" s="2" t="s">
        <v>30</v>
      </c>
      <c r="J691" s="3" t="e">
        <f t="shared" si="13"/>
        <v>#N/A</v>
      </c>
      <c r="K691" s="3" t="e">
        <f t="shared" si="14"/>
        <v>#N/A</v>
      </c>
      <c r="L691" s="3" t="e">
        <f t="shared" si="15"/>
        <v>#N/A</v>
      </c>
      <c r="M691" s="3" t="e">
        <f t="shared" si="16"/>
        <v>#N/A</v>
      </c>
      <c r="N691" s="3" t="e">
        <f t="shared" si="17"/>
        <v>#N/A</v>
      </c>
      <c r="O691" s="3" t="e">
        <f t="shared" si="18"/>
        <v>#N/A</v>
      </c>
    </row>
    <row r="692" spans="1:15" ht="14.25" customHeight="1">
      <c r="A692" s="2" t="s">
        <v>15</v>
      </c>
      <c r="B692" s="2">
        <v>1948</v>
      </c>
      <c r="C692" s="2" t="s">
        <v>30</v>
      </c>
      <c r="J692" s="3" t="e">
        <f t="shared" si="13"/>
        <v>#N/A</v>
      </c>
      <c r="K692" s="3" t="e">
        <f t="shared" si="14"/>
        <v>#N/A</v>
      </c>
      <c r="L692" s="3" t="e">
        <f t="shared" si="15"/>
        <v>#N/A</v>
      </c>
      <c r="M692" s="3" t="e">
        <f t="shared" si="16"/>
        <v>#N/A</v>
      </c>
      <c r="N692" s="3" t="e">
        <f t="shared" si="17"/>
        <v>#N/A</v>
      </c>
      <c r="O692" s="3" t="e">
        <f t="shared" si="18"/>
        <v>#N/A</v>
      </c>
    </row>
    <row r="693" spans="1:15" ht="14.25" customHeight="1">
      <c r="A693" s="2" t="s">
        <v>15</v>
      </c>
      <c r="B693" s="2">
        <v>1947</v>
      </c>
      <c r="C693" s="2" t="s">
        <v>30</v>
      </c>
      <c r="J693" s="3" t="e">
        <f t="shared" si="13"/>
        <v>#N/A</v>
      </c>
      <c r="K693" s="3" t="e">
        <f t="shared" si="14"/>
        <v>#N/A</v>
      </c>
      <c r="L693" s="3" t="e">
        <f t="shared" si="15"/>
        <v>#N/A</v>
      </c>
      <c r="M693" s="3" t="e">
        <f t="shared" si="16"/>
        <v>#N/A</v>
      </c>
      <c r="N693" s="3" t="e">
        <f t="shared" si="17"/>
        <v>#N/A</v>
      </c>
      <c r="O693" s="3" t="e">
        <f t="shared" si="18"/>
        <v>#N/A</v>
      </c>
    </row>
    <row r="694" spans="1:15" ht="14.25" customHeight="1">
      <c r="A694" s="2" t="s">
        <v>15</v>
      </c>
      <c r="B694" s="2">
        <v>1946</v>
      </c>
      <c r="C694" s="2" t="s">
        <v>30</v>
      </c>
      <c r="F694" s="2" t="s">
        <v>17</v>
      </c>
      <c r="G694" s="2" t="s">
        <v>17</v>
      </c>
      <c r="H694" s="2">
        <v>8343</v>
      </c>
      <c r="I694" s="2">
        <v>94265</v>
      </c>
      <c r="J694" s="3" t="e">
        <f t="shared" si="13"/>
        <v>#N/A</v>
      </c>
      <c r="K694" s="3" t="e">
        <f t="shared" si="14"/>
        <v>#N/A</v>
      </c>
      <c r="L694" s="3" t="e">
        <f t="shared" si="15"/>
        <v>#VALUE!</v>
      </c>
      <c r="M694" s="3" t="e">
        <f t="shared" si="16"/>
        <v>#VALUE!</v>
      </c>
      <c r="N694" s="3">
        <f t="shared" si="17"/>
        <v>423.84677910993696</v>
      </c>
      <c r="O694" s="3">
        <f t="shared" si="18"/>
        <v>94.265000000000001</v>
      </c>
    </row>
    <row r="695" spans="1:15" ht="14.25" customHeight="1">
      <c r="A695" s="2" t="s">
        <v>15</v>
      </c>
      <c r="B695" s="2">
        <v>1945</v>
      </c>
      <c r="C695" s="2" t="s">
        <v>30</v>
      </c>
      <c r="J695" s="3" t="e">
        <f t="shared" si="13"/>
        <v>#N/A</v>
      </c>
      <c r="K695" s="3" t="e">
        <f t="shared" si="14"/>
        <v>#N/A</v>
      </c>
      <c r="L695" s="3" t="e">
        <f t="shared" si="15"/>
        <v>#N/A</v>
      </c>
      <c r="M695" s="3" t="e">
        <f t="shared" si="16"/>
        <v>#N/A</v>
      </c>
      <c r="N695" s="3" t="e">
        <f t="shared" si="17"/>
        <v>#N/A</v>
      </c>
      <c r="O695" s="3" t="e">
        <f t="shared" si="18"/>
        <v>#N/A</v>
      </c>
    </row>
    <row r="696" spans="1:15" ht="14.25" customHeight="1">
      <c r="A696" s="2" t="s">
        <v>15</v>
      </c>
      <c r="B696" s="2">
        <v>1944</v>
      </c>
      <c r="C696" s="2" t="s">
        <v>30</v>
      </c>
      <c r="F696" s="2" t="s">
        <v>17</v>
      </c>
      <c r="G696" s="2" t="s">
        <v>17</v>
      </c>
      <c r="H696" s="2">
        <v>34</v>
      </c>
      <c r="I696" s="2">
        <v>505</v>
      </c>
      <c r="J696" s="3" t="e">
        <f t="shared" si="13"/>
        <v>#N/A</v>
      </c>
      <c r="K696" s="3" t="e">
        <f t="shared" si="14"/>
        <v>#N/A</v>
      </c>
      <c r="L696" s="3" t="e">
        <f t="shared" si="15"/>
        <v>#VALUE!</v>
      </c>
      <c r="M696" s="3" t="e">
        <f t="shared" si="16"/>
        <v>#VALUE!</v>
      </c>
      <c r="N696" s="3">
        <f t="shared" si="17"/>
        <v>1.7272912009754113</v>
      </c>
      <c r="O696" s="3">
        <f t="shared" si="18"/>
        <v>0.505</v>
      </c>
    </row>
    <row r="697" spans="1:15" ht="14.25" customHeight="1">
      <c r="A697" s="2" t="s">
        <v>15</v>
      </c>
      <c r="B697" s="2">
        <v>1943</v>
      </c>
      <c r="C697" s="2" t="s">
        <v>30</v>
      </c>
      <c r="J697" s="3" t="e">
        <f t="shared" si="13"/>
        <v>#N/A</v>
      </c>
      <c r="K697" s="3" t="e">
        <f t="shared" si="14"/>
        <v>#N/A</v>
      </c>
      <c r="L697" s="3" t="e">
        <f t="shared" si="15"/>
        <v>#N/A</v>
      </c>
      <c r="M697" s="3" t="e">
        <f t="shared" si="16"/>
        <v>#N/A</v>
      </c>
      <c r="N697" s="3" t="e">
        <f t="shared" si="17"/>
        <v>#N/A</v>
      </c>
      <c r="O697" s="3" t="e">
        <f t="shared" si="18"/>
        <v>#N/A</v>
      </c>
    </row>
    <row r="698" spans="1:15" ht="14.25" customHeight="1">
      <c r="A698" s="2" t="s">
        <v>15</v>
      </c>
      <c r="B698" s="2">
        <v>1942</v>
      </c>
      <c r="C698" s="2" t="s">
        <v>30</v>
      </c>
      <c r="F698" s="2" t="s">
        <v>17</v>
      </c>
      <c r="G698" s="2" t="s">
        <v>17</v>
      </c>
      <c r="H698" s="2">
        <v>23</v>
      </c>
      <c r="I698" s="2">
        <v>313</v>
      </c>
      <c r="J698" s="3" t="e">
        <f t="shared" si="13"/>
        <v>#N/A</v>
      </c>
      <c r="K698" s="3" t="e">
        <f t="shared" si="14"/>
        <v>#N/A</v>
      </c>
      <c r="L698" s="3" t="e">
        <f t="shared" si="15"/>
        <v>#VALUE!</v>
      </c>
      <c r="M698" s="3" t="e">
        <f t="shared" si="16"/>
        <v>#VALUE!</v>
      </c>
      <c r="N698" s="3">
        <f t="shared" si="17"/>
        <v>1.1684616947774842</v>
      </c>
      <c r="O698" s="3">
        <f t="shared" si="18"/>
        <v>0.313</v>
      </c>
    </row>
    <row r="699" spans="1:15" ht="14.25" customHeight="1">
      <c r="A699" s="2" t="s">
        <v>15</v>
      </c>
      <c r="B699" s="2">
        <v>1941</v>
      </c>
      <c r="C699" s="2" t="s">
        <v>30</v>
      </c>
      <c r="J699" s="3" t="e">
        <f t="shared" si="13"/>
        <v>#N/A</v>
      </c>
      <c r="K699" s="3" t="e">
        <f t="shared" si="14"/>
        <v>#N/A</v>
      </c>
      <c r="L699" s="3" t="e">
        <f t="shared" si="15"/>
        <v>#N/A</v>
      </c>
      <c r="M699" s="3" t="e">
        <f t="shared" si="16"/>
        <v>#N/A</v>
      </c>
      <c r="N699" s="3" t="e">
        <f t="shared" si="17"/>
        <v>#N/A</v>
      </c>
      <c r="O699" s="3" t="e">
        <f t="shared" si="18"/>
        <v>#N/A</v>
      </c>
    </row>
    <row r="700" spans="1:15" ht="14.25" customHeight="1">
      <c r="A700" s="2" t="s">
        <v>15</v>
      </c>
      <c r="B700" s="2">
        <v>1940</v>
      </c>
      <c r="C700" s="2" t="s">
        <v>30</v>
      </c>
      <c r="F700" s="2" t="s">
        <v>17</v>
      </c>
      <c r="G700" s="2" t="s">
        <v>17</v>
      </c>
      <c r="H700" s="2">
        <v>3394</v>
      </c>
      <c r="I700" s="2">
        <v>12447</v>
      </c>
      <c r="J700" s="3" t="e">
        <f t="shared" si="13"/>
        <v>#N/A</v>
      </c>
      <c r="K700" s="3" t="e">
        <f t="shared" si="14"/>
        <v>#N/A</v>
      </c>
      <c r="L700" s="3" t="e">
        <f t="shared" si="15"/>
        <v>#VALUE!</v>
      </c>
      <c r="M700" s="3" t="e">
        <f t="shared" si="16"/>
        <v>#VALUE!</v>
      </c>
      <c r="N700" s="3">
        <f t="shared" si="17"/>
        <v>172.42430400325136</v>
      </c>
      <c r="O700" s="3">
        <f t="shared" si="18"/>
        <v>12.446999999999999</v>
      </c>
    </row>
    <row r="701" spans="1:15" ht="14.25" customHeight="1">
      <c r="A701" s="2" t="s">
        <v>15</v>
      </c>
      <c r="B701" s="2">
        <v>1939</v>
      </c>
      <c r="C701" s="2" t="s">
        <v>30</v>
      </c>
      <c r="J701" s="3" t="e">
        <f t="shared" si="13"/>
        <v>#N/A</v>
      </c>
      <c r="K701" s="3" t="e">
        <f t="shared" si="14"/>
        <v>#N/A</v>
      </c>
      <c r="L701" s="3" t="e">
        <f t="shared" si="15"/>
        <v>#N/A</v>
      </c>
      <c r="M701" s="3" t="e">
        <f t="shared" si="16"/>
        <v>#N/A</v>
      </c>
      <c r="N701" s="3" t="e">
        <f t="shared" si="17"/>
        <v>#N/A</v>
      </c>
      <c r="O701" s="3" t="e">
        <f t="shared" si="18"/>
        <v>#N/A</v>
      </c>
    </row>
    <row r="702" spans="1:15" ht="14.25" customHeight="1">
      <c r="A702" s="2" t="s">
        <v>15</v>
      </c>
      <c r="B702" s="2">
        <v>1938</v>
      </c>
      <c r="C702" s="2" t="s">
        <v>30</v>
      </c>
      <c r="J702" s="3" t="e">
        <f t="shared" si="13"/>
        <v>#N/A</v>
      </c>
      <c r="K702" s="3" t="e">
        <f t="shared" si="14"/>
        <v>#N/A</v>
      </c>
      <c r="L702" s="3" t="e">
        <f t="shared" si="15"/>
        <v>#N/A</v>
      </c>
      <c r="M702" s="3" t="e">
        <f t="shared" si="16"/>
        <v>#N/A</v>
      </c>
      <c r="N702" s="3" t="e">
        <f t="shared" si="17"/>
        <v>#N/A</v>
      </c>
      <c r="O702" s="3" t="e">
        <f t="shared" si="18"/>
        <v>#N/A</v>
      </c>
    </row>
    <row r="703" spans="1:15" ht="14.25" customHeight="1">
      <c r="A703" s="2" t="s">
        <v>15</v>
      </c>
      <c r="B703" s="2">
        <v>1937</v>
      </c>
      <c r="C703" s="2" t="s">
        <v>30</v>
      </c>
      <c r="J703" s="3" t="e">
        <f t="shared" si="13"/>
        <v>#N/A</v>
      </c>
      <c r="K703" s="3" t="e">
        <f t="shared" si="14"/>
        <v>#N/A</v>
      </c>
      <c r="L703" s="3" t="e">
        <f t="shared" si="15"/>
        <v>#N/A</v>
      </c>
      <c r="M703" s="3" t="e">
        <f t="shared" si="16"/>
        <v>#N/A</v>
      </c>
      <c r="N703" s="3" t="e">
        <f t="shared" si="17"/>
        <v>#N/A</v>
      </c>
      <c r="O703" s="3" t="e">
        <f t="shared" si="18"/>
        <v>#N/A</v>
      </c>
    </row>
    <row r="704" spans="1:15" ht="14.25" customHeight="1">
      <c r="A704" s="2" t="s">
        <v>15</v>
      </c>
      <c r="B704" s="2">
        <v>1936</v>
      </c>
      <c r="C704" s="2" t="s">
        <v>30</v>
      </c>
      <c r="J704" s="3" t="e">
        <f t="shared" si="13"/>
        <v>#N/A</v>
      </c>
      <c r="K704" s="3" t="e">
        <f t="shared" si="14"/>
        <v>#N/A</v>
      </c>
      <c r="L704" s="3" t="e">
        <f t="shared" si="15"/>
        <v>#N/A</v>
      </c>
      <c r="M704" s="3" t="e">
        <f t="shared" si="16"/>
        <v>#N/A</v>
      </c>
      <c r="N704" s="3" t="e">
        <f t="shared" si="17"/>
        <v>#N/A</v>
      </c>
      <c r="O704" s="3" t="e">
        <f t="shared" si="18"/>
        <v>#N/A</v>
      </c>
    </row>
    <row r="705" spans="1:15" ht="14.25" customHeight="1">
      <c r="A705" s="2" t="s">
        <v>15</v>
      </c>
      <c r="B705" s="2">
        <v>1935</v>
      </c>
      <c r="C705" s="2" t="s">
        <v>30</v>
      </c>
      <c r="F705" s="2" t="s">
        <v>17</v>
      </c>
      <c r="G705" s="2" t="s">
        <v>17</v>
      </c>
      <c r="H705" s="2">
        <v>32289</v>
      </c>
      <c r="I705" s="2">
        <v>77149</v>
      </c>
      <c r="J705" s="3" t="e">
        <f t="shared" si="13"/>
        <v>#N/A</v>
      </c>
      <c r="K705" s="3" t="e">
        <f t="shared" si="14"/>
        <v>#N/A</v>
      </c>
      <c r="L705" s="3" t="e">
        <f t="shared" si="15"/>
        <v>#VALUE!</v>
      </c>
      <c r="M705" s="3" t="e">
        <f t="shared" si="16"/>
        <v>#VALUE!</v>
      </c>
      <c r="N705" s="3">
        <f t="shared" si="17"/>
        <v>1640.3678114204429</v>
      </c>
      <c r="O705" s="3">
        <f t="shared" si="18"/>
        <v>77.149000000000001</v>
      </c>
    </row>
    <row r="706" spans="1:15" ht="14.25" customHeight="1">
      <c r="A706" s="2" t="s">
        <v>15</v>
      </c>
      <c r="B706" s="2">
        <v>1934</v>
      </c>
      <c r="C706" s="2" t="s">
        <v>30</v>
      </c>
      <c r="J706" s="3" t="e">
        <f t="shared" si="13"/>
        <v>#N/A</v>
      </c>
      <c r="K706" s="3" t="e">
        <f t="shared" si="14"/>
        <v>#N/A</v>
      </c>
      <c r="L706" s="3" t="e">
        <f t="shared" si="15"/>
        <v>#N/A</v>
      </c>
      <c r="M706" s="3" t="e">
        <f t="shared" si="16"/>
        <v>#N/A</v>
      </c>
      <c r="N706" s="3" t="e">
        <f t="shared" si="17"/>
        <v>#N/A</v>
      </c>
      <c r="O706" s="3" t="e">
        <f t="shared" si="18"/>
        <v>#N/A</v>
      </c>
    </row>
    <row r="707" spans="1:15" ht="14.25" customHeight="1">
      <c r="A707" s="2" t="s">
        <v>15</v>
      </c>
      <c r="B707" s="2">
        <v>1933</v>
      </c>
      <c r="C707" s="2" t="s">
        <v>30</v>
      </c>
      <c r="J707" s="3" t="e">
        <f t="shared" si="13"/>
        <v>#N/A</v>
      </c>
      <c r="K707" s="3" t="e">
        <f t="shared" si="14"/>
        <v>#N/A</v>
      </c>
      <c r="L707" s="3" t="e">
        <f t="shared" si="15"/>
        <v>#N/A</v>
      </c>
      <c r="M707" s="3" t="e">
        <f t="shared" si="16"/>
        <v>#N/A</v>
      </c>
      <c r="N707" s="3" t="e">
        <f t="shared" si="17"/>
        <v>#N/A</v>
      </c>
      <c r="O707" s="3" t="e">
        <f t="shared" si="18"/>
        <v>#N/A</v>
      </c>
    </row>
    <row r="708" spans="1:15" ht="14.25" customHeight="1">
      <c r="A708" s="2" t="s">
        <v>15</v>
      </c>
      <c r="B708" s="2">
        <v>1932</v>
      </c>
      <c r="C708" s="2" t="s">
        <v>30</v>
      </c>
      <c r="J708" s="3" t="e">
        <f t="shared" si="13"/>
        <v>#N/A</v>
      </c>
      <c r="K708" s="3" t="e">
        <f t="shared" si="14"/>
        <v>#N/A</v>
      </c>
      <c r="L708" s="3" t="e">
        <f t="shared" si="15"/>
        <v>#N/A</v>
      </c>
      <c r="M708" s="3" t="e">
        <f t="shared" si="16"/>
        <v>#N/A</v>
      </c>
      <c r="N708" s="3" t="e">
        <f t="shared" si="17"/>
        <v>#N/A</v>
      </c>
      <c r="O708" s="3" t="e">
        <f t="shared" si="18"/>
        <v>#N/A</v>
      </c>
    </row>
    <row r="709" spans="1:15" ht="14.25" customHeight="1">
      <c r="A709" s="2" t="s">
        <v>15</v>
      </c>
      <c r="B709" s="2">
        <v>1931</v>
      </c>
      <c r="C709" s="2" t="s">
        <v>30</v>
      </c>
      <c r="J709" s="3" t="e">
        <f t="shared" si="13"/>
        <v>#N/A</v>
      </c>
      <c r="K709" s="3" t="e">
        <f t="shared" si="14"/>
        <v>#N/A</v>
      </c>
      <c r="L709" s="3" t="e">
        <f t="shared" si="15"/>
        <v>#N/A</v>
      </c>
      <c r="M709" s="3" t="e">
        <f t="shared" si="16"/>
        <v>#N/A</v>
      </c>
      <c r="N709" s="3" t="e">
        <f t="shared" si="17"/>
        <v>#N/A</v>
      </c>
      <c r="O709" s="3" t="e">
        <f t="shared" si="18"/>
        <v>#N/A</v>
      </c>
    </row>
    <row r="710" spans="1:15" ht="14.25" customHeight="1">
      <c r="A710" s="2" t="s">
        <v>15</v>
      </c>
      <c r="B710" s="2">
        <v>1930</v>
      </c>
      <c r="C710" s="2" t="s">
        <v>30</v>
      </c>
      <c r="F710" s="2" t="s">
        <v>17</v>
      </c>
      <c r="G710" s="2" t="s">
        <v>17</v>
      </c>
      <c r="H710" s="2" t="s">
        <v>17</v>
      </c>
      <c r="I710" s="2" t="s">
        <v>17</v>
      </c>
      <c r="J710" s="3" t="e">
        <f t="shared" si="13"/>
        <v>#N/A</v>
      </c>
      <c r="K710" s="3" t="e">
        <f t="shared" si="14"/>
        <v>#N/A</v>
      </c>
      <c r="L710" s="3" t="e">
        <f t="shared" si="15"/>
        <v>#VALUE!</v>
      </c>
      <c r="M710" s="3" t="e">
        <f t="shared" si="16"/>
        <v>#VALUE!</v>
      </c>
      <c r="N710" s="3" t="e">
        <f t="shared" si="17"/>
        <v>#VALUE!</v>
      </c>
      <c r="O710" s="3" t="e">
        <f t="shared" si="18"/>
        <v>#VALUE!</v>
      </c>
    </row>
    <row r="711" spans="1:15" ht="14.25" customHeight="1">
      <c r="A711" s="2" t="s">
        <v>15</v>
      </c>
      <c r="B711" s="2">
        <v>1929</v>
      </c>
      <c r="C711" s="2" t="s">
        <v>30</v>
      </c>
      <c r="J711" s="3" t="e">
        <f t="shared" si="13"/>
        <v>#N/A</v>
      </c>
      <c r="K711" s="3" t="e">
        <f t="shared" si="14"/>
        <v>#N/A</v>
      </c>
      <c r="L711" s="3" t="e">
        <f t="shared" si="15"/>
        <v>#N/A</v>
      </c>
      <c r="M711" s="3" t="e">
        <f t="shared" si="16"/>
        <v>#N/A</v>
      </c>
      <c r="N711" s="3" t="e">
        <f t="shared" si="17"/>
        <v>#N/A</v>
      </c>
      <c r="O711" s="3" t="e">
        <f t="shared" si="18"/>
        <v>#N/A</v>
      </c>
    </row>
    <row r="712" spans="1:15" ht="14.25" customHeight="1">
      <c r="A712" s="2" t="s">
        <v>15</v>
      </c>
      <c r="B712" s="2">
        <v>1928</v>
      </c>
      <c r="C712" s="2" t="s">
        <v>30</v>
      </c>
      <c r="J712" s="3" t="e">
        <f t="shared" si="13"/>
        <v>#N/A</v>
      </c>
      <c r="K712" s="3" t="e">
        <f t="shared" si="14"/>
        <v>#N/A</v>
      </c>
      <c r="L712" s="3" t="e">
        <f t="shared" si="15"/>
        <v>#N/A</v>
      </c>
      <c r="M712" s="3" t="e">
        <f t="shared" si="16"/>
        <v>#N/A</v>
      </c>
      <c r="N712" s="3" t="e">
        <f t="shared" si="17"/>
        <v>#N/A</v>
      </c>
      <c r="O712" s="3" t="e">
        <f t="shared" si="18"/>
        <v>#N/A</v>
      </c>
    </row>
    <row r="713" spans="1:15" ht="14.25" customHeight="1">
      <c r="A713" s="2" t="s">
        <v>15</v>
      </c>
      <c r="B713" s="2">
        <v>1927</v>
      </c>
      <c r="C713" s="2" t="s">
        <v>30</v>
      </c>
      <c r="J713" s="3" t="e">
        <f t="shared" si="13"/>
        <v>#N/A</v>
      </c>
      <c r="K713" s="3" t="e">
        <f t="shared" si="14"/>
        <v>#N/A</v>
      </c>
      <c r="L713" s="3" t="e">
        <f t="shared" si="15"/>
        <v>#N/A</v>
      </c>
      <c r="M713" s="3" t="e">
        <f t="shared" si="16"/>
        <v>#N/A</v>
      </c>
      <c r="N713" s="3" t="e">
        <f t="shared" si="17"/>
        <v>#N/A</v>
      </c>
      <c r="O713" s="3" t="e">
        <f t="shared" si="18"/>
        <v>#N/A</v>
      </c>
    </row>
    <row r="714" spans="1:15" ht="14.25" customHeight="1">
      <c r="A714" s="2" t="s">
        <v>15</v>
      </c>
      <c r="B714" s="2">
        <v>1926</v>
      </c>
      <c r="C714" s="2" t="s">
        <v>30</v>
      </c>
      <c r="J714" s="3" t="e">
        <f t="shared" si="13"/>
        <v>#N/A</v>
      </c>
      <c r="K714" s="3" t="e">
        <f t="shared" si="14"/>
        <v>#N/A</v>
      </c>
      <c r="L714" s="3" t="e">
        <f t="shared" si="15"/>
        <v>#N/A</v>
      </c>
      <c r="M714" s="3" t="e">
        <f t="shared" si="16"/>
        <v>#N/A</v>
      </c>
      <c r="N714" s="3" t="e">
        <f t="shared" si="17"/>
        <v>#N/A</v>
      </c>
      <c r="O714" s="3" t="e">
        <f t="shared" si="18"/>
        <v>#N/A</v>
      </c>
    </row>
    <row r="715" spans="1:15" ht="14.25" customHeight="1">
      <c r="A715" s="2" t="s">
        <v>15</v>
      </c>
      <c r="B715" s="2">
        <v>1925</v>
      </c>
      <c r="C715" s="2" t="s">
        <v>30</v>
      </c>
      <c r="F715" s="2" t="s">
        <v>17</v>
      </c>
      <c r="G715" s="2" t="s">
        <v>17</v>
      </c>
      <c r="H715" s="2" t="s">
        <v>17</v>
      </c>
      <c r="I715" s="2" t="s">
        <v>17</v>
      </c>
      <c r="J715" s="3" t="e">
        <f t="shared" si="13"/>
        <v>#N/A</v>
      </c>
      <c r="K715" s="3" t="e">
        <f t="shared" si="14"/>
        <v>#N/A</v>
      </c>
      <c r="L715" s="3" t="e">
        <f t="shared" si="15"/>
        <v>#VALUE!</v>
      </c>
      <c r="M715" s="3" t="e">
        <f t="shared" si="16"/>
        <v>#VALUE!</v>
      </c>
      <c r="N715" s="3" t="e">
        <f t="shared" si="17"/>
        <v>#VALUE!</v>
      </c>
      <c r="O715" s="3" t="e">
        <f t="shared" si="18"/>
        <v>#VALUE!</v>
      </c>
    </row>
    <row r="716" spans="1:15" ht="14.25" customHeight="1">
      <c r="A716" s="2" t="s">
        <v>15</v>
      </c>
      <c r="B716" s="2">
        <v>1924</v>
      </c>
      <c r="C716" s="2" t="s">
        <v>30</v>
      </c>
      <c r="J716" s="3" t="e">
        <f t="shared" si="13"/>
        <v>#N/A</v>
      </c>
      <c r="K716" s="3" t="e">
        <f t="shared" si="14"/>
        <v>#N/A</v>
      </c>
      <c r="L716" s="3" t="e">
        <f t="shared" si="15"/>
        <v>#N/A</v>
      </c>
      <c r="M716" s="3" t="e">
        <f t="shared" si="16"/>
        <v>#N/A</v>
      </c>
      <c r="N716" s="3" t="e">
        <f t="shared" si="17"/>
        <v>#N/A</v>
      </c>
      <c r="O716" s="3" t="e">
        <f t="shared" si="18"/>
        <v>#N/A</v>
      </c>
    </row>
    <row r="717" spans="1:15" ht="14.25" customHeight="1">
      <c r="A717" s="2" t="s">
        <v>15</v>
      </c>
      <c r="B717" s="2">
        <v>1923</v>
      </c>
      <c r="C717" s="2" t="s">
        <v>30</v>
      </c>
      <c r="J717" s="3" t="e">
        <f t="shared" si="13"/>
        <v>#N/A</v>
      </c>
      <c r="K717" s="3" t="e">
        <f t="shared" si="14"/>
        <v>#N/A</v>
      </c>
      <c r="L717" s="3" t="e">
        <f t="shared" si="15"/>
        <v>#N/A</v>
      </c>
      <c r="M717" s="3" t="e">
        <f t="shared" si="16"/>
        <v>#N/A</v>
      </c>
      <c r="N717" s="3" t="e">
        <f t="shared" si="17"/>
        <v>#N/A</v>
      </c>
      <c r="O717" s="3" t="e">
        <f t="shared" si="18"/>
        <v>#N/A</v>
      </c>
    </row>
    <row r="718" spans="1:15" ht="14.25" customHeight="1">
      <c r="A718" s="2" t="s">
        <v>15</v>
      </c>
      <c r="B718" s="2">
        <v>1922</v>
      </c>
      <c r="C718" s="2" t="s">
        <v>30</v>
      </c>
      <c r="J718" s="3" t="e">
        <f t="shared" si="13"/>
        <v>#N/A</v>
      </c>
      <c r="K718" s="3" t="e">
        <f t="shared" si="14"/>
        <v>#N/A</v>
      </c>
      <c r="L718" s="3" t="e">
        <f t="shared" si="15"/>
        <v>#N/A</v>
      </c>
      <c r="M718" s="3" t="e">
        <f t="shared" si="16"/>
        <v>#N/A</v>
      </c>
      <c r="N718" s="3" t="e">
        <f t="shared" si="17"/>
        <v>#N/A</v>
      </c>
      <c r="O718" s="3" t="e">
        <f t="shared" si="18"/>
        <v>#N/A</v>
      </c>
    </row>
    <row r="719" spans="1:15" ht="14.25" customHeight="1">
      <c r="A719" s="2" t="s">
        <v>15</v>
      </c>
      <c r="B719" s="2">
        <v>1921</v>
      </c>
      <c r="C719" s="2" t="s">
        <v>30</v>
      </c>
      <c r="J719" s="3" t="e">
        <f t="shared" si="13"/>
        <v>#N/A</v>
      </c>
      <c r="K719" s="3" t="e">
        <f t="shared" si="14"/>
        <v>#N/A</v>
      </c>
      <c r="L719" s="3" t="e">
        <f t="shared" si="15"/>
        <v>#N/A</v>
      </c>
      <c r="M719" s="3" t="e">
        <f t="shared" si="16"/>
        <v>#N/A</v>
      </c>
      <c r="N719" s="3" t="e">
        <f t="shared" si="17"/>
        <v>#N/A</v>
      </c>
      <c r="O719" s="3" t="e">
        <f t="shared" si="18"/>
        <v>#N/A</v>
      </c>
    </row>
    <row r="720" spans="1:15" ht="14.25" customHeight="1">
      <c r="A720" s="2" t="s">
        <v>15</v>
      </c>
      <c r="B720" s="2">
        <v>1920</v>
      </c>
      <c r="C720" s="2" t="s">
        <v>30</v>
      </c>
      <c r="F720" s="2" t="s">
        <v>17</v>
      </c>
      <c r="G720" s="2" t="s">
        <v>17</v>
      </c>
      <c r="H720" s="2" t="s">
        <v>17</v>
      </c>
      <c r="I720" s="2" t="s">
        <v>17</v>
      </c>
      <c r="J720" s="3" t="e">
        <f t="shared" si="13"/>
        <v>#N/A</v>
      </c>
      <c r="K720" s="3" t="e">
        <f t="shared" si="14"/>
        <v>#N/A</v>
      </c>
      <c r="L720" s="3" t="e">
        <f t="shared" si="15"/>
        <v>#VALUE!</v>
      </c>
      <c r="M720" s="3" t="e">
        <f t="shared" si="16"/>
        <v>#VALUE!</v>
      </c>
      <c r="N720" s="3" t="e">
        <f t="shared" si="17"/>
        <v>#VALUE!</v>
      </c>
      <c r="O720" s="3" t="e">
        <f t="shared" si="18"/>
        <v>#VALUE!</v>
      </c>
    </row>
    <row r="721" spans="1:15" ht="14.25" customHeight="1">
      <c r="A721" s="2" t="s">
        <v>15</v>
      </c>
      <c r="B721" s="2">
        <v>1919</v>
      </c>
      <c r="C721" s="2" t="s">
        <v>30</v>
      </c>
      <c r="F721" s="2" t="s">
        <v>17</v>
      </c>
      <c r="G721" s="2" t="s">
        <v>17</v>
      </c>
      <c r="H721" s="2" t="s">
        <v>17</v>
      </c>
      <c r="I721" s="2" t="s">
        <v>17</v>
      </c>
      <c r="J721" s="3" t="e">
        <f t="shared" si="13"/>
        <v>#N/A</v>
      </c>
      <c r="K721" s="3" t="e">
        <f t="shared" si="14"/>
        <v>#N/A</v>
      </c>
      <c r="L721" s="3" t="e">
        <f t="shared" si="15"/>
        <v>#VALUE!</v>
      </c>
      <c r="M721" s="3" t="e">
        <f t="shared" si="16"/>
        <v>#VALUE!</v>
      </c>
      <c r="N721" s="3" t="e">
        <f t="shared" si="17"/>
        <v>#VALUE!</v>
      </c>
      <c r="O721" s="3" t="e">
        <f t="shared" si="18"/>
        <v>#VALUE!</v>
      </c>
    </row>
    <row r="722" spans="1:15" ht="14.25" customHeight="1">
      <c r="A722" s="2" t="s">
        <v>15</v>
      </c>
      <c r="B722" s="2">
        <v>1918</v>
      </c>
      <c r="C722" s="2" t="s">
        <v>30</v>
      </c>
      <c r="F722" s="2" t="s">
        <v>17</v>
      </c>
      <c r="G722" s="2" t="s">
        <v>17</v>
      </c>
      <c r="H722" s="2" t="s">
        <v>17</v>
      </c>
      <c r="I722" s="2" t="s">
        <v>17</v>
      </c>
      <c r="J722" s="3" t="e">
        <f t="shared" si="13"/>
        <v>#N/A</v>
      </c>
      <c r="K722" s="3" t="e">
        <f t="shared" si="14"/>
        <v>#N/A</v>
      </c>
      <c r="L722" s="3" t="e">
        <f t="shared" si="15"/>
        <v>#VALUE!</v>
      </c>
      <c r="M722" s="3" t="e">
        <f t="shared" si="16"/>
        <v>#VALUE!</v>
      </c>
      <c r="N722" s="3" t="e">
        <f t="shared" si="17"/>
        <v>#VALUE!</v>
      </c>
      <c r="O722" s="3" t="e">
        <f t="shared" si="18"/>
        <v>#VALUE!</v>
      </c>
    </row>
    <row r="723" spans="1:15" ht="14.25" customHeight="1">
      <c r="A723" s="2" t="s">
        <v>15</v>
      </c>
      <c r="B723" s="2">
        <v>1917</v>
      </c>
      <c r="C723" s="2" t="s">
        <v>30</v>
      </c>
      <c r="F723" s="2" t="s">
        <v>17</v>
      </c>
      <c r="G723" s="2" t="s">
        <v>17</v>
      </c>
      <c r="H723" s="2" t="s">
        <v>17</v>
      </c>
      <c r="I723" s="2" t="s">
        <v>17</v>
      </c>
      <c r="J723" s="3" t="e">
        <f t="shared" si="13"/>
        <v>#N/A</v>
      </c>
      <c r="K723" s="3" t="e">
        <f t="shared" si="14"/>
        <v>#N/A</v>
      </c>
      <c r="L723" s="3" t="e">
        <f t="shared" si="15"/>
        <v>#VALUE!</v>
      </c>
      <c r="M723" s="3" t="e">
        <f t="shared" si="16"/>
        <v>#VALUE!</v>
      </c>
      <c r="N723" s="3" t="e">
        <f t="shared" si="17"/>
        <v>#VALUE!</v>
      </c>
      <c r="O723" s="3" t="e">
        <f t="shared" si="18"/>
        <v>#VALUE!</v>
      </c>
    </row>
    <row r="724" spans="1:15" ht="14.25" customHeight="1">
      <c r="A724" s="2" t="s">
        <v>15</v>
      </c>
      <c r="B724" s="2">
        <v>1916</v>
      </c>
      <c r="C724" s="2" t="s">
        <v>30</v>
      </c>
      <c r="F724" s="2" t="s">
        <v>17</v>
      </c>
      <c r="G724" s="2" t="s">
        <v>17</v>
      </c>
      <c r="H724" s="2" t="s">
        <v>17</v>
      </c>
      <c r="I724" s="2" t="s">
        <v>17</v>
      </c>
      <c r="J724" s="3" t="e">
        <f t="shared" si="13"/>
        <v>#N/A</v>
      </c>
      <c r="K724" s="3" t="e">
        <f t="shared" si="14"/>
        <v>#N/A</v>
      </c>
      <c r="L724" s="3" t="e">
        <f t="shared" si="15"/>
        <v>#VALUE!</v>
      </c>
      <c r="M724" s="3" t="e">
        <f t="shared" si="16"/>
        <v>#VALUE!</v>
      </c>
      <c r="N724" s="3" t="e">
        <f t="shared" si="17"/>
        <v>#VALUE!</v>
      </c>
      <c r="O724" s="3" t="e">
        <f t="shared" si="18"/>
        <v>#VALUE!</v>
      </c>
    </row>
    <row r="725" spans="1:15" ht="14.25" customHeight="1">
      <c r="A725" s="2" t="s">
        <v>15</v>
      </c>
      <c r="B725" s="2">
        <v>1915</v>
      </c>
      <c r="C725" s="2" t="s">
        <v>30</v>
      </c>
      <c r="F725" s="2" t="s">
        <v>17</v>
      </c>
      <c r="G725" s="2" t="s">
        <v>17</v>
      </c>
      <c r="H725" s="2" t="s">
        <v>17</v>
      </c>
      <c r="I725" s="2" t="s">
        <v>17</v>
      </c>
      <c r="J725" s="3" t="e">
        <f t="shared" si="13"/>
        <v>#N/A</v>
      </c>
      <c r="K725" s="3" t="e">
        <f t="shared" si="14"/>
        <v>#N/A</v>
      </c>
      <c r="L725" s="3" t="e">
        <f t="shared" si="15"/>
        <v>#VALUE!</v>
      </c>
      <c r="M725" s="3" t="e">
        <f t="shared" si="16"/>
        <v>#VALUE!</v>
      </c>
      <c r="N725" s="3" t="e">
        <f t="shared" si="17"/>
        <v>#VALUE!</v>
      </c>
      <c r="O725" s="3" t="e">
        <f t="shared" si="18"/>
        <v>#VALUE!</v>
      </c>
    </row>
    <row r="726" spans="1:15" ht="14.25" customHeight="1">
      <c r="A726" s="2" t="s">
        <v>15</v>
      </c>
      <c r="B726" s="2">
        <v>1914</v>
      </c>
      <c r="C726" s="2" t="s">
        <v>30</v>
      </c>
      <c r="F726" s="2" t="s">
        <v>17</v>
      </c>
      <c r="G726" s="2" t="s">
        <v>17</v>
      </c>
      <c r="H726" s="2" t="s">
        <v>17</v>
      </c>
      <c r="I726" s="2" t="s">
        <v>17</v>
      </c>
      <c r="J726" s="3" t="e">
        <f t="shared" si="13"/>
        <v>#N/A</v>
      </c>
      <c r="K726" s="3" t="e">
        <f t="shared" si="14"/>
        <v>#N/A</v>
      </c>
      <c r="L726" s="3" t="e">
        <f t="shared" si="15"/>
        <v>#VALUE!</v>
      </c>
      <c r="M726" s="3" t="e">
        <f t="shared" si="16"/>
        <v>#VALUE!</v>
      </c>
      <c r="N726" s="3" t="e">
        <f t="shared" si="17"/>
        <v>#VALUE!</v>
      </c>
      <c r="O726" s="3" t="e">
        <f t="shared" si="18"/>
        <v>#VALUE!</v>
      </c>
    </row>
    <row r="727" spans="1:15" ht="14.25" customHeight="1">
      <c r="A727" s="2" t="s">
        <v>15</v>
      </c>
      <c r="B727" s="2">
        <v>1913</v>
      </c>
      <c r="C727" s="2" t="s">
        <v>30</v>
      </c>
      <c r="J727" s="3" t="e">
        <f t="shared" si="13"/>
        <v>#N/A</v>
      </c>
      <c r="K727" s="3" t="e">
        <f t="shared" si="14"/>
        <v>#N/A</v>
      </c>
      <c r="L727" s="3" t="e">
        <f t="shared" si="15"/>
        <v>#N/A</v>
      </c>
      <c r="M727" s="3" t="e">
        <f t="shared" si="16"/>
        <v>#N/A</v>
      </c>
      <c r="N727" s="3" t="e">
        <f t="shared" si="17"/>
        <v>#N/A</v>
      </c>
      <c r="O727" s="3" t="e">
        <f t="shared" si="18"/>
        <v>#N/A</v>
      </c>
    </row>
    <row r="728" spans="1:15" ht="14.25" customHeight="1">
      <c r="A728" s="2" t="s">
        <v>15</v>
      </c>
      <c r="B728" s="2">
        <v>1912</v>
      </c>
      <c r="C728" s="2" t="s">
        <v>30</v>
      </c>
      <c r="J728" s="3" t="e">
        <f t="shared" si="13"/>
        <v>#N/A</v>
      </c>
      <c r="K728" s="3" t="e">
        <f t="shared" si="14"/>
        <v>#N/A</v>
      </c>
      <c r="L728" s="3" t="e">
        <f t="shared" si="15"/>
        <v>#N/A</v>
      </c>
      <c r="M728" s="3" t="e">
        <f t="shared" si="16"/>
        <v>#N/A</v>
      </c>
      <c r="N728" s="3" t="e">
        <f t="shared" si="17"/>
        <v>#N/A</v>
      </c>
      <c r="O728" s="3" t="e">
        <f t="shared" si="18"/>
        <v>#N/A</v>
      </c>
    </row>
    <row r="729" spans="1:15" ht="14.25" customHeight="1">
      <c r="A729" s="2" t="s">
        <v>15</v>
      </c>
      <c r="B729" s="2">
        <v>1911</v>
      </c>
      <c r="C729" s="2" t="s">
        <v>30</v>
      </c>
      <c r="J729" s="3" t="e">
        <f t="shared" si="13"/>
        <v>#N/A</v>
      </c>
      <c r="K729" s="3" t="e">
        <f t="shared" si="14"/>
        <v>#N/A</v>
      </c>
      <c r="L729" s="3" t="e">
        <f t="shared" si="15"/>
        <v>#N/A</v>
      </c>
      <c r="M729" s="3" t="e">
        <f t="shared" si="16"/>
        <v>#N/A</v>
      </c>
      <c r="N729" s="3" t="e">
        <f t="shared" si="17"/>
        <v>#N/A</v>
      </c>
      <c r="O729" s="3" t="e">
        <f t="shared" si="18"/>
        <v>#N/A</v>
      </c>
    </row>
    <row r="730" spans="1:15" ht="14.25" customHeight="1">
      <c r="A730" s="2" t="s">
        <v>15</v>
      </c>
      <c r="B730" s="2">
        <v>1910</v>
      </c>
      <c r="C730" s="2" t="s">
        <v>30</v>
      </c>
      <c r="F730" s="2" t="s">
        <v>17</v>
      </c>
      <c r="G730" s="2" t="s">
        <v>17</v>
      </c>
      <c r="H730" s="2" t="s">
        <v>17</v>
      </c>
      <c r="I730" s="2" t="s">
        <v>17</v>
      </c>
      <c r="J730" s="3" t="e">
        <f t="shared" si="13"/>
        <v>#N/A</v>
      </c>
      <c r="K730" s="3" t="e">
        <f t="shared" si="14"/>
        <v>#N/A</v>
      </c>
      <c r="L730" s="3" t="e">
        <f t="shared" si="15"/>
        <v>#VALUE!</v>
      </c>
      <c r="M730" s="3" t="e">
        <f t="shared" si="16"/>
        <v>#VALUE!</v>
      </c>
      <c r="N730" s="3" t="e">
        <f t="shared" si="17"/>
        <v>#VALUE!</v>
      </c>
      <c r="O730" s="3" t="e">
        <f t="shared" si="18"/>
        <v>#VALUE!</v>
      </c>
    </row>
    <row r="731" spans="1:15" ht="14.25" customHeight="1">
      <c r="A731" s="2" t="s">
        <v>15</v>
      </c>
      <c r="B731" s="2">
        <v>1909</v>
      </c>
      <c r="C731" s="2" t="s">
        <v>30</v>
      </c>
      <c r="J731" s="3" t="e">
        <f t="shared" si="13"/>
        <v>#N/A</v>
      </c>
      <c r="K731" s="3" t="e">
        <f t="shared" si="14"/>
        <v>#N/A</v>
      </c>
      <c r="L731" s="3" t="e">
        <f t="shared" si="15"/>
        <v>#N/A</v>
      </c>
      <c r="M731" s="3" t="e">
        <f t="shared" si="16"/>
        <v>#N/A</v>
      </c>
      <c r="N731" s="3" t="e">
        <f t="shared" si="17"/>
        <v>#N/A</v>
      </c>
      <c r="O731" s="3" t="e">
        <f t="shared" si="18"/>
        <v>#N/A</v>
      </c>
    </row>
    <row r="732" spans="1:15" ht="14.25" customHeight="1">
      <c r="A732" s="2" t="s">
        <v>15</v>
      </c>
      <c r="B732" s="2">
        <v>1908</v>
      </c>
      <c r="C732" s="2" t="s">
        <v>30</v>
      </c>
      <c r="J732" s="3" t="e">
        <f t="shared" si="13"/>
        <v>#N/A</v>
      </c>
      <c r="K732" s="3" t="e">
        <f t="shared" si="14"/>
        <v>#N/A</v>
      </c>
      <c r="L732" s="3" t="e">
        <f t="shared" si="15"/>
        <v>#N/A</v>
      </c>
      <c r="M732" s="3" t="e">
        <f t="shared" si="16"/>
        <v>#N/A</v>
      </c>
      <c r="N732" s="3" t="e">
        <f t="shared" si="17"/>
        <v>#N/A</v>
      </c>
      <c r="O732" s="3" t="e">
        <f t="shared" si="18"/>
        <v>#N/A</v>
      </c>
    </row>
    <row r="733" spans="1:15" ht="14.25" customHeight="1">
      <c r="A733" s="2" t="s">
        <v>15</v>
      </c>
      <c r="B733" s="2">
        <v>1907</v>
      </c>
      <c r="C733" s="2" t="s">
        <v>30</v>
      </c>
      <c r="J733" s="3" t="e">
        <f t="shared" si="13"/>
        <v>#N/A</v>
      </c>
      <c r="K733" s="3" t="e">
        <f t="shared" si="14"/>
        <v>#N/A</v>
      </c>
      <c r="L733" s="3" t="e">
        <f t="shared" si="15"/>
        <v>#N/A</v>
      </c>
      <c r="M733" s="3" t="e">
        <f t="shared" si="16"/>
        <v>#N/A</v>
      </c>
      <c r="N733" s="3" t="e">
        <f t="shared" si="17"/>
        <v>#N/A</v>
      </c>
      <c r="O733" s="3" t="e">
        <f t="shared" si="18"/>
        <v>#N/A</v>
      </c>
    </row>
    <row r="734" spans="1:15" ht="14.25" customHeight="1">
      <c r="A734" s="2" t="s">
        <v>15</v>
      </c>
      <c r="B734" s="2">
        <v>1906</v>
      </c>
      <c r="C734" s="2" t="s">
        <v>30</v>
      </c>
      <c r="J734" s="3" t="e">
        <f t="shared" si="13"/>
        <v>#N/A</v>
      </c>
      <c r="K734" s="3" t="e">
        <f t="shared" si="14"/>
        <v>#N/A</v>
      </c>
      <c r="L734" s="3" t="e">
        <f t="shared" si="15"/>
        <v>#N/A</v>
      </c>
      <c r="M734" s="3" t="e">
        <f t="shared" si="16"/>
        <v>#N/A</v>
      </c>
      <c r="N734" s="3" t="e">
        <f t="shared" si="17"/>
        <v>#N/A</v>
      </c>
      <c r="O734" s="3" t="e">
        <f t="shared" si="18"/>
        <v>#N/A</v>
      </c>
    </row>
    <row r="735" spans="1:15" ht="14.25" customHeight="1">
      <c r="A735" s="2" t="s">
        <v>15</v>
      </c>
      <c r="B735" s="2">
        <v>1905</v>
      </c>
      <c r="C735" s="2" t="s">
        <v>30</v>
      </c>
      <c r="F735" s="2" t="s">
        <v>17</v>
      </c>
      <c r="G735" s="2" t="s">
        <v>17</v>
      </c>
      <c r="H735" s="2" t="s">
        <v>17</v>
      </c>
      <c r="I735" s="2" t="s">
        <v>17</v>
      </c>
      <c r="J735" s="3" t="e">
        <f t="shared" si="13"/>
        <v>#N/A</v>
      </c>
      <c r="K735" s="3" t="e">
        <f t="shared" si="14"/>
        <v>#N/A</v>
      </c>
      <c r="L735" s="3" t="e">
        <f t="shared" si="15"/>
        <v>#VALUE!</v>
      </c>
      <c r="M735" s="3" t="e">
        <f t="shared" si="16"/>
        <v>#VALUE!</v>
      </c>
      <c r="N735" s="3" t="e">
        <f t="shared" si="17"/>
        <v>#VALUE!</v>
      </c>
      <c r="O735" s="3" t="e">
        <f t="shared" si="18"/>
        <v>#VALUE!</v>
      </c>
    </row>
    <row r="736" spans="1:15" ht="14.25" customHeight="1">
      <c r="A736" s="2" t="s">
        <v>15</v>
      </c>
      <c r="B736" s="2">
        <v>1904</v>
      </c>
      <c r="C736" s="2" t="s">
        <v>30</v>
      </c>
      <c r="J736" s="3" t="e">
        <f t="shared" si="13"/>
        <v>#N/A</v>
      </c>
      <c r="K736" s="3" t="e">
        <f t="shared" si="14"/>
        <v>#N/A</v>
      </c>
      <c r="L736" s="3" t="e">
        <f t="shared" si="15"/>
        <v>#N/A</v>
      </c>
      <c r="M736" s="3" t="e">
        <f t="shared" si="16"/>
        <v>#N/A</v>
      </c>
      <c r="N736" s="3" t="e">
        <f t="shared" si="17"/>
        <v>#N/A</v>
      </c>
      <c r="O736" s="3" t="e">
        <f t="shared" si="18"/>
        <v>#N/A</v>
      </c>
    </row>
    <row r="737" spans="1:15" ht="14.25" customHeight="1">
      <c r="A737" s="2" t="s">
        <v>15</v>
      </c>
      <c r="B737" s="2">
        <v>1903</v>
      </c>
      <c r="C737" s="2" t="s">
        <v>30</v>
      </c>
      <c r="J737" s="3" t="e">
        <f t="shared" si="13"/>
        <v>#N/A</v>
      </c>
      <c r="K737" s="3" t="e">
        <f t="shared" si="14"/>
        <v>#N/A</v>
      </c>
      <c r="L737" s="3" t="e">
        <f t="shared" si="15"/>
        <v>#N/A</v>
      </c>
      <c r="M737" s="3" t="e">
        <f t="shared" si="16"/>
        <v>#N/A</v>
      </c>
      <c r="N737" s="3" t="e">
        <f t="shared" si="17"/>
        <v>#N/A</v>
      </c>
      <c r="O737" s="3" t="e">
        <f t="shared" si="18"/>
        <v>#N/A</v>
      </c>
    </row>
    <row r="738" spans="1:15" ht="14.25" customHeight="1">
      <c r="A738" s="2" t="s">
        <v>15</v>
      </c>
      <c r="B738" s="2">
        <v>1902</v>
      </c>
      <c r="C738" s="2" t="s">
        <v>30</v>
      </c>
      <c r="J738" s="3" t="e">
        <f t="shared" si="13"/>
        <v>#N/A</v>
      </c>
      <c r="K738" s="3" t="e">
        <f t="shared" si="14"/>
        <v>#N/A</v>
      </c>
      <c r="L738" s="3" t="e">
        <f t="shared" si="15"/>
        <v>#N/A</v>
      </c>
      <c r="M738" s="3" t="e">
        <f t="shared" si="16"/>
        <v>#N/A</v>
      </c>
      <c r="N738" s="3" t="e">
        <f t="shared" si="17"/>
        <v>#N/A</v>
      </c>
      <c r="O738" s="3" t="e">
        <f t="shared" si="18"/>
        <v>#N/A</v>
      </c>
    </row>
    <row r="739" spans="1:15" ht="14.25" customHeight="1">
      <c r="A739" s="2" t="s">
        <v>15</v>
      </c>
      <c r="B739" s="2">
        <v>1901</v>
      </c>
      <c r="C739" s="2" t="s">
        <v>30</v>
      </c>
      <c r="J739" s="3" t="e">
        <f t="shared" si="13"/>
        <v>#N/A</v>
      </c>
      <c r="K739" s="3" t="e">
        <f t="shared" si="14"/>
        <v>#N/A</v>
      </c>
      <c r="L739" s="3" t="e">
        <f t="shared" si="15"/>
        <v>#N/A</v>
      </c>
      <c r="M739" s="3" t="e">
        <f t="shared" si="16"/>
        <v>#N/A</v>
      </c>
      <c r="N739" s="3" t="e">
        <f t="shared" si="17"/>
        <v>#N/A</v>
      </c>
      <c r="O739" s="3" t="e">
        <f t="shared" si="18"/>
        <v>#N/A</v>
      </c>
    </row>
    <row r="740" spans="1:15" ht="14.25" customHeight="1">
      <c r="A740" s="2" t="s">
        <v>15</v>
      </c>
      <c r="B740" s="2">
        <v>1900</v>
      </c>
      <c r="C740" s="2" t="s">
        <v>30</v>
      </c>
      <c r="F740" s="2" t="s">
        <v>17</v>
      </c>
      <c r="G740" s="2" t="s">
        <v>17</v>
      </c>
      <c r="H740" s="2" t="s">
        <v>17</v>
      </c>
      <c r="I740" s="2" t="s">
        <v>17</v>
      </c>
      <c r="J740" s="3" t="e">
        <f t="shared" si="13"/>
        <v>#N/A</v>
      </c>
      <c r="K740" s="3" t="e">
        <f t="shared" si="14"/>
        <v>#N/A</v>
      </c>
      <c r="L740" s="3" t="e">
        <f t="shared" si="15"/>
        <v>#VALUE!</v>
      </c>
      <c r="M740" s="3" t="e">
        <f t="shared" si="16"/>
        <v>#VALUE!</v>
      </c>
      <c r="N740" s="3" t="e">
        <f t="shared" si="17"/>
        <v>#VALUE!</v>
      </c>
      <c r="O740" s="3" t="e">
        <f t="shared" si="18"/>
        <v>#VALUE!</v>
      </c>
    </row>
    <row r="741" spans="1:15" ht="14.25" customHeight="1"/>
    <row r="742" spans="1:15" ht="14.25" customHeight="1"/>
    <row r="743" spans="1:15" ht="14.25" customHeight="1"/>
    <row r="744" spans="1:15" ht="14.25" customHeight="1"/>
    <row r="745" spans="1:15" ht="14.25" customHeight="1"/>
    <row r="746" spans="1:15" ht="14.25" customHeight="1"/>
    <row r="747" spans="1:15" ht="14.25" customHeight="1"/>
    <row r="748" spans="1:15" ht="14.25" customHeight="1"/>
    <row r="749" spans="1:15" ht="14.25" customHeight="1"/>
    <row r="750" spans="1:15" ht="14.25" customHeight="1"/>
    <row r="751" spans="1:15" ht="14.25" customHeight="1"/>
    <row r="752" spans="1:15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42578125" customWidth="1"/>
    <col min="2" max="2" width="5" customWidth="1"/>
    <col min="3" max="3" width="14.5703125" customWidth="1"/>
    <col min="4" max="4" width="16" customWidth="1"/>
    <col min="5" max="5" width="15.5703125" customWidth="1"/>
    <col min="6" max="6" width="8.42578125" customWidth="1"/>
    <col min="7" max="7" width="14.28515625" customWidth="1"/>
    <col min="8" max="8" width="8.42578125" customWidth="1"/>
    <col min="9" max="9" width="14" customWidth="1"/>
    <col min="10" max="10" width="11.85546875" customWidth="1"/>
    <col min="11" max="11" width="8.7109375" customWidth="1"/>
    <col min="12" max="12" width="11.85546875" customWidth="1"/>
    <col min="13" max="13" width="8.7109375" customWidth="1"/>
    <col min="14" max="14" width="11.85546875" customWidth="1"/>
    <col min="15" max="26" width="8.7109375" customWidth="1"/>
  </cols>
  <sheetData>
    <row r="1" spans="1:26" ht="14.25" customHeight="1">
      <c r="A1" s="1" t="s">
        <v>0</v>
      </c>
      <c r="B1" s="1" t="s">
        <v>1</v>
      </c>
      <c r="C1" s="1" t="s">
        <v>2</v>
      </c>
      <c r="D1" s="1" t="s">
        <v>31</v>
      </c>
      <c r="E1" s="1" t="s">
        <v>10</v>
      </c>
      <c r="F1" s="1" t="s">
        <v>32</v>
      </c>
      <c r="G1" s="1" t="s">
        <v>12</v>
      </c>
      <c r="H1" s="1" t="s">
        <v>33</v>
      </c>
      <c r="I1" s="1" t="s">
        <v>14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2" t="s">
        <v>15</v>
      </c>
      <c r="B2" s="2">
        <v>1965</v>
      </c>
      <c r="C2" s="2" t="s">
        <v>22</v>
      </c>
      <c r="D2" s="2">
        <v>6240</v>
      </c>
      <c r="E2" s="2">
        <v>25063</v>
      </c>
      <c r="H2" s="2">
        <f>338+529</f>
        <v>867</v>
      </c>
      <c r="I2" s="2">
        <f>1351+5233</f>
        <v>6584</v>
      </c>
      <c r="J2" s="3">
        <f t="shared" ref="J2:J256" si="0">IF(D2="", NA(), D2/19.684*1000)</f>
        <v>317008.73806136963</v>
      </c>
      <c r="K2" s="3">
        <f t="shared" ref="K2:K256" si="1">IF(E2="", NA(), E2)</f>
        <v>25063</v>
      </c>
      <c r="L2" s="3" t="e">
        <f t="shared" ref="L2:L256" si="2">IF(F2="", NA(), F2/19.684*1000)</f>
        <v>#N/A</v>
      </c>
      <c r="M2" s="3" t="e">
        <f t="shared" ref="M2:M256" si="3">IF(G2="", NA(), G2)</f>
        <v>#N/A</v>
      </c>
      <c r="N2" s="3">
        <f t="shared" ref="N2:N256" si="4">IF(H2="", NA(), H2/19.684*1000)</f>
        <v>44045.925624872994</v>
      </c>
      <c r="O2" s="3">
        <f t="shared" ref="O2:O256" si="5">IF(I2="", NA(), I2)</f>
        <v>6584</v>
      </c>
    </row>
    <row r="3" spans="1:26" ht="14.25" customHeight="1">
      <c r="A3" s="2" t="s">
        <v>15</v>
      </c>
      <c r="B3" s="2">
        <v>1965</v>
      </c>
      <c r="C3" s="2" t="s">
        <v>23</v>
      </c>
      <c r="D3" s="2">
        <v>3318</v>
      </c>
      <c r="E3" s="2">
        <v>10851</v>
      </c>
      <c r="H3" s="2">
        <f>200+132</f>
        <v>332</v>
      </c>
      <c r="I3" s="2">
        <f>883+1541</f>
        <v>2424</v>
      </c>
      <c r="J3" s="3">
        <f t="shared" si="0"/>
        <v>168563.30014224749</v>
      </c>
      <c r="K3" s="3">
        <f t="shared" si="1"/>
        <v>10851</v>
      </c>
      <c r="L3" s="3" t="e">
        <f t="shared" si="2"/>
        <v>#N/A</v>
      </c>
      <c r="M3" s="3" t="e">
        <f t="shared" si="3"/>
        <v>#N/A</v>
      </c>
      <c r="N3" s="3">
        <f t="shared" si="4"/>
        <v>16866.490550701077</v>
      </c>
      <c r="O3" s="3">
        <f t="shared" si="5"/>
        <v>2424</v>
      </c>
    </row>
    <row r="4" spans="1:26" ht="14.25" customHeight="1">
      <c r="A4" s="2" t="s">
        <v>15</v>
      </c>
      <c r="B4" s="2">
        <v>1965</v>
      </c>
      <c r="C4" s="2" t="s">
        <v>25</v>
      </c>
      <c r="D4" s="2">
        <v>786</v>
      </c>
      <c r="E4" s="2">
        <v>5703</v>
      </c>
      <c r="H4" s="2">
        <f>221+131</f>
        <v>352</v>
      </c>
      <c r="I4" s="2">
        <f>1803+2561</f>
        <v>4364</v>
      </c>
      <c r="J4" s="3">
        <f t="shared" si="0"/>
        <v>39930.908351960978</v>
      </c>
      <c r="K4" s="3">
        <f t="shared" si="1"/>
        <v>5703</v>
      </c>
      <c r="L4" s="3" t="e">
        <f t="shared" si="2"/>
        <v>#N/A</v>
      </c>
      <c r="M4" s="3" t="e">
        <f t="shared" si="3"/>
        <v>#N/A</v>
      </c>
      <c r="N4" s="3">
        <f t="shared" si="4"/>
        <v>17882.544198333671</v>
      </c>
      <c r="O4" s="3">
        <f t="shared" si="5"/>
        <v>4364</v>
      </c>
    </row>
    <row r="5" spans="1:26" ht="14.25" customHeight="1">
      <c r="A5" s="2" t="s">
        <v>15</v>
      </c>
      <c r="B5" s="2">
        <v>1965</v>
      </c>
      <c r="C5" s="2" t="s">
        <v>24</v>
      </c>
      <c r="D5" s="2">
        <v>973</v>
      </c>
      <c r="E5" s="2">
        <v>1768</v>
      </c>
      <c r="J5" s="3">
        <f t="shared" si="0"/>
        <v>49431.009957325739</v>
      </c>
      <c r="K5" s="3">
        <f t="shared" si="1"/>
        <v>1768</v>
      </c>
      <c r="L5" s="3" t="e">
        <f t="shared" si="2"/>
        <v>#N/A</v>
      </c>
      <c r="M5" s="3" t="e">
        <f t="shared" si="3"/>
        <v>#N/A</v>
      </c>
      <c r="N5" s="3" t="e">
        <f t="shared" si="4"/>
        <v>#N/A</v>
      </c>
      <c r="O5" s="3" t="e">
        <f t="shared" si="5"/>
        <v>#N/A</v>
      </c>
    </row>
    <row r="6" spans="1:26" ht="14.25" customHeight="1">
      <c r="A6" s="2" t="s">
        <v>15</v>
      </c>
      <c r="B6" s="2">
        <v>1965</v>
      </c>
      <c r="C6" s="2" t="s">
        <v>19</v>
      </c>
      <c r="D6" s="2">
        <v>1962</v>
      </c>
      <c r="E6" s="2">
        <v>2931</v>
      </c>
      <c r="H6" s="2">
        <f>92+22+3+4</f>
        <v>121</v>
      </c>
      <c r="I6" s="2">
        <f>191+58+14+65</f>
        <v>328</v>
      </c>
      <c r="J6" s="3">
        <f t="shared" si="0"/>
        <v>99674.862832757572</v>
      </c>
      <c r="K6" s="3">
        <f t="shared" si="1"/>
        <v>2931</v>
      </c>
      <c r="L6" s="3" t="e">
        <f t="shared" si="2"/>
        <v>#N/A</v>
      </c>
      <c r="M6" s="3" t="e">
        <f t="shared" si="3"/>
        <v>#N/A</v>
      </c>
      <c r="N6" s="3">
        <f t="shared" si="4"/>
        <v>6147.1245681771998</v>
      </c>
      <c r="O6" s="3">
        <f t="shared" si="5"/>
        <v>328</v>
      </c>
    </row>
    <row r="7" spans="1:26" ht="14.25" customHeight="1">
      <c r="A7" s="2" t="s">
        <v>15</v>
      </c>
      <c r="B7" s="2">
        <v>1965</v>
      </c>
      <c r="C7" s="2" t="s">
        <v>21</v>
      </c>
      <c r="D7" s="2">
        <v>1182</v>
      </c>
      <c r="E7" s="2">
        <v>517</v>
      </c>
      <c r="J7" s="3">
        <f t="shared" si="0"/>
        <v>60048.770575086361</v>
      </c>
      <c r="K7" s="3">
        <f t="shared" si="1"/>
        <v>517</v>
      </c>
      <c r="L7" s="3" t="e">
        <f t="shared" si="2"/>
        <v>#N/A</v>
      </c>
      <c r="M7" s="3" t="e">
        <f t="shared" si="3"/>
        <v>#N/A</v>
      </c>
      <c r="N7" s="3" t="e">
        <f t="shared" si="4"/>
        <v>#N/A</v>
      </c>
      <c r="O7" s="3" t="e">
        <f t="shared" si="5"/>
        <v>#N/A</v>
      </c>
    </row>
    <row r="8" spans="1:26" ht="14.25" customHeight="1">
      <c r="A8" s="2" t="s">
        <v>15</v>
      </c>
      <c r="B8" s="2">
        <v>1965</v>
      </c>
      <c r="C8" s="2" t="s">
        <v>34</v>
      </c>
      <c r="D8" s="2">
        <v>21</v>
      </c>
      <c r="E8" s="2">
        <v>916</v>
      </c>
      <c r="H8" s="2">
        <v>3</v>
      </c>
      <c r="I8" s="2">
        <v>291</v>
      </c>
      <c r="J8" s="3">
        <f t="shared" si="0"/>
        <v>1066.8563300142246</v>
      </c>
      <c r="K8" s="3">
        <f t="shared" si="1"/>
        <v>916</v>
      </c>
      <c r="L8" s="3" t="e">
        <f t="shared" si="2"/>
        <v>#N/A</v>
      </c>
      <c r="M8" s="3" t="e">
        <f t="shared" si="3"/>
        <v>#N/A</v>
      </c>
      <c r="N8" s="3">
        <f t="shared" si="4"/>
        <v>152.40804714488922</v>
      </c>
      <c r="O8" s="3">
        <f t="shared" si="5"/>
        <v>291</v>
      </c>
    </row>
    <row r="9" spans="1:26" ht="14.25" customHeight="1">
      <c r="A9" s="2" t="s">
        <v>15</v>
      </c>
      <c r="B9" s="2">
        <v>1965</v>
      </c>
      <c r="C9" s="2" t="s">
        <v>35</v>
      </c>
      <c r="D9" s="2">
        <v>129</v>
      </c>
      <c r="E9" s="2">
        <v>1028</v>
      </c>
      <c r="J9" s="3">
        <f t="shared" si="0"/>
        <v>6553.5460272302371</v>
      </c>
      <c r="K9" s="3">
        <f t="shared" si="1"/>
        <v>1028</v>
      </c>
      <c r="L9" s="3" t="e">
        <f t="shared" si="2"/>
        <v>#N/A</v>
      </c>
      <c r="M9" s="3" t="e">
        <f t="shared" si="3"/>
        <v>#N/A</v>
      </c>
      <c r="N9" s="3" t="e">
        <f t="shared" si="4"/>
        <v>#N/A</v>
      </c>
      <c r="O9" s="3" t="e">
        <f t="shared" si="5"/>
        <v>#N/A</v>
      </c>
    </row>
    <row r="10" spans="1:26" ht="14.25" customHeight="1">
      <c r="A10" s="2" t="s">
        <v>15</v>
      </c>
      <c r="B10" s="2">
        <v>1965</v>
      </c>
      <c r="C10" s="2" t="s">
        <v>30</v>
      </c>
      <c r="D10" s="2">
        <v>28</v>
      </c>
      <c r="E10" s="2">
        <v>184</v>
      </c>
      <c r="H10" s="2">
        <f>50+13</f>
        <v>63</v>
      </c>
      <c r="I10" s="2">
        <f>325+1726</f>
        <v>2051</v>
      </c>
      <c r="J10" s="3">
        <f t="shared" si="0"/>
        <v>1422.4751066856329</v>
      </c>
      <c r="K10" s="3">
        <f t="shared" si="1"/>
        <v>184</v>
      </c>
      <c r="L10" s="3" t="e">
        <f t="shared" si="2"/>
        <v>#N/A</v>
      </c>
      <c r="M10" s="3" t="e">
        <f t="shared" si="3"/>
        <v>#N/A</v>
      </c>
      <c r="N10" s="3">
        <f t="shared" si="4"/>
        <v>3200.5689900426742</v>
      </c>
      <c r="O10" s="3">
        <f t="shared" si="5"/>
        <v>2051</v>
      </c>
    </row>
    <row r="11" spans="1:26" ht="14.25" customHeight="1">
      <c r="A11" s="2" t="s">
        <v>15</v>
      </c>
      <c r="B11" s="2">
        <v>1965</v>
      </c>
      <c r="C11" s="2" t="s">
        <v>36</v>
      </c>
      <c r="D11" s="2">
        <v>86</v>
      </c>
      <c r="E11" s="2">
        <v>356</v>
      </c>
      <c r="H11" s="2">
        <v>38</v>
      </c>
      <c r="I11" s="2">
        <v>1926</v>
      </c>
      <c r="J11" s="3">
        <f t="shared" si="0"/>
        <v>4369.0306848201581</v>
      </c>
      <c r="K11" s="3">
        <f t="shared" si="1"/>
        <v>356</v>
      </c>
      <c r="L11" s="3" t="e">
        <f t="shared" si="2"/>
        <v>#N/A</v>
      </c>
      <c r="M11" s="3" t="e">
        <f t="shared" si="3"/>
        <v>#N/A</v>
      </c>
      <c r="N11" s="3">
        <f t="shared" si="4"/>
        <v>1930.5019305019305</v>
      </c>
      <c r="O11" s="3">
        <f t="shared" si="5"/>
        <v>1926</v>
      </c>
    </row>
    <row r="12" spans="1:26" ht="14.25" customHeight="1">
      <c r="A12" s="2" t="s">
        <v>15</v>
      </c>
      <c r="B12" s="2">
        <v>1965</v>
      </c>
      <c r="C12" s="2" t="s">
        <v>16</v>
      </c>
      <c r="D12" s="2">
        <v>18232</v>
      </c>
      <c r="E12" s="2">
        <v>60956</v>
      </c>
      <c r="F12" s="2">
        <v>1060</v>
      </c>
      <c r="G12" s="2">
        <v>10155</v>
      </c>
      <c r="H12" s="2">
        <v>4318</v>
      </c>
      <c r="I12" s="2">
        <v>67382</v>
      </c>
      <c r="J12" s="3">
        <f t="shared" si="0"/>
        <v>926234.50518187357</v>
      </c>
      <c r="K12" s="3">
        <f t="shared" si="1"/>
        <v>60956</v>
      </c>
      <c r="L12" s="3">
        <f t="shared" si="2"/>
        <v>53850.84332452753</v>
      </c>
      <c r="M12" s="3">
        <f t="shared" si="3"/>
        <v>10155</v>
      </c>
      <c r="N12" s="3">
        <f t="shared" si="4"/>
        <v>219365.98252387726</v>
      </c>
      <c r="O12" s="3">
        <f t="shared" si="5"/>
        <v>67382</v>
      </c>
    </row>
    <row r="13" spans="1:26" ht="14.25" customHeight="1">
      <c r="A13" s="2" t="s">
        <v>15</v>
      </c>
      <c r="B13" s="2">
        <v>1965</v>
      </c>
      <c r="C13" s="2" t="s">
        <v>28</v>
      </c>
      <c r="D13" s="2">
        <v>547</v>
      </c>
      <c r="E13" s="2">
        <v>2957</v>
      </c>
      <c r="F13" s="2">
        <v>38</v>
      </c>
      <c r="G13" s="2">
        <v>1049</v>
      </c>
      <c r="H13" s="2">
        <v>309</v>
      </c>
      <c r="I13" s="2">
        <v>8888</v>
      </c>
      <c r="J13" s="3">
        <f t="shared" si="0"/>
        <v>27789.067262751472</v>
      </c>
      <c r="K13" s="3">
        <f t="shared" si="1"/>
        <v>2957</v>
      </c>
      <c r="L13" s="3">
        <f t="shared" si="2"/>
        <v>1930.5019305019305</v>
      </c>
      <c r="M13" s="3">
        <f t="shared" si="3"/>
        <v>1049</v>
      </c>
      <c r="N13" s="3">
        <f t="shared" si="4"/>
        <v>15698.028855923592</v>
      </c>
      <c r="O13" s="3">
        <f t="shared" si="5"/>
        <v>8888</v>
      </c>
    </row>
    <row r="14" spans="1:26" ht="14.25" customHeight="1">
      <c r="A14" s="2" t="s">
        <v>15</v>
      </c>
      <c r="B14" s="2">
        <v>1965</v>
      </c>
      <c r="C14" s="2" t="s">
        <v>37</v>
      </c>
      <c r="D14" s="2">
        <v>17685</v>
      </c>
      <c r="E14" s="2">
        <v>58002</v>
      </c>
      <c r="F14" s="2">
        <v>1022</v>
      </c>
      <c r="G14" s="2">
        <v>9106</v>
      </c>
      <c r="H14" s="2">
        <v>4009</v>
      </c>
      <c r="I14" s="2">
        <v>58494</v>
      </c>
      <c r="J14" s="3">
        <f t="shared" si="0"/>
        <v>898445.43791912217</v>
      </c>
      <c r="K14" s="3">
        <f t="shared" si="1"/>
        <v>58002</v>
      </c>
      <c r="L14" s="3">
        <f t="shared" si="2"/>
        <v>51920.3413940256</v>
      </c>
      <c r="M14" s="3">
        <f t="shared" si="3"/>
        <v>9106</v>
      </c>
      <c r="N14" s="3">
        <f t="shared" si="4"/>
        <v>203667.95366795367</v>
      </c>
      <c r="O14" s="3">
        <f t="shared" si="5"/>
        <v>58494</v>
      </c>
    </row>
    <row r="15" spans="1:26" ht="14.25" customHeight="1">
      <c r="A15" s="2" t="s">
        <v>15</v>
      </c>
      <c r="B15" s="2">
        <v>1966</v>
      </c>
      <c r="C15" s="2" t="s">
        <v>22</v>
      </c>
      <c r="D15" s="2">
        <v>6413</v>
      </c>
      <c r="E15" s="2">
        <v>25104</v>
      </c>
      <c r="H15" s="2">
        <f>444+296</f>
        <v>740</v>
      </c>
      <c r="I15" s="2">
        <f>1659+3025</f>
        <v>4684</v>
      </c>
      <c r="J15" s="3">
        <f t="shared" si="0"/>
        <v>325797.60211339156</v>
      </c>
      <c r="K15" s="3">
        <f t="shared" si="1"/>
        <v>25104</v>
      </c>
      <c r="L15" s="3" t="e">
        <f t="shared" si="2"/>
        <v>#N/A</v>
      </c>
      <c r="M15" s="3" t="e">
        <f t="shared" si="3"/>
        <v>#N/A</v>
      </c>
      <c r="N15" s="3">
        <f t="shared" si="4"/>
        <v>37593.984962406015</v>
      </c>
      <c r="O15" s="3">
        <f t="shared" si="5"/>
        <v>4684</v>
      </c>
    </row>
    <row r="16" spans="1:26" ht="14.25" customHeight="1">
      <c r="A16" s="2" t="s">
        <v>15</v>
      </c>
      <c r="B16" s="2">
        <v>1966</v>
      </c>
      <c r="C16" s="2" t="s">
        <v>23</v>
      </c>
      <c r="D16" s="2">
        <v>2996</v>
      </c>
      <c r="E16" s="2">
        <v>10832</v>
      </c>
      <c r="H16" s="2">
        <f>176+90</f>
        <v>266</v>
      </c>
      <c r="I16" s="2">
        <f>792+996</f>
        <v>1788</v>
      </c>
      <c r="J16" s="3">
        <f t="shared" si="0"/>
        <v>152204.83641536275</v>
      </c>
      <c r="K16" s="3">
        <f t="shared" si="1"/>
        <v>10832</v>
      </c>
      <c r="L16" s="3" t="e">
        <f t="shared" si="2"/>
        <v>#N/A</v>
      </c>
      <c r="M16" s="3" t="e">
        <f t="shared" si="3"/>
        <v>#N/A</v>
      </c>
      <c r="N16" s="3">
        <f t="shared" si="4"/>
        <v>13513.513513513511</v>
      </c>
      <c r="O16" s="3">
        <f t="shared" si="5"/>
        <v>1788</v>
      </c>
    </row>
    <row r="17" spans="1:15" ht="14.25" customHeight="1">
      <c r="A17" s="2" t="s">
        <v>15</v>
      </c>
      <c r="B17" s="2">
        <v>1966</v>
      </c>
      <c r="C17" s="2" t="s">
        <v>25</v>
      </c>
      <c r="D17" s="2">
        <v>796</v>
      </c>
      <c r="E17" s="2">
        <v>5975</v>
      </c>
      <c r="H17" s="2">
        <f>210+56</f>
        <v>266</v>
      </c>
      <c r="I17" s="2">
        <f>1688+1010</f>
        <v>2698</v>
      </c>
      <c r="J17" s="3">
        <f t="shared" si="0"/>
        <v>40438.935175777282</v>
      </c>
      <c r="K17" s="3">
        <f t="shared" si="1"/>
        <v>5975</v>
      </c>
      <c r="L17" s="3" t="e">
        <f t="shared" si="2"/>
        <v>#N/A</v>
      </c>
      <c r="M17" s="3" t="e">
        <f t="shared" si="3"/>
        <v>#N/A</v>
      </c>
      <c r="N17" s="3">
        <f t="shared" si="4"/>
        <v>13513.513513513511</v>
      </c>
      <c r="O17" s="3">
        <f t="shared" si="5"/>
        <v>2698</v>
      </c>
    </row>
    <row r="18" spans="1:15" ht="14.25" customHeight="1">
      <c r="A18" s="2" t="s">
        <v>15</v>
      </c>
      <c r="B18" s="2">
        <v>1966</v>
      </c>
      <c r="C18" s="2" t="s">
        <v>24</v>
      </c>
      <c r="D18" s="2">
        <v>1065</v>
      </c>
      <c r="E18" s="2">
        <v>2549</v>
      </c>
      <c r="J18" s="3">
        <f t="shared" si="0"/>
        <v>54104.856736435679</v>
      </c>
      <c r="K18" s="3">
        <f t="shared" si="1"/>
        <v>2549</v>
      </c>
      <c r="L18" s="3" t="e">
        <f t="shared" si="2"/>
        <v>#N/A</v>
      </c>
      <c r="M18" s="3" t="e">
        <f t="shared" si="3"/>
        <v>#N/A</v>
      </c>
      <c r="N18" s="3" t="e">
        <f t="shared" si="4"/>
        <v>#N/A</v>
      </c>
      <c r="O18" s="3" t="e">
        <f t="shared" si="5"/>
        <v>#N/A</v>
      </c>
    </row>
    <row r="19" spans="1:15" ht="14.25" customHeight="1">
      <c r="A19" s="2" t="s">
        <v>15</v>
      </c>
      <c r="B19" s="2">
        <v>1966</v>
      </c>
      <c r="C19" s="2" t="s">
        <v>19</v>
      </c>
      <c r="D19" s="2">
        <v>2271</v>
      </c>
      <c r="E19" s="2">
        <v>2876</v>
      </c>
      <c r="H19" s="2">
        <f>102+44+6+5</f>
        <v>157</v>
      </c>
      <c r="I19" s="2">
        <f>204+134+27+89</f>
        <v>454</v>
      </c>
      <c r="J19" s="3">
        <f t="shared" si="0"/>
        <v>115372.89168868115</v>
      </c>
      <c r="K19" s="3">
        <f t="shared" si="1"/>
        <v>2876</v>
      </c>
      <c r="L19" s="3" t="e">
        <f t="shared" si="2"/>
        <v>#N/A</v>
      </c>
      <c r="M19" s="3" t="e">
        <f t="shared" si="3"/>
        <v>#N/A</v>
      </c>
      <c r="N19" s="3">
        <f t="shared" si="4"/>
        <v>7976.0211339158705</v>
      </c>
      <c r="O19" s="3">
        <f t="shared" si="5"/>
        <v>454</v>
      </c>
    </row>
    <row r="20" spans="1:15" ht="14.25" customHeight="1">
      <c r="A20" s="2" t="s">
        <v>15</v>
      </c>
      <c r="B20" s="2">
        <v>1966</v>
      </c>
      <c r="C20" s="2" t="s">
        <v>21</v>
      </c>
      <c r="D20" s="2">
        <v>1571</v>
      </c>
      <c r="E20" s="2">
        <v>635</v>
      </c>
      <c r="J20" s="3">
        <f t="shared" si="0"/>
        <v>79811.014021540337</v>
      </c>
      <c r="K20" s="3">
        <f t="shared" si="1"/>
        <v>635</v>
      </c>
      <c r="L20" s="3" t="e">
        <f t="shared" si="2"/>
        <v>#N/A</v>
      </c>
      <c r="M20" s="3" t="e">
        <f t="shared" si="3"/>
        <v>#N/A</v>
      </c>
      <c r="N20" s="3" t="e">
        <f t="shared" si="4"/>
        <v>#N/A</v>
      </c>
      <c r="O20" s="3" t="e">
        <f t="shared" si="5"/>
        <v>#N/A</v>
      </c>
    </row>
    <row r="21" spans="1:15" ht="14.25" customHeight="1">
      <c r="A21" s="2" t="s">
        <v>15</v>
      </c>
      <c r="B21" s="2">
        <v>1966</v>
      </c>
      <c r="C21" s="2" t="s">
        <v>34</v>
      </c>
      <c r="D21" s="2">
        <v>20</v>
      </c>
      <c r="E21" s="2">
        <v>949</v>
      </c>
      <c r="H21" s="2">
        <v>3</v>
      </c>
      <c r="I21" s="2">
        <v>188</v>
      </c>
      <c r="J21" s="3">
        <f t="shared" si="0"/>
        <v>1016.053647632595</v>
      </c>
      <c r="K21" s="3">
        <f t="shared" si="1"/>
        <v>949</v>
      </c>
      <c r="L21" s="3" t="e">
        <f t="shared" si="2"/>
        <v>#N/A</v>
      </c>
      <c r="M21" s="3" t="e">
        <f t="shared" si="3"/>
        <v>#N/A</v>
      </c>
      <c r="N21" s="3">
        <f t="shared" si="4"/>
        <v>152.40804714488922</v>
      </c>
      <c r="O21" s="3">
        <f t="shared" si="5"/>
        <v>188</v>
      </c>
    </row>
    <row r="22" spans="1:15" ht="14.25" customHeight="1">
      <c r="A22" s="2" t="s">
        <v>15</v>
      </c>
      <c r="B22" s="2">
        <v>1966</v>
      </c>
      <c r="C22" s="2" t="s">
        <v>35</v>
      </c>
      <c r="D22" s="2">
        <v>173</v>
      </c>
      <c r="E22" s="2">
        <v>1476</v>
      </c>
      <c r="J22" s="3">
        <f t="shared" si="0"/>
        <v>8788.8640520219469</v>
      </c>
      <c r="K22" s="3">
        <f t="shared" si="1"/>
        <v>1476</v>
      </c>
      <c r="L22" s="3" t="e">
        <f t="shared" si="2"/>
        <v>#N/A</v>
      </c>
      <c r="M22" s="3" t="e">
        <f t="shared" si="3"/>
        <v>#N/A</v>
      </c>
      <c r="N22" s="3" t="e">
        <f t="shared" si="4"/>
        <v>#N/A</v>
      </c>
      <c r="O22" s="3" t="e">
        <f t="shared" si="5"/>
        <v>#N/A</v>
      </c>
    </row>
    <row r="23" spans="1:15" ht="14.25" customHeight="1">
      <c r="A23" s="2" t="s">
        <v>15</v>
      </c>
      <c r="B23" s="2">
        <v>1966</v>
      </c>
      <c r="C23" s="2" t="s">
        <v>30</v>
      </c>
      <c r="D23" s="2">
        <v>29</v>
      </c>
      <c r="E23" s="2">
        <v>219</v>
      </c>
      <c r="H23" s="2">
        <f>51+7</f>
        <v>58</v>
      </c>
      <c r="I23" s="2">
        <f>1978+236</f>
        <v>2214</v>
      </c>
      <c r="J23" s="3">
        <f t="shared" si="0"/>
        <v>1473.2777890672626</v>
      </c>
      <c r="K23" s="3">
        <f t="shared" si="1"/>
        <v>219</v>
      </c>
      <c r="L23" s="3" t="e">
        <f t="shared" si="2"/>
        <v>#N/A</v>
      </c>
      <c r="M23" s="3" t="e">
        <f t="shared" si="3"/>
        <v>#N/A</v>
      </c>
      <c r="N23" s="3">
        <f t="shared" si="4"/>
        <v>2946.5555781345251</v>
      </c>
      <c r="O23" s="3">
        <f t="shared" si="5"/>
        <v>2214</v>
      </c>
    </row>
    <row r="24" spans="1:15" ht="14.25" customHeight="1">
      <c r="A24" s="2" t="s">
        <v>15</v>
      </c>
      <c r="B24" s="2">
        <v>1966</v>
      </c>
      <c r="C24" s="2" t="s">
        <v>36</v>
      </c>
      <c r="D24" s="2">
        <v>93</v>
      </c>
      <c r="E24" s="2">
        <v>395</v>
      </c>
      <c r="H24" s="2">
        <v>34</v>
      </c>
      <c r="I24" s="2">
        <v>1924</v>
      </c>
      <c r="J24" s="3">
        <f t="shared" si="0"/>
        <v>4724.6494614915664</v>
      </c>
      <c r="K24" s="3">
        <f t="shared" si="1"/>
        <v>395</v>
      </c>
      <c r="L24" s="3" t="e">
        <f t="shared" si="2"/>
        <v>#N/A</v>
      </c>
      <c r="M24" s="3" t="e">
        <f t="shared" si="3"/>
        <v>#N/A</v>
      </c>
      <c r="N24" s="3">
        <f t="shared" si="4"/>
        <v>1727.2912009754114</v>
      </c>
      <c r="O24" s="3">
        <f t="shared" si="5"/>
        <v>1924</v>
      </c>
    </row>
    <row r="25" spans="1:15" ht="14.25" customHeight="1">
      <c r="A25" s="2" t="s">
        <v>15</v>
      </c>
      <c r="B25" s="2">
        <v>1966</v>
      </c>
      <c r="C25" s="2" t="s">
        <v>16</v>
      </c>
      <c r="D25" s="2">
        <v>18700</v>
      </c>
      <c r="E25" s="2">
        <v>61766</v>
      </c>
      <c r="F25" s="2">
        <v>1522</v>
      </c>
      <c r="G25" s="2">
        <v>9886</v>
      </c>
      <c r="H25" s="2">
        <v>4054</v>
      </c>
      <c r="I25" s="2">
        <v>61713</v>
      </c>
      <c r="J25" s="3">
        <f t="shared" si="0"/>
        <v>950010.16053647629</v>
      </c>
      <c r="K25" s="3">
        <f t="shared" si="1"/>
        <v>61766</v>
      </c>
      <c r="L25" s="3">
        <f t="shared" si="2"/>
        <v>77321.68258484047</v>
      </c>
      <c r="M25" s="3">
        <f t="shared" si="3"/>
        <v>9886</v>
      </c>
      <c r="N25" s="3">
        <f t="shared" si="4"/>
        <v>205954.07437512701</v>
      </c>
      <c r="O25" s="3">
        <f t="shared" si="5"/>
        <v>61713</v>
      </c>
    </row>
    <row r="26" spans="1:15" ht="14.25" customHeight="1">
      <c r="A26" s="2" t="s">
        <v>15</v>
      </c>
      <c r="B26" s="2">
        <v>1966</v>
      </c>
      <c r="C26" s="2" t="s">
        <v>28</v>
      </c>
      <c r="D26" s="2">
        <v>671</v>
      </c>
      <c r="E26" s="2">
        <v>3630</v>
      </c>
      <c r="F26" s="2">
        <v>32</v>
      </c>
      <c r="G26" s="2">
        <v>1070</v>
      </c>
      <c r="H26" s="2">
        <v>312</v>
      </c>
      <c r="I26" s="2">
        <v>11189</v>
      </c>
      <c r="J26" s="3">
        <f t="shared" si="0"/>
        <v>34088.599878073561</v>
      </c>
      <c r="K26" s="3">
        <f t="shared" si="1"/>
        <v>3630</v>
      </c>
      <c r="L26" s="3">
        <f t="shared" si="2"/>
        <v>1625.685836212152</v>
      </c>
      <c r="M26" s="3">
        <f t="shared" si="3"/>
        <v>1070</v>
      </c>
      <c r="N26" s="3">
        <f t="shared" si="4"/>
        <v>15850.436903068481</v>
      </c>
      <c r="O26" s="3">
        <f t="shared" si="5"/>
        <v>11189</v>
      </c>
    </row>
    <row r="27" spans="1:15" ht="14.25" customHeight="1">
      <c r="A27" s="2" t="s">
        <v>15</v>
      </c>
      <c r="B27" s="2">
        <v>1966</v>
      </c>
      <c r="C27" s="2" t="s">
        <v>37</v>
      </c>
      <c r="D27" s="2">
        <v>18029</v>
      </c>
      <c r="E27" s="2">
        <v>58136</v>
      </c>
      <c r="F27" s="2">
        <v>1490</v>
      </c>
      <c r="G27" s="2">
        <v>8816</v>
      </c>
      <c r="H27" s="2">
        <v>3742</v>
      </c>
      <c r="I27" s="2">
        <v>50524</v>
      </c>
      <c r="J27" s="3">
        <f t="shared" si="0"/>
        <v>915921.56065840274</v>
      </c>
      <c r="K27" s="3">
        <f t="shared" si="1"/>
        <v>58136</v>
      </c>
      <c r="L27" s="3">
        <f t="shared" si="2"/>
        <v>75695.996748628313</v>
      </c>
      <c r="M27" s="3">
        <f t="shared" si="3"/>
        <v>8816</v>
      </c>
      <c r="N27" s="3">
        <f t="shared" si="4"/>
        <v>190103.63747205853</v>
      </c>
      <c r="O27" s="3">
        <f t="shared" si="5"/>
        <v>50524</v>
      </c>
    </row>
    <row r="28" spans="1:15" ht="14.25" customHeight="1">
      <c r="A28" s="2" t="s">
        <v>15</v>
      </c>
      <c r="B28" s="2">
        <v>1967</v>
      </c>
      <c r="C28" s="2" t="s">
        <v>22</v>
      </c>
      <c r="D28" s="2">
        <v>6906</v>
      </c>
      <c r="E28" s="2">
        <v>25235</v>
      </c>
      <c r="H28" s="2">
        <f>355+355</f>
        <v>710</v>
      </c>
      <c r="I28" s="2">
        <f>1274+3340</f>
        <v>4614</v>
      </c>
      <c r="J28" s="3">
        <f t="shared" si="0"/>
        <v>350843.32452753506</v>
      </c>
      <c r="K28" s="3">
        <f t="shared" si="1"/>
        <v>25235</v>
      </c>
      <c r="L28" s="3" t="e">
        <f t="shared" si="2"/>
        <v>#N/A</v>
      </c>
      <c r="M28" s="3" t="e">
        <f t="shared" si="3"/>
        <v>#N/A</v>
      </c>
      <c r="N28" s="3">
        <f t="shared" si="4"/>
        <v>36069.904490957124</v>
      </c>
      <c r="O28" s="3">
        <f t="shared" si="5"/>
        <v>4614</v>
      </c>
    </row>
    <row r="29" spans="1:15" ht="14.25" customHeight="1">
      <c r="A29" s="2" t="s">
        <v>15</v>
      </c>
      <c r="B29" s="2">
        <v>1967</v>
      </c>
      <c r="C29" s="2" t="s">
        <v>23</v>
      </c>
      <c r="D29" s="2">
        <v>2537</v>
      </c>
      <c r="E29" s="2">
        <v>10474</v>
      </c>
      <c r="H29" s="2">
        <f>171+105</f>
        <v>276</v>
      </c>
      <c r="I29" s="2">
        <f>761+1065</f>
        <v>1826</v>
      </c>
      <c r="J29" s="3">
        <f t="shared" si="0"/>
        <v>128886.40520219468</v>
      </c>
      <c r="K29" s="3">
        <f t="shared" si="1"/>
        <v>10474</v>
      </c>
      <c r="L29" s="3" t="e">
        <f t="shared" si="2"/>
        <v>#N/A</v>
      </c>
      <c r="M29" s="3" t="e">
        <f t="shared" si="3"/>
        <v>#N/A</v>
      </c>
      <c r="N29" s="3">
        <f t="shared" si="4"/>
        <v>14021.54033732981</v>
      </c>
      <c r="O29" s="3">
        <f t="shared" si="5"/>
        <v>1826</v>
      </c>
    </row>
    <row r="30" spans="1:15" ht="14.25" customHeight="1">
      <c r="A30" s="2" t="s">
        <v>15</v>
      </c>
      <c r="B30" s="2">
        <v>1967</v>
      </c>
      <c r="C30" s="2" t="s">
        <v>25</v>
      </c>
      <c r="D30" s="2">
        <v>878</v>
      </c>
      <c r="E30" s="2">
        <v>5646</v>
      </c>
      <c r="H30" s="2">
        <f>227+50</f>
        <v>277</v>
      </c>
      <c r="I30" s="2">
        <f>806+1550</f>
        <v>2356</v>
      </c>
      <c r="J30" s="3">
        <f t="shared" si="0"/>
        <v>44604.755131070917</v>
      </c>
      <c r="K30" s="3">
        <f t="shared" si="1"/>
        <v>5646</v>
      </c>
      <c r="L30" s="3" t="e">
        <f t="shared" si="2"/>
        <v>#N/A</v>
      </c>
      <c r="M30" s="3" t="e">
        <f t="shared" si="3"/>
        <v>#N/A</v>
      </c>
      <c r="N30" s="3">
        <f t="shared" si="4"/>
        <v>14072.343019711439</v>
      </c>
      <c r="O30" s="3">
        <f t="shared" si="5"/>
        <v>2356</v>
      </c>
    </row>
    <row r="31" spans="1:15" ht="14.25" customHeight="1">
      <c r="A31" s="2" t="s">
        <v>15</v>
      </c>
      <c r="B31" s="2">
        <v>1967</v>
      </c>
      <c r="C31" s="2" t="s">
        <v>24</v>
      </c>
      <c r="D31" s="2">
        <v>939</v>
      </c>
      <c r="E31" s="2">
        <v>2818</v>
      </c>
      <c r="J31" s="3">
        <f t="shared" si="0"/>
        <v>47703.718756350332</v>
      </c>
      <c r="K31" s="3">
        <f t="shared" si="1"/>
        <v>2818</v>
      </c>
      <c r="L31" s="3" t="e">
        <f t="shared" si="2"/>
        <v>#N/A</v>
      </c>
      <c r="M31" s="3" t="e">
        <f t="shared" si="3"/>
        <v>#N/A</v>
      </c>
      <c r="N31" s="3" t="e">
        <f t="shared" si="4"/>
        <v>#N/A</v>
      </c>
      <c r="O31" s="3" t="e">
        <f t="shared" si="5"/>
        <v>#N/A</v>
      </c>
    </row>
    <row r="32" spans="1:15" ht="14.25" customHeight="1">
      <c r="A32" s="2" t="s">
        <v>15</v>
      </c>
      <c r="B32" s="2">
        <v>1967</v>
      </c>
      <c r="C32" s="2" t="s">
        <v>19</v>
      </c>
      <c r="D32" s="2">
        <v>2010</v>
      </c>
      <c r="E32" s="2">
        <v>2676</v>
      </c>
      <c r="H32" s="2">
        <f>175+65+12+14</f>
        <v>266</v>
      </c>
      <c r="I32" s="2">
        <f>270+50+189+219</f>
        <v>728</v>
      </c>
      <c r="J32" s="3">
        <f t="shared" si="0"/>
        <v>102113.39158707579</v>
      </c>
      <c r="K32" s="3">
        <f t="shared" si="1"/>
        <v>2676</v>
      </c>
      <c r="L32" s="3" t="e">
        <f t="shared" si="2"/>
        <v>#N/A</v>
      </c>
      <c r="M32" s="3" t="e">
        <f t="shared" si="3"/>
        <v>#N/A</v>
      </c>
      <c r="N32" s="3">
        <f t="shared" si="4"/>
        <v>13513.513513513511</v>
      </c>
      <c r="O32" s="3">
        <f t="shared" si="5"/>
        <v>728</v>
      </c>
    </row>
    <row r="33" spans="1:15" ht="14.25" customHeight="1">
      <c r="A33" s="2" t="s">
        <v>15</v>
      </c>
      <c r="B33" s="2">
        <v>1967</v>
      </c>
      <c r="C33" s="2" t="s">
        <v>21</v>
      </c>
      <c r="D33" s="2">
        <v>869</v>
      </c>
      <c r="E33" s="2">
        <v>374</v>
      </c>
      <c r="J33" s="3">
        <f t="shared" si="0"/>
        <v>44147.530989636252</v>
      </c>
      <c r="K33" s="3">
        <f t="shared" si="1"/>
        <v>374</v>
      </c>
      <c r="L33" s="3" t="e">
        <f t="shared" si="2"/>
        <v>#N/A</v>
      </c>
      <c r="M33" s="3" t="e">
        <f t="shared" si="3"/>
        <v>#N/A</v>
      </c>
      <c r="N33" s="3" t="e">
        <f t="shared" si="4"/>
        <v>#N/A</v>
      </c>
      <c r="O33" s="3" t="e">
        <f t="shared" si="5"/>
        <v>#N/A</v>
      </c>
    </row>
    <row r="34" spans="1:15" ht="14.25" customHeight="1">
      <c r="A34" s="2" t="s">
        <v>15</v>
      </c>
      <c r="B34" s="2">
        <v>1967</v>
      </c>
      <c r="C34" s="2" t="s">
        <v>34</v>
      </c>
      <c r="D34" s="2">
        <v>19</v>
      </c>
      <c r="E34" s="2">
        <v>903</v>
      </c>
      <c r="H34" s="2">
        <v>2</v>
      </c>
      <c r="I34" s="2">
        <v>141</v>
      </c>
      <c r="J34" s="3">
        <f t="shared" si="0"/>
        <v>965.25096525096524</v>
      </c>
      <c r="K34" s="3">
        <f t="shared" si="1"/>
        <v>903</v>
      </c>
      <c r="L34" s="3" t="e">
        <f t="shared" si="2"/>
        <v>#N/A</v>
      </c>
      <c r="M34" s="3" t="e">
        <f t="shared" si="3"/>
        <v>#N/A</v>
      </c>
      <c r="N34" s="3">
        <f t="shared" si="4"/>
        <v>101.6053647632595</v>
      </c>
      <c r="O34" s="3">
        <f t="shared" si="5"/>
        <v>141</v>
      </c>
    </row>
    <row r="35" spans="1:15" ht="14.25" customHeight="1">
      <c r="A35" s="2" t="s">
        <v>15</v>
      </c>
      <c r="B35" s="2">
        <v>1967</v>
      </c>
      <c r="C35" s="2" t="s">
        <v>35</v>
      </c>
      <c r="D35" s="2">
        <v>187</v>
      </c>
      <c r="E35" s="2">
        <v>1686</v>
      </c>
      <c r="J35" s="3">
        <f t="shared" si="0"/>
        <v>9500.1016053647636</v>
      </c>
      <c r="K35" s="3">
        <f t="shared" si="1"/>
        <v>1686</v>
      </c>
      <c r="L35" s="3" t="e">
        <f t="shared" si="2"/>
        <v>#N/A</v>
      </c>
      <c r="M35" s="3" t="e">
        <f t="shared" si="3"/>
        <v>#N/A</v>
      </c>
      <c r="N35" s="3" t="e">
        <f t="shared" si="4"/>
        <v>#N/A</v>
      </c>
      <c r="O35" s="3" t="e">
        <f t="shared" si="5"/>
        <v>#N/A</v>
      </c>
    </row>
    <row r="36" spans="1:15" ht="14.25" customHeight="1">
      <c r="A36" s="2" t="s">
        <v>15</v>
      </c>
      <c r="B36" s="2">
        <v>1967</v>
      </c>
      <c r="C36" s="2" t="s">
        <v>30</v>
      </c>
      <c r="D36" s="2">
        <v>30</v>
      </c>
      <c r="E36" s="2">
        <v>228</v>
      </c>
      <c r="H36" s="2">
        <f>49+6</f>
        <v>55</v>
      </c>
      <c r="I36" s="2">
        <f>1926+184</f>
        <v>2110</v>
      </c>
      <c r="J36" s="3">
        <f t="shared" si="0"/>
        <v>1524.0804714488925</v>
      </c>
      <c r="K36" s="3">
        <f t="shared" si="1"/>
        <v>228</v>
      </c>
      <c r="L36" s="3" t="e">
        <f t="shared" si="2"/>
        <v>#N/A</v>
      </c>
      <c r="M36" s="3" t="e">
        <f t="shared" si="3"/>
        <v>#N/A</v>
      </c>
      <c r="N36" s="3">
        <f t="shared" si="4"/>
        <v>2794.1475309896359</v>
      </c>
      <c r="O36" s="3">
        <f t="shared" si="5"/>
        <v>2110</v>
      </c>
    </row>
    <row r="37" spans="1:15" ht="14.25" customHeight="1">
      <c r="A37" s="2" t="s">
        <v>15</v>
      </c>
      <c r="B37" s="2">
        <v>1967</v>
      </c>
      <c r="C37" s="2" t="s">
        <v>36</v>
      </c>
      <c r="D37" s="2">
        <v>89</v>
      </c>
      <c r="E37" s="2">
        <v>409</v>
      </c>
      <c r="H37" s="2">
        <v>34</v>
      </c>
      <c r="I37" s="2">
        <v>2018</v>
      </c>
      <c r="J37" s="3">
        <f t="shared" si="0"/>
        <v>4521.4387319650477</v>
      </c>
      <c r="K37" s="3">
        <f t="shared" si="1"/>
        <v>409</v>
      </c>
      <c r="L37" s="3" t="e">
        <f t="shared" si="2"/>
        <v>#N/A</v>
      </c>
      <c r="M37" s="3" t="e">
        <f t="shared" si="3"/>
        <v>#N/A</v>
      </c>
      <c r="N37" s="3">
        <f t="shared" si="4"/>
        <v>1727.2912009754114</v>
      </c>
      <c r="O37" s="3">
        <f t="shared" si="5"/>
        <v>2018</v>
      </c>
    </row>
    <row r="38" spans="1:15" ht="14.25" customHeight="1">
      <c r="A38" s="2" t="s">
        <v>15</v>
      </c>
      <c r="B38" s="2">
        <v>1967</v>
      </c>
      <c r="C38" s="2" t="s">
        <v>16</v>
      </c>
      <c r="D38" s="2">
        <v>17801</v>
      </c>
      <c r="E38" s="2">
        <v>60972</v>
      </c>
      <c r="F38" s="2">
        <v>1086</v>
      </c>
      <c r="G38" s="2">
        <v>9515</v>
      </c>
      <c r="H38" s="2">
        <v>3986</v>
      </c>
      <c r="I38" s="2">
        <v>57251</v>
      </c>
      <c r="J38" s="3">
        <f t="shared" si="0"/>
        <v>904338.54907539114</v>
      </c>
      <c r="K38" s="3">
        <f t="shared" si="1"/>
        <v>60972</v>
      </c>
      <c r="L38" s="3">
        <f t="shared" si="2"/>
        <v>55171.713066449905</v>
      </c>
      <c r="M38" s="3">
        <f t="shared" si="3"/>
        <v>9515</v>
      </c>
      <c r="N38" s="3">
        <f t="shared" si="4"/>
        <v>202499.49197317616</v>
      </c>
      <c r="O38" s="3">
        <f t="shared" si="5"/>
        <v>57251</v>
      </c>
    </row>
    <row r="39" spans="1:15" ht="14.25" customHeight="1">
      <c r="A39" s="2" t="s">
        <v>15</v>
      </c>
      <c r="B39" s="2">
        <v>1967</v>
      </c>
      <c r="C39" s="2" t="s">
        <v>28</v>
      </c>
      <c r="D39" s="2">
        <v>830</v>
      </c>
      <c r="E39" s="2">
        <v>4001</v>
      </c>
      <c r="F39" s="2">
        <v>41</v>
      </c>
      <c r="G39" s="2">
        <v>1276</v>
      </c>
      <c r="H39" s="2">
        <v>133</v>
      </c>
      <c r="I39" s="2">
        <v>4236</v>
      </c>
      <c r="J39" s="3">
        <f t="shared" si="0"/>
        <v>42166.226376752689</v>
      </c>
      <c r="K39" s="3">
        <f t="shared" si="1"/>
        <v>4001</v>
      </c>
      <c r="L39" s="3">
        <f t="shared" si="2"/>
        <v>2082.9099776468197</v>
      </c>
      <c r="M39" s="3">
        <f t="shared" si="3"/>
        <v>1276</v>
      </c>
      <c r="N39" s="3">
        <f t="shared" si="4"/>
        <v>6756.7567567567557</v>
      </c>
      <c r="O39" s="3">
        <f t="shared" si="5"/>
        <v>4236</v>
      </c>
    </row>
    <row r="40" spans="1:15" ht="14.25" customHeight="1">
      <c r="A40" s="2" t="s">
        <v>15</v>
      </c>
      <c r="B40" s="2">
        <v>1967</v>
      </c>
      <c r="C40" s="2" t="s">
        <v>37</v>
      </c>
      <c r="D40" s="2">
        <v>16971</v>
      </c>
      <c r="E40" s="2">
        <v>56971</v>
      </c>
      <c r="F40" s="2">
        <v>1045</v>
      </c>
      <c r="G40" s="2">
        <v>8239</v>
      </c>
      <c r="H40" s="2">
        <v>4263</v>
      </c>
      <c r="I40" s="2">
        <v>67463</v>
      </c>
      <c r="J40" s="3">
        <f t="shared" si="0"/>
        <v>862172.32269863843</v>
      </c>
      <c r="K40" s="3">
        <f t="shared" si="1"/>
        <v>56971</v>
      </c>
      <c r="L40" s="3">
        <f t="shared" si="2"/>
        <v>53088.803088803084</v>
      </c>
      <c r="M40" s="3">
        <f t="shared" si="3"/>
        <v>8239</v>
      </c>
      <c r="N40" s="3">
        <f t="shared" si="4"/>
        <v>216571.8349928876</v>
      </c>
      <c r="O40" s="3">
        <f t="shared" si="5"/>
        <v>67463</v>
      </c>
    </row>
    <row r="41" spans="1:15" ht="14.25" customHeight="1">
      <c r="A41" s="2" t="s">
        <v>15</v>
      </c>
      <c r="B41" s="2">
        <v>1968</v>
      </c>
      <c r="C41" s="2" t="s">
        <v>22</v>
      </c>
      <c r="D41" s="2">
        <v>7333</v>
      </c>
      <c r="E41" s="2">
        <v>25462</v>
      </c>
      <c r="H41" s="2">
        <f>323+411</f>
        <v>734</v>
      </c>
      <c r="I41" s="2">
        <f>1144+3773</f>
        <v>4917</v>
      </c>
      <c r="J41" s="3">
        <f t="shared" si="0"/>
        <v>372536.06990449096</v>
      </c>
      <c r="K41" s="3">
        <f t="shared" si="1"/>
        <v>25462</v>
      </c>
      <c r="L41" s="3" t="e">
        <f t="shared" si="2"/>
        <v>#N/A</v>
      </c>
      <c r="M41" s="3" t="e">
        <f t="shared" si="3"/>
        <v>#N/A</v>
      </c>
      <c r="N41" s="3">
        <f t="shared" si="4"/>
        <v>37289.168868116234</v>
      </c>
      <c r="O41" s="3">
        <f t="shared" si="5"/>
        <v>4917</v>
      </c>
    </row>
    <row r="42" spans="1:15" ht="14.25" customHeight="1">
      <c r="A42" s="2" t="s">
        <v>15</v>
      </c>
      <c r="B42" s="2">
        <v>1968</v>
      </c>
      <c r="C42" s="2" t="s">
        <v>23</v>
      </c>
      <c r="D42" s="2">
        <v>2647</v>
      </c>
      <c r="E42" s="2">
        <v>10885</v>
      </c>
      <c r="H42" s="2">
        <f>118+140</f>
        <v>258</v>
      </c>
      <c r="I42" s="2">
        <f>569+1513</f>
        <v>2082</v>
      </c>
      <c r="J42" s="3">
        <f t="shared" si="0"/>
        <v>134474.70026417394</v>
      </c>
      <c r="K42" s="3">
        <f t="shared" si="1"/>
        <v>10885</v>
      </c>
      <c r="L42" s="3" t="e">
        <f t="shared" si="2"/>
        <v>#N/A</v>
      </c>
      <c r="M42" s="3" t="e">
        <f t="shared" si="3"/>
        <v>#N/A</v>
      </c>
      <c r="N42" s="3">
        <f t="shared" si="4"/>
        <v>13107.092054460474</v>
      </c>
      <c r="O42" s="3">
        <f t="shared" si="5"/>
        <v>2082</v>
      </c>
    </row>
    <row r="43" spans="1:15" ht="14.25" customHeight="1">
      <c r="A43" s="2" t="s">
        <v>15</v>
      </c>
      <c r="B43" s="2">
        <v>1968</v>
      </c>
      <c r="C43" s="2" t="s">
        <v>25</v>
      </c>
      <c r="D43" s="2">
        <v>834</v>
      </c>
      <c r="E43" s="2">
        <v>5622</v>
      </c>
      <c r="H43" s="2">
        <f>214+66</f>
        <v>280</v>
      </c>
      <c r="I43" s="2">
        <f>1678+1117</f>
        <v>2795</v>
      </c>
      <c r="J43" s="3">
        <f t="shared" si="0"/>
        <v>42369.437106279205</v>
      </c>
      <c r="K43" s="3">
        <f t="shared" si="1"/>
        <v>5622</v>
      </c>
      <c r="L43" s="3" t="e">
        <f t="shared" si="2"/>
        <v>#N/A</v>
      </c>
      <c r="M43" s="3" t="e">
        <f t="shared" si="3"/>
        <v>#N/A</v>
      </c>
      <c r="N43" s="3">
        <f t="shared" si="4"/>
        <v>14224.75106685633</v>
      </c>
      <c r="O43" s="3">
        <f t="shared" si="5"/>
        <v>2795</v>
      </c>
    </row>
    <row r="44" spans="1:15" ht="14.25" customHeight="1">
      <c r="A44" s="2" t="s">
        <v>15</v>
      </c>
      <c r="B44" s="2">
        <v>1968</v>
      </c>
      <c r="C44" s="2" t="s">
        <v>24</v>
      </c>
      <c r="D44" s="2">
        <v>894</v>
      </c>
      <c r="E44" s="2">
        <v>2778</v>
      </c>
      <c r="J44" s="3">
        <f t="shared" si="0"/>
        <v>45417.598049176995</v>
      </c>
      <c r="K44" s="3">
        <f t="shared" si="1"/>
        <v>2778</v>
      </c>
      <c r="L44" s="3" t="e">
        <f t="shared" si="2"/>
        <v>#N/A</v>
      </c>
      <c r="M44" s="3" t="e">
        <f t="shared" si="3"/>
        <v>#N/A</v>
      </c>
      <c r="N44" s="3" t="e">
        <f t="shared" si="4"/>
        <v>#N/A</v>
      </c>
      <c r="O44" s="3" t="e">
        <f t="shared" si="5"/>
        <v>#N/A</v>
      </c>
    </row>
    <row r="45" spans="1:15" ht="14.25" customHeight="1">
      <c r="A45" s="2" t="s">
        <v>15</v>
      </c>
      <c r="B45" s="2">
        <v>1968</v>
      </c>
      <c r="C45" s="2" t="s">
        <v>19</v>
      </c>
      <c r="D45" s="2">
        <v>1861</v>
      </c>
      <c r="E45" s="2">
        <v>2567</v>
      </c>
      <c r="H45" s="2">
        <f>17+7+47+379</f>
        <v>450</v>
      </c>
      <c r="I45" s="2">
        <f>360+48+143+359</f>
        <v>910</v>
      </c>
      <c r="J45" s="3">
        <f t="shared" si="0"/>
        <v>94543.791912212953</v>
      </c>
      <c r="K45" s="3">
        <f t="shared" si="1"/>
        <v>2567</v>
      </c>
      <c r="L45" s="3" t="e">
        <f t="shared" si="2"/>
        <v>#N/A</v>
      </c>
      <c r="M45" s="3" t="e">
        <f t="shared" si="3"/>
        <v>#N/A</v>
      </c>
      <c r="N45" s="3">
        <f t="shared" si="4"/>
        <v>22861.207071733385</v>
      </c>
      <c r="O45" s="3">
        <f t="shared" si="5"/>
        <v>910</v>
      </c>
    </row>
    <row r="46" spans="1:15" ht="14.25" customHeight="1">
      <c r="A46" s="2" t="s">
        <v>15</v>
      </c>
      <c r="B46" s="2">
        <v>1968</v>
      </c>
      <c r="C46" s="2" t="s">
        <v>21</v>
      </c>
      <c r="D46" s="2">
        <v>815</v>
      </c>
      <c r="E46" s="2">
        <v>362</v>
      </c>
      <c r="J46" s="3">
        <f t="shared" si="0"/>
        <v>41404.186141028244</v>
      </c>
      <c r="K46" s="3">
        <f t="shared" si="1"/>
        <v>362</v>
      </c>
      <c r="L46" s="3" t="e">
        <f t="shared" si="2"/>
        <v>#N/A</v>
      </c>
      <c r="M46" s="3" t="e">
        <f t="shared" si="3"/>
        <v>#N/A</v>
      </c>
      <c r="N46" s="3" t="e">
        <f t="shared" si="4"/>
        <v>#N/A</v>
      </c>
      <c r="O46" s="3" t="e">
        <f t="shared" si="5"/>
        <v>#N/A</v>
      </c>
    </row>
    <row r="47" spans="1:15" ht="14.25" customHeight="1">
      <c r="A47" s="2" t="s">
        <v>15</v>
      </c>
      <c r="B47" s="2">
        <v>1968</v>
      </c>
      <c r="C47" s="2" t="s">
        <v>34</v>
      </c>
      <c r="D47" s="2">
        <v>20</v>
      </c>
      <c r="E47" s="2">
        <v>1101</v>
      </c>
      <c r="H47" s="2">
        <v>3</v>
      </c>
      <c r="I47" s="2">
        <v>210</v>
      </c>
      <c r="J47" s="3">
        <f t="shared" si="0"/>
        <v>1016.053647632595</v>
      </c>
      <c r="K47" s="3">
        <f t="shared" si="1"/>
        <v>1101</v>
      </c>
      <c r="L47" s="3" t="e">
        <f t="shared" si="2"/>
        <v>#N/A</v>
      </c>
      <c r="M47" s="3" t="e">
        <f t="shared" si="3"/>
        <v>#N/A</v>
      </c>
      <c r="N47" s="3">
        <f t="shared" si="4"/>
        <v>152.40804714488922</v>
      </c>
      <c r="O47" s="3">
        <f t="shared" si="5"/>
        <v>210</v>
      </c>
    </row>
    <row r="48" spans="1:15" ht="14.25" customHeight="1">
      <c r="A48" s="2" t="s">
        <v>15</v>
      </c>
      <c r="B48" s="2">
        <v>1968</v>
      </c>
      <c r="C48" s="2" t="s">
        <v>35</v>
      </c>
      <c r="D48" s="2">
        <v>199</v>
      </c>
      <c r="E48" s="2">
        <v>2114</v>
      </c>
      <c r="J48" s="3">
        <f t="shared" si="0"/>
        <v>10109.73379394432</v>
      </c>
      <c r="K48" s="3">
        <f t="shared" si="1"/>
        <v>2114</v>
      </c>
      <c r="L48" s="3" t="e">
        <f t="shared" si="2"/>
        <v>#N/A</v>
      </c>
      <c r="M48" s="3" t="e">
        <f t="shared" si="3"/>
        <v>#N/A</v>
      </c>
      <c r="N48" s="3" t="e">
        <f t="shared" si="4"/>
        <v>#N/A</v>
      </c>
      <c r="O48" s="3" t="e">
        <f t="shared" si="5"/>
        <v>#N/A</v>
      </c>
    </row>
    <row r="49" spans="1:15" ht="14.25" customHeight="1">
      <c r="A49" s="2" t="s">
        <v>15</v>
      </c>
      <c r="B49" s="2">
        <v>1968</v>
      </c>
      <c r="C49" s="2" t="s">
        <v>30</v>
      </c>
      <c r="D49" s="2">
        <v>26</v>
      </c>
      <c r="E49" s="2">
        <v>216</v>
      </c>
      <c r="H49" s="2">
        <f>48+5+45</f>
        <v>98</v>
      </c>
      <c r="I49" s="2">
        <f>1935+169+2465</f>
        <v>4569</v>
      </c>
      <c r="J49" s="3">
        <f t="shared" si="0"/>
        <v>1320.8697419223734</v>
      </c>
      <c r="K49" s="3">
        <f t="shared" si="1"/>
        <v>216</v>
      </c>
      <c r="L49" s="3" t="e">
        <f t="shared" si="2"/>
        <v>#N/A</v>
      </c>
      <c r="M49" s="3" t="e">
        <f t="shared" si="3"/>
        <v>#N/A</v>
      </c>
      <c r="N49" s="3">
        <f t="shared" si="4"/>
        <v>4978.662873399715</v>
      </c>
      <c r="O49" s="3">
        <f t="shared" si="5"/>
        <v>4569</v>
      </c>
    </row>
    <row r="50" spans="1:15" ht="14.25" customHeight="1">
      <c r="A50" s="2" t="s">
        <v>15</v>
      </c>
      <c r="B50" s="2">
        <v>1968</v>
      </c>
      <c r="C50" s="2" t="s">
        <v>36</v>
      </c>
      <c r="D50" s="2">
        <v>99</v>
      </c>
      <c r="E50" s="2">
        <v>455</v>
      </c>
      <c r="H50" s="2">
        <v>25</v>
      </c>
      <c r="I50" s="2">
        <v>1851</v>
      </c>
      <c r="J50" s="3">
        <f t="shared" si="0"/>
        <v>5029.4655557813448</v>
      </c>
      <c r="K50" s="3">
        <f t="shared" si="1"/>
        <v>455</v>
      </c>
      <c r="L50" s="3" t="e">
        <f t="shared" si="2"/>
        <v>#N/A</v>
      </c>
      <c r="M50" s="3" t="e">
        <f t="shared" si="3"/>
        <v>#N/A</v>
      </c>
      <c r="N50" s="3">
        <f t="shared" si="4"/>
        <v>1270.0670595407437</v>
      </c>
      <c r="O50" s="3">
        <f t="shared" si="5"/>
        <v>1851</v>
      </c>
    </row>
    <row r="51" spans="1:15" ht="14.25" customHeight="1">
      <c r="A51" s="2" t="s">
        <v>15</v>
      </c>
      <c r="B51" s="2">
        <v>1968</v>
      </c>
      <c r="C51" s="2" t="s">
        <v>16</v>
      </c>
      <c r="D51" s="2">
        <v>17956</v>
      </c>
      <c r="E51" s="2">
        <v>62123</v>
      </c>
      <c r="F51" s="2">
        <v>1127</v>
      </c>
      <c r="G51" s="2">
        <v>10990</v>
      </c>
      <c r="H51" s="2">
        <v>4719</v>
      </c>
      <c r="I51" s="2">
        <v>76415</v>
      </c>
      <c r="J51" s="3">
        <f t="shared" si="0"/>
        <v>912212.96484454372</v>
      </c>
      <c r="K51" s="3">
        <f t="shared" si="1"/>
        <v>62123</v>
      </c>
      <c r="L51" s="3">
        <f t="shared" si="2"/>
        <v>57254.623044096727</v>
      </c>
      <c r="M51" s="3">
        <f t="shared" si="3"/>
        <v>10990</v>
      </c>
      <c r="N51" s="3">
        <f t="shared" si="4"/>
        <v>239737.85815891076</v>
      </c>
      <c r="O51" s="3">
        <f t="shared" si="5"/>
        <v>76415</v>
      </c>
    </row>
    <row r="52" spans="1:15" ht="14.25" customHeight="1">
      <c r="A52" s="2" t="s">
        <v>15</v>
      </c>
      <c r="B52" s="2">
        <v>1968</v>
      </c>
      <c r="C52" s="2" t="s">
        <v>28</v>
      </c>
      <c r="D52" s="2">
        <v>823</v>
      </c>
      <c r="E52" s="2">
        <v>4833</v>
      </c>
      <c r="F52" s="2">
        <v>63</v>
      </c>
      <c r="G52" s="2">
        <v>2171</v>
      </c>
      <c r="H52" s="2">
        <v>268</v>
      </c>
      <c r="I52" s="2">
        <v>10995</v>
      </c>
      <c r="J52" s="3">
        <f t="shared" si="0"/>
        <v>41810.607600081283</v>
      </c>
      <c r="K52" s="3">
        <f t="shared" si="1"/>
        <v>4833</v>
      </c>
      <c r="L52" s="3">
        <f t="shared" si="2"/>
        <v>3200.5689900426742</v>
      </c>
      <c r="M52" s="3">
        <f t="shared" si="3"/>
        <v>2171</v>
      </c>
      <c r="N52" s="3">
        <f t="shared" si="4"/>
        <v>13615.118878276773</v>
      </c>
      <c r="O52" s="3">
        <f t="shared" si="5"/>
        <v>10995</v>
      </c>
    </row>
    <row r="53" spans="1:15" ht="14.25" customHeight="1">
      <c r="A53" s="2" t="s">
        <v>15</v>
      </c>
      <c r="B53" s="2">
        <v>1968</v>
      </c>
      <c r="C53" s="2" t="s">
        <v>37</v>
      </c>
      <c r="D53" s="2">
        <v>17133</v>
      </c>
      <c r="E53" s="2">
        <v>57290</v>
      </c>
      <c r="F53" s="2">
        <v>1064</v>
      </c>
      <c r="G53" s="2">
        <v>8819</v>
      </c>
      <c r="H53" s="2">
        <v>4451</v>
      </c>
      <c r="I53" s="2">
        <v>65420</v>
      </c>
      <c r="J53" s="3">
        <f t="shared" si="0"/>
        <v>870402.35724446247</v>
      </c>
      <c r="K53" s="3">
        <f t="shared" si="1"/>
        <v>57290</v>
      </c>
      <c r="L53" s="3">
        <f t="shared" si="2"/>
        <v>54054.054054054046</v>
      </c>
      <c r="M53" s="3">
        <f t="shared" si="3"/>
        <v>8819</v>
      </c>
      <c r="N53" s="3">
        <f t="shared" si="4"/>
        <v>226122.73928063401</v>
      </c>
      <c r="O53" s="3">
        <f t="shared" si="5"/>
        <v>65420</v>
      </c>
    </row>
    <row r="54" spans="1:15" ht="14.25" customHeight="1">
      <c r="A54" s="2" t="s">
        <v>15</v>
      </c>
      <c r="B54" s="2">
        <v>1969</v>
      </c>
      <c r="C54" s="2" t="s">
        <v>22</v>
      </c>
      <c r="D54" s="2">
        <v>7482</v>
      </c>
      <c r="E54" s="2">
        <v>27830</v>
      </c>
      <c r="H54" s="2">
        <f>183+489</f>
        <v>672</v>
      </c>
      <c r="I54" s="2">
        <f>669+4512</f>
        <v>5181</v>
      </c>
      <c r="J54" s="3">
        <f t="shared" si="0"/>
        <v>380105.66957935377</v>
      </c>
      <c r="K54" s="3">
        <f t="shared" si="1"/>
        <v>27830</v>
      </c>
      <c r="L54" s="3" t="e">
        <f t="shared" si="2"/>
        <v>#N/A</v>
      </c>
      <c r="M54" s="3" t="e">
        <f t="shared" si="3"/>
        <v>#N/A</v>
      </c>
      <c r="N54" s="3">
        <f t="shared" si="4"/>
        <v>34139.402560455186</v>
      </c>
      <c r="O54" s="3">
        <f t="shared" si="5"/>
        <v>5181</v>
      </c>
    </row>
    <row r="55" spans="1:15" ht="14.25" customHeight="1">
      <c r="A55" s="2" t="s">
        <v>15</v>
      </c>
      <c r="B55" s="2">
        <v>1969</v>
      </c>
      <c r="C55" s="2" t="s">
        <v>23</v>
      </c>
      <c r="D55" s="2">
        <v>2816</v>
      </c>
      <c r="E55" s="2">
        <v>11412</v>
      </c>
      <c r="H55" s="2">
        <f>101+134</f>
        <v>235</v>
      </c>
      <c r="I55" s="2">
        <f>523+1571</f>
        <v>2094</v>
      </c>
      <c r="J55" s="3">
        <f t="shared" si="0"/>
        <v>143060.35358666937</v>
      </c>
      <c r="K55" s="3">
        <f t="shared" si="1"/>
        <v>11412</v>
      </c>
      <c r="L55" s="3" t="e">
        <f t="shared" si="2"/>
        <v>#N/A</v>
      </c>
      <c r="M55" s="3" t="e">
        <f t="shared" si="3"/>
        <v>#N/A</v>
      </c>
      <c r="N55" s="3">
        <f t="shared" si="4"/>
        <v>11938.630359682991</v>
      </c>
      <c r="O55" s="3">
        <f t="shared" si="5"/>
        <v>2094</v>
      </c>
    </row>
    <row r="56" spans="1:15" ht="14.25" customHeight="1">
      <c r="A56" s="2" t="s">
        <v>15</v>
      </c>
      <c r="B56" s="2">
        <v>1969</v>
      </c>
      <c r="C56" s="2" t="s">
        <v>25</v>
      </c>
      <c r="D56" s="2">
        <v>820</v>
      </c>
      <c r="E56" s="2">
        <v>5444</v>
      </c>
      <c r="H56" s="2">
        <f>68+246</f>
        <v>314</v>
      </c>
      <c r="I56" s="2">
        <f>1157+1885</f>
        <v>3042</v>
      </c>
      <c r="J56" s="3">
        <f t="shared" si="0"/>
        <v>41658.199552936392</v>
      </c>
      <c r="K56" s="3">
        <f t="shared" si="1"/>
        <v>5444</v>
      </c>
      <c r="L56" s="3" t="e">
        <f t="shared" si="2"/>
        <v>#N/A</v>
      </c>
      <c r="M56" s="3" t="e">
        <f t="shared" si="3"/>
        <v>#N/A</v>
      </c>
      <c r="N56" s="3">
        <f t="shared" si="4"/>
        <v>15952.042267831741</v>
      </c>
      <c r="O56" s="3">
        <f t="shared" si="5"/>
        <v>3042</v>
      </c>
    </row>
    <row r="57" spans="1:15" ht="14.25" customHeight="1">
      <c r="A57" s="2" t="s">
        <v>15</v>
      </c>
      <c r="B57" s="2">
        <v>1969</v>
      </c>
      <c r="C57" s="2" t="s">
        <v>24</v>
      </c>
      <c r="D57" s="2">
        <v>661</v>
      </c>
      <c r="E57" s="2">
        <v>1968</v>
      </c>
      <c r="J57" s="3">
        <f t="shared" si="0"/>
        <v>33580.573054257264</v>
      </c>
      <c r="K57" s="3">
        <f t="shared" si="1"/>
        <v>1968</v>
      </c>
      <c r="L57" s="3" t="e">
        <f t="shared" si="2"/>
        <v>#N/A</v>
      </c>
      <c r="M57" s="3" t="e">
        <f t="shared" si="3"/>
        <v>#N/A</v>
      </c>
      <c r="N57" s="3" t="e">
        <f t="shared" si="4"/>
        <v>#N/A</v>
      </c>
      <c r="O57" s="3" t="e">
        <f t="shared" si="5"/>
        <v>#N/A</v>
      </c>
    </row>
    <row r="58" spans="1:15" ht="14.25" customHeight="1">
      <c r="A58" s="2" t="s">
        <v>15</v>
      </c>
      <c r="B58" s="2">
        <v>1969</v>
      </c>
      <c r="C58" s="2" t="s">
        <v>19</v>
      </c>
      <c r="D58" s="2">
        <v>2435</v>
      </c>
      <c r="E58" s="2">
        <v>3287</v>
      </c>
      <c r="H58" s="2">
        <f>21+21+9+261</f>
        <v>312</v>
      </c>
      <c r="I58" s="2">
        <f>437+78+30+280</f>
        <v>825</v>
      </c>
      <c r="J58" s="3">
        <f t="shared" si="0"/>
        <v>123704.53159926843</v>
      </c>
      <c r="K58" s="3">
        <f t="shared" si="1"/>
        <v>3287</v>
      </c>
      <c r="L58" s="3" t="e">
        <f t="shared" si="2"/>
        <v>#N/A</v>
      </c>
      <c r="M58" s="3" t="e">
        <f t="shared" si="3"/>
        <v>#N/A</v>
      </c>
      <c r="N58" s="3">
        <f t="shared" si="4"/>
        <v>15850.436903068481</v>
      </c>
      <c r="O58" s="3">
        <f t="shared" si="5"/>
        <v>825</v>
      </c>
    </row>
    <row r="59" spans="1:15" ht="14.25" customHeight="1">
      <c r="A59" s="2" t="s">
        <v>15</v>
      </c>
      <c r="B59" s="2">
        <v>1969</v>
      </c>
      <c r="C59" s="2" t="s">
        <v>21</v>
      </c>
      <c r="D59" s="2">
        <v>931</v>
      </c>
      <c r="E59" s="2">
        <v>509</v>
      </c>
      <c r="J59" s="3">
        <f t="shared" si="0"/>
        <v>47297.2972972973</v>
      </c>
      <c r="K59" s="3">
        <f t="shared" si="1"/>
        <v>509</v>
      </c>
      <c r="L59" s="3" t="e">
        <f t="shared" si="2"/>
        <v>#N/A</v>
      </c>
      <c r="M59" s="3" t="e">
        <f t="shared" si="3"/>
        <v>#N/A</v>
      </c>
      <c r="N59" s="3" t="e">
        <f t="shared" si="4"/>
        <v>#N/A</v>
      </c>
      <c r="O59" s="3" t="e">
        <f t="shared" si="5"/>
        <v>#N/A</v>
      </c>
    </row>
    <row r="60" spans="1:15" ht="14.25" customHeight="1">
      <c r="A60" s="2" t="s">
        <v>15</v>
      </c>
      <c r="B60" s="2">
        <v>1969</v>
      </c>
      <c r="C60" s="2" t="s">
        <v>34</v>
      </c>
      <c r="D60" s="2">
        <v>19</v>
      </c>
      <c r="E60" s="2">
        <v>1173</v>
      </c>
      <c r="H60" s="2">
        <v>2</v>
      </c>
      <c r="I60" s="2">
        <v>136</v>
      </c>
      <c r="J60" s="3">
        <f t="shared" si="0"/>
        <v>965.25096525096524</v>
      </c>
      <c r="K60" s="3">
        <f t="shared" si="1"/>
        <v>1173</v>
      </c>
      <c r="L60" s="3" t="e">
        <f t="shared" si="2"/>
        <v>#N/A</v>
      </c>
      <c r="M60" s="3" t="e">
        <f t="shared" si="3"/>
        <v>#N/A</v>
      </c>
      <c r="N60" s="3">
        <f t="shared" si="4"/>
        <v>101.6053647632595</v>
      </c>
      <c r="O60" s="3">
        <f t="shared" si="5"/>
        <v>136</v>
      </c>
    </row>
    <row r="61" spans="1:15" ht="14.25" customHeight="1">
      <c r="A61" s="2" t="s">
        <v>15</v>
      </c>
      <c r="B61" s="2">
        <v>1969</v>
      </c>
      <c r="C61" s="2" t="s">
        <v>35</v>
      </c>
      <c r="D61" s="2">
        <v>230</v>
      </c>
      <c r="E61" s="2">
        <v>2625</v>
      </c>
      <c r="J61" s="3">
        <f t="shared" si="0"/>
        <v>11684.616947774843</v>
      </c>
      <c r="K61" s="3">
        <f t="shared" si="1"/>
        <v>2625</v>
      </c>
      <c r="L61" s="3" t="e">
        <f t="shared" si="2"/>
        <v>#N/A</v>
      </c>
      <c r="M61" s="3" t="e">
        <f t="shared" si="3"/>
        <v>#N/A</v>
      </c>
      <c r="N61" s="3" t="e">
        <f t="shared" si="4"/>
        <v>#N/A</v>
      </c>
      <c r="O61" s="3" t="e">
        <f t="shared" si="5"/>
        <v>#N/A</v>
      </c>
    </row>
    <row r="62" spans="1:15" ht="14.25" customHeight="1">
      <c r="A62" s="2" t="s">
        <v>15</v>
      </c>
      <c r="B62" s="2">
        <v>1969</v>
      </c>
      <c r="C62" s="2" t="s">
        <v>30</v>
      </c>
      <c r="D62" s="2">
        <v>25</v>
      </c>
      <c r="E62" s="2">
        <v>195</v>
      </c>
      <c r="H62" s="2">
        <f>41+3+37</f>
        <v>81</v>
      </c>
      <c r="I62" s="2">
        <f>1509+83+2217</f>
        <v>3809</v>
      </c>
      <c r="J62" s="3">
        <f t="shared" si="0"/>
        <v>1270.0670595407437</v>
      </c>
      <c r="K62" s="3">
        <f t="shared" si="1"/>
        <v>195</v>
      </c>
      <c r="L62" s="3" t="e">
        <f t="shared" si="2"/>
        <v>#N/A</v>
      </c>
      <c r="M62" s="3" t="e">
        <f t="shared" si="3"/>
        <v>#N/A</v>
      </c>
      <c r="N62" s="3">
        <f t="shared" si="4"/>
        <v>4115.0172729120095</v>
      </c>
      <c r="O62" s="3">
        <f t="shared" si="5"/>
        <v>3809</v>
      </c>
    </row>
    <row r="63" spans="1:15" ht="14.25" customHeight="1">
      <c r="A63" s="2" t="s">
        <v>15</v>
      </c>
      <c r="B63" s="2">
        <v>1969</v>
      </c>
      <c r="C63" s="2" t="s">
        <v>36</v>
      </c>
      <c r="D63" s="2">
        <v>129</v>
      </c>
      <c r="E63" s="2">
        <v>595</v>
      </c>
      <c r="H63" s="2">
        <v>12</v>
      </c>
      <c r="I63" s="2">
        <v>1082</v>
      </c>
      <c r="J63" s="3">
        <f t="shared" si="0"/>
        <v>6553.5460272302371</v>
      </c>
      <c r="K63" s="3">
        <f t="shared" si="1"/>
        <v>595</v>
      </c>
      <c r="L63" s="3" t="e">
        <f t="shared" si="2"/>
        <v>#N/A</v>
      </c>
      <c r="M63" s="3" t="e">
        <f t="shared" si="3"/>
        <v>#N/A</v>
      </c>
      <c r="N63" s="3">
        <f t="shared" si="4"/>
        <v>609.6321885795569</v>
      </c>
      <c r="O63" s="3">
        <f t="shared" si="5"/>
        <v>1082</v>
      </c>
    </row>
    <row r="64" spans="1:15" ht="14.25" customHeight="1">
      <c r="A64" s="2" t="s">
        <v>15</v>
      </c>
      <c r="B64" s="2">
        <v>1969</v>
      </c>
      <c r="C64" s="2" t="s">
        <v>16</v>
      </c>
      <c r="D64" s="2">
        <v>18779</v>
      </c>
      <c r="E64" s="2">
        <v>65993</v>
      </c>
      <c r="F64" s="2">
        <v>1552</v>
      </c>
      <c r="G64" s="2">
        <v>14127</v>
      </c>
      <c r="H64" s="2">
        <v>3897</v>
      </c>
      <c r="I64" s="2">
        <v>69305</v>
      </c>
      <c r="J64" s="3">
        <f t="shared" si="0"/>
        <v>954023.57244462508</v>
      </c>
      <c r="K64" s="3">
        <f t="shared" si="1"/>
        <v>65993</v>
      </c>
      <c r="L64" s="3">
        <f t="shared" si="2"/>
        <v>78845.763056289376</v>
      </c>
      <c r="M64" s="3">
        <f t="shared" si="3"/>
        <v>14127</v>
      </c>
      <c r="N64" s="3">
        <f t="shared" si="4"/>
        <v>197978.05324121111</v>
      </c>
      <c r="O64" s="3">
        <f t="shared" si="5"/>
        <v>69305</v>
      </c>
    </row>
    <row r="65" spans="1:15" ht="14.25" customHeight="1">
      <c r="A65" s="2" t="s">
        <v>15</v>
      </c>
      <c r="B65" s="2">
        <v>1969</v>
      </c>
      <c r="C65" s="2" t="s">
        <v>28</v>
      </c>
      <c r="D65" s="2">
        <v>996</v>
      </c>
      <c r="E65" s="2">
        <v>6031</v>
      </c>
      <c r="F65" s="2">
        <v>92</v>
      </c>
      <c r="G65" s="2">
        <v>3155</v>
      </c>
      <c r="H65" s="2">
        <v>265</v>
      </c>
      <c r="I65" s="2">
        <v>11385</v>
      </c>
      <c r="J65" s="3">
        <f t="shared" si="0"/>
        <v>50599.471652103224</v>
      </c>
      <c r="K65" s="3">
        <f t="shared" si="1"/>
        <v>6031</v>
      </c>
      <c r="L65" s="3">
        <f t="shared" si="2"/>
        <v>4673.8467791099365</v>
      </c>
      <c r="M65" s="3">
        <f t="shared" si="3"/>
        <v>3155</v>
      </c>
      <c r="N65" s="3">
        <f t="shared" si="4"/>
        <v>13462.710831131883</v>
      </c>
      <c r="O65" s="3">
        <f t="shared" si="5"/>
        <v>11385</v>
      </c>
    </row>
    <row r="66" spans="1:15" ht="14.25" customHeight="1">
      <c r="A66" s="2" t="s">
        <v>15</v>
      </c>
      <c r="B66" s="2">
        <v>1969</v>
      </c>
      <c r="C66" s="2" t="s">
        <v>37</v>
      </c>
      <c r="D66" s="2">
        <v>17783</v>
      </c>
      <c r="E66" s="2">
        <v>59962</v>
      </c>
      <c r="F66" s="2">
        <v>1461</v>
      </c>
      <c r="G66" s="2">
        <v>10972</v>
      </c>
      <c r="H66" s="2">
        <v>3631</v>
      </c>
      <c r="I66" s="2">
        <v>57920</v>
      </c>
      <c r="J66" s="3">
        <f t="shared" si="0"/>
        <v>903424.10079252184</v>
      </c>
      <c r="K66" s="3">
        <f t="shared" si="1"/>
        <v>59962</v>
      </c>
      <c r="L66" s="3">
        <f t="shared" si="2"/>
        <v>74222.718959561069</v>
      </c>
      <c r="M66" s="3">
        <f t="shared" si="3"/>
        <v>10972</v>
      </c>
      <c r="N66" s="3">
        <f t="shared" si="4"/>
        <v>184464.53972769759</v>
      </c>
      <c r="O66" s="3">
        <f t="shared" si="5"/>
        <v>57920</v>
      </c>
    </row>
    <row r="67" spans="1:15" ht="14.25" customHeight="1">
      <c r="A67" s="2" t="s">
        <v>15</v>
      </c>
      <c r="B67" s="2">
        <v>1970</v>
      </c>
      <c r="C67" s="2" t="s">
        <v>22</v>
      </c>
      <c r="D67" s="2">
        <v>6795</v>
      </c>
      <c r="E67" s="2">
        <v>32384</v>
      </c>
      <c r="H67" s="2">
        <f>223+652+7</f>
        <v>882</v>
      </c>
      <c r="I67" s="2">
        <f>1103+7323+73</f>
        <v>8499</v>
      </c>
      <c r="J67" s="3">
        <f t="shared" si="0"/>
        <v>345204.22678317415</v>
      </c>
      <c r="K67" s="3">
        <f t="shared" si="1"/>
        <v>32384</v>
      </c>
      <c r="L67" s="3" t="e">
        <f t="shared" si="2"/>
        <v>#N/A</v>
      </c>
      <c r="M67" s="3" t="e">
        <f t="shared" si="3"/>
        <v>#N/A</v>
      </c>
      <c r="N67" s="3">
        <f t="shared" si="4"/>
        <v>44807.965860597433</v>
      </c>
      <c r="O67" s="3">
        <f t="shared" si="5"/>
        <v>8499</v>
      </c>
    </row>
    <row r="68" spans="1:15" ht="14.25" customHeight="1">
      <c r="A68" s="2" t="s">
        <v>15</v>
      </c>
      <c r="B68" s="2">
        <v>1970</v>
      </c>
      <c r="C68" s="2" t="s">
        <v>23</v>
      </c>
      <c r="D68" s="2">
        <v>3471</v>
      </c>
      <c r="E68" s="2">
        <v>13614</v>
      </c>
      <c r="H68" s="2">
        <f>72+73</f>
        <v>145</v>
      </c>
      <c r="I68" s="2">
        <f>404+1090</f>
        <v>1494</v>
      </c>
      <c r="J68" s="3">
        <f t="shared" si="0"/>
        <v>176336.11054663686</v>
      </c>
      <c r="K68" s="3">
        <f t="shared" si="1"/>
        <v>13614</v>
      </c>
      <c r="L68" s="3" t="e">
        <f t="shared" si="2"/>
        <v>#N/A</v>
      </c>
      <c r="M68" s="3" t="e">
        <f t="shared" si="3"/>
        <v>#N/A</v>
      </c>
      <c r="N68" s="3">
        <f t="shared" si="4"/>
        <v>7366.3889453363126</v>
      </c>
      <c r="O68" s="3">
        <f t="shared" si="5"/>
        <v>1494</v>
      </c>
    </row>
    <row r="69" spans="1:15" ht="14.25" customHeight="1">
      <c r="A69" s="2" t="s">
        <v>15</v>
      </c>
      <c r="B69" s="2">
        <v>1970</v>
      </c>
      <c r="C69" s="2" t="s">
        <v>25</v>
      </c>
      <c r="D69" s="2">
        <v>869</v>
      </c>
      <c r="E69" s="2">
        <v>6232</v>
      </c>
      <c r="H69" s="2">
        <f>236+76</f>
        <v>312</v>
      </c>
      <c r="I69" s="2">
        <f>1444+1836</f>
        <v>3280</v>
      </c>
      <c r="J69" s="3">
        <f t="shared" si="0"/>
        <v>44147.530989636252</v>
      </c>
      <c r="K69" s="3">
        <f t="shared" si="1"/>
        <v>6232</v>
      </c>
      <c r="L69" s="3" t="e">
        <f t="shared" si="2"/>
        <v>#N/A</v>
      </c>
      <c r="M69" s="3" t="e">
        <f t="shared" si="3"/>
        <v>#N/A</v>
      </c>
      <c r="N69" s="3">
        <f t="shared" si="4"/>
        <v>15850.436903068481</v>
      </c>
      <c r="O69" s="3">
        <f t="shared" si="5"/>
        <v>3280</v>
      </c>
    </row>
    <row r="70" spans="1:15" ht="14.25" customHeight="1">
      <c r="A70" s="2" t="s">
        <v>15</v>
      </c>
      <c r="B70" s="2">
        <v>1970</v>
      </c>
      <c r="C70" s="2" t="s">
        <v>38</v>
      </c>
      <c r="D70" s="2">
        <v>995</v>
      </c>
      <c r="E70" s="2">
        <v>2014</v>
      </c>
      <c r="J70" s="3">
        <f t="shared" si="0"/>
        <v>50548.668969721599</v>
      </c>
      <c r="K70" s="3">
        <f t="shared" si="1"/>
        <v>2014</v>
      </c>
      <c r="L70" s="3" t="e">
        <f t="shared" si="2"/>
        <v>#N/A</v>
      </c>
      <c r="M70" s="3" t="e">
        <f t="shared" si="3"/>
        <v>#N/A</v>
      </c>
      <c r="N70" s="3" t="e">
        <f t="shared" si="4"/>
        <v>#N/A</v>
      </c>
      <c r="O70" s="3" t="e">
        <f t="shared" si="5"/>
        <v>#N/A</v>
      </c>
    </row>
    <row r="71" spans="1:15" ht="14.25" customHeight="1">
      <c r="A71" s="2" t="s">
        <v>15</v>
      </c>
      <c r="B71" s="2">
        <v>1970</v>
      </c>
      <c r="C71" s="2" t="s">
        <v>24</v>
      </c>
      <c r="D71" s="2">
        <v>611</v>
      </c>
      <c r="E71" s="2">
        <v>1723</v>
      </c>
      <c r="J71" s="3">
        <f t="shared" si="0"/>
        <v>31040.438935175775</v>
      </c>
      <c r="K71" s="3">
        <f t="shared" si="1"/>
        <v>1723</v>
      </c>
      <c r="L71" s="3" t="e">
        <f t="shared" si="2"/>
        <v>#N/A</v>
      </c>
      <c r="M71" s="3" t="e">
        <f t="shared" si="3"/>
        <v>#N/A</v>
      </c>
      <c r="N71" s="3" t="e">
        <f t="shared" si="4"/>
        <v>#N/A</v>
      </c>
      <c r="O71" s="3" t="e">
        <f t="shared" si="5"/>
        <v>#N/A</v>
      </c>
    </row>
    <row r="72" spans="1:15" ht="14.25" customHeight="1">
      <c r="A72" s="2" t="s">
        <v>15</v>
      </c>
      <c r="B72" s="2">
        <v>1970</v>
      </c>
      <c r="C72" s="2" t="s">
        <v>19</v>
      </c>
      <c r="D72" s="2">
        <v>2866</v>
      </c>
      <c r="E72" s="2">
        <v>4683</v>
      </c>
      <c r="H72" s="2">
        <f>136+3+46+26</f>
        <v>211</v>
      </c>
      <c r="I72" s="2">
        <f>220+10+130+605</f>
        <v>965</v>
      </c>
      <c r="J72" s="3">
        <f t="shared" si="0"/>
        <v>145600.48770575086</v>
      </c>
      <c r="K72" s="3">
        <f t="shared" si="1"/>
        <v>4683</v>
      </c>
      <c r="L72" s="3" t="e">
        <f t="shared" si="2"/>
        <v>#N/A</v>
      </c>
      <c r="M72" s="3" t="e">
        <f t="shared" si="3"/>
        <v>#N/A</v>
      </c>
      <c r="N72" s="3">
        <f t="shared" si="4"/>
        <v>10719.365982523877</v>
      </c>
      <c r="O72" s="3">
        <f t="shared" si="5"/>
        <v>965</v>
      </c>
    </row>
    <row r="73" spans="1:15" ht="14.25" customHeight="1">
      <c r="A73" s="2" t="s">
        <v>15</v>
      </c>
      <c r="B73" s="2">
        <v>1970</v>
      </c>
      <c r="C73" s="2" t="s">
        <v>21</v>
      </c>
      <c r="D73" s="2">
        <v>715</v>
      </c>
      <c r="E73" s="2">
        <v>536</v>
      </c>
      <c r="J73" s="3">
        <f t="shared" si="0"/>
        <v>36323.917902865265</v>
      </c>
      <c r="K73" s="3">
        <f t="shared" si="1"/>
        <v>536</v>
      </c>
      <c r="L73" s="3" t="e">
        <f t="shared" si="2"/>
        <v>#N/A</v>
      </c>
      <c r="M73" s="3" t="e">
        <f t="shared" si="3"/>
        <v>#N/A</v>
      </c>
      <c r="N73" s="3" t="e">
        <f t="shared" si="4"/>
        <v>#N/A</v>
      </c>
      <c r="O73" s="3" t="e">
        <f t="shared" si="5"/>
        <v>#N/A</v>
      </c>
    </row>
    <row r="74" spans="1:15" ht="14.25" customHeight="1">
      <c r="A74" s="2" t="s">
        <v>15</v>
      </c>
      <c r="B74" s="2">
        <v>1970</v>
      </c>
      <c r="C74" s="2" t="s">
        <v>34</v>
      </c>
      <c r="D74" s="2">
        <v>22</v>
      </c>
      <c r="E74" s="2">
        <v>1392</v>
      </c>
      <c r="H74" s="2">
        <v>1</v>
      </c>
      <c r="I74" s="2">
        <v>55</v>
      </c>
      <c r="J74" s="3">
        <f t="shared" si="0"/>
        <v>1117.6590123958545</v>
      </c>
      <c r="K74" s="3">
        <f t="shared" si="1"/>
        <v>1392</v>
      </c>
      <c r="L74" s="3" t="e">
        <f t="shared" si="2"/>
        <v>#N/A</v>
      </c>
      <c r="M74" s="3" t="e">
        <f t="shared" si="3"/>
        <v>#N/A</v>
      </c>
      <c r="N74" s="3">
        <f t="shared" si="4"/>
        <v>50.802682381629751</v>
      </c>
      <c r="O74" s="3">
        <f t="shared" si="5"/>
        <v>55</v>
      </c>
    </row>
    <row r="75" spans="1:15" ht="14.25" customHeight="1">
      <c r="A75" s="2" t="s">
        <v>15</v>
      </c>
      <c r="B75" s="2">
        <v>1970</v>
      </c>
      <c r="C75" s="2" t="s">
        <v>35</v>
      </c>
      <c r="D75" s="2">
        <v>228</v>
      </c>
      <c r="E75" s="2">
        <v>2590</v>
      </c>
      <c r="J75" s="3">
        <f t="shared" si="0"/>
        <v>11583.011583011583</v>
      </c>
      <c r="K75" s="3">
        <f t="shared" si="1"/>
        <v>2590</v>
      </c>
      <c r="L75" s="3" t="e">
        <f t="shared" si="2"/>
        <v>#N/A</v>
      </c>
      <c r="M75" s="3" t="e">
        <f t="shared" si="3"/>
        <v>#N/A</v>
      </c>
      <c r="N75" s="3" t="e">
        <f t="shared" si="4"/>
        <v>#N/A</v>
      </c>
      <c r="O75" s="3" t="e">
        <f t="shared" si="5"/>
        <v>#N/A</v>
      </c>
    </row>
    <row r="76" spans="1:15" ht="14.25" customHeight="1">
      <c r="A76" s="2" t="s">
        <v>15</v>
      </c>
      <c r="B76" s="2">
        <v>1970</v>
      </c>
      <c r="C76" s="2" t="s">
        <v>30</v>
      </c>
      <c r="D76" s="2">
        <v>27</v>
      </c>
      <c r="E76" s="2">
        <v>224</v>
      </c>
      <c r="H76" s="2">
        <f>4+44+41</f>
        <v>89</v>
      </c>
      <c r="I76" s="2">
        <f>99+1632+3088</f>
        <v>4819</v>
      </c>
      <c r="J76" s="3">
        <f t="shared" si="0"/>
        <v>1371.6724243040032</v>
      </c>
      <c r="K76" s="3">
        <f t="shared" si="1"/>
        <v>224</v>
      </c>
      <c r="L76" s="3" t="e">
        <f t="shared" si="2"/>
        <v>#N/A</v>
      </c>
      <c r="M76" s="3" t="e">
        <f t="shared" si="3"/>
        <v>#N/A</v>
      </c>
      <c r="N76" s="3">
        <f t="shared" si="4"/>
        <v>4521.4387319650477</v>
      </c>
      <c r="O76" s="3">
        <f t="shared" si="5"/>
        <v>4819</v>
      </c>
    </row>
    <row r="77" spans="1:15" ht="14.25" customHeight="1">
      <c r="A77" s="2" t="s">
        <v>15</v>
      </c>
      <c r="B77" s="2">
        <v>1970</v>
      </c>
      <c r="C77" s="2" t="s">
        <v>36</v>
      </c>
      <c r="D77" s="2">
        <v>118</v>
      </c>
      <c r="E77" s="2">
        <v>586</v>
      </c>
      <c r="H77" s="2">
        <v>9</v>
      </c>
      <c r="I77" s="2">
        <v>783</v>
      </c>
      <c r="J77" s="3">
        <f t="shared" si="0"/>
        <v>5994.7165210323101</v>
      </c>
      <c r="K77" s="3">
        <f t="shared" si="1"/>
        <v>586</v>
      </c>
      <c r="L77" s="3" t="e">
        <f t="shared" si="2"/>
        <v>#N/A</v>
      </c>
      <c r="M77" s="3" t="e">
        <f t="shared" si="3"/>
        <v>#N/A</v>
      </c>
      <c r="N77" s="3">
        <f t="shared" si="4"/>
        <v>457.22414143466773</v>
      </c>
      <c r="O77" s="3">
        <f t="shared" si="5"/>
        <v>783</v>
      </c>
    </row>
    <row r="78" spans="1:15" ht="14.25" customHeight="1">
      <c r="A78" s="2" t="s">
        <v>15</v>
      </c>
      <c r="B78" s="2">
        <v>1970</v>
      </c>
      <c r="C78" s="2" t="s">
        <v>16</v>
      </c>
      <c r="D78" s="2">
        <v>19194</v>
      </c>
      <c r="E78" s="2">
        <v>76262</v>
      </c>
      <c r="F78" s="2">
        <v>2223</v>
      </c>
      <c r="G78" s="2">
        <v>20823</v>
      </c>
      <c r="H78" s="2">
        <v>3657</v>
      </c>
      <c r="I78" s="2">
        <v>73389</v>
      </c>
      <c r="J78" s="3">
        <f t="shared" si="0"/>
        <v>975106.68563300138</v>
      </c>
      <c r="K78" s="3">
        <f t="shared" si="1"/>
        <v>76262</v>
      </c>
      <c r="L78" s="3">
        <f t="shared" si="2"/>
        <v>112934.36293436293</v>
      </c>
      <c r="M78" s="3">
        <f t="shared" si="3"/>
        <v>20823</v>
      </c>
      <c r="N78" s="3">
        <f t="shared" si="4"/>
        <v>185785.40946962</v>
      </c>
      <c r="O78" s="3">
        <f t="shared" si="5"/>
        <v>73389</v>
      </c>
    </row>
    <row r="79" spans="1:15" ht="14.25" customHeight="1">
      <c r="A79" s="2" t="s">
        <v>15</v>
      </c>
      <c r="B79" s="2">
        <v>1970</v>
      </c>
      <c r="C79" s="2" t="s">
        <v>28</v>
      </c>
      <c r="D79" s="2">
        <v>1111</v>
      </c>
      <c r="E79" s="2">
        <v>6727</v>
      </c>
      <c r="F79" s="2">
        <v>133</v>
      </c>
      <c r="G79" s="2">
        <v>4658</v>
      </c>
      <c r="H79" s="2">
        <v>310</v>
      </c>
      <c r="I79" s="2">
        <v>14498</v>
      </c>
      <c r="J79" s="3">
        <f t="shared" si="0"/>
        <v>56441.780125990648</v>
      </c>
      <c r="K79" s="3">
        <f t="shared" si="1"/>
        <v>6727</v>
      </c>
      <c r="L79" s="3">
        <f t="shared" si="2"/>
        <v>6756.7567567567557</v>
      </c>
      <c r="M79" s="3">
        <f t="shared" si="3"/>
        <v>4658</v>
      </c>
      <c r="N79" s="3">
        <f t="shared" si="4"/>
        <v>15748.831538305221</v>
      </c>
      <c r="O79" s="3">
        <f t="shared" si="5"/>
        <v>14498</v>
      </c>
    </row>
    <row r="80" spans="1:15" ht="14.25" customHeight="1">
      <c r="A80" s="2" t="s">
        <v>15</v>
      </c>
      <c r="B80" s="2">
        <v>1970</v>
      </c>
      <c r="C80" s="2" t="s">
        <v>37</v>
      </c>
      <c r="D80" s="2">
        <v>18083</v>
      </c>
      <c r="E80" s="2">
        <v>69535</v>
      </c>
      <c r="F80" s="2">
        <v>2090</v>
      </c>
      <c r="G80" s="2">
        <v>16165</v>
      </c>
      <c r="H80" s="2">
        <v>3347</v>
      </c>
      <c r="I80" s="2">
        <v>58892</v>
      </c>
      <c r="J80" s="3">
        <f t="shared" si="0"/>
        <v>918664.90550701076</v>
      </c>
      <c r="K80" s="3">
        <f t="shared" si="1"/>
        <v>69535</v>
      </c>
      <c r="L80" s="3">
        <f t="shared" si="2"/>
        <v>106177.60617760617</v>
      </c>
      <c r="M80" s="3">
        <f t="shared" si="3"/>
        <v>16165</v>
      </c>
      <c r="N80" s="3">
        <f t="shared" si="4"/>
        <v>170036.57793131477</v>
      </c>
      <c r="O80" s="3">
        <f t="shared" si="5"/>
        <v>58892</v>
      </c>
    </row>
    <row r="81" spans="1:15" ht="14.25" customHeight="1">
      <c r="A81" s="2" t="s">
        <v>15</v>
      </c>
      <c r="B81" s="2">
        <v>1971</v>
      </c>
      <c r="C81" s="2" t="s">
        <v>22</v>
      </c>
      <c r="D81" s="2">
        <v>6021</v>
      </c>
      <c r="E81" s="2">
        <v>39699</v>
      </c>
      <c r="H81" s="2">
        <f>234+42+505+26+2</f>
        <v>809</v>
      </c>
      <c r="I81" s="2">
        <f>1588+708+8268+223+27</f>
        <v>10814</v>
      </c>
      <c r="J81" s="3">
        <f t="shared" si="0"/>
        <v>305882.95061979274</v>
      </c>
      <c r="K81" s="3">
        <f t="shared" si="1"/>
        <v>39699</v>
      </c>
      <c r="L81" s="3" t="e">
        <f t="shared" si="2"/>
        <v>#N/A</v>
      </c>
      <c r="M81" s="3" t="e">
        <f t="shared" si="3"/>
        <v>#N/A</v>
      </c>
      <c r="N81" s="3">
        <f t="shared" si="4"/>
        <v>41099.370046738462</v>
      </c>
      <c r="O81" s="3">
        <f t="shared" si="5"/>
        <v>10814</v>
      </c>
    </row>
    <row r="82" spans="1:15" ht="14.25" customHeight="1">
      <c r="A82" s="2" t="s">
        <v>15</v>
      </c>
      <c r="B82" s="2">
        <v>1971</v>
      </c>
      <c r="C82" s="2" t="s">
        <v>23</v>
      </c>
      <c r="D82" s="2">
        <v>3568</v>
      </c>
      <c r="E82" s="2">
        <v>17292</v>
      </c>
      <c r="H82" s="2">
        <f>54+4+65+2</f>
        <v>125</v>
      </c>
      <c r="I82" s="2">
        <f>341+90+1174+18</f>
        <v>1623</v>
      </c>
      <c r="J82" s="3">
        <f t="shared" si="0"/>
        <v>181263.97073765495</v>
      </c>
      <c r="K82" s="3">
        <f t="shared" si="1"/>
        <v>17292</v>
      </c>
      <c r="L82" s="3" t="e">
        <f t="shared" si="2"/>
        <v>#N/A</v>
      </c>
      <c r="M82" s="3" t="e">
        <f t="shared" si="3"/>
        <v>#N/A</v>
      </c>
      <c r="N82" s="3">
        <f t="shared" si="4"/>
        <v>6350.3352977037184</v>
      </c>
      <c r="O82" s="3">
        <f t="shared" si="5"/>
        <v>1623</v>
      </c>
    </row>
    <row r="83" spans="1:15" ht="14.25" customHeight="1">
      <c r="A83" s="2" t="s">
        <v>15</v>
      </c>
      <c r="B83" s="2">
        <v>1971</v>
      </c>
      <c r="C83" s="2" t="s">
        <v>25</v>
      </c>
      <c r="D83" s="2">
        <v>873</v>
      </c>
      <c r="E83" s="2">
        <v>7081</v>
      </c>
      <c r="H83" s="2">
        <f>235+22+48+37</f>
        <v>342</v>
      </c>
      <c r="I83" s="2">
        <f>1919+547+968+359</f>
        <v>3793</v>
      </c>
      <c r="J83" s="3">
        <f t="shared" si="0"/>
        <v>44350.741719162768</v>
      </c>
      <c r="K83" s="3">
        <f t="shared" si="1"/>
        <v>7081</v>
      </c>
      <c r="L83" s="3" t="e">
        <f t="shared" si="2"/>
        <v>#N/A</v>
      </c>
      <c r="M83" s="3" t="e">
        <f t="shared" si="3"/>
        <v>#N/A</v>
      </c>
      <c r="N83" s="3">
        <f t="shared" si="4"/>
        <v>17374.517374517374</v>
      </c>
      <c r="O83" s="3">
        <f t="shared" si="5"/>
        <v>3793</v>
      </c>
    </row>
    <row r="84" spans="1:15" ht="14.25" customHeight="1">
      <c r="A84" s="2" t="s">
        <v>15</v>
      </c>
      <c r="B84" s="2">
        <v>1971</v>
      </c>
      <c r="C84" s="2" t="s">
        <v>38</v>
      </c>
      <c r="D84" s="2">
        <v>1050</v>
      </c>
      <c r="E84" s="2">
        <v>2969</v>
      </c>
      <c r="J84" s="3">
        <f t="shared" si="0"/>
        <v>53342.81650071124</v>
      </c>
      <c r="K84" s="3">
        <f t="shared" si="1"/>
        <v>2969</v>
      </c>
      <c r="L84" s="3" t="e">
        <f t="shared" si="2"/>
        <v>#N/A</v>
      </c>
      <c r="M84" s="3" t="e">
        <f t="shared" si="3"/>
        <v>#N/A</v>
      </c>
      <c r="N84" s="3" t="e">
        <f t="shared" si="4"/>
        <v>#N/A</v>
      </c>
      <c r="O84" s="3" t="e">
        <f t="shared" si="5"/>
        <v>#N/A</v>
      </c>
    </row>
    <row r="85" spans="1:15" ht="14.25" customHeight="1">
      <c r="A85" s="2" t="s">
        <v>15</v>
      </c>
      <c r="B85" s="2">
        <v>1971</v>
      </c>
      <c r="C85" s="2" t="s">
        <v>24</v>
      </c>
      <c r="D85" s="2">
        <v>807</v>
      </c>
      <c r="E85" s="2">
        <v>2896</v>
      </c>
      <c r="J85" s="3">
        <f t="shared" si="0"/>
        <v>40997.764681975204</v>
      </c>
      <c r="K85" s="3">
        <f t="shared" si="1"/>
        <v>2896</v>
      </c>
      <c r="L85" s="3" t="e">
        <f t="shared" si="2"/>
        <v>#N/A</v>
      </c>
      <c r="M85" s="3" t="e">
        <f t="shared" si="3"/>
        <v>#N/A</v>
      </c>
      <c r="N85" s="3" t="e">
        <f t="shared" si="4"/>
        <v>#N/A</v>
      </c>
      <c r="O85" s="3" t="e">
        <f t="shared" si="5"/>
        <v>#N/A</v>
      </c>
    </row>
    <row r="86" spans="1:15" ht="14.25" customHeight="1">
      <c r="A86" s="2" t="s">
        <v>15</v>
      </c>
      <c r="B86" s="2">
        <v>1971</v>
      </c>
      <c r="C86" s="2" t="s">
        <v>19</v>
      </c>
      <c r="D86" s="2">
        <v>2883</v>
      </c>
      <c r="E86" s="2">
        <v>4981</v>
      </c>
      <c r="H86" s="2">
        <f>106+9+22+23</f>
        <v>160</v>
      </c>
      <c r="I86" s="2">
        <f>199+29+66+534</f>
        <v>828</v>
      </c>
      <c r="J86" s="3">
        <f t="shared" si="0"/>
        <v>146464.13330623854</v>
      </c>
      <c r="K86" s="3">
        <f t="shared" si="1"/>
        <v>4981</v>
      </c>
      <c r="L86" s="3" t="e">
        <f t="shared" si="2"/>
        <v>#N/A</v>
      </c>
      <c r="M86" s="3" t="e">
        <f t="shared" si="3"/>
        <v>#N/A</v>
      </c>
      <c r="N86" s="3">
        <f t="shared" si="4"/>
        <v>8128.4291810607601</v>
      </c>
      <c r="O86" s="3">
        <f t="shared" si="5"/>
        <v>828</v>
      </c>
    </row>
    <row r="87" spans="1:15" ht="14.25" customHeight="1">
      <c r="A87" s="2" t="s">
        <v>15</v>
      </c>
      <c r="B87" s="2">
        <v>1971</v>
      </c>
      <c r="C87" s="2" t="s">
        <v>21</v>
      </c>
      <c r="D87" s="2">
        <v>1012</v>
      </c>
      <c r="E87" s="2">
        <v>803</v>
      </c>
      <c r="J87" s="3">
        <f t="shared" si="0"/>
        <v>51412.314570209302</v>
      </c>
      <c r="K87" s="3">
        <f t="shared" si="1"/>
        <v>803</v>
      </c>
      <c r="L87" s="3" t="e">
        <f t="shared" si="2"/>
        <v>#N/A</v>
      </c>
      <c r="M87" s="3" t="e">
        <f t="shared" si="3"/>
        <v>#N/A</v>
      </c>
      <c r="N87" s="3" t="e">
        <f t="shared" si="4"/>
        <v>#N/A</v>
      </c>
      <c r="O87" s="3" t="e">
        <f t="shared" si="5"/>
        <v>#N/A</v>
      </c>
    </row>
    <row r="88" spans="1:15" ht="14.25" customHeight="1">
      <c r="A88" s="2" t="s">
        <v>15</v>
      </c>
      <c r="B88" s="2">
        <v>1971</v>
      </c>
      <c r="C88" s="2" t="s">
        <v>34</v>
      </c>
      <c r="D88" s="2">
        <v>22</v>
      </c>
      <c r="E88" s="2">
        <v>1519</v>
      </c>
      <c r="H88" s="2">
        <v>3</v>
      </c>
      <c r="I88" s="2">
        <v>209</v>
      </c>
      <c r="J88" s="3">
        <f t="shared" si="0"/>
        <v>1117.6590123958545</v>
      </c>
      <c r="K88" s="3">
        <f t="shared" si="1"/>
        <v>1519</v>
      </c>
      <c r="L88" s="3" t="e">
        <f t="shared" si="2"/>
        <v>#N/A</v>
      </c>
      <c r="M88" s="3" t="e">
        <f t="shared" si="3"/>
        <v>#N/A</v>
      </c>
      <c r="N88" s="3">
        <f t="shared" si="4"/>
        <v>152.40804714488922</v>
      </c>
      <c r="O88" s="3">
        <f t="shared" si="5"/>
        <v>209</v>
      </c>
    </row>
    <row r="89" spans="1:15" ht="14.25" customHeight="1">
      <c r="A89" s="2" t="s">
        <v>15</v>
      </c>
      <c r="B89" s="2">
        <v>1971</v>
      </c>
      <c r="C89" s="2" t="s">
        <v>35</v>
      </c>
      <c r="D89" s="2">
        <v>256</v>
      </c>
      <c r="E89" s="2">
        <v>2816</v>
      </c>
      <c r="J89" s="3">
        <f t="shared" si="0"/>
        <v>13005.486689697216</v>
      </c>
      <c r="K89" s="3">
        <f t="shared" si="1"/>
        <v>2816</v>
      </c>
      <c r="L89" s="3" t="e">
        <f t="shared" si="2"/>
        <v>#N/A</v>
      </c>
      <c r="M89" s="3" t="e">
        <f t="shared" si="3"/>
        <v>#N/A</v>
      </c>
      <c r="N89" s="3" t="e">
        <f t="shared" si="4"/>
        <v>#N/A</v>
      </c>
      <c r="O89" s="3" t="e">
        <f t="shared" si="5"/>
        <v>#N/A</v>
      </c>
    </row>
    <row r="90" spans="1:15" ht="14.25" customHeight="1">
      <c r="A90" s="2" t="s">
        <v>15</v>
      </c>
      <c r="B90" s="2">
        <v>1971</v>
      </c>
      <c r="C90" s="2" t="s">
        <v>30</v>
      </c>
      <c r="D90" s="2">
        <v>32</v>
      </c>
      <c r="E90" s="2">
        <v>303</v>
      </c>
      <c r="H90" s="2">
        <f>53+4+22+16</f>
        <v>95</v>
      </c>
      <c r="I90" s="2">
        <f>3511+118+990+688</f>
        <v>5307</v>
      </c>
      <c r="J90" s="3">
        <f t="shared" si="0"/>
        <v>1625.685836212152</v>
      </c>
      <c r="K90" s="3">
        <f t="shared" si="1"/>
        <v>303</v>
      </c>
      <c r="L90" s="3" t="e">
        <f t="shared" si="2"/>
        <v>#N/A</v>
      </c>
      <c r="M90" s="3" t="e">
        <f t="shared" si="3"/>
        <v>#N/A</v>
      </c>
      <c r="N90" s="3">
        <f t="shared" si="4"/>
        <v>4826.2548262548262</v>
      </c>
      <c r="O90" s="3">
        <f t="shared" si="5"/>
        <v>5307</v>
      </c>
    </row>
    <row r="91" spans="1:15" ht="14.25" customHeight="1">
      <c r="A91" s="2" t="s">
        <v>15</v>
      </c>
      <c r="B91" s="2">
        <v>1971</v>
      </c>
      <c r="C91" s="2" t="s">
        <v>36</v>
      </c>
      <c r="D91" s="2">
        <v>115</v>
      </c>
      <c r="E91" s="2">
        <v>670</v>
      </c>
      <c r="H91" s="2">
        <v>14</v>
      </c>
      <c r="I91" s="2">
        <v>940</v>
      </c>
      <c r="J91" s="3">
        <f t="shared" si="0"/>
        <v>5842.3084738874213</v>
      </c>
      <c r="K91" s="3">
        <f t="shared" si="1"/>
        <v>670</v>
      </c>
      <c r="L91" s="3" t="e">
        <f t="shared" si="2"/>
        <v>#N/A</v>
      </c>
      <c r="M91" s="3" t="e">
        <f t="shared" si="3"/>
        <v>#N/A</v>
      </c>
      <c r="N91" s="3">
        <f t="shared" si="4"/>
        <v>711.23755334281645</v>
      </c>
      <c r="O91" s="3">
        <f t="shared" si="5"/>
        <v>940</v>
      </c>
    </row>
    <row r="92" spans="1:15" ht="14.25" customHeight="1">
      <c r="A92" s="2" t="s">
        <v>15</v>
      </c>
      <c r="B92" s="2">
        <v>1971</v>
      </c>
      <c r="C92" s="2" t="s">
        <v>16</v>
      </c>
      <c r="D92" s="2">
        <v>19204</v>
      </c>
      <c r="E92" s="2">
        <f>92634</f>
        <v>92634</v>
      </c>
      <c r="F92" s="2">
        <v>2389</v>
      </c>
      <c r="G92" s="2">
        <v>26759</v>
      </c>
      <c r="H92" s="2">
        <v>3465</v>
      </c>
      <c r="I92" s="2">
        <v>82277</v>
      </c>
      <c r="J92" s="3">
        <f t="shared" si="0"/>
        <v>975614.71245681762</v>
      </c>
      <c r="K92" s="3">
        <f t="shared" si="1"/>
        <v>92634</v>
      </c>
      <c r="L92" s="3">
        <f t="shared" si="2"/>
        <v>121367.60820971346</v>
      </c>
      <c r="M92" s="3">
        <f t="shared" si="3"/>
        <v>26759</v>
      </c>
      <c r="N92" s="3">
        <f t="shared" si="4"/>
        <v>176031.29445234709</v>
      </c>
      <c r="O92" s="3">
        <f t="shared" si="5"/>
        <v>82277</v>
      </c>
    </row>
    <row r="93" spans="1:15" ht="14.25" customHeight="1">
      <c r="A93" s="2" t="s">
        <v>15</v>
      </c>
      <c r="B93" s="2">
        <v>1971</v>
      </c>
      <c r="C93" s="2" t="s">
        <v>28</v>
      </c>
      <c r="D93" s="2">
        <v>1072</v>
      </c>
      <c r="E93" s="2">
        <v>7468</v>
      </c>
      <c r="F93" s="2">
        <v>175</v>
      </c>
      <c r="G93" s="2">
        <v>6398</v>
      </c>
      <c r="H93" s="2">
        <v>326</v>
      </c>
      <c r="I93" s="2">
        <v>14779</v>
      </c>
      <c r="J93" s="3">
        <f t="shared" si="0"/>
        <v>54460.475513107092</v>
      </c>
      <c r="K93" s="3">
        <f t="shared" si="1"/>
        <v>7468</v>
      </c>
      <c r="L93" s="3">
        <f t="shared" si="2"/>
        <v>8890.4694167852049</v>
      </c>
      <c r="M93" s="3">
        <f t="shared" si="3"/>
        <v>6398</v>
      </c>
      <c r="N93" s="3">
        <f t="shared" si="4"/>
        <v>16561.674456411296</v>
      </c>
      <c r="O93" s="3">
        <f t="shared" si="5"/>
        <v>14779</v>
      </c>
    </row>
    <row r="94" spans="1:15" ht="14.25" customHeight="1">
      <c r="A94" s="2" t="s">
        <v>15</v>
      </c>
      <c r="B94" s="2">
        <v>1971</v>
      </c>
      <c r="C94" s="2" t="s">
        <v>37</v>
      </c>
      <c r="D94" s="2">
        <v>18132</v>
      </c>
      <c r="E94" s="2">
        <v>85166</v>
      </c>
      <c r="F94" s="2">
        <v>2215</v>
      </c>
      <c r="G94" s="2">
        <v>20361</v>
      </c>
      <c r="H94" s="2">
        <v>3139</v>
      </c>
      <c r="I94" s="2">
        <v>67498</v>
      </c>
      <c r="J94" s="3">
        <f t="shared" si="0"/>
        <v>921154.2369437106</v>
      </c>
      <c r="K94" s="3">
        <f t="shared" si="1"/>
        <v>85166</v>
      </c>
      <c r="L94" s="3">
        <f t="shared" si="2"/>
        <v>112527.94147530988</v>
      </c>
      <c r="M94" s="3">
        <f t="shared" si="3"/>
        <v>20361</v>
      </c>
      <c r="N94" s="3">
        <f t="shared" si="4"/>
        <v>159469.61999593576</v>
      </c>
      <c r="O94" s="3">
        <f t="shared" si="5"/>
        <v>67498</v>
      </c>
    </row>
    <row r="95" spans="1:15" ht="14.25" customHeight="1">
      <c r="A95" s="2" t="s">
        <v>15</v>
      </c>
      <c r="B95" s="2">
        <v>1972</v>
      </c>
      <c r="C95" s="2" t="s">
        <v>22</v>
      </c>
      <c r="D95" s="2">
        <v>5941</v>
      </c>
      <c r="E95" s="2">
        <v>46539</v>
      </c>
      <c r="H95" s="2">
        <f>357+20+455+30+2</f>
        <v>864</v>
      </c>
      <c r="I95" s="2">
        <f>2656+415+294+8636+35</f>
        <v>12036</v>
      </c>
      <c r="J95" s="3">
        <f t="shared" si="0"/>
        <v>301818.73602926231</v>
      </c>
      <c r="K95" s="3">
        <f t="shared" si="1"/>
        <v>46539</v>
      </c>
      <c r="L95" s="3" t="e">
        <f t="shared" si="2"/>
        <v>#N/A</v>
      </c>
      <c r="M95" s="3" t="e">
        <f t="shared" si="3"/>
        <v>#N/A</v>
      </c>
      <c r="N95" s="3">
        <f t="shared" si="4"/>
        <v>43893.517577728104</v>
      </c>
      <c r="O95" s="3">
        <f t="shared" si="5"/>
        <v>12036</v>
      </c>
    </row>
    <row r="96" spans="1:15" ht="14.25" customHeight="1">
      <c r="A96" s="2" t="s">
        <v>15</v>
      </c>
      <c r="B96" s="2">
        <v>1972</v>
      </c>
      <c r="C96" s="2" t="s">
        <v>23</v>
      </c>
      <c r="D96" s="2">
        <v>3083</v>
      </c>
      <c r="E96" s="2">
        <v>20789</v>
      </c>
      <c r="H96" s="2">
        <f>41+5+46+5</f>
        <v>97</v>
      </c>
      <c r="I96" s="2">
        <f>341+110+969+47</f>
        <v>1467</v>
      </c>
      <c r="J96" s="3">
        <f t="shared" si="0"/>
        <v>156624.66978256451</v>
      </c>
      <c r="K96" s="3">
        <f t="shared" si="1"/>
        <v>20789</v>
      </c>
      <c r="L96" s="3" t="e">
        <f t="shared" si="2"/>
        <v>#N/A</v>
      </c>
      <c r="M96" s="3" t="e">
        <f t="shared" si="3"/>
        <v>#N/A</v>
      </c>
      <c r="N96" s="3">
        <f t="shared" si="4"/>
        <v>4927.860191018086</v>
      </c>
      <c r="O96" s="3">
        <f t="shared" si="5"/>
        <v>1467</v>
      </c>
    </row>
    <row r="97" spans="1:15" ht="14.25" customHeight="1">
      <c r="A97" s="2" t="s">
        <v>15</v>
      </c>
      <c r="B97" s="2">
        <v>1972</v>
      </c>
      <c r="C97" s="2" t="s">
        <v>25</v>
      </c>
      <c r="D97" s="2">
        <v>790</v>
      </c>
      <c r="E97" s="2">
        <v>7515</v>
      </c>
      <c r="H97" s="2">
        <f>5+242+25+53+18</f>
        <v>343</v>
      </c>
      <c r="I97" s="2">
        <f>81+2227+750+1271+211</f>
        <v>4540</v>
      </c>
      <c r="J97" s="3">
        <f t="shared" si="0"/>
        <v>40134.119081487501</v>
      </c>
      <c r="K97" s="3">
        <f t="shared" si="1"/>
        <v>7515</v>
      </c>
      <c r="L97" s="3" t="e">
        <f t="shared" si="2"/>
        <v>#N/A</v>
      </c>
      <c r="M97" s="3" t="e">
        <f t="shared" si="3"/>
        <v>#N/A</v>
      </c>
      <c r="N97" s="3">
        <f t="shared" si="4"/>
        <v>17425.320056899003</v>
      </c>
      <c r="O97" s="3">
        <f t="shared" si="5"/>
        <v>4540</v>
      </c>
    </row>
    <row r="98" spans="1:15" ht="14.25" customHeight="1">
      <c r="A98" s="2" t="s">
        <v>15</v>
      </c>
      <c r="B98" s="2">
        <v>1972</v>
      </c>
      <c r="C98" s="2" t="s">
        <v>38</v>
      </c>
      <c r="D98" s="2">
        <v>936</v>
      </c>
      <c r="E98" s="2">
        <v>2971</v>
      </c>
      <c r="J98" s="3">
        <f t="shared" si="0"/>
        <v>47551.310709205449</v>
      </c>
      <c r="K98" s="3">
        <f t="shared" si="1"/>
        <v>2971</v>
      </c>
      <c r="L98" s="3" t="e">
        <f t="shared" si="2"/>
        <v>#N/A</v>
      </c>
      <c r="M98" s="3" t="e">
        <f t="shared" si="3"/>
        <v>#N/A</v>
      </c>
      <c r="N98" s="3" t="e">
        <f t="shared" si="4"/>
        <v>#N/A</v>
      </c>
      <c r="O98" s="3" t="e">
        <f t="shared" si="5"/>
        <v>#N/A</v>
      </c>
    </row>
    <row r="99" spans="1:15" ht="14.25" customHeight="1">
      <c r="A99" s="2" t="s">
        <v>15</v>
      </c>
      <c r="B99" s="2">
        <v>1972</v>
      </c>
      <c r="C99" s="2" t="s">
        <v>24</v>
      </c>
      <c r="D99" s="2">
        <v>736</v>
      </c>
      <c r="E99" s="2">
        <v>3868</v>
      </c>
      <c r="J99" s="3">
        <f t="shared" si="0"/>
        <v>37390.774232879492</v>
      </c>
      <c r="K99" s="3">
        <f t="shared" si="1"/>
        <v>3868</v>
      </c>
      <c r="L99" s="3" t="e">
        <f t="shared" si="2"/>
        <v>#N/A</v>
      </c>
      <c r="M99" s="3" t="e">
        <f t="shared" si="3"/>
        <v>#N/A</v>
      </c>
      <c r="N99" s="3" t="e">
        <f t="shared" si="4"/>
        <v>#N/A</v>
      </c>
      <c r="O99" s="3" t="e">
        <f t="shared" si="5"/>
        <v>#N/A</v>
      </c>
    </row>
    <row r="100" spans="1:15" ht="14.25" customHeight="1">
      <c r="A100" s="2" t="s">
        <v>15</v>
      </c>
      <c r="B100" s="2">
        <v>1972</v>
      </c>
      <c r="C100" s="2" t="s">
        <v>19</v>
      </c>
      <c r="D100" s="2">
        <v>2947</v>
      </c>
      <c r="E100" s="2">
        <v>5611</v>
      </c>
      <c r="H100" s="2">
        <f>188+13+28+22</f>
        <v>251</v>
      </c>
      <c r="I100" s="2">
        <f>275+53+65+529</f>
        <v>922</v>
      </c>
      <c r="J100" s="3">
        <f t="shared" si="0"/>
        <v>149715.50497866285</v>
      </c>
      <c r="K100" s="3">
        <f t="shared" si="1"/>
        <v>5611</v>
      </c>
      <c r="L100" s="3" t="e">
        <f t="shared" si="2"/>
        <v>#N/A</v>
      </c>
      <c r="M100" s="3" t="e">
        <f t="shared" si="3"/>
        <v>#N/A</v>
      </c>
      <c r="N100" s="3">
        <f t="shared" si="4"/>
        <v>12751.473277789068</v>
      </c>
      <c r="O100" s="3">
        <f t="shared" si="5"/>
        <v>922</v>
      </c>
    </row>
    <row r="101" spans="1:15" ht="14.25" customHeight="1">
      <c r="A101" s="2" t="s">
        <v>15</v>
      </c>
      <c r="B101" s="2">
        <v>1972</v>
      </c>
      <c r="C101" s="2" t="s">
        <v>21</v>
      </c>
      <c r="D101" s="2">
        <v>1216</v>
      </c>
      <c r="E101" s="2">
        <v>1006</v>
      </c>
      <c r="J101" s="3">
        <f t="shared" si="0"/>
        <v>61776.061776061775</v>
      </c>
      <c r="K101" s="3">
        <f t="shared" si="1"/>
        <v>1006</v>
      </c>
      <c r="L101" s="3" t="e">
        <f t="shared" si="2"/>
        <v>#N/A</v>
      </c>
      <c r="M101" s="3" t="e">
        <f t="shared" si="3"/>
        <v>#N/A</v>
      </c>
      <c r="N101" s="3" t="e">
        <f t="shared" si="4"/>
        <v>#N/A</v>
      </c>
      <c r="O101" s="3" t="e">
        <f t="shared" si="5"/>
        <v>#N/A</v>
      </c>
    </row>
    <row r="102" spans="1:15" ht="14.25" customHeight="1">
      <c r="A102" s="2" t="s">
        <v>15</v>
      </c>
      <c r="B102" s="2">
        <v>1972</v>
      </c>
      <c r="C102" s="2" t="s">
        <v>34</v>
      </c>
      <c r="D102" s="2">
        <v>20</v>
      </c>
      <c r="E102" s="2">
        <v>1653</v>
      </c>
      <c r="H102" s="2">
        <v>2</v>
      </c>
      <c r="I102" s="2">
        <v>161</v>
      </c>
      <c r="J102" s="3">
        <f t="shared" si="0"/>
        <v>1016.053647632595</v>
      </c>
      <c r="K102" s="3">
        <f t="shared" si="1"/>
        <v>1653</v>
      </c>
      <c r="L102" s="3" t="e">
        <f t="shared" si="2"/>
        <v>#N/A</v>
      </c>
      <c r="M102" s="3" t="e">
        <f t="shared" si="3"/>
        <v>#N/A</v>
      </c>
      <c r="N102" s="3">
        <f t="shared" si="4"/>
        <v>101.6053647632595</v>
      </c>
      <c r="O102" s="3">
        <f t="shared" si="5"/>
        <v>161</v>
      </c>
    </row>
    <row r="103" spans="1:15" ht="14.25" customHeight="1">
      <c r="A103" s="2" t="s">
        <v>15</v>
      </c>
      <c r="B103" s="2">
        <v>1972</v>
      </c>
      <c r="C103" s="2" t="s">
        <v>35</v>
      </c>
      <c r="D103" s="2">
        <v>310</v>
      </c>
      <c r="E103" s="2">
        <v>4960</v>
      </c>
      <c r="J103" s="3">
        <f t="shared" si="0"/>
        <v>15748.831538305221</v>
      </c>
      <c r="K103" s="3">
        <f t="shared" si="1"/>
        <v>4960</v>
      </c>
      <c r="L103" s="3" t="e">
        <f t="shared" si="2"/>
        <v>#N/A</v>
      </c>
      <c r="M103" s="3" t="e">
        <f t="shared" si="3"/>
        <v>#N/A</v>
      </c>
      <c r="N103" s="3" t="e">
        <f t="shared" si="4"/>
        <v>#N/A</v>
      </c>
      <c r="O103" s="3" t="e">
        <f t="shared" si="5"/>
        <v>#N/A</v>
      </c>
    </row>
    <row r="104" spans="1:15" ht="14.25" customHeight="1">
      <c r="A104" s="2" t="s">
        <v>15</v>
      </c>
      <c r="B104" s="2">
        <v>1972</v>
      </c>
      <c r="C104" s="2" t="s">
        <v>30</v>
      </c>
      <c r="D104" s="2">
        <f>26+1</f>
        <v>27</v>
      </c>
      <c r="E104" s="2">
        <f>243+7</f>
        <v>250</v>
      </c>
      <c r="H104" s="2">
        <f>63+24+12</f>
        <v>99</v>
      </c>
      <c r="I104" s="2">
        <f>3862+1106+602</f>
        <v>5570</v>
      </c>
      <c r="J104" s="3">
        <f t="shared" si="0"/>
        <v>1371.6724243040032</v>
      </c>
      <c r="K104" s="3">
        <f t="shared" si="1"/>
        <v>250</v>
      </c>
      <c r="L104" s="3" t="e">
        <f t="shared" si="2"/>
        <v>#N/A</v>
      </c>
      <c r="M104" s="3" t="e">
        <f t="shared" si="3"/>
        <v>#N/A</v>
      </c>
      <c r="N104" s="3">
        <f t="shared" si="4"/>
        <v>5029.4655557813448</v>
      </c>
      <c r="O104" s="3">
        <f t="shared" si="5"/>
        <v>5570</v>
      </c>
    </row>
    <row r="105" spans="1:15" ht="14.25" customHeight="1">
      <c r="A105" s="2" t="s">
        <v>15</v>
      </c>
      <c r="B105" s="2">
        <v>1972</v>
      </c>
      <c r="C105" s="2" t="s">
        <v>36</v>
      </c>
      <c r="D105" s="2">
        <v>126</v>
      </c>
      <c r="E105" s="2">
        <v>758</v>
      </c>
      <c r="H105" s="2">
        <v>12</v>
      </c>
      <c r="I105" s="2">
        <v>911</v>
      </c>
      <c r="J105" s="3">
        <f t="shared" si="0"/>
        <v>6401.1379800853483</v>
      </c>
      <c r="K105" s="3">
        <f t="shared" si="1"/>
        <v>758</v>
      </c>
      <c r="L105" s="3" t="e">
        <f t="shared" si="2"/>
        <v>#N/A</v>
      </c>
      <c r="M105" s="3" t="e">
        <f t="shared" si="3"/>
        <v>#N/A</v>
      </c>
      <c r="N105" s="3">
        <f t="shared" si="4"/>
        <v>609.6321885795569</v>
      </c>
      <c r="O105" s="3">
        <f t="shared" si="5"/>
        <v>911</v>
      </c>
    </row>
    <row r="106" spans="1:15" ht="14.25" customHeight="1">
      <c r="A106" s="2" t="s">
        <v>15</v>
      </c>
      <c r="B106" s="2">
        <v>1972</v>
      </c>
      <c r="C106" s="2" t="s">
        <v>16</v>
      </c>
      <c r="D106" s="2">
        <v>18796</v>
      </c>
      <c r="E106" s="2">
        <v>108835</v>
      </c>
      <c r="F106" s="2">
        <v>2396</v>
      </c>
      <c r="G106" s="2">
        <v>29271</v>
      </c>
      <c r="H106" s="2">
        <v>3863</v>
      </c>
      <c r="I106" s="2">
        <v>95028</v>
      </c>
      <c r="J106" s="3">
        <f t="shared" si="0"/>
        <v>954887.21804511268</v>
      </c>
      <c r="K106" s="3">
        <f t="shared" si="1"/>
        <v>108835</v>
      </c>
      <c r="L106" s="3">
        <f t="shared" si="2"/>
        <v>121723.22698638488</v>
      </c>
      <c r="M106" s="3">
        <f t="shared" si="3"/>
        <v>29271</v>
      </c>
      <c r="N106" s="3">
        <f t="shared" si="4"/>
        <v>196250.76204023571</v>
      </c>
      <c r="O106" s="3">
        <f t="shared" si="5"/>
        <v>95028</v>
      </c>
    </row>
    <row r="107" spans="1:15" ht="14.25" customHeight="1">
      <c r="A107" s="2" t="s">
        <v>15</v>
      </c>
      <c r="B107" s="2">
        <v>1972</v>
      </c>
      <c r="C107" s="2" t="s">
        <v>28</v>
      </c>
      <c r="D107" s="2">
        <v>1168</v>
      </c>
      <c r="E107" s="2">
        <v>9777</v>
      </c>
      <c r="F107" s="2">
        <v>201</v>
      </c>
      <c r="G107" s="2">
        <v>7787</v>
      </c>
      <c r="H107" s="2">
        <v>348</v>
      </c>
      <c r="I107" s="2">
        <v>18007</v>
      </c>
      <c r="J107" s="3">
        <f t="shared" si="0"/>
        <v>59337.533021743548</v>
      </c>
      <c r="K107" s="3">
        <f t="shared" si="1"/>
        <v>9777</v>
      </c>
      <c r="L107" s="3">
        <f t="shared" si="2"/>
        <v>10211.339158707578</v>
      </c>
      <c r="M107" s="3">
        <f t="shared" si="3"/>
        <v>7787</v>
      </c>
      <c r="N107" s="3">
        <f t="shared" si="4"/>
        <v>17679.333468807152</v>
      </c>
      <c r="O107" s="3">
        <f t="shared" si="5"/>
        <v>18007</v>
      </c>
    </row>
    <row r="108" spans="1:15" ht="14.25" customHeight="1">
      <c r="A108" s="2" t="s">
        <v>15</v>
      </c>
      <c r="B108" s="2">
        <v>1972</v>
      </c>
      <c r="C108" s="2" t="s">
        <v>37</v>
      </c>
      <c r="D108" s="2">
        <v>17628</v>
      </c>
      <c r="E108" s="2">
        <v>99058</v>
      </c>
      <c r="F108" s="2">
        <v>2195</v>
      </c>
      <c r="G108" s="2">
        <v>21474</v>
      </c>
      <c r="H108" s="2">
        <v>3515</v>
      </c>
      <c r="I108" s="2">
        <v>77020</v>
      </c>
      <c r="J108" s="3">
        <f t="shared" si="0"/>
        <v>895549.68502336915</v>
      </c>
      <c r="K108" s="3">
        <f t="shared" si="1"/>
        <v>99058</v>
      </c>
      <c r="L108" s="3">
        <f t="shared" si="2"/>
        <v>111511.8878276773</v>
      </c>
      <c r="M108" s="3">
        <f t="shared" si="3"/>
        <v>21474</v>
      </c>
      <c r="N108" s="3">
        <f t="shared" si="4"/>
        <v>178571.42857142855</v>
      </c>
      <c r="O108" s="3">
        <f t="shared" si="5"/>
        <v>77020</v>
      </c>
    </row>
    <row r="109" spans="1:15" ht="14.25" customHeight="1">
      <c r="A109" s="2" t="s">
        <v>18</v>
      </c>
      <c r="B109" s="2">
        <v>1965</v>
      </c>
      <c r="C109" s="2" t="s">
        <v>22</v>
      </c>
      <c r="D109" s="2">
        <v>5296</v>
      </c>
      <c r="E109" s="2">
        <v>21110</v>
      </c>
      <c r="J109" s="3">
        <f t="shared" si="0"/>
        <v>269051.00589311117</v>
      </c>
      <c r="K109" s="3">
        <f t="shared" si="1"/>
        <v>21110</v>
      </c>
      <c r="L109" s="3" t="e">
        <f t="shared" si="2"/>
        <v>#N/A</v>
      </c>
      <c r="M109" s="3" t="e">
        <f t="shared" si="3"/>
        <v>#N/A</v>
      </c>
      <c r="N109" s="3" t="e">
        <f t="shared" si="4"/>
        <v>#N/A</v>
      </c>
      <c r="O109" s="3" t="e">
        <f t="shared" si="5"/>
        <v>#N/A</v>
      </c>
    </row>
    <row r="110" spans="1:15" ht="14.25" customHeight="1">
      <c r="A110" s="2" t="s">
        <v>18</v>
      </c>
      <c r="B110" s="2">
        <v>1965</v>
      </c>
      <c r="C110" s="2" t="s">
        <v>23</v>
      </c>
      <c r="D110" s="2">
        <v>1220</v>
      </c>
      <c r="E110" s="2">
        <v>5397</v>
      </c>
      <c r="J110" s="3">
        <f t="shared" si="0"/>
        <v>61979.272505588291</v>
      </c>
      <c r="K110" s="3">
        <f t="shared" si="1"/>
        <v>5397</v>
      </c>
      <c r="L110" s="3" t="e">
        <f t="shared" si="2"/>
        <v>#N/A</v>
      </c>
      <c r="M110" s="3" t="e">
        <f t="shared" si="3"/>
        <v>#N/A</v>
      </c>
      <c r="N110" s="3" t="e">
        <f t="shared" si="4"/>
        <v>#N/A</v>
      </c>
      <c r="O110" s="3" t="e">
        <f t="shared" si="5"/>
        <v>#N/A</v>
      </c>
    </row>
    <row r="111" spans="1:15" ht="14.25" customHeight="1">
      <c r="A111" s="2" t="s">
        <v>18</v>
      </c>
      <c r="B111" s="2">
        <v>1965</v>
      </c>
      <c r="C111" s="2" t="s">
        <v>25</v>
      </c>
      <c r="D111" s="2">
        <v>660</v>
      </c>
      <c r="E111" s="2">
        <v>4926</v>
      </c>
      <c r="J111" s="3">
        <f t="shared" si="0"/>
        <v>33529.770371875638</v>
      </c>
      <c r="K111" s="3">
        <f t="shared" si="1"/>
        <v>4926</v>
      </c>
      <c r="L111" s="3" t="e">
        <f t="shared" si="2"/>
        <v>#N/A</v>
      </c>
      <c r="M111" s="3" t="e">
        <f t="shared" si="3"/>
        <v>#N/A</v>
      </c>
      <c r="N111" s="3" t="e">
        <f t="shared" si="4"/>
        <v>#N/A</v>
      </c>
      <c r="O111" s="3" t="e">
        <f t="shared" si="5"/>
        <v>#N/A</v>
      </c>
    </row>
    <row r="112" spans="1:15" ht="14.25" customHeight="1">
      <c r="A112" s="2" t="s">
        <v>18</v>
      </c>
      <c r="B112" s="2">
        <v>1965</v>
      </c>
      <c r="C112" s="2" t="s">
        <v>24</v>
      </c>
      <c r="D112" s="2">
        <v>142</v>
      </c>
      <c r="E112" s="2">
        <v>267</v>
      </c>
      <c r="J112" s="3">
        <f t="shared" si="0"/>
        <v>7213.9808981914239</v>
      </c>
      <c r="K112" s="3">
        <f t="shared" si="1"/>
        <v>267</v>
      </c>
      <c r="L112" s="3" t="e">
        <f t="shared" si="2"/>
        <v>#N/A</v>
      </c>
      <c r="M112" s="3" t="e">
        <f t="shared" si="3"/>
        <v>#N/A</v>
      </c>
      <c r="N112" s="3" t="e">
        <f t="shared" si="4"/>
        <v>#N/A</v>
      </c>
      <c r="O112" s="3" t="e">
        <f t="shared" si="5"/>
        <v>#N/A</v>
      </c>
    </row>
    <row r="113" spans="1:15" ht="14.25" customHeight="1">
      <c r="A113" s="2" t="s">
        <v>18</v>
      </c>
      <c r="B113" s="2">
        <v>1965</v>
      </c>
      <c r="C113" s="2" t="s">
        <v>19</v>
      </c>
      <c r="D113" s="2">
        <v>301</v>
      </c>
      <c r="E113" s="2">
        <v>621</v>
      </c>
      <c r="J113" s="3">
        <f t="shared" si="0"/>
        <v>15291.607396870553</v>
      </c>
      <c r="K113" s="3">
        <f t="shared" si="1"/>
        <v>621</v>
      </c>
      <c r="L113" s="3" t="e">
        <f t="shared" si="2"/>
        <v>#N/A</v>
      </c>
      <c r="M113" s="3" t="e">
        <f t="shared" si="3"/>
        <v>#N/A</v>
      </c>
      <c r="N113" s="3" t="e">
        <f t="shared" si="4"/>
        <v>#N/A</v>
      </c>
      <c r="O113" s="3" t="e">
        <f t="shared" si="5"/>
        <v>#N/A</v>
      </c>
    </row>
    <row r="114" spans="1:15" ht="14.25" customHeight="1">
      <c r="A114" s="2" t="s">
        <v>18</v>
      </c>
      <c r="B114" s="2">
        <v>1965</v>
      </c>
      <c r="C114" s="2" t="s">
        <v>21</v>
      </c>
      <c r="D114" s="2">
        <v>194</v>
      </c>
      <c r="E114" s="2">
        <v>120</v>
      </c>
      <c r="J114" s="3">
        <f t="shared" si="0"/>
        <v>9855.7203820361719</v>
      </c>
      <c r="K114" s="3">
        <f t="shared" si="1"/>
        <v>120</v>
      </c>
      <c r="L114" s="3" t="e">
        <f t="shared" si="2"/>
        <v>#N/A</v>
      </c>
      <c r="M114" s="3" t="e">
        <f t="shared" si="3"/>
        <v>#N/A</v>
      </c>
      <c r="N114" s="3" t="e">
        <f t="shared" si="4"/>
        <v>#N/A</v>
      </c>
      <c r="O114" s="3" t="e">
        <f t="shared" si="5"/>
        <v>#N/A</v>
      </c>
    </row>
    <row r="115" spans="1:15" ht="14.25" customHeight="1">
      <c r="A115" s="2" t="s">
        <v>18</v>
      </c>
      <c r="B115" s="2">
        <v>1965</v>
      </c>
      <c r="C115" s="2" t="s">
        <v>34</v>
      </c>
      <c r="D115" s="2">
        <v>8</v>
      </c>
      <c r="E115" s="2">
        <v>332</v>
      </c>
      <c r="J115" s="3">
        <f t="shared" si="0"/>
        <v>406.42145905303801</v>
      </c>
      <c r="K115" s="3">
        <f t="shared" si="1"/>
        <v>332</v>
      </c>
      <c r="L115" s="3" t="e">
        <f t="shared" si="2"/>
        <v>#N/A</v>
      </c>
      <c r="M115" s="3" t="e">
        <f t="shared" si="3"/>
        <v>#N/A</v>
      </c>
      <c r="N115" s="3" t="e">
        <f t="shared" si="4"/>
        <v>#N/A</v>
      </c>
      <c r="O115" s="3" t="e">
        <f t="shared" si="5"/>
        <v>#N/A</v>
      </c>
    </row>
    <row r="116" spans="1:15" ht="14.25" customHeight="1">
      <c r="A116" s="2" t="s">
        <v>18</v>
      </c>
      <c r="B116" s="2">
        <v>1965</v>
      </c>
      <c r="C116" s="2" t="s">
        <v>35</v>
      </c>
      <c r="D116" s="2">
        <v>8</v>
      </c>
      <c r="E116" s="2">
        <v>71</v>
      </c>
      <c r="J116" s="3">
        <f t="shared" si="0"/>
        <v>406.42145905303801</v>
      </c>
      <c r="K116" s="3">
        <f t="shared" si="1"/>
        <v>71</v>
      </c>
      <c r="L116" s="3" t="e">
        <f t="shared" si="2"/>
        <v>#N/A</v>
      </c>
      <c r="M116" s="3" t="e">
        <f t="shared" si="3"/>
        <v>#N/A</v>
      </c>
      <c r="N116" s="3" t="e">
        <f t="shared" si="4"/>
        <v>#N/A</v>
      </c>
      <c r="O116" s="3" t="e">
        <f t="shared" si="5"/>
        <v>#N/A</v>
      </c>
    </row>
    <row r="117" spans="1:15" ht="14.25" customHeight="1">
      <c r="A117" s="2" t="s">
        <v>18</v>
      </c>
      <c r="B117" s="2">
        <v>1965</v>
      </c>
      <c r="C117" s="2" t="s">
        <v>30</v>
      </c>
      <c r="D117" s="2">
        <v>26</v>
      </c>
      <c r="E117" s="2">
        <v>173</v>
      </c>
      <c r="J117" s="3">
        <f t="shared" si="0"/>
        <v>1320.8697419223734</v>
      </c>
      <c r="K117" s="3">
        <f t="shared" si="1"/>
        <v>173</v>
      </c>
      <c r="L117" s="3" t="e">
        <f t="shared" si="2"/>
        <v>#N/A</v>
      </c>
      <c r="M117" s="3" t="e">
        <f t="shared" si="3"/>
        <v>#N/A</v>
      </c>
      <c r="N117" s="3" t="e">
        <f t="shared" si="4"/>
        <v>#N/A</v>
      </c>
      <c r="O117" s="3" t="e">
        <f t="shared" si="5"/>
        <v>#N/A</v>
      </c>
    </row>
    <row r="118" spans="1:15" ht="14.25" customHeight="1">
      <c r="A118" s="2" t="s">
        <v>18</v>
      </c>
      <c r="B118" s="2">
        <v>1965</v>
      </c>
      <c r="C118" s="2" t="s">
        <v>36</v>
      </c>
      <c r="D118" s="2">
        <v>50</v>
      </c>
      <c r="E118" s="2">
        <v>260</v>
      </c>
      <c r="J118" s="3">
        <f t="shared" si="0"/>
        <v>2540.1341190814874</v>
      </c>
      <c r="K118" s="3">
        <f t="shared" si="1"/>
        <v>260</v>
      </c>
      <c r="L118" s="3" t="e">
        <f t="shared" si="2"/>
        <v>#N/A</v>
      </c>
      <c r="M118" s="3" t="e">
        <f t="shared" si="3"/>
        <v>#N/A</v>
      </c>
      <c r="N118" s="3" t="e">
        <f t="shared" si="4"/>
        <v>#N/A</v>
      </c>
      <c r="O118" s="3" t="e">
        <f t="shared" si="5"/>
        <v>#N/A</v>
      </c>
    </row>
    <row r="119" spans="1:15" ht="14.25" customHeight="1">
      <c r="A119" s="2" t="s">
        <v>18</v>
      </c>
      <c r="B119" s="2">
        <v>1965</v>
      </c>
      <c r="C119" s="2" t="s">
        <v>16</v>
      </c>
      <c r="D119" s="2">
        <v>10498</v>
      </c>
      <c r="E119" s="2">
        <v>41531</v>
      </c>
      <c r="J119" s="3">
        <f t="shared" si="0"/>
        <v>533326.55964234914</v>
      </c>
      <c r="K119" s="3">
        <f t="shared" si="1"/>
        <v>41531</v>
      </c>
      <c r="L119" s="3" t="e">
        <f t="shared" si="2"/>
        <v>#N/A</v>
      </c>
      <c r="M119" s="3" t="e">
        <f t="shared" si="3"/>
        <v>#N/A</v>
      </c>
      <c r="N119" s="3" t="e">
        <f t="shared" si="4"/>
        <v>#N/A</v>
      </c>
      <c r="O119" s="3" t="e">
        <f t="shared" si="5"/>
        <v>#N/A</v>
      </c>
    </row>
    <row r="120" spans="1:15" ht="14.25" customHeight="1">
      <c r="A120" s="2" t="s">
        <v>18</v>
      </c>
      <c r="B120" s="2">
        <v>1965</v>
      </c>
      <c r="C120" s="2" t="s">
        <v>28</v>
      </c>
      <c r="D120" s="2">
        <v>332</v>
      </c>
      <c r="E120" s="2">
        <v>1202</v>
      </c>
      <c r="J120" s="3">
        <f t="shared" si="0"/>
        <v>16866.490550701077</v>
      </c>
      <c r="K120" s="3">
        <f t="shared" si="1"/>
        <v>1202</v>
      </c>
      <c r="L120" s="3" t="e">
        <f t="shared" si="2"/>
        <v>#N/A</v>
      </c>
      <c r="M120" s="3" t="e">
        <f t="shared" si="3"/>
        <v>#N/A</v>
      </c>
      <c r="N120" s="3" t="e">
        <f t="shared" si="4"/>
        <v>#N/A</v>
      </c>
      <c r="O120" s="3" t="e">
        <f t="shared" si="5"/>
        <v>#N/A</v>
      </c>
    </row>
    <row r="121" spans="1:15" ht="14.25" customHeight="1">
      <c r="A121" s="2" t="s">
        <v>18</v>
      </c>
      <c r="B121" s="2">
        <v>1965</v>
      </c>
      <c r="C121" s="2" t="s">
        <v>37</v>
      </c>
      <c r="D121" s="2">
        <v>10166</v>
      </c>
      <c r="E121" s="2">
        <v>40329</v>
      </c>
      <c r="J121" s="3">
        <f t="shared" si="0"/>
        <v>516460.06909164804</v>
      </c>
      <c r="K121" s="3">
        <f t="shared" si="1"/>
        <v>40329</v>
      </c>
      <c r="L121" s="3" t="e">
        <f t="shared" si="2"/>
        <v>#N/A</v>
      </c>
      <c r="M121" s="3" t="e">
        <f t="shared" si="3"/>
        <v>#N/A</v>
      </c>
      <c r="N121" s="3" t="e">
        <f t="shared" si="4"/>
        <v>#N/A</v>
      </c>
      <c r="O121" s="3" t="e">
        <f t="shared" si="5"/>
        <v>#N/A</v>
      </c>
    </row>
    <row r="122" spans="1:15" ht="14.25" customHeight="1">
      <c r="A122" s="2" t="s">
        <v>18</v>
      </c>
      <c r="B122" s="2">
        <v>1966</v>
      </c>
      <c r="C122" s="2" t="s">
        <v>22</v>
      </c>
      <c r="D122" s="2">
        <v>5484</v>
      </c>
      <c r="E122" s="2">
        <v>21310</v>
      </c>
      <c r="J122" s="3">
        <f t="shared" si="0"/>
        <v>278601.91018085752</v>
      </c>
      <c r="K122" s="3">
        <f t="shared" si="1"/>
        <v>21310</v>
      </c>
      <c r="L122" s="3" t="e">
        <f t="shared" si="2"/>
        <v>#N/A</v>
      </c>
      <c r="M122" s="3" t="e">
        <f t="shared" si="3"/>
        <v>#N/A</v>
      </c>
      <c r="N122" s="3" t="e">
        <f t="shared" si="4"/>
        <v>#N/A</v>
      </c>
      <c r="O122" s="3" t="e">
        <f t="shared" si="5"/>
        <v>#N/A</v>
      </c>
    </row>
    <row r="123" spans="1:15" ht="14.25" customHeight="1">
      <c r="A123" s="2" t="s">
        <v>18</v>
      </c>
      <c r="B123" s="2">
        <v>1966</v>
      </c>
      <c r="C123" s="2" t="s">
        <v>23</v>
      </c>
      <c r="D123" s="2">
        <v>1094</v>
      </c>
      <c r="E123" s="2">
        <v>4801</v>
      </c>
      <c r="J123" s="3">
        <f t="shared" si="0"/>
        <v>55578.134525502945</v>
      </c>
      <c r="K123" s="3">
        <f t="shared" si="1"/>
        <v>4801</v>
      </c>
      <c r="L123" s="3" t="e">
        <f t="shared" si="2"/>
        <v>#N/A</v>
      </c>
      <c r="M123" s="3" t="e">
        <f t="shared" si="3"/>
        <v>#N/A</v>
      </c>
      <c r="N123" s="3" t="e">
        <f t="shared" si="4"/>
        <v>#N/A</v>
      </c>
      <c r="O123" s="3" t="e">
        <f t="shared" si="5"/>
        <v>#N/A</v>
      </c>
    </row>
    <row r="124" spans="1:15" ht="14.25" customHeight="1">
      <c r="A124" s="2" t="s">
        <v>18</v>
      </c>
      <c r="B124" s="2">
        <v>1966</v>
      </c>
      <c r="C124" s="2" t="s">
        <v>25</v>
      </c>
      <c r="D124" s="2">
        <v>669</v>
      </c>
      <c r="E124" s="2">
        <v>5125</v>
      </c>
      <c r="J124" s="3">
        <f t="shared" si="0"/>
        <v>33986.994513310303</v>
      </c>
      <c r="K124" s="3">
        <f t="shared" si="1"/>
        <v>5125</v>
      </c>
      <c r="L124" s="3" t="e">
        <f t="shared" si="2"/>
        <v>#N/A</v>
      </c>
      <c r="M124" s="3" t="e">
        <f t="shared" si="3"/>
        <v>#N/A</v>
      </c>
      <c r="N124" s="3" t="e">
        <f t="shared" si="4"/>
        <v>#N/A</v>
      </c>
      <c r="O124" s="3" t="e">
        <f t="shared" si="5"/>
        <v>#N/A</v>
      </c>
    </row>
    <row r="125" spans="1:15" ht="14.25" customHeight="1">
      <c r="A125" s="2" t="s">
        <v>18</v>
      </c>
      <c r="B125" s="2">
        <v>1966</v>
      </c>
      <c r="C125" s="2" t="s">
        <v>24</v>
      </c>
      <c r="D125" s="2">
        <v>134</v>
      </c>
      <c r="E125" s="2">
        <v>298</v>
      </c>
      <c r="J125" s="3">
        <f t="shared" si="0"/>
        <v>6807.5594391383866</v>
      </c>
      <c r="K125" s="3">
        <f t="shared" si="1"/>
        <v>298</v>
      </c>
      <c r="L125" s="3" t="e">
        <f t="shared" si="2"/>
        <v>#N/A</v>
      </c>
      <c r="M125" s="3" t="e">
        <f t="shared" si="3"/>
        <v>#N/A</v>
      </c>
      <c r="N125" s="3" t="e">
        <f t="shared" si="4"/>
        <v>#N/A</v>
      </c>
      <c r="O125" s="3" t="e">
        <f t="shared" si="5"/>
        <v>#N/A</v>
      </c>
    </row>
    <row r="126" spans="1:15" ht="14.25" customHeight="1">
      <c r="A126" s="2" t="s">
        <v>18</v>
      </c>
      <c r="B126" s="2">
        <v>1966</v>
      </c>
      <c r="C126" s="2" t="s">
        <v>19</v>
      </c>
      <c r="D126" s="2">
        <v>256</v>
      </c>
      <c r="E126" s="2">
        <v>450</v>
      </c>
      <c r="J126" s="3">
        <f t="shared" si="0"/>
        <v>13005.486689697216</v>
      </c>
      <c r="K126" s="3">
        <f t="shared" si="1"/>
        <v>450</v>
      </c>
      <c r="L126" s="3" t="e">
        <f t="shared" si="2"/>
        <v>#N/A</v>
      </c>
      <c r="M126" s="3" t="e">
        <f t="shared" si="3"/>
        <v>#N/A</v>
      </c>
      <c r="N126" s="3" t="e">
        <f t="shared" si="4"/>
        <v>#N/A</v>
      </c>
      <c r="O126" s="3" t="e">
        <f t="shared" si="5"/>
        <v>#N/A</v>
      </c>
    </row>
    <row r="127" spans="1:15" ht="14.25" customHeight="1">
      <c r="A127" s="2" t="s">
        <v>18</v>
      </c>
      <c r="B127" s="2">
        <v>1966</v>
      </c>
      <c r="C127" s="2" t="s">
        <v>21</v>
      </c>
      <c r="D127" s="2">
        <v>166</v>
      </c>
      <c r="E127" s="2">
        <v>109</v>
      </c>
      <c r="J127" s="3">
        <f t="shared" si="0"/>
        <v>8433.2452753505386</v>
      </c>
      <c r="K127" s="3">
        <f t="shared" si="1"/>
        <v>109</v>
      </c>
      <c r="L127" s="3" t="e">
        <f t="shared" si="2"/>
        <v>#N/A</v>
      </c>
      <c r="M127" s="3" t="e">
        <f t="shared" si="3"/>
        <v>#N/A</v>
      </c>
      <c r="N127" s="3" t="e">
        <f t="shared" si="4"/>
        <v>#N/A</v>
      </c>
      <c r="O127" s="3" t="e">
        <f t="shared" si="5"/>
        <v>#N/A</v>
      </c>
    </row>
    <row r="128" spans="1:15" ht="14.25" customHeight="1">
      <c r="A128" s="2" t="s">
        <v>18</v>
      </c>
      <c r="B128" s="2">
        <v>1966</v>
      </c>
      <c r="C128" s="2" t="s">
        <v>34</v>
      </c>
      <c r="D128" s="2">
        <v>8</v>
      </c>
      <c r="E128" s="2">
        <v>379</v>
      </c>
      <c r="J128" s="3">
        <f t="shared" si="0"/>
        <v>406.42145905303801</v>
      </c>
      <c r="K128" s="3">
        <f t="shared" si="1"/>
        <v>379</v>
      </c>
      <c r="L128" s="3" t="e">
        <f t="shared" si="2"/>
        <v>#N/A</v>
      </c>
      <c r="M128" s="3" t="e">
        <f t="shared" si="3"/>
        <v>#N/A</v>
      </c>
      <c r="N128" s="3" t="e">
        <f t="shared" si="4"/>
        <v>#N/A</v>
      </c>
      <c r="O128" s="3" t="e">
        <f t="shared" si="5"/>
        <v>#N/A</v>
      </c>
    </row>
    <row r="129" spans="1:15" ht="14.25" customHeight="1">
      <c r="A129" s="2" t="s">
        <v>18</v>
      </c>
      <c r="B129" s="2">
        <v>1966</v>
      </c>
      <c r="C129" s="2" t="s">
        <v>35</v>
      </c>
      <c r="D129" s="2">
        <v>21</v>
      </c>
      <c r="E129" s="2">
        <v>232</v>
      </c>
      <c r="J129" s="3">
        <f t="shared" si="0"/>
        <v>1066.8563300142246</v>
      </c>
      <c r="K129" s="3">
        <f t="shared" si="1"/>
        <v>232</v>
      </c>
      <c r="L129" s="3" t="e">
        <f t="shared" si="2"/>
        <v>#N/A</v>
      </c>
      <c r="M129" s="3" t="e">
        <f t="shared" si="3"/>
        <v>#N/A</v>
      </c>
      <c r="N129" s="3" t="e">
        <f t="shared" si="4"/>
        <v>#N/A</v>
      </c>
      <c r="O129" s="3" t="e">
        <f t="shared" si="5"/>
        <v>#N/A</v>
      </c>
    </row>
    <row r="130" spans="1:15" ht="14.25" customHeight="1">
      <c r="A130" s="2" t="s">
        <v>18</v>
      </c>
      <c r="B130" s="2">
        <v>1966</v>
      </c>
      <c r="C130" s="2" t="s">
        <v>30</v>
      </c>
      <c r="D130" s="2">
        <v>27</v>
      </c>
      <c r="E130" s="2">
        <v>207</v>
      </c>
      <c r="J130" s="3">
        <f t="shared" si="0"/>
        <v>1371.6724243040032</v>
      </c>
      <c r="K130" s="3">
        <f t="shared" si="1"/>
        <v>207</v>
      </c>
      <c r="L130" s="3" t="e">
        <f t="shared" si="2"/>
        <v>#N/A</v>
      </c>
      <c r="M130" s="3" t="e">
        <f t="shared" si="3"/>
        <v>#N/A</v>
      </c>
      <c r="N130" s="3" t="e">
        <f t="shared" si="4"/>
        <v>#N/A</v>
      </c>
      <c r="O130" s="3" t="e">
        <f t="shared" si="5"/>
        <v>#N/A</v>
      </c>
    </row>
    <row r="131" spans="1:15" ht="14.25" customHeight="1">
      <c r="A131" s="2" t="s">
        <v>18</v>
      </c>
      <c r="B131" s="2">
        <v>1966</v>
      </c>
      <c r="C131" s="2" t="s">
        <v>36</v>
      </c>
      <c r="D131" s="2">
        <v>56</v>
      </c>
      <c r="E131" s="2">
        <v>289</v>
      </c>
      <c r="J131" s="3">
        <f t="shared" si="0"/>
        <v>2844.9502133712658</v>
      </c>
      <c r="K131" s="3">
        <f t="shared" si="1"/>
        <v>289</v>
      </c>
      <c r="L131" s="3" t="e">
        <f t="shared" si="2"/>
        <v>#N/A</v>
      </c>
      <c r="M131" s="3" t="e">
        <f t="shared" si="3"/>
        <v>#N/A</v>
      </c>
      <c r="N131" s="3" t="e">
        <f t="shared" si="4"/>
        <v>#N/A</v>
      </c>
      <c r="O131" s="3" t="e">
        <f t="shared" si="5"/>
        <v>#N/A</v>
      </c>
    </row>
    <row r="132" spans="1:15" ht="14.25" customHeight="1">
      <c r="A132" s="2" t="s">
        <v>18</v>
      </c>
      <c r="B132" s="2">
        <v>1966</v>
      </c>
      <c r="C132" s="2" t="s">
        <v>16</v>
      </c>
      <c r="D132" s="2">
        <v>10339</v>
      </c>
      <c r="E132" s="2">
        <v>40768</v>
      </c>
      <c r="J132" s="3">
        <f t="shared" si="0"/>
        <v>525248.93314366997</v>
      </c>
      <c r="K132" s="3">
        <f t="shared" si="1"/>
        <v>40768</v>
      </c>
      <c r="L132" s="3" t="e">
        <f t="shared" si="2"/>
        <v>#N/A</v>
      </c>
      <c r="M132" s="3" t="e">
        <f t="shared" si="3"/>
        <v>#N/A</v>
      </c>
      <c r="N132" s="3" t="e">
        <f t="shared" si="4"/>
        <v>#N/A</v>
      </c>
      <c r="O132" s="3" t="e">
        <f t="shared" si="5"/>
        <v>#N/A</v>
      </c>
    </row>
    <row r="133" spans="1:15" ht="14.25" customHeight="1">
      <c r="A133" s="2" t="s">
        <v>18</v>
      </c>
      <c r="B133" s="2">
        <v>1966</v>
      </c>
      <c r="C133" s="2" t="s">
        <v>28</v>
      </c>
      <c r="D133" s="2">
        <v>418</v>
      </c>
      <c r="E133" s="2">
        <v>1554</v>
      </c>
      <c r="J133" s="3">
        <f t="shared" si="0"/>
        <v>21235.521235521232</v>
      </c>
      <c r="K133" s="3">
        <f t="shared" si="1"/>
        <v>1554</v>
      </c>
      <c r="L133" s="3" t="e">
        <f t="shared" si="2"/>
        <v>#N/A</v>
      </c>
      <c r="M133" s="3" t="e">
        <f t="shared" si="3"/>
        <v>#N/A</v>
      </c>
      <c r="N133" s="3" t="e">
        <f t="shared" si="4"/>
        <v>#N/A</v>
      </c>
      <c r="O133" s="3" t="e">
        <f t="shared" si="5"/>
        <v>#N/A</v>
      </c>
    </row>
    <row r="134" spans="1:15" ht="14.25" customHeight="1">
      <c r="A134" s="2" t="s">
        <v>18</v>
      </c>
      <c r="B134" s="2">
        <v>1966</v>
      </c>
      <c r="C134" s="2" t="s">
        <v>37</v>
      </c>
      <c r="D134" s="2">
        <v>9921</v>
      </c>
      <c r="E134" s="2">
        <v>39214</v>
      </c>
      <c r="J134" s="3">
        <f t="shared" si="0"/>
        <v>504013.41190814873</v>
      </c>
      <c r="K134" s="3">
        <f t="shared" si="1"/>
        <v>39214</v>
      </c>
      <c r="L134" s="3" t="e">
        <f t="shared" si="2"/>
        <v>#N/A</v>
      </c>
      <c r="M134" s="3" t="e">
        <f t="shared" si="3"/>
        <v>#N/A</v>
      </c>
      <c r="N134" s="3" t="e">
        <f t="shared" si="4"/>
        <v>#N/A</v>
      </c>
      <c r="O134" s="3" t="e">
        <f t="shared" si="5"/>
        <v>#N/A</v>
      </c>
    </row>
    <row r="135" spans="1:15" ht="14.25" customHeight="1">
      <c r="A135" s="2" t="s">
        <v>18</v>
      </c>
      <c r="B135" s="2">
        <v>1967</v>
      </c>
      <c r="C135" s="2" t="s">
        <v>22</v>
      </c>
      <c r="D135" s="2">
        <v>5865</v>
      </c>
      <c r="E135" s="2">
        <v>21241</v>
      </c>
      <c r="J135" s="3">
        <f t="shared" si="0"/>
        <v>297957.73216825846</v>
      </c>
      <c r="K135" s="3">
        <f t="shared" si="1"/>
        <v>21241</v>
      </c>
      <c r="L135" s="3" t="e">
        <f t="shared" si="2"/>
        <v>#N/A</v>
      </c>
      <c r="M135" s="3" t="e">
        <f t="shared" si="3"/>
        <v>#N/A</v>
      </c>
      <c r="N135" s="3" t="e">
        <f t="shared" si="4"/>
        <v>#N/A</v>
      </c>
      <c r="O135" s="3" t="e">
        <f t="shared" si="5"/>
        <v>#N/A</v>
      </c>
    </row>
    <row r="136" spans="1:15" ht="14.25" customHeight="1">
      <c r="A136" s="2" t="s">
        <v>18</v>
      </c>
      <c r="B136" s="2">
        <v>1967</v>
      </c>
      <c r="C136" s="2" t="s">
        <v>23</v>
      </c>
      <c r="D136" s="2">
        <v>918</v>
      </c>
      <c r="E136" s="2">
        <v>4361</v>
      </c>
      <c r="J136" s="3">
        <f t="shared" si="0"/>
        <v>46636.862426336105</v>
      </c>
      <c r="K136" s="3">
        <f t="shared" si="1"/>
        <v>4361</v>
      </c>
      <c r="L136" s="3" t="e">
        <f t="shared" si="2"/>
        <v>#N/A</v>
      </c>
      <c r="M136" s="3" t="e">
        <f t="shared" si="3"/>
        <v>#N/A</v>
      </c>
      <c r="N136" s="3" t="e">
        <f t="shared" si="4"/>
        <v>#N/A</v>
      </c>
      <c r="O136" s="3" t="e">
        <f t="shared" si="5"/>
        <v>#N/A</v>
      </c>
    </row>
    <row r="137" spans="1:15" ht="14.25" customHeight="1">
      <c r="A137" s="2" t="s">
        <v>18</v>
      </c>
      <c r="B137" s="2">
        <v>1967</v>
      </c>
      <c r="C137" s="2" t="s">
        <v>25</v>
      </c>
      <c r="D137" s="2">
        <v>747</v>
      </c>
      <c r="E137" s="2">
        <v>4853</v>
      </c>
      <c r="J137" s="3">
        <f t="shared" si="0"/>
        <v>37949.603739077422</v>
      </c>
      <c r="K137" s="3">
        <f t="shared" si="1"/>
        <v>4853</v>
      </c>
      <c r="L137" s="3" t="e">
        <f t="shared" si="2"/>
        <v>#N/A</v>
      </c>
      <c r="M137" s="3" t="e">
        <f t="shared" si="3"/>
        <v>#N/A</v>
      </c>
      <c r="N137" s="3" t="e">
        <f t="shared" si="4"/>
        <v>#N/A</v>
      </c>
      <c r="O137" s="3" t="e">
        <f t="shared" si="5"/>
        <v>#N/A</v>
      </c>
    </row>
    <row r="138" spans="1:15" ht="14.25" customHeight="1">
      <c r="A138" s="2" t="s">
        <v>18</v>
      </c>
      <c r="B138" s="2">
        <v>1967</v>
      </c>
      <c r="C138" s="2" t="s">
        <v>24</v>
      </c>
      <c r="D138" s="2">
        <v>132</v>
      </c>
      <c r="E138" s="2">
        <v>325</v>
      </c>
      <c r="J138" s="3">
        <f t="shared" si="0"/>
        <v>6705.9540743751268</v>
      </c>
      <c r="K138" s="3">
        <f t="shared" si="1"/>
        <v>325</v>
      </c>
      <c r="L138" s="3" t="e">
        <f t="shared" si="2"/>
        <v>#N/A</v>
      </c>
      <c r="M138" s="3" t="e">
        <f t="shared" si="3"/>
        <v>#N/A</v>
      </c>
      <c r="N138" s="3" t="e">
        <f t="shared" si="4"/>
        <v>#N/A</v>
      </c>
      <c r="O138" s="3" t="e">
        <f t="shared" si="5"/>
        <v>#N/A</v>
      </c>
    </row>
    <row r="139" spans="1:15" ht="14.25" customHeight="1">
      <c r="A139" s="2" t="s">
        <v>18</v>
      </c>
      <c r="B139" s="2">
        <v>1967</v>
      </c>
      <c r="C139" s="2" t="s">
        <v>19</v>
      </c>
      <c r="D139" s="2">
        <v>247</v>
      </c>
      <c r="E139" s="2">
        <v>456</v>
      </c>
      <c r="J139" s="3">
        <f t="shared" si="0"/>
        <v>12548.262548262548</v>
      </c>
      <c r="K139" s="3">
        <f t="shared" si="1"/>
        <v>456</v>
      </c>
      <c r="L139" s="3" t="e">
        <f t="shared" si="2"/>
        <v>#N/A</v>
      </c>
      <c r="M139" s="3" t="e">
        <f t="shared" si="3"/>
        <v>#N/A</v>
      </c>
      <c r="N139" s="3" t="e">
        <f t="shared" si="4"/>
        <v>#N/A</v>
      </c>
      <c r="O139" s="3" t="e">
        <f t="shared" si="5"/>
        <v>#N/A</v>
      </c>
    </row>
    <row r="140" spans="1:15" ht="14.25" customHeight="1">
      <c r="A140" s="2" t="s">
        <v>18</v>
      </c>
      <c r="B140" s="2">
        <v>1967</v>
      </c>
      <c r="C140" s="2" t="s">
        <v>21</v>
      </c>
      <c r="D140" s="2">
        <v>347</v>
      </c>
      <c r="E140" s="2">
        <v>182</v>
      </c>
      <c r="J140" s="3">
        <f t="shared" si="0"/>
        <v>17628.530786425523</v>
      </c>
      <c r="K140" s="3">
        <f t="shared" si="1"/>
        <v>182</v>
      </c>
      <c r="L140" s="3" t="e">
        <f t="shared" si="2"/>
        <v>#N/A</v>
      </c>
      <c r="M140" s="3" t="e">
        <f t="shared" si="3"/>
        <v>#N/A</v>
      </c>
      <c r="N140" s="3" t="e">
        <f t="shared" si="4"/>
        <v>#N/A</v>
      </c>
      <c r="O140" s="3" t="e">
        <f t="shared" si="5"/>
        <v>#N/A</v>
      </c>
    </row>
    <row r="141" spans="1:15" ht="14.25" customHeight="1">
      <c r="A141" s="2" t="s">
        <v>18</v>
      </c>
      <c r="B141" s="2">
        <v>1967</v>
      </c>
      <c r="C141" s="2" t="s">
        <v>34</v>
      </c>
      <c r="D141" s="2">
        <v>8</v>
      </c>
      <c r="E141" s="2">
        <v>356</v>
      </c>
      <c r="J141" s="3">
        <f t="shared" si="0"/>
        <v>406.42145905303801</v>
      </c>
      <c r="K141" s="3">
        <f t="shared" si="1"/>
        <v>356</v>
      </c>
      <c r="L141" s="3" t="e">
        <f t="shared" si="2"/>
        <v>#N/A</v>
      </c>
      <c r="M141" s="3" t="e">
        <f t="shared" si="3"/>
        <v>#N/A</v>
      </c>
      <c r="N141" s="3" t="e">
        <f t="shared" si="4"/>
        <v>#N/A</v>
      </c>
      <c r="O141" s="3" t="e">
        <f t="shared" si="5"/>
        <v>#N/A</v>
      </c>
    </row>
    <row r="142" spans="1:15" ht="14.25" customHeight="1">
      <c r="A142" s="2" t="s">
        <v>18</v>
      </c>
      <c r="B142" s="2">
        <v>1967</v>
      </c>
      <c r="C142" s="2" t="s">
        <v>35</v>
      </c>
      <c r="D142" s="2">
        <v>15</v>
      </c>
      <c r="E142" s="2">
        <v>178</v>
      </c>
      <c r="J142" s="3">
        <f t="shared" si="0"/>
        <v>762.04023572444623</v>
      </c>
      <c r="K142" s="3">
        <f t="shared" si="1"/>
        <v>178</v>
      </c>
      <c r="L142" s="3" t="e">
        <f t="shared" si="2"/>
        <v>#N/A</v>
      </c>
      <c r="M142" s="3" t="e">
        <f t="shared" si="3"/>
        <v>#N/A</v>
      </c>
      <c r="N142" s="3" t="e">
        <f t="shared" si="4"/>
        <v>#N/A</v>
      </c>
      <c r="O142" s="3" t="e">
        <f t="shared" si="5"/>
        <v>#N/A</v>
      </c>
    </row>
    <row r="143" spans="1:15" ht="14.25" customHeight="1">
      <c r="A143" s="2" t="s">
        <v>18</v>
      </c>
      <c r="B143" s="2">
        <v>1967</v>
      </c>
      <c r="C143" s="2" t="s">
        <v>30</v>
      </c>
      <c r="D143" s="2">
        <v>28</v>
      </c>
      <c r="E143" s="2">
        <v>218</v>
      </c>
      <c r="J143" s="3">
        <f t="shared" si="0"/>
        <v>1422.4751066856329</v>
      </c>
      <c r="K143" s="3">
        <f t="shared" si="1"/>
        <v>218</v>
      </c>
      <c r="L143" s="3" t="e">
        <f t="shared" si="2"/>
        <v>#N/A</v>
      </c>
      <c r="M143" s="3" t="e">
        <f t="shared" si="3"/>
        <v>#N/A</v>
      </c>
      <c r="N143" s="3" t="e">
        <f t="shared" si="4"/>
        <v>#N/A</v>
      </c>
      <c r="O143" s="3" t="e">
        <f t="shared" si="5"/>
        <v>#N/A</v>
      </c>
    </row>
    <row r="144" spans="1:15" ht="14.25" customHeight="1">
      <c r="A144" s="2" t="s">
        <v>18</v>
      </c>
      <c r="B144" s="2">
        <v>1967</v>
      </c>
      <c r="C144" s="2" t="s">
        <v>36</v>
      </c>
      <c r="D144" s="2">
        <v>55</v>
      </c>
      <c r="E144" s="2">
        <v>306</v>
      </c>
      <c r="J144" s="3">
        <f t="shared" si="0"/>
        <v>2794.1475309896359</v>
      </c>
      <c r="K144" s="3">
        <f t="shared" si="1"/>
        <v>306</v>
      </c>
      <c r="L144" s="3" t="e">
        <f t="shared" si="2"/>
        <v>#N/A</v>
      </c>
      <c r="M144" s="3" t="e">
        <f t="shared" si="3"/>
        <v>#N/A</v>
      </c>
      <c r="N144" s="3" t="e">
        <f t="shared" si="4"/>
        <v>#N/A</v>
      </c>
      <c r="O144" s="3" t="e">
        <f t="shared" si="5"/>
        <v>#N/A</v>
      </c>
    </row>
    <row r="145" spans="1:15" ht="14.25" customHeight="1">
      <c r="A145" s="2" t="s">
        <v>18</v>
      </c>
      <c r="B145" s="2">
        <v>1967</v>
      </c>
      <c r="C145" s="2" t="s">
        <v>16</v>
      </c>
      <c r="D145" s="2">
        <v>10834</v>
      </c>
      <c r="E145" s="2">
        <v>39820</v>
      </c>
      <c r="J145" s="3">
        <f t="shared" si="0"/>
        <v>550396.26092257665</v>
      </c>
      <c r="K145" s="3">
        <f t="shared" si="1"/>
        <v>39820</v>
      </c>
      <c r="L145" s="3" t="e">
        <f t="shared" si="2"/>
        <v>#N/A</v>
      </c>
      <c r="M145" s="3" t="e">
        <f t="shared" si="3"/>
        <v>#N/A</v>
      </c>
      <c r="N145" s="3" t="e">
        <f t="shared" si="4"/>
        <v>#N/A</v>
      </c>
      <c r="O145" s="3" t="e">
        <f t="shared" si="5"/>
        <v>#N/A</v>
      </c>
    </row>
    <row r="146" spans="1:15" ht="14.25" customHeight="1">
      <c r="A146" s="2" t="s">
        <v>18</v>
      </c>
      <c r="B146" s="2">
        <v>1967</v>
      </c>
      <c r="C146" s="2" t="s">
        <v>28</v>
      </c>
      <c r="D146" s="2">
        <v>553</v>
      </c>
      <c r="E146" s="2">
        <v>1634</v>
      </c>
      <c r="J146" s="3">
        <f t="shared" si="0"/>
        <v>28093.88335704125</v>
      </c>
      <c r="K146" s="3">
        <f t="shared" si="1"/>
        <v>1634</v>
      </c>
      <c r="L146" s="3" t="e">
        <f t="shared" si="2"/>
        <v>#N/A</v>
      </c>
      <c r="M146" s="3" t="e">
        <f t="shared" si="3"/>
        <v>#N/A</v>
      </c>
      <c r="N146" s="3" t="e">
        <f t="shared" si="4"/>
        <v>#N/A</v>
      </c>
      <c r="O146" s="3" t="e">
        <f t="shared" si="5"/>
        <v>#N/A</v>
      </c>
    </row>
    <row r="147" spans="1:15" ht="14.25" customHeight="1">
      <c r="A147" s="2" t="s">
        <v>18</v>
      </c>
      <c r="B147" s="2">
        <v>1967</v>
      </c>
      <c r="C147" s="2" t="s">
        <v>37</v>
      </c>
      <c r="D147" s="2">
        <v>10281</v>
      </c>
      <c r="E147" s="2">
        <v>38186</v>
      </c>
      <c r="J147" s="3">
        <f t="shared" si="0"/>
        <v>522302.37756553537</v>
      </c>
      <c r="K147" s="3">
        <f t="shared" si="1"/>
        <v>38186</v>
      </c>
      <c r="L147" s="3" t="e">
        <f t="shared" si="2"/>
        <v>#N/A</v>
      </c>
      <c r="M147" s="3" t="e">
        <f t="shared" si="3"/>
        <v>#N/A</v>
      </c>
      <c r="N147" s="3" t="e">
        <f t="shared" si="4"/>
        <v>#N/A</v>
      </c>
      <c r="O147" s="3" t="e">
        <f t="shared" si="5"/>
        <v>#N/A</v>
      </c>
    </row>
    <row r="148" spans="1:15" ht="14.25" customHeight="1">
      <c r="A148" s="2" t="s">
        <v>18</v>
      </c>
      <c r="B148" s="2">
        <v>1968</v>
      </c>
      <c r="C148" s="2" t="s">
        <v>22</v>
      </c>
      <c r="D148" s="2">
        <v>6180</v>
      </c>
      <c r="E148" s="2">
        <v>21163</v>
      </c>
      <c r="J148" s="3">
        <f t="shared" si="0"/>
        <v>313960.57711847185</v>
      </c>
      <c r="K148" s="3">
        <f t="shared" si="1"/>
        <v>21163</v>
      </c>
      <c r="L148" s="3" t="e">
        <f t="shared" si="2"/>
        <v>#N/A</v>
      </c>
      <c r="M148" s="3" t="e">
        <f t="shared" si="3"/>
        <v>#N/A</v>
      </c>
      <c r="N148" s="3" t="e">
        <f t="shared" si="4"/>
        <v>#N/A</v>
      </c>
      <c r="O148" s="3" t="e">
        <f t="shared" si="5"/>
        <v>#N/A</v>
      </c>
    </row>
    <row r="149" spans="1:15" ht="14.25" customHeight="1">
      <c r="A149" s="2" t="s">
        <v>18</v>
      </c>
      <c r="B149" s="2">
        <v>1968</v>
      </c>
      <c r="C149" s="2" t="s">
        <v>23</v>
      </c>
      <c r="D149" s="2">
        <v>1085</v>
      </c>
      <c r="E149" s="2">
        <v>4748</v>
      </c>
      <c r="J149" s="3">
        <f t="shared" si="0"/>
        <v>55120.910384068273</v>
      </c>
      <c r="K149" s="3">
        <f t="shared" si="1"/>
        <v>4748</v>
      </c>
      <c r="L149" s="3" t="e">
        <f t="shared" si="2"/>
        <v>#N/A</v>
      </c>
      <c r="M149" s="3" t="e">
        <f t="shared" si="3"/>
        <v>#N/A</v>
      </c>
      <c r="N149" s="3" t="e">
        <f t="shared" si="4"/>
        <v>#N/A</v>
      </c>
      <c r="O149" s="3" t="e">
        <f t="shared" si="5"/>
        <v>#N/A</v>
      </c>
    </row>
    <row r="150" spans="1:15" ht="14.25" customHeight="1">
      <c r="A150" s="2" t="s">
        <v>18</v>
      </c>
      <c r="B150" s="2">
        <v>1968</v>
      </c>
      <c r="C150" s="2" t="s">
        <v>25</v>
      </c>
      <c r="D150" s="2">
        <v>701</v>
      </c>
      <c r="E150" s="2">
        <v>4813</v>
      </c>
      <c r="J150" s="3">
        <f t="shared" si="0"/>
        <v>35612.680349522459</v>
      </c>
      <c r="K150" s="3">
        <f t="shared" si="1"/>
        <v>4813</v>
      </c>
      <c r="L150" s="3" t="e">
        <f t="shared" si="2"/>
        <v>#N/A</v>
      </c>
      <c r="M150" s="3" t="e">
        <f t="shared" si="3"/>
        <v>#N/A</v>
      </c>
      <c r="N150" s="3" t="e">
        <f t="shared" si="4"/>
        <v>#N/A</v>
      </c>
      <c r="O150" s="3" t="e">
        <f t="shared" si="5"/>
        <v>#N/A</v>
      </c>
    </row>
    <row r="151" spans="1:15" ht="14.25" customHeight="1">
      <c r="A151" s="2" t="s">
        <v>18</v>
      </c>
      <c r="B151" s="2">
        <v>1968</v>
      </c>
      <c r="C151" s="2" t="s">
        <v>24</v>
      </c>
      <c r="D151" s="2">
        <v>120</v>
      </c>
      <c r="E151" s="2">
        <v>315</v>
      </c>
      <c r="J151" s="3">
        <f t="shared" si="0"/>
        <v>6096.3218857955699</v>
      </c>
      <c r="K151" s="3">
        <f t="shared" si="1"/>
        <v>315</v>
      </c>
      <c r="L151" s="3" t="e">
        <f t="shared" si="2"/>
        <v>#N/A</v>
      </c>
      <c r="M151" s="3" t="e">
        <f t="shared" si="3"/>
        <v>#N/A</v>
      </c>
      <c r="N151" s="3" t="e">
        <f t="shared" si="4"/>
        <v>#N/A</v>
      </c>
      <c r="O151" s="3" t="e">
        <f t="shared" si="5"/>
        <v>#N/A</v>
      </c>
    </row>
    <row r="152" spans="1:15" ht="14.25" customHeight="1">
      <c r="A152" s="2" t="s">
        <v>18</v>
      </c>
      <c r="B152" s="2">
        <v>1968</v>
      </c>
      <c r="C152" s="2" t="s">
        <v>19</v>
      </c>
      <c r="D152" s="2">
        <v>193</v>
      </c>
      <c r="E152" s="2">
        <v>391</v>
      </c>
      <c r="J152" s="3">
        <f t="shared" si="0"/>
        <v>9804.9176996545411</v>
      </c>
      <c r="K152" s="3">
        <f t="shared" si="1"/>
        <v>391</v>
      </c>
      <c r="L152" s="3" t="e">
        <f t="shared" si="2"/>
        <v>#N/A</v>
      </c>
      <c r="M152" s="3" t="e">
        <f t="shared" si="3"/>
        <v>#N/A</v>
      </c>
      <c r="N152" s="3" t="e">
        <f t="shared" si="4"/>
        <v>#N/A</v>
      </c>
      <c r="O152" s="3" t="e">
        <f t="shared" si="5"/>
        <v>#N/A</v>
      </c>
    </row>
    <row r="153" spans="1:15" ht="14.25" customHeight="1">
      <c r="A153" s="2" t="s">
        <v>18</v>
      </c>
      <c r="B153" s="2">
        <v>1968</v>
      </c>
      <c r="C153" s="2" t="s">
        <v>21</v>
      </c>
      <c r="D153" s="2">
        <v>219</v>
      </c>
      <c r="E153" s="2">
        <v>121</v>
      </c>
      <c r="J153" s="3">
        <f t="shared" si="0"/>
        <v>11125.787441576915</v>
      </c>
      <c r="K153" s="3">
        <f t="shared" si="1"/>
        <v>121</v>
      </c>
      <c r="L153" s="3" t="e">
        <f t="shared" si="2"/>
        <v>#N/A</v>
      </c>
      <c r="M153" s="3" t="e">
        <f t="shared" si="3"/>
        <v>#N/A</v>
      </c>
      <c r="N153" s="3" t="e">
        <f t="shared" si="4"/>
        <v>#N/A</v>
      </c>
      <c r="O153" s="3" t="e">
        <f t="shared" si="5"/>
        <v>#N/A</v>
      </c>
    </row>
    <row r="154" spans="1:15" ht="14.25" customHeight="1">
      <c r="A154" s="2" t="s">
        <v>18</v>
      </c>
      <c r="B154" s="2">
        <v>1968</v>
      </c>
      <c r="C154" s="2" t="s">
        <v>34</v>
      </c>
      <c r="D154" s="2">
        <v>8</v>
      </c>
      <c r="E154" s="2">
        <v>383</v>
      </c>
      <c r="J154" s="3">
        <f t="shared" si="0"/>
        <v>406.42145905303801</v>
      </c>
      <c r="K154" s="3">
        <f t="shared" si="1"/>
        <v>383</v>
      </c>
      <c r="L154" s="3" t="e">
        <f t="shared" si="2"/>
        <v>#N/A</v>
      </c>
      <c r="M154" s="3" t="e">
        <f t="shared" si="3"/>
        <v>#N/A</v>
      </c>
      <c r="N154" s="3" t="e">
        <f t="shared" si="4"/>
        <v>#N/A</v>
      </c>
      <c r="O154" s="3" t="e">
        <f t="shared" si="5"/>
        <v>#N/A</v>
      </c>
    </row>
    <row r="155" spans="1:15" ht="14.25" customHeight="1">
      <c r="A155" s="2" t="s">
        <v>18</v>
      </c>
      <c r="B155" s="2">
        <v>1968</v>
      </c>
      <c r="C155" s="2" t="s">
        <v>35</v>
      </c>
      <c r="D155" s="2">
        <v>19</v>
      </c>
      <c r="E155" s="2">
        <v>286</v>
      </c>
      <c r="J155" s="3">
        <f t="shared" si="0"/>
        <v>965.25096525096524</v>
      </c>
      <c r="K155" s="3">
        <f t="shared" si="1"/>
        <v>286</v>
      </c>
      <c r="L155" s="3" t="e">
        <f t="shared" si="2"/>
        <v>#N/A</v>
      </c>
      <c r="M155" s="3" t="e">
        <f t="shared" si="3"/>
        <v>#N/A</v>
      </c>
      <c r="N155" s="3" t="e">
        <f t="shared" si="4"/>
        <v>#N/A</v>
      </c>
      <c r="O155" s="3" t="e">
        <f t="shared" si="5"/>
        <v>#N/A</v>
      </c>
    </row>
    <row r="156" spans="1:15" ht="14.25" customHeight="1">
      <c r="A156" s="2" t="s">
        <v>18</v>
      </c>
      <c r="B156" s="2">
        <v>1968</v>
      </c>
      <c r="C156" s="2" t="s">
        <v>30</v>
      </c>
      <c r="D156" s="2">
        <v>26</v>
      </c>
      <c r="E156" s="2">
        <v>214</v>
      </c>
      <c r="J156" s="3">
        <f t="shared" si="0"/>
        <v>1320.8697419223734</v>
      </c>
      <c r="K156" s="3">
        <f t="shared" si="1"/>
        <v>214</v>
      </c>
      <c r="L156" s="3" t="e">
        <f t="shared" si="2"/>
        <v>#N/A</v>
      </c>
      <c r="M156" s="3" t="e">
        <f t="shared" si="3"/>
        <v>#N/A</v>
      </c>
      <c r="N156" s="3" t="e">
        <f t="shared" si="4"/>
        <v>#N/A</v>
      </c>
      <c r="O156" s="3" t="e">
        <f t="shared" si="5"/>
        <v>#N/A</v>
      </c>
    </row>
    <row r="157" spans="1:15" ht="14.25" customHeight="1">
      <c r="A157" s="2" t="s">
        <v>18</v>
      </c>
      <c r="B157" s="2">
        <v>1968</v>
      </c>
      <c r="C157" s="2" t="s">
        <v>36</v>
      </c>
      <c r="D157" s="2">
        <v>54</v>
      </c>
      <c r="E157" s="2">
        <v>319</v>
      </c>
      <c r="J157" s="3">
        <f t="shared" si="0"/>
        <v>2743.3448486080065</v>
      </c>
      <c r="K157" s="3">
        <f t="shared" si="1"/>
        <v>319</v>
      </c>
      <c r="L157" s="3" t="e">
        <f t="shared" si="2"/>
        <v>#N/A</v>
      </c>
      <c r="M157" s="3" t="e">
        <f t="shared" si="3"/>
        <v>#N/A</v>
      </c>
      <c r="N157" s="3" t="e">
        <f t="shared" si="4"/>
        <v>#N/A</v>
      </c>
      <c r="O157" s="3" t="e">
        <f t="shared" si="5"/>
        <v>#N/A</v>
      </c>
    </row>
    <row r="158" spans="1:15" ht="14.25" customHeight="1">
      <c r="A158" s="2" t="s">
        <v>18</v>
      </c>
      <c r="B158" s="2">
        <v>1968</v>
      </c>
      <c r="C158" s="2" t="s">
        <v>16</v>
      </c>
      <c r="D158" s="2">
        <v>10911</v>
      </c>
      <c r="E158" s="2">
        <v>39960</v>
      </c>
      <c r="J158" s="3">
        <f t="shared" si="0"/>
        <v>554308.06746596214</v>
      </c>
      <c r="K158" s="3">
        <f t="shared" si="1"/>
        <v>39960</v>
      </c>
      <c r="L158" s="3" t="e">
        <f t="shared" si="2"/>
        <v>#N/A</v>
      </c>
      <c r="M158" s="3" t="e">
        <f t="shared" si="3"/>
        <v>#N/A</v>
      </c>
      <c r="N158" s="3" t="e">
        <f t="shared" si="4"/>
        <v>#N/A</v>
      </c>
      <c r="O158" s="3" t="e">
        <f t="shared" si="5"/>
        <v>#N/A</v>
      </c>
    </row>
    <row r="159" spans="1:15" ht="14.25" customHeight="1">
      <c r="A159" s="2" t="s">
        <v>18</v>
      </c>
      <c r="B159" s="2">
        <v>1968</v>
      </c>
      <c r="C159" s="2" t="s">
        <v>28</v>
      </c>
      <c r="D159" s="2">
        <v>499</v>
      </c>
      <c r="E159" s="2">
        <v>1817</v>
      </c>
      <c r="J159" s="3">
        <f t="shared" si="0"/>
        <v>25350.538508433241</v>
      </c>
      <c r="K159" s="3">
        <f t="shared" si="1"/>
        <v>1817</v>
      </c>
      <c r="L159" s="3" t="e">
        <f t="shared" si="2"/>
        <v>#N/A</v>
      </c>
      <c r="M159" s="3" t="e">
        <f t="shared" si="3"/>
        <v>#N/A</v>
      </c>
      <c r="N159" s="3" t="e">
        <f t="shared" si="4"/>
        <v>#N/A</v>
      </c>
      <c r="O159" s="3" t="e">
        <f t="shared" si="5"/>
        <v>#N/A</v>
      </c>
    </row>
    <row r="160" spans="1:15" ht="14.25" customHeight="1">
      <c r="A160" s="2" t="s">
        <v>18</v>
      </c>
      <c r="B160" s="2">
        <v>1968</v>
      </c>
      <c r="C160" s="2" t="s">
        <v>37</v>
      </c>
      <c r="D160" s="2">
        <v>10412</v>
      </c>
      <c r="E160" s="2">
        <v>38143</v>
      </c>
      <c r="J160" s="3">
        <f t="shared" si="0"/>
        <v>528957.52895752888</v>
      </c>
      <c r="K160" s="3">
        <f t="shared" si="1"/>
        <v>38143</v>
      </c>
      <c r="L160" s="3" t="e">
        <f t="shared" si="2"/>
        <v>#N/A</v>
      </c>
      <c r="M160" s="3" t="e">
        <f t="shared" si="3"/>
        <v>#N/A</v>
      </c>
      <c r="N160" s="3" t="e">
        <f t="shared" si="4"/>
        <v>#N/A</v>
      </c>
      <c r="O160" s="3" t="e">
        <f t="shared" si="5"/>
        <v>#N/A</v>
      </c>
    </row>
    <row r="161" spans="1:15" ht="14.25" customHeight="1">
      <c r="A161" s="2" t="s">
        <v>18</v>
      </c>
      <c r="B161" s="2">
        <v>1969</v>
      </c>
      <c r="C161" s="2" t="s">
        <v>22</v>
      </c>
      <c r="D161" s="2">
        <v>6468</v>
      </c>
      <c r="E161" s="2">
        <v>23720</v>
      </c>
      <c r="J161" s="3">
        <f t="shared" si="0"/>
        <v>328591.74964438117</v>
      </c>
      <c r="K161" s="3">
        <f t="shared" si="1"/>
        <v>23720</v>
      </c>
      <c r="L161" s="3" t="e">
        <f t="shared" si="2"/>
        <v>#N/A</v>
      </c>
      <c r="M161" s="3" t="e">
        <f t="shared" si="3"/>
        <v>#N/A</v>
      </c>
      <c r="N161" s="3" t="e">
        <f t="shared" si="4"/>
        <v>#N/A</v>
      </c>
      <c r="O161" s="3" t="e">
        <f t="shared" si="5"/>
        <v>#N/A</v>
      </c>
    </row>
    <row r="162" spans="1:15" ht="14.25" customHeight="1">
      <c r="A162" s="2" t="s">
        <v>18</v>
      </c>
      <c r="B162" s="2">
        <v>1969</v>
      </c>
      <c r="C162" s="2" t="s">
        <v>23</v>
      </c>
      <c r="D162" s="2">
        <v>1066</v>
      </c>
      <c r="E162" s="2">
        <v>5066</v>
      </c>
      <c r="J162" s="3">
        <f t="shared" si="0"/>
        <v>54155.659418817311</v>
      </c>
      <c r="K162" s="3">
        <f t="shared" si="1"/>
        <v>5066</v>
      </c>
      <c r="L162" s="3" t="e">
        <f t="shared" si="2"/>
        <v>#N/A</v>
      </c>
      <c r="M162" s="3" t="e">
        <f t="shared" si="3"/>
        <v>#N/A</v>
      </c>
      <c r="N162" s="3" t="e">
        <f t="shared" si="4"/>
        <v>#N/A</v>
      </c>
      <c r="O162" s="3" t="e">
        <f t="shared" si="5"/>
        <v>#N/A</v>
      </c>
    </row>
    <row r="163" spans="1:15" ht="14.25" customHeight="1">
      <c r="A163" s="2" t="s">
        <v>18</v>
      </c>
      <c r="B163" s="2">
        <v>1969</v>
      </c>
      <c r="C163" s="2" t="s">
        <v>25</v>
      </c>
      <c r="D163" s="2">
        <v>704</v>
      </c>
      <c r="E163" s="2">
        <v>4699</v>
      </c>
      <c r="J163" s="3">
        <f t="shared" si="0"/>
        <v>35765.088396667343</v>
      </c>
      <c r="K163" s="3">
        <f t="shared" si="1"/>
        <v>4699</v>
      </c>
      <c r="L163" s="3" t="e">
        <f t="shared" si="2"/>
        <v>#N/A</v>
      </c>
      <c r="M163" s="3" t="e">
        <f t="shared" si="3"/>
        <v>#N/A</v>
      </c>
      <c r="N163" s="3" t="e">
        <f t="shared" si="4"/>
        <v>#N/A</v>
      </c>
      <c r="O163" s="3" t="e">
        <f t="shared" si="5"/>
        <v>#N/A</v>
      </c>
    </row>
    <row r="164" spans="1:15" ht="14.25" customHeight="1">
      <c r="A164" s="2" t="s">
        <v>18</v>
      </c>
      <c r="B164" s="2">
        <v>1969</v>
      </c>
      <c r="C164" s="2" t="s">
        <v>24</v>
      </c>
      <c r="D164" s="2">
        <v>92</v>
      </c>
      <c r="E164" s="2">
        <v>260</v>
      </c>
      <c r="J164" s="3">
        <f t="shared" si="0"/>
        <v>4673.8467791099365</v>
      </c>
      <c r="K164" s="3">
        <f t="shared" si="1"/>
        <v>260</v>
      </c>
      <c r="L164" s="3" t="e">
        <f t="shared" si="2"/>
        <v>#N/A</v>
      </c>
      <c r="M164" s="3" t="e">
        <f t="shared" si="3"/>
        <v>#N/A</v>
      </c>
      <c r="N164" s="3" t="e">
        <f t="shared" si="4"/>
        <v>#N/A</v>
      </c>
      <c r="O164" s="3" t="e">
        <f t="shared" si="5"/>
        <v>#N/A</v>
      </c>
    </row>
    <row r="165" spans="1:15" ht="14.25" customHeight="1">
      <c r="A165" s="2" t="s">
        <v>18</v>
      </c>
      <c r="B165" s="2">
        <v>1969</v>
      </c>
      <c r="C165" s="2" t="s">
        <v>19</v>
      </c>
      <c r="D165" s="2">
        <v>216</v>
      </c>
      <c r="E165" s="2">
        <v>346</v>
      </c>
      <c r="J165" s="3">
        <f t="shared" si="0"/>
        <v>10973.379394432026</v>
      </c>
      <c r="K165" s="3">
        <f t="shared" si="1"/>
        <v>346</v>
      </c>
      <c r="L165" s="3" t="e">
        <f t="shared" si="2"/>
        <v>#N/A</v>
      </c>
      <c r="M165" s="3" t="e">
        <f t="shared" si="3"/>
        <v>#N/A</v>
      </c>
      <c r="N165" s="3" t="e">
        <f t="shared" si="4"/>
        <v>#N/A</v>
      </c>
      <c r="O165" s="3" t="e">
        <f t="shared" si="5"/>
        <v>#N/A</v>
      </c>
    </row>
    <row r="166" spans="1:15" ht="14.25" customHeight="1">
      <c r="A166" s="2" t="s">
        <v>18</v>
      </c>
      <c r="B166" s="2">
        <v>1969</v>
      </c>
      <c r="C166" s="2" t="s">
        <v>21</v>
      </c>
      <c r="D166" s="2">
        <v>197</v>
      </c>
      <c r="E166" s="2">
        <v>123</v>
      </c>
      <c r="J166" s="3">
        <f t="shared" si="0"/>
        <v>10008.128429181059</v>
      </c>
      <c r="K166" s="3">
        <f t="shared" si="1"/>
        <v>123</v>
      </c>
      <c r="L166" s="3" t="e">
        <f t="shared" si="2"/>
        <v>#N/A</v>
      </c>
      <c r="M166" s="3" t="e">
        <f t="shared" si="3"/>
        <v>#N/A</v>
      </c>
      <c r="N166" s="3" t="e">
        <f t="shared" si="4"/>
        <v>#N/A</v>
      </c>
      <c r="O166" s="3" t="e">
        <f t="shared" si="5"/>
        <v>#N/A</v>
      </c>
    </row>
    <row r="167" spans="1:15" ht="14.25" customHeight="1">
      <c r="A167" s="2" t="s">
        <v>18</v>
      </c>
      <c r="B167" s="2">
        <v>1969</v>
      </c>
      <c r="C167" s="2" t="s">
        <v>34</v>
      </c>
      <c r="D167" s="2">
        <v>7</v>
      </c>
      <c r="E167" s="2">
        <v>447</v>
      </c>
      <c r="J167" s="3">
        <f t="shared" si="0"/>
        <v>355.61877667140823</v>
      </c>
      <c r="K167" s="3">
        <f t="shared" si="1"/>
        <v>447</v>
      </c>
      <c r="L167" s="3" t="e">
        <f t="shared" si="2"/>
        <v>#N/A</v>
      </c>
      <c r="M167" s="3" t="e">
        <f t="shared" si="3"/>
        <v>#N/A</v>
      </c>
      <c r="N167" s="3" t="e">
        <f t="shared" si="4"/>
        <v>#N/A</v>
      </c>
      <c r="O167" s="3" t="e">
        <f t="shared" si="5"/>
        <v>#N/A</v>
      </c>
    </row>
    <row r="168" spans="1:15" ht="14.25" customHeight="1">
      <c r="A168" s="2" t="s">
        <v>18</v>
      </c>
      <c r="B168" s="2">
        <v>1969</v>
      </c>
      <c r="C168" s="2" t="s">
        <v>35</v>
      </c>
      <c r="D168" s="2">
        <v>17</v>
      </c>
      <c r="E168" s="2">
        <v>267</v>
      </c>
      <c r="J168" s="3">
        <f t="shared" si="0"/>
        <v>863.64560048770568</v>
      </c>
      <c r="K168" s="3">
        <f t="shared" si="1"/>
        <v>267</v>
      </c>
      <c r="L168" s="3" t="e">
        <f t="shared" si="2"/>
        <v>#N/A</v>
      </c>
      <c r="M168" s="3" t="e">
        <f t="shared" si="3"/>
        <v>#N/A</v>
      </c>
      <c r="N168" s="3" t="e">
        <f t="shared" si="4"/>
        <v>#N/A</v>
      </c>
      <c r="O168" s="3" t="e">
        <f t="shared" si="5"/>
        <v>#N/A</v>
      </c>
    </row>
    <row r="169" spans="1:15" ht="14.25" customHeight="1">
      <c r="A169" s="2" t="s">
        <v>18</v>
      </c>
      <c r="B169" s="2">
        <v>1969</v>
      </c>
      <c r="C169" s="2" t="s">
        <v>30</v>
      </c>
      <c r="D169" s="2">
        <v>25</v>
      </c>
      <c r="E169" s="2">
        <v>194</v>
      </c>
      <c r="J169" s="3">
        <f t="shared" si="0"/>
        <v>1270.0670595407437</v>
      </c>
      <c r="K169" s="3">
        <f t="shared" si="1"/>
        <v>194</v>
      </c>
      <c r="L169" s="3" t="e">
        <f t="shared" si="2"/>
        <v>#N/A</v>
      </c>
      <c r="M169" s="3" t="e">
        <f t="shared" si="3"/>
        <v>#N/A</v>
      </c>
      <c r="N169" s="3" t="e">
        <f t="shared" si="4"/>
        <v>#N/A</v>
      </c>
      <c r="O169" s="3" t="e">
        <f t="shared" si="5"/>
        <v>#N/A</v>
      </c>
    </row>
    <row r="170" spans="1:15" ht="14.25" customHeight="1">
      <c r="A170" s="2" t="s">
        <v>18</v>
      </c>
      <c r="B170" s="2">
        <v>1969</v>
      </c>
      <c r="C170" s="2" t="s">
        <v>36</v>
      </c>
      <c r="D170" s="2">
        <v>82</v>
      </c>
      <c r="E170" s="2">
        <v>446</v>
      </c>
      <c r="J170" s="3">
        <f t="shared" si="0"/>
        <v>4165.8199552936394</v>
      </c>
      <c r="K170" s="3">
        <f t="shared" si="1"/>
        <v>446</v>
      </c>
      <c r="L170" s="3" t="e">
        <f t="shared" si="2"/>
        <v>#N/A</v>
      </c>
      <c r="M170" s="3" t="e">
        <f t="shared" si="3"/>
        <v>#N/A</v>
      </c>
      <c r="N170" s="3" t="e">
        <f t="shared" si="4"/>
        <v>#N/A</v>
      </c>
      <c r="O170" s="3" t="e">
        <f t="shared" si="5"/>
        <v>#N/A</v>
      </c>
    </row>
    <row r="171" spans="1:15" ht="14.25" customHeight="1">
      <c r="A171" s="2" t="s">
        <v>18</v>
      </c>
      <c r="B171" s="2">
        <v>1969</v>
      </c>
      <c r="C171" s="2" t="s">
        <v>16</v>
      </c>
      <c r="D171" s="2">
        <v>11215</v>
      </c>
      <c r="E171" s="2">
        <v>42849</v>
      </c>
      <c r="J171" s="3">
        <f t="shared" si="0"/>
        <v>569752.08290997765</v>
      </c>
      <c r="K171" s="3">
        <f t="shared" si="1"/>
        <v>42849</v>
      </c>
      <c r="L171" s="3" t="e">
        <f t="shared" si="2"/>
        <v>#N/A</v>
      </c>
      <c r="M171" s="3" t="e">
        <f t="shared" si="3"/>
        <v>#N/A</v>
      </c>
      <c r="N171" s="3" t="e">
        <f t="shared" si="4"/>
        <v>#N/A</v>
      </c>
      <c r="O171" s="3" t="e">
        <f t="shared" si="5"/>
        <v>#N/A</v>
      </c>
    </row>
    <row r="172" spans="1:15" ht="14.25" customHeight="1">
      <c r="A172" s="2" t="s">
        <v>18</v>
      </c>
      <c r="B172" s="2">
        <v>1969</v>
      </c>
      <c r="C172" s="2" t="s">
        <v>28</v>
      </c>
      <c r="D172" s="2">
        <v>566</v>
      </c>
      <c r="E172" s="2">
        <v>2080</v>
      </c>
      <c r="J172" s="3">
        <f t="shared" si="0"/>
        <v>28754.318228002438</v>
      </c>
      <c r="K172" s="3">
        <f t="shared" si="1"/>
        <v>2080</v>
      </c>
      <c r="L172" s="3" t="e">
        <f t="shared" si="2"/>
        <v>#N/A</v>
      </c>
      <c r="M172" s="3" t="e">
        <f t="shared" si="3"/>
        <v>#N/A</v>
      </c>
      <c r="N172" s="3" t="e">
        <f t="shared" si="4"/>
        <v>#N/A</v>
      </c>
      <c r="O172" s="3" t="e">
        <f t="shared" si="5"/>
        <v>#N/A</v>
      </c>
    </row>
    <row r="173" spans="1:15" ht="14.25" customHeight="1">
      <c r="A173" s="2" t="s">
        <v>18</v>
      </c>
      <c r="B173" s="2">
        <v>1969</v>
      </c>
      <c r="C173" s="2" t="s">
        <v>37</v>
      </c>
      <c r="D173" s="2">
        <v>10649</v>
      </c>
      <c r="E173" s="2">
        <v>40769</v>
      </c>
      <c r="J173" s="3">
        <f t="shared" si="0"/>
        <v>540997.76468197512</v>
      </c>
      <c r="K173" s="3">
        <f t="shared" si="1"/>
        <v>40769</v>
      </c>
      <c r="L173" s="3" t="e">
        <f t="shared" si="2"/>
        <v>#N/A</v>
      </c>
      <c r="M173" s="3" t="e">
        <f t="shared" si="3"/>
        <v>#N/A</v>
      </c>
      <c r="N173" s="3" t="e">
        <f t="shared" si="4"/>
        <v>#N/A</v>
      </c>
      <c r="O173" s="3" t="e">
        <f t="shared" si="5"/>
        <v>#N/A</v>
      </c>
    </row>
    <row r="174" spans="1:15" ht="14.25" customHeight="1">
      <c r="A174" s="2" t="s">
        <v>18</v>
      </c>
      <c r="B174" s="2">
        <v>1970</v>
      </c>
      <c r="C174" s="2" t="s">
        <v>22</v>
      </c>
      <c r="D174" s="2">
        <v>5878</v>
      </c>
      <c r="E174" s="2">
        <v>27684</v>
      </c>
      <c r="J174" s="3">
        <f t="shared" si="0"/>
        <v>298618.16703921964</v>
      </c>
      <c r="K174" s="3">
        <f t="shared" si="1"/>
        <v>27684</v>
      </c>
      <c r="L174" s="3" t="e">
        <f t="shared" si="2"/>
        <v>#N/A</v>
      </c>
      <c r="M174" s="3" t="e">
        <f t="shared" si="3"/>
        <v>#N/A</v>
      </c>
      <c r="N174" s="3" t="e">
        <f t="shared" si="4"/>
        <v>#N/A</v>
      </c>
      <c r="O174" s="3" t="e">
        <f t="shared" si="5"/>
        <v>#N/A</v>
      </c>
    </row>
    <row r="175" spans="1:15" ht="14.25" customHeight="1">
      <c r="A175" s="2" t="s">
        <v>18</v>
      </c>
      <c r="B175" s="2">
        <v>1970</v>
      </c>
      <c r="C175" s="2" t="s">
        <v>23</v>
      </c>
      <c r="D175" s="2">
        <v>834</v>
      </c>
      <c r="E175" s="2">
        <v>4660</v>
      </c>
      <c r="J175" s="3">
        <f t="shared" si="0"/>
        <v>42369.437106279205</v>
      </c>
      <c r="K175" s="3">
        <f t="shared" si="1"/>
        <v>4660</v>
      </c>
      <c r="L175" s="3" t="e">
        <f t="shared" si="2"/>
        <v>#N/A</v>
      </c>
      <c r="M175" s="3" t="e">
        <f t="shared" si="3"/>
        <v>#N/A</v>
      </c>
      <c r="N175" s="3" t="e">
        <f t="shared" si="4"/>
        <v>#N/A</v>
      </c>
      <c r="O175" s="3" t="e">
        <f t="shared" si="5"/>
        <v>#N/A</v>
      </c>
    </row>
    <row r="176" spans="1:15" ht="14.25" customHeight="1">
      <c r="A176" s="2" t="s">
        <v>18</v>
      </c>
      <c r="B176" s="2">
        <v>1970</v>
      </c>
      <c r="C176" s="2" t="s">
        <v>25</v>
      </c>
      <c r="D176" s="2">
        <v>761</v>
      </c>
      <c r="E176" s="2">
        <v>5486</v>
      </c>
      <c r="J176" s="3">
        <f t="shared" si="0"/>
        <v>38660.841292420235</v>
      </c>
      <c r="K176" s="3">
        <f t="shared" si="1"/>
        <v>5486</v>
      </c>
      <c r="L176" s="3" t="e">
        <f t="shared" si="2"/>
        <v>#N/A</v>
      </c>
      <c r="M176" s="3" t="e">
        <f t="shared" si="3"/>
        <v>#N/A</v>
      </c>
      <c r="N176" s="3" t="e">
        <f t="shared" si="4"/>
        <v>#N/A</v>
      </c>
      <c r="O176" s="3" t="e">
        <f t="shared" si="5"/>
        <v>#N/A</v>
      </c>
    </row>
    <row r="177" spans="1:15" ht="14.25" customHeight="1">
      <c r="A177" s="2" t="s">
        <v>18</v>
      </c>
      <c r="B177" s="2">
        <v>1970</v>
      </c>
      <c r="C177" s="2" t="s">
        <v>38</v>
      </c>
      <c r="D177" s="2">
        <v>628</v>
      </c>
      <c r="E177" s="2">
        <v>1344</v>
      </c>
      <c r="J177" s="3">
        <f t="shared" si="0"/>
        <v>31904.084535663482</v>
      </c>
      <c r="K177" s="3">
        <f t="shared" si="1"/>
        <v>1344</v>
      </c>
      <c r="L177" s="3" t="e">
        <f t="shared" si="2"/>
        <v>#N/A</v>
      </c>
      <c r="M177" s="3" t="e">
        <f t="shared" si="3"/>
        <v>#N/A</v>
      </c>
      <c r="N177" s="3" t="e">
        <f t="shared" si="4"/>
        <v>#N/A</v>
      </c>
      <c r="O177" s="3" t="e">
        <f t="shared" si="5"/>
        <v>#N/A</v>
      </c>
    </row>
    <row r="178" spans="1:15" ht="14.25" customHeight="1">
      <c r="A178" s="2" t="s">
        <v>18</v>
      </c>
      <c r="B178" s="2">
        <v>1970</v>
      </c>
      <c r="C178" s="2" t="s">
        <v>24</v>
      </c>
      <c r="D178" s="2">
        <v>94</v>
      </c>
      <c r="E178" s="2">
        <v>268</v>
      </c>
      <c r="J178" s="3">
        <f t="shared" si="0"/>
        <v>4775.4521438731963</v>
      </c>
      <c r="K178" s="3">
        <f t="shared" si="1"/>
        <v>268</v>
      </c>
      <c r="L178" s="3" t="e">
        <f t="shared" si="2"/>
        <v>#N/A</v>
      </c>
      <c r="M178" s="3" t="e">
        <f t="shared" si="3"/>
        <v>#N/A</v>
      </c>
      <c r="N178" s="3" t="e">
        <f t="shared" si="4"/>
        <v>#N/A</v>
      </c>
      <c r="O178" s="3" t="e">
        <f t="shared" si="5"/>
        <v>#N/A</v>
      </c>
    </row>
    <row r="179" spans="1:15" ht="14.25" customHeight="1">
      <c r="A179" s="2" t="s">
        <v>18</v>
      </c>
      <c r="B179" s="2">
        <v>1970</v>
      </c>
      <c r="C179" s="2" t="s">
        <v>19</v>
      </c>
      <c r="D179" s="2">
        <v>286</v>
      </c>
      <c r="E179" s="2">
        <v>542</v>
      </c>
      <c r="J179" s="3">
        <f t="shared" si="0"/>
        <v>14529.567161146108</v>
      </c>
      <c r="K179" s="3">
        <f t="shared" si="1"/>
        <v>542</v>
      </c>
      <c r="L179" s="3" t="e">
        <f t="shared" si="2"/>
        <v>#N/A</v>
      </c>
      <c r="M179" s="3" t="e">
        <f t="shared" si="3"/>
        <v>#N/A</v>
      </c>
      <c r="N179" s="3" t="e">
        <f t="shared" si="4"/>
        <v>#N/A</v>
      </c>
      <c r="O179" s="3" t="e">
        <f t="shared" si="5"/>
        <v>#N/A</v>
      </c>
    </row>
    <row r="180" spans="1:15" ht="14.25" customHeight="1">
      <c r="A180" s="2" t="s">
        <v>18</v>
      </c>
      <c r="B180" s="2">
        <v>1970</v>
      </c>
      <c r="C180" s="2" t="s">
        <v>21</v>
      </c>
      <c r="D180" s="2">
        <v>350</v>
      </c>
      <c r="E180" s="2">
        <v>251</v>
      </c>
      <c r="J180" s="3">
        <f t="shared" si="0"/>
        <v>17780.93883357041</v>
      </c>
      <c r="K180" s="3">
        <f t="shared" si="1"/>
        <v>251</v>
      </c>
      <c r="L180" s="3" t="e">
        <f t="shared" si="2"/>
        <v>#N/A</v>
      </c>
      <c r="M180" s="3" t="e">
        <f t="shared" si="3"/>
        <v>#N/A</v>
      </c>
      <c r="N180" s="3" t="e">
        <f t="shared" si="4"/>
        <v>#N/A</v>
      </c>
      <c r="O180" s="3" t="e">
        <f t="shared" si="5"/>
        <v>#N/A</v>
      </c>
    </row>
    <row r="181" spans="1:15" ht="14.25" customHeight="1">
      <c r="A181" s="2" t="s">
        <v>18</v>
      </c>
      <c r="B181" s="2">
        <v>1970</v>
      </c>
      <c r="C181" s="2" t="s">
        <v>34</v>
      </c>
      <c r="D181" s="2">
        <v>10</v>
      </c>
      <c r="E181" s="2">
        <v>609</v>
      </c>
      <c r="J181" s="3">
        <f t="shared" si="0"/>
        <v>508.02682381629751</v>
      </c>
      <c r="K181" s="3">
        <f t="shared" si="1"/>
        <v>609</v>
      </c>
      <c r="L181" s="3" t="e">
        <f t="shared" si="2"/>
        <v>#N/A</v>
      </c>
      <c r="M181" s="3" t="e">
        <f t="shared" si="3"/>
        <v>#N/A</v>
      </c>
      <c r="N181" s="3" t="e">
        <f t="shared" si="4"/>
        <v>#N/A</v>
      </c>
      <c r="O181" s="3" t="e">
        <f t="shared" si="5"/>
        <v>#N/A</v>
      </c>
    </row>
    <row r="182" spans="1:15" ht="14.25" customHeight="1">
      <c r="A182" s="2" t="s">
        <v>18</v>
      </c>
      <c r="B182" s="2">
        <v>1970</v>
      </c>
      <c r="C182" s="2" t="s">
        <v>35</v>
      </c>
      <c r="D182" s="2">
        <v>12</v>
      </c>
      <c r="E182" s="2">
        <v>195</v>
      </c>
      <c r="J182" s="3">
        <f t="shared" si="0"/>
        <v>609.6321885795569</v>
      </c>
      <c r="K182" s="3">
        <f t="shared" si="1"/>
        <v>195</v>
      </c>
      <c r="L182" s="3" t="e">
        <f t="shared" si="2"/>
        <v>#N/A</v>
      </c>
      <c r="M182" s="3" t="e">
        <f t="shared" si="3"/>
        <v>#N/A</v>
      </c>
      <c r="N182" s="3" t="e">
        <f t="shared" si="4"/>
        <v>#N/A</v>
      </c>
      <c r="O182" s="3" t="e">
        <f t="shared" si="5"/>
        <v>#N/A</v>
      </c>
    </row>
    <row r="183" spans="1:15" ht="14.25" customHeight="1">
      <c r="A183" s="2" t="s">
        <v>18</v>
      </c>
      <c r="B183" s="2">
        <v>1970</v>
      </c>
      <c r="C183" s="2" t="s">
        <v>30</v>
      </c>
      <c r="D183" s="2">
        <v>25</v>
      </c>
      <c r="E183" s="2">
        <v>202</v>
      </c>
      <c r="J183" s="3">
        <f t="shared" si="0"/>
        <v>1270.0670595407437</v>
      </c>
      <c r="K183" s="3">
        <f t="shared" si="1"/>
        <v>202</v>
      </c>
      <c r="L183" s="3" t="e">
        <f t="shared" si="2"/>
        <v>#N/A</v>
      </c>
      <c r="M183" s="3" t="e">
        <f t="shared" si="3"/>
        <v>#N/A</v>
      </c>
      <c r="N183" s="3" t="e">
        <f t="shared" si="4"/>
        <v>#N/A</v>
      </c>
      <c r="O183" s="3" t="e">
        <f t="shared" si="5"/>
        <v>#N/A</v>
      </c>
    </row>
    <row r="184" spans="1:15" ht="14.25" customHeight="1">
      <c r="A184" s="2" t="s">
        <v>18</v>
      </c>
      <c r="B184" s="2">
        <v>1970</v>
      </c>
      <c r="C184" s="2" t="s">
        <v>36</v>
      </c>
      <c r="D184" s="2">
        <v>73</v>
      </c>
      <c r="E184" s="2">
        <v>433</v>
      </c>
      <c r="J184" s="3">
        <f t="shared" si="0"/>
        <v>3708.5958138589717</v>
      </c>
      <c r="K184" s="3">
        <f t="shared" si="1"/>
        <v>433</v>
      </c>
      <c r="L184" s="3" t="e">
        <f t="shared" si="2"/>
        <v>#N/A</v>
      </c>
      <c r="M184" s="3" t="e">
        <f t="shared" si="3"/>
        <v>#N/A</v>
      </c>
      <c r="N184" s="3" t="e">
        <f t="shared" si="4"/>
        <v>#N/A</v>
      </c>
      <c r="O184" s="3" t="e">
        <f t="shared" si="5"/>
        <v>#N/A</v>
      </c>
    </row>
    <row r="185" spans="1:15" ht="14.25" customHeight="1">
      <c r="A185" s="2" t="s">
        <v>18</v>
      </c>
      <c r="B185" s="2">
        <v>1970</v>
      </c>
      <c r="C185" s="2" t="s">
        <v>16</v>
      </c>
      <c r="D185" s="2">
        <v>10704</v>
      </c>
      <c r="E185" s="2">
        <v>48245</v>
      </c>
      <c r="J185" s="3">
        <f t="shared" si="0"/>
        <v>543791.91221296485</v>
      </c>
      <c r="K185" s="3">
        <f t="shared" si="1"/>
        <v>48245</v>
      </c>
      <c r="L185" s="3" t="e">
        <f t="shared" si="2"/>
        <v>#N/A</v>
      </c>
      <c r="M185" s="3" t="e">
        <f t="shared" si="3"/>
        <v>#N/A</v>
      </c>
      <c r="N185" s="3" t="e">
        <f t="shared" si="4"/>
        <v>#N/A</v>
      </c>
      <c r="O185" s="3" t="e">
        <f t="shared" si="5"/>
        <v>#N/A</v>
      </c>
    </row>
    <row r="186" spans="1:15" ht="14.25" customHeight="1">
      <c r="A186" s="2" t="s">
        <v>18</v>
      </c>
      <c r="B186" s="2">
        <v>1970</v>
      </c>
      <c r="C186" s="2" t="s">
        <v>28</v>
      </c>
      <c r="D186" s="2">
        <v>598</v>
      </c>
      <c r="E186" s="2">
        <v>2326</v>
      </c>
      <c r="J186" s="3">
        <f t="shared" si="0"/>
        <v>30380.00406421459</v>
      </c>
      <c r="K186" s="3">
        <f t="shared" si="1"/>
        <v>2326</v>
      </c>
      <c r="L186" s="3" t="e">
        <f t="shared" si="2"/>
        <v>#N/A</v>
      </c>
      <c r="M186" s="3" t="e">
        <f t="shared" si="3"/>
        <v>#N/A</v>
      </c>
      <c r="N186" s="3" t="e">
        <f t="shared" si="4"/>
        <v>#N/A</v>
      </c>
      <c r="O186" s="3" t="e">
        <f t="shared" si="5"/>
        <v>#N/A</v>
      </c>
    </row>
    <row r="187" spans="1:15" ht="14.25" customHeight="1">
      <c r="A187" s="2" t="s">
        <v>18</v>
      </c>
      <c r="B187" s="2">
        <v>1970</v>
      </c>
      <c r="C187" s="2" t="s">
        <v>37</v>
      </c>
      <c r="D187" s="2">
        <v>10106</v>
      </c>
      <c r="E187" s="2">
        <v>45919</v>
      </c>
      <c r="J187" s="3">
        <f t="shared" si="0"/>
        <v>513411.9081487502</v>
      </c>
      <c r="K187" s="3">
        <f t="shared" si="1"/>
        <v>45919</v>
      </c>
      <c r="L187" s="3" t="e">
        <f t="shared" si="2"/>
        <v>#N/A</v>
      </c>
      <c r="M187" s="3" t="e">
        <f t="shared" si="3"/>
        <v>#N/A</v>
      </c>
      <c r="N187" s="3" t="e">
        <f t="shared" si="4"/>
        <v>#N/A</v>
      </c>
      <c r="O187" s="3" t="e">
        <f t="shared" si="5"/>
        <v>#N/A</v>
      </c>
    </row>
    <row r="188" spans="1:15" ht="14.25" customHeight="1">
      <c r="A188" s="2" t="s">
        <v>18</v>
      </c>
      <c r="B188" s="2">
        <v>1971</v>
      </c>
      <c r="C188" s="2" t="s">
        <v>22</v>
      </c>
      <c r="D188" s="2">
        <v>5061</v>
      </c>
      <c r="E188" s="2">
        <v>33560</v>
      </c>
      <c r="J188" s="3">
        <f t="shared" si="0"/>
        <v>257112.37553342819</v>
      </c>
      <c r="K188" s="3">
        <f t="shared" si="1"/>
        <v>33560</v>
      </c>
      <c r="L188" s="3" t="e">
        <f t="shared" si="2"/>
        <v>#N/A</v>
      </c>
      <c r="M188" s="3" t="e">
        <f t="shared" si="3"/>
        <v>#N/A</v>
      </c>
      <c r="N188" s="3" t="e">
        <f t="shared" si="4"/>
        <v>#N/A</v>
      </c>
      <c r="O188" s="3" t="e">
        <f t="shared" si="5"/>
        <v>#N/A</v>
      </c>
    </row>
    <row r="189" spans="1:15" ht="14.25" customHeight="1">
      <c r="A189" s="2" t="s">
        <v>18</v>
      </c>
      <c r="B189" s="2">
        <v>1971</v>
      </c>
      <c r="C189" s="2" t="s">
        <v>23</v>
      </c>
      <c r="D189" s="2">
        <v>739</v>
      </c>
      <c r="E189" s="2">
        <v>4741</v>
      </c>
      <c r="J189" s="3">
        <f t="shared" si="0"/>
        <v>37543.182280024383</v>
      </c>
      <c r="K189" s="3">
        <f t="shared" si="1"/>
        <v>4741</v>
      </c>
      <c r="L189" s="3" t="e">
        <f t="shared" si="2"/>
        <v>#N/A</v>
      </c>
      <c r="M189" s="3" t="e">
        <f t="shared" si="3"/>
        <v>#N/A</v>
      </c>
      <c r="N189" s="3" t="e">
        <f t="shared" si="4"/>
        <v>#N/A</v>
      </c>
      <c r="O189" s="3" t="e">
        <f t="shared" si="5"/>
        <v>#N/A</v>
      </c>
    </row>
    <row r="190" spans="1:15" ht="14.25" customHeight="1">
      <c r="A190" s="2" t="s">
        <v>18</v>
      </c>
      <c r="B190" s="2">
        <v>1971</v>
      </c>
      <c r="C190" s="2" t="s">
        <v>25</v>
      </c>
      <c r="D190" s="2">
        <v>776</v>
      </c>
      <c r="E190" s="2">
        <v>6304</v>
      </c>
      <c r="J190" s="3">
        <f t="shared" si="0"/>
        <v>39422.881528144688</v>
      </c>
      <c r="K190" s="3">
        <f t="shared" si="1"/>
        <v>6304</v>
      </c>
      <c r="L190" s="3" t="e">
        <f t="shared" si="2"/>
        <v>#N/A</v>
      </c>
      <c r="M190" s="3" t="e">
        <f t="shared" si="3"/>
        <v>#N/A</v>
      </c>
      <c r="N190" s="3" t="e">
        <f t="shared" si="4"/>
        <v>#N/A</v>
      </c>
      <c r="O190" s="3" t="e">
        <f t="shared" si="5"/>
        <v>#N/A</v>
      </c>
    </row>
    <row r="191" spans="1:15" ht="14.25" customHeight="1">
      <c r="A191" s="2" t="s">
        <v>18</v>
      </c>
      <c r="B191" s="2">
        <v>1971</v>
      </c>
      <c r="C191" s="2" t="s">
        <v>38</v>
      </c>
      <c r="D191" s="2">
        <v>718</v>
      </c>
      <c r="E191" s="2">
        <v>2103</v>
      </c>
      <c r="J191" s="3">
        <f t="shared" si="0"/>
        <v>36476.325950010156</v>
      </c>
      <c r="K191" s="3">
        <f t="shared" si="1"/>
        <v>2103</v>
      </c>
      <c r="L191" s="3" t="e">
        <f t="shared" si="2"/>
        <v>#N/A</v>
      </c>
      <c r="M191" s="3" t="e">
        <f t="shared" si="3"/>
        <v>#N/A</v>
      </c>
      <c r="N191" s="3" t="e">
        <f t="shared" si="4"/>
        <v>#N/A</v>
      </c>
      <c r="O191" s="3" t="e">
        <f t="shared" si="5"/>
        <v>#N/A</v>
      </c>
    </row>
    <row r="192" spans="1:15" ht="14.25" customHeight="1">
      <c r="A192" s="2" t="s">
        <v>18</v>
      </c>
      <c r="B192" s="2">
        <v>1971</v>
      </c>
      <c r="C192" s="2" t="s">
        <v>24</v>
      </c>
      <c r="D192" s="2">
        <v>102</v>
      </c>
      <c r="E192" s="2">
        <v>358</v>
      </c>
      <c r="J192" s="3">
        <f t="shared" si="0"/>
        <v>5181.8736029262345</v>
      </c>
      <c r="K192" s="3">
        <f t="shared" si="1"/>
        <v>358</v>
      </c>
      <c r="L192" s="3" t="e">
        <f t="shared" si="2"/>
        <v>#N/A</v>
      </c>
      <c r="M192" s="3" t="e">
        <f t="shared" si="3"/>
        <v>#N/A</v>
      </c>
      <c r="N192" s="3" t="e">
        <f t="shared" si="4"/>
        <v>#N/A</v>
      </c>
      <c r="O192" s="3" t="e">
        <f t="shared" si="5"/>
        <v>#N/A</v>
      </c>
    </row>
    <row r="193" spans="1:15" ht="14.25" customHeight="1">
      <c r="A193" s="2" t="s">
        <v>18</v>
      </c>
      <c r="B193" s="2">
        <v>1971</v>
      </c>
      <c r="C193" s="2" t="s">
        <v>19</v>
      </c>
      <c r="D193" s="2">
        <v>195</v>
      </c>
      <c r="E193" s="2">
        <v>420</v>
      </c>
      <c r="J193" s="3">
        <f t="shared" si="0"/>
        <v>9906.5230644178009</v>
      </c>
      <c r="K193" s="3">
        <f t="shared" si="1"/>
        <v>420</v>
      </c>
      <c r="L193" s="3" t="e">
        <f t="shared" si="2"/>
        <v>#N/A</v>
      </c>
      <c r="M193" s="3" t="e">
        <f t="shared" si="3"/>
        <v>#N/A</v>
      </c>
      <c r="N193" s="3" t="e">
        <f t="shared" si="4"/>
        <v>#N/A</v>
      </c>
      <c r="O193" s="3" t="e">
        <f t="shared" si="5"/>
        <v>#N/A</v>
      </c>
    </row>
    <row r="194" spans="1:15" ht="14.25" customHeight="1">
      <c r="A194" s="2" t="s">
        <v>18</v>
      </c>
      <c r="B194" s="2">
        <v>1971</v>
      </c>
      <c r="C194" s="2" t="s">
        <v>21</v>
      </c>
      <c r="D194" s="2">
        <v>550</v>
      </c>
      <c r="E194" s="2">
        <v>377</v>
      </c>
      <c r="J194" s="3">
        <f t="shared" si="0"/>
        <v>27941.475309896363</v>
      </c>
      <c r="K194" s="3">
        <f t="shared" si="1"/>
        <v>377</v>
      </c>
      <c r="L194" s="3" t="e">
        <f t="shared" si="2"/>
        <v>#N/A</v>
      </c>
      <c r="M194" s="3" t="e">
        <f t="shared" si="3"/>
        <v>#N/A</v>
      </c>
      <c r="N194" s="3" t="e">
        <f t="shared" si="4"/>
        <v>#N/A</v>
      </c>
      <c r="O194" s="3" t="e">
        <f t="shared" si="5"/>
        <v>#N/A</v>
      </c>
    </row>
    <row r="195" spans="1:15" ht="14.25" customHeight="1">
      <c r="A195" s="2" t="s">
        <v>18</v>
      </c>
      <c r="B195" s="2">
        <v>1971</v>
      </c>
      <c r="C195" s="2" t="s">
        <v>34</v>
      </c>
      <c r="D195" s="2">
        <v>9</v>
      </c>
      <c r="E195" s="2">
        <v>600</v>
      </c>
      <c r="J195" s="3">
        <f t="shared" si="0"/>
        <v>457.22414143466773</v>
      </c>
      <c r="K195" s="3">
        <f t="shared" si="1"/>
        <v>600</v>
      </c>
      <c r="L195" s="3" t="e">
        <f t="shared" si="2"/>
        <v>#N/A</v>
      </c>
      <c r="M195" s="3" t="e">
        <f t="shared" si="3"/>
        <v>#N/A</v>
      </c>
      <c r="N195" s="3" t="e">
        <f t="shared" si="4"/>
        <v>#N/A</v>
      </c>
      <c r="O195" s="3" t="e">
        <f t="shared" si="5"/>
        <v>#N/A</v>
      </c>
    </row>
    <row r="196" spans="1:15" ht="14.25" customHeight="1">
      <c r="A196" s="2" t="s">
        <v>18</v>
      </c>
      <c r="B196" s="2">
        <v>1971</v>
      </c>
      <c r="C196" s="2" t="s">
        <v>35</v>
      </c>
      <c r="D196" s="2">
        <v>21</v>
      </c>
      <c r="E196" s="2">
        <v>286</v>
      </c>
      <c r="J196" s="3">
        <f t="shared" si="0"/>
        <v>1066.8563300142246</v>
      </c>
      <c r="K196" s="3">
        <f t="shared" si="1"/>
        <v>286</v>
      </c>
      <c r="L196" s="3" t="e">
        <f t="shared" si="2"/>
        <v>#N/A</v>
      </c>
      <c r="M196" s="3" t="e">
        <f t="shared" si="3"/>
        <v>#N/A</v>
      </c>
      <c r="N196" s="3" t="e">
        <f t="shared" si="4"/>
        <v>#N/A</v>
      </c>
      <c r="O196" s="3" t="e">
        <f t="shared" si="5"/>
        <v>#N/A</v>
      </c>
    </row>
    <row r="197" spans="1:15" ht="14.25" customHeight="1">
      <c r="A197" s="2" t="s">
        <v>18</v>
      </c>
      <c r="B197" s="2">
        <v>1971</v>
      </c>
      <c r="C197" s="2" t="s">
        <v>30</v>
      </c>
      <c r="D197" s="2">
        <v>23</v>
      </c>
      <c r="E197" s="2">
        <v>217</v>
      </c>
      <c r="J197" s="3">
        <f t="shared" si="0"/>
        <v>1168.4616947774841</v>
      </c>
      <c r="K197" s="3">
        <f t="shared" si="1"/>
        <v>217</v>
      </c>
      <c r="L197" s="3" t="e">
        <f t="shared" si="2"/>
        <v>#N/A</v>
      </c>
      <c r="M197" s="3" t="e">
        <f t="shared" si="3"/>
        <v>#N/A</v>
      </c>
      <c r="N197" s="3" t="e">
        <f t="shared" si="4"/>
        <v>#N/A</v>
      </c>
      <c r="O197" s="3" t="e">
        <f t="shared" si="5"/>
        <v>#N/A</v>
      </c>
    </row>
    <row r="198" spans="1:15" ht="14.25" customHeight="1">
      <c r="A198" s="2" t="s">
        <v>18</v>
      </c>
      <c r="B198" s="2">
        <v>1971</v>
      </c>
      <c r="C198" s="2" t="s">
        <v>36</v>
      </c>
      <c r="D198" s="2">
        <v>81</v>
      </c>
      <c r="E198" s="2">
        <v>544</v>
      </c>
      <c r="J198" s="3">
        <f t="shared" si="0"/>
        <v>4115.0172729120095</v>
      </c>
      <c r="K198" s="3">
        <f t="shared" si="1"/>
        <v>544</v>
      </c>
      <c r="L198" s="3" t="e">
        <f t="shared" si="2"/>
        <v>#N/A</v>
      </c>
      <c r="M198" s="3" t="e">
        <f t="shared" si="3"/>
        <v>#N/A</v>
      </c>
      <c r="N198" s="3" t="e">
        <f t="shared" si="4"/>
        <v>#N/A</v>
      </c>
      <c r="O198" s="3" t="e">
        <f t="shared" si="5"/>
        <v>#N/A</v>
      </c>
    </row>
    <row r="199" spans="1:15" ht="14.25" customHeight="1">
      <c r="A199" s="2" t="s">
        <v>18</v>
      </c>
      <c r="B199" s="2">
        <v>1971</v>
      </c>
      <c r="C199" s="2" t="s">
        <v>16</v>
      </c>
      <c r="D199" s="2">
        <v>10054</v>
      </c>
      <c r="E199" s="2">
        <v>56806</v>
      </c>
      <c r="J199" s="3">
        <f t="shared" si="0"/>
        <v>510770.16866490548</v>
      </c>
      <c r="K199" s="3">
        <f t="shared" si="1"/>
        <v>56806</v>
      </c>
      <c r="L199" s="3" t="e">
        <f t="shared" si="2"/>
        <v>#N/A</v>
      </c>
      <c r="M199" s="3" t="e">
        <f t="shared" si="3"/>
        <v>#N/A</v>
      </c>
      <c r="N199" s="3" t="e">
        <f t="shared" si="4"/>
        <v>#N/A</v>
      </c>
      <c r="O199" s="3" t="e">
        <f t="shared" si="5"/>
        <v>#N/A</v>
      </c>
    </row>
    <row r="200" spans="1:15" ht="14.25" customHeight="1">
      <c r="A200" s="2" t="s">
        <v>18</v>
      </c>
      <c r="B200" s="2">
        <v>1971</v>
      </c>
      <c r="C200" s="2" t="s">
        <v>28</v>
      </c>
      <c r="D200" s="2">
        <v>555</v>
      </c>
      <c r="E200" s="2">
        <v>2579</v>
      </c>
      <c r="J200" s="3">
        <f t="shared" si="0"/>
        <v>28195.488721804508</v>
      </c>
      <c r="K200" s="3">
        <f t="shared" si="1"/>
        <v>2579</v>
      </c>
      <c r="L200" s="3" t="e">
        <f t="shared" si="2"/>
        <v>#N/A</v>
      </c>
      <c r="M200" s="3" t="e">
        <f t="shared" si="3"/>
        <v>#N/A</v>
      </c>
      <c r="N200" s="3" t="e">
        <f t="shared" si="4"/>
        <v>#N/A</v>
      </c>
      <c r="O200" s="3" t="e">
        <f t="shared" si="5"/>
        <v>#N/A</v>
      </c>
    </row>
    <row r="201" spans="1:15" ht="14.25" customHeight="1">
      <c r="A201" s="2" t="s">
        <v>18</v>
      </c>
      <c r="B201" s="2">
        <v>1971</v>
      </c>
      <c r="C201" s="2" t="s">
        <v>37</v>
      </c>
      <c r="D201" s="2">
        <v>9499</v>
      </c>
      <c r="E201" s="2">
        <v>54227</v>
      </c>
      <c r="J201" s="3">
        <f t="shared" si="0"/>
        <v>482574.67994310101</v>
      </c>
      <c r="K201" s="3">
        <f t="shared" si="1"/>
        <v>54227</v>
      </c>
      <c r="L201" s="3" t="e">
        <f t="shared" si="2"/>
        <v>#N/A</v>
      </c>
      <c r="M201" s="3" t="e">
        <f t="shared" si="3"/>
        <v>#N/A</v>
      </c>
      <c r="N201" s="3" t="e">
        <f t="shared" si="4"/>
        <v>#N/A</v>
      </c>
      <c r="O201" s="3" t="e">
        <f t="shared" si="5"/>
        <v>#N/A</v>
      </c>
    </row>
    <row r="202" spans="1:15" ht="14.25" customHeight="1">
      <c r="A202" s="2" t="s">
        <v>18</v>
      </c>
      <c r="B202" s="2">
        <v>1972</v>
      </c>
      <c r="C202" s="2" t="s">
        <v>22</v>
      </c>
      <c r="D202" s="2">
        <v>4711</v>
      </c>
      <c r="E202" s="2">
        <v>37433</v>
      </c>
      <c r="J202" s="3">
        <f t="shared" si="0"/>
        <v>239331.43669985773</v>
      </c>
      <c r="K202" s="3">
        <f t="shared" si="1"/>
        <v>37433</v>
      </c>
      <c r="L202" s="3" t="e">
        <f t="shared" si="2"/>
        <v>#N/A</v>
      </c>
      <c r="M202" s="3" t="e">
        <f t="shared" si="3"/>
        <v>#N/A</v>
      </c>
      <c r="N202" s="3" t="e">
        <f t="shared" si="4"/>
        <v>#N/A</v>
      </c>
      <c r="O202" s="3" t="e">
        <f t="shared" si="5"/>
        <v>#N/A</v>
      </c>
    </row>
    <row r="203" spans="1:15" ht="14.25" customHeight="1">
      <c r="A203" s="2" t="s">
        <v>18</v>
      </c>
      <c r="B203" s="2">
        <v>1972</v>
      </c>
      <c r="C203" s="2" t="s">
        <v>23</v>
      </c>
      <c r="D203" s="2">
        <v>819</v>
      </c>
      <c r="E203" s="2">
        <v>6449</v>
      </c>
      <c r="J203" s="3">
        <f t="shared" si="0"/>
        <v>41607.396870554767</v>
      </c>
      <c r="K203" s="3">
        <f t="shared" si="1"/>
        <v>6449</v>
      </c>
      <c r="L203" s="3" t="e">
        <f t="shared" si="2"/>
        <v>#N/A</v>
      </c>
      <c r="M203" s="3" t="e">
        <f t="shared" si="3"/>
        <v>#N/A</v>
      </c>
      <c r="N203" s="3" t="e">
        <f t="shared" si="4"/>
        <v>#N/A</v>
      </c>
      <c r="O203" s="3" t="e">
        <f t="shared" si="5"/>
        <v>#N/A</v>
      </c>
    </row>
    <row r="204" spans="1:15" ht="14.25" customHeight="1">
      <c r="A204" s="2" t="s">
        <v>18</v>
      </c>
      <c r="B204" s="2">
        <v>1972</v>
      </c>
      <c r="C204" s="2" t="s">
        <v>25</v>
      </c>
      <c r="D204" s="2">
        <v>712</v>
      </c>
      <c r="E204" s="2">
        <v>6804</v>
      </c>
      <c r="J204" s="3">
        <f t="shared" si="0"/>
        <v>36171.509855720382</v>
      </c>
      <c r="K204" s="3">
        <f t="shared" si="1"/>
        <v>6804</v>
      </c>
      <c r="L204" s="3" t="e">
        <f t="shared" si="2"/>
        <v>#N/A</v>
      </c>
      <c r="M204" s="3" t="e">
        <f t="shared" si="3"/>
        <v>#N/A</v>
      </c>
      <c r="N204" s="3" t="e">
        <f t="shared" si="4"/>
        <v>#N/A</v>
      </c>
      <c r="O204" s="3" t="e">
        <f t="shared" si="5"/>
        <v>#N/A</v>
      </c>
    </row>
    <row r="205" spans="1:15" ht="14.25" customHeight="1">
      <c r="A205" s="2" t="s">
        <v>18</v>
      </c>
      <c r="B205" s="2">
        <v>1972</v>
      </c>
      <c r="C205" s="2" t="s">
        <v>38</v>
      </c>
      <c r="D205" s="2">
        <v>530</v>
      </c>
      <c r="E205" s="2">
        <v>1823</v>
      </c>
      <c r="J205" s="3">
        <f t="shared" si="0"/>
        <v>26925.421662263765</v>
      </c>
      <c r="K205" s="3">
        <f t="shared" si="1"/>
        <v>1823</v>
      </c>
      <c r="L205" s="3" t="e">
        <f t="shared" si="2"/>
        <v>#N/A</v>
      </c>
      <c r="M205" s="3" t="e">
        <f t="shared" si="3"/>
        <v>#N/A</v>
      </c>
      <c r="N205" s="3" t="e">
        <f t="shared" si="4"/>
        <v>#N/A</v>
      </c>
      <c r="O205" s="3" t="e">
        <f t="shared" si="5"/>
        <v>#N/A</v>
      </c>
    </row>
    <row r="206" spans="1:15" ht="14.25" customHeight="1">
      <c r="A206" s="2" t="s">
        <v>18</v>
      </c>
      <c r="B206" s="2">
        <v>1972</v>
      </c>
      <c r="C206" s="2" t="s">
        <v>24</v>
      </c>
      <c r="D206" s="2">
        <v>93</v>
      </c>
      <c r="E206" s="2">
        <v>452</v>
      </c>
      <c r="J206" s="3">
        <f t="shared" si="0"/>
        <v>4724.6494614915664</v>
      </c>
      <c r="K206" s="3">
        <f t="shared" si="1"/>
        <v>452</v>
      </c>
      <c r="L206" s="3" t="e">
        <f t="shared" si="2"/>
        <v>#N/A</v>
      </c>
      <c r="M206" s="3" t="e">
        <f t="shared" si="3"/>
        <v>#N/A</v>
      </c>
      <c r="N206" s="3" t="e">
        <f t="shared" si="4"/>
        <v>#N/A</v>
      </c>
      <c r="O206" s="3" t="e">
        <f t="shared" si="5"/>
        <v>#N/A</v>
      </c>
    </row>
    <row r="207" spans="1:15" ht="14.25" customHeight="1">
      <c r="A207" s="2" t="s">
        <v>18</v>
      </c>
      <c r="B207" s="2">
        <v>1972</v>
      </c>
      <c r="C207" s="2" t="s">
        <v>19</v>
      </c>
      <c r="D207" s="2">
        <v>152</v>
      </c>
      <c r="E207" s="2">
        <v>371</v>
      </c>
      <c r="J207" s="3">
        <f t="shared" si="0"/>
        <v>7722.0077220077219</v>
      </c>
      <c r="K207" s="3">
        <f t="shared" si="1"/>
        <v>371</v>
      </c>
      <c r="L207" s="3" t="e">
        <f t="shared" si="2"/>
        <v>#N/A</v>
      </c>
      <c r="M207" s="3" t="e">
        <f t="shared" si="3"/>
        <v>#N/A</v>
      </c>
      <c r="N207" s="3" t="e">
        <f t="shared" si="4"/>
        <v>#N/A</v>
      </c>
      <c r="O207" s="3" t="e">
        <f t="shared" si="5"/>
        <v>#N/A</v>
      </c>
    </row>
    <row r="208" spans="1:15" ht="14.25" customHeight="1">
      <c r="A208" s="2" t="s">
        <v>18</v>
      </c>
      <c r="B208" s="2">
        <v>1972</v>
      </c>
      <c r="C208" s="2" t="s">
        <v>21</v>
      </c>
      <c r="D208" s="2">
        <v>456</v>
      </c>
      <c r="E208" s="2">
        <v>354</v>
      </c>
      <c r="J208" s="3">
        <f t="shared" si="0"/>
        <v>23166.023166023166</v>
      </c>
      <c r="K208" s="3">
        <f t="shared" si="1"/>
        <v>354</v>
      </c>
      <c r="L208" s="3" t="e">
        <f t="shared" si="2"/>
        <v>#N/A</v>
      </c>
      <c r="M208" s="3" t="e">
        <f t="shared" si="3"/>
        <v>#N/A</v>
      </c>
      <c r="N208" s="3" t="e">
        <f t="shared" si="4"/>
        <v>#N/A</v>
      </c>
      <c r="O208" s="3" t="e">
        <f t="shared" si="5"/>
        <v>#N/A</v>
      </c>
    </row>
    <row r="209" spans="1:15" ht="14.25" customHeight="1">
      <c r="A209" s="2" t="s">
        <v>18</v>
      </c>
      <c r="B209" s="2">
        <v>1972</v>
      </c>
      <c r="C209" s="2" t="s">
        <v>34</v>
      </c>
      <c r="D209" s="2">
        <v>8</v>
      </c>
      <c r="E209" s="2">
        <v>639</v>
      </c>
      <c r="J209" s="3">
        <f t="shared" si="0"/>
        <v>406.42145905303801</v>
      </c>
      <c r="K209" s="3">
        <f t="shared" si="1"/>
        <v>639</v>
      </c>
      <c r="L209" s="3" t="e">
        <f t="shared" si="2"/>
        <v>#N/A</v>
      </c>
      <c r="M209" s="3" t="e">
        <f t="shared" si="3"/>
        <v>#N/A</v>
      </c>
      <c r="N209" s="3" t="e">
        <f t="shared" si="4"/>
        <v>#N/A</v>
      </c>
      <c r="O209" s="3" t="e">
        <f t="shared" si="5"/>
        <v>#N/A</v>
      </c>
    </row>
    <row r="210" spans="1:15" ht="14.25" customHeight="1">
      <c r="A210" s="2" t="s">
        <v>18</v>
      </c>
      <c r="B210" s="2">
        <v>1972</v>
      </c>
      <c r="C210" s="2" t="s">
        <v>35</v>
      </c>
      <c r="D210" s="2">
        <v>19</v>
      </c>
      <c r="E210" s="2">
        <v>387</v>
      </c>
      <c r="J210" s="3">
        <f t="shared" si="0"/>
        <v>965.25096525096524</v>
      </c>
      <c r="K210" s="3">
        <f t="shared" si="1"/>
        <v>387</v>
      </c>
      <c r="L210" s="3" t="e">
        <f t="shared" si="2"/>
        <v>#N/A</v>
      </c>
      <c r="M210" s="3" t="e">
        <f t="shared" si="3"/>
        <v>#N/A</v>
      </c>
      <c r="N210" s="3" t="e">
        <f t="shared" si="4"/>
        <v>#N/A</v>
      </c>
      <c r="O210" s="3" t="e">
        <f t="shared" si="5"/>
        <v>#N/A</v>
      </c>
    </row>
    <row r="211" spans="1:15" ht="14.25" customHeight="1">
      <c r="A211" s="2" t="s">
        <v>18</v>
      </c>
      <c r="B211" s="2">
        <v>1972</v>
      </c>
      <c r="C211" s="2" t="s">
        <v>30</v>
      </c>
      <c r="D211" s="2">
        <f>22+1</f>
        <v>23</v>
      </c>
      <c r="E211" s="2">
        <f>207+7</f>
        <v>214</v>
      </c>
      <c r="J211" s="3">
        <f t="shared" si="0"/>
        <v>1168.4616947774841</v>
      </c>
      <c r="K211" s="3">
        <f t="shared" si="1"/>
        <v>214</v>
      </c>
      <c r="L211" s="3" t="e">
        <f t="shared" si="2"/>
        <v>#N/A</v>
      </c>
      <c r="M211" s="3" t="e">
        <f t="shared" si="3"/>
        <v>#N/A</v>
      </c>
      <c r="N211" s="3" t="e">
        <f t="shared" si="4"/>
        <v>#N/A</v>
      </c>
      <c r="O211" s="3" t="e">
        <f t="shared" si="5"/>
        <v>#N/A</v>
      </c>
    </row>
    <row r="212" spans="1:15" ht="14.25" customHeight="1">
      <c r="A212" s="2" t="s">
        <v>18</v>
      </c>
      <c r="B212" s="2">
        <v>1972</v>
      </c>
      <c r="C212" s="2" t="s">
        <v>36</v>
      </c>
      <c r="D212" s="2">
        <v>89</v>
      </c>
      <c r="E212" s="2">
        <v>601</v>
      </c>
      <c r="J212" s="3">
        <f t="shared" si="0"/>
        <v>4521.4387319650477</v>
      </c>
      <c r="K212" s="3">
        <f t="shared" si="1"/>
        <v>601</v>
      </c>
      <c r="L212" s="3" t="e">
        <f t="shared" si="2"/>
        <v>#N/A</v>
      </c>
      <c r="M212" s="3" t="e">
        <f t="shared" si="3"/>
        <v>#N/A</v>
      </c>
      <c r="N212" s="3" t="e">
        <f t="shared" si="4"/>
        <v>#N/A</v>
      </c>
      <c r="O212" s="3" t="e">
        <f t="shared" si="5"/>
        <v>#N/A</v>
      </c>
    </row>
    <row r="213" spans="1:15" ht="14.25" customHeight="1">
      <c r="A213" s="2" t="s">
        <v>18</v>
      </c>
      <c r="B213" s="2">
        <v>1972</v>
      </c>
      <c r="C213" s="2" t="s">
        <v>16</v>
      </c>
      <c r="D213" s="2">
        <v>9423</v>
      </c>
      <c r="E213" s="2">
        <v>63856</v>
      </c>
      <c r="J213" s="3">
        <f t="shared" si="0"/>
        <v>478713.67608209711</v>
      </c>
      <c r="K213" s="3">
        <f t="shared" si="1"/>
        <v>63856</v>
      </c>
      <c r="L213" s="3" t="e">
        <f t="shared" si="2"/>
        <v>#N/A</v>
      </c>
      <c r="M213" s="3" t="e">
        <f t="shared" si="3"/>
        <v>#N/A</v>
      </c>
      <c r="N213" s="3" t="e">
        <f t="shared" si="4"/>
        <v>#N/A</v>
      </c>
      <c r="O213" s="3" t="e">
        <f t="shared" si="5"/>
        <v>#N/A</v>
      </c>
    </row>
    <row r="214" spans="1:15" ht="14.25" customHeight="1">
      <c r="A214" s="2" t="s">
        <v>18</v>
      </c>
      <c r="B214" s="2">
        <v>1972</v>
      </c>
      <c r="C214" s="2" t="s">
        <v>28</v>
      </c>
      <c r="D214" s="2">
        <v>627</v>
      </c>
      <c r="E214" s="2">
        <v>2947</v>
      </c>
      <c r="J214" s="3">
        <f t="shared" si="0"/>
        <v>31853.281853281853</v>
      </c>
      <c r="K214" s="3">
        <f t="shared" si="1"/>
        <v>2947</v>
      </c>
      <c r="L214" s="3" t="e">
        <f t="shared" si="2"/>
        <v>#N/A</v>
      </c>
      <c r="M214" s="3" t="e">
        <f t="shared" si="3"/>
        <v>#N/A</v>
      </c>
      <c r="N214" s="3" t="e">
        <f t="shared" si="4"/>
        <v>#N/A</v>
      </c>
      <c r="O214" s="3" t="e">
        <f t="shared" si="5"/>
        <v>#N/A</v>
      </c>
    </row>
    <row r="215" spans="1:15" ht="14.25" customHeight="1">
      <c r="A215" s="2" t="s">
        <v>18</v>
      </c>
      <c r="B215" s="2">
        <v>1972</v>
      </c>
      <c r="C215" s="2" t="s">
        <v>37</v>
      </c>
      <c r="D215" s="2">
        <v>8796</v>
      </c>
      <c r="E215" s="2">
        <v>60909</v>
      </c>
      <c r="J215" s="3">
        <f t="shared" si="0"/>
        <v>446860.39422881528</v>
      </c>
      <c r="K215" s="3">
        <f t="shared" si="1"/>
        <v>60909</v>
      </c>
      <c r="L215" s="3" t="e">
        <f t="shared" si="2"/>
        <v>#N/A</v>
      </c>
      <c r="M215" s="3" t="e">
        <f t="shared" si="3"/>
        <v>#N/A</v>
      </c>
      <c r="N215" s="3" t="e">
        <f t="shared" si="4"/>
        <v>#N/A</v>
      </c>
      <c r="O215" s="3" t="e">
        <f t="shared" si="5"/>
        <v>#N/A</v>
      </c>
    </row>
    <row r="216" spans="1:15" ht="14.25" customHeight="1">
      <c r="A216" s="2" t="s">
        <v>39</v>
      </c>
      <c r="B216" s="2">
        <v>1965</v>
      </c>
      <c r="C216" s="2" t="s">
        <v>22</v>
      </c>
      <c r="D216" s="2">
        <v>929</v>
      </c>
      <c r="E216" s="2">
        <v>3914</v>
      </c>
      <c r="J216" s="3">
        <f t="shared" si="0"/>
        <v>47195.691932534035</v>
      </c>
      <c r="K216" s="3">
        <f t="shared" si="1"/>
        <v>3914</v>
      </c>
      <c r="L216" s="3" t="e">
        <f t="shared" si="2"/>
        <v>#N/A</v>
      </c>
      <c r="M216" s="3" t="e">
        <f t="shared" si="3"/>
        <v>#N/A</v>
      </c>
      <c r="N216" s="3" t="e">
        <f t="shared" si="4"/>
        <v>#N/A</v>
      </c>
      <c r="O216" s="3" t="e">
        <f t="shared" si="5"/>
        <v>#N/A</v>
      </c>
    </row>
    <row r="217" spans="1:15" ht="14.25" customHeight="1">
      <c r="A217" s="2" t="s">
        <v>39</v>
      </c>
      <c r="B217" s="2">
        <v>1965</v>
      </c>
      <c r="C217" s="2" t="s">
        <v>23</v>
      </c>
      <c r="D217" s="2">
        <v>2097</v>
      </c>
      <c r="E217" s="2">
        <v>5451</v>
      </c>
      <c r="J217" s="3">
        <f t="shared" si="0"/>
        <v>106533.22495427758</v>
      </c>
      <c r="K217" s="3">
        <f t="shared" si="1"/>
        <v>5451</v>
      </c>
      <c r="L217" s="3" t="e">
        <f t="shared" si="2"/>
        <v>#N/A</v>
      </c>
      <c r="M217" s="3" t="e">
        <f t="shared" si="3"/>
        <v>#N/A</v>
      </c>
      <c r="N217" s="3" t="e">
        <f t="shared" si="4"/>
        <v>#N/A</v>
      </c>
      <c r="O217" s="3" t="e">
        <f t="shared" si="5"/>
        <v>#N/A</v>
      </c>
    </row>
    <row r="218" spans="1:15" ht="14.25" customHeight="1">
      <c r="A218" s="2" t="s">
        <v>39</v>
      </c>
      <c r="B218" s="2">
        <v>1965</v>
      </c>
      <c r="C218" s="2" t="s">
        <v>25</v>
      </c>
      <c r="D218" s="2">
        <v>121</v>
      </c>
      <c r="E218" s="2">
        <v>763</v>
      </c>
      <c r="J218" s="3">
        <f t="shared" si="0"/>
        <v>6147.1245681771998</v>
      </c>
      <c r="K218" s="3">
        <f t="shared" si="1"/>
        <v>763</v>
      </c>
      <c r="L218" s="3" t="e">
        <f t="shared" si="2"/>
        <v>#N/A</v>
      </c>
      <c r="M218" s="3" t="e">
        <f t="shared" si="3"/>
        <v>#N/A</v>
      </c>
      <c r="N218" s="3" t="e">
        <f t="shared" si="4"/>
        <v>#N/A</v>
      </c>
      <c r="O218" s="3" t="e">
        <f t="shared" si="5"/>
        <v>#N/A</v>
      </c>
    </row>
    <row r="219" spans="1:15" ht="14.25" customHeight="1">
      <c r="A219" s="2" t="s">
        <v>39</v>
      </c>
      <c r="B219" s="2">
        <v>1965</v>
      </c>
      <c r="C219" s="2" t="s">
        <v>24</v>
      </c>
      <c r="D219" s="2">
        <v>794</v>
      </c>
      <c r="E219" s="2">
        <v>1469</v>
      </c>
      <c r="J219" s="3">
        <f t="shared" si="0"/>
        <v>40337.329811014024</v>
      </c>
      <c r="K219" s="3">
        <f t="shared" si="1"/>
        <v>1469</v>
      </c>
      <c r="L219" s="3" t="e">
        <f t="shared" si="2"/>
        <v>#N/A</v>
      </c>
      <c r="M219" s="3" t="e">
        <f t="shared" si="3"/>
        <v>#N/A</v>
      </c>
      <c r="N219" s="3" t="e">
        <f t="shared" si="4"/>
        <v>#N/A</v>
      </c>
      <c r="O219" s="3" t="e">
        <f t="shared" si="5"/>
        <v>#N/A</v>
      </c>
    </row>
    <row r="220" spans="1:15" ht="14.25" customHeight="1">
      <c r="A220" s="2" t="s">
        <v>39</v>
      </c>
      <c r="B220" s="2">
        <v>1965</v>
      </c>
      <c r="C220" s="2" t="s">
        <v>19</v>
      </c>
      <c r="D220" s="2">
        <v>1627</v>
      </c>
      <c r="E220" s="2">
        <v>2277</v>
      </c>
      <c r="J220" s="3">
        <f t="shared" si="0"/>
        <v>82655.964234911589</v>
      </c>
      <c r="K220" s="3">
        <f t="shared" si="1"/>
        <v>2277</v>
      </c>
      <c r="L220" s="3" t="e">
        <f t="shared" si="2"/>
        <v>#N/A</v>
      </c>
      <c r="M220" s="3" t="e">
        <f t="shared" si="3"/>
        <v>#N/A</v>
      </c>
      <c r="N220" s="3" t="e">
        <f t="shared" si="4"/>
        <v>#N/A</v>
      </c>
      <c r="O220" s="3" t="e">
        <f t="shared" si="5"/>
        <v>#N/A</v>
      </c>
    </row>
    <row r="221" spans="1:15" ht="14.25" customHeight="1">
      <c r="A221" s="2" t="s">
        <v>39</v>
      </c>
      <c r="B221" s="2">
        <v>1965</v>
      </c>
      <c r="C221" s="2" t="s">
        <v>21</v>
      </c>
      <c r="D221" s="2">
        <v>931</v>
      </c>
      <c r="E221" s="2">
        <v>371</v>
      </c>
      <c r="J221" s="3">
        <f t="shared" si="0"/>
        <v>47297.2972972973</v>
      </c>
      <c r="K221" s="3">
        <f t="shared" si="1"/>
        <v>371</v>
      </c>
      <c r="L221" s="3" t="e">
        <f t="shared" si="2"/>
        <v>#N/A</v>
      </c>
      <c r="M221" s="3" t="e">
        <f t="shared" si="3"/>
        <v>#N/A</v>
      </c>
      <c r="N221" s="3" t="e">
        <f t="shared" si="4"/>
        <v>#N/A</v>
      </c>
      <c r="O221" s="3" t="e">
        <f t="shared" si="5"/>
        <v>#N/A</v>
      </c>
    </row>
    <row r="222" spans="1:15" ht="14.25" customHeight="1">
      <c r="A222" s="2" t="s">
        <v>39</v>
      </c>
      <c r="B222" s="2">
        <v>1965</v>
      </c>
      <c r="C222" s="2" t="s">
        <v>34</v>
      </c>
      <c r="D222" s="2">
        <v>13</v>
      </c>
      <c r="E222" s="2">
        <v>572</v>
      </c>
      <c r="J222" s="3">
        <f t="shared" si="0"/>
        <v>660.43487096118668</v>
      </c>
      <c r="K222" s="3">
        <f t="shared" si="1"/>
        <v>572</v>
      </c>
      <c r="L222" s="3" t="e">
        <f t="shared" si="2"/>
        <v>#N/A</v>
      </c>
      <c r="M222" s="3" t="e">
        <f t="shared" si="3"/>
        <v>#N/A</v>
      </c>
      <c r="N222" s="3" t="e">
        <f t="shared" si="4"/>
        <v>#N/A</v>
      </c>
      <c r="O222" s="3" t="e">
        <f t="shared" si="5"/>
        <v>#N/A</v>
      </c>
    </row>
    <row r="223" spans="1:15" ht="14.25" customHeight="1">
      <c r="A223" s="2" t="s">
        <v>39</v>
      </c>
      <c r="B223" s="2">
        <v>1965</v>
      </c>
      <c r="C223" s="2" t="s">
        <v>35</v>
      </c>
      <c r="D223" s="2">
        <v>103</v>
      </c>
      <c r="E223" s="2">
        <v>883</v>
      </c>
      <c r="J223" s="3">
        <f t="shared" si="0"/>
        <v>5232.6762853078644</v>
      </c>
      <c r="K223" s="3">
        <f t="shared" si="1"/>
        <v>883</v>
      </c>
      <c r="L223" s="3" t="e">
        <f t="shared" si="2"/>
        <v>#N/A</v>
      </c>
      <c r="M223" s="3" t="e">
        <f t="shared" si="3"/>
        <v>#N/A</v>
      </c>
      <c r="N223" s="3" t="e">
        <f t="shared" si="4"/>
        <v>#N/A</v>
      </c>
      <c r="O223" s="3" t="e">
        <f t="shared" si="5"/>
        <v>#N/A</v>
      </c>
    </row>
    <row r="224" spans="1:15" ht="14.25" customHeight="1">
      <c r="A224" s="2" t="s">
        <v>39</v>
      </c>
      <c r="B224" s="2">
        <v>1965</v>
      </c>
      <c r="C224" s="2" t="s">
        <v>30</v>
      </c>
      <c r="D224" s="2">
        <v>2</v>
      </c>
      <c r="E224" s="2">
        <v>11</v>
      </c>
      <c r="J224" s="3">
        <f t="shared" si="0"/>
        <v>101.6053647632595</v>
      </c>
      <c r="K224" s="3">
        <f t="shared" si="1"/>
        <v>11</v>
      </c>
      <c r="L224" s="3" t="e">
        <f t="shared" si="2"/>
        <v>#N/A</v>
      </c>
      <c r="M224" s="3" t="e">
        <f t="shared" si="3"/>
        <v>#N/A</v>
      </c>
      <c r="N224" s="3" t="e">
        <f t="shared" si="4"/>
        <v>#N/A</v>
      </c>
      <c r="O224" s="3" t="e">
        <f t="shared" si="5"/>
        <v>#N/A</v>
      </c>
    </row>
    <row r="225" spans="1:15" ht="14.25" customHeight="1">
      <c r="A225" s="2" t="s">
        <v>39</v>
      </c>
      <c r="B225" s="2">
        <v>1965</v>
      </c>
      <c r="C225" s="2" t="s">
        <v>36</v>
      </c>
      <c r="D225" s="2">
        <v>36</v>
      </c>
      <c r="E225" s="2">
        <v>95</v>
      </c>
      <c r="J225" s="3">
        <f t="shared" si="0"/>
        <v>1828.8965657386709</v>
      </c>
      <c r="K225" s="3">
        <f t="shared" si="1"/>
        <v>95</v>
      </c>
      <c r="L225" s="3" t="e">
        <f t="shared" si="2"/>
        <v>#N/A</v>
      </c>
      <c r="M225" s="3" t="e">
        <f t="shared" si="3"/>
        <v>#N/A</v>
      </c>
      <c r="N225" s="3" t="e">
        <f t="shared" si="4"/>
        <v>#N/A</v>
      </c>
      <c r="O225" s="3" t="e">
        <f t="shared" si="5"/>
        <v>#N/A</v>
      </c>
    </row>
    <row r="226" spans="1:15" ht="14.25" customHeight="1">
      <c r="A226" s="2" t="s">
        <v>39</v>
      </c>
      <c r="B226" s="2">
        <v>1965</v>
      </c>
      <c r="C226" s="2" t="s">
        <v>16</v>
      </c>
      <c r="D226" s="2">
        <v>7543</v>
      </c>
      <c r="E226" s="2">
        <v>19164</v>
      </c>
      <c r="J226" s="3">
        <f t="shared" si="0"/>
        <v>383204.6332046332</v>
      </c>
      <c r="K226" s="3">
        <f t="shared" si="1"/>
        <v>19164</v>
      </c>
      <c r="L226" s="3" t="e">
        <f t="shared" si="2"/>
        <v>#N/A</v>
      </c>
      <c r="M226" s="3" t="e">
        <f t="shared" si="3"/>
        <v>#N/A</v>
      </c>
      <c r="N226" s="3" t="e">
        <f t="shared" si="4"/>
        <v>#N/A</v>
      </c>
      <c r="O226" s="3" t="e">
        <f t="shared" si="5"/>
        <v>#N/A</v>
      </c>
    </row>
    <row r="227" spans="1:15" ht="14.25" customHeight="1">
      <c r="A227" s="2" t="s">
        <v>39</v>
      </c>
      <c r="B227" s="2">
        <v>1965</v>
      </c>
      <c r="C227" s="2" t="s">
        <v>28</v>
      </c>
      <c r="D227" s="2">
        <v>192</v>
      </c>
      <c r="E227" s="2">
        <v>1557</v>
      </c>
      <c r="J227" s="3">
        <f t="shared" si="0"/>
        <v>9754.1150172729103</v>
      </c>
      <c r="K227" s="3">
        <f t="shared" si="1"/>
        <v>1557</v>
      </c>
      <c r="L227" s="3" t="e">
        <f t="shared" si="2"/>
        <v>#N/A</v>
      </c>
      <c r="M227" s="3" t="e">
        <f t="shared" si="3"/>
        <v>#N/A</v>
      </c>
      <c r="N227" s="3" t="e">
        <f t="shared" si="4"/>
        <v>#N/A</v>
      </c>
      <c r="O227" s="3" t="e">
        <f t="shared" si="5"/>
        <v>#N/A</v>
      </c>
    </row>
    <row r="228" spans="1:15" ht="14.25" customHeight="1">
      <c r="A228" s="2" t="s">
        <v>39</v>
      </c>
      <c r="B228" s="2">
        <v>1965</v>
      </c>
      <c r="C228" s="2" t="s">
        <v>37</v>
      </c>
      <c r="D228" s="2">
        <v>7351</v>
      </c>
      <c r="E228" s="2">
        <v>17507</v>
      </c>
      <c r="J228" s="3">
        <f t="shared" si="0"/>
        <v>373450.51818736026</v>
      </c>
      <c r="K228" s="3">
        <f t="shared" si="1"/>
        <v>17507</v>
      </c>
      <c r="L228" s="3" t="e">
        <f t="shared" si="2"/>
        <v>#N/A</v>
      </c>
      <c r="M228" s="3" t="e">
        <f t="shared" si="3"/>
        <v>#N/A</v>
      </c>
      <c r="N228" s="3" t="e">
        <f t="shared" si="4"/>
        <v>#N/A</v>
      </c>
      <c r="O228" s="3" t="e">
        <f t="shared" si="5"/>
        <v>#N/A</v>
      </c>
    </row>
    <row r="229" spans="1:15" ht="14.25" customHeight="1">
      <c r="A229" s="2" t="s">
        <v>39</v>
      </c>
      <c r="B229" s="2">
        <v>1966</v>
      </c>
      <c r="C229" s="2" t="s">
        <v>22</v>
      </c>
      <c r="D229" s="2">
        <v>913</v>
      </c>
      <c r="E229" s="2">
        <v>3748</v>
      </c>
      <c r="J229" s="3">
        <f t="shared" si="0"/>
        <v>46382.849014427964</v>
      </c>
      <c r="K229" s="3">
        <f t="shared" si="1"/>
        <v>3748</v>
      </c>
      <c r="L229" s="3" t="e">
        <f t="shared" si="2"/>
        <v>#N/A</v>
      </c>
      <c r="M229" s="3" t="e">
        <f t="shared" si="3"/>
        <v>#N/A</v>
      </c>
      <c r="N229" s="3" t="e">
        <f t="shared" si="4"/>
        <v>#N/A</v>
      </c>
      <c r="O229" s="3" t="e">
        <f t="shared" si="5"/>
        <v>#N/A</v>
      </c>
    </row>
    <row r="230" spans="1:15" ht="14.25" customHeight="1">
      <c r="A230" s="2" t="s">
        <v>39</v>
      </c>
      <c r="B230" s="2">
        <v>1966</v>
      </c>
      <c r="C230" s="2" t="s">
        <v>23</v>
      </c>
      <c r="D230" s="2">
        <v>1901</v>
      </c>
      <c r="E230" s="2">
        <v>6029</v>
      </c>
      <c r="J230" s="3">
        <f t="shared" si="0"/>
        <v>96575.899207478142</v>
      </c>
      <c r="K230" s="3">
        <f t="shared" si="1"/>
        <v>6029</v>
      </c>
      <c r="L230" s="3" t="e">
        <f t="shared" si="2"/>
        <v>#N/A</v>
      </c>
      <c r="M230" s="3" t="e">
        <f t="shared" si="3"/>
        <v>#N/A</v>
      </c>
      <c r="N230" s="3" t="e">
        <f t="shared" si="4"/>
        <v>#N/A</v>
      </c>
      <c r="O230" s="3" t="e">
        <f t="shared" si="5"/>
        <v>#N/A</v>
      </c>
    </row>
    <row r="231" spans="1:15" ht="14.25" customHeight="1">
      <c r="A231" s="2" t="s">
        <v>39</v>
      </c>
      <c r="B231" s="2">
        <v>1966</v>
      </c>
      <c r="C231" s="2" t="s">
        <v>25</v>
      </c>
      <c r="D231" s="2">
        <v>123</v>
      </c>
      <c r="E231" s="2">
        <v>835</v>
      </c>
      <c r="J231" s="3">
        <f t="shared" si="0"/>
        <v>6248.7299329404586</v>
      </c>
      <c r="K231" s="3">
        <f t="shared" si="1"/>
        <v>835</v>
      </c>
      <c r="L231" s="3" t="e">
        <f t="shared" si="2"/>
        <v>#N/A</v>
      </c>
      <c r="M231" s="3" t="e">
        <f t="shared" si="3"/>
        <v>#N/A</v>
      </c>
      <c r="N231" s="3" t="e">
        <f t="shared" si="4"/>
        <v>#N/A</v>
      </c>
      <c r="O231" s="3" t="e">
        <f t="shared" si="5"/>
        <v>#N/A</v>
      </c>
    </row>
    <row r="232" spans="1:15" ht="14.25" customHeight="1">
      <c r="A232" s="2" t="s">
        <v>39</v>
      </c>
      <c r="B232" s="2">
        <v>1966</v>
      </c>
      <c r="C232" s="2" t="s">
        <v>24</v>
      </c>
      <c r="D232" s="2">
        <v>891</v>
      </c>
      <c r="E232" s="2">
        <v>2209</v>
      </c>
      <c r="J232" s="3">
        <f t="shared" si="0"/>
        <v>45265.190002032105</v>
      </c>
      <c r="K232" s="3">
        <f t="shared" si="1"/>
        <v>2209</v>
      </c>
      <c r="L232" s="3" t="e">
        <f t="shared" si="2"/>
        <v>#N/A</v>
      </c>
      <c r="M232" s="3" t="e">
        <f t="shared" si="3"/>
        <v>#N/A</v>
      </c>
      <c r="N232" s="3" t="e">
        <f t="shared" si="4"/>
        <v>#N/A</v>
      </c>
      <c r="O232" s="3" t="e">
        <f t="shared" si="5"/>
        <v>#N/A</v>
      </c>
    </row>
    <row r="233" spans="1:15" ht="14.25" customHeight="1">
      <c r="A233" s="2" t="s">
        <v>39</v>
      </c>
      <c r="B233" s="2">
        <v>1966</v>
      </c>
      <c r="C233" s="2" t="s">
        <v>19</v>
      </c>
      <c r="D233" s="2">
        <v>1998</v>
      </c>
      <c r="E233" s="2">
        <v>2401</v>
      </c>
      <c r="J233" s="3">
        <f t="shared" si="0"/>
        <v>101503.75939849623</v>
      </c>
      <c r="K233" s="3">
        <f t="shared" si="1"/>
        <v>2401</v>
      </c>
      <c r="L233" s="3" t="e">
        <f t="shared" si="2"/>
        <v>#N/A</v>
      </c>
      <c r="M233" s="3" t="e">
        <f t="shared" si="3"/>
        <v>#N/A</v>
      </c>
      <c r="N233" s="3" t="e">
        <f t="shared" si="4"/>
        <v>#N/A</v>
      </c>
      <c r="O233" s="3" t="e">
        <f t="shared" si="5"/>
        <v>#N/A</v>
      </c>
    </row>
    <row r="234" spans="1:15" ht="14.25" customHeight="1">
      <c r="A234" s="2" t="s">
        <v>39</v>
      </c>
      <c r="B234" s="2">
        <v>1966</v>
      </c>
      <c r="C234" s="2" t="s">
        <v>21</v>
      </c>
      <c r="D234" s="2">
        <v>1400</v>
      </c>
      <c r="E234" s="2">
        <v>524</v>
      </c>
      <c r="J234" s="3">
        <f t="shared" si="0"/>
        <v>71123.755334281639</v>
      </c>
      <c r="K234" s="3">
        <f t="shared" si="1"/>
        <v>524</v>
      </c>
      <c r="L234" s="3" t="e">
        <f t="shared" si="2"/>
        <v>#N/A</v>
      </c>
      <c r="M234" s="3" t="e">
        <f t="shared" si="3"/>
        <v>#N/A</v>
      </c>
      <c r="N234" s="3" t="e">
        <f t="shared" si="4"/>
        <v>#N/A</v>
      </c>
      <c r="O234" s="3" t="e">
        <f t="shared" si="5"/>
        <v>#N/A</v>
      </c>
    </row>
    <row r="235" spans="1:15" ht="14.25" customHeight="1">
      <c r="A235" s="2" t="s">
        <v>39</v>
      </c>
      <c r="B235" s="2">
        <v>1966</v>
      </c>
      <c r="C235" s="2" t="s">
        <v>34</v>
      </c>
      <c r="D235" s="2">
        <v>12</v>
      </c>
      <c r="E235" s="2">
        <v>560</v>
      </c>
      <c r="J235" s="3">
        <f t="shared" si="0"/>
        <v>609.6321885795569</v>
      </c>
      <c r="K235" s="3">
        <f t="shared" si="1"/>
        <v>560</v>
      </c>
      <c r="L235" s="3" t="e">
        <f t="shared" si="2"/>
        <v>#N/A</v>
      </c>
      <c r="M235" s="3" t="e">
        <f t="shared" si="3"/>
        <v>#N/A</v>
      </c>
      <c r="N235" s="3" t="e">
        <f t="shared" si="4"/>
        <v>#N/A</v>
      </c>
      <c r="O235" s="3" t="e">
        <f t="shared" si="5"/>
        <v>#N/A</v>
      </c>
    </row>
    <row r="236" spans="1:15" ht="14.25" customHeight="1">
      <c r="A236" s="2" t="s">
        <v>39</v>
      </c>
      <c r="B236" s="2">
        <v>1966</v>
      </c>
      <c r="C236" s="2" t="s">
        <v>35</v>
      </c>
      <c r="D236" s="2">
        <v>125</v>
      </c>
      <c r="E236" s="2">
        <v>1116</v>
      </c>
      <c r="J236" s="3">
        <f t="shared" si="0"/>
        <v>6350.3352977037184</v>
      </c>
      <c r="K236" s="3">
        <f t="shared" si="1"/>
        <v>1116</v>
      </c>
      <c r="L236" s="3" t="e">
        <f t="shared" si="2"/>
        <v>#N/A</v>
      </c>
      <c r="M236" s="3" t="e">
        <f t="shared" si="3"/>
        <v>#N/A</v>
      </c>
      <c r="N236" s="3" t="e">
        <f t="shared" si="4"/>
        <v>#N/A</v>
      </c>
      <c r="O236" s="3" t="e">
        <f t="shared" si="5"/>
        <v>#N/A</v>
      </c>
    </row>
    <row r="237" spans="1:15" ht="14.25" customHeight="1">
      <c r="A237" s="2" t="s">
        <v>39</v>
      </c>
      <c r="B237" s="2">
        <v>1966</v>
      </c>
      <c r="C237" s="2" t="s">
        <v>30</v>
      </c>
      <c r="D237" s="2">
        <v>2</v>
      </c>
      <c r="E237" s="2">
        <v>12</v>
      </c>
      <c r="J237" s="3">
        <f t="shared" si="0"/>
        <v>101.6053647632595</v>
      </c>
      <c r="K237" s="3">
        <f t="shared" si="1"/>
        <v>12</v>
      </c>
      <c r="L237" s="3" t="e">
        <f t="shared" si="2"/>
        <v>#N/A</v>
      </c>
      <c r="M237" s="3" t="e">
        <f t="shared" si="3"/>
        <v>#N/A</v>
      </c>
      <c r="N237" s="3" t="e">
        <f t="shared" si="4"/>
        <v>#N/A</v>
      </c>
      <c r="O237" s="3" t="e">
        <f t="shared" si="5"/>
        <v>#N/A</v>
      </c>
    </row>
    <row r="238" spans="1:15" ht="14.25" customHeight="1">
      <c r="A238" s="2" t="s">
        <v>39</v>
      </c>
      <c r="B238" s="2">
        <v>1966</v>
      </c>
      <c r="C238" s="2" t="s">
        <v>36</v>
      </c>
      <c r="D238" s="2">
        <v>37</v>
      </c>
      <c r="E238" s="2">
        <v>106</v>
      </c>
      <c r="J238" s="3">
        <f t="shared" si="0"/>
        <v>1879.6992481203008</v>
      </c>
      <c r="K238" s="3">
        <f t="shared" si="1"/>
        <v>106</v>
      </c>
      <c r="L238" s="3" t="e">
        <f t="shared" si="2"/>
        <v>#N/A</v>
      </c>
      <c r="M238" s="3" t="e">
        <f t="shared" si="3"/>
        <v>#N/A</v>
      </c>
      <c r="N238" s="3" t="e">
        <f t="shared" si="4"/>
        <v>#N/A</v>
      </c>
      <c r="O238" s="3" t="e">
        <f t="shared" si="5"/>
        <v>#N/A</v>
      </c>
    </row>
    <row r="239" spans="1:15" ht="14.25" customHeight="1">
      <c r="A239" s="2" t="s">
        <v>39</v>
      </c>
      <c r="B239" s="2">
        <v>1966</v>
      </c>
      <c r="C239" s="2" t="s">
        <v>16</v>
      </c>
      <c r="D239" s="2">
        <v>8228</v>
      </c>
      <c r="E239" s="2">
        <v>20695</v>
      </c>
      <c r="J239" s="3">
        <f t="shared" si="0"/>
        <v>418004.47063604958</v>
      </c>
      <c r="K239" s="3">
        <f t="shared" si="1"/>
        <v>20695</v>
      </c>
      <c r="L239" s="3" t="e">
        <f t="shared" si="2"/>
        <v>#N/A</v>
      </c>
      <c r="M239" s="3" t="e">
        <f t="shared" si="3"/>
        <v>#N/A</v>
      </c>
      <c r="N239" s="3" t="e">
        <f t="shared" si="4"/>
        <v>#N/A</v>
      </c>
      <c r="O239" s="3" t="e">
        <f t="shared" si="5"/>
        <v>#N/A</v>
      </c>
    </row>
    <row r="240" spans="1:15" ht="14.25" customHeight="1">
      <c r="A240" s="2" t="s">
        <v>39</v>
      </c>
      <c r="B240" s="2">
        <v>1966</v>
      </c>
      <c r="C240" s="2" t="s">
        <v>28</v>
      </c>
      <c r="D240" s="2">
        <v>222</v>
      </c>
      <c r="E240" s="2">
        <v>1928</v>
      </c>
      <c r="J240" s="3">
        <f t="shared" si="0"/>
        <v>11278.195488721805</v>
      </c>
      <c r="K240" s="3">
        <f t="shared" si="1"/>
        <v>1928</v>
      </c>
      <c r="L240" s="3" t="e">
        <f t="shared" si="2"/>
        <v>#N/A</v>
      </c>
      <c r="M240" s="3" t="e">
        <f t="shared" si="3"/>
        <v>#N/A</v>
      </c>
      <c r="N240" s="3" t="e">
        <f t="shared" si="4"/>
        <v>#N/A</v>
      </c>
      <c r="O240" s="3" t="e">
        <f t="shared" si="5"/>
        <v>#N/A</v>
      </c>
    </row>
    <row r="241" spans="1:15" ht="14.25" customHeight="1">
      <c r="A241" s="2" t="s">
        <v>39</v>
      </c>
      <c r="B241" s="2">
        <v>1966</v>
      </c>
      <c r="C241" s="2" t="s">
        <v>37</v>
      </c>
      <c r="D241" s="2">
        <v>8006</v>
      </c>
      <c r="E241" s="2">
        <v>18767</v>
      </c>
      <c r="J241" s="3">
        <f t="shared" si="0"/>
        <v>406726.2751473278</v>
      </c>
      <c r="K241" s="3">
        <f t="shared" si="1"/>
        <v>18767</v>
      </c>
      <c r="L241" s="3" t="e">
        <f t="shared" si="2"/>
        <v>#N/A</v>
      </c>
      <c r="M241" s="3" t="e">
        <f t="shared" si="3"/>
        <v>#N/A</v>
      </c>
      <c r="N241" s="3" t="e">
        <f t="shared" si="4"/>
        <v>#N/A</v>
      </c>
      <c r="O241" s="3" t="e">
        <f t="shared" si="5"/>
        <v>#N/A</v>
      </c>
    </row>
    <row r="242" spans="1:15" ht="14.25" customHeight="1">
      <c r="A242" s="2" t="s">
        <v>39</v>
      </c>
      <c r="B242" s="2">
        <v>1967</v>
      </c>
      <c r="C242" s="2" t="s">
        <v>22</v>
      </c>
      <c r="D242" s="2">
        <v>1021</v>
      </c>
      <c r="E242" s="2">
        <v>3939</v>
      </c>
      <c r="J242" s="3">
        <f t="shared" si="0"/>
        <v>51869.538711643967</v>
      </c>
      <c r="K242" s="3">
        <f t="shared" si="1"/>
        <v>3939</v>
      </c>
      <c r="L242" s="3" t="e">
        <f t="shared" si="2"/>
        <v>#N/A</v>
      </c>
      <c r="M242" s="3" t="e">
        <f t="shared" si="3"/>
        <v>#N/A</v>
      </c>
      <c r="N242" s="3" t="e">
        <f t="shared" si="4"/>
        <v>#N/A</v>
      </c>
      <c r="O242" s="3" t="e">
        <f t="shared" si="5"/>
        <v>#N/A</v>
      </c>
    </row>
    <row r="243" spans="1:15" ht="14.25" customHeight="1">
      <c r="A243" s="2" t="s">
        <v>39</v>
      </c>
      <c r="B243" s="2">
        <v>1967</v>
      </c>
      <c r="C243" s="2" t="s">
        <v>23</v>
      </c>
      <c r="D243" s="2">
        <v>1617</v>
      </c>
      <c r="E243" s="2">
        <v>6109</v>
      </c>
      <c r="J243" s="3">
        <f t="shared" si="0"/>
        <v>82147.937411095292</v>
      </c>
      <c r="K243" s="3">
        <f t="shared" si="1"/>
        <v>6109</v>
      </c>
      <c r="L243" s="3" t="e">
        <f t="shared" si="2"/>
        <v>#N/A</v>
      </c>
      <c r="M243" s="3" t="e">
        <f t="shared" si="3"/>
        <v>#N/A</v>
      </c>
      <c r="N243" s="3" t="e">
        <f t="shared" si="4"/>
        <v>#N/A</v>
      </c>
      <c r="O243" s="3" t="e">
        <f t="shared" si="5"/>
        <v>#N/A</v>
      </c>
    </row>
    <row r="244" spans="1:15" ht="14.25" customHeight="1">
      <c r="A244" s="2" t="s">
        <v>39</v>
      </c>
      <c r="B244" s="2">
        <v>1967</v>
      </c>
      <c r="C244" s="2" t="s">
        <v>25</v>
      </c>
      <c r="D244" s="2">
        <v>128</v>
      </c>
      <c r="E244" s="2">
        <v>780</v>
      </c>
      <c r="J244" s="3">
        <f t="shared" si="0"/>
        <v>6502.7433448486081</v>
      </c>
      <c r="K244" s="3">
        <f t="shared" si="1"/>
        <v>780</v>
      </c>
      <c r="L244" s="3" t="e">
        <f t="shared" si="2"/>
        <v>#N/A</v>
      </c>
      <c r="M244" s="3" t="e">
        <f t="shared" si="3"/>
        <v>#N/A</v>
      </c>
      <c r="N244" s="3" t="e">
        <f t="shared" si="4"/>
        <v>#N/A</v>
      </c>
      <c r="O244" s="3" t="e">
        <f t="shared" si="5"/>
        <v>#N/A</v>
      </c>
    </row>
    <row r="245" spans="1:15" ht="14.25" customHeight="1">
      <c r="A245" s="2" t="s">
        <v>39</v>
      </c>
      <c r="B245" s="2">
        <v>1967</v>
      </c>
      <c r="C245" s="2" t="s">
        <v>24</v>
      </c>
      <c r="D245" s="2">
        <v>741</v>
      </c>
      <c r="E245" s="2">
        <v>2404</v>
      </c>
      <c r="J245" s="3">
        <f t="shared" si="0"/>
        <v>37644.787644787641</v>
      </c>
      <c r="K245" s="3">
        <f t="shared" si="1"/>
        <v>2404</v>
      </c>
      <c r="L245" s="3" t="e">
        <f t="shared" si="2"/>
        <v>#N/A</v>
      </c>
      <c r="M245" s="3" t="e">
        <f t="shared" si="3"/>
        <v>#N/A</v>
      </c>
      <c r="N245" s="3" t="e">
        <f t="shared" si="4"/>
        <v>#N/A</v>
      </c>
      <c r="O245" s="3" t="e">
        <f t="shared" si="5"/>
        <v>#N/A</v>
      </c>
    </row>
    <row r="246" spans="1:15" ht="14.25" customHeight="1">
      <c r="A246" s="2" t="s">
        <v>39</v>
      </c>
      <c r="B246" s="2">
        <v>1967</v>
      </c>
      <c r="C246" s="2" t="s">
        <v>19</v>
      </c>
      <c r="D246" s="2">
        <v>1735</v>
      </c>
      <c r="E246" s="2">
        <v>2189</v>
      </c>
      <c r="J246" s="3">
        <f t="shared" si="0"/>
        <v>88142.653932127621</v>
      </c>
      <c r="K246" s="3">
        <f t="shared" si="1"/>
        <v>2189</v>
      </c>
      <c r="L246" s="3" t="e">
        <f t="shared" si="2"/>
        <v>#N/A</v>
      </c>
      <c r="M246" s="3" t="e">
        <f t="shared" si="3"/>
        <v>#N/A</v>
      </c>
      <c r="N246" s="3" t="e">
        <f t="shared" si="4"/>
        <v>#N/A</v>
      </c>
      <c r="O246" s="3" t="e">
        <f t="shared" si="5"/>
        <v>#N/A</v>
      </c>
    </row>
    <row r="247" spans="1:15" ht="14.25" customHeight="1">
      <c r="A247" s="2" t="s">
        <v>39</v>
      </c>
      <c r="B247" s="2">
        <v>1967</v>
      </c>
      <c r="C247" s="2" t="s">
        <v>21</v>
      </c>
      <c r="D247" s="2">
        <v>522</v>
      </c>
      <c r="E247" s="2">
        <v>192</v>
      </c>
      <c r="J247" s="3">
        <f t="shared" si="0"/>
        <v>26519.000203210726</v>
      </c>
      <c r="K247" s="3">
        <f t="shared" si="1"/>
        <v>192</v>
      </c>
      <c r="L247" s="3" t="e">
        <f t="shared" si="2"/>
        <v>#N/A</v>
      </c>
      <c r="M247" s="3" t="e">
        <f t="shared" si="3"/>
        <v>#N/A</v>
      </c>
      <c r="N247" s="3" t="e">
        <f t="shared" si="4"/>
        <v>#N/A</v>
      </c>
      <c r="O247" s="3" t="e">
        <f t="shared" si="5"/>
        <v>#N/A</v>
      </c>
    </row>
    <row r="248" spans="1:15" ht="14.25" customHeight="1">
      <c r="A248" s="2" t="s">
        <v>39</v>
      </c>
      <c r="B248" s="2">
        <v>1967</v>
      </c>
      <c r="C248" s="2" t="s">
        <v>34</v>
      </c>
      <c r="D248" s="2">
        <v>11</v>
      </c>
      <c r="E248" s="2">
        <v>538</v>
      </c>
      <c r="J248" s="3">
        <f t="shared" si="0"/>
        <v>558.82950619792723</v>
      </c>
      <c r="K248" s="3">
        <f t="shared" si="1"/>
        <v>538</v>
      </c>
      <c r="L248" s="3" t="e">
        <f t="shared" si="2"/>
        <v>#N/A</v>
      </c>
      <c r="M248" s="3" t="e">
        <f t="shared" si="3"/>
        <v>#N/A</v>
      </c>
      <c r="N248" s="3" t="e">
        <f t="shared" si="4"/>
        <v>#N/A</v>
      </c>
      <c r="O248" s="3" t="e">
        <f t="shared" si="5"/>
        <v>#N/A</v>
      </c>
    </row>
    <row r="249" spans="1:15" ht="14.25" customHeight="1">
      <c r="A249" s="2" t="s">
        <v>39</v>
      </c>
      <c r="B249" s="2">
        <v>1967</v>
      </c>
      <c r="C249" s="2" t="s">
        <v>35</v>
      </c>
      <c r="D249" s="2">
        <v>132</v>
      </c>
      <c r="E249" s="2">
        <v>1287</v>
      </c>
      <c r="J249" s="3">
        <f t="shared" si="0"/>
        <v>6705.9540743751268</v>
      </c>
      <c r="K249" s="3">
        <f t="shared" si="1"/>
        <v>1287</v>
      </c>
      <c r="L249" s="3" t="e">
        <f t="shared" si="2"/>
        <v>#N/A</v>
      </c>
      <c r="M249" s="3" t="e">
        <f t="shared" si="3"/>
        <v>#N/A</v>
      </c>
      <c r="N249" s="3" t="e">
        <f t="shared" si="4"/>
        <v>#N/A</v>
      </c>
      <c r="O249" s="3" t="e">
        <f t="shared" si="5"/>
        <v>#N/A</v>
      </c>
    </row>
    <row r="250" spans="1:15" ht="14.25" customHeight="1">
      <c r="A250" s="2" t="s">
        <v>39</v>
      </c>
      <c r="B250" s="2">
        <v>1967</v>
      </c>
      <c r="C250" s="2" t="s">
        <v>30</v>
      </c>
      <c r="D250" s="2">
        <v>2</v>
      </c>
      <c r="E250" s="2">
        <v>10</v>
      </c>
      <c r="J250" s="3">
        <f t="shared" si="0"/>
        <v>101.6053647632595</v>
      </c>
      <c r="K250" s="3">
        <f t="shared" si="1"/>
        <v>10</v>
      </c>
      <c r="L250" s="3" t="e">
        <f t="shared" si="2"/>
        <v>#N/A</v>
      </c>
      <c r="M250" s="3" t="e">
        <f t="shared" si="3"/>
        <v>#N/A</v>
      </c>
      <c r="N250" s="3" t="e">
        <f t="shared" si="4"/>
        <v>#N/A</v>
      </c>
      <c r="O250" s="3" t="e">
        <f t="shared" si="5"/>
        <v>#N/A</v>
      </c>
    </row>
    <row r="251" spans="1:15" ht="14.25" customHeight="1">
      <c r="A251" s="2" t="s">
        <v>39</v>
      </c>
      <c r="B251" s="2">
        <v>1967</v>
      </c>
      <c r="C251" s="2" t="s">
        <v>36</v>
      </c>
      <c r="D251" s="2">
        <v>34</v>
      </c>
      <c r="E251" s="2">
        <v>103</v>
      </c>
      <c r="J251" s="3">
        <f t="shared" si="0"/>
        <v>1727.2912009754114</v>
      </c>
      <c r="K251" s="3">
        <f t="shared" si="1"/>
        <v>103</v>
      </c>
      <c r="L251" s="3" t="e">
        <f t="shared" si="2"/>
        <v>#N/A</v>
      </c>
      <c r="M251" s="3" t="e">
        <f t="shared" si="3"/>
        <v>#N/A</v>
      </c>
      <c r="N251" s="3" t="e">
        <f t="shared" si="4"/>
        <v>#N/A</v>
      </c>
      <c r="O251" s="3" t="e">
        <f t="shared" si="5"/>
        <v>#N/A</v>
      </c>
    </row>
    <row r="252" spans="1:15" ht="14.25" customHeight="1">
      <c r="A252" s="2" t="s">
        <v>39</v>
      </c>
      <c r="B252" s="2">
        <v>1967</v>
      </c>
      <c r="C252" s="2" t="s">
        <v>16</v>
      </c>
      <c r="D252" s="2">
        <v>6781</v>
      </c>
      <c r="E252" s="2">
        <v>20682</v>
      </c>
      <c r="J252" s="3">
        <f t="shared" si="0"/>
        <v>344492.98922983132</v>
      </c>
      <c r="K252" s="3">
        <f t="shared" si="1"/>
        <v>20682</v>
      </c>
      <c r="L252" s="3" t="e">
        <f t="shared" si="2"/>
        <v>#N/A</v>
      </c>
      <c r="M252" s="3" t="e">
        <f t="shared" si="3"/>
        <v>#N/A</v>
      </c>
      <c r="N252" s="3" t="e">
        <f t="shared" si="4"/>
        <v>#N/A</v>
      </c>
      <c r="O252" s="3" t="e">
        <f t="shared" si="5"/>
        <v>#N/A</v>
      </c>
    </row>
    <row r="253" spans="1:15" ht="14.25" customHeight="1">
      <c r="A253" s="2" t="s">
        <v>39</v>
      </c>
      <c r="B253" s="2">
        <v>1967</v>
      </c>
      <c r="C253" s="2" t="s">
        <v>28</v>
      </c>
      <c r="D253" s="2">
        <v>231</v>
      </c>
      <c r="E253" s="2">
        <v>2123</v>
      </c>
      <c r="J253" s="3">
        <f t="shared" si="0"/>
        <v>11735.419630156472</v>
      </c>
      <c r="K253" s="3">
        <f t="shared" si="1"/>
        <v>2123</v>
      </c>
      <c r="L253" s="3" t="e">
        <f t="shared" si="2"/>
        <v>#N/A</v>
      </c>
      <c r="M253" s="3" t="e">
        <f t="shared" si="3"/>
        <v>#N/A</v>
      </c>
      <c r="N253" s="3" t="e">
        <f t="shared" si="4"/>
        <v>#N/A</v>
      </c>
      <c r="O253" s="3" t="e">
        <f t="shared" si="5"/>
        <v>#N/A</v>
      </c>
    </row>
    <row r="254" spans="1:15" ht="14.25" customHeight="1">
      <c r="A254" s="2" t="s">
        <v>39</v>
      </c>
      <c r="B254" s="2">
        <v>1967</v>
      </c>
      <c r="C254" s="2" t="s">
        <v>37</v>
      </c>
      <c r="D254" s="2">
        <v>6550</v>
      </c>
      <c r="E254" s="2">
        <v>18559</v>
      </c>
      <c r="J254" s="3">
        <f t="shared" si="0"/>
        <v>332757.56959967484</v>
      </c>
      <c r="K254" s="3">
        <f t="shared" si="1"/>
        <v>18559</v>
      </c>
      <c r="L254" s="3" t="e">
        <f t="shared" si="2"/>
        <v>#N/A</v>
      </c>
      <c r="M254" s="3" t="e">
        <f t="shared" si="3"/>
        <v>#N/A</v>
      </c>
      <c r="N254" s="3" t="e">
        <f t="shared" si="4"/>
        <v>#N/A</v>
      </c>
      <c r="O254" s="3" t="e">
        <f t="shared" si="5"/>
        <v>#N/A</v>
      </c>
    </row>
    <row r="255" spans="1:15" ht="14.25" customHeight="1">
      <c r="A255" s="2" t="s">
        <v>39</v>
      </c>
      <c r="B255" s="2">
        <v>1968</v>
      </c>
      <c r="C255" s="2" t="s">
        <v>22</v>
      </c>
      <c r="D255" s="2">
        <v>1133</v>
      </c>
      <c r="E255" s="2">
        <v>4247</v>
      </c>
      <c r="J255" s="3">
        <f t="shared" si="0"/>
        <v>57559.4391383865</v>
      </c>
      <c r="K255" s="3">
        <f t="shared" si="1"/>
        <v>4247</v>
      </c>
      <c r="L255" s="3" t="e">
        <f t="shared" si="2"/>
        <v>#N/A</v>
      </c>
      <c r="M255" s="3" t="e">
        <f t="shared" si="3"/>
        <v>#N/A</v>
      </c>
      <c r="N255" s="3" t="e">
        <f t="shared" si="4"/>
        <v>#N/A</v>
      </c>
      <c r="O255" s="3" t="e">
        <f t="shared" si="5"/>
        <v>#N/A</v>
      </c>
    </row>
    <row r="256" spans="1:15" ht="14.25" customHeight="1">
      <c r="A256" s="2" t="s">
        <v>39</v>
      </c>
      <c r="B256" s="2">
        <v>1968</v>
      </c>
      <c r="C256" s="2" t="s">
        <v>23</v>
      </c>
      <c r="D256" s="2">
        <v>1560</v>
      </c>
      <c r="E256" s="2">
        <v>6133</v>
      </c>
      <c r="J256" s="3">
        <f t="shared" si="0"/>
        <v>79252.184515342407</v>
      </c>
      <c r="K256" s="3">
        <f t="shared" si="1"/>
        <v>6133</v>
      </c>
      <c r="L256" s="3" t="e">
        <f t="shared" si="2"/>
        <v>#N/A</v>
      </c>
      <c r="M256" s="3" t="e">
        <f t="shared" si="3"/>
        <v>#N/A</v>
      </c>
      <c r="N256" s="3" t="e">
        <f t="shared" si="4"/>
        <v>#N/A</v>
      </c>
      <c r="O256" s="3" t="e">
        <f t="shared" si="5"/>
        <v>#N/A</v>
      </c>
    </row>
    <row r="257" spans="1:15" ht="14.25" customHeight="1">
      <c r="A257" s="2" t="s">
        <v>39</v>
      </c>
      <c r="B257" s="2">
        <v>1968</v>
      </c>
      <c r="C257" s="2" t="s">
        <v>25</v>
      </c>
      <c r="D257" s="2">
        <v>129</v>
      </c>
      <c r="E257" s="2">
        <v>793</v>
      </c>
      <c r="J257" s="3">
        <f t="shared" ref="J257:J511" si="6">IF(D257="", NA(), D257/19.684*1000)</f>
        <v>6553.5460272302371</v>
      </c>
      <c r="K257" s="3">
        <f t="shared" ref="K257:K511" si="7">IF(E257="", NA(), E257)</f>
        <v>793</v>
      </c>
      <c r="L257" s="3" t="e">
        <f t="shared" ref="L257:L511" si="8">IF(F257="", NA(), F257/19.684*1000)</f>
        <v>#N/A</v>
      </c>
      <c r="M257" s="3" t="e">
        <f t="shared" ref="M257:M511" si="9">IF(G257="", NA(), G257)</f>
        <v>#N/A</v>
      </c>
      <c r="N257" s="3" t="e">
        <f t="shared" ref="N257:N511" si="10">IF(H257="", NA(), H257/19.684*1000)</f>
        <v>#N/A</v>
      </c>
      <c r="O257" s="3" t="e">
        <f t="shared" ref="O257:O511" si="11">IF(I257="", NA(), I257)</f>
        <v>#N/A</v>
      </c>
    </row>
    <row r="258" spans="1:15" ht="14.25" customHeight="1">
      <c r="A258" s="2" t="s">
        <v>39</v>
      </c>
      <c r="B258" s="2">
        <v>1968</v>
      </c>
      <c r="C258" s="2" t="s">
        <v>24</v>
      </c>
      <c r="D258" s="2">
        <v>712</v>
      </c>
      <c r="E258" s="2">
        <v>2370</v>
      </c>
      <c r="J258" s="3">
        <f t="shared" si="6"/>
        <v>36171.509855720382</v>
      </c>
      <c r="K258" s="3">
        <f t="shared" si="7"/>
        <v>2370</v>
      </c>
      <c r="L258" s="3" t="e">
        <f t="shared" si="8"/>
        <v>#N/A</v>
      </c>
      <c r="M258" s="3" t="e">
        <f t="shared" si="9"/>
        <v>#N/A</v>
      </c>
      <c r="N258" s="3" t="e">
        <f t="shared" si="10"/>
        <v>#N/A</v>
      </c>
      <c r="O258" s="3" t="e">
        <f t="shared" si="11"/>
        <v>#N/A</v>
      </c>
    </row>
    <row r="259" spans="1:15" ht="14.25" customHeight="1">
      <c r="A259" s="2" t="s">
        <v>39</v>
      </c>
      <c r="B259" s="2">
        <v>1968</v>
      </c>
      <c r="C259" s="2" t="s">
        <v>19</v>
      </c>
      <c r="D259" s="2">
        <v>1649</v>
      </c>
      <c r="E259" s="2">
        <v>2145</v>
      </c>
      <c r="J259" s="3">
        <f t="shared" si="6"/>
        <v>83773.623247307449</v>
      </c>
      <c r="K259" s="3">
        <f t="shared" si="7"/>
        <v>2145</v>
      </c>
      <c r="L259" s="3" t="e">
        <f t="shared" si="8"/>
        <v>#N/A</v>
      </c>
      <c r="M259" s="3" t="e">
        <f t="shared" si="9"/>
        <v>#N/A</v>
      </c>
      <c r="N259" s="3" t="e">
        <f t="shared" si="10"/>
        <v>#N/A</v>
      </c>
      <c r="O259" s="3" t="e">
        <f t="shared" si="11"/>
        <v>#N/A</v>
      </c>
    </row>
    <row r="260" spans="1:15" ht="14.25" customHeight="1">
      <c r="A260" s="2" t="s">
        <v>39</v>
      </c>
      <c r="B260" s="2">
        <v>1968</v>
      </c>
      <c r="C260" s="2" t="s">
        <v>21</v>
      </c>
      <c r="D260" s="2">
        <v>596</v>
      </c>
      <c r="E260" s="2">
        <v>241</v>
      </c>
      <c r="J260" s="3">
        <f t="shared" si="6"/>
        <v>30278.398699451329</v>
      </c>
      <c r="K260" s="3">
        <f t="shared" si="7"/>
        <v>241</v>
      </c>
      <c r="L260" s="3" t="e">
        <f t="shared" si="8"/>
        <v>#N/A</v>
      </c>
      <c r="M260" s="3" t="e">
        <f t="shared" si="9"/>
        <v>#N/A</v>
      </c>
      <c r="N260" s="3" t="e">
        <f t="shared" si="10"/>
        <v>#N/A</v>
      </c>
      <c r="O260" s="3" t="e">
        <f t="shared" si="11"/>
        <v>#N/A</v>
      </c>
    </row>
    <row r="261" spans="1:15" ht="14.25" customHeight="1">
      <c r="A261" s="2" t="s">
        <v>39</v>
      </c>
      <c r="B261" s="2">
        <v>1968</v>
      </c>
      <c r="C261" s="2" t="s">
        <v>34</v>
      </c>
      <c r="D261" s="2">
        <v>12</v>
      </c>
      <c r="E261" s="2">
        <v>709</v>
      </c>
      <c r="J261" s="3">
        <f t="shared" si="6"/>
        <v>609.6321885795569</v>
      </c>
      <c r="K261" s="3">
        <f t="shared" si="7"/>
        <v>709</v>
      </c>
      <c r="L261" s="3" t="e">
        <f t="shared" si="8"/>
        <v>#N/A</v>
      </c>
      <c r="M261" s="3" t="e">
        <f t="shared" si="9"/>
        <v>#N/A</v>
      </c>
      <c r="N261" s="3" t="e">
        <f t="shared" si="10"/>
        <v>#N/A</v>
      </c>
      <c r="O261" s="3" t="e">
        <f t="shared" si="11"/>
        <v>#N/A</v>
      </c>
    </row>
    <row r="262" spans="1:15" ht="14.25" customHeight="1">
      <c r="A262" s="2" t="s">
        <v>39</v>
      </c>
      <c r="B262" s="2">
        <v>1968</v>
      </c>
      <c r="C262" s="2" t="s">
        <v>35</v>
      </c>
      <c r="D262" s="2">
        <v>142</v>
      </c>
      <c r="E262" s="2">
        <v>1621</v>
      </c>
      <c r="J262" s="3">
        <f t="shared" si="6"/>
        <v>7213.9808981914239</v>
      </c>
      <c r="K262" s="3">
        <f t="shared" si="7"/>
        <v>1621</v>
      </c>
      <c r="L262" s="3" t="e">
        <f t="shared" si="8"/>
        <v>#N/A</v>
      </c>
      <c r="M262" s="3" t="e">
        <f t="shared" si="9"/>
        <v>#N/A</v>
      </c>
      <c r="N262" s="3" t="e">
        <f t="shared" si="10"/>
        <v>#N/A</v>
      </c>
      <c r="O262" s="3" t="e">
        <f t="shared" si="11"/>
        <v>#N/A</v>
      </c>
    </row>
    <row r="263" spans="1:15" ht="14.25" customHeight="1">
      <c r="A263" s="2" t="s">
        <v>39</v>
      </c>
      <c r="B263" s="2">
        <v>1968</v>
      </c>
      <c r="C263" s="2" t="s">
        <v>30</v>
      </c>
      <c r="D263" s="2">
        <v>0</v>
      </c>
      <c r="E263" s="2">
        <v>2</v>
      </c>
      <c r="J263" s="3">
        <f t="shared" si="6"/>
        <v>0</v>
      </c>
      <c r="K263" s="3">
        <f t="shared" si="7"/>
        <v>2</v>
      </c>
      <c r="L263" s="3" t="e">
        <f t="shared" si="8"/>
        <v>#N/A</v>
      </c>
      <c r="M263" s="3" t="e">
        <f t="shared" si="9"/>
        <v>#N/A</v>
      </c>
      <c r="N263" s="3" t="e">
        <f t="shared" si="10"/>
        <v>#N/A</v>
      </c>
      <c r="O263" s="3" t="e">
        <f t="shared" si="11"/>
        <v>#N/A</v>
      </c>
    </row>
    <row r="264" spans="1:15" ht="14.25" customHeight="1">
      <c r="A264" s="2" t="s">
        <v>39</v>
      </c>
      <c r="B264" s="2">
        <v>1968</v>
      </c>
      <c r="C264" s="2" t="s">
        <v>36</v>
      </c>
      <c r="D264" s="2">
        <v>45</v>
      </c>
      <c r="E264" s="2">
        <v>136</v>
      </c>
      <c r="J264" s="3">
        <f t="shared" si="6"/>
        <v>2286.1207071733384</v>
      </c>
      <c r="K264" s="3">
        <f t="shared" si="7"/>
        <v>136</v>
      </c>
      <c r="L264" s="3" t="e">
        <f t="shared" si="8"/>
        <v>#N/A</v>
      </c>
      <c r="M264" s="3" t="e">
        <f t="shared" si="9"/>
        <v>#N/A</v>
      </c>
      <c r="N264" s="3" t="e">
        <f t="shared" si="10"/>
        <v>#N/A</v>
      </c>
      <c r="O264" s="3" t="e">
        <f t="shared" si="11"/>
        <v>#N/A</v>
      </c>
    </row>
    <row r="265" spans="1:15" ht="14.25" customHeight="1">
      <c r="A265" s="2" t="s">
        <v>39</v>
      </c>
      <c r="B265" s="2">
        <v>1968</v>
      </c>
      <c r="C265" s="2" t="s">
        <v>16</v>
      </c>
      <c r="D265" s="2">
        <v>6875</v>
      </c>
      <c r="E265" s="2">
        <v>21706</v>
      </c>
      <c r="J265" s="3">
        <f t="shared" si="6"/>
        <v>349268.44137370447</v>
      </c>
      <c r="K265" s="3">
        <f t="shared" si="7"/>
        <v>21706</v>
      </c>
      <c r="L265" s="3" t="e">
        <f t="shared" si="8"/>
        <v>#N/A</v>
      </c>
      <c r="M265" s="3" t="e">
        <f t="shared" si="9"/>
        <v>#N/A</v>
      </c>
      <c r="N265" s="3" t="e">
        <f t="shared" si="10"/>
        <v>#N/A</v>
      </c>
      <c r="O265" s="3" t="e">
        <f t="shared" si="11"/>
        <v>#N/A</v>
      </c>
    </row>
    <row r="266" spans="1:15" ht="14.25" customHeight="1">
      <c r="A266" s="2" t="s">
        <v>39</v>
      </c>
      <c r="B266" s="2">
        <v>1968</v>
      </c>
      <c r="C266" s="2" t="s">
        <v>28</v>
      </c>
      <c r="D266" s="2">
        <v>281</v>
      </c>
      <c r="E266" s="2">
        <v>2787</v>
      </c>
      <c r="J266" s="3">
        <f t="shared" si="6"/>
        <v>14275.553749237959</v>
      </c>
      <c r="K266" s="3">
        <f t="shared" si="7"/>
        <v>2787</v>
      </c>
      <c r="L266" s="3" t="e">
        <f t="shared" si="8"/>
        <v>#N/A</v>
      </c>
      <c r="M266" s="3" t="e">
        <f t="shared" si="9"/>
        <v>#N/A</v>
      </c>
      <c r="N266" s="3" t="e">
        <f t="shared" si="10"/>
        <v>#N/A</v>
      </c>
      <c r="O266" s="3" t="e">
        <f t="shared" si="11"/>
        <v>#N/A</v>
      </c>
    </row>
    <row r="267" spans="1:15" ht="14.25" customHeight="1">
      <c r="A267" s="2" t="s">
        <v>39</v>
      </c>
      <c r="B267" s="2">
        <v>1968</v>
      </c>
      <c r="C267" s="2" t="s">
        <v>37</v>
      </c>
      <c r="D267" s="2">
        <v>6594</v>
      </c>
      <c r="E267" s="2">
        <v>18919</v>
      </c>
      <c r="J267" s="3">
        <f t="shared" si="6"/>
        <v>334992.88762446656</v>
      </c>
      <c r="K267" s="3">
        <f t="shared" si="7"/>
        <v>18919</v>
      </c>
      <c r="L267" s="3" t="e">
        <f t="shared" si="8"/>
        <v>#N/A</v>
      </c>
      <c r="M267" s="3" t="e">
        <f t="shared" si="9"/>
        <v>#N/A</v>
      </c>
      <c r="N267" s="3" t="e">
        <f t="shared" si="10"/>
        <v>#N/A</v>
      </c>
      <c r="O267" s="3" t="e">
        <f t="shared" si="11"/>
        <v>#N/A</v>
      </c>
    </row>
    <row r="268" spans="1:15" ht="14.25" customHeight="1">
      <c r="A268" s="2" t="s">
        <v>39</v>
      </c>
      <c r="B268" s="2">
        <v>1969</v>
      </c>
      <c r="C268" s="2" t="s">
        <v>22</v>
      </c>
      <c r="D268" s="2">
        <v>991</v>
      </c>
      <c r="E268" s="2">
        <v>4047</v>
      </c>
      <c r="J268" s="3">
        <f t="shared" si="6"/>
        <v>50345.458240195076</v>
      </c>
      <c r="K268" s="3">
        <f t="shared" si="7"/>
        <v>4047</v>
      </c>
      <c r="L268" s="3" t="e">
        <f t="shared" si="8"/>
        <v>#N/A</v>
      </c>
      <c r="M268" s="3" t="e">
        <f t="shared" si="9"/>
        <v>#N/A</v>
      </c>
      <c r="N268" s="3" t="e">
        <f t="shared" si="10"/>
        <v>#N/A</v>
      </c>
      <c r="O268" s="3" t="e">
        <f t="shared" si="11"/>
        <v>#N/A</v>
      </c>
    </row>
    <row r="269" spans="1:15" ht="14.25" customHeight="1">
      <c r="A269" s="2" t="s">
        <v>39</v>
      </c>
      <c r="B269" s="2">
        <v>1969</v>
      </c>
      <c r="C269" s="2" t="s">
        <v>23</v>
      </c>
      <c r="D269" s="2">
        <v>1746</v>
      </c>
      <c r="E269" s="2">
        <v>6339</v>
      </c>
      <c r="J269" s="3">
        <f t="shared" si="6"/>
        <v>88701.483438325537</v>
      </c>
      <c r="K269" s="3">
        <f t="shared" si="7"/>
        <v>6339</v>
      </c>
      <c r="L269" s="3" t="e">
        <f t="shared" si="8"/>
        <v>#N/A</v>
      </c>
      <c r="M269" s="3" t="e">
        <f t="shared" si="9"/>
        <v>#N/A</v>
      </c>
      <c r="N269" s="3" t="e">
        <f t="shared" si="10"/>
        <v>#N/A</v>
      </c>
      <c r="O269" s="3" t="e">
        <f t="shared" si="11"/>
        <v>#N/A</v>
      </c>
    </row>
    <row r="270" spans="1:15" ht="14.25" customHeight="1">
      <c r="A270" s="2" t="s">
        <v>39</v>
      </c>
      <c r="B270" s="2">
        <v>1969</v>
      </c>
      <c r="C270" s="2" t="s">
        <v>25</v>
      </c>
      <c r="D270" s="2">
        <v>112</v>
      </c>
      <c r="E270" s="2">
        <v>730</v>
      </c>
      <c r="J270" s="3">
        <f t="shared" si="6"/>
        <v>5689.9004267425316</v>
      </c>
      <c r="K270" s="3">
        <f t="shared" si="7"/>
        <v>730</v>
      </c>
      <c r="L270" s="3" t="e">
        <f t="shared" si="8"/>
        <v>#N/A</v>
      </c>
      <c r="M270" s="3" t="e">
        <f t="shared" si="9"/>
        <v>#N/A</v>
      </c>
      <c r="N270" s="3" t="e">
        <f t="shared" si="10"/>
        <v>#N/A</v>
      </c>
      <c r="O270" s="3" t="e">
        <f t="shared" si="11"/>
        <v>#N/A</v>
      </c>
    </row>
    <row r="271" spans="1:15" ht="14.25" customHeight="1">
      <c r="A271" s="2" t="s">
        <v>39</v>
      </c>
      <c r="B271" s="2">
        <v>1969</v>
      </c>
      <c r="C271" s="2" t="s">
        <v>24</v>
      </c>
      <c r="D271" s="2">
        <v>527</v>
      </c>
      <c r="E271" s="2">
        <v>1638</v>
      </c>
      <c r="J271" s="3">
        <f t="shared" si="6"/>
        <v>26773.013615118878</v>
      </c>
      <c r="K271" s="3">
        <f t="shared" si="7"/>
        <v>1638</v>
      </c>
      <c r="L271" s="3" t="e">
        <f t="shared" si="8"/>
        <v>#N/A</v>
      </c>
      <c r="M271" s="3" t="e">
        <f t="shared" si="9"/>
        <v>#N/A</v>
      </c>
      <c r="N271" s="3" t="e">
        <f t="shared" si="10"/>
        <v>#N/A</v>
      </c>
      <c r="O271" s="3" t="e">
        <f t="shared" si="11"/>
        <v>#N/A</v>
      </c>
    </row>
    <row r="272" spans="1:15" ht="14.25" customHeight="1">
      <c r="A272" s="2" t="s">
        <v>39</v>
      </c>
      <c r="B272" s="2">
        <v>1969</v>
      </c>
      <c r="C272" s="2" t="s">
        <v>19</v>
      </c>
      <c r="D272" s="2">
        <v>2204</v>
      </c>
      <c r="E272" s="2">
        <v>2916</v>
      </c>
      <c r="J272" s="3">
        <f t="shared" si="6"/>
        <v>111969.11196911197</v>
      </c>
      <c r="K272" s="3">
        <f t="shared" si="7"/>
        <v>2916</v>
      </c>
      <c r="L272" s="3" t="e">
        <f t="shared" si="8"/>
        <v>#N/A</v>
      </c>
      <c r="M272" s="3" t="e">
        <f t="shared" si="9"/>
        <v>#N/A</v>
      </c>
      <c r="N272" s="3" t="e">
        <f t="shared" si="10"/>
        <v>#N/A</v>
      </c>
      <c r="O272" s="3" t="e">
        <f t="shared" si="11"/>
        <v>#N/A</v>
      </c>
    </row>
    <row r="273" spans="1:15" ht="14.25" customHeight="1">
      <c r="A273" s="2" t="s">
        <v>39</v>
      </c>
      <c r="B273" s="2">
        <v>1969</v>
      </c>
      <c r="C273" s="2" t="s">
        <v>21</v>
      </c>
      <c r="D273" s="2">
        <v>734</v>
      </c>
      <c r="E273" s="2">
        <v>386</v>
      </c>
      <c r="J273" s="3">
        <f t="shared" si="6"/>
        <v>37289.168868116234</v>
      </c>
      <c r="K273" s="3">
        <f t="shared" si="7"/>
        <v>386</v>
      </c>
      <c r="L273" s="3" t="e">
        <f t="shared" si="8"/>
        <v>#N/A</v>
      </c>
      <c r="M273" s="3" t="e">
        <f t="shared" si="9"/>
        <v>#N/A</v>
      </c>
      <c r="N273" s="3" t="e">
        <f t="shared" si="10"/>
        <v>#N/A</v>
      </c>
      <c r="O273" s="3" t="e">
        <f t="shared" si="11"/>
        <v>#N/A</v>
      </c>
    </row>
    <row r="274" spans="1:15" ht="14.25" customHeight="1">
      <c r="A274" s="2" t="s">
        <v>39</v>
      </c>
      <c r="B274" s="2">
        <v>1969</v>
      </c>
      <c r="C274" s="2" t="s">
        <v>34</v>
      </c>
      <c r="D274" s="2">
        <v>11</v>
      </c>
      <c r="E274" s="2">
        <v>713</v>
      </c>
      <c r="J274" s="3">
        <f t="shared" si="6"/>
        <v>558.82950619792723</v>
      </c>
      <c r="K274" s="3">
        <f t="shared" si="7"/>
        <v>713</v>
      </c>
      <c r="L274" s="3" t="e">
        <f t="shared" si="8"/>
        <v>#N/A</v>
      </c>
      <c r="M274" s="3" t="e">
        <f t="shared" si="9"/>
        <v>#N/A</v>
      </c>
      <c r="N274" s="3" t="e">
        <f t="shared" si="10"/>
        <v>#N/A</v>
      </c>
      <c r="O274" s="3" t="e">
        <f t="shared" si="11"/>
        <v>#N/A</v>
      </c>
    </row>
    <row r="275" spans="1:15" ht="14.25" customHeight="1">
      <c r="A275" s="2" t="s">
        <v>39</v>
      </c>
      <c r="B275" s="2">
        <v>1969</v>
      </c>
      <c r="C275" s="2" t="s">
        <v>35</v>
      </c>
      <c r="D275" s="2">
        <v>161</v>
      </c>
      <c r="E275" s="2">
        <v>2028</v>
      </c>
      <c r="J275" s="3">
        <f t="shared" si="6"/>
        <v>8179.2318634423891</v>
      </c>
      <c r="K275" s="3">
        <f t="shared" si="7"/>
        <v>2028</v>
      </c>
      <c r="L275" s="3" t="e">
        <f t="shared" si="8"/>
        <v>#N/A</v>
      </c>
      <c r="M275" s="3" t="e">
        <f t="shared" si="9"/>
        <v>#N/A</v>
      </c>
      <c r="N275" s="3" t="e">
        <f t="shared" si="10"/>
        <v>#N/A</v>
      </c>
      <c r="O275" s="3" t="e">
        <f t="shared" si="11"/>
        <v>#N/A</v>
      </c>
    </row>
    <row r="276" spans="1:15" ht="14.25" customHeight="1">
      <c r="A276" s="2" t="s">
        <v>39</v>
      </c>
      <c r="B276" s="2">
        <v>1969</v>
      </c>
      <c r="C276" s="2" t="s">
        <v>30</v>
      </c>
      <c r="D276" s="2">
        <v>0</v>
      </c>
      <c r="E276" s="2">
        <v>1</v>
      </c>
      <c r="J276" s="3">
        <f t="shared" si="6"/>
        <v>0</v>
      </c>
      <c r="K276" s="3">
        <f t="shared" si="7"/>
        <v>1</v>
      </c>
      <c r="L276" s="3" t="e">
        <f t="shared" si="8"/>
        <v>#N/A</v>
      </c>
      <c r="M276" s="3" t="e">
        <f t="shared" si="9"/>
        <v>#N/A</v>
      </c>
      <c r="N276" s="3" t="e">
        <f t="shared" si="10"/>
        <v>#N/A</v>
      </c>
      <c r="O276" s="3" t="e">
        <f t="shared" si="11"/>
        <v>#N/A</v>
      </c>
    </row>
    <row r="277" spans="1:15" ht="14.25" customHeight="1">
      <c r="A277" s="2" t="s">
        <v>39</v>
      </c>
      <c r="B277" s="2">
        <v>1969</v>
      </c>
      <c r="C277" s="2" t="s">
        <v>36</v>
      </c>
      <c r="D277" s="2">
        <v>47</v>
      </c>
      <c r="E277" s="2">
        <v>149</v>
      </c>
      <c r="J277" s="3">
        <f t="shared" si="6"/>
        <v>2387.7260719365981</v>
      </c>
      <c r="K277" s="3">
        <f t="shared" si="7"/>
        <v>149</v>
      </c>
      <c r="L277" s="3" t="e">
        <f t="shared" si="8"/>
        <v>#N/A</v>
      </c>
      <c r="M277" s="3" t="e">
        <f t="shared" si="9"/>
        <v>#N/A</v>
      </c>
      <c r="N277" s="3" t="e">
        <f t="shared" si="10"/>
        <v>#N/A</v>
      </c>
      <c r="O277" s="3" t="e">
        <f t="shared" si="11"/>
        <v>#N/A</v>
      </c>
    </row>
    <row r="278" spans="1:15" ht="14.25" customHeight="1">
      <c r="A278" s="2" t="s">
        <v>39</v>
      </c>
      <c r="B278" s="2">
        <v>1969</v>
      </c>
      <c r="C278" s="2" t="s">
        <v>16</v>
      </c>
      <c r="D278" s="2">
        <v>7389</v>
      </c>
      <c r="E278" s="2">
        <v>22559</v>
      </c>
      <c r="J278" s="3">
        <f t="shared" si="6"/>
        <v>375381.02011786221</v>
      </c>
      <c r="K278" s="3">
        <f t="shared" si="7"/>
        <v>22559</v>
      </c>
      <c r="L278" s="3" t="e">
        <f t="shared" si="8"/>
        <v>#N/A</v>
      </c>
      <c r="M278" s="3" t="e">
        <f t="shared" si="9"/>
        <v>#N/A</v>
      </c>
      <c r="N278" s="3" t="e">
        <f t="shared" si="10"/>
        <v>#N/A</v>
      </c>
      <c r="O278" s="3" t="e">
        <f t="shared" si="11"/>
        <v>#N/A</v>
      </c>
    </row>
    <row r="279" spans="1:15" ht="14.25" customHeight="1">
      <c r="A279" s="2" t="s">
        <v>39</v>
      </c>
      <c r="B279" s="2">
        <v>1969</v>
      </c>
      <c r="C279" s="2" t="s">
        <v>28</v>
      </c>
      <c r="D279" s="2">
        <v>370</v>
      </c>
      <c r="E279" s="2">
        <v>3584</v>
      </c>
      <c r="J279" s="3">
        <f t="shared" si="6"/>
        <v>18796.992481203008</v>
      </c>
      <c r="K279" s="3">
        <f t="shared" si="7"/>
        <v>3584</v>
      </c>
      <c r="L279" s="3" t="e">
        <f t="shared" si="8"/>
        <v>#N/A</v>
      </c>
      <c r="M279" s="3" t="e">
        <f t="shared" si="9"/>
        <v>#N/A</v>
      </c>
      <c r="N279" s="3" t="e">
        <f t="shared" si="10"/>
        <v>#N/A</v>
      </c>
      <c r="O279" s="3" t="e">
        <f t="shared" si="11"/>
        <v>#N/A</v>
      </c>
    </row>
    <row r="280" spans="1:15" ht="14.25" customHeight="1">
      <c r="A280" s="2" t="s">
        <v>39</v>
      </c>
      <c r="B280" s="2">
        <v>1969</v>
      </c>
      <c r="C280" s="2" t="s">
        <v>37</v>
      </c>
      <c r="D280" s="2">
        <v>7019</v>
      </c>
      <c r="E280" s="2">
        <v>18975</v>
      </c>
      <c r="J280" s="3">
        <f t="shared" si="6"/>
        <v>356584.02763665922</v>
      </c>
      <c r="K280" s="3">
        <f t="shared" si="7"/>
        <v>18975</v>
      </c>
      <c r="L280" s="3" t="e">
        <f t="shared" si="8"/>
        <v>#N/A</v>
      </c>
      <c r="M280" s="3" t="e">
        <f t="shared" si="9"/>
        <v>#N/A</v>
      </c>
      <c r="N280" s="3" t="e">
        <f t="shared" si="10"/>
        <v>#N/A</v>
      </c>
      <c r="O280" s="3" t="e">
        <f t="shared" si="11"/>
        <v>#N/A</v>
      </c>
    </row>
    <row r="281" spans="1:15" ht="14.25" customHeight="1">
      <c r="A281" s="2" t="s">
        <v>39</v>
      </c>
      <c r="B281" s="2">
        <v>1970</v>
      </c>
      <c r="C281" s="2" t="s">
        <v>22</v>
      </c>
      <c r="D281" s="2">
        <v>896</v>
      </c>
      <c r="E281" s="2">
        <v>4624</v>
      </c>
      <c r="J281" s="3">
        <f t="shared" si="6"/>
        <v>45519.203413940253</v>
      </c>
      <c r="K281" s="3">
        <f t="shared" si="7"/>
        <v>4624</v>
      </c>
      <c r="L281" s="3" t="e">
        <f t="shared" si="8"/>
        <v>#N/A</v>
      </c>
      <c r="M281" s="3" t="e">
        <f t="shared" si="9"/>
        <v>#N/A</v>
      </c>
      <c r="N281" s="3" t="e">
        <f t="shared" si="10"/>
        <v>#N/A</v>
      </c>
      <c r="O281" s="3" t="e">
        <f t="shared" si="11"/>
        <v>#N/A</v>
      </c>
    </row>
    <row r="282" spans="1:15" ht="14.25" customHeight="1">
      <c r="A282" s="2" t="s">
        <v>39</v>
      </c>
      <c r="B282" s="2">
        <v>1970</v>
      </c>
      <c r="C282" s="2" t="s">
        <v>23</v>
      </c>
      <c r="D282" s="2">
        <v>2634</v>
      </c>
      <c r="E282" s="2">
        <v>8945</v>
      </c>
      <c r="J282" s="3">
        <f t="shared" si="6"/>
        <v>133814.26539321276</v>
      </c>
      <c r="K282" s="3">
        <f t="shared" si="7"/>
        <v>8945</v>
      </c>
      <c r="L282" s="3" t="e">
        <f t="shared" si="8"/>
        <v>#N/A</v>
      </c>
      <c r="M282" s="3" t="e">
        <f t="shared" si="9"/>
        <v>#N/A</v>
      </c>
      <c r="N282" s="3" t="e">
        <f t="shared" si="10"/>
        <v>#N/A</v>
      </c>
      <c r="O282" s="3" t="e">
        <f t="shared" si="11"/>
        <v>#N/A</v>
      </c>
    </row>
    <row r="283" spans="1:15" ht="14.25" customHeight="1">
      <c r="A283" s="2" t="s">
        <v>39</v>
      </c>
      <c r="B283" s="2">
        <v>1970</v>
      </c>
      <c r="C283" s="2" t="s">
        <v>25</v>
      </c>
      <c r="D283" s="2">
        <v>105</v>
      </c>
      <c r="E283" s="2">
        <v>730</v>
      </c>
      <c r="J283" s="3">
        <f t="shared" si="6"/>
        <v>5334.2816500711242</v>
      </c>
      <c r="K283" s="3">
        <f t="shared" si="7"/>
        <v>730</v>
      </c>
      <c r="L283" s="3" t="e">
        <f t="shared" si="8"/>
        <v>#N/A</v>
      </c>
      <c r="M283" s="3" t="e">
        <f t="shared" si="9"/>
        <v>#N/A</v>
      </c>
      <c r="N283" s="3" t="e">
        <f t="shared" si="10"/>
        <v>#N/A</v>
      </c>
      <c r="O283" s="3" t="e">
        <f t="shared" si="11"/>
        <v>#N/A</v>
      </c>
    </row>
    <row r="284" spans="1:15" ht="14.25" customHeight="1">
      <c r="A284" s="2" t="s">
        <v>39</v>
      </c>
      <c r="B284" s="2">
        <v>1970</v>
      </c>
      <c r="C284" s="2" t="s">
        <v>38</v>
      </c>
      <c r="D284" s="2">
        <v>356</v>
      </c>
      <c r="E284" s="2">
        <v>659</v>
      </c>
      <c r="J284" s="3">
        <f t="shared" si="6"/>
        <v>18085.754927860191</v>
      </c>
      <c r="K284" s="3">
        <f t="shared" si="7"/>
        <v>659</v>
      </c>
      <c r="L284" s="3" t="e">
        <f t="shared" si="8"/>
        <v>#N/A</v>
      </c>
      <c r="M284" s="3" t="e">
        <f t="shared" si="9"/>
        <v>#N/A</v>
      </c>
      <c r="N284" s="3" t="e">
        <f t="shared" si="10"/>
        <v>#N/A</v>
      </c>
      <c r="O284" s="3" t="e">
        <f t="shared" si="11"/>
        <v>#N/A</v>
      </c>
    </row>
    <row r="285" spans="1:15" ht="14.25" customHeight="1">
      <c r="A285" s="2" t="s">
        <v>39</v>
      </c>
      <c r="B285" s="2">
        <v>1970</v>
      </c>
      <c r="C285" s="2" t="s">
        <v>24</v>
      </c>
      <c r="D285" s="2">
        <v>494</v>
      </c>
      <c r="E285" s="2">
        <v>1407</v>
      </c>
      <c r="J285" s="3">
        <f t="shared" si="6"/>
        <v>25096.525096525096</v>
      </c>
      <c r="K285" s="3">
        <f t="shared" si="7"/>
        <v>1407</v>
      </c>
      <c r="L285" s="3" t="e">
        <f t="shared" si="8"/>
        <v>#N/A</v>
      </c>
      <c r="M285" s="3" t="e">
        <f t="shared" si="9"/>
        <v>#N/A</v>
      </c>
      <c r="N285" s="3" t="e">
        <f t="shared" si="10"/>
        <v>#N/A</v>
      </c>
      <c r="O285" s="3" t="e">
        <f t="shared" si="11"/>
        <v>#N/A</v>
      </c>
    </row>
    <row r="286" spans="1:15" ht="14.25" customHeight="1">
      <c r="A286" s="2" t="s">
        <v>39</v>
      </c>
      <c r="B286" s="2">
        <v>1970</v>
      </c>
      <c r="C286" s="2" t="s">
        <v>19</v>
      </c>
      <c r="D286" s="2">
        <v>2494</v>
      </c>
      <c r="E286" s="2">
        <v>4011</v>
      </c>
      <c r="J286" s="3">
        <f t="shared" si="6"/>
        <v>126701.88985978458</v>
      </c>
      <c r="K286" s="3">
        <f t="shared" si="7"/>
        <v>4011</v>
      </c>
      <c r="L286" s="3" t="e">
        <f t="shared" si="8"/>
        <v>#N/A</v>
      </c>
      <c r="M286" s="3" t="e">
        <f t="shared" si="9"/>
        <v>#N/A</v>
      </c>
      <c r="N286" s="3" t="e">
        <f t="shared" si="10"/>
        <v>#N/A</v>
      </c>
      <c r="O286" s="3" t="e">
        <f t="shared" si="11"/>
        <v>#N/A</v>
      </c>
    </row>
    <row r="287" spans="1:15" ht="14.25" customHeight="1">
      <c r="A287" s="2" t="s">
        <v>39</v>
      </c>
      <c r="B287" s="2">
        <v>1970</v>
      </c>
      <c r="C287" s="2" t="s">
        <v>21</v>
      </c>
      <c r="D287" s="2">
        <v>365</v>
      </c>
      <c r="E287" s="2">
        <v>285</v>
      </c>
      <c r="J287" s="3">
        <f t="shared" si="6"/>
        <v>18542.979069294859</v>
      </c>
      <c r="K287" s="3">
        <f t="shared" si="7"/>
        <v>285</v>
      </c>
      <c r="L287" s="3" t="e">
        <f t="shared" si="8"/>
        <v>#N/A</v>
      </c>
      <c r="M287" s="3" t="e">
        <f t="shared" si="9"/>
        <v>#N/A</v>
      </c>
      <c r="N287" s="3" t="e">
        <f t="shared" si="10"/>
        <v>#N/A</v>
      </c>
      <c r="O287" s="3" t="e">
        <f t="shared" si="11"/>
        <v>#N/A</v>
      </c>
    </row>
    <row r="288" spans="1:15" ht="14.25" customHeight="1">
      <c r="A288" s="2" t="s">
        <v>39</v>
      </c>
      <c r="B288" s="2">
        <v>1970</v>
      </c>
      <c r="C288" s="2" t="s">
        <v>34</v>
      </c>
      <c r="D288" s="2">
        <v>12</v>
      </c>
      <c r="E288" s="2">
        <v>770</v>
      </c>
      <c r="J288" s="3">
        <f t="shared" si="6"/>
        <v>609.6321885795569</v>
      </c>
      <c r="K288" s="3">
        <f t="shared" si="7"/>
        <v>770</v>
      </c>
      <c r="L288" s="3" t="e">
        <f t="shared" si="8"/>
        <v>#N/A</v>
      </c>
      <c r="M288" s="3" t="e">
        <f t="shared" si="9"/>
        <v>#N/A</v>
      </c>
      <c r="N288" s="3" t="e">
        <f t="shared" si="10"/>
        <v>#N/A</v>
      </c>
      <c r="O288" s="3" t="e">
        <f t="shared" si="11"/>
        <v>#N/A</v>
      </c>
    </row>
    <row r="289" spans="1:15" ht="14.25" customHeight="1">
      <c r="A289" s="2" t="s">
        <v>39</v>
      </c>
      <c r="B289" s="2">
        <v>1970</v>
      </c>
      <c r="C289" s="2" t="s">
        <v>35</v>
      </c>
      <c r="D289" s="2">
        <v>161</v>
      </c>
      <c r="E289" s="2">
        <v>1993</v>
      </c>
      <c r="J289" s="3">
        <f t="shared" si="6"/>
        <v>8179.2318634423891</v>
      </c>
      <c r="K289" s="3">
        <f t="shared" si="7"/>
        <v>1993</v>
      </c>
      <c r="L289" s="3" t="e">
        <f t="shared" si="8"/>
        <v>#N/A</v>
      </c>
      <c r="M289" s="3" t="e">
        <f t="shared" si="9"/>
        <v>#N/A</v>
      </c>
      <c r="N289" s="3" t="e">
        <f t="shared" si="10"/>
        <v>#N/A</v>
      </c>
      <c r="O289" s="3" t="e">
        <f t="shared" si="11"/>
        <v>#N/A</v>
      </c>
    </row>
    <row r="290" spans="1:15" ht="14.25" customHeight="1">
      <c r="A290" s="2" t="s">
        <v>39</v>
      </c>
      <c r="B290" s="2">
        <v>1970</v>
      </c>
      <c r="C290" s="2" t="s">
        <v>30</v>
      </c>
      <c r="D290" s="2">
        <v>2</v>
      </c>
      <c r="E290" s="2">
        <v>22</v>
      </c>
      <c r="J290" s="3">
        <f t="shared" si="6"/>
        <v>101.6053647632595</v>
      </c>
      <c r="K290" s="3">
        <f t="shared" si="7"/>
        <v>22</v>
      </c>
      <c r="L290" s="3" t="e">
        <f t="shared" si="8"/>
        <v>#N/A</v>
      </c>
      <c r="M290" s="3" t="e">
        <f t="shared" si="9"/>
        <v>#N/A</v>
      </c>
      <c r="N290" s="3" t="e">
        <f t="shared" si="10"/>
        <v>#N/A</v>
      </c>
      <c r="O290" s="3" t="e">
        <f t="shared" si="11"/>
        <v>#N/A</v>
      </c>
    </row>
    <row r="291" spans="1:15" ht="14.25" customHeight="1">
      <c r="A291" s="2" t="s">
        <v>39</v>
      </c>
      <c r="B291" s="2">
        <v>1970</v>
      </c>
      <c r="C291" s="2" t="s">
        <v>36</v>
      </c>
      <c r="D291" s="2">
        <v>44</v>
      </c>
      <c r="E291" s="2">
        <v>153</v>
      </c>
      <c r="J291" s="3">
        <f t="shared" si="6"/>
        <v>2235.3180247917089</v>
      </c>
      <c r="K291" s="3">
        <f t="shared" si="7"/>
        <v>153</v>
      </c>
      <c r="L291" s="3" t="e">
        <f t="shared" si="8"/>
        <v>#N/A</v>
      </c>
      <c r="M291" s="3" t="e">
        <f t="shared" si="9"/>
        <v>#N/A</v>
      </c>
      <c r="N291" s="3" t="e">
        <f t="shared" si="10"/>
        <v>#N/A</v>
      </c>
      <c r="O291" s="3" t="e">
        <f t="shared" si="11"/>
        <v>#N/A</v>
      </c>
    </row>
    <row r="292" spans="1:15" ht="14.25" customHeight="1">
      <c r="A292" s="2" t="s">
        <v>39</v>
      </c>
      <c r="B292" s="2">
        <v>1970</v>
      </c>
      <c r="C292" s="2" t="s">
        <v>16</v>
      </c>
      <c r="D292" s="2">
        <v>8256</v>
      </c>
      <c r="E292" s="2">
        <v>27240</v>
      </c>
      <c r="J292" s="3">
        <f t="shared" si="6"/>
        <v>419426.94574273517</v>
      </c>
      <c r="K292" s="3">
        <f t="shared" si="7"/>
        <v>27240</v>
      </c>
      <c r="L292" s="3" t="e">
        <f t="shared" si="8"/>
        <v>#N/A</v>
      </c>
      <c r="M292" s="3" t="e">
        <f t="shared" si="9"/>
        <v>#N/A</v>
      </c>
      <c r="N292" s="3" t="e">
        <f t="shared" si="10"/>
        <v>#N/A</v>
      </c>
      <c r="O292" s="3" t="e">
        <f t="shared" si="11"/>
        <v>#N/A</v>
      </c>
    </row>
    <row r="293" spans="1:15" ht="14.25" customHeight="1">
      <c r="A293" s="2" t="s">
        <v>39</v>
      </c>
      <c r="B293" s="2">
        <v>1970</v>
      </c>
      <c r="C293" s="2" t="s">
        <v>28</v>
      </c>
      <c r="D293" s="2">
        <v>445</v>
      </c>
      <c r="E293" s="2">
        <v>3953</v>
      </c>
      <c r="J293" s="3">
        <f t="shared" si="6"/>
        <v>22607.19365982524</v>
      </c>
      <c r="K293" s="3">
        <f t="shared" si="7"/>
        <v>3953</v>
      </c>
      <c r="L293" s="3" t="e">
        <f t="shared" si="8"/>
        <v>#N/A</v>
      </c>
      <c r="M293" s="3" t="e">
        <f t="shared" si="9"/>
        <v>#N/A</v>
      </c>
      <c r="N293" s="3" t="e">
        <f t="shared" si="10"/>
        <v>#N/A</v>
      </c>
      <c r="O293" s="3" t="e">
        <f t="shared" si="11"/>
        <v>#N/A</v>
      </c>
    </row>
    <row r="294" spans="1:15" ht="14.25" customHeight="1">
      <c r="A294" s="2" t="s">
        <v>39</v>
      </c>
      <c r="B294" s="2">
        <v>1970</v>
      </c>
      <c r="C294" s="2" t="s">
        <v>37</v>
      </c>
      <c r="D294" s="2">
        <v>7811</v>
      </c>
      <c r="E294" s="2">
        <v>23287</v>
      </c>
      <c r="J294" s="3">
        <f t="shared" si="6"/>
        <v>396819.75208290992</v>
      </c>
      <c r="K294" s="3">
        <f t="shared" si="7"/>
        <v>23287</v>
      </c>
      <c r="L294" s="3" t="e">
        <f t="shared" si="8"/>
        <v>#N/A</v>
      </c>
      <c r="M294" s="3" t="e">
        <f t="shared" si="9"/>
        <v>#N/A</v>
      </c>
      <c r="N294" s="3" t="e">
        <f t="shared" si="10"/>
        <v>#N/A</v>
      </c>
      <c r="O294" s="3" t="e">
        <f t="shared" si="11"/>
        <v>#N/A</v>
      </c>
    </row>
    <row r="295" spans="1:15" ht="14.25" customHeight="1">
      <c r="A295" s="2" t="s">
        <v>39</v>
      </c>
      <c r="B295" s="2">
        <v>1971</v>
      </c>
      <c r="C295" s="2" t="s">
        <v>22</v>
      </c>
      <c r="D295" s="2">
        <v>942</v>
      </c>
      <c r="E295" s="2">
        <v>6068</v>
      </c>
      <c r="J295" s="3">
        <f t="shared" si="6"/>
        <v>47856.126803495223</v>
      </c>
      <c r="K295" s="3">
        <f t="shared" si="7"/>
        <v>6068</v>
      </c>
      <c r="L295" s="3" t="e">
        <f t="shared" si="8"/>
        <v>#N/A</v>
      </c>
      <c r="M295" s="3" t="e">
        <f t="shared" si="9"/>
        <v>#N/A</v>
      </c>
      <c r="N295" s="3" t="e">
        <f t="shared" si="10"/>
        <v>#N/A</v>
      </c>
      <c r="O295" s="3" t="e">
        <f t="shared" si="11"/>
        <v>#N/A</v>
      </c>
    </row>
    <row r="296" spans="1:15" ht="14.25" customHeight="1">
      <c r="A296" s="2" t="s">
        <v>39</v>
      </c>
      <c r="B296" s="2">
        <v>1971</v>
      </c>
      <c r="C296" s="2" t="s">
        <v>23</v>
      </c>
      <c r="D296" s="2">
        <v>2828</v>
      </c>
      <c r="E296" s="2">
        <v>12547</v>
      </c>
      <c r="J296" s="3">
        <f t="shared" si="6"/>
        <v>143669.98577524893</v>
      </c>
      <c r="K296" s="3">
        <f t="shared" si="7"/>
        <v>12547</v>
      </c>
      <c r="L296" s="3" t="e">
        <f t="shared" si="8"/>
        <v>#N/A</v>
      </c>
      <c r="M296" s="3" t="e">
        <f t="shared" si="9"/>
        <v>#N/A</v>
      </c>
      <c r="N296" s="3" t="e">
        <f t="shared" si="10"/>
        <v>#N/A</v>
      </c>
      <c r="O296" s="3" t="e">
        <f t="shared" si="11"/>
        <v>#N/A</v>
      </c>
    </row>
    <row r="297" spans="1:15" ht="14.25" customHeight="1">
      <c r="A297" s="2" t="s">
        <v>39</v>
      </c>
      <c r="B297" s="2">
        <v>1971</v>
      </c>
      <c r="C297" s="2" t="s">
        <v>25</v>
      </c>
      <c r="D297" s="2">
        <v>94</v>
      </c>
      <c r="E297" s="2">
        <v>765</v>
      </c>
      <c r="J297" s="3">
        <f t="shared" si="6"/>
        <v>4775.4521438731963</v>
      </c>
      <c r="K297" s="3">
        <f t="shared" si="7"/>
        <v>765</v>
      </c>
      <c r="L297" s="3" t="e">
        <f t="shared" si="8"/>
        <v>#N/A</v>
      </c>
      <c r="M297" s="3" t="e">
        <f t="shared" si="9"/>
        <v>#N/A</v>
      </c>
      <c r="N297" s="3" t="e">
        <f t="shared" si="10"/>
        <v>#N/A</v>
      </c>
      <c r="O297" s="3" t="e">
        <f t="shared" si="11"/>
        <v>#N/A</v>
      </c>
    </row>
    <row r="298" spans="1:15" ht="14.25" customHeight="1">
      <c r="A298" s="2" t="s">
        <v>39</v>
      </c>
      <c r="B298" s="2">
        <v>1971</v>
      </c>
      <c r="C298" s="2" t="s">
        <v>38</v>
      </c>
      <c r="D298" s="2">
        <v>325</v>
      </c>
      <c r="E298" s="2">
        <v>854</v>
      </c>
      <c r="J298" s="3">
        <f t="shared" si="6"/>
        <v>16510.871774029667</v>
      </c>
      <c r="K298" s="3">
        <f t="shared" si="7"/>
        <v>854</v>
      </c>
      <c r="L298" s="3" t="e">
        <f t="shared" si="8"/>
        <v>#N/A</v>
      </c>
      <c r="M298" s="3" t="e">
        <f t="shared" si="9"/>
        <v>#N/A</v>
      </c>
      <c r="N298" s="3" t="e">
        <f t="shared" si="10"/>
        <v>#N/A</v>
      </c>
      <c r="O298" s="3" t="e">
        <f t="shared" si="11"/>
        <v>#N/A</v>
      </c>
    </row>
    <row r="299" spans="1:15" ht="14.25" customHeight="1">
      <c r="A299" s="2" t="s">
        <v>39</v>
      </c>
      <c r="B299" s="2">
        <v>1971</v>
      </c>
      <c r="C299" s="2" t="s">
        <v>24</v>
      </c>
      <c r="D299" s="2">
        <v>672</v>
      </c>
      <c r="E299" s="2">
        <v>2475</v>
      </c>
      <c r="J299" s="3">
        <f t="shared" si="6"/>
        <v>34139.402560455186</v>
      </c>
      <c r="K299" s="3">
        <f t="shared" si="7"/>
        <v>2475</v>
      </c>
      <c r="L299" s="3" t="e">
        <f t="shared" si="8"/>
        <v>#N/A</v>
      </c>
      <c r="M299" s="3" t="e">
        <f t="shared" si="9"/>
        <v>#N/A</v>
      </c>
      <c r="N299" s="3" t="e">
        <f t="shared" si="10"/>
        <v>#N/A</v>
      </c>
      <c r="O299" s="3" t="e">
        <f t="shared" si="11"/>
        <v>#N/A</v>
      </c>
    </row>
    <row r="300" spans="1:15" ht="14.25" customHeight="1">
      <c r="A300" s="2" t="s">
        <v>39</v>
      </c>
      <c r="B300" s="2">
        <v>1971</v>
      </c>
      <c r="C300" s="2" t="s">
        <v>19</v>
      </c>
      <c r="D300" s="2">
        <v>2615</v>
      </c>
      <c r="E300" s="2">
        <v>4429</v>
      </c>
      <c r="J300" s="3">
        <f t="shared" si="6"/>
        <v>132849.01442796178</v>
      </c>
      <c r="K300" s="3">
        <f t="shared" si="7"/>
        <v>4429</v>
      </c>
      <c r="L300" s="3" t="e">
        <f t="shared" si="8"/>
        <v>#N/A</v>
      </c>
      <c r="M300" s="3" t="e">
        <f t="shared" si="9"/>
        <v>#N/A</v>
      </c>
      <c r="N300" s="3" t="e">
        <f t="shared" si="10"/>
        <v>#N/A</v>
      </c>
      <c r="O300" s="3" t="e">
        <f t="shared" si="11"/>
        <v>#N/A</v>
      </c>
    </row>
    <row r="301" spans="1:15" ht="14.25" customHeight="1">
      <c r="A301" s="2" t="s">
        <v>39</v>
      </c>
      <c r="B301" s="2">
        <v>1971</v>
      </c>
      <c r="C301" s="2" t="s">
        <v>21</v>
      </c>
      <c r="D301" s="2">
        <v>462</v>
      </c>
      <c r="E301" s="2">
        <v>426</v>
      </c>
      <c r="J301" s="3">
        <f t="shared" si="6"/>
        <v>23470.839260312943</v>
      </c>
      <c r="K301" s="3">
        <f t="shared" si="7"/>
        <v>426</v>
      </c>
      <c r="L301" s="3" t="e">
        <f t="shared" si="8"/>
        <v>#N/A</v>
      </c>
      <c r="M301" s="3" t="e">
        <f t="shared" si="9"/>
        <v>#N/A</v>
      </c>
      <c r="N301" s="3" t="e">
        <f t="shared" si="10"/>
        <v>#N/A</v>
      </c>
      <c r="O301" s="3" t="e">
        <f t="shared" si="11"/>
        <v>#N/A</v>
      </c>
    </row>
    <row r="302" spans="1:15" ht="14.25" customHeight="1">
      <c r="A302" s="2" t="s">
        <v>39</v>
      </c>
      <c r="B302" s="2">
        <v>1971</v>
      </c>
      <c r="C302" s="2" t="s">
        <v>34</v>
      </c>
      <c r="D302" s="2">
        <v>13</v>
      </c>
      <c r="E302" s="2">
        <v>905</v>
      </c>
      <c r="J302" s="3">
        <f t="shared" si="6"/>
        <v>660.43487096118668</v>
      </c>
      <c r="K302" s="3">
        <f t="shared" si="7"/>
        <v>905</v>
      </c>
      <c r="L302" s="3" t="e">
        <f t="shared" si="8"/>
        <v>#N/A</v>
      </c>
      <c r="M302" s="3" t="e">
        <f t="shared" si="9"/>
        <v>#N/A</v>
      </c>
      <c r="N302" s="3" t="e">
        <f t="shared" si="10"/>
        <v>#N/A</v>
      </c>
      <c r="O302" s="3" t="e">
        <f t="shared" si="11"/>
        <v>#N/A</v>
      </c>
    </row>
    <row r="303" spans="1:15" ht="14.25" customHeight="1">
      <c r="A303" s="2" t="s">
        <v>39</v>
      </c>
      <c r="B303" s="2">
        <v>1971</v>
      </c>
      <c r="C303" s="2" t="s">
        <v>35</v>
      </c>
      <c r="D303" s="2">
        <v>178</v>
      </c>
      <c r="E303" s="2">
        <v>2115</v>
      </c>
      <c r="J303" s="3">
        <f t="shared" si="6"/>
        <v>9042.8774639300955</v>
      </c>
      <c r="K303" s="3">
        <f t="shared" si="7"/>
        <v>2115</v>
      </c>
      <c r="L303" s="3" t="e">
        <f t="shared" si="8"/>
        <v>#N/A</v>
      </c>
      <c r="M303" s="3" t="e">
        <f t="shared" si="9"/>
        <v>#N/A</v>
      </c>
      <c r="N303" s="3" t="e">
        <f t="shared" si="10"/>
        <v>#N/A</v>
      </c>
      <c r="O303" s="3" t="e">
        <f t="shared" si="11"/>
        <v>#N/A</v>
      </c>
    </row>
    <row r="304" spans="1:15" ht="14.25" customHeight="1">
      <c r="A304" s="2" t="s">
        <v>39</v>
      </c>
      <c r="B304" s="2">
        <v>1971</v>
      </c>
      <c r="C304" s="2" t="s">
        <v>30</v>
      </c>
      <c r="D304" s="2">
        <v>9</v>
      </c>
      <c r="E304" s="2">
        <v>86</v>
      </c>
      <c r="J304" s="3">
        <f t="shared" si="6"/>
        <v>457.22414143466773</v>
      </c>
      <c r="K304" s="3">
        <f t="shared" si="7"/>
        <v>86</v>
      </c>
      <c r="L304" s="3" t="e">
        <f t="shared" si="8"/>
        <v>#N/A</v>
      </c>
      <c r="M304" s="3" t="e">
        <f t="shared" si="9"/>
        <v>#N/A</v>
      </c>
      <c r="N304" s="3" t="e">
        <f t="shared" si="10"/>
        <v>#N/A</v>
      </c>
      <c r="O304" s="3" t="e">
        <f t="shared" si="11"/>
        <v>#N/A</v>
      </c>
    </row>
    <row r="305" spans="1:15" ht="14.25" customHeight="1">
      <c r="A305" s="2" t="s">
        <v>39</v>
      </c>
      <c r="B305" s="2">
        <v>1971</v>
      </c>
      <c r="C305" s="2" t="s">
        <v>36</v>
      </c>
      <c r="D305" s="2">
        <v>34</v>
      </c>
      <c r="E305" s="2">
        <v>126</v>
      </c>
      <c r="J305" s="3">
        <f t="shared" si="6"/>
        <v>1727.2912009754114</v>
      </c>
      <c r="K305" s="3">
        <f t="shared" si="7"/>
        <v>126</v>
      </c>
      <c r="L305" s="3" t="e">
        <f t="shared" si="8"/>
        <v>#N/A</v>
      </c>
      <c r="M305" s="3" t="e">
        <f t="shared" si="9"/>
        <v>#N/A</v>
      </c>
      <c r="N305" s="3" t="e">
        <f t="shared" si="10"/>
        <v>#N/A</v>
      </c>
      <c r="O305" s="3" t="e">
        <f t="shared" si="11"/>
        <v>#N/A</v>
      </c>
    </row>
    <row r="306" spans="1:15" ht="14.25" customHeight="1">
      <c r="A306" s="2" t="s">
        <v>39</v>
      </c>
      <c r="B306" s="2">
        <v>1971</v>
      </c>
      <c r="C306" s="2" t="s">
        <v>16</v>
      </c>
      <c r="D306" s="2">
        <v>8921</v>
      </c>
      <c r="E306" s="2">
        <v>35005</v>
      </c>
      <c r="J306" s="3">
        <f t="shared" si="6"/>
        <v>453210.72952651902</v>
      </c>
      <c r="K306" s="3">
        <f t="shared" si="7"/>
        <v>35005</v>
      </c>
      <c r="L306" s="3" t="e">
        <f t="shared" si="8"/>
        <v>#N/A</v>
      </c>
      <c r="M306" s="3" t="e">
        <f t="shared" si="9"/>
        <v>#N/A</v>
      </c>
      <c r="N306" s="3" t="e">
        <f t="shared" si="10"/>
        <v>#N/A</v>
      </c>
      <c r="O306" s="3" t="e">
        <f t="shared" si="11"/>
        <v>#N/A</v>
      </c>
    </row>
    <row r="307" spans="1:15" ht="14.25" customHeight="1">
      <c r="A307" s="2" t="s">
        <v>39</v>
      </c>
      <c r="B307" s="2">
        <v>1971</v>
      </c>
      <c r="C307" s="2" t="s">
        <v>28</v>
      </c>
      <c r="D307" s="2">
        <v>444</v>
      </c>
      <c r="E307" s="2">
        <v>4406</v>
      </c>
      <c r="J307" s="3">
        <f t="shared" si="6"/>
        <v>22556.390977443611</v>
      </c>
      <c r="K307" s="3">
        <f t="shared" si="7"/>
        <v>4406</v>
      </c>
      <c r="L307" s="3" t="e">
        <f t="shared" si="8"/>
        <v>#N/A</v>
      </c>
      <c r="M307" s="3" t="e">
        <f t="shared" si="9"/>
        <v>#N/A</v>
      </c>
      <c r="N307" s="3" t="e">
        <f t="shared" si="10"/>
        <v>#N/A</v>
      </c>
      <c r="O307" s="3" t="e">
        <f t="shared" si="11"/>
        <v>#N/A</v>
      </c>
    </row>
    <row r="308" spans="1:15" ht="14.25" customHeight="1">
      <c r="A308" s="2" t="s">
        <v>39</v>
      </c>
      <c r="B308" s="2">
        <v>1971</v>
      </c>
      <c r="C308" s="2" t="s">
        <v>37</v>
      </c>
      <c r="D308" s="2">
        <v>8477</v>
      </c>
      <c r="E308" s="2">
        <v>30599</v>
      </c>
      <c r="J308" s="3">
        <f t="shared" si="6"/>
        <v>430654.33854907536</v>
      </c>
      <c r="K308" s="3">
        <f t="shared" si="7"/>
        <v>30599</v>
      </c>
      <c r="L308" s="3" t="e">
        <f t="shared" si="8"/>
        <v>#N/A</v>
      </c>
      <c r="M308" s="3" t="e">
        <f t="shared" si="9"/>
        <v>#N/A</v>
      </c>
      <c r="N308" s="3" t="e">
        <f t="shared" si="10"/>
        <v>#N/A</v>
      </c>
      <c r="O308" s="3" t="e">
        <f t="shared" si="11"/>
        <v>#N/A</v>
      </c>
    </row>
    <row r="309" spans="1:15" ht="14.25" customHeight="1">
      <c r="A309" s="2" t="s">
        <v>39</v>
      </c>
      <c r="B309" s="2">
        <v>1972</v>
      </c>
      <c r="C309" s="2" t="s">
        <v>22</v>
      </c>
      <c r="D309" s="2">
        <v>1208</v>
      </c>
      <c r="E309" s="2">
        <v>8998</v>
      </c>
      <c r="J309" s="3">
        <f t="shared" si="6"/>
        <v>61369.640317008736</v>
      </c>
      <c r="K309" s="3">
        <f t="shared" si="7"/>
        <v>8998</v>
      </c>
      <c r="L309" s="3" t="e">
        <f t="shared" si="8"/>
        <v>#N/A</v>
      </c>
      <c r="M309" s="3" t="e">
        <f t="shared" si="9"/>
        <v>#N/A</v>
      </c>
      <c r="N309" s="3" t="e">
        <f t="shared" si="10"/>
        <v>#N/A</v>
      </c>
      <c r="O309" s="3" t="e">
        <f t="shared" si="11"/>
        <v>#N/A</v>
      </c>
    </row>
    <row r="310" spans="1:15" ht="14.25" customHeight="1">
      <c r="A310" s="2" t="s">
        <v>39</v>
      </c>
      <c r="B310" s="2">
        <v>1972</v>
      </c>
      <c r="C310" s="2" t="s">
        <v>23</v>
      </c>
      <c r="D310" s="2">
        <v>2263</v>
      </c>
      <c r="E310" s="2">
        <v>14336</v>
      </c>
      <c r="J310" s="3">
        <f t="shared" si="6"/>
        <v>114966.47022962812</v>
      </c>
      <c r="K310" s="3">
        <f t="shared" si="7"/>
        <v>14336</v>
      </c>
      <c r="L310" s="3" t="e">
        <f t="shared" si="8"/>
        <v>#N/A</v>
      </c>
      <c r="M310" s="3" t="e">
        <f t="shared" si="9"/>
        <v>#N/A</v>
      </c>
      <c r="N310" s="3" t="e">
        <f t="shared" si="10"/>
        <v>#N/A</v>
      </c>
      <c r="O310" s="3" t="e">
        <f t="shared" si="11"/>
        <v>#N/A</v>
      </c>
    </row>
    <row r="311" spans="1:15" ht="14.25" customHeight="1">
      <c r="A311" s="2" t="s">
        <v>39</v>
      </c>
      <c r="B311" s="2">
        <v>1972</v>
      </c>
      <c r="C311" s="2" t="s">
        <v>25</v>
      </c>
      <c r="D311" s="2">
        <v>76</v>
      </c>
      <c r="E311" s="2">
        <v>699</v>
      </c>
      <c r="J311" s="3">
        <f t="shared" si="6"/>
        <v>3861.0038610038609</v>
      </c>
      <c r="K311" s="3">
        <f t="shared" si="7"/>
        <v>699</v>
      </c>
      <c r="L311" s="3" t="e">
        <f t="shared" si="8"/>
        <v>#N/A</v>
      </c>
      <c r="M311" s="3" t="e">
        <f t="shared" si="9"/>
        <v>#N/A</v>
      </c>
      <c r="N311" s="3" t="e">
        <f t="shared" si="10"/>
        <v>#N/A</v>
      </c>
      <c r="O311" s="3" t="e">
        <f t="shared" si="11"/>
        <v>#N/A</v>
      </c>
    </row>
    <row r="312" spans="1:15" ht="14.25" customHeight="1">
      <c r="A312" s="2" t="s">
        <v>39</v>
      </c>
      <c r="B312" s="2">
        <v>1972</v>
      </c>
      <c r="C312" s="2" t="s">
        <v>38</v>
      </c>
      <c r="D312" s="2">
        <v>400</v>
      </c>
      <c r="E312" s="2">
        <v>1136</v>
      </c>
      <c r="J312" s="3">
        <f t="shared" si="6"/>
        <v>20321.072952651899</v>
      </c>
      <c r="K312" s="3">
        <f t="shared" si="7"/>
        <v>1136</v>
      </c>
      <c r="L312" s="3" t="e">
        <f t="shared" si="8"/>
        <v>#N/A</v>
      </c>
      <c r="M312" s="3" t="e">
        <f t="shared" si="9"/>
        <v>#N/A</v>
      </c>
      <c r="N312" s="3" t="e">
        <f t="shared" si="10"/>
        <v>#N/A</v>
      </c>
      <c r="O312" s="3" t="e">
        <f t="shared" si="11"/>
        <v>#N/A</v>
      </c>
    </row>
    <row r="313" spans="1:15" ht="14.25" customHeight="1">
      <c r="A313" s="2" t="s">
        <v>39</v>
      </c>
      <c r="B313" s="2">
        <v>1972</v>
      </c>
      <c r="C313" s="2" t="s">
        <v>24</v>
      </c>
      <c r="D313" s="2">
        <v>608</v>
      </c>
      <c r="E313" s="2">
        <v>3323</v>
      </c>
      <c r="J313" s="3">
        <f t="shared" si="6"/>
        <v>30888.030888030888</v>
      </c>
      <c r="K313" s="3">
        <f t="shared" si="7"/>
        <v>3323</v>
      </c>
      <c r="L313" s="3" t="e">
        <f t="shared" si="8"/>
        <v>#N/A</v>
      </c>
      <c r="M313" s="3" t="e">
        <f t="shared" si="9"/>
        <v>#N/A</v>
      </c>
      <c r="N313" s="3" t="e">
        <f t="shared" si="10"/>
        <v>#N/A</v>
      </c>
      <c r="O313" s="3" t="e">
        <f t="shared" si="11"/>
        <v>#N/A</v>
      </c>
    </row>
    <row r="314" spans="1:15" ht="14.25" customHeight="1">
      <c r="A314" s="2" t="s">
        <v>39</v>
      </c>
      <c r="B314" s="2">
        <v>1972</v>
      </c>
      <c r="C314" s="2" t="s">
        <v>19</v>
      </c>
      <c r="D314" s="2">
        <v>2715</v>
      </c>
      <c r="E314" s="2">
        <v>5073</v>
      </c>
      <c r="J314" s="3">
        <f t="shared" si="6"/>
        <v>137929.28266612478</v>
      </c>
      <c r="K314" s="3">
        <f t="shared" si="7"/>
        <v>5073</v>
      </c>
      <c r="L314" s="3" t="e">
        <f t="shared" si="8"/>
        <v>#N/A</v>
      </c>
      <c r="M314" s="3" t="e">
        <f t="shared" si="9"/>
        <v>#N/A</v>
      </c>
      <c r="N314" s="3" t="e">
        <f t="shared" si="10"/>
        <v>#N/A</v>
      </c>
      <c r="O314" s="3" t="e">
        <f t="shared" si="11"/>
        <v>#N/A</v>
      </c>
    </row>
    <row r="315" spans="1:15" ht="14.25" customHeight="1">
      <c r="A315" s="2" t="s">
        <v>39</v>
      </c>
      <c r="B315" s="2">
        <v>1972</v>
      </c>
      <c r="C315" s="2" t="s">
        <v>21</v>
      </c>
      <c r="D315" s="2">
        <v>760</v>
      </c>
      <c r="E315" s="2">
        <v>652</v>
      </c>
      <c r="J315" s="3">
        <f t="shared" si="6"/>
        <v>38610.038610038609</v>
      </c>
      <c r="K315" s="3">
        <f t="shared" si="7"/>
        <v>652</v>
      </c>
      <c r="L315" s="3" t="e">
        <f t="shared" si="8"/>
        <v>#N/A</v>
      </c>
      <c r="M315" s="3" t="e">
        <f t="shared" si="9"/>
        <v>#N/A</v>
      </c>
      <c r="N315" s="3" t="e">
        <f t="shared" si="10"/>
        <v>#N/A</v>
      </c>
      <c r="O315" s="3" t="e">
        <f t="shared" si="11"/>
        <v>#N/A</v>
      </c>
    </row>
    <row r="316" spans="1:15" ht="14.25" customHeight="1">
      <c r="A316" s="2" t="s">
        <v>39</v>
      </c>
      <c r="B316" s="2">
        <v>1972</v>
      </c>
      <c r="C316" s="2" t="s">
        <v>34</v>
      </c>
      <c r="D316" s="2">
        <v>12</v>
      </c>
      <c r="E316" s="2">
        <v>992</v>
      </c>
      <c r="J316" s="3">
        <f t="shared" si="6"/>
        <v>609.6321885795569</v>
      </c>
      <c r="K316" s="3">
        <f t="shared" si="7"/>
        <v>992</v>
      </c>
      <c r="L316" s="3" t="e">
        <f t="shared" si="8"/>
        <v>#N/A</v>
      </c>
      <c r="M316" s="3" t="e">
        <f t="shared" si="9"/>
        <v>#N/A</v>
      </c>
      <c r="N316" s="3" t="e">
        <f t="shared" si="10"/>
        <v>#N/A</v>
      </c>
      <c r="O316" s="3" t="e">
        <f t="shared" si="11"/>
        <v>#N/A</v>
      </c>
    </row>
    <row r="317" spans="1:15" ht="14.25" customHeight="1">
      <c r="A317" s="2" t="s">
        <v>39</v>
      </c>
      <c r="B317" s="2">
        <v>1972</v>
      </c>
      <c r="C317" s="2" t="s">
        <v>35</v>
      </c>
      <c r="D317" s="2">
        <v>212</v>
      </c>
      <c r="E317" s="2">
        <v>3855</v>
      </c>
      <c r="J317" s="3">
        <f t="shared" si="6"/>
        <v>10770.168664905506</v>
      </c>
      <c r="K317" s="3">
        <f t="shared" si="7"/>
        <v>3855</v>
      </c>
      <c r="L317" s="3" t="e">
        <f t="shared" si="8"/>
        <v>#N/A</v>
      </c>
      <c r="M317" s="3" t="e">
        <f t="shared" si="9"/>
        <v>#N/A</v>
      </c>
      <c r="N317" s="3" t="e">
        <f t="shared" si="10"/>
        <v>#N/A</v>
      </c>
      <c r="O317" s="3" t="e">
        <f t="shared" si="11"/>
        <v>#N/A</v>
      </c>
    </row>
    <row r="318" spans="1:15" ht="14.25" customHeight="1">
      <c r="A318" s="2" t="s">
        <v>39</v>
      </c>
      <c r="B318" s="2">
        <v>1972</v>
      </c>
      <c r="C318" s="2" t="s">
        <v>30</v>
      </c>
      <c r="D318" s="2">
        <v>4</v>
      </c>
      <c r="E318" s="2">
        <v>36</v>
      </c>
      <c r="J318" s="3">
        <f t="shared" si="6"/>
        <v>203.210729526519</v>
      </c>
      <c r="K318" s="3">
        <f t="shared" si="7"/>
        <v>36</v>
      </c>
      <c r="L318" s="3" t="e">
        <f t="shared" si="8"/>
        <v>#N/A</v>
      </c>
      <c r="M318" s="3" t="e">
        <f t="shared" si="9"/>
        <v>#N/A</v>
      </c>
      <c r="N318" s="3" t="e">
        <f t="shared" si="10"/>
        <v>#N/A</v>
      </c>
      <c r="O318" s="3" t="e">
        <f t="shared" si="11"/>
        <v>#N/A</v>
      </c>
    </row>
    <row r="319" spans="1:15" ht="14.25" customHeight="1">
      <c r="A319" s="2" t="s">
        <v>39</v>
      </c>
      <c r="B319" s="2">
        <v>1972</v>
      </c>
      <c r="C319" s="2" t="s">
        <v>36</v>
      </c>
      <c r="D319" s="2">
        <v>37</v>
      </c>
      <c r="E319" s="2">
        <v>157</v>
      </c>
      <c r="J319" s="3">
        <f t="shared" si="6"/>
        <v>1879.6992481203008</v>
      </c>
      <c r="K319" s="3">
        <f t="shared" si="7"/>
        <v>157</v>
      </c>
      <c r="L319" s="3" t="e">
        <f t="shared" si="8"/>
        <v>#N/A</v>
      </c>
      <c r="M319" s="3" t="e">
        <f t="shared" si="9"/>
        <v>#N/A</v>
      </c>
      <c r="N319" s="3" t="e">
        <f t="shared" si="10"/>
        <v>#N/A</v>
      </c>
      <c r="O319" s="3" t="e">
        <f t="shared" si="11"/>
        <v>#N/A</v>
      </c>
    </row>
    <row r="320" spans="1:15" ht="14.25" customHeight="1">
      <c r="A320" s="2" t="s">
        <v>39</v>
      </c>
      <c r="B320" s="2">
        <v>1972</v>
      </c>
      <c r="C320" s="2" t="s">
        <v>16</v>
      </c>
      <c r="D320" s="2">
        <v>9115</v>
      </c>
      <c r="E320" s="2">
        <v>43729</v>
      </c>
      <c r="J320" s="3">
        <f t="shared" si="6"/>
        <v>463066.44990855519</v>
      </c>
      <c r="K320" s="3">
        <f t="shared" si="7"/>
        <v>43729</v>
      </c>
      <c r="L320" s="3" t="e">
        <f t="shared" si="8"/>
        <v>#N/A</v>
      </c>
      <c r="M320" s="3" t="e">
        <f t="shared" si="9"/>
        <v>#N/A</v>
      </c>
      <c r="N320" s="3" t="e">
        <f t="shared" si="10"/>
        <v>#N/A</v>
      </c>
      <c r="O320" s="3" t="e">
        <f t="shared" si="11"/>
        <v>#N/A</v>
      </c>
    </row>
    <row r="321" spans="1:15" ht="14.25" customHeight="1">
      <c r="A321" s="2" t="s">
        <v>39</v>
      </c>
      <c r="B321" s="2">
        <v>1972</v>
      </c>
      <c r="C321" s="2" t="s">
        <v>28</v>
      </c>
      <c r="D321" s="2">
        <v>446</v>
      </c>
      <c r="E321" s="2">
        <v>6025</v>
      </c>
      <c r="J321" s="3">
        <f t="shared" si="6"/>
        <v>22657.996342206869</v>
      </c>
      <c r="K321" s="3">
        <f t="shared" si="7"/>
        <v>6025</v>
      </c>
      <c r="L321" s="3" t="e">
        <f t="shared" si="8"/>
        <v>#N/A</v>
      </c>
      <c r="M321" s="3" t="e">
        <f t="shared" si="9"/>
        <v>#N/A</v>
      </c>
      <c r="N321" s="3" t="e">
        <f t="shared" si="10"/>
        <v>#N/A</v>
      </c>
      <c r="O321" s="3" t="e">
        <f t="shared" si="11"/>
        <v>#N/A</v>
      </c>
    </row>
    <row r="322" spans="1:15" ht="14.25" customHeight="1">
      <c r="A322" s="2" t="s">
        <v>39</v>
      </c>
      <c r="B322" s="2">
        <v>1972</v>
      </c>
      <c r="C322" s="2" t="s">
        <v>37</v>
      </c>
      <c r="D322" s="2">
        <v>8669</v>
      </c>
      <c r="E322" s="2">
        <v>37704</v>
      </c>
      <c r="J322" s="3">
        <f t="shared" si="6"/>
        <v>440408.4535663483</v>
      </c>
      <c r="K322" s="3">
        <f t="shared" si="7"/>
        <v>37704</v>
      </c>
      <c r="L322" s="3" t="e">
        <f t="shared" si="8"/>
        <v>#N/A</v>
      </c>
      <c r="M322" s="3" t="e">
        <f t="shared" si="9"/>
        <v>#N/A</v>
      </c>
      <c r="N322" s="3" t="e">
        <f t="shared" si="10"/>
        <v>#N/A</v>
      </c>
      <c r="O322" s="3" t="e">
        <f t="shared" si="11"/>
        <v>#N/A</v>
      </c>
    </row>
    <row r="323" spans="1:15" ht="14.25" customHeight="1">
      <c r="A323" s="2" t="s">
        <v>40</v>
      </c>
      <c r="B323" s="2">
        <v>1965</v>
      </c>
      <c r="C323" s="2" t="s">
        <v>22</v>
      </c>
      <c r="D323" s="2">
        <v>15</v>
      </c>
      <c r="E323" s="2">
        <v>39</v>
      </c>
      <c r="J323" s="3">
        <f t="shared" si="6"/>
        <v>762.04023572444623</v>
      </c>
      <c r="K323" s="3">
        <f t="shared" si="7"/>
        <v>39</v>
      </c>
      <c r="L323" s="3" t="e">
        <f t="shared" si="8"/>
        <v>#N/A</v>
      </c>
      <c r="M323" s="3" t="e">
        <f t="shared" si="9"/>
        <v>#N/A</v>
      </c>
      <c r="N323" s="3" t="e">
        <f t="shared" si="10"/>
        <v>#N/A</v>
      </c>
      <c r="O323" s="3" t="e">
        <f t="shared" si="11"/>
        <v>#N/A</v>
      </c>
    </row>
    <row r="324" spans="1:15" ht="14.25" customHeight="1">
      <c r="A324" s="2" t="s">
        <v>40</v>
      </c>
      <c r="B324" s="2">
        <v>1965</v>
      </c>
      <c r="C324" s="2" t="s">
        <v>23</v>
      </c>
      <c r="D324" s="2">
        <v>1</v>
      </c>
      <c r="E324" s="2">
        <v>3</v>
      </c>
      <c r="J324" s="3">
        <f t="shared" si="6"/>
        <v>50.802682381629751</v>
      </c>
      <c r="K324" s="3">
        <f t="shared" si="7"/>
        <v>3</v>
      </c>
      <c r="L324" s="3" t="e">
        <f t="shared" si="8"/>
        <v>#N/A</v>
      </c>
      <c r="M324" s="3" t="e">
        <f t="shared" si="9"/>
        <v>#N/A</v>
      </c>
      <c r="N324" s="3" t="e">
        <f t="shared" si="10"/>
        <v>#N/A</v>
      </c>
      <c r="O324" s="3" t="e">
        <f t="shared" si="11"/>
        <v>#N/A</v>
      </c>
    </row>
    <row r="325" spans="1:15" ht="14.25" customHeight="1">
      <c r="A325" s="2" t="s">
        <v>40</v>
      </c>
      <c r="B325" s="2">
        <v>1965</v>
      </c>
      <c r="C325" s="2" t="s">
        <v>25</v>
      </c>
      <c r="D325" s="2">
        <v>5</v>
      </c>
      <c r="E325" s="2">
        <v>14</v>
      </c>
      <c r="J325" s="3">
        <f t="shared" si="6"/>
        <v>254.01341190814875</v>
      </c>
      <c r="K325" s="3">
        <f t="shared" si="7"/>
        <v>14</v>
      </c>
      <c r="L325" s="3" t="e">
        <f t="shared" si="8"/>
        <v>#N/A</v>
      </c>
      <c r="M325" s="3" t="e">
        <f t="shared" si="9"/>
        <v>#N/A</v>
      </c>
      <c r="N325" s="3" t="e">
        <f t="shared" si="10"/>
        <v>#N/A</v>
      </c>
      <c r="O325" s="3" t="e">
        <f t="shared" si="11"/>
        <v>#N/A</v>
      </c>
    </row>
    <row r="326" spans="1:15" ht="14.25" customHeight="1">
      <c r="A326" s="2" t="s">
        <v>40</v>
      </c>
      <c r="B326" s="2">
        <v>1965</v>
      </c>
      <c r="C326" s="2" t="s">
        <v>24</v>
      </c>
      <c r="D326" s="2">
        <v>37</v>
      </c>
      <c r="E326" s="2">
        <v>32</v>
      </c>
      <c r="J326" s="3">
        <f t="shared" si="6"/>
        <v>1879.6992481203008</v>
      </c>
      <c r="K326" s="3">
        <f t="shared" si="7"/>
        <v>32</v>
      </c>
      <c r="L326" s="3" t="e">
        <f t="shared" si="8"/>
        <v>#N/A</v>
      </c>
      <c r="M326" s="3" t="e">
        <f t="shared" si="9"/>
        <v>#N/A</v>
      </c>
      <c r="N326" s="3" t="e">
        <f t="shared" si="10"/>
        <v>#N/A</v>
      </c>
      <c r="O326" s="3" t="e">
        <f t="shared" si="11"/>
        <v>#N/A</v>
      </c>
    </row>
    <row r="327" spans="1:15" ht="14.25" customHeight="1">
      <c r="A327" s="2" t="s">
        <v>40</v>
      </c>
      <c r="B327" s="2">
        <v>1965</v>
      </c>
      <c r="C327" s="2" t="s">
        <v>19</v>
      </c>
      <c r="D327" s="2">
        <v>34</v>
      </c>
      <c r="E327" s="2">
        <v>33</v>
      </c>
      <c r="J327" s="3">
        <f t="shared" si="6"/>
        <v>1727.2912009754114</v>
      </c>
      <c r="K327" s="3">
        <f t="shared" si="7"/>
        <v>33</v>
      </c>
      <c r="L327" s="3" t="e">
        <f t="shared" si="8"/>
        <v>#N/A</v>
      </c>
      <c r="M327" s="3" t="e">
        <f t="shared" si="9"/>
        <v>#N/A</v>
      </c>
      <c r="N327" s="3" t="e">
        <f t="shared" si="10"/>
        <v>#N/A</v>
      </c>
      <c r="O327" s="3" t="e">
        <f t="shared" si="11"/>
        <v>#N/A</v>
      </c>
    </row>
    <row r="328" spans="1:15" ht="14.25" customHeight="1">
      <c r="A328" s="2" t="s">
        <v>40</v>
      </c>
      <c r="B328" s="2">
        <v>1965</v>
      </c>
      <c r="C328" s="2" t="s">
        <v>21</v>
      </c>
      <c r="D328" s="2">
        <v>57</v>
      </c>
      <c r="E328" s="2">
        <v>26</v>
      </c>
      <c r="J328" s="3">
        <f t="shared" si="6"/>
        <v>2895.7528957528957</v>
      </c>
      <c r="K328" s="3">
        <f t="shared" si="7"/>
        <v>26</v>
      </c>
      <c r="L328" s="3" t="e">
        <f t="shared" si="8"/>
        <v>#N/A</v>
      </c>
      <c r="M328" s="3" t="e">
        <f t="shared" si="9"/>
        <v>#N/A</v>
      </c>
      <c r="N328" s="3" t="e">
        <f t="shared" si="10"/>
        <v>#N/A</v>
      </c>
      <c r="O328" s="3" t="e">
        <f t="shared" si="11"/>
        <v>#N/A</v>
      </c>
    </row>
    <row r="329" spans="1:15" ht="14.25" customHeight="1">
      <c r="A329" s="2" t="s">
        <v>40</v>
      </c>
      <c r="B329" s="2">
        <v>1965</v>
      </c>
      <c r="C329" s="2" t="s">
        <v>34</v>
      </c>
      <c r="D329" s="2">
        <v>0</v>
      </c>
      <c r="E329" s="2">
        <v>12</v>
      </c>
      <c r="J329" s="3">
        <f t="shared" si="6"/>
        <v>0</v>
      </c>
      <c r="K329" s="3">
        <f t="shared" si="7"/>
        <v>12</v>
      </c>
      <c r="L329" s="3" t="e">
        <f t="shared" si="8"/>
        <v>#N/A</v>
      </c>
      <c r="M329" s="3" t="e">
        <f t="shared" si="9"/>
        <v>#N/A</v>
      </c>
      <c r="N329" s="3" t="e">
        <f t="shared" si="10"/>
        <v>#N/A</v>
      </c>
      <c r="O329" s="3" t="e">
        <f t="shared" si="11"/>
        <v>#N/A</v>
      </c>
    </row>
    <row r="330" spans="1:15" ht="14.25" customHeight="1">
      <c r="A330" s="2" t="s">
        <v>40</v>
      </c>
      <c r="B330" s="2">
        <v>1965</v>
      </c>
      <c r="C330" s="2" t="s">
        <v>35</v>
      </c>
      <c r="D330" s="2">
        <v>18</v>
      </c>
      <c r="E330" s="2">
        <v>74</v>
      </c>
      <c r="J330" s="3">
        <f t="shared" si="6"/>
        <v>914.44828286933546</v>
      </c>
      <c r="K330" s="3">
        <f t="shared" si="7"/>
        <v>74</v>
      </c>
      <c r="L330" s="3" t="e">
        <f t="shared" si="8"/>
        <v>#N/A</v>
      </c>
      <c r="M330" s="3" t="e">
        <f t="shared" si="9"/>
        <v>#N/A</v>
      </c>
      <c r="N330" s="3" t="e">
        <f t="shared" si="10"/>
        <v>#N/A</v>
      </c>
      <c r="O330" s="3" t="e">
        <f t="shared" si="11"/>
        <v>#N/A</v>
      </c>
    </row>
    <row r="331" spans="1:15" ht="14.25" customHeight="1">
      <c r="A331" s="2" t="s">
        <v>40</v>
      </c>
      <c r="B331" s="2">
        <v>1965</v>
      </c>
      <c r="C331" s="2" t="s">
        <v>30</v>
      </c>
      <c r="D331" s="2">
        <v>0</v>
      </c>
      <c r="E331" s="2">
        <v>0</v>
      </c>
      <c r="J331" s="3">
        <f t="shared" si="6"/>
        <v>0</v>
      </c>
      <c r="K331" s="3">
        <f t="shared" si="7"/>
        <v>0</v>
      </c>
      <c r="L331" s="3" t="e">
        <f t="shared" si="8"/>
        <v>#N/A</v>
      </c>
      <c r="M331" s="3" t="e">
        <f t="shared" si="9"/>
        <v>#N/A</v>
      </c>
      <c r="N331" s="3" t="e">
        <f t="shared" si="10"/>
        <v>#N/A</v>
      </c>
      <c r="O331" s="3" t="e">
        <f t="shared" si="11"/>
        <v>#N/A</v>
      </c>
    </row>
    <row r="332" spans="1:15" ht="14.25" customHeight="1">
      <c r="A332" s="2" t="s">
        <v>40</v>
      </c>
      <c r="B332" s="2">
        <v>1965</v>
      </c>
      <c r="C332" s="2" t="s">
        <v>36</v>
      </c>
      <c r="D332" s="2">
        <v>0</v>
      </c>
      <c r="E332" s="2">
        <v>1</v>
      </c>
      <c r="J332" s="3">
        <f t="shared" si="6"/>
        <v>0</v>
      </c>
      <c r="K332" s="3">
        <f t="shared" si="7"/>
        <v>1</v>
      </c>
      <c r="L332" s="3" t="e">
        <f t="shared" si="8"/>
        <v>#N/A</v>
      </c>
      <c r="M332" s="3" t="e">
        <f t="shared" si="9"/>
        <v>#N/A</v>
      </c>
      <c r="N332" s="3" t="e">
        <f t="shared" si="10"/>
        <v>#N/A</v>
      </c>
      <c r="O332" s="3" t="e">
        <f t="shared" si="11"/>
        <v>#N/A</v>
      </c>
    </row>
    <row r="333" spans="1:15" ht="14.25" customHeight="1">
      <c r="A333" s="2" t="s">
        <v>40</v>
      </c>
      <c r="B333" s="2">
        <v>1965</v>
      </c>
      <c r="C333" s="2" t="s">
        <v>16</v>
      </c>
      <c r="D333" s="2">
        <v>191</v>
      </c>
      <c r="E333" s="2">
        <v>264</v>
      </c>
      <c r="J333" s="3">
        <f t="shared" si="6"/>
        <v>9703.3123348912814</v>
      </c>
      <c r="K333" s="3">
        <f t="shared" si="7"/>
        <v>264</v>
      </c>
      <c r="L333" s="3" t="e">
        <f t="shared" si="8"/>
        <v>#N/A</v>
      </c>
      <c r="M333" s="3" t="e">
        <f t="shared" si="9"/>
        <v>#N/A</v>
      </c>
      <c r="N333" s="3" t="e">
        <f t="shared" si="10"/>
        <v>#N/A</v>
      </c>
      <c r="O333" s="3" t="e">
        <f t="shared" si="11"/>
        <v>#N/A</v>
      </c>
    </row>
    <row r="334" spans="1:15" ht="14.25" customHeight="1">
      <c r="A334" s="2" t="s">
        <v>40</v>
      </c>
      <c r="B334" s="2">
        <v>1965</v>
      </c>
      <c r="C334" s="2" t="s">
        <v>28</v>
      </c>
      <c r="D334" s="2">
        <v>23</v>
      </c>
      <c r="E334" s="2">
        <v>98</v>
      </c>
      <c r="J334" s="3">
        <f t="shared" si="6"/>
        <v>1168.4616947774841</v>
      </c>
      <c r="K334" s="3">
        <f t="shared" si="7"/>
        <v>98</v>
      </c>
      <c r="L334" s="3" t="e">
        <f t="shared" si="8"/>
        <v>#N/A</v>
      </c>
      <c r="M334" s="3" t="e">
        <f t="shared" si="9"/>
        <v>#N/A</v>
      </c>
      <c r="N334" s="3" t="e">
        <f t="shared" si="10"/>
        <v>#N/A</v>
      </c>
      <c r="O334" s="3" t="e">
        <f t="shared" si="11"/>
        <v>#N/A</v>
      </c>
    </row>
    <row r="335" spans="1:15" ht="14.25" customHeight="1">
      <c r="A335" s="2" t="s">
        <v>40</v>
      </c>
      <c r="B335" s="2">
        <v>1965</v>
      </c>
      <c r="C335" s="2" t="s">
        <v>37</v>
      </c>
      <c r="D335" s="2">
        <v>168</v>
      </c>
      <c r="E335" s="2">
        <v>166</v>
      </c>
      <c r="J335" s="3">
        <f t="shared" si="6"/>
        <v>8534.8506401137965</v>
      </c>
      <c r="K335" s="3">
        <f t="shared" si="7"/>
        <v>166</v>
      </c>
      <c r="L335" s="3" t="e">
        <f t="shared" si="8"/>
        <v>#N/A</v>
      </c>
      <c r="M335" s="3" t="e">
        <f t="shared" si="9"/>
        <v>#N/A</v>
      </c>
      <c r="N335" s="3" t="e">
        <f t="shared" si="10"/>
        <v>#N/A</v>
      </c>
      <c r="O335" s="3" t="e">
        <f t="shared" si="11"/>
        <v>#N/A</v>
      </c>
    </row>
    <row r="336" spans="1:15" ht="14.25" customHeight="1">
      <c r="A336" s="2" t="s">
        <v>40</v>
      </c>
      <c r="B336" s="2">
        <v>1966</v>
      </c>
      <c r="C336" s="2" t="s">
        <v>22</v>
      </c>
      <c r="D336" s="2">
        <v>16</v>
      </c>
      <c r="E336" s="2">
        <v>46</v>
      </c>
      <c r="J336" s="3">
        <f t="shared" si="6"/>
        <v>812.84291810607601</v>
      </c>
      <c r="K336" s="3">
        <f t="shared" si="7"/>
        <v>46</v>
      </c>
      <c r="L336" s="3" t="e">
        <f t="shared" si="8"/>
        <v>#N/A</v>
      </c>
      <c r="M336" s="3" t="e">
        <f t="shared" si="9"/>
        <v>#N/A</v>
      </c>
      <c r="N336" s="3" t="e">
        <f t="shared" si="10"/>
        <v>#N/A</v>
      </c>
      <c r="O336" s="3" t="e">
        <f t="shared" si="11"/>
        <v>#N/A</v>
      </c>
    </row>
    <row r="337" spans="1:15" ht="14.25" customHeight="1">
      <c r="A337" s="2" t="s">
        <v>40</v>
      </c>
      <c r="B337" s="2">
        <v>1966</v>
      </c>
      <c r="C337" s="2" t="s">
        <v>23</v>
      </c>
      <c r="D337" s="2">
        <v>1</v>
      </c>
      <c r="E337" s="2">
        <v>2</v>
      </c>
      <c r="J337" s="3">
        <f t="shared" si="6"/>
        <v>50.802682381629751</v>
      </c>
      <c r="K337" s="3">
        <f t="shared" si="7"/>
        <v>2</v>
      </c>
      <c r="L337" s="3" t="e">
        <f t="shared" si="8"/>
        <v>#N/A</v>
      </c>
      <c r="M337" s="3" t="e">
        <f t="shared" si="9"/>
        <v>#N/A</v>
      </c>
      <c r="N337" s="3" t="e">
        <f t="shared" si="10"/>
        <v>#N/A</v>
      </c>
      <c r="O337" s="3" t="e">
        <f t="shared" si="11"/>
        <v>#N/A</v>
      </c>
    </row>
    <row r="338" spans="1:15" ht="14.25" customHeight="1">
      <c r="A338" s="2" t="s">
        <v>40</v>
      </c>
      <c r="B338" s="2">
        <v>1966</v>
      </c>
      <c r="C338" s="2" t="s">
        <v>25</v>
      </c>
      <c r="D338" s="2">
        <v>4</v>
      </c>
      <c r="E338" s="2">
        <v>15</v>
      </c>
      <c r="J338" s="3">
        <f t="shared" si="6"/>
        <v>203.210729526519</v>
      </c>
      <c r="K338" s="3">
        <f t="shared" si="7"/>
        <v>15</v>
      </c>
      <c r="L338" s="3" t="e">
        <f t="shared" si="8"/>
        <v>#N/A</v>
      </c>
      <c r="M338" s="3" t="e">
        <f t="shared" si="9"/>
        <v>#N/A</v>
      </c>
      <c r="N338" s="3" t="e">
        <f t="shared" si="10"/>
        <v>#N/A</v>
      </c>
      <c r="O338" s="3" t="e">
        <f t="shared" si="11"/>
        <v>#N/A</v>
      </c>
    </row>
    <row r="339" spans="1:15" ht="14.25" customHeight="1">
      <c r="A339" s="2" t="s">
        <v>40</v>
      </c>
      <c r="B339" s="2">
        <v>1966</v>
      </c>
      <c r="C339" s="2" t="s">
        <v>24</v>
      </c>
      <c r="D339" s="2">
        <v>40</v>
      </c>
      <c r="E339" s="2">
        <v>42</v>
      </c>
      <c r="J339" s="3">
        <f t="shared" si="6"/>
        <v>2032.10729526519</v>
      </c>
      <c r="K339" s="3">
        <f t="shared" si="7"/>
        <v>42</v>
      </c>
      <c r="L339" s="3" t="e">
        <f t="shared" si="8"/>
        <v>#N/A</v>
      </c>
      <c r="M339" s="3" t="e">
        <f t="shared" si="9"/>
        <v>#N/A</v>
      </c>
      <c r="N339" s="3" t="e">
        <f t="shared" si="10"/>
        <v>#N/A</v>
      </c>
      <c r="O339" s="3" t="e">
        <f t="shared" si="11"/>
        <v>#N/A</v>
      </c>
    </row>
    <row r="340" spans="1:15" ht="14.25" customHeight="1">
      <c r="A340" s="2" t="s">
        <v>40</v>
      </c>
      <c r="B340" s="2">
        <v>1966</v>
      </c>
      <c r="C340" s="2" t="s">
        <v>19</v>
      </c>
      <c r="D340" s="2">
        <v>17</v>
      </c>
      <c r="E340" s="2">
        <v>25</v>
      </c>
      <c r="J340" s="3">
        <f t="shared" si="6"/>
        <v>863.64560048770568</v>
      </c>
      <c r="K340" s="3">
        <f t="shared" si="7"/>
        <v>25</v>
      </c>
      <c r="L340" s="3" t="e">
        <f t="shared" si="8"/>
        <v>#N/A</v>
      </c>
      <c r="M340" s="3" t="e">
        <f t="shared" si="9"/>
        <v>#N/A</v>
      </c>
      <c r="N340" s="3" t="e">
        <f t="shared" si="10"/>
        <v>#N/A</v>
      </c>
      <c r="O340" s="3" t="e">
        <f t="shared" si="11"/>
        <v>#N/A</v>
      </c>
    </row>
    <row r="341" spans="1:15" ht="14.25" customHeight="1">
      <c r="A341" s="2" t="s">
        <v>40</v>
      </c>
      <c r="B341" s="2">
        <v>1966</v>
      </c>
      <c r="C341" s="2" t="s">
        <v>21</v>
      </c>
      <c r="D341" s="2">
        <v>5</v>
      </c>
      <c r="E341" s="2">
        <v>2</v>
      </c>
      <c r="J341" s="3">
        <f t="shared" si="6"/>
        <v>254.01341190814875</v>
      </c>
      <c r="K341" s="3">
        <f t="shared" si="7"/>
        <v>2</v>
      </c>
      <c r="L341" s="3" t="e">
        <f t="shared" si="8"/>
        <v>#N/A</v>
      </c>
      <c r="M341" s="3" t="e">
        <f t="shared" si="9"/>
        <v>#N/A</v>
      </c>
      <c r="N341" s="3" t="e">
        <f t="shared" si="10"/>
        <v>#N/A</v>
      </c>
      <c r="O341" s="3" t="e">
        <f t="shared" si="11"/>
        <v>#N/A</v>
      </c>
    </row>
    <row r="342" spans="1:15" ht="14.25" customHeight="1">
      <c r="A342" s="2" t="s">
        <v>40</v>
      </c>
      <c r="B342" s="2">
        <v>1966</v>
      </c>
      <c r="C342" s="2" t="s">
        <v>34</v>
      </c>
      <c r="D342" s="2">
        <v>0</v>
      </c>
      <c r="E342" s="2">
        <v>10</v>
      </c>
      <c r="J342" s="3">
        <f t="shared" si="6"/>
        <v>0</v>
      </c>
      <c r="K342" s="3">
        <f t="shared" si="7"/>
        <v>10</v>
      </c>
      <c r="L342" s="3" t="e">
        <f t="shared" si="8"/>
        <v>#N/A</v>
      </c>
      <c r="M342" s="3" t="e">
        <f t="shared" si="9"/>
        <v>#N/A</v>
      </c>
      <c r="N342" s="3" t="e">
        <f t="shared" si="10"/>
        <v>#N/A</v>
      </c>
      <c r="O342" s="3" t="e">
        <f t="shared" si="11"/>
        <v>#N/A</v>
      </c>
    </row>
    <row r="343" spans="1:15" ht="14.25" customHeight="1">
      <c r="A343" s="2" t="s">
        <v>40</v>
      </c>
      <c r="B343" s="2">
        <v>1966</v>
      </c>
      <c r="C343" s="2" t="s">
        <v>35</v>
      </c>
      <c r="D343" s="2">
        <v>27</v>
      </c>
      <c r="E343" s="2">
        <v>128</v>
      </c>
      <c r="J343" s="3">
        <f t="shared" si="6"/>
        <v>1371.6724243040032</v>
      </c>
      <c r="K343" s="3">
        <f t="shared" si="7"/>
        <v>128</v>
      </c>
      <c r="L343" s="3" t="e">
        <f t="shared" si="8"/>
        <v>#N/A</v>
      </c>
      <c r="M343" s="3" t="e">
        <f t="shared" si="9"/>
        <v>#N/A</v>
      </c>
      <c r="N343" s="3" t="e">
        <f t="shared" si="10"/>
        <v>#N/A</v>
      </c>
      <c r="O343" s="3" t="e">
        <f t="shared" si="11"/>
        <v>#N/A</v>
      </c>
    </row>
    <row r="344" spans="1:15" ht="14.25" customHeight="1">
      <c r="A344" s="2" t="s">
        <v>40</v>
      </c>
      <c r="B344" s="2">
        <v>1966</v>
      </c>
      <c r="C344" s="2" t="s">
        <v>30</v>
      </c>
      <c r="D344" s="2">
        <v>0</v>
      </c>
      <c r="E344" s="2">
        <v>0</v>
      </c>
      <c r="J344" s="3">
        <f t="shared" si="6"/>
        <v>0</v>
      </c>
      <c r="K344" s="3">
        <f t="shared" si="7"/>
        <v>0</v>
      </c>
      <c r="L344" s="3" t="e">
        <f t="shared" si="8"/>
        <v>#N/A</v>
      </c>
      <c r="M344" s="3" t="e">
        <f t="shared" si="9"/>
        <v>#N/A</v>
      </c>
      <c r="N344" s="3" t="e">
        <f t="shared" si="10"/>
        <v>#N/A</v>
      </c>
      <c r="O344" s="3" t="e">
        <f t="shared" si="11"/>
        <v>#N/A</v>
      </c>
    </row>
    <row r="345" spans="1:15" ht="14.25" customHeight="1">
      <c r="A345" s="2" t="s">
        <v>40</v>
      </c>
      <c r="B345" s="2">
        <v>1966</v>
      </c>
      <c r="C345" s="2" t="s">
        <v>36</v>
      </c>
      <c r="D345" s="2">
        <v>0</v>
      </c>
      <c r="E345" s="2">
        <v>0</v>
      </c>
      <c r="J345" s="3">
        <f t="shared" si="6"/>
        <v>0</v>
      </c>
      <c r="K345" s="3">
        <f t="shared" si="7"/>
        <v>0</v>
      </c>
      <c r="L345" s="3" t="e">
        <f t="shared" si="8"/>
        <v>#N/A</v>
      </c>
      <c r="M345" s="3" t="e">
        <f t="shared" si="9"/>
        <v>#N/A</v>
      </c>
      <c r="N345" s="3" t="e">
        <f t="shared" si="10"/>
        <v>#N/A</v>
      </c>
      <c r="O345" s="3" t="e">
        <f t="shared" si="11"/>
        <v>#N/A</v>
      </c>
    </row>
    <row r="346" spans="1:15" ht="14.25" customHeight="1">
      <c r="A346" s="2" t="s">
        <v>40</v>
      </c>
      <c r="B346" s="2">
        <v>1966</v>
      </c>
      <c r="C346" s="2" t="s">
        <v>16</v>
      </c>
      <c r="D346" s="2">
        <v>133</v>
      </c>
      <c r="E346" s="2">
        <v>303</v>
      </c>
      <c r="J346" s="3">
        <f t="shared" si="6"/>
        <v>6756.7567567567557</v>
      </c>
      <c r="K346" s="3">
        <f t="shared" si="7"/>
        <v>303</v>
      </c>
      <c r="L346" s="3" t="e">
        <f t="shared" si="8"/>
        <v>#N/A</v>
      </c>
      <c r="M346" s="3" t="e">
        <f t="shared" si="9"/>
        <v>#N/A</v>
      </c>
      <c r="N346" s="3" t="e">
        <f t="shared" si="10"/>
        <v>#N/A</v>
      </c>
      <c r="O346" s="3" t="e">
        <f t="shared" si="11"/>
        <v>#N/A</v>
      </c>
    </row>
    <row r="347" spans="1:15" ht="14.25" customHeight="1">
      <c r="A347" s="2" t="s">
        <v>40</v>
      </c>
      <c r="B347" s="2">
        <v>1966</v>
      </c>
      <c r="C347" s="2" t="s">
        <v>28</v>
      </c>
      <c r="D347" s="2">
        <v>31</v>
      </c>
      <c r="E347" s="2">
        <v>148</v>
      </c>
      <c r="J347" s="3">
        <f t="shared" si="6"/>
        <v>1574.8831538305221</v>
      </c>
      <c r="K347" s="3">
        <f t="shared" si="7"/>
        <v>148</v>
      </c>
      <c r="L347" s="3" t="e">
        <f t="shared" si="8"/>
        <v>#N/A</v>
      </c>
      <c r="M347" s="3" t="e">
        <f t="shared" si="9"/>
        <v>#N/A</v>
      </c>
      <c r="N347" s="3" t="e">
        <f t="shared" si="10"/>
        <v>#N/A</v>
      </c>
      <c r="O347" s="3" t="e">
        <f t="shared" si="11"/>
        <v>#N/A</v>
      </c>
    </row>
    <row r="348" spans="1:15" ht="14.25" customHeight="1">
      <c r="A348" s="2" t="s">
        <v>40</v>
      </c>
      <c r="B348" s="2">
        <v>1966</v>
      </c>
      <c r="C348" s="2" t="s">
        <v>37</v>
      </c>
      <c r="D348" s="2">
        <v>102</v>
      </c>
      <c r="E348" s="2">
        <v>155</v>
      </c>
      <c r="J348" s="3">
        <f t="shared" si="6"/>
        <v>5181.8736029262345</v>
      </c>
      <c r="K348" s="3">
        <f t="shared" si="7"/>
        <v>155</v>
      </c>
      <c r="L348" s="3" t="e">
        <f t="shared" si="8"/>
        <v>#N/A</v>
      </c>
      <c r="M348" s="3" t="e">
        <f t="shared" si="9"/>
        <v>#N/A</v>
      </c>
      <c r="N348" s="3" t="e">
        <f t="shared" si="10"/>
        <v>#N/A</v>
      </c>
      <c r="O348" s="3" t="e">
        <f t="shared" si="11"/>
        <v>#N/A</v>
      </c>
    </row>
    <row r="349" spans="1:15" ht="14.25" customHeight="1">
      <c r="A349" s="2" t="s">
        <v>40</v>
      </c>
      <c r="B349" s="2">
        <v>1967</v>
      </c>
      <c r="C349" s="2" t="s">
        <v>22</v>
      </c>
      <c r="D349" s="2">
        <v>20</v>
      </c>
      <c r="E349" s="2">
        <v>55</v>
      </c>
      <c r="J349" s="3">
        <f t="shared" si="6"/>
        <v>1016.053647632595</v>
      </c>
      <c r="K349" s="3">
        <f t="shared" si="7"/>
        <v>55</v>
      </c>
      <c r="L349" s="3" t="e">
        <f t="shared" si="8"/>
        <v>#N/A</v>
      </c>
      <c r="M349" s="3" t="e">
        <f t="shared" si="9"/>
        <v>#N/A</v>
      </c>
      <c r="N349" s="3" t="e">
        <f t="shared" si="10"/>
        <v>#N/A</v>
      </c>
      <c r="O349" s="3" t="e">
        <f t="shared" si="11"/>
        <v>#N/A</v>
      </c>
    </row>
    <row r="350" spans="1:15" ht="14.25" customHeight="1">
      <c r="A350" s="2" t="s">
        <v>40</v>
      </c>
      <c r="B350" s="2">
        <v>1967</v>
      </c>
      <c r="C350" s="2" t="s">
        <v>23</v>
      </c>
      <c r="D350" s="2">
        <v>2</v>
      </c>
      <c r="E350" s="2">
        <v>4</v>
      </c>
      <c r="J350" s="3">
        <f t="shared" si="6"/>
        <v>101.6053647632595</v>
      </c>
      <c r="K350" s="3">
        <f t="shared" si="7"/>
        <v>4</v>
      </c>
      <c r="L350" s="3" t="e">
        <f t="shared" si="8"/>
        <v>#N/A</v>
      </c>
      <c r="M350" s="3" t="e">
        <f t="shared" si="9"/>
        <v>#N/A</v>
      </c>
      <c r="N350" s="3" t="e">
        <f t="shared" si="10"/>
        <v>#N/A</v>
      </c>
      <c r="O350" s="3" t="e">
        <f t="shared" si="11"/>
        <v>#N/A</v>
      </c>
    </row>
    <row r="351" spans="1:15" ht="14.25" customHeight="1">
      <c r="A351" s="2" t="s">
        <v>40</v>
      </c>
      <c r="B351" s="2">
        <v>1967</v>
      </c>
      <c r="C351" s="2" t="s">
        <v>25</v>
      </c>
      <c r="D351" s="2">
        <v>3</v>
      </c>
      <c r="E351" s="2">
        <v>13</v>
      </c>
      <c r="J351" s="3">
        <f t="shared" si="6"/>
        <v>152.40804714488922</v>
      </c>
      <c r="K351" s="3">
        <f t="shared" si="7"/>
        <v>13</v>
      </c>
      <c r="L351" s="3" t="e">
        <f t="shared" si="8"/>
        <v>#N/A</v>
      </c>
      <c r="M351" s="3" t="e">
        <f t="shared" si="9"/>
        <v>#N/A</v>
      </c>
      <c r="N351" s="3" t="e">
        <f t="shared" si="10"/>
        <v>#N/A</v>
      </c>
      <c r="O351" s="3" t="e">
        <f t="shared" si="11"/>
        <v>#N/A</v>
      </c>
    </row>
    <row r="352" spans="1:15" ht="14.25" customHeight="1">
      <c r="A352" s="2" t="s">
        <v>40</v>
      </c>
      <c r="B352" s="2">
        <v>1967</v>
      </c>
      <c r="C352" s="2" t="s">
        <v>24</v>
      </c>
      <c r="D352" s="2">
        <v>66</v>
      </c>
      <c r="E352" s="2">
        <v>89</v>
      </c>
      <c r="J352" s="3">
        <f t="shared" si="6"/>
        <v>3352.9770371875634</v>
      </c>
      <c r="K352" s="3">
        <f t="shared" si="7"/>
        <v>89</v>
      </c>
      <c r="L352" s="3" t="e">
        <f t="shared" si="8"/>
        <v>#N/A</v>
      </c>
      <c r="M352" s="3" t="e">
        <f t="shared" si="9"/>
        <v>#N/A</v>
      </c>
      <c r="N352" s="3" t="e">
        <f t="shared" si="10"/>
        <v>#N/A</v>
      </c>
      <c r="O352" s="3" t="e">
        <f t="shared" si="11"/>
        <v>#N/A</v>
      </c>
    </row>
    <row r="353" spans="1:15" ht="14.25" customHeight="1">
      <c r="A353" s="2" t="s">
        <v>40</v>
      </c>
      <c r="B353" s="2">
        <v>1967</v>
      </c>
      <c r="C353" s="2" t="s">
        <v>19</v>
      </c>
      <c r="D353" s="2">
        <v>28</v>
      </c>
      <c r="E353" s="2">
        <v>31</v>
      </c>
      <c r="J353" s="3">
        <f t="shared" si="6"/>
        <v>1422.4751066856329</v>
      </c>
      <c r="K353" s="3">
        <f t="shared" si="7"/>
        <v>31</v>
      </c>
      <c r="L353" s="3" t="e">
        <f t="shared" si="8"/>
        <v>#N/A</v>
      </c>
      <c r="M353" s="3" t="e">
        <f t="shared" si="9"/>
        <v>#N/A</v>
      </c>
      <c r="N353" s="3" t="e">
        <f t="shared" si="10"/>
        <v>#N/A</v>
      </c>
      <c r="O353" s="3" t="e">
        <f t="shared" si="11"/>
        <v>#N/A</v>
      </c>
    </row>
    <row r="354" spans="1:15" ht="14.25" customHeight="1">
      <c r="A354" s="2" t="s">
        <v>40</v>
      </c>
      <c r="B354" s="2">
        <v>1967</v>
      </c>
      <c r="C354" s="2" t="s">
        <v>21</v>
      </c>
      <c r="D354" s="2">
        <v>0</v>
      </c>
      <c r="E354" s="2">
        <v>0</v>
      </c>
      <c r="J354" s="3">
        <f t="shared" si="6"/>
        <v>0</v>
      </c>
      <c r="K354" s="3">
        <f t="shared" si="7"/>
        <v>0</v>
      </c>
      <c r="L354" s="3" t="e">
        <f t="shared" si="8"/>
        <v>#N/A</v>
      </c>
      <c r="M354" s="3" t="e">
        <f t="shared" si="9"/>
        <v>#N/A</v>
      </c>
      <c r="N354" s="3" t="e">
        <f t="shared" si="10"/>
        <v>#N/A</v>
      </c>
      <c r="O354" s="3" t="e">
        <f t="shared" si="11"/>
        <v>#N/A</v>
      </c>
    </row>
    <row r="355" spans="1:15" ht="14.25" customHeight="1">
      <c r="A355" s="2" t="s">
        <v>40</v>
      </c>
      <c r="B355" s="2">
        <v>1967</v>
      </c>
      <c r="C355" s="2" t="s">
        <v>34</v>
      </c>
      <c r="D355" s="2">
        <v>0</v>
      </c>
      <c r="E355" s="2">
        <v>9</v>
      </c>
      <c r="J355" s="3">
        <f t="shared" si="6"/>
        <v>0</v>
      </c>
      <c r="K355" s="3">
        <f t="shared" si="7"/>
        <v>9</v>
      </c>
      <c r="L355" s="3" t="e">
        <f t="shared" si="8"/>
        <v>#N/A</v>
      </c>
      <c r="M355" s="3" t="e">
        <f t="shared" si="9"/>
        <v>#N/A</v>
      </c>
      <c r="N355" s="3" t="e">
        <f t="shared" si="10"/>
        <v>#N/A</v>
      </c>
      <c r="O355" s="3" t="e">
        <f t="shared" si="11"/>
        <v>#N/A</v>
      </c>
    </row>
    <row r="356" spans="1:15" ht="14.25" customHeight="1">
      <c r="A356" s="2" t="s">
        <v>40</v>
      </c>
      <c r="B356" s="2">
        <v>1967</v>
      </c>
      <c r="C356" s="2" t="s">
        <v>35</v>
      </c>
      <c r="D356" s="2">
        <v>40</v>
      </c>
      <c r="E356" s="2">
        <v>221</v>
      </c>
      <c r="J356" s="3">
        <f t="shared" si="6"/>
        <v>2032.10729526519</v>
      </c>
      <c r="K356" s="3">
        <f t="shared" si="7"/>
        <v>221</v>
      </c>
      <c r="L356" s="3" t="e">
        <f t="shared" si="8"/>
        <v>#N/A</v>
      </c>
      <c r="M356" s="3" t="e">
        <f t="shared" si="9"/>
        <v>#N/A</v>
      </c>
      <c r="N356" s="3" t="e">
        <f t="shared" si="10"/>
        <v>#N/A</v>
      </c>
      <c r="O356" s="3" t="e">
        <f t="shared" si="11"/>
        <v>#N/A</v>
      </c>
    </row>
    <row r="357" spans="1:15" ht="14.25" customHeight="1">
      <c r="A357" s="2" t="s">
        <v>40</v>
      </c>
      <c r="B357" s="2">
        <v>1967</v>
      </c>
      <c r="C357" s="2" t="s">
        <v>30</v>
      </c>
      <c r="D357" s="2">
        <v>0</v>
      </c>
      <c r="E357" s="2">
        <v>0</v>
      </c>
      <c r="J357" s="3">
        <f t="shared" si="6"/>
        <v>0</v>
      </c>
      <c r="K357" s="3">
        <f t="shared" si="7"/>
        <v>0</v>
      </c>
      <c r="L357" s="3" t="e">
        <f t="shared" si="8"/>
        <v>#N/A</v>
      </c>
      <c r="M357" s="3" t="e">
        <f t="shared" si="9"/>
        <v>#N/A</v>
      </c>
      <c r="N357" s="3" t="e">
        <f t="shared" si="10"/>
        <v>#N/A</v>
      </c>
      <c r="O357" s="3" t="e">
        <f t="shared" si="11"/>
        <v>#N/A</v>
      </c>
    </row>
    <row r="358" spans="1:15" ht="14.25" customHeight="1">
      <c r="A358" s="2" t="s">
        <v>40</v>
      </c>
      <c r="B358" s="2">
        <v>1967</v>
      </c>
      <c r="C358" s="2" t="s">
        <v>36</v>
      </c>
      <c r="D358" s="2">
        <v>0</v>
      </c>
      <c r="E358" s="2">
        <v>0</v>
      </c>
      <c r="J358" s="3">
        <f t="shared" si="6"/>
        <v>0</v>
      </c>
      <c r="K358" s="3">
        <f t="shared" si="7"/>
        <v>0</v>
      </c>
      <c r="L358" s="3" t="e">
        <f t="shared" si="8"/>
        <v>#N/A</v>
      </c>
      <c r="M358" s="3" t="e">
        <f t="shared" si="9"/>
        <v>#N/A</v>
      </c>
      <c r="N358" s="3" t="e">
        <f t="shared" si="10"/>
        <v>#N/A</v>
      </c>
      <c r="O358" s="3" t="e">
        <f t="shared" si="11"/>
        <v>#N/A</v>
      </c>
    </row>
    <row r="359" spans="1:15" ht="14.25" customHeight="1">
      <c r="A359" s="2" t="s">
        <v>40</v>
      </c>
      <c r="B359" s="2">
        <v>1967</v>
      </c>
      <c r="C359" s="2" t="s">
        <v>16</v>
      </c>
      <c r="D359" s="2">
        <v>186</v>
      </c>
      <c r="E359" s="2">
        <v>470</v>
      </c>
      <c r="J359" s="3">
        <f t="shared" si="6"/>
        <v>9449.2989229831328</v>
      </c>
      <c r="K359" s="3">
        <f t="shared" si="7"/>
        <v>470</v>
      </c>
      <c r="L359" s="3" t="e">
        <f t="shared" si="8"/>
        <v>#N/A</v>
      </c>
      <c r="M359" s="3" t="e">
        <f t="shared" si="9"/>
        <v>#N/A</v>
      </c>
      <c r="N359" s="3" t="e">
        <f t="shared" si="10"/>
        <v>#N/A</v>
      </c>
      <c r="O359" s="3" t="e">
        <f t="shared" si="11"/>
        <v>#N/A</v>
      </c>
    </row>
    <row r="360" spans="1:15" ht="14.25" customHeight="1">
      <c r="A360" s="2" t="s">
        <v>40</v>
      </c>
      <c r="B360" s="2">
        <v>1967</v>
      </c>
      <c r="C360" s="2" t="s">
        <v>28</v>
      </c>
      <c r="D360" s="2">
        <v>46</v>
      </c>
      <c r="E360" s="2">
        <v>244</v>
      </c>
      <c r="J360" s="3">
        <f t="shared" si="6"/>
        <v>2336.9233895549683</v>
      </c>
      <c r="K360" s="3">
        <f t="shared" si="7"/>
        <v>244</v>
      </c>
      <c r="L360" s="3" t="e">
        <f t="shared" si="8"/>
        <v>#N/A</v>
      </c>
      <c r="M360" s="3" t="e">
        <f t="shared" si="9"/>
        <v>#N/A</v>
      </c>
      <c r="N360" s="3" t="e">
        <f t="shared" si="10"/>
        <v>#N/A</v>
      </c>
      <c r="O360" s="3" t="e">
        <f t="shared" si="11"/>
        <v>#N/A</v>
      </c>
    </row>
    <row r="361" spans="1:15" ht="14.25" customHeight="1">
      <c r="A361" s="2" t="s">
        <v>40</v>
      </c>
      <c r="B361" s="2">
        <v>1967</v>
      </c>
      <c r="C361" s="2" t="s">
        <v>37</v>
      </c>
      <c r="D361" s="2">
        <v>140</v>
      </c>
      <c r="E361" s="2">
        <v>226</v>
      </c>
      <c r="J361" s="3">
        <f t="shared" si="6"/>
        <v>7112.375533428165</v>
      </c>
      <c r="K361" s="3">
        <f t="shared" si="7"/>
        <v>226</v>
      </c>
      <c r="L361" s="3" t="e">
        <f t="shared" si="8"/>
        <v>#N/A</v>
      </c>
      <c r="M361" s="3" t="e">
        <f t="shared" si="9"/>
        <v>#N/A</v>
      </c>
      <c r="N361" s="3" t="e">
        <f t="shared" si="10"/>
        <v>#N/A</v>
      </c>
      <c r="O361" s="3" t="e">
        <f t="shared" si="11"/>
        <v>#N/A</v>
      </c>
    </row>
    <row r="362" spans="1:15" ht="14.25" customHeight="1">
      <c r="A362" s="2" t="s">
        <v>40</v>
      </c>
      <c r="B362" s="2">
        <v>1968</v>
      </c>
      <c r="C362" s="2" t="s">
        <v>22</v>
      </c>
      <c r="D362" s="2">
        <v>20</v>
      </c>
      <c r="E362" s="2">
        <v>52</v>
      </c>
      <c r="J362" s="3">
        <f t="shared" si="6"/>
        <v>1016.053647632595</v>
      </c>
      <c r="K362" s="3">
        <f t="shared" si="7"/>
        <v>52</v>
      </c>
      <c r="L362" s="3" t="e">
        <f t="shared" si="8"/>
        <v>#N/A</v>
      </c>
      <c r="M362" s="3" t="e">
        <f t="shared" si="9"/>
        <v>#N/A</v>
      </c>
      <c r="N362" s="3" t="e">
        <f t="shared" si="10"/>
        <v>#N/A</v>
      </c>
      <c r="O362" s="3" t="e">
        <f t="shared" si="11"/>
        <v>#N/A</v>
      </c>
    </row>
    <row r="363" spans="1:15" ht="14.25" customHeight="1">
      <c r="A363" s="2" t="s">
        <v>40</v>
      </c>
      <c r="B363" s="2">
        <v>1968</v>
      </c>
      <c r="C363" s="2" t="s">
        <v>23</v>
      </c>
      <c r="D363" s="2">
        <v>2</v>
      </c>
      <c r="E363" s="2">
        <v>4</v>
      </c>
      <c r="J363" s="3">
        <f t="shared" si="6"/>
        <v>101.6053647632595</v>
      </c>
      <c r="K363" s="3">
        <f t="shared" si="7"/>
        <v>4</v>
      </c>
      <c r="L363" s="3" t="e">
        <f t="shared" si="8"/>
        <v>#N/A</v>
      </c>
      <c r="M363" s="3" t="e">
        <f t="shared" si="9"/>
        <v>#N/A</v>
      </c>
      <c r="N363" s="3" t="e">
        <f t="shared" si="10"/>
        <v>#N/A</v>
      </c>
      <c r="O363" s="3" t="e">
        <f t="shared" si="11"/>
        <v>#N/A</v>
      </c>
    </row>
    <row r="364" spans="1:15" ht="14.25" customHeight="1">
      <c r="A364" s="2" t="s">
        <v>40</v>
      </c>
      <c r="B364" s="2">
        <v>1968</v>
      </c>
      <c r="C364" s="2" t="s">
        <v>25</v>
      </c>
      <c r="D364" s="2">
        <v>4</v>
      </c>
      <c r="E364" s="2">
        <v>16</v>
      </c>
      <c r="J364" s="3">
        <f t="shared" si="6"/>
        <v>203.210729526519</v>
      </c>
      <c r="K364" s="3">
        <f t="shared" si="7"/>
        <v>16</v>
      </c>
      <c r="L364" s="3" t="e">
        <f t="shared" si="8"/>
        <v>#N/A</v>
      </c>
      <c r="M364" s="3" t="e">
        <f t="shared" si="9"/>
        <v>#N/A</v>
      </c>
      <c r="N364" s="3" t="e">
        <f t="shared" si="10"/>
        <v>#N/A</v>
      </c>
      <c r="O364" s="3" t="e">
        <f t="shared" si="11"/>
        <v>#N/A</v>
      </c>
    </row>
    <row r="365" spans="1:15" ht="14.25" customHeight="1">
      <c r="A365" s="2" t="s">
        <v>40</v>
      </c>
      <c r="B365" s="2">
        <v>1968</v>
      </c>
      <c r="C365" s="2" t="s">
        <v>24</v>
      </c>
      <c r="D365" s="2">
        <v>62</v>
      </c>
      <c r="E365" s="2">
        <v>93</v>
      </c>
      <c r="J365" s="3">
        <f t="shared" si="6"/>
        <v>3149.7663076610443</v>
      </c>
      <c r="K365" s="3">
        <f t="shared" si="7"/>
        <v>93</v>
      </c>
      <c r="L365" s="3" t="e">
        <f t="shared" si="8"/>
        <v>#N/A</v>
      </c>
      <c r="M365" s="3" t="e">
        <f t="shared" si="9"/>
        <v>#N/A</v>
      </c>
      <c r="N365" s="3" t="e">
        <f t="shared" si="10"/>
        <v>#N/A</v>
      </c>
      <c r="O365" s="3" t="e">
        <f t="shared" si="11"/>
        <v>#N/A</v>
      </c>
    </row>
    <row r="366" spans="1:15" ht="14.25" customHeight="1">
      <c r="A366" s="2" t="s">
        <v>40</v>
      </c>
      <c r="B366" s="2">
        <v>1968</v>
      </c>
      <c r="C366" s="2" t="s">
        <v>19</v>
      </c>
      <c r="D366" s="2">
        <v>19</v>
      </c>
      <c r="E366" s="2">
        <v>31</v>
      </c>
      <c r="J366" s="3">
        <f t="shared" si="6"/>
        <v>965.25096525096524</v>
      </c>
      <c r="K366" s="3">
        <f t="shared" si="7"/>
        <v>31</v>
      </c>
      <c r="L366" s="3" t="e">
        <f t="shared" si="8"/>
        <v>#N/A</v>
      </c>
      <c r="M366" s="3" t="e">
        <f t="shared" si="9"/>
        <v>#N/A</v>
      </c>
      <c r="N366" s="3" t="e">
        <f t="shared" si="10"/>
        <v>#N/A</v>
      </c>
      <c r="O366" s="3" t="e">
        <f t="shared" si="11"/>
        <v>#N/A</v>
      </c>
    </row>
    <row r="367" spans="1:15" ht="14.25" customHeight="1">
      <c r="A367" s="2" t="s">
        <v>40</v>
      </c>
      <c r="B367" s="2">
        <v>1968</v>
      </c>
      <c r="C367" s="2" t="s">
        <v>21</v>
      </c>
      <c r="D367" s="2">
        <v>0</v>
      </c>
      <c r="E367" s="2">
        <v>0</v>
      </c>
      <c r="J367" s="3">
        <f t="shared" si="6"/>
        <v>0</v>
      </c>
      <c r="K367" s="3">
        <f t="shared" si="7"/>
        <v>0</v>
      </c>
      <c r="L367" s="3" t="e">
        <f t="shared" si="8"/>
        <v>#N/A</v>
      </c>
      <c r="M367" s="3" t="e">
        <f t="shared" si="9"/>
        <v>#N/A</v>
      </c>
      <c r="N367" s="3" t="e">
        <f t="shared" si="10"/>
        <v>#N/A</v>
      </c>
      <c r="O367" s="3" t="e">
        <f t="shared" si="11"/>
        <v>#N/A</v>
      </c>
    </row>
    <row r="368" spans="1:15" ht="14.25" customHeight="1">
      <c r="A368" s="2" t="s">
        <v>40</v>
      </c>
      <c r="B368" s="2">
        <v>1968</v>
      </c>
      <c r="C368" s="2" t="s">
        <v>34</v>
      </c>
      <c r="D368" s="2">
        <v>0</v>
      </c>
      <c r="E368" s="2">
        <v>9</v>
      </c>
      <c r="J368" s="3">
        <f t="shared" si="6"/>
        <v>0</v>
      </c>
      <c r="K368" s="3">
        <f t="shared" si="7"/>
        <v>9</v>
      </c>
      <c r="L368" s="3" t="e">
        <f t="shared" si="8"/>
        <v>#N/A</v>
      </c>
      <c r="M368" s="3" t="e">
        <f t="shared" si="9"/>
        <v>#N/A</v>
      </c>
      <c r="N368" s="3" t="e">
        <f t="shared" si="10"/>
        <v>#N/A</v>
      </c>
      <c r="O368" s="3" t="e">
        <f t="shared" si="11"/>
        <v>#N/A</v>
      </c>
    </row>
    <row r="369" spans="1:15" ht="14.25" customHeight="1">
      <c r="A369" s="2" t="s">
        <v>40</v>
      </c>
      <c r="B369" s="2">
        <v>1968</v>
      </c>
      <c r="C369" s="2" t="s">
        <v>35</v>
      </c>
      <c r="D369" s="2">
        <v>38</v>
      </c>
      <c r="E369" s="2">
        <v>207</v>
      </c>
      <c r="J369" s="3">
        <f t="shared" si="6"/>
        <v>1930.5019305019305</v>
      </c>
      <c r="K369" s="3">
        <f t="shared" si="7"/>
        <v>207</v>
      </c>
      <c r="L369" s="3" t="e">
        <f t="shared" si="8"/>
        <v>#N/A</v>
      </c>
      <c r="M369" s="3" t="e">
        <f t="shared" si="9"/>
        <v>#N/A</v>
      </c>
      <c r="N369" s="3" t="e">
        <f t="shared" si="10"/>
        <v>#N/A</v>
      </c>
      <c r="O369" s="3" t="e">
        <f t="shared" si="11"/>
        <v>#N/A</v>
      </c>
    </row>
    <row r="370" spans="1:15" ht="14.25" customHeight="1">
      <c r="A370" s="2" t="s">
        <v>40</v>
      </c>
      <c r="B370" s="2">
        <v>1968</v>
      </c>
      <c r="C370" s="2" t="s">
        <v>30</v>
      </c>
      <c r="D370" s="2">
        <v>0</v>
      </c>
      <c r="E370" s="2">
        <v>0</v>
      </c>
      <c r="J370" s="3">
        <f t="shared" si="6"/>
        <v>0</v>
      </c>
      <c r="K370" s="3">
        <f t="shared" si="7"/>
        <v>0</v>
      </c>
      <c r="L370" s="3" t="e">
        <f t="shared" si="8"/>
        <v>#N/A</v>
      </c>
      <c r="M370" s="3" t="e">
        <f t="shared" si="9"/>
        <v>#N/A</v>
      </c>
      <c r="N370" s="3" t="e">
        <f t="shared" si="10"/>
        <v>#N/A</v>
      </c>
      <c r="O370" s="3" t="e">
        <f t="shared" si="11"/>
        <v>#N/A</v>
      </c>
    </row>
    <row r="371" spans="1:15" ht="14.25" customHeight="1">
      <c r="A371" s="2" t="s">
        <v>40</v>
      </c>
      <c r="B371" s="2">
        <v>1968</v>
      </c>
      <c r="C371" s="2" t="s">
        <v>36</v>
      </c>
      <c r="D371" s="2">
        <v>0</v>
      </c>
      <c r="E371" s="2">
        <v>0</v>
      </c>
      <c r="J371" s="3">
        <f t="shared" si="6"/>
        <v>0</v>
      </c>
      <c r="K371" s="3">
        <f t="shared" si="7"/>
        <v>0</v>
      </c>
      <c r="L371" s="3" t="e">
        <f t="shared" si="8"/>
        <v>#N/A</v>
      </c>
      <c r="M371" s="3" t="e">
        <f t="shared" si="9"/>
        <v>#N/A</v>
      </c>
      <c r="N371" s="3" t="e">
        <f t="shared" si="10"/>
        <v>#N/A</v>
      </c>
      <c r="O371" s="3" t="e">
        <f t="shared" si="11"/>
        <v>#N/A</v>
      </c>
    </row>
    <row r="372" spans="1:15" ht="14.25" customHeight="1">
      <c r="A372" s="2" t="s">
        <v>40</v>
      </c>
      <c r="B372" s="2">
        <v>1968</v>
      </c>
      <c r="C372" s="2" t="s">
        <v>16</v>
      </c>
      <c r="D372" s="2">
        <v>170</v>
      </c>
      <c r="E372" s="2">
        <v>457</v>
      </c>
      <c r="J372" s="3">
        <f t="shared" si="6"/>
        <v>8636.4560048770581</v>
      </c>
      <c r="K372" s="3">
        <f t="shared" si="7"/>
        <v>457</v>
      </c>
      <c r="L372" s="3" t="e">
        <f t="shared" si="8"/>
        <v>#N/A</v>
      </c>
      <c r="M372" s="3" t="e">
        <f t="shared" si="9"/>
        <v>#N/A</v>
      </c>
      <c r="N372" s="3" t="e">
        <f t="shared" si="10"/>
        <v>#N/A</v>
      </c>
      <c r="O372" s="3" t="e">
        <f t="shared" si="11"/>
        <v>#N/A</v>
      </c>
    </row>
    <row r="373" spans="1:15" ht="14.25" customHeight="1">
      <c r="A373" s="2" t="s">
        <v>40</v>
      </c>
      <c r="B373" s="2">
        <v>1968</v>
      </c>
      <c r="C373" s="2" t="s">
        <v>28</v>
      </c>
      <c r="D373" s="2">
        <v>43</v>
      </c>
      <c r="E373" s="2">
        <v>229</v>
      </c>
      <c r="J373" s="3">
        <f t="shared" si="6"/>
        <v>2184.515342410079</v>
      </c>
      <c r="K373" s="3">
        <f t="shared" si="7"/>
        <v>229</v>
      </c>
      <c r="L373" s="3" t="e">
        <f t="shared" si="8"/>
        <v>#N/A</v>
      </c>
      <c r="M373" s="3" t="e">
        <f t="shared" si="9"/>
        <v>#N/A</v>
      </c>
      <c r="N373" s="3" t="e">
        <f t="shared" si="10"/>
        <v>#N/A</v>
      </c>
      <c r="O373" s="3" t="e">
        <f t="shared" si="11"/>
        <v>#N/A</v>
      </c>
    </row>
    <row r="374" spans="1:15" ht="14.25" customHeight="1">
      <c r="A374" s="2" t="s">
        <v>40</v>
      </c>
      <c r="B374" s="2">
        <v>1968</v>
      </c>
      <c r="C374" s="2" t="s">
        <v>37</v>
      </c>
      <c r="D374" s="2">
        <v>127</v>
      </c>
      <c r="E374" s="2">
        <v>228</v>
      </c>
      <c r="J374" s="3">
        <f t="shared" si="6"/>
        <v>6451.9406624669773</v>
      </c>
      <c r="K374" s="3">
        <f t="shared" si="7"/>
        <v>228</v>
      </c>
      <c r="L374" s="3" t="e">
        <f t="shared" si="8"/>
        <v>#N/A</v>
      </c>
      <c r="M374" s="3" t="e">
        <f t="shared" si="9"/>
        <v>#N/A</v>
      </c>
      <c r="N374" s="3" t="e">
        <f t="shared" si="10"/>
        <v>#N/A</v>
      </c>
      <c r="O374" s="3" t="e">
        <f t="shared" si="11"/>
        <v>#N/A</v>
      </c>
    </row>
    <row r="375" spans="1:15" ht="14.25" customHeight="1">
      <c r="A375" s="2" t="s">
        <v>40</v>
      </c>
      <c r="B375" s="2">
        <v>1969</v>
      </c>
      <c r="C375" s="2" t="s">
        <v>22</v>
      </c>
      <c r="D375" s="2">
        <v>23</v>
      </c>
      <c r="E375" s="2">
        <v>63</v>
      </c>
      <c r="J375" s="3">
        <f t="shared" si="6"/>
        <v>1168.4616947774841</v>
      </c>
      <c r="K375" s="3">
        <f t="shared" si="7"/>
        <v>63</v>
      </c>
      <c r="L375" s="3" t="e">
        <f t="shared" si="8"/>
        <v>#N/A</v>
      </c>
      <c r="M375" s="3" t="e">
        <f t="shared" si="9"/>
        <v>#N/A</v>
      </c>
      <c r="N375" s="3" t="e">
        <f t="shared" si="10"/>
        <v>#N/A</v>
      </c>
      <c r="O375" s="3" t="e">
        <f t="shared" si="11"/>
        <v>#N/A</v>
      </c>
    </row>
    <row r="376" spans="1:15" ht="14.25" customHeight="1">
      <c r="A376" s="2" t="s">
        <v>40</v>
      </c>
      <c r="B376" s="2">
        <v>1969</v>
      </c>
      <c r="C376" s="2" t="s">
        <v>23</v>
      </c>
      <c r="D376" s="2">
        <v>4</v>
      </c>
      <c r="E376" s="2">
        <v>7</v>
      </c>
      <c r="J376" s="3">
        <f t="shared" si="6"/>
        <v>203.210729526519</v>
      </c>
      <c r="K376" s="3">
        <f t="shared" si="7"/>
        <v>7</v>
      </c>
      <c r="L376" s="3" t="e">
        <f t="shared" si="8"/>
        <v>#N/A</v>
      </c>
      <c r="M376" s="3" t="e">
        <f t="shared" si="9"/>
        <v>#N/A</v>
      </c>
      <c r="N376" s="3" t="e">
        <f t="shared" si="10"/>
        <v>#N/A</v>
      </c>
      <c r="O376" s="3" t="e">
        <f t="shared" si="11"/>
        <v>#N/A</v>
      </c>
    </row>
    <row r="377" spans="1:15" ht="14.25" customHeight="1">
      <c r="A377" s="2" t="s">
        <v>40</v>
      </c>
      <c r="B377" s="2">
        <v>1969</v>
      </c>
      <c r="C377" s="2" t="s">
        <v>25</v>
      </c>
      <c r="D377" s="2">
        <v>4</v>
      </c>
      <c r="E377" s="2">
        <v>15</v>
      </c>
      <c r="J377" s="3">
        <f t="shared" si="6"/>
        <v>203.210729526519</v>
      </c>
      <c r="K377" s="3">
        <f t="shared" si="7"/>
        <v>15</v>
      </c>
      <c r="L377" s="3" t="e">
        <f t="shared" si="8"/>
        <v>#N/A</v>
      </c>
      <c r="M377" s="3" t="e">
        <f t="shared" si="9"/>
        <v>#N/A</v>
      </c>
      <c r="N377" s="3" t="e">
        <f t="shared" si="10"/>
        <v>#N/A</v>
      </c>
      <c r="O377" s="3" t="e">
        <f t="shared" si="11"/>
        <v>#N/A</v>
      </c>
    </row>
    <row r="378" spans="1:15" ht="14.25" customHeight="1">
      <c r="A378" s="2" t="s">
        <v>40</v>
      </c>
      <c r="B378" s="2">
        <v>1969</v>
      </c>
      <c r="C378" s="2" t="s">
        <v>24</v>
      </c>
      <c r="D378" s="2">
        <v>42</v>
      </c>
      <c r="E378" s="2">
        <v>70</v>
      </c>
      <c r="J378" s="3">
        <f t="shared" si="6"/>
        <v>2133.7126600284491</v>
      </c>
      <c r="K378" s="3">
        <f t="shared" si="7"/>
        <v>70</v>
      </c>
      <c r="L378" s="3" t="e">
        <f t="shared" si="8"/>
        <v>#N/A</v>
      </c>
      <c r="M378" s="3" t="e">
        <f t="shared" si="9"/>
        <v>#N/A</v>
      </c>
      <c r="N378" s="3" t="e">
        <f t="shared" si="10"/>
        <v>#N/A</v>
      </c>
      <c r="O378" s="3" t="e">
        <f t="shared" si="11"/>
        <v>#N/A</v>
      </c>
    </row>
    <row r="379" spans="1:15" ht="14.25" customHeight="1">
      <c r="A379" s="2" t="s">
        <v>40</v>
      </c>
      <c r="B379" s="2">
        <v>1969</v>
      </c>
      <c r="C379" s="2" t="s">
        <v>19</v>
      </c>
      <c r="D379" s="2">
        <v>15</v>
      </c>
      <c r="E379" s="2">
        <v>25</v>
      </c>
      <c r="J379" s="3">
        <f t="shared" si="6"/>
        <v>762.04023572444623</v>
      </c>
      <c r="K379" s="3">
        <f t="shared" si="7"/>
        <v>25</v>
      </c>
      <c r="L379" s="3" t="e">
        <f t="shared" si="8"/>
        <v>#N/A</v>
      </c>
      <c r="M379" s="3" t="e">
        <f t="shared" si="9"/>
        <v>#N/A</v>
      </c>
      <c r="N379" s="3" t="e">
        <f t="shared" si="10"/>
        <v>#N/A</v>
      </c>
      <c r="O379" s="3" t="e">
        <f t="shared" si="11"/>
        <v>#N/A</v>
      </c>
    </row>
    <row r="380" spans="1:15" ht="14.25" customHeight="1">
      <c r="A380" s="2" t="s">
        <v>40</v>
      </c>
      <c r="B380" s="2">
        <v>1969</v>
      </c>
      <c r="C380" s="2" t="s">
        <v>21</v>
      </c>
      <c r="D380" s="2">
        <v>0</v>
      </c>
      <c r="E380" s="2">
        <v>0</v>
      </c>
      <c r="J380" s="3">
        <f t="shared" si="6"/>
        <v>0</v>
      </c>
      <c r="K380" s="3">
        <f t="shared" si="7"/>
        <v>0</v>
      </c>
      <c r="L380" s="3" t="e">
        <f t="shared" si="8"/>
        <v>#N/A</v>
      </c>
      <c r="M380" s="3" t="e">
        <f t="shared" si="9"/>
        <v>#N/A</v>
      </c>
      <c r="N380" s="3" t="e">
        <f t="shared" si="10"/>
        <v>#N/A</v>
      </c>
      <c r="O380" s="3" t="e">
        <f t="shared" si="11"/>
        <v>#N/A</v>
      </c>
    </row>
    <row r="381" spans="1:15" ht="14.25" customHeight="1">
      <c r="A381" s="2" t="s">
        <v>40</v>
      </c>
      <c r="B381" s="2">
        <v>1969</v>
      </c>
      <c r="C381" s="2" t="s">
        <v>34</v>
      </c>
      <c r="D381" s="2">
        <v>0</v>
      </c>
      <c r="E381" s="2">
        <v>13</v>
      </c>
      <c r="J381" s="3">
        <f t="shared" si="6"/>
        <v>0</v>
      </c>
      <c r="K381" s="3">
        <f t="shared" si="7"/>
        <v>13</v>
      </c>
      <c r="L381" s="3" t="e">
        <f t="shared" si="8"/>
        <v>#N/A</v>
      </c>
      <c r="M381" s="3" t="e">
        <f t="shared" si="9"/>
        <v>#N/A</v>
      </c>
      <c r="N381" s="3" t="e">
        <f t="shared" si="10"/>
        <v>#N/A</v>
      </c>
      <c r="O381" s="3" t="e">
        <f t="shared" si="11"/>
        <v>#N/A</v>
      </c>
    </row>
    <row r="382" spans="1:15" ht="14.25" customHeight="1">
      <c r="A382" s="2" t="s">
        <v>40</v>
      </c>
      <c r="B382" s="2">
        <v>1969</v>
      </c>
      <c r="C382" s="2" t="s">
        <v>35</v>
      </c>
      <c r="D382" s="2">
        <v>52</v>
      </c>
      <c r="E382" s="2">
        <v>330</v>
      </c>
      <c r="J382" s="3">
        <f t="shared" si="6"/>
        <v>2641.7394838447467</v>
      </c>
      <c r="K382" s="3">
        <f t="shared" si="7"/>
        <v>330</v>
      </c>
      <c r="L382" s="3" t="e">
        <f t="shared" si="8"/>
        <v>#N/A</v>
      </c>
      <c r="M382" s="3" t="e">
        <f t="shared" si="9"/>
        <v>#N/A</v>
      </c>
      <c r="N382" s="3" t="e">
        <f t="shared" si="10"/>
        <v>#N/A</v>
      </c>
      <c r="O382" s="3" t="e">
        <f t="shared" si="11"/>
        <v>#N/A</v>
      </c>
    </row>
    <row r="383" spans="1:15" ht="14.25" customHeight="1">
      <c r="A383" s="2" t="s">
        <v>40</v>
      </c>
      <c r="B383" s="2">
        <v>1969</v>
      </c>
      <c r="C383" s="2" t="s">
        <v>30</v>
      </c>
      <c r="D383" s="2">
        <v>0</v>
      </c>
      <c r="E383" s="2">
        <v>0</v>
      </c>
      <c r="J383" s="3">
        <f t="shared" si="6"/>
        <v>0</v>
      </c>
      <c r="K383" s="3">
        <f t="shared" si="7"/>
        <v>0</v>
      </c>
      <c r="L383" s="3" t="e">
        <f t="shared" si="8"/>
        <v>#N/A</v>
      </c>
      <c r="M383" s="3" t="e">
        <f t="shared" si="9"/>
        <v>#N/A</v>
      </c>
      <c r="N383" s="3" t="e">
        <f t="shared" si="10"/>
        <v>#N/A</v>
      </c>
      <c r="O383" s="3" t="e">
        <f t="shared" si="11"/>
        <v>#N/A</v>
      </c>
    </row>
    <row r="384" spans="1:15" ht="14.25" customHeight="1">
      <c r="A384" s="2" t="s">
        <v>40</v>
      </c>
      <c r="B384" s="2">
        <v>1969</v>
      </c>
      <c r="C384" s="2" t="s">
        <v>36</v>
      </c>
      <c r="D384" s="2">
        <v>0</v>
      </c>
      <c r="E384" s="2">
        <v>0</v>
      </c>
      <c r="J384" s="3">
        <f t="shared" si="6"/>
        <v>0</v>
      </c>
      <c r="K384" s="3">
        <f t="shared" si="7"/>
        <v>0</v>
      </c>
      <c r="L384" s="3" t="e">
        <f t="shared" si="8"/>
        <v>#N/A</v>
      </c>
      <c r="M384" s="3" t="e">
        <f t="shared" si="9"/>
        <v>#N/A</v>
      </c>
      <c r="N384" s="3" t="e">
        <f t="shared" si="10"/>
        <v>#N/A</v>
      </c>
      <c r="O384" s="3" t="e">
        <f t="shared" si="11"/>
        <v>#N/A</v>
      </c>
    </row>
    <row r="385" spans="1:15" ht="14.25" customHeight="1">
      <c r="A385" s="2" t="s">
        <v>40</v>
      </c>
      <c r="B385" s="2">
        <v>1969</v>
      </c>
      <c r="C385" s="2" t="s">
        <v>16</v>
      </c>
      <c r="D385" s="2">
        <v>175</v>
      </c>
      <c r="E385" s="2">
        <v>585</v>
      </c>
      <c r="J385" s="3">
        <f t="shared" si="6"/>
        <v>8890.4694167852049</v>
      </c>
      <c r="K385" s="3">
        <f t="shared" si="7"/>
        <v>585</v>
      </c>
      <c r="L385" s="3" t="e">
        <f t="shared" si="8"/>
        <v>#N/A</v>
      </c>
      <c r="M385" s="3" t="e">
        <f t="shared" si="9"/>
        <v>#N/A</v>
      </c>
      <c r="N385" s="3" t="e">
        <f t="shared" si="10"/>
        <v>#N/A</v>
      </c>
      <c r="O385" s="3" t="e">
        <f t="shared" si="11"/>
        <v>#N/A</v>
      </c>
    </row>
    <row r="386" spans="1:15" ht="14.25" customHeight="1">
      <c r="A386" s="2" t="s">
        <v>40</v>
      </c>
      <c r="B386" s="2">
        <v>1969</v>
      </c>
      <c r="C386" s="2" t="s">
        <v>28</v>
      </c>
      <c r="D386" s="2">
        <v>60</v>
      </c>
      <c r="E386" s="2">
        <v>367</v>
      </c>
      <c r="J386" s="3">
        <f t="shared" si="6"/>
        <v>3048.1609428977849</v>
      </c>
      <c r="K386" s="3">
        <f t="shared" si="7"/>
        <v>367</v>
      </c>
      <c r="L386" s="3" t="e">
        <f t="shared" si="8"/>
        <v>#N/A</v>
      </c>
      <c r="M386" s="3" t="e">
        <f t="shared" si="9"/>
        <v>#N/A</v>
      </c>
      <c r="N386" s="3" t="e">
        <f t="shared" si="10"/>
        <v>#N/A</v>
      </c>
      <c r="O386" s="3" t="e">
        <f t="shared" si="11"/>
        <v>#N/A</v>
      </c>
    </row>
    <row r="387" spans="1:15" ht="14.25" customHeight="1">
      <c r="A387" s="2" t="s">
        <v>40</v>
      </c>
      <c r="B387" s="2">
        <v>1969</v>
      </c>
      <c r="C387" s="2" t="s">
        <v>37</v>
      </c>
      <c r="D387" s="2">
        <v>115</v>
      </c>
      <c r="E387" s="2">
        <v>218</v>
      </c>
      <c r="J387" s="3">
        <f t="shared" si="6"/>
        <v>5842.3084738874213</v>
      </c>
      <c r="K387" s="3">
        <f t="shared" si="7"/>
        <v>218</v>
      </c>
      <c r="L387" s="3" t="e">
        <f t="shared" si="8"/>
        <v>#N/A</v>
      </c>
      <c r="M387" s="3" t="e">
        <f t="shared" si="9"/>
        <v>#N/A</v>
      </c>
      <c r="N387" s="3" t="e">
        <f t="shared" si="10"/>
        <v>#N/A</v>
      </c>
      <c r="O387" s="3" t="e">
        <f t="shared" si="11"/>
        <v>#N/A</v>
      </c>
    </row>
    <row r="388" spans="1:15" ht="14.25" customHeight="1">
      <c r="A388" s="2" t="s">
        <v>40</v>
      </c>
      <c r="B388" s="2">
        <v>1970</v>
      </c>
      <c r="C388" s="2" t="s">
        <v>22</v>
      </c>
      <c r="D388" s="2">
        <v>21</v>
      </c>
      <c r="E388" s="2">
        <v>76</v>
      </c>
      <c r="J388" s="3">
        <f t="shared" si="6"/>
        <v>1066.8563300142246</v>
      </c>
      <c r="K388" s="3">
        <f t="shared" si="7"/>
        <v>76</v>
      </c>
      <c r="L388" s="3" t="e">
        <f t="shared" si="8"/>
        <v>#N/A</v>
      </c>
      <c r="M388" s="3" t="e">
        <f t="shared" si="9"/>
        <v>#N/A</v>
      </c>
      <c r="N388" s="3" t="e">
        <f t="shared" si="10"/>
        <v>#N/A</v>
      </c>
      <c r="O388" s="3" t="e">
        <f t="shared" si="11"/>
        <v>#N/A</v>
      </c>
    </row>
    <row r="389" spans="1:15" ht="14.25" customHeight="1">
      <c r="A389" s="2" t="s">
        <v>40</v>
      </c>
      <c r="B389" s="2">
        <v>1970</v>
      </c>
      <c r="C389" s="2" t="s">
        <v>23</v>
      </c>
      <c r="D389" s="2">
        <v>3</v>
      </c>
      <c r="E389" s="2">
        <v>9</v>
      </c>
      <c r="J389" s="3">
        <f t="shared" si="6"/>
        <v>152.40804714488922</v>
      </c>
      <c r="K389" s="3">
        <f t="shared" si="7"/>
        <v>9</v>
      </c>
      <c r="L389" s="3" t="e">
        <f t="shared" si="8"/>
        <v>#N/A</v>
      </c>
      <c r="M389" s="3" t="e">
        <f t="shared" si="9"/>
        <v>#N/A</v>
      </c>
      <c r="N389" s="3" t="e">
        <f t="shared" si="10"/>
        <v>#N/A</v>
      </c>
      <c r="O389" s="3" t="e">
        <f t="shared" si="11"/>
        <v>#N/A</v>
      </c>
    </row>
    <row r="390" spans="1:15" ht="14.25" customHeight="1">
      <c r="A390" s="2" t="s">
        <v>40</v>
      </c>
      <c r="B390" s="2">
        <v>1970</v>
      </c>
      <c r="C390" s="2" t="s">
        <v>25</v>
      </c>
      <c r="D390" s="2">
        <v>3</v>
      </c>
      <c r="E390" s="2">
        <v>16</v>
      </c>
      <c r="J390" s="3">
        <f t="shared" si="6"/>
        <v>152.40804714488922</v>
      </c>
      <c r="K390" s="3">
        <f t="shared" si="7"/>
        <v>16</v>
      </c>
      <c r="L390" s="3" t="e">
        <f t="shared" si="8"/>
        <v>#N/A</v>
      </c>
      <c r="M390" s="3" t="e">
        <f t="shared" si="9"/>
        <v>#N/A</v>
      </c>
      <c r="N390" s="3" t="e">
        <f t="shared" si="10"/>
        <v>#N/A</v>
      </c>
      <c r="O390" s="3" t="e">
        <f t="shared" si="11"/>
        <v>#N/A</v>
      </c>
    </row>
    <row r="391" spans="1:15" ht="14.25" customHeight="1">
      <c r="A391" s="2" t="s">
        <v>40</v>
      </c>
      <c r="B391" s="2">
        <v>1970</v>
      </c>
      <c r="C391" s="2" t="s">
        <v>38</v>
      </c>
      <c r="D391" s="2">
        <v>11</v>
      </c>
      <c r="E391" s="2">
        <v>11</v>
      </c>
      <c r="J391" s="3">
        <f t="shared" si="6"/>
        <v>558.82950619792723</v>
      </c>
      <c r="K391" s="3">
        <f t="shared" si="7"/>
        <v>11</v>
      </c>
      <c r="L391" s="3" t="e">
        <f t="shared" si="8"/>
        <v>#N/A</v>
      </c>
      <c r="M391" s="3" t="e">
        <f t="shared" si="9"/>
        <v>#N/A</v>
      </c>
      <c r="N391" s="3" t="e">
        <f t="shared" si="10"/>
        <v>#N/A</v>
      </c>
      <c r="O391" s="3" t="e">
        <f t="shared" si="11"/>
        <v>#N/A</v>
      </c>
    </row>
    <row r="392" spans="1:15" ht="14.25" customHeight="1">
      <c r="A392" s="2" t="s">
        <v>40</v>
      </c>
      <c r="B392" s="2">
        <v>1970</v>
      </c>
      <c r="C392" s="2" t="s">
        <v>24</v>
      </c>
      <c r="D392" s="2">
        <v>23</v>
      </c>
      <c r="E392" s="2">
        <v>48</v>
      </c>
      <c r="J392" s="3">
        <f t="shared" si="6"/>
        <v>1168.4616947774841</v>
      </c>
      <c r="K392" s="3">
        <f t="shared" si="7"/>
        <v>48</v>
      </c>
      <c r="L392" s="3" t="e">
        <f t="shared" si="8"/>
        <v>#N/A</v>
      </c>
      <c r="M392" s="3" t="e">
        <f t="shared" si="9"/>
        <v>#N/A</v>
      </c>
      <c r="N392" s="3" t="e">
        <f t="shared" si="10"/>
        <v>#N/A</v>
      </c>
      <c r="O392" s="3" t="e">
        <f t="shared" si="11"/>
        <v>#N/A</v>
      </c>
    </row>
    <row r="393" spans="1:15" ht="14.25" customHeight="1">
      <c r="A393" s="2" t="s">
        <v>40</v>
      </c>
      <c r="B393" s="2">
        <v>1970</v>
      </c>
      <c r="C393" s="2" t="s">
        <v>19</v>
      </c>
      <c r="D393" s="2">
        <v>86</v>
      </c>
      <c r="E393" s="2">
        <v>130</v>
      </c>
      <c r="J393" s="3">
        <f t="shared" si="6"/>
        <v>4369.0306848201581</v>
      </c>
      <c r="K393" s="3">
        <f t="shared" si="7"/>
        <v>130</v>
      </c>
      <c r="L393" s="3" t="e">
        <f t="shared" si="8"/>
        <v>#N/A</v>
      </c>
      <c r="M393" s="3" t="e">
        <f t="shared" si="9"/>
        <v>#N/A</v>
      </c>
      <c r="N393" s="3" t="e">
        <f t="shared" si="10"/>
        <v>#N/A</v>
      </c>
      <c r="O393" s="3" t="e">
        <f t="shared" si="11"/>
        <v>#N/A</v>
      </c>
    </row>
    <row r="394" spans="1:15" ht="14.25" customHeight="1">
      <c r="A394" s="2" t="s">
        <v>40</v>
      </c>
      <c r="B394" s="2">
        <v>1970</v>
      </c>
      <c r="C394" s="2" t="s">
        <v>21</v>
      </c>
      <c r="D394" s="2">
        <v>0</v>
      </c>
      <c r="E394" s="2">
        <v>0</v>
      </c>
      <c r="J394" s="3">
        <f t="shared" si="6"/>
        <v>0</v>
      </c>
      <c r="K394" s="3">
        <f t="shared" si="7"/>
        <v>0</v>
      </c>
      <c r="L394" s="3" t="e">
        <f t="shared" si="8"/>
        <v>#N/A</v>
      </c>
      <c r="M394" s="3" t="e">
        <f t="shared" si="9"/>
        <v>#N/A</v>
      </c>
      <c r="N394" s="3" t="e">
        <f t="shared" si="10"/>
        <v>#N/A</v>
      </c>
      <c r="O394" s="3" t="e">
        <f t="shared" si="11"/>
        <v>#N/A</v>
      </c>
    </row>
    <row r="395" spans="1:15" ht="14.25" customHeight="1">
      <c r="A395" s="2" t="s">
        <v>40</v>
      </c>
      <c r="B395" s="2">
        <v>1970</v>
      </c>
      <c r="C395" s="2" t="s">
        <v>34</v>
      </c>
      <c r="D395" s="2">
        <v>0</v>
      </c>
      <c r="E395" s="2">
        <v>13</v>
      </c>
      <c r="J395" s="3">
        <f t="shared" si="6"/>
        <v>0</v>
      </c>
      <c r="K395" s="3">
        <f t="shared" si="7"/>
        <v>13</v>
      </c>
      <c r="L395" s="3" t="e">
        <f t="shared" si="8"/>
        <v>#N/A</v>
      </c>
      <c r="M395" s="3" t="e">
        <f t="shared" si="9"/>
        <v>#N/A</v>
      </c>
      <c r="N395" s="3" t="e">
        <f t="shared" si="10"/>
        <v>#N/A</v>
      </c>
      <c r="O395" s="3" t="e">
        <f t="shared" si="11"/>
        <v>#N/A</v>
      </c>
    </row>
    <row r="396" spans="1:15" ht="14.25" customHeight="1">
      <c r="A396" s="2" t="s">
        <v>40</v>
      </c>
      <c r="B396" s="2">
        <v>1970</v>
      </c>
      <c r="C396" s="2" t="s">
        <v>35</v>
      </c>
      <c r="D396" s="2">
        <v>55</v>
      </c>
      <c r="E396" s="2">
        <v>402</v>
      </c>
      <c r="J396" s="3">
        <f t="shared" si="6"/>
        <v>2794.1475309896359</v>
      </c>
      <c r="K396" s="3">
        <f t="shared" si="7"/>
        <v>402</v>
      </c>
      <c r="L396" s="3" t="e">
        <f t="shared" si="8"/>
        <v>#N/A</v>
      </c>
      <c r="M396" s="3" t="e">
        <f t="shared" si="9"/>
        <v>#N/A</v>
      </c>
      <c r="N396" s="3" t="e">
        <f t="shared" si="10"/>
        <v>#N/A</v>
      </c>
      <c r="O396" s="3" t="e">
        <f t="shared" si="11"/>
        <v>#N/A</v>
      </c>
    </row>
    <row r="397" spans="1:15" ht="14.25" customHeight="1">
      <c r="A397" s="2" t="s">
        <v>40</v>
      </c>
      <c r="B397" s="2">
        <v>1970</v>
      </c>
      <c r="C397" s="2" t="s">
        <v>30</v>
      </c>
      <c r="D397" s="2">
        <v>0</v>
      </c>
      <c r="E397" s="2">
        <v>0</v>
      </c>
      <c r="J397" s="3">
        <f t="shared" si="6"/>
        <v>0</v>
      </c>
      <c r="K397" s="3">
        <f t="shared" si="7"/>
        <v>0</v>
      </c>
      <c r="L397" s="3" t="e">
        <f t="shared" si="8"/>
        <v>#N/A</v>
      </c>
      <c r="M397" s="3" t="e">
        <f t="shared" si="9"/>
        <v>#N/A</v>
      </c>
      <c r="N397" s="3" t="e">
        <f t="shared" si="10"/>
        <v>#N/A</v>
      </c>
      <c r="O397" s="3" t="e">
        <f t="shared" si="11"/>
        <v>#N/A</v>
      </c>
    </row>
    <row r="398" spans="1:15" ht="14.25" customHeight="1">
      <c r="A398" s="2" t="s">
        <v>40</v>
      </c>
      <c r="B398" s="2">
        <v>1970</v>
      </c>
      <c r="C398" s="2" t="s">
        <v>36</v>
      </c>
      <c r="D398" s="2">
        <v>0</v>
      </c>
      <c r="E398" s="2">
        <v>0</v>
      </c>
      <c r="J398" s="3">
        <f t="shared" si="6"/>
        <v>0</v>
      </c>
      <c r="K398" s="3">
        <f t="shared" si="7"/>
        <v>0</v>
      </c>
      <c r="L398" s="3" t="e">
        <f t="shared" si="8"/>
        <v>#N/A</v>
      </c>
      <c r="M398" s="3" t="e">
        <f t="shared" si="9"/>
        <v>#N/A</v>
      </c>
      <c r="N398" s="3" t="e">
        <f t="shared" si="10"/>
        <v>#N/A</v>
      </c>
      <c r="O398" s="3" t="e">
        <f t="shared" si="11"/>
        <v>#N/A</v>
      </c>
    </row>
    <row r="399" spans="1:15" ht="14.25" customHeight="1">
      <c r="A399" s="2" t="s">
        <v>40</v>
      </c>
      <c r="B399" s="2">
        <v>1970</v>
      </c>
      <c r="C399" s="2" t="s">
        <v>16</v>
      </c>
      <c r="D399" s="2">
        <v>234</v>
      </c>
      <c r="E399" s="2">
        <v>777</v>
      </c>
      <c r="J399" s="3">
        <f t="shared" si="6"/>
        <v>11887.827677301362</v>
      </c>
      <c r="K399" s="3">
        <f t="shared" si="7"/>
        <v>777</v>
      </c>
      <c r="L399" s="3" t="e">
        <f t="shared" si="8"/>
        <v>#N/A</v>
      </c>
      <c r="M399" s="3" t="e">
        <f t="shared" si="9"/>
        <v>#N/A</v>
      </c>
      <c r="N399" s="3" t="e">
        <f t="shared" si="10"/>
        <v>#N/A</v>
      </c>
      <c r="O399" s="3" t="e">
        <f t="shared" si="11"/>
        <v>#N/A</v>
      </c>
    </row>
    <row r="400" spans="1:15" ht="14.25" customHeight="1">
      <c r="A400" s="2" t="s">
        <v>40</v>
      </c>
      <c r="B400" s="2">
        <v>1970</v>
      </c>
      <c r="C400" s="2" t="s">
        <v>28</v>
      </c>
      <c r="D400" s="2">
        <v>68</v>
      </c>
      <c r="E400" s="2">
        <v>448</v>
      </c>
      <c r="J400" s="3">
        <f t="shared" si="6"/>
        <v>3454.5824019508227</v>
      </c>
      <c r="K400" s="3">
        <f t="shared" si="7"/>
        <v>448</v>
      </c>
      <c r="L400" s="3" t="e">
        <f t="shared" si="8"/>
        <v>#N/A</v>
      </c>
      <c r="M400" s="3" t="e">
        <f t="shared" si="9"/>
        <v>#N/A</v>
      </c>
      <c r="N400" s="3" t="e">
        <f t="shared" si="10"/>
        <v>#N/A</v>
      </c>
      <c r="O400" s="3" t="e">
        <f t="shared" si="11"/>
        <v>#N/A</v>
      </c>
    </row>
    <row r="401" spans="1:15" ht="14.25" customHeight="1">
      <c r="A401" s="2" t="s">
        <v>40</v>
      </c>
      <c r="B401" s="2">
        <v>1970</v>
      </c>
      <c r="C401" s="2" t="s">
        <v>37</v>
      </c>
      <c r="D401" s="2">
        <v>166</v>
      </c>
      <c r="E401" s="2">
        <v>329</v>
      </c>
      <c r="J401" s="3">
        <f t="shared" si="6"/>
        <v>8433.2452753505386</v>
      </c>
      <c r="K401" s="3">
        <f t="shared" si="7"/>
        <v>329</v>
      </c>
      <c r="L401" s="3" t="e">
        <f t="shared" si="8"/>
        <v>#N/A</v>
      </c>
      <c r="M401" s="3" t="e">
        <f t="shared" si="9"/>
        <v>#N/A</v>
      </c>
      <c r="N401" s="3" t="e">
        <f t="shared" si="10"/>
        <v>#N/A</v>
      </c>
      <c r="O401" s="3" t="e">
        <f t="shared" si="11"/>
        <v>#N/A</v>
      </c>
    </row>
    <row r="402" spans="1:15" ht="14.25" customHeight="1">
      <c r="A402" s="2" t="s">
        <v>40</v>
      </c>
      <c r="B402" s="2">
        <v>1971</v>
      </c>
      <c r="C402" s="2" t="s">
        <v>22</v>
      </c>
      <c r="D402" s="2">
        <v>18</v>
      </c>
      <c r="E402" s="2">
        <v>71</v>
      </c>
      <c r="J402" s="3">
        <f t="shared" si="6"/>
        <v>914.44828286933546</v>
      </c>
      <c r="K402" s="3">
        <f t="shared" si="7"/>
        <v>71</v>
      </c>
      <c r="L402" s="3" t="e">
        <f t="shared" si="8"/>
        <v>#N/A</v>
      </c>
      <c r="M402" s="3" t="e">
        <f t="shared" si="9"/>
        <v>#N/A</v>
      </c>
      <c r="N402" s="3" t="e">
        <f t="shared" si="10"/>
        <v>#N/A</v>
      </c>
      <c r="O402" s="3" t="e">
        <f t="shared" si="11"/>
        <v>#N/A</v>
      </c>
    </row>
    <row r="403" spans="1:15" ht="14.25" customHeight="1">
      <c r="A403" s="2" t="s">
        <v>40</v>
      </c>
      <c r="B403" s="2">
        <v>1971</v>
      </c>
      <c r="C403" s="2" t="s">
        <v>23</v>
      </c>
      <c r="D403" s="2">
        <v>1</v>
      </c>
      <c r="E403" s="2">
        <v>4</v>
      </c>
      <c r="J403" s="3">
        <f t="shared" si="6"/>
        <v>50.802682381629751</v>
      </c>
      <c r="K403" s="3">
        <f t="shared" si="7"/>
        <v>4</v>
      </c>
      <c r="L403" s="3" t="e">
        <f t="shared" si="8"/>
        <v>#N/A</v>
      </c>
      <c r="M403" s="3" t="e">
        <f t="shared" si="9"/>
        <v>#N/A</v>
      </c>
      <c r="N403" s="3" t="e">
        <f t="shared" si="10"/>
        <v>#N/A</v>
      </c>
      <c r="O403" s="3" t="e">
        <f t="shared" si="11"/>
        <v>#N/A</v>
      </c>
    </row>
    <row r="404" spans="1:15" ht="14.25" customHeight="1">
      <c r="A404" s="2" t="s">
        <v>40</v>
      </c>
      <c r="B404" s="2">
        <v>1971</v>
      </c>
      <c r="C404" s="2" t="s">
        <v>25</v>
      </c>
      <c r="D404" s="2">
        <v>3</v>
      </c>
      <c r="E404" s="2">
        <v>12</v>
      </c>
      <c r="J404" s="3">
        <f t="shared" si="6"/>
        <v>152.40804714488922</v>
      </c>
      <c r="K404" s="3">
        <f t="shared" si="7"/>
        <v>12</v>
      </c>
      <c r="L404" s="3" t="e">
        <f t="shared" si="8"/>
        <v>#N/A</v>
      </c>
      <c r="M404" s="3" t="e">
        <f t="shared" si="9"/>
        <v>#N/A</v>
      </c>
      <c r="N404" s="3" t="e">
        <f t="shared" si="10"/>
        <v>#N/A</v>
      </c>
      <c r="O404" s="3" t="e">
        <f t="shared" si="11"/>
        <v>#N/A</v>
      </c>
    </row>
    <row r="405" spans="1:15" ht="14.25" customHeight="1">
      <c r="A405" s="2" t="s">
        <v>40</v>
      </c>
      <c r="B405" s="2">
        <v>1971</v>
      </c>
      <c r="C405" s="2" t="s">
        <v>38</v>
      </c>
      <c r="D405" s="2">
        <v>7</v>
      </c>
      <c r="E405" s="2">
        <v>12</v>
      </c>
      <c r="J405" s="3">
        <f t="shared" si="6"/>
        <v>355.61877667140823</v>
      </c>
      <c r="K405" s="3">
        <f t="shared" si="7"/>
        <v>12</v>
      </c>
      <c r="L405" s="3" t="e">
        <f t="shared" si="8"/>
        <v>#N/A</v>
      </c>
      <c r="M405" s="3" t="e">
        <f t="shared" si="9"/>
        <v>#N/A</v>
      </c>
      <c r="N405" s="3" t="e">
        <f t="shared" si="10"/>
        <v>#N/A</v>
      </c>
      <c r="O405" s="3" t="e">
        <f t="shared" si="11"/>
        <v>#N/A</v>
      </c>
    </row>
    <row r="406" spans="1:15" ht="14.25" customHeight="1">
      <c r="A406" s="2" t="s">
        <v>40</v>
      </c>
      <c r="B406" s="2">
        <v>1971</v>
      </c>
      <c r="C406" s="2" t="s">
        <v>24</v>
      </c>
      <c r="D406" s="2">
        <v>33</v>
      </c>
      <c r="E406" s="2">
        <v>63</v>
      </c>
      <c r="J406" s="3">
        <f t="shared" si="6"/>
        <v>1676.4885185937817</v>
      </c>
      <c r="K406" s="3">
        <f t="shared" si="7"/>
        <v>63</v>
      </c>
      <c r="L406" s="3" t="e">
        <f t="shared" si="8"/>
        <v>#N/A</v>
      </c>
      <c r="M406" s="3" t="e">
        <f t="shared" si="9"/>
        <v>#N/A</v>
      </c>
      <c r="N406" s="3" t="e">
        <f t="shared" si="10"/>
        <v>#N/A</v>
      </c>
      <c r="O406" s="3" t="e">
        <f t="shared" si="11"/>
        <v>#N/A</v>
      </c>
    </row>
    <row r="407" spans="1:15" ht="14.25" customHeight="1">
      <c r="A407" s="2" t="s">
        <v>40</v>
      </c>
      <c r="B407" s="2">
        <v>1971</v>
      </c>
      <c r="C407" s="2" t="s">
        <v>19</v>
      </c>
      <c r="D407" s="2">
        <v>73</v>
      </c>
      <c r="E407" s="2">
        <v>132</v>
      </c>
      <c r="J407" s="3">
        <f t="shared" si="6"/>
        <v>3708.5958138589717</v>
      </c>
      <c r="K407" s="3">
        <f t="shared" si="7"/>
        <v>132</v>
      </c>
      <c r="L407" s="3" t="e">
        <f t="shared" si="8"/>
        <v>#N/A</v>
      </c>
      <c r="M407" s="3" t="e">
        <f t="shared" si="9"/>
        <v>#N/A</v>
      </c>
      <c r="N407" s="3" t="e">
        <f t="shared" si="10"/>
        <v>#N/A</v>
      </c>
      <c r="O407" s="3" t="e">
        <f t="shared" si="11"/>
        <v>#N/A</v>
      </c>
    </row>
    <row r="408" spans="1:15" ht="14.25" customHeight="1">
      <c r="A408" s="2" t="s">
        <v>40</v>
      </c>
      <c r="B408" s="2">
        <v>1971</v>
      </c>
      <c r="C408" s="2" t="s">
        <v>21</v>
      </c>
      <c r="D408" s="2">
        <v>0</v>
      </c>
      <c r="E408" s="2">
        <v>0</v>
      </c>
      <c r="J408" s="3">
        <f t="shared" si="6"/>
        <v>0</v>
      </c>
      <c r="K408" s="3">
        <f t="shared" si="7"/>
        <v>0</v>
      </c>
      <c r="L408" s="3" t="e">
        <f t="shared" si="8"/>
        <v>#N/A</v>
      </c>
      <c r="M408" s="3" t="e">
        <f t="shared" si="9"/>
        <v>#N/A</v>
      </c>
      <c r="N408" s="3" t="e">
        <f t="shared" si="10"/>
        <v>#N/A</v>
      </c>
      <c r="O408" s="3" t="e">
        <f t="shared" si="11"/>
        <v>#N/A</v>
      </c>
    </row>
    <row r="409" spans="1:15" ht="14.25" customHeight="1">
      <c r="A409" s="2" t="s">
        <v>40</v>
      </c>
      <c r="B409" s="2">
        <v>1971</v>
      </c>
      <c r="C409" s="2" t="s">
        <v>34</v>
      </c>
      <c r="D409" s="2">
        <v>0</v>
      </c>
      <c r="E409" s="2">
        <v>14</v>
      </c>
      <c r="J409" s="3">
        <f t="shared" si="6"/>
        <v>0</v>
      </c>
      <c r="K409" s="3">
        <f t="shared" si="7"/>
        <v>14</v>
      </c>
      <c r="L409" s="3" t="e">
        <f t="shared" si="8"/>
        <v>#N/A</v>
      </c>
      <c r="M409" s="3" t="e">
        <f t="shared" si="9"/>
        <v>#N/A</v>
      </c>
      <c r="N409" s="3" t="e">
        <f t="shared" si="10"/>
        <v>#N/A</v>
      </c>
      <c r="O409" s="3" t="e">
        <f t="shared" si="11"/>
        <v>#N/A</v>
      </c>
    </row>
    <row r="410" spans="1:15" ht="14.25" customHeight="1">
      <c r="A410" s="2" t="s">
        <v>40</v>
      </c>
      <c r="B410" s="2">
        <v>1971</v>
      </c>
      <c r="C410" s="2" t="s">
        <v>35</v>
      </c>
      <c r="D410" s="2">
        <v>57</v>
      </c>
      <c r="E410" s="2">
        <v>415</v>
      </c>
      <c r="J410" s="3">
        <f t="shared" si="6"/>
        <v>2895.7528957528957</v>
      </c>
      <c r="K410" s="3">
        <f t="shared" si="7"/>
        <v>415</v>
      </c>
      <c r="L410" s="3" t="e">
        <f t="shared" si="8"/>
        <v>#N/A</v>
      </c>
      <c r="M410" s="3" t="e">
        <f t="shared" si="9"/>
        <v>#N/A</v>
      </c>
      <c r="N410" s="3" t="e">
        <f t="shared" si="10"/>
        <v>#N/A</v>
      </c>
      <c r="O410" s="3" t="e">
        <f t="shared" si="11"/>
        <v>#N/A</v>
      </c>
    </row>
    <row r="411" spans="1:15" ht="14.25" customHeight="1">
      <c r="A411" s="2" t="s">
        <v>40</v>
      </c>
      <c r="B411" s="2">
        <v>1971</v>
      </c>
      <c r="C411" s="2" t="s">
        <v>30</v>
      </c>
      <c r="D411" s="2">
        <v>0</v>
      </c>
      <c r="E411" s="2">
        <v>0</v>
      </c>
      <c r="J411" s="3">
        <f t="shared" si="6"/>
        <v>0</v>
      </c>
      <c r="K411" s="3">
        <f t="shared" si="7"/>
        <v>0</v>
      </c>
      <c r="L411" s="3" t="e">
        <f t="shared" si="8"/>
        <v>#N/A</v>
      </c>
      <c r="M411" s="3" t="e">
        <f t="shared" si="9"/>
        <v>#N/A</v>
      </c>
      <c r="N411" s="3" t="e">
        <f t="shared" si="10"/>
        <v>#N/A</v>
      </c>
      <c r="O411" s="3" t="e">
        <f t="shared" si="11"/>
        <v>#N/A</v>
      </c>
    </row>
    <row r="412" spans="1:15" ht="14.25" customHeight="1">
      <c r="A412" s="2" t="s">
        <v>40</v>
      </c>
      <c r="B412" s="2">
        <v>1971</v>
      </c>
      <c r="C412" s="2" t="s">
        <v>36</v>
      </c>
      <c r="D412" s="2">
        <v>0</v>
      </c>
      <c r="E412" s="2">
        <v>0</v>
      </c>
      <c r="J412" s="3">
        <f t="shared" si="6"/>
        <v>0</v>
      </c>
      <c r="K412" s="3">
        <f t="shared" si="7"/>
        <v>0</v>
      </c>
      <c r="L412" s="3" t="e">
        <f t="shared" si="8"/>
        <v>#N/A</v>
      </c>
      <c r="M412" s="3" t="e">
        <f t="shared" si="9"/>
        <v>#N/A</v>
      </c>
      <c r="N412" s="3" t="e">
        <f t="shared" si="10"/>
        <v>#N/A</v>
      </c>
      <c r="O412" s="3" t="e">
        <f t="shared" si="11"/>
        <v>#N/A</v>
      </c>
    </row>
    <row r="413" spans="1:15" ht="14.25" customHeight="1">
      <c r="A413" s="2" t="s">
        <v>40</v>
      </c>
      <c r="B413" s="2">
        <v>1971</v>
      </c>
      <c r="C413" s="2" t="s">
        <v>16</v>
      </c>
      <c r="D413" s="2">
        <v>229</v>
      </c>
      <c r="E413" s="2">
        <v>823</v>
      </c>
      <c r="J413" s="3">
        <f t="shared" si="6"/>
        <v>11633.814265393212</v>
      </c>
      <c r="K413" s="3">
        <f t="shared" si="7"/>
        <v>823</v>
      </c>
      <c r="L413" s="3" t="e">
        <f t="shared" si="8"/>
        <v>#N/A</v>
      </c>
      <c r="M413" s="3" t="e">
        <f t="shared" si="9"/>
        <v>#N/A</v>
      </c>
      <c r="N413" s="3" t="e">
        <f t="shared" si="10"/>
        <v>#N/A</v>
      </c>
      <c r="O413" s="3" t="e">
        <f t="shared" si="11"/>
        <v>#N/A</v>
      </c>
    </row>
    <row r="414" spans="1:15" ht="14.25" customHeight="1">
      <c r="A414" s="2" t="s">
        <v>40</v>
      </c>
      <c r="B414" s="2">
        <v>1971</v>
      </c>
      <c r="C414" s="2" t="s">
        <v>28</v>
      </c>
      <c r="D414" s="2">
        <v>73</v>
      </c>
      <c r="E414" s="2">
        <v>483</v>
      </c>
      <c r="J414" s="3">
        <f t="shared" si="6"/>
        <v>3708.5958138589717</v>
      </c>
      <c r="K414" s="3">
        <f t="shared" si="7"/>
        <v>483</v>
      </c>
      <c r="L414" s="3" t="e">
        <f t="shared" si="8"/>
        <v>#N/A</v>
      </c>
      <c r="M414" s="3" t="e">
        <f t="shared" si="9"/>
        <v>#N/A</v>
      </c>
      <c r="N414" s="3" t="e">
        <f t="shared" si="10"/>
        <v>#N/A</v>
      </c>
      <c r="O414" s="3" t="e">
        <f t="shared" si="11"/>
        <v>#N/A</v>
      </c>
    </row>
    <row r="415" spans="1:15" ht="14.25" customHeight="1">
      <c r="A415" s="2" t="s">
        <v>40</v>
      </c>
      <c r="B415" s="2">
        <v>1971</v>
      </c>
      <c r="C415" s="2" t="s">
        <v>37</v>
      </c>
      <c r="D415" s="2">
        <v>156</v>
      </c>
      <c r="E415" s="2">
        <v>340</v>
      </c>
      <c r="J415" s="3">
        <f t="shared" si="6"/>
        <v>7925.2184515342406</v>
      </c>
      <c r="K415" s="3">
        <f t="shared" si="7"/>
        <v>340</v>
      </c>
      <c r="L415" s="3" t="e">
        <f t="shared" si="8"/>
        <v>#N/A</v>
      </c>
      <c r="M415" s="3" t="e">
        <f t="shared" si="9"/>
        <v>#N/A</v>
      </c>
      <c r="N415" s="3" t="e">
        <f t="shared" si="10"/>
        <v>#N/A</v>
      </c>
      <c r="O415" s="3" t="e">
        <f t="shared" si="11"/>
        <v>#N/A</v>
      </c>
    </row>
    <row r="416" spans="1:15" ht="14.25" customHeight="1">
      <c r="A416" s="2" t="s">
        <v>40</v>
      </c>
      <c r="B416" s="2">
        <v>1972</v>
      </c>
      <c r="C416" s="2" t="s">
        <v>22</v>
      </c>
      <c r="D416" s="2">
        <v>22</v>
      </c>
      <c r="E416" s="2">
        <v>108</v>
      </c>
      <c r="J416" s="3">
        <f t="shared" si="6"/>
        <v>1117.6590123958545</v>
      </c>
      <c r="K416" s="3">
        <f t="shared" si="7"/>
        <v>108</v>
      </c>
      <c r="L416" s="3" t="e">
        <f t="shared" si="8"/>
        <v>#N/A</v>
      </c>
      <c r="M416" s="3" t="e">
        <f t="shared" si="9"/>
        <v>#N/A</v>
      </c>
      <c r="N416" s="3" t="e">
        <f t="shared" si="10"/>
        <v>#N/A</v>
      </c>
      <c r="O416" s="3" t="e">
        <f t="shared" si="11"/>
        <v>#N/A</v>
      </c>
    </row>
    <row r="417" spans="1:15" ht="14.25" customHeight="1">
      <c r="A417" s="2" t="s">
        <v>40</v>
      </c>
      <c r="B417" s="2">
        <v>1972</v>
      </c>
      <c r="C417" s="2" t="s">
        <v>23</v>
      </c>
      <c r="D417" s="2">
        <v>1</v>
      </c>
      <c r="E417" s="2">
        <v>4</v>
      </c>
      <c r="J417" s="3">
        <f t="shared" si="6"/>
        <v>50.802682381629751</v>
      </c>
      <c r="K417" s="3">
        <f t="shared" si="7"/>
        <v>4</v>
      </c>
      <c r="L417" s="3" t="e">
        <f t="shared" si="8"/>
        <v>#N/A</v>
      </c>
      <c r="M417" s="3" t="e">
        <f t="shared" si="9"/>
        <v>#N/A</v>
      </c>
      <c r="N417" s="3" t="e">
        <f t="shared" si="10"/>
        <v>#N/A</v>
      </c>
      <c r="O417" s="3" t="e">
        <f t="shared" si="11"/>
        <v>#N/A</v>
      </c>
    </row>
    <row r="418" spans="1:15" ht="14.25" customHeight="1">
      <c r="A418" s="2" t="s">
        <v>40</v>
      </c>
      <c r="B418" s="2">
        <v>1972</v>
      </c>
      <c r="C418" s="2" t="s">
        <v>25</v>
      </c>
      <c r="D418" s="2">
        <v>2</v>
      </c>
      <c r="E418" s="2">
        <v>12</v>
      </c>
      <c r="J418" s="3">
        <f t="shared" si="6"/>
        <v>101.6053647632595</v>
      </c>
      <c r="K418" s="3">
        <f t="shared" si="7"/>
        <v>12</v>
      </c>
      <c r="L418" s="3" t="e">
        <f t="shared" si="8"/>
        <v>#N/A</v>
      </c>
      <c r="M418" s="3" t="e">
        <f t="shared" si="9"/>
        <v>#N/A</v>
      </c>
      <c r="N418" s="3" t="e">
        <f t="shared" si="10"/>
        <v>#N/A</v>
      </c>
      <c r="O418" s="3" t="e">
        <f t="shared" si="11"/>
        <v>#N/A</v>
      </c>
    </row>
    <row r="419" spans="1:15" ht="14.25" customHeight="1">
      <c r="A419" s="2" t="s">
        <v>40</v>
      </c>
      <c r="B419" s="2">
        <v>1972</v>
      </c>
      <c r="C419" s="2" t="s">
        <v>38</v>
      </c>
      <c r="D419" s="2">
        <v>6</v>
      </c>
      <c r="E419" s="2">
        <v>12</v>
      </c>
      <c r="J419" s="3">
        <f t="shared" si="6"/>
        <v>304.81609428977845</v>
      </c>
      <c r="K419" s="3">
        <f t="shared" si="7"/>
        <v>12</v>
      </c>
      <c r="L419" s="3" t="e">
        <f t="shared" si="8"/>
        <v>#N/A</v>
      </c>
      <c r="M419" s="3" t="e">
        <f t="shared" si="9"/>
        <v>#N/A</v>
      </c>
      <c r="N419" s="3" t="e">
        <f t="shared" si="10"/>
        <v>#N/A</v>
      </c>
      <c r="O419" s="3" t="e">
        <f t="shared" si="11"/>
        <v>#N/A</v>
      </c>
    </row>
    <row r="420" spans="1:15" ht="14.25" customHeight="1">
      <c r="A420" s="2" t="s">
        <v>40</v>
      </c>
      <c r="B420" s="2">
        <v>1972</v>
      </c>
      <c r="C420" s="2" t="s">
        <v>24</v>
      </c>
      <c r="D420" s="2">
        <v>35</v>
      </c>
      <c r="E420" s="2">
        <v>93</v>
      </c>
      <c r="J420" s="3">
        <f t="shared" si="6"/>
        <v>1778.0938833570412</v>
      </c>
      <c r="K420" s="3">
        <f t="shared" si="7"/>
        <v>93</v>
      </c>
      <c r="L420" s="3" t="e">
        <f t="shared" si="8"/>
        <v>#N/A</v>
      </c>
      <c r="M420" s="3" t="e">
        <f t="shared" si="9"/>
        <v>#N/A</v>
      </c>
      <c r="N420" s="3" t="e">
        <f t="shared" si="10"/>
        <v>#N/A</v>
      </c>
      <c r="O420" s="3" t="e">
        <f t="shared" si="11"/>
        <v>#N/A</v>
      </c>
    </row>
    <row r="421" spans="1:15" ht="14.25" customHeight="1">
      <c r="A421" s="2" t="s">
        <v>40</v>
      </c>
      <c r="B421" s="2">
        <v>1972</v>
      </c>
      <c r="C421" s="2" t="s">
        <v>19</v>
      </c>
      <c r="D421" s="2">
        <v>80</v>
      </c>
      <c r="E421" s="2">
        <v>167</v>
      </c>
      <c r="J421" s="3">
        <f t="shared" si="6"/>
        <v>4064.2145905303801</v>
      </c>
      <c r="K421" s="3">
        <f t="shared" si="7"/>
        <v>167</v>
      </c>
      <c r="L421" s="3" t="e">
        <f t="shared" si="8"/>
        <v>#N/A</v>
      </c>
      <c r="M421" s="3" t="e">
        <f t="shared" si="9"/>
        <v>#N/A</v>
      </c>
      <c r="N421" s="3" t="e">
        <f t="shared" si="10"/>
        <v>#N/A</v>
      </c>
      <c r="O421" s="3" t="e">
        <f t="shared" si="11"/>
        <v>#N/A</v>
      </c>
    </row>
    <row r="422" spans="1:15" ht="14.25" customHeight="1">
      <c r="A422" s="2" t="s">
        <v>40</v>
      </c>
      <c r="B422" s="2">
        <v>1972</v>
      </c>
      <c r="C422" s="2" t="s">
        <v>21</v>
      </c>
      <c r="D422" s="2">
        <v>0</v>
      </c>
      <c r="E422" s="2">
        <v>0</v>
      </c>
      <c r="J422" s="3">
        <f t="shared" si="6"/>
        <v>0</v>
      </c>
      <c r="K422" s="3">
        <f t="shared" si="7"/>
        <v>0</v>
      </c>
      <c r="L422" s="3" t="e">
        <f t="shared" si="8"/>
        <v>#N/A</v>
      </c>
      <c r="M422" s="3" t="e">
        <f t="shared" si="9"/>
        <v>#N/A</v>
      </c>
      <c r="N422" s="3" t="e">
        <f t="shared" si="10"/>
        <v>#N/A</v>
      </c>
      <c r="O422" s="3" t="e">
        <f t="shared" si="11"/>
        <v>#N/A</v>
      </c>
    </row>
    <row r="423" spans="1:15" ht="14.25" customHeight="1">
      <c r="A423" s="2" t="s">
        <v>40</v>
      </c>
      <c r="B423" s="2">
        <v>1972</v>
      </c>
      <c r="C423" s="2" t="s">
        <v>34</v>
      </c>
      <c r="D423" s="2">
        <v>0</v>
      </c>
      <c r="E423" s="2">
        <v>22</v>
      </c>
      <c r="J423" s="3">
        <f t="shared" si="6"/>
        <v>0</v>
      </c>
      <c r="K423" s="3">
        <f t="shared" si="7"/>
        <v>22</v>
      </c>
      <c r="L423" s="3" t="e">
        <f t="shared" si="8"/>
        <v>#N/A</v>
      </c>
      <c r="M423" s="3" t="e">
        <f t="shared" si="9"/>
        <v>#N/A</v>
      </c>
      <c r="N423" s="3" t="e">
        <f t="shared" si="10"/>
        <v>#N/A</v>
      </c>
      <c r="O423" s="3" t="e">
        <f t="shared" si="11"/>
        <v>#N/A</v>
      </c>
    </row>
    <row r="424" spans="1:15" ht="14.25" customHeight="1">
      <c r="A424" s="2" t="s">
        <v>40</v>
      </c>
      <c r="B424" s="2">
        <v>1972</v>
      </c>
      <c r="C424" s="2" t="s">
        <v>35</v>
      </c>
      <c r="D424" s="2">
        <v>79</v>
      </c>
      <c r="E424" s="2">
        <v>718</v>
      </c>
      <c r="J424" s="3">
        <f t="shared" si="6"/>
        <v>4013.4119081487497</v>
      </c>
      <c r="K424" s="3">
        <f t="shared" si="7"/>
        <v>718</v>
      </c>
      <c r="L424" s="3" t="e">
        <f t="shared" si="8"/>
        <v>#N/A</v>
      </c>
      <c r="M424" s="3" t="e">
        <f t="shared" si="9"/>
        <v>#N/A</v>
      </c>
      <c r="N424" s="3" t="e">
        <f t="shared" si="10"/>
        <v>#N/A</v>
      </c>
      <c r="O424" s="3" t="e">
        <f t="shared" si="11"/>
        <v>#N/A</v>
      </c>
    </row>
    <row r="425" spans="1:15" ht="14.25" customHeight="1">
      <c r="A425" s="2" t="s">
        <v>40</v>
      </c>
      <c r="B425" s="2">
        <v>1972</v>
      </c>
      <c r="C425" s="2" t="s">
        <v>30</v>
      </c>
      <c r="D425" s="2">
        <v>0</v>
      </c>
      <c r="E425" s="2">
        <v>0</v>
      </c>
      <c r="J425" s="3">
        <f t="shared" si="6"/>
        <v>0</v>
      </c>
      <c r="K425" s="3">
        <f t="shared" si="7"/>
        <v>0</v>
      </c>
      <c r="L425" s="3" t="e">
        <f t="shared" si="8"/>
        <v>#N/A</v>
      </c>
      <c r="M425" s="3" t="e">
        <f t="shared" si="9"/>
        <v>#N/A</v>
      </c>
      <c r="N425" s="3" t="e">
        <f t="shared" si="10"/>
        <v>#N/A</v>
      </c>
      <c r="O425" s="3" t="e">
        <f t="shared" si="11"/>
        <v>#N/A</v>
      </c>
    </row>
    <row r="426" spans="1:15" ht="14.25" customHeight="1">
      <c r="A426" s="2" t="s">
        <v>40</v>
      </c>
      <c r="B426" s="2">
        <v>1972</v>
      </c>
      <c r="C426" s="2" t="s">
        <v>36</v>
      </c>
      <c r="D426" s="2">
        <v>0</v>
      </c>
      <c r="E426" s="2">
        <v>0</v>
      </c>
      <c r="J426" s="3">
        <f t="shared" si="6"/>
        <v>0</v>
      </c>
      <c r="K426" s="3">
        <f t="shared" si="7"/>
        <v>0</v>
      </c>
      <c r="L426" s="3" t="e">
        <f t="shared" si="8"/>
        <v>#N/A</v>
      </c>
      <c r="M426" s="3" t="e">
        <f t="shared" si="9"/>
        <v>#N/A</v>
      </c>
      <c r="N426" s="3" t="e">
        <f t="shared" si="10"/>
        <v>#N/A</v>
      </c>
      <c r="O426" s="3" t="e">
        <f t="shared" si="11"/>
        <v>#N/A</v>
      </c>
    </row>
    <row r="427" spans="1:15" ht="14.25" customHeight="1">
      <c r="A427" s="2" t="s">
        <v>40</v>
      </c>
      <c r="B427" s="2">
        <v>1972</v>
      </c>
      <c r="C427" s="2" t="s">
        <v>16</v>
      </c>
      <c r="D427" s="2">
        <v>258</v>
      </c>
      <c r="E427" s="2">
        <v>1250</v>
      </c>
      <c r="J427" s="3">
        <f t="shared" si="6"/>
        <v>13107.092054460474</v>
      </c>
      <c r="K427" s="3">
        <f t="shared" si="7"/>
        <v>1250</v>
      </c>
      <c r="L427" s="3" t="e">
        <f t="shared" si="8"/>
        <v>#N/A</v>
      </c>
      <c r="M427" s="3" t="e">
        <f t="shared" si="9"/>
        <v>#N/A</v>
      </c>
      <c r="N427" s="3" t="e">
        <f t="shared" si="10"/>
        <v>#N/A</v>
      </c>
      <c r="O427" s="3" t="e">
        <f t="shared" si="11"/>
        <v>#N/A</v>
      </c>
    </row>
    <row r="428" spans="1:15" ht="14.25" customHeight="1">
      <c r="A428" s="2" t="s">
        <v>40</v>
      </c>
      <c r="B428" s="2">
        <v>1972</v>
      </c>
      <c r="C428" s="2" t="s">
        <v>28</v>
      </c>
      <c r="D428" s="2">
        <v>95</v>
      </c>
      <c r="E428" s="2">
        <v>805</v>
      </c>
      <c r="J428" s="3">
        <f t="shared" si="6"/>
        <v>4826.2548262548262</v>
      </c>
      <c r="K428" s="3">
        <f t="shared" si="7"/>
        <v>805</v>
      </c>
      <c r="L428" s="3" t="e">
        <f t="shared" si="8"/>
        <v>#N/A</v>
      </c>
      <c r="M428" s="3" t="e">
        <f t="shared" si="9"/>
        <v>#N/A</v>
      </c>
      <c r="N428" s="3" t="e">
        <f t="shared" si="10"/>
        <v>#N/A</v>
      </c>
      <c r="O428" s="3" t="e">
        <f t="shared" si="11"/>
        <v>#N/A</v>
      </c>
    </row>
    <row r="429" spans="1:15" ht="14.25" customHeight="1">
      <c r="A429" s="2" t="s">
        <v>40</v>
      </c>
      <c r="B429" s="2">
        <v>1972</v>
      </c>
      <c r="C429" s="2" t="s">
        <v>37</v>
      </c>
      <c r="D429" s="2">
        <v>163</v>
      </c>
      <c r="E429" s="2">
        <v>445</v>
      </c>
      <c r="J429" s="3">
        <f t="shared" si="6"/>
        <v>8280.837228205648</v>
      </c>
      <c r="K429" s="3">
        <f t="shared" si="7"/>
        <v>445</v>
      </c>
      <c r="L429" s="3" t="e">
        <f t="shared" si="8"/>
        <v>#N/A</v>
      </c>
      <c r="M429" s="3" t="e">
        <f t="shared" si="9"/>
        <v>#N/A</v>
      </c>
      <c r="N429" s="3" t="e">
        <f t="shared" si="10"/>
        <v>#N/A</v>
      </c>
      <c r="O429" s="3" t="e">
        <f t="shared" si="11"/>
        <v>#N/A</v>
      </c>
    </row>
    <row r="430" spans="1:15" ht="14.25" customHeight="1">
      <c r="A430" s="2" t="s">
        <v>18</v>
      </c>
      <c r="B430" s="2">
        <v>1965</v>
      </c>
      <c r="C430" s="2" t="s">
        <v>41</v>
      </c>
      <c r="D430" s="2">
        <v>9606</v>
      </c>
      <c r="E430" s="2">
        <v>39445</v>
      </c>
      <c r="J430" s="3">
        <f t="shared" si="6"/>
        <v>488010.56695793534</v>
      </c>
      <c r="K430" s="3">
        <f t="shared" si="7"/>
        <v>39445</v>
      </c>
      <c r="L430" s="3" t="e">
        <f t="shared" si="8"/>
        <v>#N/A</v>
      </c>
      <c r="M430" s="3" t="e">
        <f t="shared" si="9"/>
        <v>#N/A</v>
      </c>
      <c r="N430" s="3" t="e">
        <f t="shared" si="10"/>
        <v>#N/A</v>
      </c>
      <c r="O430" s="3" t="e">
        <f t="shared" si="11"/>
        <v>#N/A</v>
      </c>
    </row>
    <row r="431" spans="1:15" ht="14.25" customHeight="1">
      <c r="A431" s="2" t="s">
        <v>18</v>
      </c>
      <c r="B431" s="2">
        <v>1965</v>
      </c>
      <c r="C431" s="2" t="s">
        <v>42</v>
      </c>
      <c r="D431" s="2">
        <v>560</v>
      </c>
      <c r="E431" s="2">
        <v>884</v>
      </c>
      <c r="J431" s="3">
        <f t="shared" si="6"/>
        <v>28449.50213371266</v>
      </c>
      <c r="K431" s="3">
        <f t="shared" si="7"/>
        <v>884</v>
      </c>
      <c r="L431" s="3" t="e">
        <f t="shared" si="8"/>
        <v>#N/A</v>
      </c>
      <c r="M431" s="3" t="e">
        <f t="shared" si="9"/>
        <v>#N/A</v>
      </c>
      <c r="N431" s="3" t="e">
        <f t="shared" si="10"/>
        <v>#N/A</v>
      </c>
      <c r="O431" s="3" t="e">
        <f t="shared" si="11"/>
        <v>#N/A</v>
      </c>
    </row>
    <row r="432" spans="1:15" ht="14.25" customHeight="1">
      <c r="A432" s="2" t="s">
        <v>39</v>
      </c>
      <c r="B432" s="2">
        <v>1965</v>
      </c>
      <c r="C432" s="2" t="s">
        <v>41</v>
      </c>
      <c r="D432" s="2">
        <v>4764</v>
      </c>
      <c r="E432" s="2">
        <v>14808</v>
      </c>
      <c r="J432" s="3">
        <f t="shared" si="6"/>
        <v>242023.97886608413</v>
      </c>
      <c r="K432" s="3">
        <f t="shared" si="7"/>
        <v>14808</v>
      </c>
      <c r="L432" s="3" t="e">
        <f t="shared" si="8"/>
        <v>#N/A</v>
      </c>
      <c r="M432" s="3" t="e">
        <f t="shared" si="9"/>
        <v>#N/A</v>
      </c>
      <c r="N432" s="3" t="e">
        <f t="shared" si="10"/>
        <v>#N/A</v>
      </c>
      <c r="O432" s="3" t="e">
        <f t="shared" si="11"/>
        <v>#N/A</v>
      </c>
    </row>
    <row r="433" spans="1:15" ht="14.25" customHeight="1">
      <c r="A433" s="2" t="s">
        <v>39</v>
      </c>
      <c r="B433" s="2">
        <v>1965</v>
      </c>
      <c r="C433" s="2" t="s">
        <v>42</v>
      </c>
      <c r="D433" s="2">
        <v>2587</v>
      </c>
      <c r="E433" s="2">
        <v>2699</v>
      </c>
      <c r="J433" s="3">
        <f t="shared" si="6"/>
        <v>131426.53932127616</v>
      </c>
      <c r="K433" s="3">
        <f t="shared" si="7"/>
        <v>2699</v>
      </c>
      <c r="L433" s="3" t="e">
        <f t="shared" si="8"/>
        <v>#N/A</v>
      </c>
      <c r="M433" s="3" t="e">
        <f t="shared" si="9"/>
        <v>#N/A</v>
      </c>
      <c r="N433" s="3" t="e">
        <f t="shared" si="10"/>
        <v>#N/A</v>
      </c>
      <c r="O433" s="3" t="e">
        <f t="shared" si="11"/>
        <v>#N/A</v>
      </c>
    </row>
    <row r="434" spans="1:15" ht="14.25" customHeight="1">
      <c r="A434" s="2" t="s">
        <v>40</v>
      </c>
      <c r="B434" s="2">
        <v>1965</v>
      </c>
      <c r="C434" s="2" t="s">
        <v>41</v>
      </c>
      <c r="D434" s="2">
        <v>75</v>
      </c>
      <c r="E434" s="2">
        <v>106</v>
      </c>
      <c r="J434" s="3">
        <f t="shared" si="6"/>
        <v>3810.2011786222311</v>
      </c>
      <c r="K434" s="3">
        <f t="shared" si="7"/>
        <v>106</v>
      </c>
      <c r="L434" s="3" t="e">
        <f t="shared" si="8"/>
        <v>#N/A</v>
      </c>
      <c r="M434" s="3" t="e">
        <f t="shared" si="9"/>
        <v>#N/A</v>
      </c>
      <c r="N434" s="3" t="e">
        <f t="shared" si="10"/>
        <v>#N/A</v>
      </c>
      <c r="O434" s="3" t="e">
        <f t="shared" si="11"/>
        <v>#N/A</v>
      </c>
    </row>
    <row r="435" spans="1:15" ht="14.25" customHeight="1">
      <c r="A435" s="2" t="s">
        <v>40</v>
      </c>
      <c r="B435" s="2">
        <v>1965</v>
      </c>
      <c r="C435" s="2" t="s">
        <v>42</v>
      </c>
      <c r="D435" s="2">
        <v>93</v>
      </c>
      <c r="E435" s="2">
        <v>60</v>
      </c>
      <c r="J435" s="3">
        <f t="shared" si="6"/>
        <v>4724.6494614915664</v>
      </c>
      <c r="K435" s="3">
        <f t="shared" si="7"/>
        <v>60</v>
      </c>
      <c r="L435" s="3" t="e">
        <f t="shared" si="8"/>
        <v>#N/A</v>
      </c>
      <c r="M435" s="3" t="e">
        <f t="shared" si="9"/>
        <v>#N/A</v>
      </c>
      <c r="N435" s="3" t="e">
        <f t="shared" si="10"/>
        <v>#N/A</v>
      </c>
      <c r="O435" s="3" t="e">
        <f t="shared" si="11"/>
        <v>#N/A</v>
      </c>
    </row>
    <row r="436" spans="1:15" ht="14.25" customHeight="1">
      <c r="A436" s="2" t="s">
        <v>15</v>
      </c>
      <c r="B436" s="2">
        <v>1965</v>
      </c>
      <c r="C436" s="2" t="s">
        <v>41</v>
      </c>
      <c r="D436" s="2">
        <v>14445</v>
      </c>
      <c r="E436" s="2">
        <v>54359</v>
      </c>
      <c r="J436" s="3">
        <f t="shared" si="6"/>
        <v>733844.74700264167</v>
      </c>
      <c r="K436" s="3">
        <f t="shared" si="7"/>
        <v>54359</v>
      </c>
      <c r="L436" s="3" t="e">
        <f t="shared" si="8"/>
        <v>#N/A</v>
      </c>
      <c r="M436" s="3" t="e">
        <f t="shared" si="9"/>
        <v>#N/A</v>
      </c>
      <c r="N436" s="3" t="e">
        <f t="shared" si="10"/>
        <v>#N/A</v>
      </c>
      <c r="O436" s="3" t="e">
        <f t="shared" si="11"/>
        <v>#N/A</v>
      </c>
    </row>
    <row r="437" spans="1:15" ht="14.25" customHeight="1">
      <c r="A437" s="2" t="s">
        <v>15</v>
      </c>
      <c r="B437" s="2">
        <v>1965</v>
      </c>
      <c r="C437" s="2" t="s">
        <v>42</v>
      </c>
      <c r="D437" s="2">
        <v>3240</v>
      </c>
      <c r="E437" s="2">
        <v>3643</v>
      </c>
      <c r="J437" s="3">
        <f t="shared" si="6"/>
        <v>164600.69091648038</v>
      </c>
      <c r="K437" s="3">
        <f t="shared" si="7"/>
        <v>3643</v>
      </c>
      <c r="L437" s="3" t="e">
        <f t="shared" si="8"/>
        <v>#N/A</v>
      </c>
      <c r="M437" s="3" t="e">
        <f t="shared" si="9"/>
        <v>#N/A</v>
      </c>
      <c r="N437" s="3" t="e">
        <f t="shared" si="10"/>
        <v>#N/A</v>
      </c>
      <c r="O437" s="3" t="e">
        <f t="shared" si="11"/>
        <v>#N/A</v>
      </c>
    </row>
    <row r="438" spans="1:15" ht="14.25" customHeight="1">
      <c r="A438" s="2" t="s">
        <v>18</v>
      </c>
      <c r="B438" s="2">
        <v>1966</v>
      </c>
      <c r="C438" s="2" t="s">
        <v>41</v>
      </c>
      <c r="D438" s="2">
        <v>9428</v>
      </c>
      <c r="E438" s="2">
        <v>38487</v>
      </c>
      <c r="J438" s="3">
        <f t="shared" si="6"/>
        <v>478967.68949400523</v>
      </c>
      <c r="K438" s="3">
        <f t="shared" si="7"/>
        <v>38487</v>
      </c>
      <c r="L438" s="3" t="e">
        <f t="shared" si="8"/>
        <v>#N/A</v>
      </c>
      <c r="M438" s="3" t="e">
        <f t="shared" si="9"/>
        <v>#N/A</v>
      </c>
      <c r="N438" s="3" t="e">
        <f t="shared" si="10"/>
        <v>#N/A</v>
      </c>
      <c r="O438" s="3" t="e">
        <f t="shared" si="11"/>
        <v>#N/A</v>
      </c>
    </row>
    <row r="439" spans="1:15" ht="14.25" customHeight="1">
      <c r="A439" s="2" t="s">
        <v>18</v>
      </c>
      <c r="B439" s="2">
        <v>1966</v>
      </c>
      <c r="C439" s="2" t="s">
        <v>42</v>
      </c>
      <c r="D439" s="2">
        <v>493</v>
      </c>
      <c r="E439" s="2">
        <v>727</v>
      </c>
      <c r="J439" s="3">
        <f t="shared" si="6"/>
        <v>25045.722414143467</v>
      </c>
      <c r="K439" s="3">
        <f t="shared" si="7"/>
        <v>727</v>
      </c>
      <c r="L439" s="3" t="e">
        <f t="shared" si="8"/>
        <v>#N/A</v>
      </c>
      <c r="M439" s="3" t="e">
        <f t="shared" si="9"/>
        <v>#N/A</v>
      </c>
      <c r="N439" s="3" t="e">
        <f t="shared" si="10"/>
        <v>#N/A</v>
      </c>
      <c r="O439" s="3" t="e">
        <f t="shared" si="11"/>
        <v>#N/A</v>
      </c>
    </row>
    <row r="440" spans="1:15" ht="14.25" customHeight="1">
      <c r="A440" s="2" t="s">
        <v>39</v>
      </c>
      <c r="B440" s="2">
        <v>1966</v>
      </c>
      <c r="C440" s="2" t="s">
        <v>41</v>
      </c>
      <c r="D440" s="2">
        <v>4582</v>
      </c>
      <c r="E440" s="2">
        <v>15806</v>
      </c>
      <c r="J440" s="3">
        <f t="shared" si="6"/>
        <v>232777.89067262752</v>
      </c>
      <c r="K440" s="3">
        <f t="shared" si="7"/>
        <v>15806</v>
      </c>
      <c r="L440" s="3" t="e">
        <f t="shared" si="8"/>
        <v>#N/A</v>
      </c>
      <c r="M440" s="3" t="e">
        <f t="shared" si="9"/>
        <v>#N/A</v>
      </c>
      <c r="N440" s="3" t="e">
        <f t="shared" si="10"/>
        <v>#N/A</v>
      </c>
      <c r="O440" s="3" t="e">
        <f t="shared" si="11"/>
        <v>#N/A</v>
      </c>
    </row>
    <row r="441" spans="1:15" ht="14.25" customHeight="1">
      <c r="A441" s="2" t="s">
        <v>39</v>
      </c>
      <c r="B441" s="2">
        <v>1966</v>
      </c>
      <c r="C441" s="2" t="s">
        <v>42</v>
      </c>
      <c r="D441" s="2">
        <v>3424</v>
      </c>
      <c r="E441" s="2">
        <v>2961</v>
      </c>
      <c r="J441" s="3">
        <f t="shared" si="6"/>
        <v>173948.38447470026</v>
      </c>
      <c r="K441" s="3">
        <f t="shared" si="7"/>
        <v>2961</v>
      </c>
      <c r="L441" s="3" t="e">
        <f t="shared" si="8"/>
        <v>#N/A</v>
      </c>
      <c r="M441" s="3" t="e">
        <f t="shared" si="9"/>
        <v>#N/A</v>
      </c>
      <c r="N441" s="3" t="e">
        <f t="shared" si="10"/>
        <v>#N/A</v>
      </c>
      <c r="O441" s="3" t="e">
        <f t="shared" si="11"/>
        <v>#N/A</v>
      </c>
    </row>
    <row r="442" spans="1:15" ht="14.25" customHeight="1">
      <c r="A442" s="2" t="s">
        <v>40</v>
      </c>
      <c r="B442" s="2">
        <v>1966</v>
      </c>
      <c r="C442" s="2" t="s">
        <v>41</v>
      </c>
      <c r="D442" s="2">
        <v>78</v>
      </c>
      <c r="E442" s="2">
        <v>126</v>
      </c>
      <c r="J442" s="3">
        <f t="shared" si="6"/>
        <v>3962.6092257671203</v>
      </c>
      <c r="K442" s="3">
        <f t="shared" si="7"/>
        <v>126</v>
      </c>
      <c r="L442" s="3" t="e">
        <f t="shared" si="8"/>
        <v>#N/A</v>
      </c>
      <c r="M442" s="3" t="e">
        <f t="shared" si="9"/>
        <v>#N/A</v>
      </c>
      <c r="N442" s="3" t="e">
        <f t="shared" si="10"/>
        <v>#N/A</v>
      </c>
      <c r="O442" s="3" t="e">
        <f t="shared" si="11"/>
        <v>#N/A</v>
      </c>
    </row>
    <row r="443" spans="1:15" ht="14.25" customHeight="1">
      <c r="A443" s="2" t="s">
        <v>40</v>
      </c>
      <c r="B443" s="2">
        <v>1966</v>
      </c>
      <c r="C443" s="2" t="s">
        <v>42</v>
      </c>
      <c r="D443" s="2">
        <v>24</v>
      </c>
      <c r="E443" s="2">
        <v>29</v>
      </c>
      <c r="J443" s="3">
        <f t="shared" si="6"/>
        <v>1219.2643771591138</v>
      </c>
      <c r="K443" s="3">
        <f t="shared" si="7"/>
        <v>29</v>
      </c>
      <c r="L443" s="3" t="e">
        <f t="shared" si="8"/>
        <v>#N/A</v>
      </c>
      <c r="M443" s="3" t="e">
        <f t="shared" si="9"/>
        <v>#N/A</v>
      </c>
      <c r="N443" s="3" t="e">
        <f t="shared" si="10"/>
        <v>#N/A</v>
      </c>
      <c r="O443" s="3" t="e">
        <f t="shared" si="11"/>
        <v>#N/A</v>
      </c>
    </row>
    <row r="444" spans="1:15" ht="14.25" customHeight="1">
      <c r="A444" s="2" t="s">
        <v>15</v>
      </c>
      <c r="B444" s="2">
        <v>1966</v>
      </c>
      <c r="C444" s="2" t="s">
        <v>41</v>
      </c>
      <c r="D444" s="2">
        <v>14088</v>
      </c>
      <c r="E444" s="2">
        <v>54419</v>
      </c>
      <c r="J444" s="3">
        <f t="shared" si="6"/>
        <v>715708.18939239986</v>
      </c>
      <c r="K444" s="3">
        <f t="shared" si="7"/>
        <v>54419</v>
      </c>
      <c r="L444" s="3" t="e">
        <f t="shared" si="8"/>
        <v>#N/A</v>
      </c>
      <c r="M444" s="3" t="e">
        <f t="shared" si="9"/>
        <v>#N/A</v>
      </c>
      <c r="N444" s="3" t="e">
        <f t="shared" si="10"/>
        <v>#N/A</v>
      </c>
      <c r="O444" s="3" t="e">
        <f t="shared" si="11"/>
        <v>#N/A</v>
      </c>
    </row>
    <row r="445" spans="1:15" ht="14.25" customHeight="1">
      <c r="A445" s="2" t="s">
        <v>15</v>
      </c>
      <c r="B445" s="2">
        <v>1966</v>
      </c>
      <c r="C445" s="2" t="s">
        <v>42</v>
      </c>
      <c r="D445" s="2">
        <v>3941</v>
      </c>
      <c r="E445" s="2">
        <v>3717</v>
      </c>
      <c r="J445" s="3">
        <f t="shared" si="6"/>
        <v>200213.37126600282</v>
      </c>
      <c r="K445" s="3">
        <f t="shared" si="7"/>
        <v>3717</v>
      </c>
      <c r="L445" s="3" t="e">
        <f t="shared" si="8"/>
        <v>#N/A</v>
      </c>
      <c r="M445" s="3" t="e">
        <f t="shared" si="9"/>
        <v>#N/A</v>
      </c>
      <c r="N445" s="3" t="e">
        <f t="shared" si="10"/>
        <v>#N/A</v>
      </c>
      <c r="O445" s="3" t="e">
        <f t="shared" si="11"/>
        <v>#N/A</v>
      </c>
    </row>
    <row r="446" spans="1:15" ht="14.25" customHeight="1">
      <c r="A446" s="2" t="s">
        <v>18</v>
      </c>
      <c r="B446" s="2">
        <v>1967</v>
      </c>
      <c r="C446" s="2" t="s">
        <v>41</v>
      </c>
      <c r="D446" s="2">
        <v>9617</v>
      </c>
      <c r="E446" s="2">
        <v>37361</v>
      </c>
      <c r="J446" s="3">
        <f t="shared" si="6"/>
        <v>488569.39646413329</v>
      </c>
      <c r="K446" s="3">
        <f t="shared" si="7"/>
        <v>37361</v>
      </c>
      <c r="L446" s="3" t="e">
        <f t="shared" si="8"/>
        <v>#N/A</v>
      </c>
      <c r="M446" s="3" t="e">
        <f t="shared" si="9"/>
        <v>#N/A</v>
      </c>
      <c r="N446" s="3" t="e">
        <f t="shared" si="10"/>
        <v>#N/A</v>
      </c>
      <c r="O446" s="3" t="e">
        <f t="shared" si="11"/>
        <v>#N/A</v>
      </c>
    </row>
    <row r="447" spans="1:15" ht="14.25" customHeight="1">
      <c r="A447" s="2" t="s">
        <v>18</v>
      </c>
      <c r="B447" s="2">
        <v>1967</v>
      </c>
      <c r="C447" s="2" t="s">
        <v>42</v>
      </c>
      <c r="D447" s="2">
        <v>664</v>
      </c>
      <c r="E447" s="2">
        <v>825</v>
      </c>
      <c r="J447" s="3">
        <f t="shared" si="6"/>
        <v>33732.981101402154</v>
      </c>
      <c r="K447" s="3">
        <f t="shared" si="7"/>
        <v>825</v>
      </c>
      <c r="L447" s="3" t="e">
        <f t="shared" si="8"/>
        <v>#N/A</v>
      </c>
      <c r="M447" s="3" t="e">
        <f t="shared" si="9"/>
        <v>#N/A</v>
      </c>
      <c r="N447" s="3" t="e">
        <f t="shared" si="10"/>
        <v>#N/A</v>
      </c>
      <c r="O447" s="3" t="e">
        <f t="shared" si="11"/>
        <v>#N/A</v>
      </c>
    </row>
    <row r="448" spans="1:15" ht="14.25" customHeight="1">
      <c r="A448" s="2" t="s">
        <v>39</v>
      </c>
      <c r="B448" s="2">
        <v>1967</v>
      </c>
      <c r="C448" s="2" t="s">
        <v>41</v>
      </c>
      <c r="D448" s="2">
        <v>4268</v>
      </c>
      <c r="E448" s="2">
        <v>16140</v>
      </c>
      <c r="J448" s="3">
        <f t="shared" si="6"/>
        <v>216825.84840479575</v>
      </c>
      <c r="K448" s="3">
        <f t="shared" si="7"/>
        <v>16140</v>
      </c>
      <c r="L448" s="3" t="e">
        <f t="shared" si="8"/>
        <v>#N/A</v>
      </c>
      <c r="M448" s="3" t="e">
        <f t="shared" si="9"/>
        <v>#N/A</v>
      </c>
      <c r="N448" s="3" t="e">
        <f t="shared" si="10"/>
        <v>#N/A</v>
      </c>
      <c r="O448" s="3" t="e">
        <f t="shared" si="11"/>
        <v>#N/A</v>
      </c>
    </row>
    <row r="449" spans="1:15" ht="14.25" customHeight="1">
      <c r="A449" s="2" t="s">
        <v>39</v>
      </c>
      <c r="B449" s="2">
        <v>1967</v>
      </c>
      <c r="C449" s="2" t="s">
        <v>42</v>
      </c>
      <c r="D449" s="2">
        <v>2282</v>
      </c>
      <c r="E449" s="2">
        <v>2419</v>
      </c>
      <c r="J449" s="3">
        <f t="shared" si="6"/>
        <v>115931.72119487909</v>
      </c>
      <c r="K449" s="3">
        <f t="shared" si="7"/>
        <v>2419</v>
      </c>
      <c r="L449" s="3" t="e">
        <f t="shared" si="8"/>
        <v>#N/A</v>
      </c>
      <c r="M449" s="3" t="e">
        <f t="shared" si="9"/>
        <v>#N/A</v>
      </c>
      <c r="N449" s="3" t="e">
        <f t="shared" si="10"/>
        <v>#N/A</v>
      </c>
      <c r="O449" s="3" t="e">
        <f t="shared" si="11"/>
        <v>#N/A</v>
      </c>
    </row>
    <row r="450" spans="1:15" ht="14.25" customHeight="1">
      <c r="A450" s="2" t="s">
        <v>40</v>
      </c>
      <c r="B450" s="2">
        <v>1967</v>
      </c>
      <c r="C450" s="2" t="s">
        <v>41</v>
      </c>
      <c r="D450" s="2">
        <v>109</v>
      </c>
      <c r="E450" s="2">
        <v>192</v>
      </c>
      <c r="J450" s="3">
        <f t="shared" si="6"/>
        <v>5537.4923795976429</v>
      </c>
      <c r="K450" s="3">
        <f t="shared" si="7"/>
        <v>192</v>
      </c>
      <c r="L450" s="3" t="e">
        <f t="shared" si="8"/>
        <v>#N/A</v>
      </c>
      <c r="M450" s="3" t="e">
        <f t="shared" si="9"/>
        <v>#N/A</v>
      </c>
      <c r="N450" s="3" t="e">
        <f t="shared" si="10"/>
        <v>#N/A</v>
      </c>
      <c r="O450" s="3" t="e">
        <f t="shared" si="11"/>
        <v>#N/A</v>
      </c>
    </row>
    <row r="451" spans="1:15" ht="14.25" customHeight="1">
      <c r="A451" s="2" t="s">
        <v>40</v>
      </c>
      <c r="B451" s="2">
        <v>1967</v>
      </c>
      <c r="C451" s="2" t="s">
        <v>42</v>
      </c>
      <c r="D451" s="2">
        <v>31</v>
      </c>
      <c r="E451" s="2">
        <v>34</v>
      </c>
      <c r="J451" s="3">
        <f t="shared" si="6"/>
        <v>1574.8831538305221</v>
      </c>
      <c r="K451" s="3">
        <f t="shared" si="7"/>
        <v>34</v>
      </c>
      <c r="L451" s="3" t="e">
        <f t="shared" si="8"/>
        <v>#N/A</v>
      </c>
      <c r="M451" s="3" t="e">
        <f t="shared" si="9"/>
        <v>#N/A</v>
      </c>
      <c r="N451" s="3" t="e">
        <f t="shared" si="10"/>
        <v>#N/A</v>
      </c>
      <c r="O451" s="3" t="e">
        <f t="shared" si="11"/>
        <v>#N/A</v>
      </c>
    </row>
    <row r="452" spans="1:15" ht="14.25" customHeight="1">
      <c r="A452" s="2" t="s">
        <v>15</v>
      </c>
      <c r="B452" s="2">
        <v>1967</v>
      </c>
      <c r="C452" s="2" t="s">
        <v>41</v>
      </c>
      <c r="D452" s="2">
        <v>13994</v>
      </c>
      <c r="E452" s="2">
        <v>53693</v>
      </c>
      <c r="J452" s="3">
        <f t="shared" si="6"/>
        <v>710932.73724852665</v>
      </c>
      <c r="K452" s="3">
        <f t="shared" si="7"/>
        <v>53693</v>
      </c>
      <c r="L452" s="3" t="e">
        <f t="shared" si="8"/>
        <v>#N/A</v>
      </c>
      <c r="M452" s="3" t="e">
        <f t="shared" si="9"/>
        <v>#N/A</v>
      </c>
      <c r="N452" s="3" t="e">
        <f t="shared" si="10"/>
        <v>#N/A</v>
      </c>
      <c r="O452" s="3" t="e">
        <f t="shared" si="11"/>
        <v>#N/A</v>
      </c>
    </row>
    <row r="453" spans="1:15" ht="14.25" customHeight="1">
      <c r="A453" s="2" t="s">
        <v>15</v>
      </c>
      <c r="B453" s="2">
        <v>1967</v>
      </c>
      <c r="C453" s="2" t="s">
        <v>42</v>
      </c>
      <c r="D453" s="2">
        <v>2977</v>
      </c>
      <c r="E453" s="2">
        <v>3278</v>
      </c>
      <c r="J453" s="3">
        <f t="shared" si="6"/>
        <v>151239.58545011174</v>
      </c>
      <c r="K453" s="3">
        <f t="shared" si="7"/>
        <v>3278</v>
      </c>
      <c r="L453" s="3" t="e">
        <f t="shared" si="8"/>
        <v>#N/A</v>
      </c>
      <c r="M453" s="3" t="e">
        <f t="shared" si="9"/>
        <v>#N/A</v>
      </c>
      <c r="N453" s="3" t="e">
        <f t="shared" si="10"/>
        <v>#N/A</v>
      </c>
      <c r="O453" s="3" t="e">
        <f t="shared" si="11"/>
        <v>#N/A</v>
      </c>
    </row>
    <row r="454" spans="1:15" ht="14.25" customHeight="1">
      <c r="A454" s="2" t="s">
        <v>18</v>
      </c>
      <c r="B454" s="2">
        <v>1968</v>
      </c>
      <c r="C454" s="2" t="s">
        <v>41</v>
      </c>
      <c r="D454" s="2">
        <v>9929</v>
      </c>
      <c r="E454" s="2">
        <v>37413</v>
      </c>
      <c r="J454" s="3">
        <f t="shared" si="6"/>
        <v>504419.83336720173</v>
      </c>
      <c r="K454" s="3">
        <f t="shared" si="7"/>
        <v>37413</v>
      </c>
      <c r="L454" s="3" t="e">
        <f t="shared" si="8"/>
        <v>#N/A</v>
      </c>
      <c r="M454" s="3" t="e">
        <f t="shared" si="9"/>
        <v>#N/A</v>
      </c>
      <c r="N454" s="3" t="e">
        <f t="shared" si="10"/>
        <v>#N/A</v>
      </c>
      <c r="O454" s="3" t="e">
        <f t="shared" si="11"/>
        <v>#N/A</v>
      </c>
    </row>
    <row r="455" spans="1:15" ht="14.25" customHeight="1">
      <c r="A455" s="2" t="s">
        <v>18</v>
      </c>
      <c r="B455" s="2">
        <v>1968</v>
      </c>
      <c r="C455" s="2" t="s">
        <v>42</v>
      </c>
      <c r="D455" s="2">
        <v>483</v>
      </c>
      <c r="E455" s="2">
        <v>730</v>
      </c>
      <c r="J455" s="3">
        <f t="shared" si="6"/>
        <v>24537.695590327166</v>
      </c>
      <c r="K455" s="3">
        <f t="shared" si="7"/>
        <v>730</v>
      </c>
      <c r="L455" s="3" t="e">
        <f t="shared" si="8"/>
        <v>#N/A</v>
      </c>
      <c r="M455" s="3" t="e">
        <f t="shared" si="9"/>
        <v>#N/A</v>
      </c>
      <c r="N455" s="3" t="e">
        <f t="shared" si="10"/>
        <v>#N/A</v>
      </c>
      <c r="O455" s="3" t="e">
        <f t="shared" si="11"/>
        <v>#N/A</v>
      </c>
    </row>
    <row r="456" spans="1:15" ht="14.25" customHeight="1">
      <c r="A456" s="2" t="s">
        <v>39</v>
      </c>
      <c r="B456" s="2">
        <v>1968</v>
      </c>
      <c r="C456" s="2" t="s">
        <v>41</v>
      </c>
      <c r="D456" s="2">
        <v>4327</v>
      </c>
      <c r="E456" s="2">
        <v>16504</v>
      </c>
      <c r="J456" s="3">
        <f t="shared" si="6"/>
        <v>219823.20666531191</v>
      </c>
      <c r="K456" s="3">
        <f t="shared" si="7"/>
        <v>16504</v>
      </c>
      <c r="L456" s="3" t="e">
        <f t="shared" si="8"/>
        <v>#N/A</v>
      </c>
      <c r="M456" s="3" t="e">
        <f t="shared" si="9"/>
        <v>#N/A</v>
      </c>
      <c r="N456" s="3" t="e">
        <f t="shared" si="10"/>
        <v>#N/A</v>
      </c>
      <c r="O456" s="3" t="e">
        <f t="shared" si="11"/>
        <v>#N/A</v>
      </c>
    </row>
    <row r="457" spans="1:15" ht="14.25" customHeight="1">
      <c r="A457" s="2" t="s">
        <v>39</v>
      </c>
      <c r="B457" s="2">
        <v>1968</v>
      </c>
      <c r="C457" s="2" t="s">
        <v>42</v>
      </c>
      <c r="D457" s="2">
        <v>2267</v>
      </c>
      <c r="E457" s="2">
        <v>2415</v>
      </c>
      <c r="J457" s="3">
        <f t="shared" si="6"/>
        <v>115169.68095915463</v>
      </c>
      <c r="K457" s="3">
        <f t="shared" si="7"/>
        <v>2415</v>
      </c>
      <c r="L457" s="3" t="e">
        <f t="shared" si="8"/>
        <v>#N/A</v>
      </c>
      <c r="M457" s="3" t="e">
        <f t="shared" si="9"/>
        <v>#N/A</v>
      </c>
      <c r="N457" s="3" t="e">
        <f t="shared" si="10"/>
        <v>#N/A</v>
      </c>
      <c r="O457" s="3" t="e">
        <f t="shared" si="11"/>
        <v>#N/A</v>
      </c>
    </row>
    <row r="458" spans="1:15" ht="14.25" customHeight="1">
      <c r="A458" s="2" t="s">
        <v>40</v>
      </c>
      <c r="B458" s="2">
        <v>1968</v>
      </c>
      <c r="C458" s="2" t="s">
        <v>41</v>
      </c>
      <c r="D458" s="2">
        <v>105</v>
      </c>
      <c r="E458" s="2">
        <v>194</v>
      </c>
      <c r="J458" s="3">
        <f t="shared" si="6"/>
        <v>5334.2816500711242</v>
      </c>
      <c r="K458" s="3">
        <f t="shared" si="7"/>
        <v>194</v>
      </c>
      <c r="L458" s="3" t="e">
        <f t="shared" si="8"/>
        <v>#N/A</v>
      </c>
      <c r="M458" s="3" t="e">
        <f t="shared" si="9"/>
        <v>#N/A</v>
      </c>
      <c r="N458" s="3" t="e">
        <f t="shared" si="10"/>
        <v>#N/A</v>
      </c>
      <c r="O458" s="3" t="e">
        <f t="shared" si="11"/>
        <v>#N/A</v>
      </c>
    </row>
    <row r="459" spans="1:15" ht="14.25" customHeight="1">
      <c r="A459" s="2" t="s">
        <v>40</v>
      </c>
      <c r="B459" s="2">
        <v>1968</v>
      </c>
      <c r="C459" s="2" t="s">
        <v>42</v>
      </c>
      <c r="D459" s="2">
        <v>22</v>
      </c>
      <c r="E459" s="2">
        <v>34</v>
      </c>
      <c r="J459" s="3">
        <f t="shared" si="6"/>
        <v>1117.6590123958545</v>
      </c>
      <c r="K459" s="3">
        <f t="shared" si="7"/>
        <v>34</v>
      </c>
      <c r="L459" s="3" t="e">
        <f t="shared" si="8"/>
        <v>#N/A</v>
      </c>
      <c r="M459" s="3" t="e">
        <f t="shared" si="9"/>
        <v>#N/A</v>
      </c>
      <c r="N459" s="3" t="e">
        <f t="shared" si="10"/>
        <v>#N/A</v>
      </c>
      <c r="O459" s="3" t="e">
        <f t="shared" si="11"/>
        <v>#N/A</v>
      </c>
    </row>
    <row r="460" spans="1:15" ht="14.25" customHeight="1">
      <c r="A460" s="2" t="s">
        <v>15</v>
      </c>
      <c r="B460" s="2">
        <v>1968</v>
      </c>
      <c r="C460" s="2" t="s">
        <v>41</v>
      </c>
      <c r="D460" s="2">
        <v>14361</v>
      </c>
      <c r="E460" s="2">
        <v>54111</v>
      </c>
      <c r="J460" s="3">
        <f t="shared" si="6"/>
        <v>729577.32168258482</v>
      </c>
      <c r="K460" s="3">
        <f t="shared" si="7"/>
        <v>54111</v>
      </c>
      <c r="L460" s="3" t="e">
        <f t="shared" si="8"/>
        <v>#N/A</v>
      </c>
      <c r="M460" s="3" t="e">
        <f t="shared" si="9"/>
        <v>#N/A</v>
      </c>
      <c r="N460" s="3" t="e">
        <f t="shared" si="10"/>
        <v>#N/A</v>
      </c>
      <c r="O460" s="3" t="e">
        <f t="shared" si="11"/>
        <v>#N/A</v>
      </c>
    </row>
    <row r="461" spans="1:15" ht="14.25" customHeight="1">
      <c r="A461" s="2" t="s">
        <v>15</v>
      </c>
      <c r="B461" s="2">
        <v>1968</v>
      </c>
      <c r="C461" s="2" t="s">
        <v>42</v>
      </c>
      <c r="D461" s="2">
        <v>2772</v>
      </c>
      <c r="E461" s="2">
        <v>3179</v>
      </c>
      <c r="J461" s="3">
        <f t="shared" si="6"/>
        <v>140825.03556187765</v>
      </c>
      <c r="K461" s="3">
        <f t="shared" si="7"/>
        <v>3179</v>
      </c>
      <c r="L461" s="3" t="e">
        <f t="shared" si="8"/>
        <v>#N/A</v>
      </c>
      <c r="M461" s="3" t="e">
        <f t="shared" si="9"/>
        <v>#N/A</v>
      </c>
      <c r="N461" s="3" t="e">
        <f t="shared" si="10"/>
        <v>#N/A</v>
      </c>
      <c r="O461" s="3" t="e">
        <f t="shared" si="11"/>
        <v>#N/A</v>
      </c>
    </row>
    <row r="462" spans="1:15" ht="14.25" customHeight="1">
      <c r="A462" s="2" t="s">
        <v>18</v>
      </c>
      <c r="B462" s="2">
        <v>1969</v>
      </c>
      <c r="C462" s="2" t="s">
        <v>41</v>
      </c>
      <c r="D462" s="2">
        <v>10165</v>
      </c>
      <c r="E462" s="2">
        <v>40092</v>
      </c>
      <c r="J462" s="3">
        <f t="shared" si="6"/>
        <v>516409.26640926639</v>
      </c>
      <c r="K462" s="3">
        <f t="shared" si="7"/>
        <v>40092</v>
      </c>
      <c r="L462" s="3" t="e">
        <f t="shared" si="8"/>
        <v>#N/A</v>
      </c>
      <c r="M462" s="3" t="e">
        <f t="shared" si="9"/>
        <v>#N/A</v>
      </c>
      <c r="N462" s="3" t="e">
        <f t="shared" si="10"/>
        <v>#N/A</v>
      </c>
      <c r="O462" s="3" t="e">
        <f t="shared" si="11"/>
        <v>#N/A</v>
      </c>
    </row>
    <row r="463" spans="1:15" ht="14.25" customHeight="1">
      <c r="A463" s="2" t="s">
        <v>18</v>
      </c>
      <c r="B463" s="2">
        <v>1969</v>
      </c>
      <c r="C463" s="2" t="s">
        <v>42</v>
      </c>
      <c r="D463" s="2">
        <v>484</v>
      </c>
      <c r="E463" s="2">
        <v>677</v>
      </c>
      <c r="J463" s="3">
        <f t="shared" si="6"/>
        <v>24588.498272708799</v>
      </c>
      <c r="K463" s="3">
        <f t="shared" si="7"/>
        <v>677</v>
      </c>
      <c r="L463" s="3" t="e">
        <f t="shared" si="8"/>
        <v>#N/A</v>
      </c>
      <c r="M463" s="3" t="e">
        <f t="shared" si="9"/>
        <v>#N/A</v>
      </c>
      <c r="N463" s="3" t="e">
        <f t="shared" si="10"/>
        <v>#N/A</v>
      </c>
      <c r="O463" s="3" t="e">
        <f t="shared" si="11"/>
        <v>#N/A</v>
      </c>
    </row>
    <row r="464" spans="1:15" ht="14.25" customHeight="1">
      <c r="A464" s="2" t="s">
        <v>39</v>
      </c>
      <c r="B464" s="2">
        <v>1969</v>
      </c>
      <c r="C464" s="2" t="s">
        <v>41</v>
      </c>
      <c r="D464" s="2">
        <v>4069</v>
      </c>
      <c r="E464" s="2">
        <v>15657</v>
      </c>
      <c r="J464" s="3">
        <f t="shared" si="6"/>
        <v>206716.11461085142</v>
      </c>
      <c r="K464" s="3">
        <f t="shared" si="7"/>
        <v>15657</v>
      </c>
      <c r="L464" s="3" t="e">
        <f t="shared" si="8"/>
        <v>#N/A</v>
      </c>
      <c r="M464" s="3" t="e">
        <f t="shared" si="9"/>
        <v>#N/A</v>
      </c>
      <c r="N464" s="3" t="e">
        <f t="shared" si="10"/>
        <v>#N/A</v>
      </c>
      <c r="O464" s="3" t="e">
        <f t="shared" si="11"/>
        <v>#N/A</v>
      </c>
    </row>
    <row r="465" spans="1:15" ht="14.25" customHeight="1">
      <c r="A465" s="2" t="s">
        <v>39</v>
      </c>
      <c r="B465" s="2">
        <v>1969</v>
      </c>
      <c r="C465" s="2" t="s">
        <v>42</v>
      </c>
      <c r="D465" s="2">
        <v>2950</v>
      </c>
      <c r="E465" s="2">
        <v>3318</v>
      </c>
      <c r="J465" s="3">
        <f t="shared" si="6"/>
        <v>149867.91302580776</v>
      </c>
      <c r="K465" s="3">
        <f t="shared" si="7"/>
        <v>3318</v>
      </c>
      <c r="L465" s="3" t="e">
        <f t="shared" si="8"/>
        <v>#N/A</v>
      </c>
      <c r="M465" s="3" t="e">
        <f t="shared" si="9"/>
        <v>#N/A</v>
      </c>
      <c r="N465" s="3" t="e">
        <f t="shared" si="10"/>
        <v>#N/A</v>
      </c>
      <c r="O465" s="3" t="e">
        <f t="shared" si="11"/>
        <v>#N/A</v>
      </c>
    </row>
    <row r="466" spans="1:15" ht="14.25" customHeight="1">
      <c r="A466" s="2" t="s">
        <v>40</v>
      </c>
      <c r="B466" s="2">
        <v>1969</v>
      </c>
      <c r="C466" s="2" t="s">
        <v>41</v>
      </c>
      <c r="D466" s="2">
        <v>94</v>
      </c>
      <c r="E466" s="2">
        <v>189</v>
      </c>
      <c r="J466" s="3">
        <f t="shared" si="6"/>
        <v>4775.4521438731963</v>
      </c>
      <c r="K466" s="3">
        <f t="shared" si="7"/>
        <v>189</v>
      </c>
      <c r="L466" s="3" t="e">
        <f t="shared" si="8"/>
        <v>#N/A</v>
      </c>
      <c r="M466" s="3" t="e">
        <f t="shared" si="9"/>
        <v>#N/A</v>
      </c>
      <c r="N466" s="3" t="e">
        <f t="shared" si="10"/>
        <v>#N/A</v>
      </c>
      <c r="O466" s="3" t="e">
        <f t="shared" si="11"/>
        <v>#N/A</v>
      </c>
    </row>
    <row r="467" spans="1:15" ht="14.25" customHeight="1">
      <c r="A467" s="2" t="s">
        <v>40</v>
      </c>
      <c r="B467" s="2">
        <v>1969</v>
      </c>
      <c r="C467" s="2" t="s">
        <v>42</v>
      </c>
      <c r="D467" s="2">
        <v>21</v>
      </c>
      <c r="E467" s="2">
        <v>29</v>
      </c>
      <c r="J467" s="3">
        <f t="shared" si="6"/>
        <v>1066.8563300142246</v>
      </c>
      <c r="K467" s="3">
        <f t="shared" si="7"/>
        <v>29</v>
      </c>
      <c r="L467" s="3" t="e">
        <f t="shared" si="8"/>
        <v>#N/A</v>
      </c>
      <c r="M467" s="3" t="e">
        <f t="shared" si="9"/>
        <v>#N/A</v>
      </c>
      <c r="N467" s="3" t="e">
        <f t="shared" si="10"/>
        <v>#N/A</v>
      </c>
      <c r="O467" s="3" t="e">
        <f t="shared" si="11"/>
        <v>#N/A</v>
      </c>
    </row>
    <row r="468" spans="1:15" ht="14.25" customHeight="1">
      <c r="A468" s="2" t="s">
        <v>15</v>
      </c>
      <c r="B468" s="2">
        <v>1969</v>
      </c>
      <c r="C468" s="2" t="s">
        <v>41</v>
      </c>
      <c r="D468" s="2">
        <v>14328</v>
      </c>
      <c r="E468" s="2">
        <v>55938</v>
      </c>
      <c r="J468" s="3">
        <f t="shared" si="6"/>
        <v>727900.83316399099</v>
      </c>
      <c r="K468" s="3">
        <f t="shared" si="7"/>
        <v>55938</v>
      </c>
      <c r="L468" s="3" t="e">
        <f t="shared" si="8"/>
        <v>#N/A</v>
      </c>
      <c r="M468" s="3" t="e">
        <f t="shared" si="9"/>
        <v>#N/A</v>
      </c>
      <c r="N468" s="3" t="e">
        <f t="shared" si="10"/>
        <v>#N/A</v>
      </c>
      <c r="O468" s="3" t="e">
        <f t="shared" si="11"/>
        <v>#N/A</v>
      </c>
    </row>
    <row r="469" spans="1:15" ht="14.25" customHeight="1">
      <c r="A469" s="2" t="s">
        <v>15</v>
      </c>
      <c r="B469" s="2">
        <v>1969</v>
      </c>
      <c r="C469" s="2" t="s">
        <v>42</v>
      </c>
      <c r="D469" s="2">
        <v>3455</v>
      </c>
      <c r="E469" s="2">
        <v>4024</v>
      </c>
      <c r="J469" s="3">
        <f t="shared" si="6"/>
        <v>175523.2676285308</v>
      </c>
      <c r="K469" s="3">
        <f t="shared" si="7"/>
        <v>4024</v>
      </c>
      <c r="L469" s="3" t="e">
        <f t="shared" si="8"/>
        <v>#N/A</v>
      </c>
      <c r="M469" s="3" t="e">
        <f t="shared" si="9"/>
        <v>#N/A</v>
      </c>
      <c r="N469" s="3" t="e">
        <f t="shared" si="10"/>
        <v>#N/A</v>
      </c>
      <c r="O469" s="3" t="e">
        <f t="shared" si="11"/>
        <v>#N/A</v>
      </c>
    </row>
    <row r="470" spans="1:15" ht="14.25" customHeight="1">
      <c r="A470" s="2" t="s">
        <v>18</v>
      </c>
      <c r="B470" s="2">
        <v>1970</v>
      </c>
      <c r="C470" s="2" t="s">
        <v>41</v>
      </c>
      <c r="D470" s="2">
        <v>9381</v>
      </c>
      <c r="E470" s="2">
        <v>44873</v>
      </c>
      <c r="J470" s="3">
        <f t="shared" si="6"/>
        <v>476579.96342206869</v>
      </c>
      <c r="K470" s="3">
        <f t="shared" si="7"/>
        <v>44873</v>
      </c>
      <c r="L470" s="3" t="e">
        <f t="shared" si="8"/>
        <v>#N/A</v>
      </c>
      <c r="M470" s="3" t="e">
        <f t="shared" si="9"/>
        <v>#N/A</v>
      </c>
      <c r="N470" s="3" t="e">
        <f t="shared" si="10"/>
        <v>#N/A</v>
      </c>
      <c r="O470" s="3" t="e">
        <f t="shared" si="11"/>
        <v>#N/A</v>
      </c>
    </row>
    <row r="471" spans="1:15" ht="14.25" customHeight="1">
      <c r="A471" s="2" t="s">
        <v>18</v>
      </c>
      <c r="B471" s="2">
        <v>1970</v>
      </c>
      <c r="C471" s="2" t="s">
        <v>42</v>
      </c>
      <c r="D471" s="2">
        <v>725</v>
      </c>
      <c r="E471" s="2">
        <v>1046</v>
      </c>
      <c r="J471" s="3">
        <f t="shared" si="6"/>
        <v>36831.94472668157</v>
      </c>
      <c r="K471" s="3">
        <f t="shared" si="7"/>
        <v>1046</v>
      </c>
      <c r="L471" s="3" t="e">
        <f t="shared" si="8"/>
        <v>#N/A</v>
      </c>
      <c r="M471" s="3" t="e">
        <f t="shared" si="9"/>
        <v>#N/A</v>
      </c>
      <c r="N471" s="3" t="e">
        <f t="shared" si="10"/>
        <v>#N/A</v>
      </c>
      <c r="O471" s="3" t="e">
        <f t="shared" si="11"/>
        <v>#N/A</v>
      </c>
    </row>
    <row r="472" spans="1:15" ht="14.25" customHeight="1">
      <c r="A472" s="2" t="s">
        <v>39</v>
      </c>
      <c r="B472" s="2">
        <v>1970</v>
      </c>
      <c r="C472" s="2" t="s">
        <v>41</v>
      </c>
      <c r="D472" s="2">
        <v>4933</v>
      </c>
      <c r="E472" s="2">
        <v>18957</v>
      </c>
      <c r="J472" s="3">
        <f t="shared" si="6"/>
        <v>250609.63218857956</v>
      </c>
      <c r="K472" s="3">
        <f t="shared" si="7"/>
        <v>18957</v>
      </c>
      <c r="L472" s="3" t="e">
        <f t="shared" si="8"/>
        <v>#N/A</v>
      </c>
      <c r="M472" s="3" t="e">
        <f t="shared" si="9"/>
        <v>#N/A</v>
      </c>
      <c r="N472" s="3" t="e">
        <f t="shared" si="10"/>
        <v>#N/A</v>
      </c>
      <c r="O472" s="3" t="e">
        <f t="shared" si="11"/>
        <v>#N/A</v>
      </c>
    </row>
    <row r="473" spans="1:15" ht="14.25" customHeight="1">
      <c r="A473" s="2" t="s">
        <v>39</v>
      </c>
      <c r="B473" s="2">
        <v>1970</v>
      </c>
      <c r="C473" s="2" t="s">
        <v>42</v>
      </c>
      <c r="D473" s="2">
        <v>2878</v>
      </c>
      <c r="E473" s="2">
        <v>4330</v>
      </c>
      <c r="J473" s="3">
        <f t="shared" si="6"/>
        <v>146210.11989433039</v>
      </c>
      <c r="K473" s="3">
        <f t="shared" si="7"/>
        <v>4330</v>
      </c>
      <c r="L473" s="3" t="e">
        <f t="shared" si="8"/>
        <v>#N/A</v>
      </c>
      <c r="M473" s="3" t="e">
        <f t="shared" si="9"/>
        <v>#N/A</v>
      </c>
      <c r="N473" s="3" t="e">
        <f t="shared" si="10"/>
        <v>#N/A</v>
      </c>
      <c r="O473" s="3" t="e">
        <f t="shared" si="11"/>
        <v>#N/A</v>
      </c>
    </row>
    <row r="474" spans="1:15" ht="14.25" customHeight="1">
      <c r="A474" s="2" t="s">
        <v>40</v>
      </c>
      <c r="B474" s="2">
        <v>1970</v>
      </c>
      <c r="C474" s="2" t="s">
        <v>41</v>
      </c>
      <c r="D474" s="2">
        <v>75</v>
      </c>
      <c r="E474" s="2">
        <v>195</v>
      </c>
      <c r="J474" s="3">
        <f t="shared" si="6"/>
        <v>3810.2011786222311</v>
      </c>
      <c r="K474" s="3">
        <f t="shared" si="7"/>
        <v>195</v>
      </c>
      <c r="L474" s="3" t="e">
        <f t="shared" si="8"/>
        <v>#N/A</v>
      </c>
      <c r="M474" s="3" t="e">
        <f t="shared" si="9"/>
        <v>#N/A</v>
      </c>
      <c r="N474" s="3" t="e">
        <f t="shared" si="10"/>
        <v>#N/A</v>
      </c>
      <c r="O474" s="3" t="e">
        <f t="shared" si="11"/>
        <v>#N/A</v>
      </c>
    </row>
    <row r="475" spans="1:15" ht="14.25" customHeight="1">
      <c r="A475" s="2" t="s">
        <v>40</v>
      </c>
      <c r="B475" s="2">
        <v>1970</v>
      </c>
      <c r="C475" s="2" t="s">
        <v>42</v>
      </c>
      <c r="D475" s="2">
        <v>91</v>
      </c>
      <c r="E475" s="2">
        <v>134</v>
      </c>
      <c r="J475" s="3">
        <f t="shared" si="6"/>
        <v>4623.0440967283075</v>
      </c>
      <c r="K475" s="3">
        <f t="shared" si="7"/>
        <v>134</v>
      </c>
      <c r="L475" s="3" t="e">
        <f t="shared" si="8"/>
        <v>#N/A</v>
      </c>
      <c r="M475" s="3" t="e">
        <f t="shared" si="9"/>
        <v>#N/A</v>
      </c>
      <c r="N475" s="3" t="e">
        <f t="shared" si="10"/>
        <v>#N/A</v>
      </c>
      <c r="O475" s="3" t="e">
        <f t="shared" si="11"/>
        <v>#N/A</v>
      </c>
    </row>
    <row r="476" spans="1:15" ht="14.25" customHeight="1">
      <c r="A476" s="2" t="s">
        <v>15</v>
      </c>
      <c r="B476" s="2">
        <v>1970</v>
      </c>
      <c r="C476" s="2" t="s">
        <v>41</v>
      </c>
      <c r="D476" s="2">
        <v>14389</v>
      </c>
      <c r="E476" s="2">
        <v>64025</v>
      </c>
      <c r="J476" s="3">
        <f t="shared" si="6"/>
        <v>730999.79678927048</v>
      </c>
      <c r="K476" s="3">
        <f t="shared" si="7"/>
        <v>64025</v>
      </c>
      <c r="L476" s="3" t="e">
        <f t="shared" si="8"/>
        <v>#N/A</v>
      </c>
      <c r="M476" s="3" t="e">
        <f t="shared" si="9"/>
        <v>#N/A</v>
      </c>
      <c r="N476" s="3" t="e">
        <f t="shared" si="10"/>
        <v>#N/A</v>
      </c>
      <c r="O476" s="3" t="e">
        <f t="shared" si="11"/>
        <v>#N/A</v>
      </c>
    </row>
    <row r="477" spans="1:15" ht="14.25" customHeight="1">
      <c r="A477" s="2" t="s">
        <v>15</v>
      </c>
      <c r="B477" s="2">
        <v>1970</v>
      </c>
      <c r="C477" s="2" t="s">
        <v>42</v>
      </c>
      <c r="D477" s="2">
        <v>3694</v>
      </c>
      <c r="E477" s="2">
        <v>5510</v>
      </c>
      <c r="J477" s="3">
        <f t="shared" si="6"/>
        <v>187665.10871774028</v>
      </c>
      <c r="K477" s="3">
        <f t="shared" si="7"/>
        <v>5510</v>
      </c>
      <c r="L477" s="3" t="e">
        <f t="shared" si="8"/>
        <v>#N/A</v>
      </c>
      <c r="M477" s="3" t="e">
        <f t="shared" si="9"/>
        <v>#N/A</v>
      </c>
      <c r="N477" s="3" t="e">
        <f t="shared" si="10"/>
        <v>#N/A</v>
      </c>
      <c r="O477" s="3" t="e">
        <f t="shared" si="11"/>
        <v>#N/A</v>
      </c>
    </row>
    <row r="478" spans="1:15" ht="14.25" customHeight="1">
      <c r="A478" s="2" t="s">
        <v>18</v>
      </c>
      <c r="B478" s="2">
        <v>1971</v>
      </c>
      <c r="C478" s="2" t="s">
        <v>41</v>
      </c>
      <c r="D478" s="2">
        <v>8628</v>
      </c>
      <c r="E478" s="2">
        <v>53028</v>
      </c>
      <c r="J478" s="3">
        <f t="shared" si="6"/>
        <v>438325.54358870146</v>
      </c>
      <c r="K478" s="3">
        <f t="shared" si="7"/>
        <v>53028</v>
      </c>
      <c r="L478" s="3" t="e">
        <f t="shared" si="8"/>
        <v>#N/A</v>
      </c>
      <c r="M478" s="3" t="e">
        <f t="shared" si="9"/>
        <v>#N/A</v>
      </c>
      <c r="N478" s="3" t="e">
        <f t="shared" si="10"/>
        <v>#N/A</v>
      </c>
      <c r="O478" s="3" t="e">
        <f t="shared" si="11"/>
        <v>#N/A</v>
      </c>
    </row>
    <row r="479" spans="1:15" ht="14.25" customHeight="1">
      <c r="A479" s="2" t="s">
        <v>18</v>
      </c>
      <c r="B479" s="2">
        <v>1971</v>
      </c>
      <c r="C479" s="2" t="s">
        <v>42</v>
      </c>
      <c r="D479" s="2">
        <v>871</v>
      </c>
      <c r="E479" s="2">
        <v>1199</v>
      </c>
      <c r="J479" s="3">
        <f t="shared" si="6"/>
        <v>44249.13635439951</v>
      </c>
      <c r="K479" s="3">
        <f t="shared" si="7"/>
        <v>1199</v>
      </c>
      <c r="L479" s="3" t="e">
        <f t="shared" si="8"/>
        <v>#N/A</v>
      </c>
      <c r="M479" s="3" t="e">
        <f t="shared" si="9"/>
        <v>#N/A</v>
      </c>
      <c r="N479" s="3" t="e">
        <f t="shared" si="10"/>
        <v>#N/A</v>
      </c>
      <c r="O479" s="3" t="e">
        <f t="shared" si="11"/>
        <v>#N/A</v>
      </c>
    </row>
    <row r="480" spans="1:15" ht="14.25" customHeight="1">
      <c r="A480" s="2" t="s">
        <v>39</v>
      </c>
      <c r="B480" s="2">
        <v>1971</v>
      </c>
      <c r="C480" s="2" t="s">
        <v>41</v>
      </c>
      <c r="D480" s="2">
        <v>5372</v>
      </c>
      <c r="E480" s="2">
        <v>25705</v>
      </c>
      <c r="J480" s="3">
        <f t="shared" si="6"/>
        <v>272912.00975411502</v>
      </c>
      <c r="K480" s="3">
        <f t="shared" si="7"/>
        <v>25705</v>
      </c>
      <c r="L480" s="3" t="e">
        <f t="shared" si="8"/>
        <v>#N/A</v>
      </c>
      <c r="M480" s="3" t="e">
        <f t="shared" si="9"/>
        <v>#N/A</v>
      </c>
      <c r="N480" s="3" t="e">
        <f t="shared" si="10"/>
        <v>#N/A</v>
      </c>
      <c r="O480" s="3" t="e">
        <f t="shared" si="11"/>
        <v>#N/A</v>
      </c>
    </row>
    <row r="481" spans="1:15" ht="14.25" customHeight="1">
      <c r="A481" s="2" t="s">
        <v>39</v>
      </c>
      <c r="B481" s="2">
        <v>1971</v>
      </c>
      <c r="C481" s="2" t="s">
        <v>42</v>
      </c>
      <c r="D481" s="2">
        <v>3105</v>
      </c>
      <c r="E481" s="2">
        <v>4894</v>
      </c>
      <c r="J481" s="3">
        <f t="shared" si="6"/>
        <v>157742.32879496037</v>
      </c>
      <c r="K481" s="3">
        <f t="shared" si="7"/>
        <v>4894</v>
      </c>
      <c r="L481" s="3" t="e">
        <f t="shared" si="8"/>
        <v>#N/A</v>
      </c>
      <c r="M481" s="3" t="e">
        <f t="shared" si="9"/>
        <v>#N/A</v>
      </c>
      <c r="N481" s="3" t="e">
        <f t="shared" si="10"/>
        <v>#N/A</v>
      </c>
      <c r="O481" s="3" t="e">
        <f t="shared" si="11"/>
        <v>#N/A</v>
      </c>
    </row>
    <row r="482" spans="1:15" ht="14.25" customHeight="1">
      <c r="A482" s="2" t="s">
        <v>40</v>
      </c>
      <c r="B482" s="2">
        <v>1971</v>
      </c>
      <c r="C482" s="2" t="s">
        <v>41</v>
      </c>
      <c r="D482" s="2">
        <v>77</v>
      </c>
      <c r="E482" s="2">
        <v>203</v>
      </c>
      <c r="J482" s="3">
        <f t="shared" si="6"/>
        <v>3911.8065433854908</v>
      </c>
      <c r="K482" s="3">
        <f t="shared" si="7"/>
        <v>203</v>
      </c>
      <c r="L482" s="3" t="e">
        <f t="shared" si="8"/>
        <v>#N/A</v>
      </c>
      <c r="M482" s="3" t="e">
        <f t="shared" si="9"/>
        <v>#N/A</v>
      </c>
      <c r="N482" s="3" t="e">
        <f t="shared" si="10"/>
        <v>#N/A</v>
      </c>
      <c r="O482" s="3" t="e">
        <f t="shared" si="11"/>
        <v>#N/A</v>
      </c>
    </row>
    <row r="483" spans="1:15" ht="14.25" customHeight="1">
      <c r="A483" s="2" t="s">
        <v>40</v>
      </c>
      <c r="B483" s="2">
        <v>1971</v>
      </c>
      <c r="C483" s="2" t="s">
        <v>42</v>
      </c>
      <c r="D483" s="2">
        <v>79</v>
      </c>
      <c r="E483" s="2">
        <v>137</v>
      </c>
      <c r="J483" s="3">
        <f t="shared" si="6"/>
        <v>4013.4119081487497</v>
      </c>
      <c r="K483" s="3">
        <f t="shared" si="7"/>
        <v>137</v>
      </c>
      <c r="L483" s="3" t="e">
        <f t="shared" si="8"/>
        <v>#N/A</v>
      </c>
      <c r="M483" s="3" t="e">
        <f t="shared" si="9"/>
        <v>#N/A</v>
      </c>
      <c r="N483" s="3" t="e">
        <f t="shared" si="10"/>
        <v>#N/A</v>
      </c>
      <c r="O483" s="3" t="e">
        <f t="shared" si="11"/>
        <v>#N/A</v>
      </c>
    </row>
    <row r="484" spans="1:15" ht="14.25" customHeight="1">
      <c r="A484" s="2" t="s">
        <v>15</v>
      </c>
      <c r="B484" s="2">
        <v>1971</v>
      </c>
      <c r="C484" s="2" t="s">
        <v>41</v>
      </c>
      <c r="D484" s="2">
        <v>14077</v>
      </c>
      <c r="E484" s="2">
        <v>78936</v>
      </c>
      <c r="J484" s="3">
        <f t="shared" si="6"/>
        <v>715149.35988620203</v>
      </c>
      <c r="K484" s="3">
        <f t="shared" si="7"/>
        <v>78936</v>
      </c>
      <c r="L484" s="3" t="e">
        <f t="shared" si="8"/>
        <v>#N/A</v>
      </c>
      <c r="M484" s="3" t="e">
        <f t="shared" si="9"/>
        <v>#N/A</v>
      </c>
      <c r="N484" s="3" t="e">
        <f t="shared" si="10"/>
        <v>#N/A</v>
      </c>
      <c r="O484" s="3" t="e">
        <f t="shared" si="11"/>
        <v>#N/A</v>
      </c>
    </row>
    <row r="485" spans="1:15" ht="14.25" customHeight="1">
      <c r="A485" s="2" t="s">
        <v>15</v>
      </c>
      <c r="B485" s="2">
        <v>1971</v>
      </c>
      <c r="C485" s="2" t="s">
        <v>42</v>
      </c>
      <c r="D485" s="2">
        <v>4055</v>
      </c>
      <c r="E485" s="2">
        <v>6230</v>
      </c>
      <c r="J485" s="3">
        <f t="shared" si="6"/>
        <v>206004.87705750862</v>
      </c>
      <c r="K485" s="3">
        <f t="shared" si="7"/>
        <v>6230</v>
      </c>
      <c r="L485" s="3" t="e">
        <f t="shared" si="8"/>
        <v>#N/A</v>
      </c>
      <c r="M485" s="3" t="e">
        <f t="shared" si="9"/>
        <v>#N/A</v>
      </c>
      <c r="N485" s="3" t="e">
        <f t="shared" si="10"/>
        <v>#N/A</v>
      </c>
      <c r="O485" s="3" t="e">
        <f t="shared" si="11"/>
        <v>#N/A</v>
      </c>
    </row>
    <row r="486" spans="1:15" ht="14.25" customHeight="1">
      <c r="A486" s="2" t="s">
        <v>18</v>
      </c>
      <c r="B486" s="2">
        <v>1972</v>
      </c>
      <c r="C486" s="2" t="s">
        <v>41</v>
      </c>
      <c r="D486" s="2">
        <v>8000</v>
      </c>
      <c r="E486" s="2">
        <v>59685</v>
      </c>
      <c r="J486" s="3">
        <f t="shared" si="6"/>
        <v>406421.45905303798</v>
      </c>
      <c r="K486" s="3">
        <f t="shared" si="7"/>
        <v>59685</v>
      </c>
      <c r="L486" s="3" t="e">
        <f t="shared" si="8"/>
        <v>#N/A</v>
      </c>
      <c r="M486" s="3" t="e">
        <f t="shared" si="9"/>
        <v>#N/A</v>
      </c>
      <c r="N486" s="3" t="e">
        <f t="shared" si="10"/>
        <v>#N/A</v>
      </c>
      <c r="O486" s="3" t="e">
        <f t="shared" si="11"/>
        <v>#N/A</v>
      </c>
    </row>
    <row r="487" spans="1:15" ht="14.25" customHeight="1">
      <c r="A487" s="2" t="s">
        <v>18</v>
      </c>
      <c r="B487" s="2">
        <v>1972</v>
      </c>
      <c r="C487" s="2" t="s">
        <v>42</v>
      </c>
      <c r="D487" s="2">
        <v>796</v>
      </c>
      <c r="E487" s="2">
        <v>1224</v>
      </c>
      <c r="J487" s="3">
        <f t="shared" si="6"/>
        <v>40438.935175777282</v>
      </c>
      <c r="K487" s="3">
        <f t="shared" si="7"/>
        <v>1224</v>
      </c>
      <c r="L487" s="3" t="e">
        <f t="shared" si="8"/>
        <v>#N/A</v>
      </c>
      <c r="M487" s="3" t="e">
        <f t="shared" si="9"/>
        <v>#N/A</v>
      </c>
      <c r="N487" s="3" t="e">
        <f t="shared" si="10"/>
        <v>#N/A</v>
      </c>
      <c r="O487" s="3" t="e">
        <f t="shared" si="11"/>
        <v>#N/A</v>
      </c>
    </row>
    <row r="488" spans="1:15" ht="14.25" customHeight="1">
      <c r="A488" s="2" t="s">
        <v>39</v>
      </c>
      <c r="B488" s="2">
        <v>1972</v>
      </c>
      <c r="C488" s="2" t="s">
        <v>41</v>
      </c>
      <c r="D488" s="2">
        <v>5159</v>
      </c>
      <c r="E488" s="2">
        <v>31924</v>
      </c>
      <c r="J488" s="3">
        <f t="shared" si="6"/>
        <v>262091.03840682787</v>
      </c>
      <c r="K488" s="3">
        <f t="shared" si="7"/>
        <v>31924</v>
      </c>
      <c r="L488" s="3" t="e">
        <f t="shared" si="8"/>
        <v>#N/A</v>
      </c>
      <c r="M488" s="3" t="e">
        <f t="shared" si="9"/>
        <v>#N/A</v>
      </c>
      <c r="N488" s="3" t="e">
        <f t="shared" si="10"/>
        <v>#N/A</v>
      </c>
      <c r="O488" s="3" t="e">
        <f t="shared" si="11"/>
        <v>#N/A</v>
      </c>
    </row>
    <row r="489" spans="1:15" ht="14.25" customHeight="1">
      <c r="A489" s="2" t="s">
        <v>39</v>
      </c>
      <c r="B489" s="2">
        <v>1972</v>
      </c>
      <c r="C489" s="2" t="s">
        <v>42</v>
      </c>
      <c r="D489" s="2">
        <v>3510</v>
      </c>
      <c r="E489" s="2">
        <v>5780</v>
      </c>
      <c r="J489" s="3">
        <f t="shared" si="6"/>
        <v>178317.4151595204</v>
      </c>
      <c r="K489" s="3">
        <f t="shared" si="7"/>
        <v>5780</v>
      </c>
      <c r="L489" s="3" t="e">
        <f t="shared" si="8"/>
        <v>#N/A</v>
      </c>
      <c r="M489" s="3" t="e">
        <f t="shared" si="9"/>
        <v>#N/A</v>
      </c>
      <c r="N489" s="3" t="e">
        <f t="shared" si="10"/>
        <v>#N/A</v>
      </c>
      <c r="O489" s="3" t="e">
        <f t="shared" si="11"/>
        <v>#N/A</v>
      </c>
    </row>
    <row r="490" spans="1:15" ht="14.25" customHeight="1">
      <c r="A490" s="2" t="s">
        <v>40</v>
      </c>
      <c r="B490" s="2">
        <v>1972</v>
      </c>
      <c r="C490" s="2" t="s">
        <v>41</v>
      </c>
      <c r="D490" s="2">
        <v>82</v>
      </c>
      <c r="E490" s="2">
        <v>277</v>
      </c>
      <c r="J490" s="3">
        <f t="shared" si="6"/>
        <v>4165.8199552936394</v>
      </c>
      <c r="K490" s="3">
        <f t="shared" si="7"/>
        <v>277</v>
      </c>
      <c r="L490" s="3" t="e">
        <f t="shared" si="8"/>
        <v>#N/A</v>
      </c>
      <c r="M490" s="3" t="e">
        <f t="shared" si="9"/>
        <v>#N/A</v>
      </c>
      <c r="N490" s="3" t="e">
        <f t="shared" si="10"/>
        <v>#N/A</v>
      </c>
      <c r="O490" s="3" t="e">
        <f t="shared" si="11"/>
        <v>#N/A</v>
      </c>
    </row>
    <row r="491" spans="1:15" ht="14.25" customHeight="1">
      <c r="A491" s="2" t="s">
        <v>40</v>
      </c>
      <c r="B491" s="2">
        <v>1972</v>
      </c>
      <c r="C491" s="2" t="s">
        <v>42</v>
      </c>
      <c r="D491" s="2">
        <v>81</v>
      </c>
      <c r="E491" s="2">
        <v>168</v>
      </c>
      <c r="J491" s="3">
        <f t="shared" si="6"/>
        <v>4115.0172729120095</v>
      </c>
      <c r="K491" s="3">
        <f t="shared" si="7"/>
        <v>168</v>
      </c>
      <c r="L491" s="3" t="e">
        <f t="shared" si="8"/>
        <v>#N/A</v>
      </c>
      <c r="M491" s="3" t="e">
        <f t="shared" si="9"/>
        <v>#N/A</v>
      </c>
      <c r="N491" s="3" t="e">
        <f t="shared" si="10"/>
        <v>#N/A</v>
      </c>
      <c r="O491" s="3" t="e">
        <f t="shared" si="11"/>
        <v>#N/A</v>
      </c>
    </row>
    <row r="492" spans="1:15" ht="14.25" customHeight="1">
      <c r="A492" s="2" t="s">
        <v>15</v>
      </c>
      <c r="B492" s="2">
        <v>1972</v>
      </c>
      <c r="C492" s="2" t="s">
        <v>41</v>
      </c>
      <c r="D492" s="2">
        <v>13241</v>
      </c>
      <c r="E492" s="2">
        <v>91886</v>
      </c>
      <c r="J492" s="3">
        <f t="shared" si="6"/>
        <v>672678.31741515954</v>
      </c>
      <c r="K492" s="3">
        <f t="shared" si="7"/>
        <v>91886</v>
      </c>
      <c r="L492" s="3" t="e">
        <f t="shared" si="8"/>
        <v>#N/A</v>
      </c>
      <c r="M492" s="3" t="e">
        <f t="shared" si="9"/>
        <v>#N/A</v>
      </c>
      <c r="N492" s="3" t="e">
        <f t="shared" si="10"/>
        <v>#N/A</v>
      </c>
      <c r="O492" s="3" t="e">
        <f t="shared" si="11"/>
        <v>#N/A</v>
      </c>
    </row>
    <row r="493" spans="1:15" ht="14.25" customHeight="1">
      <c r="A493" s="2" t="s">
        <v>15</v>
      </c>
      <c r="B493" s="2">
        <v>1972</v>
      </c>
      <c r="C493" s="2" t="s">
        <v>42</v>
      </c>
      <c r="D493" s="2">
        <v>4387</v>
      </c>
      <c r="E493" s="2">
        <v>7172</v>
      </c>
      <c r="J493" s="3">
        <f t="shared" si="6"/>
        <v>222871.36760820972</v>
      </c>
      <c r="K493" s="3">
        <f t="shared" si="7"/>
        <v>7172</v>
      </c>
      <c r="L493" s="3" t="e">
        <f t="shared" si="8"/>
        <v>#N/A</v>
      </c>
      <c r="M493" s="3" t="e">
        <f t="shared" si="9"/>
        <v>#N/A</v>
      </c>
      <c r="N493" s="3" t="e">
        <f t="shared" si="10"/>
        <v>#N/A</v>
      </c>
      <c r="O493" s="3" t="e">
        <f t="shared" si="11"/>
        <v>#N/A</v>
      </c>
    </row>
    <row r="494" spans="1:15" ht="14.25" customHeight="1">
      <c r="A494" s="2" t="s">
        <v>18</v>
      </c>
      <c r="B494" s="2">
        <v>1973</v>
      </c>
      <c r="C494" s="2" t="s">
        <v>22</v>
      </c>
      <c r="D494" s="2">
        <v>4309</v>
      </c>
      <c r="E494" s="2">
        <v>51693</v>
      </c>
      <c r="J494" s="3">
        <f t="shared" si="6"/>
        <v>218908.75838244258</v>
      </c>
      <c r="K494" s="3">
        <f t="shared" si="7"/>
        <v>51693</v>
      </c>
      <c r="L494" s="3" t="e">
        <f t="shared" si="8"/>
        <v>#N/A</v>
      </c>
      <c r="M494" s="3" t="e">
        <f t="shared" si="9"/>
        <v>#N/A</v>
      </c>
      <c r="N494" s="3" t="e">
        <f t="shared" si="10"/>
        <v>#N/A</v>
      </c>
      <c r="O494" s="3" t="e">
        <f t="shared" si="11"/>
        <v>#N/A</v>
      </c>
    </row>
    <row r="495" spans="1:15" ht="14.25" customHeight="1">
      <c r="A495" s="2" t="s">
        <v>18</v>
      </c>
      <c r="B495" s="2">
        <v>1973</v>
      </c>
      <c r="C495" s="2" t="s">
        <v>23</v>
      </c>
      <c r="D495" s="2">
        <v>988</v>
      </c>
      <c r="E495" s="2">
        <v>10344</v>
      </c>
      <c r="J495" s="3">
        <f t="shared" si="6"/>
        <v>50193.050193050192</v>
      </c>
      <c r="K495" s="3">
        <f t="shared" si="7"/>
        <v>10344</v>
      </c>
      <c r="L495" s="3" t="e">
        <f t="shared" si="8"/>
        <v>#N/A</v>
      </c>
      <c r="M495" s="3" t="e">
        <f t="shared" si="9"/>
        <v>#N/A</v>
      </c>
      <c r="N495" s="3" t="e">
        <f t="shared" si="10"/>
        <v>#N/A</v>
      </c>
      <c r="O495" s="3" t="e">
        <f t="shared" si="11"/>
        <v>#N/A</v>
      </c>
    </row>
    <row r="496" spans="1:15" ht="14.25" customHeight="1">
      <c r="A496" s="2" t="s">
        <v>18</v>
      </c>
      <c r="B496" s="2">
        <v>1973</v>
      </c>
      <c r="C496" s="2" t="s">
        <v>25</v>
      </c>
      <c r="D496" s="2">
        <v>646</v>
      </c>
      <c r="E496" s="2">
        <v>8630</v>
      </c>
      <c r="J496" s="3">
        <f t="shared" si="6"/>
        <v>32818.532818532818</v>
      </c>
      <c r="K496" s="3">
        <f t="shared" si="7"/>
        <v>8630</v>
      </c>
      <c r="L496" s="3" t="e">
        <f t="shared" si="8"/>
        <v>#N/A</v>
      </c>
      <c r="M496" s="3" t="e">
        <f t="shared" si="9"/>
        <v>#N/A</v>
      </c>
      <c r="N496" s="3" t="e">
        <f t="shared" si="10"/>
        <v>#N/A</v>
      </c>
      <c r="O496" s="3" t="e">
        <f t="shared" si="11"/>
        <v>#N/A</v>
      </c>
    </row>
    <row r="497" spans="1:15" ht="14.25" customHeight="1">
      <c r="A497" s="2" t="s">
        <v>18</v>
      </c>
      <c r="B497" s="2">
        <v>1973</v>
      </c>
      <c r="C497" s="2" t="s">
        <v>38</v>
      </c>
      <c r="D497" s="2">
        <v>558</v>
      </c>
      <c r="E497" s="2">
        <v>2651</v>
      </c>
      <c r="J497" s="3">
        <f t="shared" si="6"/>
        <v>28347.896768949402</v>
      </c>
      <c r="K497" s="3">
        <f t="shared" si="7"/>
        <v>2651</v>
      </c>
      <c r="L497" s="3" t="e">
        <f t="shared" si="8"/>
        <v>#N/A</v>
      </c>
      <c r="M497" s="3" t="e">
        <f t="shared" si="9"/>
        <v>#N/A</v>
      </c>
      <c r="N497" s="3" t="e">
        <f t="shared" si="10"/>
        <v>#N/A</v>
      </c>
      <c r="O497" s="3" t="e">
        <f t="shared" si="11"/>
        <v>#N/A</v>
      </c>
    </row>
    <row r="498" spans="1:15" ht="14.25" customHeight="1">
      <c r="A498" s="2" t="s">
        <v>18</v>
      </c>
      <c r="B498" s="2">
        <v>1973</v>
      </c>
      <c r="C498" s="2" t="s">
        <v>24</v>
      </c>
      <c r="D498" s="2">
        <v>121</v>
      </c>
      <c r="E498" s="2">
        <v>734</v>
      </c>
      <c r="J498" s="3">
        <f t="shared" si="6"/>
        <v>6147.1245681771998</v>
      </c>
      <c r="K498" s="3">
        <f t="shared" si="7"/>
        <v>734</v>
      </c>
      <c r="L498" s="3" t="e">
        <f t="shared" si="8"/>
        <v>#N/A</v>
      </c>
      <c r="M498" s="3" t="e">
        <f t="shared" si="9"/>
        <v>#N/A</v>
      </c>
      <c r="N498" s="3" t="e">
        <f t="shared" si="10"/>
        <v>#N/A</v>
      </c>
      <c r="O498" s="3" t="e">
        <f t="shared" si="11"/>
        <v>#N/A</v>
      </c>
    </row>
    <row r="499" spans="1:15" ht="14.25" customHeight="1">
      <c r="A499" s="2" t="s">
        <v>18</v>
      </c>
      <c r="B499" s="2">
        <v>1973</v>
      </c>
      <c r="C499" s="2" t="s">
        <v>19</v>
      </c>
      <c r="D499" s="2">
        <v>112</v>
      </c>
      <c r="E499" s="2">
        <v>428</v>
      </c>
      <c r="J499" s="3">
        <f t="shared" si="6"/>
        <v>5689.9004267425316</v>
      </c>
      <c r="K499" s="3">
        <f t="shared" si="7"/>
        <v>428</v>
      </c>
      <c r="L499" s="3" t="e">
        <f t="shared" si="8"/>
        <v>#N/A</v>
      </c>
      <c r="M499" s="3" t="e">
        <f t="shared" si="9"/>
        <v>#N/A</v>
      </c>
      <c r="N499" s="3" t="e">
        <f t="shared" si="10"/>
        <v>#N/A</v>
      </c>
      <c r="O499" s="3" t="e">
        <f t="shared" si="11"/>
        <v>#N/A</v>
      </c>
    </row>
    <row r="500" spans="1:15" ht="14.25" customHeight="1">
      <c r="A500" s="2" t="s">
        <v>18</v>
      </c>
      <c r="B500" s="2">
        <v>1973</v>
      </c>
      <c r="C500" s="2" t="s">
        <v>21</v>
      </c>
      <c r="D500" s="2">
        <v>741</v>
      </c>
      <c r="E500" s="2">
        <v>821</v>
      </c>
      <c r="J500" s="3">
        <f t="shared" si="6"/>
        <v>37644.787644787641</v>
      </c>
      <c r="K500" s="3">
        <f t="shared" si="7"/>
        <v>821</v>
      </c>
      <c r="L500" s="3" t="e">
        <f t="shared" si="8"/>
        <v>#N/A</v>
      </c>
      <c r="M500" s="3" t="e">
        <f t="shared" si="9"/>
        <v>#N/A</v>
      </c>
      <c r="N500" s="3" t="e">
        <f t="shared" si="10"/>
        <v>#N/A</v>
      </c>
      <c r="O500" s="3" t="e">
        <f t="shared" si="11"/>
        <v>#N/A</v>
      </c>
    </row>
    <row r="501" spans="1:15" ht="14.25" customHeight="1">
      <c r="A501" s="2" t="s">
        <v>18</v>
      </c>
      <c r="B501" s="2">
        <v>1973</v>
      </c>
      <c r="C501" s="2" t="s">
        <v>36</v>
      </c>
      <c r="D501" s="2">
        <v>94</v>
      </c>
      <c r="E501" s="2">
        <v>802</v>
      </c>
      <c r="J501" s="3">
        <f t="shared" si="6"/>
        <v>4775.4521438731963</v>
      </c>
      <c r="K501" s="3">
        <f t="shared" si="7"/>
        <v>802</v>
      </c>
      <c r="L501" s="3" t="e">
        <f t="shared" si="8"/>
        <v>#N/A</v>
      </c>
      <c r="M501" s="3" t="e">
        <f t="shared" si="9"/>
        <v>#N/A</v>
      </c>
      <c r="N501" s="3" t="e">
        <f t="shared" si="10"/>
        <v>#N/A</v>
      </c>
      <c r="O501" s="3" t="e">
        <f t="shared" si="11"/>
        <v>#N/A</v>
      </c>
    </row>
    <row r="502" spans="1:15" ht="14.25" customHeight="1">
      <c r="A502" s="2" t="s">
        <v>18</v>
      </c>
      <c r="B502" s="2">
        <v>1973</v>
      </c>
      <c r="C502" s="2" t="s">
        <v>34</v>
      </c>
      <c r="D502" s="2">
        <v>9</v>
      </c>
      <c r="E502" s="2">
        <v>854</v>
      </c>
      <c r="J502" s="3">
        <f t="shared" si="6"/>
        <v>457.22414143466773</v>
      </c>
      <c r="K502" s="3">
        <f t="shared" si="7"/>
        <v>854</v>
      </c>
      <c r="L502" s="3" t="e">
        <f t="shared" si="8"/>
        <v>#N/A</v>
      </c>
      <c r="M502" s="3" t="e">
        <f t="shared" si="9"/>
        <v>#N/A</v>
      </c>
      <c r="N502" s="3" t="e">
        <f t="shared" si="10"/>
        <v>#N/A</v>
      </c>
      <c r="O502" s="3" t="e">
        <f t="shared" si="11"/>
        <v>#N/A</v>
      </c>
    </row>
    <row r="503" spans="1:15" ht="14.25" customHeight="1">
      <c r="A503" s="2" t="s">
        <v>18</v>
      </c>
      <c r="B503" s="2">
        <v>1973</v>
      </c>
      <c r="C503" s="2" t="s">
        <v>35</v>
      </c>
      <c r="D503" s="2">
        <v>16</v>
      </c>
      <c r="E503" s="2">
        <v>409</v>
      </c>
      <c r="J503" s="3">
        <f t="shared" si="6"/>
        <v>812.84291810607601</v>
      </c>
      <c r="K503" s="3">
        <f t="shared" si="7"/>
        <v>409</v>
      </c>
      <c r="L503" s="3" t="e">
        <f t="shared" si="8"/>
        <v>#N/A</v>
      </c>
      <c r="M503" s="3" t="e">
        <f t="shared" si="9"/>
        <v>#N/A</v>
      </c>
      <c r="N503" s="3" t="e">
        <f t="shared" si="10"/>
        <v>#N/A</v>
      </c>
      <c r="O503" s="3" t="e">
        <f t="shared" si="11"/>
        <v>#N/A</v>
      </c>
    </row>
    <row r="504" spans="1:15" ht="14.25" customHeight="1">
      <c r="A504" s="2" t="s">
        <v>18</v>
      </c>
      <c r="B504" s="2">
        <v>1973</v>
      </c>
      <c r="C504" s="2" t="s">
        <v>30</v>
      </c>
      <c r="D504" s="2">
        <v>26</v>
      </c>
      <c r="E504" s="2">
        <v>255</v>
      </c>
      <c r="J504" s="3">
        <f t="shared" si="6"/>
        <v>1320.8697419223734</v>
      </c>
      <c r="K504" s="3">
        <f t="shared" si="7"/>
        <v>255</v>
      </c>
      <c r="L504" s="3" t="e">
        <f t="shared" si="8"/>
        <v>#N/A</v>
      </c>
      <c r="M504" s="3" t="e">
        <f t="shared" si="9"/>
        <v>#N/A</v>
      </c>
      <c r="N504" s="3" t="e">
        <f t="shared" si="10"/>
        <v>#N/A</v>
      </c>
      <c r="O504" s="3" t="e">
        <f t="shared" si="11"/>
        <v>#N/A</v>
      </c>
    </row>
    <row r="505" spans="1:15" ht="14.25" customHeight="1">
      <c r="A505" s="2" t="s">
        <v>18</v>
      </c>
      <c r="B505" s="2">
        <v>1973</v>
      </c>
      <c r="C505" s="2" t="s">
        <v>41</v>
      </c>
      <c r="D505" s="2">
        <v>7787</v>
      </c>
      <c r="E505" s="2">
        <v>83317</v>
      </c>
      <c r="J505" s="3">
        <f t="shared" si="6"/>
        <v>395600.4877057508</v>
      </c>
      <c r="K505" s="3">
        <f t="shared" si="7"/>
        <v>83317</v>
      </c>
      <c r="L505" s="3" t="e">
        <f t="shared" si="8"/>
        <v>#N/A</v>
      </c>
      <c r="M505" s="3" t="e">
        <f t="shared" si="9"/>
        <v>#N/A</v>
      </c>
      <c r="N505" s="3" t="e">
        <f t="shared" si="10"/>
        <v>#N/A</v>
      </c>
      <c r="O505" s="3" t="e">
        <f t="shared" si="11"/>
        <v>#N/A</v>
      </c>
    </row>
    <row r="506" spans="1:15" ht="14.25" customHeight="1">
      <c r="A506" s="2" t="s">
        <v>18</v>
      </c>
      <c r="B506" s="2">
        <v>1973</v>
      </c>
      <c r="C506" s="2" t="s">
        <v>42</v>
      </c>
      <c r="D506" s="2">
        <v>1167</v>
      </c>
      <c r="E506" s="2">
        <v>2118</v>
      </c>
      <c r="J506" s="3">
        <f t="shared" si="6"/>
        <v>59286.730339361915</v>
      </c>
      <c r="K506" s="3">
        <f t="shared" si="7"/>
        <v>2118</v>
      </c>
      <c r="L506" s="3" t="e">
        <f t="shared" si="8"/>
        <v>#N/A</v>
      </c>
      <c r="M506" s="3" t="e">
        <f t="shared" si="9"/>
        <v>#N/A</v>
      </c>
      <c r="N506" s="3" t="e">
        <f t="shared" si="10"/>
        <v>#N/A</v>
      </c>
      <c r="O506" s="3" t="e">
        <f t="shared" si="11"/>
        <v>#N/A</v>
      </c>
    </row>
    <row r="507" spans="1:15" ht="14.25" customHeight="1">
      <c r="A507" s="2" t="s">
        <v>18</v>
      </c>
      <c r="B507" s="2">
        <v>1973</v>
      </c>
      <c r="C507" s="2" t="s">
        <v>37</v>
      </c>
      <c r="D507" s="2">
        <v>8954</v>
      </c>
      <c r="E507" s="2">
        <v>85435</v>
      </c>
      <c r="J507" s="3">
        <f t="shared" si="6"/>
        <v>454887.21804511279</v>
      </c>
      <c r="K507" s="3">
        <f t="shared" si="7"/>
        <v>85435</v>
      </c>
      <c r="L507" s="3" t="e">
        <f t="shared" si="8"/>
        <v>#N/A</v>
      </c>
      <c r="M507" s="3" t="e">
        <f t="shared" si="9"/>
        <v>#N/A</v>
      </c>
      <c r="N507" s="3" t="e">
        <f t="shared" si="10"/>
        <v>#N/A</v>
      </c>
      <c r="O507" s="3" t="e">
        <f t="shared" si="11"/>
        <v>#N/A</v>
      </c>
    </row>
    <row r="508" spans="1:15" ht="14.25" customHeight="1">
      <c r="A508" s="2" t="s">
        <v>18</v>
      </c>
      <c r="B508" s="2">
        <v>1973</v>
      </c>
      <c r="C508" s="2" t="s">
        <v>28</v>
      </c>
      <c r="D508" s="2">
        <v>833</v>
      </c>
      <c r="E508" s="2">
        <v>4099</v>
      </c>
      <c r="J508" s="3">
        <f t="shared" si="6"/>
        <v>42318.63442389758</v>
      </c>
      <c r="K508" s="3">
        <f t="shared" si="7"/>
        <v>4099</v>
      </c>
      <c r="L508" s="3" t="e">
        <f t="shared" si="8"/>
        <v>#N/A</v>
      </c>
      <c r="M508" s="3" t="e">
        <f t="shared" si="9"/>
        <v>#N/A</v>
      </c>
      <c r="N508" s="3" t="e">
        <f t="shared" si="10"/>
        <v>#N/A</v>
      </c>
      <c r="O508" s="3" t="e">
        <f t="shared" si="11"/>
        <v>#N/A</v>
      </c>
    </row>
    <row r="509" spans="1:15" ht="14.25" customHeight="1">
      <c r="A509" s="2" t="s">
        <v>18</v>
      </c>
      <c r="B509" s="2">
        <v>1973</v>
      </c>
      <c r="C509" s="2" t="s">
        <v>16</v>
      </c>
      <c r="D509" s="2">
        <v>9787</v>
      </c>
      <c r="E509" s="2">
        <v>89534</v>
      </c>
      <c r="J509" s="3">
        <f t="shared" si="6"/>
        <v>497205.85246901034</v>
      </c>
      <c r="K509" s="3">
        <f t="shared" si="7"/>
        <v>89534</v>
      </c>
      <c r="L509" s="3" t="e">
        <f t="shared" si="8"/>
        <v>#N/A</v>
      </c>
      <c r="M509" s="3" t="e">
        <f t="shared" si="9"/>
        <v>#N/A</v>
      </c>
      <c r="N509" s="3" t="e">
        <f t="shared" si="10"/>
        <v>#N/A</v>
      </c>
      <c r="O509" s="3" t="e">
        <f t="shared" si="11"/>
        <v>#N/A</v>
      </c>
    </row>
    <row r="510" spans="1:15" ht="14.25" customHeight="1">
      <c r="A510" s="2" t="s">
        <v>39</v>
      </c>
      <c r="B510" s="2">
        <v>1973</v>
      </c>
      <c r="C510" s="2" t="s">
        <v>22</v>
      </c>
      <c r="D510" s="2">
        <v>1057</v>
      </c>
      <c r="E510" s="2">
        <v>13031</v>
      </c>
      <c r="J510" s="3">
        <f t="shared" si="6"/>
        <v>53698.435277382639</v>
      </c>
      <c r="K510" s="3">
        <f t="shared" si="7"/>
        <v>13031</v>
      </c>
      <c r="L510" s="3" t="e">
        <f t="shared" si="8"/>
        <v>#N/A</v>
      </c>
      <c r="M510" s="3" t="e">
        <f t="shared" si="9"/>
        <v>#N/A</v>
      </c>
      <c r="N510" s="3" t="e">
        <f t="shared" si="10"/>
        <v>#N/A</v>
      </c>
      <c r="O510" s="3" t="e">
        <f t="shared" si="11"/>
        <v>#N/A</v>
      </c>
    </row>
    <row r="511" spans="1:15" ht="14.25" customHeight="1">
      <c r="A511" s="2" t="s">
        <v>39</v>
      </c>
      <c r="B511" s="2">
        <v>1973</v>
      </c>
      <c r="C511" s="2" t="s">
        <v>23</v>
      </c>
      <c r="D511" s="2">
        <v>1954</v>
      </c>
      <c r="E511" s="2">
        <v>17150</v>
      </c>
      <c r="J511" s="3">
        <f t="shared" si="6"/>
        <v>99268.44137370454</v>
      </c>
      <c r="K511" s="3">
        <f t="shared" si="7"/>
        <v>17150</v>
      </c>
      <c r="L511" s="3" t="e">
        <f t="shared" si="8"/>
        <v>#N/A</v>
      </c>
      <c r="M511" s="3" t="e">
        <f t="shared" si="9"/>
        <v>#N/A</v>
      </c>
      <c r="N511" s="3" t="e">
        <f t="shared" si="10"/>
        <v>#N/A</v>
      </c>
      <c r="O511" s="3" t="e">
        <f t="shared" si="11"/>
        <v>#N/A</v>
      </c>
    </row>
    <row r="512" spans="1:15" ht="14.25" customHeight="1">
      <c r="A512" s="2" t="s">
        <v>39</v>
      </c>
      <c r="B512" s="2">
        <v>1973</v>
      </c>
      <c r="C512" s="2" t="s">
        <v>25</v>
      </c>
      <c r="D512" s="2">
        <v>97</v>
      </c>
      <c r="E512" s="2">
        <v>1062</v>
      </c>
      <c r="J512" s="3">
        <f t="shared" ref="J512:J673" si="12">IF(D512="", NA(), D512/19.684*1000)</f>
        <v>4927.860191018086</v>
      </c>
      <c r="K512" s="3">
        <f t="shared" ref="K512:K673" si="13">IF(E512="", NA(), E512)</f>
        <v>1062</v>
      </c>
      <c r="L512" s="3" t="e">
        <f t="shared" ref="L512:L673" si="14">IF(F512="", NA(), F512/19.684*1000)</f>
        <v>#N/A</v>
      </c>
      <c r="M512" s="3" t="e">
        <f t="shared" ref="M512:M673" si="15">IF(G512="", NA(), G512)</f>
        <v>#N/A</v>
      </c>
      <c r="N512" s="3" t="e">
        <f t="shared" ref="N512:N673" si="16">IF(H512="", NA(), H512/19.684*1000)</f>
        <v>#N/A</v>
      </c>
      <c r="O512" s="3" t="e">
        <f t="shared" ref="O512:O673" si="17">IF(I512="", NA(), I512)</f>
        <v>#N/A</v>
      </c>
    </row>
    <row r="513" spans="1:15" ht="14.25" customHeight="1">
      <c r="A513" s="2" t="s">
        <v>39</v>
      </c>
      <c r="B513" s="2">
        <v>1973</v>
      </c>
      <c r="C513" s="2" t="s">
        <v>38</v>
      </c>
      <c r="D513" s="2">
        <v>542</v>
      </c>
      <c r="E513" s="2">
        <v>2411</v>
      </c>
      <c r="J513" s="3">
        <f t="shared" si="12"/>
        <v>27535.053850843324</v>
      </c>
      <c r="K513" s="3">
        <f t="shared" si="13"/>
        <v>2411</v>
      </c>
      <c r="L513" s="3" t="e">
        <f t="shared" si="14"/>
        <v>#N/A</v>
      </c>
      <c r="M513" s="3" t="e">
        <f t="shared" si="15"/>
        <v>#N/A</v>
      </c>
      <c r="N513" s="3" t="e">
        <f t="shared" si="16"/>
        <v>#N/A</v>
      </c>
      <c r="O513" s="3" t="e">
        <f t="shared" si="17"/>
        <v>#N/A</v>
      </c>
    </row>
    <row r="514" spans="1:15" ht="14.25" customHeight="1">
      <c r="A514" s="2" t="s">
        <v>39</v>
      </c>
      <c r="B514" s="2">
        <v>1973</v>
      </c>
      <c r="C514" s="2" t="s">
        <v>24</v>
      </c>
      <c r="D514" s="2">
        <v>542</v>
      </c>
      <c r="E514" s="2">
        <v>908</v>
      </c>
      <c r="J514" s="3">
        <f t="shared" si="12"/>
        <v>27535.053850843324</v>
      </c>
      <c r="K514" s="3">
        <f t="shared" si="13"/>
        <v>908</v>
      </c>
      <c r="L514" s="3" t="e">
        <f t="shared" si="14"/>
        <v>#N/A</v>
      </c>
      <c r="M514" s="3" t="e">
        <f t="shared" si="15"/>
        <v>#N/A</v>
      </c>
      <c r="N514" s="3" t="e">
        <f t="shared" si="16"/>
        <v>#N/A</v>
      </c>
      <c r="O514" s="3" t="e">
        <f t="shared" si="17"/>
        <v>#N/A</v>
      </c>
    </row>
    <row r="515" spans="1:15" ht="14.25" customHeight="1">
      <c r="A515" s="2" t="s">
        <v>39</v>
      </c>
      <c r="B515" s="2">
        <v>1973</v>
      </c>
      <c r="C515" s="2" t="s">
        <v>19</v>
      </c>
      <c r="D515" s="2">
        <v>2861</v>
      </c>
      <c r="E515" s="2">
        <v>8629</v>
      </c>
      <c r="J515" s="3">
        <f t="shared" si="12"/>
        <v>145346.47429384271</v>
      </c>
      <c r="K515" s="3">
        <f t="shared" si="13"/>
        <v>8629</v>
      </c>
      <c r="L515" s="3" t="e">
        <f t="shared" si="14"/>
        <v>#N/A</v>
      </c>
      <c r="M515" s="3" t="e">
        <f t="shared" si="15"/>
        <v>#N/A</v>
      </c>
      <c r="N515" s="3" t="e">
        <f t="shared" si="16"/>
        <v>#N/A</v>
      </c>
      <c r="O515" s="3" t="e">
        <f t="shared" si="17"/>
        <v>#N/A</v>
      </c>
    </row>
    <row r="516" spans="1:15" ht="14.25" customHeight="1">
      <c r="A516" s="2" t="s">
        <v>39</v>
      </c>
      <c r="B516" s="2">
        <v>1973</v>
      </c>
      <c r="C516" s="2" t="s">
        <v>21</v>
      </c>
      <c r="D516" s="2">
        <v>1178</v>
      </c>
      <c r="E516" s="2">
        <v>1595</v>
      </c>
      <c r="J516" s="3">
        <f t="shared" si="12"/>
        <v>59845.559845559837</v>
      </c>
      <c r="K516" s="3">
        <f t="shared" si="13"/>
        <v>1595</v>
      </c>
      <c r="L516" s="3" t="e">
        <f t="shared" si="14"/>
        <v>#N/A</v>
      </c>
      <c r="M516" s="3" t="e">
        <f t="shared" si="15"/>
        <v>#N/A</v>
      </c>
      <c r="N516" s="3" t="e">
        <f t="shared" si="16"/>
        <v>#N/A</v>
      </c>
      <c r="O516" s="3" t="e">
        <f t="shared" si="17"/>
        <v>#N/A</v>
      </c>
    </row>
    <row r="517" spans="1:15" ht="14.25" customHeight="1">
      <c r="A517" s="2" t="s">
        <v>39</v>
      </c>
      <c r="B517" s="2">
        <v>1973</v>
      </c>
      <c r="C517" s="2" t="s">
        <v>36</v>
      </c>
      <c r="D517" s="2">
        <v>45</v>
      </c>
      <c r="E517" s="2">
        <v>238</v>
      </c>
      <c r="J517" s="3">
        <f t="shared" si="12"/>
        <v>2286.1207071733384</v>
      </c>
      <c r="K517" s="3">
        <f t="shared" si="13"/>
        <v>238</v>
      </c>
      <c r="L517" s="3" t="e">
        <f t="shared" si="14"/>
        <v>#N/A</v>
      </c>
      <c r="M517" s="3" t="e">
        <f t="shared" si="15"/>
        <v>#N/A</v>
      </c>
      <c r="N517" s="3" t="e">
        <f t="shared" si="16"/>
        <v>#N/A</v>
      </c>
      <c r="O517" s="3" t="e">
        <f t="shared" si="17"/>
        <v>#N/A</v>
      </c>
    </row>
    <row r="518" spans="1:15" ht="14.25" customHeight="1">
      <c r="A518" s="2" t="s">
        <v>39</v>
      </c>
      <c r="B518" s="2">
        <v>1973</v>
      </c>
      <c r="C518" s="2" t="s">
        <v>34</v>
      </c>
      <c r="D518" s="2">
        <v>11</v>
      </c>
      <c r="E518" s="2">
        <v>1188</v>
      </c>
      <c r="J518" s="3">
        <f t="shared" si="12"/>
        <v>558.82950619792723</v>
      </c>
      <c r="K518" s="3">
        <f t="shared" si="13"/>
        <v>1188</v>
      </c>
      <c r="L518" s="3" t="e">
        <f t="shared" si="14"/>
        <v>#N/A</v>
      </c>
      <c r="M518" s="3" t="e">
        <f t="shared" si="15"/>
        <v>#N/A</v>
      </c>
      <c r="N518" s="3" t="e">
        <f t="shared" si="16"/>
        <v>#N/A</v>
      </c>
      <c r="O518" s="3" t="e">
        <f t="shared" si="17"/>
        <v>#N/A</v>
      </c>
    </row>
    <row r="519" spans="1:15" ht="14.25" customHeight="1">
      <c r="A519" s="2" t="s">
        <v>39</v>
      </c>
      <c r="B519" s="2">
        <v>1973</v>
      </c>
      <c r="C519" s="2" t="s">
        <v>35</v>
      </c>
      <c r="D519" s="2">
        <v>192</v>
      </c>
      <c r="E519" s="2">
        <v>5011</v>
      </c>
      <c r="J519" s="3">
        <f t="shared" si="12"/>
        <v>9754.1150172729103</v>
      </c>
      <c r="K519" s="3">
        <f t="shared" si="13"/>
        <v>5011</v>
      </c>
      <c r="L519" s="3" t="e">
        <f t="shared" si="14"/>
        <v>#N/A</v>
      </c>
      <c r="M519" s="3" t="e">
        <f t="shared" si="15"/>
        <v>#N/A</v>
      </c>
      <c r="N519" s="3" t="e">
        <f t="shared" si="16"/>
        <v>#N/A</v>
      </c>
      <c r="O519" s="3" t="e">
        <f t="shared" si="17"/>
        <v>#N/A</v>
      </c>
    </row>
    <row r="520" spans="1:15" ht="14.25" customHeight="1">
      <c r="A520" s="2" t="s">
        <v>39</v>
      </c>
      <c r="B520" s="2">
        <v>1973</v>
      </c>
      <c r="C520" s="2" t="s">
        <v>30</v>
      </c>
      <c r="D520" s="2">
        <v>3</v>
      </c>
      <c r="E520" s="2">
        <v>47</v>
      </c>
      <c r="J520" s="3">
        <f t="shared" si="12"/>
        <v>152.40804714488922</v>
      </c>
      <c r="K520" s="3">
        <f t="shared" si="13"/>
        <v>47</v>
      </c>
      <c r="L520" s="3" t="e">
        <f t="shared" si="14"/>
        <v>#N/A</v>
      </c>
      <c r="M520" s="3" t="e">
        <f t="shared" si="15"/>
        <v>#N/A</v>
      </c>
      <c r="N520" s="3" t="e">
        <f t="shared" si="16"/>
        <v>#N/A</v>
      </c>
      <c r="O520" s="3" t="e">
        <f t="shared" si="17"/>
        <v>#N/A</v>
      </c>
    </row>
    <row r="521" spans="1:15" ht="14.25" customHeight="1">
      <c r="A521" s="2" t="s">
        <v>39</v>
      </c>
      <c r="B521" s="2">
        <v>1973</v>
      </c>
      <c r="C521" s="2" t="s">
        <v>41</v>
      </c>
      <c r="D521" s="2">
        <v>5165</v>
      </c>
      <c r="E521" s="2">
        <v>42415</v>
      </c>
      <c r="J521" s="3">
        <f t="shared" si="12"/>
        <v>262395.85450111766</v>
      </c>
      <c r="K521" s="3">
        <f t="shared" si="13"/>
        <v>42415</v>
      </c>
      <c r="L521" s="3" t="e">
        <f t="shared" si="14"/>
        <v>#N/A</v>
      </c>
      <c r="M521" s="3" t="e">
        <f t="shared" si="15"/>
        <v>#N/A</v>
      </c>
      <c r="N521" s="3" t="e">
        <f t="shared" si="16"/>
        <v>#N/A</v>
      </c>
      <c r="O521" s="3" t="e">
        <f t="shared" si="17"/>
        <v>#N/A</v>
      </c>
    </row>
    <row r="522" spans="1:15" ht="14.25" customHeight="1">
      <c r="A522" s="2" t="s">
        <v>39</v>
      </c>
      <c r="B522" s="2">
        <v>1973</v>
      </c>
      <c r="C522" s="2" t="s">
        <v>42</v>
      </c>
      <c r="D522" s="2">
        <v>4221</v>
      </c>
      <c r="E522" s="2">
        <v>10645</v>
      </c>
      <c r="J522" s="3">
        <f t="shared" si="12"/>
        <v>214438.12233285917</v>
      </c>
      <c r="K522" s="3">
        <f t="shared" si="13"/>
        <v>10645</v>
      </c>
      <c r="L522" s="3" t="e">
        <f t="shared" si="14"/>
        <v>#N/A</v>
      </c>
      <c r="M522" s="3" t="e">
        <f t="shared" si="15"/>
        <v>#N/A</v>
      </c>
      <c r="N522" s="3" t="e">
        <f t="shared" si="16"/>
        <v>#N/A</v>
      </c>
      <c r="O522" s="3" t="e">
        <f t="shared" si="17"/>
        <v>#N/A</v>
      </c>
    </row>
    <row r="523" spans="1:15" ht="14.25" customHeight="1">
      <c r="A523" s="2" t="s">
        <v>39</v>
      </c>
      <c r="B523" s="2">
        <v>1973</v>
      </c>
      <c r="C523" s="2" t="s">
        <v>37</v>
      </c>
      <c r="D523" s="2">
        <v>9386</v>
      </c>
      <c r="E523" s="2">
        <v>53060</v>
      </c>
      <c r="J523" s="3">
        <f t="shared" si="12"/>
        <v>476833.97683397681</v>
      </c>
      <c r="K523" s="3">
        <f t="shared" si="13"/>
        <v>53060</v>
      </c>
      <c r="L523" s="3" t="e">
        <f t="shared" si="14"/>
        <v>#N/A</v>
      </c>
      <c r="M523" s="3" t="e">
        <f t="shared" si="15"/>
        <v>#N/A</v>
      </c>
      <c r="N523" s="3" t="e">
        <f t="shared" si="16"/>
        <v>#N/A</v>
      </c>
      <c r="O523" s="3" t="e">
        <f t="shared" si="17"/>
        <v>#N/A</v>
      </c>
    </row>
    <row r="524" spans="1:15" ht="14.25" customHeight="1">
      <c r="A524" s="2" t="s">
        <v>39</v>
      </c>
      <c r="B524" s="2">
        <v>1973</v>
      </c>
      <c r="C524" s="2" t="s">
        <v>28</v>
      </c>
      <c r="D524" s="2">
        <v>473</v>
      </c>
      <c r="E524" s="2">
        <v>7772</v>
      </c>
      <c r="J524" s="3">
        <f t="shared" si="12"/>
        <v>24029.668766510869</v>
      </c>
      <c r="K524" s="3">
        <f t="shared" si="13"/>
        <v>7772</v>
      </c>
      <c r="L524" s="3" t="e">
        <f t="shared" si="14"/>
        <v>#N/A</v>
      </c>
      <c r="M524" s="3" t="e">
        <f t="shared" si="15"/>
        <v>#N/A</v>
      </c>
      <c r="N524" s="3" t="e">
        <f t="shared" si="16"/>
        <v>#N/A</v>
      </c>
      <c r="O524" s="3" t="e">
        <f t="shared" si="17"/>
        <v>#N/A</v>
      </c>
    </row>
    <row r="525" spans="1:15" ht="14.25" customHeight="1">
      <c r="A525" s="2" t="s">
        <v>39</v>
      </c>
      <c r="B525" s="2">
        <v>1973</v>
      </c>
      <c r="C525" s="2" t="s">
        <v>16</v>
      </c>
      <c r="D525" s="2">
        <v>9859</v>
      </c>
      <c r="E525" s="2">
        <v>60832</v>
      </c>
      <c r="J525" s="3">
        <f t="shared" si="12"/>
        <v>500863.64560048771</v>
      </c>
      <c r="K525" s="3">
        <f t="shared" si="13"/>
        <v>60832</v>
      </c>
      <c r="L525" s="3" t="e">
        <f t="shared" si="14"/>
        <v>#N/A</v>
      </c>
      <c r="M525" s="3" t="e">
        <f t="shared" si="15"/>
        <v>#N/A</v>
      </c>
      <c r="N525" s="3" t="e">
        <f t="shared" si="16"/>
        <v>#N/A</v>
      </c>
      <c r="O525" s="3" t="e">
        <f t="shared" si="17"/>
        <v>#N/A</v>
      </c>
    </row>
    <row r="526" spans="1:15" ht="14.25" customHeight="1">
      <c r="A526" s="2" t="s">
        <v>40</v>
      </c>
      <c r="B526" s="2">
        <v>1973</v>
      </c>
      <c r="C526" s="2" t="s">
        <v>22</v>
      </c>
      <c r="D526" s="2">
        <v>22</v>
      </c>
      <c r="E526" s="2">
        <v>159</v>
      </c>
      <c r="J526" s="3">
        <f t="shared" si="12"/>
        <v>1117.6590123958545</v>
      </c>
      <c r="K526" s="3">
        <f t="shared" si="13"/>
        <v>159</v>
      </c>
      <c r="L526" s="3" t="e">
        <f t="shared" si="14"/>
        <v>#N/A</v>
      </c>
      <c r="M526" s="3" t="e">
        <f t="shared" si="15"/>
        <v>#N/A</v>
      </c>
      <c r="N526" s="3" t="e">
        <f t="shared" si="16"/>
        <v>#N/A</v>
      </c>
      <c r="O526" s="3" t="e">
        <f t="shared" si="17"/>
        <v>#N/A</v>
      </c>
    </row>
    <row r="527" spans="1:15" ht="14.25" customHeight="1">
      <c r="A527" s="2" t="s">
        <v>40</v>
      </c>
      <c r="B527" s="2">
        <v>1973</v>
      </c>
      <c r="C527" s="2" t="s">
        <v>23</v>
      </c>
      <c r="D527" s="2">
        <v>1</v>
      </c>
      <c r="E527" s="2">
        <v>9</v>
      </c>
      <c r="J527" s="3">
        <f t="shared" si="12"/>
        <v>50.802682381629751</v>
      </c>
      <c r="K527" s="3">
        <f t="shared" si="13"/>
        <v>9</v>
      </c>
      <c r="L527" s="3" t="e">
        <f t="shared" si="14"/>
        <v>#N/A</v>
      </c>
      <c r="M527" s="3" t="e">
        <f t="shared" si="15"/>
        <v>#N/A</v>
      </c>
      <c r="N527" s="3" t="e">
        <f t="shared" si="16"/>
        <v>#N/A</v>
      </c>
      <c r="O527" s="3" t="e">
        <f t="shared" si="17"/>
        <v>#N/A</v>
      </c>
    </row>
    <row r="528" spans="1:15" ht="14.25" customHeight="1">
      <c r="A528" s="2" t="s">
        <v>40</v>
      </c>
      <c r="B528" s="2">
        <v>1973</v>
      </c>
      <c r="C528" s="2" t="s">
        <v>25</v>
      </c>
      <c r="D528" s="2">
        <v>3</v>
      </c>
      <c r="E528" s="2">
        <v>17</v>
      </c>
      <c r="J528" s="3">
        <f t="shared" si="12"/>
        <v>152.40804714488922</v>
      </c>
      <c r="K528" s="3">
        <f t="shared" si="13"/>
        <v>17</v>
      </c>
      <c r="L528" s="3" t="e">
        <f t="shared" si="14"/>
        <v>#N/A</v>
      </c>
      <c r="M528" s="3" t="e">
        <f t="shared" si="15"/>
        <v>#N/A</v>
      </c>
      <c r="N528" s="3" t="e">
        <f t="shared" si="16"/>
        <v>#N/A</v>
      </c>
      <c r="O528" s="3" t="e">
        <f t="shared" si="17"/>
        <v>#N/A</v>
      </c>
    </row>
    <row r="529" spans="1:15" ht="14.25" customHeight="1">
      <c r="A529" s="2" t="s">
        <v>40</v>
      </c>
      <c r="B529" s="2">
        <v>1973</v>
      </c>
      <c r="C529" s="2" t="s">
        <v>38</v>
      </c>
      <c r="D529" s="2">
        <v>10</v>
      </c>
      <c r="E529" s="2">
        <v>25</v>
      </c>
      <c r="J529" s="3">
        <f t="shared" si="12"/>
        <v>508.02682381629751</v>
      </c>
      <c r="K529" s="3">
        <f t="shared" si="13"/>
        <v>25</v>
      </c>
      <c r="L529" s="3" t="e">
        <f t="shared" si="14"/>
        <v>#N/A</v>
      </c>
      <c r="M529" s="3" t="e">
        <f t="shared" si="15"/>
        <v>#N/A</v>
      </c>
      <c r="N529" s="3" t="e">
        <f t="shared" si="16"/>
        <v>#N/A</v>
      </c>
      <c r="O529" s="3" t="e">
        <f t="shared" si="17"/>
        <v>#N/A</v>
      </c>
    </row>
    <row r="530" spans="1:15" ht="14.25" customHeight="1">
      <c r="A530" s="2" t="s">
        <v>40</v>
      </c>
      <c r="B530" s="2">
        <v>1973</v>
      </c>
      <c r="C530" s="2" t="s">
        <v>24</v>
      </c>
      <c r="D530" s="2">
        <v>43</v>
      </c>
      <c r="E530" s="2">
        <v>181</v>
      </c>
      <c r="J530" s="3">
        <f t="shared" si="12"/>
        <v>2184.515342410079</v>
      </c>
      <c r="K530" s="3">
        <f t="shared" si="13"/>
        <v>181</v>
      </c>
      <c r="L530" s="3" t="e">
        <f t="shared" si="14"/>
        <v>#N/A</v>
      </c>
      <c r="M530" s="3" t="e">
        <f t="shared" si="15"/>
        <v>#N/A</v>
      </c>
      <c r="N530" s="3" t="e">
        <f t="shared" si="16"/>
        <v>#N/A</v>
      </c>
      <c r="O530" s="3" t="e">
        <f t="shared" si="17"/>
        <v>#N/A</v>
      </c>
    </row>
    <row r="531" spans="1:15" ht="14.25" customHeight="1">
      <c r="A531" s="2" t="s">
        <v>40</v>
      </c>
      <c r="B531" s="2">
        <v>1973</v>
      </c>
      <c r="C531" s="2" t="s">
        <v>19</v>
      </c>
      <c r="D531" s="2">
        <v>114</v>
      </c>
      <c r="E531" s="2">
        <v>412</v>
      </c>
      <c r="J531" s="3">
        <f t="shared" si="12"/>
        <v>5791.5057915057914</v>
      </c>
      <c r="K531" s="3">
        <f t="shared" si="13"/>
        <v>412</v>
      </c>
      <c r="L531" s="3" t="e">
        <f t="shared" si="14"/>
        <v>#N/A</v>
      </c>
      <c r="M531" s="3" t="e">
        <f t="shared" si="15"/>
        <v>#N/A</v>
      </c>
      <c r="N531" s="3" t="e">
        <f t="shared" si="16"/>
        <v>#N/A</v>
      </c>
      <c r="O531" s="3" t="e">
        <f t="shared" si="17"/>
        <v>#N/A</v>
      </c>
    </row>
    <row r="532" spans="1:15" ht="14.25" customHeight="1">
      <c r="A532" s="2" t="s">
        <v>40</v>
      </c>
      <c r="B532" s="2">
        <v>1973</v>
      </c>
      <c r="C532" s="2" t="s">
        <v>21</v>
      </c>
      <c r="D532" s="2">
        <v>0</v>
      </c>
      <c r="E532" s="2">
        <v>0</v>
      </c>
      <c r="J532" s="3">
        <f t="shared" si="12"/>
        <v>0</v>
      </c>
      <c r="K532" s="3">
        <f t="shared" si="13"/>
        <v>0</v>
      </c>
      <c r="L532" s="3" t="e">
        <f t="shared" si="14"/>
        <v>#N/A</v>
      </c>
      <c r="M532" s="3" t="e">
        <f t="shared" si="15"/>
        <v>#N/A</v>
      </c>
      <c r="N532" s="3" t="e">
        <f t="shared" si="16"/>
        <v>#N/A</v>
      </c>
      <c r="O532" s="3" t="e">
        <f t="shared" si="17"/>
        <v>#N/A</v>
      </c>
    </row>
    <row r="533" spans="1:15" ht="14.25" customHeight="1">
      <c r="A533" s="2" t="s">
        <v>40</v>
      </c>
      <c r="B533" s="2">
        <v>1973</v>
      </c>
      <c r="C533" s="2" t="s">
        <v>36</v>
      </c>
      <c r="D533" s="2">
        <v>0</v>
      </c>
      <c r="E533" s="2">
        <v>0</v>
      </c>
      <c r="J533" s="3">
        <f t="shared" si="12"/>
        <v>0</v>
      </c>
      <c r="K533" s="3">
        <f t="shared" si="13"/>
        <v>0</v>
      </c>
      <c r="L533" s="3" t="e">
        <f t="shared" si="14"/>
        <v>#N/A</v>
      </c>
      <c r="M533" s="3" t="e">
        <f t="shared" si="15"/>
        <v>#N/A</v>
      </c>
      <c r="N533" s="3" t="e">
        <f t="shared" si="16"/>
        <v>#N/A</v>
      </c>
      <c r="O533" s="3" t="e">
        <f t="shared" si="17"/>
        <v>#N/A</v>
      </c>
    </row>
    <row r="534" spans="1:15" ht="14.25" customHeight="1">
      <c r="A534" s="2" t="s">
        <v>40</v>
      </c>
      <c r="B534" s="2">
        <v>1973</v>
      </c>
      <c r="C534" s="2" t="s">
        <v>34</v>
      </c>
      <c r="D534" s="2">
        <v>0</v>
      </c>
      <c r="E534" s="2">
        <v>28</v>
      </c>
      <c r="J534" s="3">
        <f t="shared" si="12"/>
        <v>0</v>
      </c>
      <c r="K534" s="3">
        <f t="shared" si="13"/>
        <v>28</v>
      </c>
      <c r="L534" s="3" t="e">
        <f t="shared" si="14"/>
        <v>#N/A</v>
      </c>
      <c r="M534" s="3" t="e">
        <f t="shared" si="15"/>
        <v>#N/A</v>
      </c>
      <c r="N534" s="3" t="e">
        <f t="shared" si="16"/>
        <v>#N/A</v>
      </c>
      <c r="O534" s="3" t="e">
        <f t="shared" si="17"/>
        <v>#N/A</v>
      </c>
    </row>
    <row r="535" spans="1:15" ht="14.25" customHeight="1">
      <c r="A535" s="2" t="s">
        <v>40</v>
      </c>
      <c r="B535" s="2">
        <v>1973</v>
      </c>
      <c r="C535" s="2" t="s">
        <v>35</v>
      </c>
      <c r="D535" s="2">
        <v>72</v>
      </c>
      <c r="E535" s="2">
        <v>855</v>
      </c>
      <c r="J535" s="3">
        <f t="shared" si="12"/>
        <v>3657.7931314773418</v>
      </c>
      <c r="K535" s="3">
        <f t="shared" si="13"/>
        <v>855</v>
      </c>
      <c r="L535" s="3" t="e">
        <f t="shared" si="14"/>
        <v>#N/A</v>
      </c>
      <c r="M535" s="3" t="e">
        <f t="shared" si="15"/>
        <v>#N/A</v>
      </c>
      <c r="N535" s="3" t="e">
        <f t="shared" si="16"/>
        <v>#N/A</v>
      </c>
      <c r="O535" s="3" t="e">
        <f t="shared" si="17"/>
        <v>#N/A</v>
      </c>
    </row>
    <row r="536" spans="1:15" ht="14.25" customHeight="1">
      <c r="A536" s="2" t="s">
        <v>40</v>
      </c>
      <c r="B536" s="2">
        <v>1973</v>
      </c>
      <c r="C536" s="2" t="s">
        <v>30</v>
      </c>
      <c r="D536" s="2">
        <v>0</v>
      </c>
      <c r="E536" s="2">
        <v>0</v>
      </c>
      <c r="J536" s="3">
        <f t="shared" si="12"/>
        <v>0</v>
      </c>
      <c r="K536" s="3">
        <f t="shared" si="13"/>
        <v>0</v>
      </c>
      <c r="L536" s="3" t="e">
        <f t="shared" si="14"/>
        <v>#N/A</v>
      </c>
      <c r="M536" s="3" t="e">
        <f t="shared" si="15"/>
        <v>#N/A</v>
      </c>
      <c r="N536" s="3" t="e">
        <f t="shared" si="16"/>
        <v>#N/A</v>
      </c>
      <c r="O536" s="3" t="e">
        <f t="shared" si="17"/>
        <v>#N/A</v>
      </c>
    </row>
    <row r="537" spans="1:15" ht="14.25" customHeight="1">
      <c r="A537" s="2" t="s">
        <v>40</v>
      </c>
      <c r="B537" s="2">
        <v>1973</v>
      </c>
      <c r="C537" s="2" t="s">
        <v>41</v>
      </c>
      <c r="D537" s="2">
        <v>96</v>
      </c>
      <c r="E537" s="2">
        <v>471</v>
      </c>
      <c r="J537" s="3">
        <f t="shared" si="12"/>
        <v>4877.0575086364552</v>
      </c>
      <c r="K537" s="3">
        <f t="shared" si="13"/>
        <v>471</v>
      </c>
      <c r="L537" s="3" t="e">
        <f t="shared" si="14"/>
        <v>#N/A</v>
      </c>
      <c r="M537" s="3" t="e">
        <f t="shared" si="15"/>
        <v>#N/A</v>
      </c>
      <c r="N537" s="3" t="e">
        <f t="shared" si="16"/>
        <v>#N/A</v>
      </c>
      <c r="O537" s="3" t="e">
        <f t="shared" si="17"/>
        <v>#N/A</v>
      </c>
    </row>
    <row r="538" spans="1:15" ht="14.25" customHeight="1">
      <c r="A538" s="2" t="s">
        <v>40</v>
      </c>
      <c r="B538" s="2">
        <v>1973</v>
      </c>
      <c r="C538" s="2" t="s">
        <v>42</v>
      </c>
      <c r="D538" s="2">
        <v>116</v>
      </c>
      <c r="E538" s="2">
        <v>415</v>
      </c>
      <c r="J538" s="3">
        <f t="shared" si="12"/>
        <v>5893.1111562690503</v>
      </c>
      <c r="K538" s="3">
        <f t="shared" si="13"/>
        <v>415</v>
      </c>
      <c r="L538" s="3" t="e">
        <f t="shared" si="14"/>
        <v>#N/A</v>
      </c>
      <c r="M538" s="3" t="e">
        <f t="shared" si="15"/>
        <v>#N/A</v>
      </c>
      <c r="N538" s="3" t="e">
        <f t="shared" si="16"/>
        <v>#N/A</v>
      </c>
      <c r="O538" s="3" t="e">
        <f t="shared" si="17"/>
        <v>#N/A</v>
      </c>
    </row>
    <row r="539" spans="1:15" ht="14.25" customHeight="1">
      <c r="A539" s="2" t="s">
        <v>40</v>
      </c>
      <c r="B539" s="2">
        <v>1973</v>
      </c>
      <c r="C539" s="2" t="s">
        <v>37</v>
      </c>
      <c r="D539" s="2">
        <v>212</v>
      </c>
      <c r="E539" s="2">
        <v>886</v>
      </c>
      <c r="J539" s="3">
        <f t="shared" si="12"/>
        <v>10770.168664905506</v>
      </c>
      <c r="K539" s="3">
        <f t="shared" si="13"/>
        <v>886</v>
      </c>
      <c r="L539" s="3" t="e">
        <f t="shared" si="14"/>
        <v>#N/A</v>
      </c>
      <c r="M539" s="3" t="e">
        <f t="shared" si="15"/>
        <v>#N/A</v>
      </c>
      <c r="N539" s="3" t="e">
        <f t="shared" si="16"/>
        <v>#N/A</v>
      </c>
      <c r="O539" s="3" t="e">
        <f t="shared" si="17"/>
        <v>#N/A</v>
      </c>
    </row>
    <row r="540" spans="1:15" ht="14.25" customHeight="1">
      <c r="A540" s="2" t="s">
        <v>40</v>
      </c>
      <c r="B540" s="2">
        <v>1973</v>
      </c>
      <c r="C540" s="2" t="s">
        <v>28</v>
      </c>
      <c r="D540" s="2">
        <v>89</v>
      </c>
      <c r="E540" s="2">
        <v>982</v>
      </c>
      <c r="J540" s="3">
        <f t="shared" si="12"/>
        <v>4521.4387319650477</v>
      </c>
      <c r="K540" s="3">
        <f t="shared" si="13"/>
        <v>982</v>
      </c>
      <c r="L540" s="3" t="e">
        <f t="shared" si="14"/>
        <v>#N/A</v>
      </c>
      <c r="M540" s="3" t="e">
        <f t="shared" si="15"/>
        <v>#N/A</v>
      </c>
      <c r="N540" s="3" t="e">
        <f t="shared" si="16"/>
        <v>#N/A</v>
      </c>
      <c r="O540" s="3" t="e">
        <f t="shared" si="17"/>
        <v>#N/A</v>
      </c>
    </row>
    <row r="541" spans="1:15" ht="14.25" customHeight="1">
      <c r="A541" s="2" t="s">
        <v>40</v>
      </c>
      <c r="B541" s="2">
        <v>1973</v>
      </c>
      <c r="C541" s="2" t="s">
        <v>16</v>
      </c>
      <c r="D541" s="2">
        <v>301</v>
      </c>
      <c r="E541" s="2">
        <v>1868</v>
      </c>
      <c r="J541" s="3">
        <f t="shared" si="12"/>
        <v>15291.607396870553</v>
      </c>
      <c r="K541" s="3">
        <f t="shared" si="13"/>
        <v>1868</v>
      </c>
      <c r="L541" s="3" t="e">
        <f t="shared" si="14"/>
        <v>#N/A</v>
      </c>
      <c r="M541" s="3" t="e">
        <f t="shared" si="15"/>
        <v>#N/A</v>
      </c>
      <c r="N541" s="3" t="e">
        <f t="shared" si="16"/>
        <v>#N/A</v>
      </c>
      <c r="O541" s="3" t="e">
        <f t="shared" si="17"/>
        <v>#N/A</v>
      </c>
    </row>
    <row r="542" spans="1:15" ht="14.25" customHeight="1">
      <c r="A542" s="2" t="s">
        <v>15</v>
      </c>
      <c r="B542" s="2">
        <v>1973</v>
      </c>
      <c r="C542" s="2" t="s">
        <v>22</v>
      </c>
      <c r="D542" s="2">
        <v>5388</v>
      </c>
      <c r="E542" s="2">
        <v>64883</v>
      </c>
      <c r="H542" s="2">
        <f>179+24+471+52+1</f>
        <v>727</v>
      </c>
      <c r="I542" s="2">
        <f>2063+793+12354+614+31</f>
        <v>15855</v>
      </c>
      <c r="J542" s="3">
        <f t="shared" si="12"/>
        <v>273724.85267222108</v>
      </c>
      <c r="K542" s="3">
        <f t="shared" si="13"/>
        <v>64883</v>
      </c>
      <c r="L542" s="3" t="e">
        <f t="shared" si="14"/>
        <v>#N/A</v>
      </c>
      <c r="M542" s="3" t="e">
        <f t="shared" si="15"/>
        <v>#N/A</v>
      </c>
      <c r="N542" s="3">
        <f t="shared" si="16"/>
        <v>36933.550091444828</v>
      </c>
      <c r="O542" s="3">
        <f t="shared" si="17"/>
        <v>15855</v>
      </c>
    </row>
    <row r="543" spans="1:15" ht="14.25" customHeight="1">
      <c r="A543" s="2" t="s">
        <v>15</v>
      </c>
      <c r="B543" s="2">
        <v>1973</v>
      </c>
      <c r="C543" s="2" t="s">
        <v>23</v>
      </c>
      <c r="D543" s="2">
        <v>2943</v>
      </c>
      <c r="E543" s="2">
        <v>27503</v>
      </c>
      <c r="H543" s="2">
        <f>58+9+154+12</f>
        <v>233</v>
      </c>
      <c r="I543" s="2">
        <f>552+348+4613+162</f>
        <v>5675</v>
      </c>
      <c r="J543" s="3">
        <f t="shared" si="12"/>
        <v>149512.29424913635</v>
      </c>
      <c r="K543" s="3">
        <f t="shared" si="13"/>
        <v>27503</v>
      </c>
      <c r="L543" s="3" t="e">
        <f t="shared" si="14"/>
        <v>#N/A</v>
      </c>
      <c r="M543" s="3" t="e">
        <f t="shared" si="15"/>
        <v>#N/A</v>
      </c>
      <c r="N543" s="3">
        <f t="shared" si="16"/>
        <v>11837.024994919731</v>
      </c>
      <c r="O543" s="3">
        <f t="shared" si="17"/>
        <v>5675</v>
      </c>
    </row>
    <row r="544" spans="1:15" ht="14.25" customHeight="1">
      <c r="A544" s="2" t="s">
        <v>15</v>
      </c>
      <c r="B544" s="2">
        <v>1973</v>
      </c>
      <c r="C544" s="2" t="s">
        <v>25</v>
      </c>
      <c r="D544" s="2">
        <v>746</v>
      </c>
      <c r="E544" s="2">
        <v>9709</v>
      </c>
      <c r="H544" s="2">
        <f>6+262+12+68+26</f>
        <v>374</v>
      </c>
      <c r="I544" s="2">
        <f>107+3206+479+2553+395</f>
        <v>6740</v>
      </c>
      <c r="J544" s="3">
        <f t="shared" si="12"/>
        <v>37898.801056695789</v>
      </c>
      <c r="K544" s="3">
        <f t="shared" si="13"/>
        <v>9709</v>
      </c>
      <c r="L544" s="3" t="e">
        <f t="shared" si="14"/>
        <v>#N/A</v>
      </c>
      <c r="M544" s="3" t="e">
        <f t="shared" si="15"/>
        <v>#N/A</v>
      </c>
      <c r="N544" s="3">
        <f t="shared" si="16"/>
        <v>19000.203210729527</v>
      </c>
      <c r="O544" s="3">
        <f t="shared" si="17"/>
        <v>6740</v>
      </c>
    </row>
    <row r="545" spans="1:15" ht="14.25" customHeight="1">
      <c r="A545" s="2" t="s">
        <v>15</v>
      </c>
      <c r="B545" s="2">
        <v>1973</v>
      </c>
      <c r="C545" s="2" t="s">
        <v>38</v>
      </c>
      <c r="D545" s="2">
        <v>1110</v>
      </c>
      <c r="E545" s="2">
        <v>5087</v>
      </c>
      <c r="J545" s="3">
        <f t="shared" si="12"/>
        <v>56390.977443609016</v>
      </c>
      <c r="K545" s="3">
        <f t="shared" si="13"/>
        <v>5087</v>
      </c>
      <c r="L545" s="3" t="e">
        <f t="shared" si="14"/>
        <v>#N/A</v>
      </c>
      <c r="M545" s="3" t="e">
        <f t="shared" si="15"/>
        <v>#N/A</v>
      </c>
      <c r="N545" s="3" t="e">
        <f t="shared" si="16"/>
        <v>#N/A</v>
      </c>
      <c r="O545" s="3" t="e">
        <f t="shared" si="17"/>
        <v>#N/A</v>
      </c>
    </row>
    <row r="546" spans="1:15" ht="14.25" customHeight="1">
      <c r="A546" s="2" t="s">
        <v>15</v>
      </c>
      <c r="B546" s="2">
        <v>1973</v>
      </c>
      <c r="C546" s="2" t="s">
        <v>24</v>
      </c>
      <c r="D546" s="2">
        <v>706</v>
      </c>
      <c r="E546" s="2">
        <v>4823</v>
      </c>
      <c r="J546" s="3">
        <f t="shared" si="12"/>
        <v>35866.693761430601</v>
      </c>
      <c r="K546" s="3">
        <f t="shared" si="13"/>
        <v>4823</v>
      </c>
      <c r="L546" s="3" t="e">
        <f t="shared" si="14"/>
        <v>#N/A</v>
      </c>
      <c r="M546" s="3" t="e">
        <f t="shared" si="15"/>
        <v>#N/A</v>
      </c>
      <c r="N546" s="3" t="e">
        <f t="shared" si="16"/>
        <v>#N/A</v>
      </c>
      <c r="O546" s="3" t="e">
        <f t="shared" si="17"/>
        <v>#N/A</v>
      </c>
    </row>
    <row r="547" spans="1:15" ht="14.25" customHeight="1">
      <c r="A547" s="2" t="s">
        <v>15</v>
      </c>
      <c r="B547" s="2">
        <v>1973</v>
      </c>
      <c r="C547" s="2" t="s">
        <v>19</v>
      </c>
      <c r="D547" s="2">
        <v>3087</v>
      </c>
      <c r="E547" s="2">
        <v>9469</v>
      </c>
      <c r="H547" s="2">
        <f>178+55+15+15</f>
        <v>263</v>
      </c>
      <c r="I547" s="2">
        <f>505+237+59+402</f>
        <v>1203</v>
      </c>
      <c r="J547" s="3">
        <f t="shared" si="12"/>
        <v>156827.88051209104</v>
      </c>
      <c r="K547" s="3">
        <f t="shared" si="13"/>
        <v>9469</v>
      </c>
      <c r="L547" s="3" t="e">
        <f t="shared" si="14"/>
        <v>#N/A</v>
      </c>
      <c r="M547" s="3" t="e">
        <f t="shared" si="15"/>
        <v>#N/A</v>
      </c>
      <c r="N547" s="3">
        <f t="shared" si="16"/>
        <v>13361.105466368625</v>
      </c>
      <c r="O547" s="3">
        <f t="shared" si="17"/>
        <v>1203</v>
      </c>
    </row>
    <row r="548" spans="1:15" ht="14.25" customHeight="1">
      <c r="A548" s="2" t="s">
        <v>15</v>
      </c>
      <c r="B548" s="2">
        <v>1973</v>
      </c>
      <c r="C548" s="2" t="s">
        <v>21</v>
      </c>
      <c r="D548" s="2">
        <v>1919</v>
      </c>
      <c r="E548" s="2">
        <v>2416</v>
      </c>
      <c r="J548" s="3">
        <f t="shared" si="12"/>
        <v>97490.347490347485</v>
      </c>
      <c r="K548" s="3">
        <f t="shared" si="13"/>
        <v>2416</v>
      </c>
      <c r="L548" s="3" t="e">
        <f t="shared" si="14"/>
        <v>#N/A</v>
      </c>
      <c r="M548" s="3" t="e">
        <f t="shared" si="15"/>
        <v>#N/A</v>
      </c>
      <c r="N548" s="3" t="e">
        <f t="shared" si="16"/>
        <v>#N/A</v>
      </c>
      <c r="O548" s="3" t="e">
        <f t="shared" si="17"/>
        <v>#N/A</v>
      </c>
    </row>
    <row r="549" spans="1:15" ht="14.25" customHeight="1">
      <c r="A549" s="2" t="s">
        <v>15</v>
      </c>
      <c r="B549" s="2">
        <v>1973</v>
      </c>
      <c r="C549" s="2" t="s">
        <v>36</v>
      </c>
      <c r="D549" s="2">
        <v>139</v>
      </c>
      <c r="E549" s="2">
        <v>1041</v>
      </c>
      <c r="H549" s="2">
        <v>6</v>
      </c>
      <c r="I549" s="2">
        <v>597</v>
      </c>
      <c r="J549" s="3">
        <f t="shared" si="12"/>
        <v>7061.5728510465342</v>
      </c>
      <c r="K549" s="3">
        <f t="shared" si="13"/>
        <v>1041</v>
      </c>
      <c r="L549" s="3" t="e">
        <f t="shared" si="14"/>
        <v>#N/A</v>
      </c>
      <c r="M549" s="3" t="e">
        <f t="shared" si="15"/>
        <v>#N/A</v>
      </c>
      <c r="N549" s="3">
        <f t="shared" si="16"/>
        <v>304.81609428977845</v>
      </c>
      <c r="O549" s="3">
        <f t="shared" si="17"/>
        <v>597</v>
      </c>
    </row>
    <row r="550" spans="1:15" ht="14.25" customHeight="1">
      <c r="A550" s="2" t="s">
        <v>15</v>
      </c>
      <c r="B550" s="2">
        <v>1973</v>
      </c>
      <c r="C550" s="2" t="s">
        <v>34</v>
      </c>
      <c r="D550" s="2">
        <v>20</v>
      </c>
      <c r="E550" s="2">
        <v>2070</v>
      </c>
      <c r="J550" s="3">
        <f t="shared" si="12"/>
        <v>1016.053647632595</v>
      </c>
      <c r="K550" s="3">
        <f t="shared" si="13"/>
        <v>2070</v>
      </c>
      <c r="L550" s="3" t="e">
        <f t="shared" si="14"/>
        <v>#N/A</v>
      </c>
      <c r="M550" s="3" t="e">
        <f t="shared" si="15"/>
        <v>#N/A</v>
      </c>
      <c r="N550" s="3" t="e">
        <f t="shared" si="16"/>
        <v>#N/A</v>
      </c>
      <c r="O550" s="3" t="e">
        <f t="shared" si="17"/>
        <v>#N/A</v>
      </c>
    </row>
    <row r="551" spans="1:15" ht="14.25" customHeight="1">
      <c r="A551" s="2" t="s">
        <v>15</v>
      </c>
      <c r="B551" s="2">
        <v>1973</v>
      </c>
      <c r="C551" s="2" t="s">
        <v>35</v>
      </c>
      <c r="D551" s="2">
        <v>280</v>
      </c>
      <c r="E551" s="2">
        <v>6275</v>
      </c>
      <c r="J551" s="3">
        <f t="shared" si="12"/>
        <v>14224.75106685633</v>
      </c>
      <c r="K551" s="3">
        <f t="shared" si="13"/>
        <v>6275</v>
      </c>
      <c r="L551" s="3" t="e">
        <f t="shared" si="14"/>
        <v>#N/A</v>
      </c>
      <c r="M551" s="3" t="e">
        <f t="shared" si="15"/>
        <v>#N/A</v>
      </c>
      <c r="N551" s="3" t="e">
        <f t="shared" si="16"/>
        <v>#N/A</v>
      </c>
      <c r="O551" s="3" t="e">
        <f t="shared" si="17"/>
        <v>#N/A</v>
      </c>
    </row>
    <row r="552" spans="1:15" ht="14.25" customHeight="1">
      <c r="A552" s="2" t="s">
        <v>15</v>
      </c>
      <c r="B552" s="2">
        <v>1973</v>
      </c>
      <c r="C552" s="2" t="s">
        <v>30</v>
      </c>
      <c r="D552" s="2">
        <v>29</v>
      </c>
      <c r="E552" s="2">
        <v>302</v>
      </c>
      <c r="H552" s="2">
        <f>28+61+22+34</f>
        <v>145</v>
      </c>
      <c r="I552" s="2">
        <f>2028+3758+1339+1941</f>
        <v>9066</v>
      </c>
      <c r="J552" s="3">
        <f t="shared" si="12"/>
        <v>1473.2777890672626</v>
      </c>
      <c r="K552" s="3">
        <f t="shared" si="13"/>
        <v>302</v>
      </c>
      <c r="L552" s="3" t="e">
        <f t="shared" si="14"/>
        <v>#N/A</v>
      </c>
      <c r="M552" s="3" t="e">
        <f t="shared" si="15"/>
        <v>#N/A</v>
      </c>
      <c r="N552" s="3">
        <f t="shared" si="16"/>
        <v>7366.3889453363126</v>
      </c>
      <c r="O552" s="3">
        <f t="shared" si="17"/>
        <v>9066</v>
      </c>
    </row>
    <row r="553" spans="1:15" ht="14.25" customHeight="1">
      <c r="A553" s="2" t="s">
        <v>15</v>
      </c>
      <c r="B553" s="2">
        <v>1973</v>
      </c>
      <c r="C553" s="2" t="s">
        <v>41</v>
      </c>
      <c r="D553" s="2">
        <v>13048</v>
      </c>
      <c r="E553" s="2">
        <v>126203</v>
      </c>
      <c r="J553" s="3">
        <f t="shared" si="12"/>
        <v>662873.39971550484</v>
      </c>
      <c r="K553" s="3">
        <f t="shared" si="13"/>
        <v>126203</v>
      </c>
      <c r="L553" s="3" t="e">
        <f t="shared" si="14"/>
        <v>#N/A</v>
      </c>
      <c r="M553" s="3" t="e">
        <f t="shared" si="15"/>
        <v>#N/A</v>
      </c>
      <c r="N553" s="3" t="e">
        <f t="shared" si="16"/>
        <v>#N/A</v>
      </c>
      <c r="O553" s="3" t="e">
        <f t="shared" si="17"/>
        <v>#N/A</v>
      </c>
    </row>
    <row r="554" spans="1:15" ht="14.25" customHeight="1">
      <c r="A554" s="2" t="s">
        <v>15</v>
      </c>
      <c r="B554" s="2">
        <v>1973</v>
      </c>
      <c r="C554" s="2" t="s">
        <v>42</v>
      </c>
      <c r="D554" s="2">
        <v>5504</v>
      </c>
      <c r="E554" s="2">
        <v>13178</v>
      </c>
      <c r="J554" s="3">
        <f t="shared" si="12"/>
        <v>279617.96382849012</v>
      </c>
      <c r="K554" s="3">
        <f t="shared" si="13"/>
        <v>13178</v>
      </c>
      <c r="L554" s="3" t="e">
        <f t="shared" si="14"/>
        <v>#N/A</v>
      </c>
      <c r="M554" s="3" t="e">
        <f t="shared" si="15"/>
        <v>#N/A</v>
      </c>
      <c r="N554" s="3" t="e">
        <f t="shared" si="16"/>
        <v>#N/A</v>
      </c>
      <c r="O554" s="3" t="e">
        <f t="shared" si="17"/>
        <v>#N/A</v>
      </c>
    </row>
    <row r="555" spans="1:15" ht="14.25" customHeight="1">
      <c r="A555" s="2" t="s">
        <v>15</v>
      </c>
      <c r="B555" s="2">
        <v>1973</v>
      </c>
      <c r="C555" s="2" t="s">
        <v>37</v>
      </c>
      <c r="D555" s="2">
        <v>18552</v>
      </c>
      <c r="E555" s="2">
        <v>139381</v>
      </c>
      <c r="F555" s="2">
        <v>3086</v>
      </c>
      <c r="G555" s="2">
        <v>32766</v>
      </c>
      <c r="H555" s="2">
        <v>3710</v>
      </c>
      <c r="I555" s="2">
        <v>106099</v>
      </c>
      <c r="J555" s="3">
        <f t="shared" si="12"/>
        <v>942491.36354399507</v>
      </c>
      <c r="K555" s="3">
        <f t="shared" si="13"/>
        <v>139381</v>
      </c>
      <c r="L555" s="3">
        <f t="shared" si="14"/>
        <v>156777.07782970942</v>
      </c>
      <c r="M555" s="3">
        <f t="shared" si="15"/>
        <v>32766</v>
      </c>
      <c r="N555" s="3">
        <f t="shared" si="16"/>
        <v>188477.95163584634</v>
      </c>
      <c r="O555" s="3">
        <f t="shared" si="17"/>
        <v>106099</v>
      </c>
    </row>
    <row r="556" spans="1:15" ht="14.25" customHeight="1">
      <c r="A556" s="2" t="s">
        <v>15</v>
      </c>
      <c r="B556" s="2">
        <v>1973</v>
      </c>
      <c r="C556" s="2" t="s">
        <v>28</v>
      </c>
      <c r="D556" s="2">
        <v>1395</v>
      </c>
      <c r="E556" s="2">
        <v>12853</v>
      </c>
      <c r="F556" s="2">
        <v>242</v>
      </c>
      <c r="G556" s="2">
        <v>10356</v>
      </c>
      <c r="H556" s="2">
        <v>418</v>
      </c>
      <c r="I556" s="2">
        <v>24539</v>
      </c>
      <c r="J556" s="3">
        <f t="shared" si="12"/>
        <v>70869.741922373491</v>
      </c>
      <c r="K556" s="3">
        <f t="shared" si="13"/>
        <v>12853</v>
      </c>
      <c r="L556" s="3">
        <f t="shared" si="14"/>
        <v>12294.2491363544</v>
      </c>
      <c r="M556" s="3">
        <f t="shared" si="15"/>
        <v>10356</v>
      </c>
      <c r="N556" s="3">
        <f t="shared" si="16"/>
        <v>21235.521235521232</v>
      </c>
      <c r="O556" s="3">
        <f t="shared" si="17"/>
        <v>24539</v>
      </c>
    </row>
    <row r="557" spans="1:15" ht="14.25" customHeight="1">
      <c r="A557" s="2" t="s">
        <v>15</v>
      </c>
      <c r="B557" s="2">
        <v>1973</v>
      </c>
      <c r="C557" s="2" t="s">
        <v>16</v>
      </c>
      <c r="D557" s="2">
        <v>19947</v>
      </c>
      <c r="E557" s="2">
        <v>152234</v>
      </c>
      <c r="F557" s="2">
        <v>3329</v>
      </c>
      <c r="G557" s="2">
        <v>43123</v>
      </c>
      <c r="H557" s="2">
        <v>4128</v>
      </c>
      <c r="I557" s="2">
        <v>130638</v>
      </c>
      <c r="J557" s="3">
        <f t="shared" si="12"/>
        <v>1013361.1054663686</v>
      </c>
      <c r="K557" s="3">
        <f t="shared" si="13"/>
        <v>152234</v>
      </c>
      <c r="L557" s="3">
        <f t="shared" si="14"/>
        <v>169122.12964844544</v>
      </c>
      <c r="M557" s="3">
        <f t="shared" si="15"/>
        <v>43123</v>
      </c>
      <c r="N557" s="3">
        <f t="shared" si="16"/>
        <v>209713.47287136759</v>
      </c>
      <c r="O557" s="3">
        <f t="shared" si="17"/>
        <v>130638</v>
      </c>
    </row>
    <row r="558" spans="1:15" ht="14.25" customHeight="1">
      <c r="A558" s="2" t="s">
        <v>18</v>
      </c>
      <c r="B558" s="2">
        <v>1974</v>
      </c>
      <c r="C558" s="2" t="s">
        <v>22</v>
      </c>
      <c r="D558" s="2">
        <v>4286</v>
      </c>
      <c r="E558" s="2">
        <v>49262</v>
      </c>
      <c r="J558" s="3">
        <f t="shared" si="12"/>
        <v>217740.2966876651</v>
      </c>
      <c r="K558" s="3">
        <f t="shared" si="13"/>
        <v>49262</v>
      </c>
      <c r="L558" s="3" t="e">
        <f t="shared" si="14"/>
        <v>#N/A</v>
      </c>
      <c r="M558" s="3" t="e">
        <f t="shared" si="15"/>
        <v>#N/A</v>
      </c>
      <c r="N558" s="3" t="e">
        <f t="shared" si="16"/>
        <v>#N/A</v>
      </c>
      <c r="O558" s="3" t="e">
        <f t="shared" si="17"/>
        <v>#N/A</v>
      </c>
    </row>
    <row r="559" spans="1:15" ht="14.25" customHeight="1">
      <c r="A559" s="2" t="s">
        <v>18</v>
      </c>
      <c r="B559" s="2">
        <v>1974</v>
      </c>
      <c r="C559" s="2" t="s">
        <v>23</v>
      </c>
      <c r="D559" s="2">
        <v>918</v>
      </c>
      <c r="E559" s="2">
        <v>10913</v>
      </c>
      <c r="J559" s="3">
        <f t="shared" si="12"/>
        <v>46636.862426336105</v>
      </c>
      <c r="K559" s="3">
        <f t="shared" si="13"/>
        <v>10913</v>
      </c>
      <c r="L559" s="3" t="e">
        <f t="shared" si="14"/>
        <v>#N/A</v>
      </c>
      <c r="M559" s="3" t="e">
        <f t="shared" si="15"/>
        <v>#N/A</v>
      </c>
      <c r="N559" s="3" t="e">
        <f t="shared" si="16"/>
        <v>#N/A</v>
      </c>
      <c r="O559" s="3" t="e">
        <f t="shared" si="17"/>
        <v>#N/A</v>
      </c>
    </row>
    <row r="560" spans="1:15" ht="14.25" customHeight="1">
      <c r="A560" s="2" t="s">
        <v>18</v>
      </c>
      <c r="B560" s="2">
        <v>1974</v>
      </c>
      <c r="C560" s="2" t="s">
        <v>25</v>
      </c>
      <c r="D560" s="2">
        <v>485</v>
      </c>
      <c r="E560" s="2">
        <v>7446</v>
      </c>
      <c r="J560" s="3">
        <f t="shared" si="12"/>
        <v>24639.300955090428</v>
      </c>
      <c r="K560" s="3">
        <f t="shared" si="13"/>
        <v>7446</v>
      </c>
      <c r="L560" s="3" t="e">
        <f t="shared" si="14"/>
        <v>#N/A</v>
      </c>
      <c r="M560" s="3" t="e">
        <f t="shared" si="15"/>
        <v>#N/A</v>
      </c>
      <c r="N560" s="3" t="e">
        <f t="shared" si="16"/>
        <v>#N/A</v>
      </c>
      <c r="O560" s="3" t="e">
        <f t="shared" si="17"/>
        <v>#N/A</v>
      </c>
    </row>
    <row r="561" spans="1:15" ht="14.25" customHeight="1">
      <c r="A561" s="2" t="s">
        <v>18</v>
      </c>
      <c r="B561" s="2">
        <v>1974</v>
      </c>
      <c r="C561" s="2" t="s">
        <v>38</v>
      </c>
      <c r="D561" s="2">
        <v>380</v>
      </c>
      <c r="E561" s="2">
        <v>2570</v>
      </c>
      <c r="J561" s="3">
        <f t="shared" si="12"/>
        <v>19305.019305019305</v>
      </c>
      <c r="K561" s="3">
        <f t="shared" si="13"/>
        <v>2570</v>
      </c>
      <c r="L561" s="3" t="e">
        <f t="shared" si="14"/>
        <v>#N/A</v>
      </c>
      <c r="M561" s="3" t="e">
        <f t="shared" si="15"/>
        <v>#N/A</v>
      </c>
      <c r="N561" s="3" t="e">
        <f t="shared" si="16"/>
        <v>#N/A</v>
      </c>
      <c r="O561" s="3" t="e">
        <f t="shared" si="17"/>
        <v>#N/A</v>
      </c>
    </row>
    <row r="562" spans="1:15" ht="14.25" customHeight="1">
      <c r="A562" s="2" t="s">
        <v>18</v>
      </c>
      <c r="B562" s="2">
        <v>1974</v>
      </c>
      <c r="C562" s="2" t="s">
        <v>24</v>
      </c>
      <c r="D562" s="2">
        <v>125</v>
      </c>
      <c r="E562" s="2">
        <v>868</v>
      </c>
      <c r="J562" s="3">
        <f t="shared" si="12"/>
        <v>6350.3352977037184</v>
      </c>
      <c r="K562" s="3">
        <f t="shared" si="13"/>
        <v>868</v>
      </c>
      <c r="L562" s="3" t="e">
        <f t="shared" si="14"/>
        <v>#N/A</v>
      </c>
      <c r="M562" s="3" t="e">
        <f t="shared" si="15"/>
        <v>#N/A</v>
      </c>
      <c r="N562" s="3" t="e">
        <f t="shared" si="16"/>
        <v>#N/A</v>
      </c>
      <c r="O562" s="3" t="e">
        <f t="shared" si="17"/>
        <v>#N/A</v>
      </c>
    </row>
    <row r="563" spans="1:15" ht="14.25" customHeight="1">
      <c r="A563" s="2" t="s">
        <v>18</v>
      </c>
      <c r="B563" s="2">
        <v>1974</v>
      </c>
      <c r="C563" s="2" t="s">
        <v>19</v>
      </c>
      <c r="D563" s="2">
        <v>219</v>
      </c>
      <c r="E563" s="2">
        <v>918</v>
      </c>
      <c r="J563" s="3">
        <f t="shared" si="12"/>
        <v>11125.787441576915</v>
      </c>
      <c r="K563" s="3">
        <f t="shared" si="13"/>
        <v>918</v>
      </c>
      <c r="L563" s="3" t="e">
        <f t="shared" si="14"/>
        <v>#N/A</v>
      </c>
      <c r="M563" s="3" t="e">
        <f t="shared" si="15"/>
        <v>#N/A</v>
      </c>
      <c r="N563" s="3" t="e">
        <f t="shared" si="16"/>
        <v>#N/A</v>
      </c>
      <c r="O563" s="3" t="e">
        <f t="shared" si="17"/>
        <v>#N/A</v>
      </c>
    </row>
    <row r="564" spans="1:15" ht="14.25" customHeight="1">
      <c r="A564" s="2" t="s">
        <v>18</v>
      </c>
      <c r="B564" s="2">
        <v>1974</v>
      </c>
      <c r="C564" s="2" t="s">
        <v>20</v>
      </c>
      <c r="D564" s="2">
        <v>417</v>
      </c>
      <c r="E564" s="2">
        <v>1108</v>
      </c>
      <c r="J564" s="3">
        <f t="shared" si="12"/>
        <v>21184.718553139603</v>
      </c>
      <c r="K564" s="3">
        <f t="shared" si="13"/>
        <v>1108</v>
      </c>
      <c r="L564" s="3" t="e">
        <f t="shared" si="14"/>
        <v>#N/A</v>
      </c>
      <c r="M564" s="3" t="e">
        <f t="shared" si="15"/>
        <v>#N/A</v>
      </c>
      <c r="N564" s="3" t="e">
        <f t="shared" si="16"/>
        <v>#N/A</v>
      </c>
      <c r="O564" s="3" t="e">
        <f t="shared" si="17"/>
        <v>#N/A</v>
      </c>
    </row>
    <row r="565" spans="1:15" ht="14.25" customHeight="1">
      <c r="A565" s="2" t="s">
        <v>18</v>
      </c>
      <c r="B565" s="2">
        <v>1974</v>
      </c>
      <c r="C565" s="2" t="s">
        <v>21</v>
      </c>
      <c r="D565" s="2">
        <v>521</v>
      </c>
      <c r="E565" s="2">
        <v>922</v>
      </c>
      <c r="J565" s="3">
        <f t="shared" si="12"/>
        <v>26468.197520829097</v>
      </c>
      <c r="K565" s="3">
        <f t="shared" si="13"/>
        <v>922</v>
      </c>
      <c r="L565" s="3" t="e">
        <f t="shared" si="14"/>
        <v>#N/A</v>
      </c>
      <c r="M565" s="3" t="e">
        <f t="shared" si="15"/>
        <v>#N/A</v>
      </c>
      <c r="N565" s="3" t="e">
        <f t="shared" si="16"/>
        <v>#N/A</v>
      </c>
      <c r="O565" s="3" t="e">
        <f t="shared" si="17"/>
        <v>#N/A</v>
      </c>
    </row>
    <row r="566" spans="1:15" ht="14.25" customHeight="1">
      <c r="A566" s="2" t="s">
        <v>18</v>
      </c>
      <c r="B566" s="2">
        <v>1974</v>
      </c>
      <c r="C566" s="2" t="s">
        <v>37</v>
      </c>
      <c r="D566" s="2">
        <v>8574</v>
      </c>
      <c r="E566" s="2">
        <v>83756</v>
      </c>
      <c r="J566" s="3">
        <f t="shared" si="12"/>
        <v>435582.1987400935</v>
      </c>
      <c r="K566" s="3">
        <f t="shared" si="13"/>
        <v>83756</v>
      </c>
      <c r="L566" s="3" t="e">
        <f t="shared" si="14"/>
        <v>#N/A</v>
      </c>
      <c r="M566" s="3" t="e">
        <f t="shared" si="15"/>
        <v>#N/A</v>
      </c>
      <c r="N566" s="3" t="e">
        <f t="shared" si="16"/>
        <v>#N/A</v>
      </c>
      <c r="O566" s="3" t="e">
        <f t="shared" si="17"/>
        <v>#N/A</v>
      </c>
    </row>
    <row r="567" spans="1:15" ht="14.25" customHeight="1">
      <c r="A567" s="2" t="s">
        <v>18</v>
      </c>
      <c r="B567" s="2">
        <v>1974</v>
      </c>
      <c r="C567" s="2" t="s">
        <v>36</v>
      </c>
      <c r="D567" s="2">
        <v>71</v>
      </c>
      <c r="E567" s="2">
        <v>900</v>
      </c>
      <c r="J567" s="3">
        <f t="shared" si="12"/>
        <v>3606.9904490957119</v>
      </c>
      <c r="K567" s="3">
        <f t="shared" si="13"/>
        <v>900</v>
      </c>
      <c r="L567" s="3" t="e">
        <f t="shared" si="14"/>
        <v>#N/A</v>
      </c>
      <c r="M567" s="3" t="e">
        <f t="shared" si="15"/>
        <v>#N/A</v>
      </c>
      <c r="N567" s="3" t="e">
        <f t="shared" si="16"/>
        <v>#N/A</v>
      </c>
      <c r="O567" s="3" t="e">
        <f t="shared" si="17"/>
        <v>#N/A</v>
      </c>
    </row>
    <row r="568" spans="1:15" ht="14.25" customHeight="1">
      <c r="A568" s="2" t="s">
        <v>18</v>
      </c>
      <c r="B568" s="2">
        <v>1974</v>
      </c>
      <c r="C568" s="2" t="s">
        <v>34</v>
      </c>
      <c r="D568" s="2">
        <v>8</v>
      </c>
      <c r="E568" s="2">
        <v>832</v>
      </c>
      <c r="J568" s="3">
        <f t="shared" si="12"/>
        <v>406.42145905303801</v>
      </c>
      <c r="K568" s="3">
        <f t="shared" si="13"/>
        <v>832</v>
      </c>
      <c r="L568" s="3" t="e">
        <f t="shared" si="14"/>
        <v>#N/A</v>
      </c>
      <c r="M568" s="3" t="e">
        <f t="shared" si="15"/>
        <v>#N/A</v>
      </c>
      <c r="N568" s="3" t="e">
        <f t="shared" si="16"/>
        <v>#N/A</v>
      </c>
      <c r="O568" s="3" t="e">
        <f t="shared" si="17"/>
        <v>#N/A</v>
      </c>
    </row>
    <row r="569" spans="1:15" ht="14.25" customHeight="1">
      <c r="A569" s="2" t="s">
        <v>18</v>
      </c>
      <c r="B569" s="2">
        <v>1974</v>
      </c>
      <c r="C569" s="2" t="s">
        <v>35</v>
      </c>
      <c r="D569" s="2">
        <v>13</v>
      </c>
      <c r="E569" s="2">
        <v>324</v>
      </c>
      <c r="J569" s="3">
        <f t="shared" si="12"/>
        <v>660.43487096118668</v>
      </c>
      <c r="K569" s="3">
        <f t="shared" si="13"/>
        <v>324</v>
      </c>
      <c r="L569" s="3" t="e">
        <f t="shared" si="14"/>
        <v>#N/A</v>
      </c>
      <c r="M569" s="3" t="e">
        <f t="shared" si="15"/>
        <v>#N/A</v>
      </c>
      <c r="N569" s="3" t="e">
        <f t="shared" si="16"/>
        <v>#N/A</v>
      </c>
      <c r="O569" s="3" t="e">
        <f t="shared" si="17"/>
        <v>#N/A</v>
      </c>
    </row>
    <row r="570" spans="1:15" ht="14.25" customHeight="1">
      <c r="A570" s="2" t="s">
        <v>18</v>
      </c>
      <c r="B570" s="2">
        <v>1974</v>
      </c>
      <c r="C570" s="2" t="s">
        <v>30</v>
      </c>
      <c r="D570" s="2">
        <v>25</v>
      </c>
      <c r="E570" s="2">
        <v>330</v>
      </c>
      <c r="J570" s="3">
        <f t="shared" si="12"/>
        <v>1270.0670595407437</v>
      </c>
      <c r="K570" s="3">
        <f t="shared" si="13"/>
        <v>330</v>
      </c>
      <c r="L570" s="3" t="e">
        <f t="shared" si="14"/>
        <v>#N/A</v>
      </c>
      <c r="M570" s="3" t="e">
        <f t="shared" si="15"/>
        <v>#N/A</v>
      </c>
      <c r="N570" s="3" t="e">
        <f t="shared" si="16"/>
        <v>#N/A</v>
      </c>
      <c r="O570" s="3" t="e">
        <f t="shared" si="17"/>
        <v>#N/A</v>
      </c>
    </row>
    <row r="571" spans="1:15" ht="14.25" customHeight="1">
      <c r="A571" s="2" t="s">
        <v>18</v>
      </c>
      <c r="B571" s="2">
        <v>1974</v>
      </c>
      <c r="C571" s="2" t="s">
        <v>28</v>
      </c>
      <c r="D571" s="2">
        <v>820</v>
      </c>
      <c r="E571" s="2">
        <v>4099</v>
      </c>
      <c r="J571" s="3">
        <f t="shared" si="12"/>
        <v>41658.199552936392</v>
      </c>
      <c r="K571" s="3">
        <f t="shared" si="13"/>
        <v>4099</v>
      </c>
      <c r="L571" s="3" t="e">
        <f t="shared" si="14"/>
        <v>#N/A</v>
      </c>
      <c r="M571" s="3" t="e">
        <f t="shared" si="15"/>
        <v>#N/A</v>
      </c>
      <c r="N571" s="3" t="e">
        <f t="shared" si="16"/>
        <v>#N/A</v>
      </c>
      <c r="O571" s="3" t="e">
        <f t="shared" si="17"/>
        <v>#N/A</v>
      </c>
    </row>
    <row r="572" spans="1:15" ht="14.25" customHeight="1">
      <c r="A572" s="2" t="s">
        <v>18</v>
      </c>
      <c r="B572" s="2">
        <v>1974</v>
      </c>
      <c r="C572" s="2" t="s">
        <v>16</v>
      </c>
      <c r="D572" s="2">
        <v>9394</v>
      </c>
      <c r="E572" s="2">
        <v>87855</v>
      </c>
      <c r="J572" s="3">
        <f t="shared" si="12"/>
        <v>477240.39829302987</v>
      </c>
      <c r="K572" s="3">
        <f t="shared" si="13"/>
        <v>87855</v>
      </c>
      <c r="L572" s="3" t="e">
        <f t="shared" si="14"/>
        <v>#N/A</v>
      </c>
      <c r="M572" s="3" t="e">
        <f t="shared" si="15"/>
        <v>#N/A</v>
      </c>
      <c r="N572" s="3" t="e">
        <f t="shared" si="16"/>
        <v>#N/A</v>
      </c>
      <c r="O572" s="3" t="e">
        <f t="shared" si="17"/>
        <v>#N/A</v>
      </c>
    </row>
    <row r="573" spans="1:15" ht="14.25" customHeight="1">
      <c r="A573" s="2" t="s">
        <v>39</v>
      </c>
      <c r="B573" s="2">
        <v>1974</v>
      </c>
      <c r="C573" s="2" t="s">
        <v>22</v>
      </c>
      <c r="D573" s="2">
        <v>963</v>
      </c>
      <c r="E573" s="2">
        <v>12377</v>
      </c>
      <c r="J573" s="3">
        <f t="shared" si="12"/>
        <v>48922.98313350945</v>
      </c>
      <c r="K573" s="3">
        <f t="shared" si="13"/>
        <v>12377</v>
      </c>
      <c r="L573" s="3" t="e">
        <f t="shared" si="14"/>
        <v>#N/A</v>
      </c>
      <c r="M573" s="3" t="e">
        <f t="shared" si="15"/>
        <v>#N/A</v>
      </c>
      <c r="N573" s="3" t="e">
        <f t="shared" si="16"/>
        <v>#N/A</v>
      </c>
      <c r="O573" s="3" t="e">
        <f t="shared" si="17"/>
        <v>#N/A</v>
      </c>
    </row>
    <row r="574" spans="1:15" ht="14.25" customHeight="1">
      <c r="A574" s="2" t="s">
        <v>39</v>
      </c>
      <c r="B574" s="2">
        <v>1974</v>
      </c>
      <c r="C574" s="2" t="s">
        <v>23</v>
      </c>
      <c r="D574" s="2">
        <v>1565</v>
      </c>
      <c r="E574" s="2">
        <v>16304</v>
      </c>
      <c r="J574" s="3">
        <f t="shared" si="12"/>
        <v>79506.197927250556</v>
      </c>
      <c r="K574" s="3">
        <f t="shared" si="13"/>
        <v>16304</v>
      </c>
      <c r="L574" s="3" t="e">
        <f t="shared" si="14"/>
        <v>#N/A</v>
      </c>
      <c r="M574" s="3" t="e">
        <f t="shared" si="15"/>
        <v>#N/A</v>
      </c>
      <c r="N574" s="3" t="e">
        <f t="shared" si="16"/>
        <v>#N/A</v>
      </c>
      <c r="O574" s="3" t="e">
        <f t="shared" si="17"/>
        <v>#N/A</v>
      </c>
    </row>
    <row r="575" spans="1:15" ht="14.25" customHeight="1">
      <c r="A575" s="2" t="s">
        <v>39</v>
      </c>
      <c r="B575" s="2">
        <v>1974</v>
      </c>
      <c r="C575" s="2" t="s">
        <v>25</v>
      </c>
      <c r="D575" s="2">
        <v>86</v>
      </c>
      <c r="E575" s="2">
        <v>1156</v>
      </c>
      <c r="J575" s="3">
        <f t="shared" si="12"/>
        <v>4369.0306848201581</v>
      </c>
      <c r="K575" s="3">
        <f t="shared" si="13"/>
        <v>1156</v>
      </c>
      <c r="L575" s="3" t="e">
        <f t="shared" si="14"/>
        <v>#N/A</v>
      </c>
      <c r="M575" s="3" t="e">
        <f t="shared" si="15"/>
        <v>#N/A</v>
      </c>
      <c r="N575" s="3" t="e">
        <f t="shared" si="16"/>
        <v>#N/A</v>
      </c>
      <c r="O575" s="3" t="e">
        <f t="shared" si="17"/>
        <v>#N/A</v>
      </c>
    </row>
    <row r="576" spans="1:15" ht="14.25" customHeight="1">
      <c r="A576" s="2" t="s">
        <v>39</v>
      </c>
      <c r="B576" s="2">
        <v>1974</v>
      </c>
      <c r="C576" s="2" t="s">
        <v>38</v>
      </c>
      <c r="D576" s="2">
        <v>486</v>
      </c>
      <c r="E576" s="2">
        <v>3003</v>
      </c>
      <c r="J576" s="3">
        <f t="shared" si="12"/>
        <v>24690.103637472057</v>
      </c>
      <c r="K576" s="3">
        <f t="shared" si="13"/>
        <v>3003</v>
      </c>
      <c r="L576" s="3" t="e">
        <f t="shared" si="14"/>
        <v>#N/A</v>
      </c>
      <c r="M576" s="3" t="e">
        <f t="shared" si="15"/>
        <v>#N/A</v>
      </c>
      <c r="N576" s="3" t="e">
        <f t="shared" si="16"/>
        <v>#N/A</v>
      </c>
      <c r="O576" s="3" t="e">
        <f t="shared" si="17"/>
        <v>#N/A</v>
      </c>
    </row>
    <row r="577" spans="1:15" ht="14.25" customHeight="1">
      <c r="A577" s="2" t="s">
        <v>39</v>
      </c>
      <c r="B577" s="2">
        <v>1974</v>
      </c>
      <c r="C577" s="2" t="s">
        <v>24</v>
      </c>
      <c r="D577" s="2">
        <v>630</v>
      </c>
      <c r="E577" s="2">
        <v>4648</v>
      </c>
      <c r="J577" s="3">
        <f t="shared" si="12"/>
        <v>32005.689900426736</v>
      </c>
      <c r="K577" s="3">
        <f t="shared" si="13"/>
        <v>4648</v>
      </c>
      <c r="L577" s="3" t="e">
        <f t="shared" si="14"/>
        <v>#N/A</v>
      </c>
      <c r="M577" s="3" t="e">
        <f t="shared" si="15"/>
        <v>#N/A</v>
      </c>
      <c r="N577" s="3" t="e">
        <f t="shared" si="16"/>
        <v>#N/A</v>
      </c>
      <c r="O577" s="3" t="e">
        <f t="shared" si="17"/>
        <v>#N/A</v>
      </c>
    </row>
    <row r="578" spans="1:15" ht="14.25" customHeight="1">
      <c r="A578" s="2" t="s">
        <v>39</v>
      </c>
      <c r="B578" s="2">
        <v>1974</v>
      </c>
      <c r="C578" s="2" t="s">
        <v>19</v>
      </c>
      <c r="D578" s="2">
        <v>2548</v>
      </c>
      <c r="E578" s="2">
        <v>11833</v>
      </c>
      <c r="J578" s="3">
        <f t="shared" si="12"/>
        <v>129445.2347083926</v>
      </c>
      <c r="K578" s="3">
        <f t="shared" si="13"/>
        <v>11833</v>
      </c>
      <c r="L578" s="3" t="e">
        <f t="shared" si="14"/>
        <v>#N/A</v>
      </c>
      <c r="M578" s="3" t="e">
        <f t="shared" si="15"/>
        <v>#N/A</v>
      </c>
      <c r="N578" s="3" t="e">
        <f t="shared" si="16"/>
        <v>#N/A</v>
      </c>
      <c r="O578" s="3" t="e">
        <f t="shared" si="17"/>
        <v>#N/A</v>
      </c>
    </row>
    <row r="579" spans="1:15" ht="14.25" customHeight="1">
      <c r="A579" s="2" t="s">
        <v>39</v>
      </c>
      <c r="B579" s="2">
        <v>1974</v>
      </c>
      <c r="C579" s="2" t="s">
        <v>20</v>
      </c>
      <c r="D579" s="2">
        <v>174</v>
      </c>
      <c r="E579" s="2">
        <v>341</v>
      </c>
      <c r="J579" s="3">
        <f t="shared" si="12"/>
        <v>8839.6667344035759</v>
      </c>
      <c r="K579" s="3">
        <f t="shared" si="13"/>
        <v>341</v>
      </c>
      <c r="L579" s="3" t="e">
        <f t="shared" si="14"/>
        <v>#N/A</v>
      </c>
      <c r="M579" s="3" t="e">
        <f t="shared" si="15"/>
        <v>#N/A</v>
      </c>
      <c r="N579" s="3" t="e">
        <f t="shared" si="16"/>
        <v>#N/A</v>
      </c>
      <c r="O579" s="3" t="e">
        <f t="shared" si="17"/>
        <v>#N/A</v>
      </c>
    </row>
    <row r="580" spans="1:15" ht="14.25" customHeight="1">
      <c r="A580" s="2" t="s">
        <v>39</v>
      </c>
      <c r="B580" s="2">
        <v>1974</v>
      </c>
      <c r="C580" s="2" t="s">
        <v>21</v>
      </c>
      <c r="D580" s="2">
        <v>1107</v>
      </c>
      <c r="E580" s="2">
        <v>1734</v>
      </c>
      <c r="J580" s="3">
        <f t="shared" si="12"/>
        <v>56238.569396464132</v>
      </c>
      <c r="K580" s="3">
        <f t="shared" si="13"/>
        <v>1734</v>
      </c>
      <c r="L580" s="3" t="e">
        <f t="shared" si="14"/>
        <v>#N/A</v>
      </c>
      <c r="M580" s="3" t="e">
        <f t="shared" si="15"/>
        <v>#N/A</v>
      </c>
      <c r="N580" s="3" t="e">
        <f t="shared" si="16"/>
        <v>#N/A</v>
      </c>
      <c r="O580" s="3" t="e">
        <f t="shared" si="17"/>
        <v>#N/A</v>
      </c>
    </row>
    <row r="581" spans="1:15" ht="14.25" customHeight="1">
      <c r="A581" s="2" t="s">
        <v>39</v>
      </c>
      <c r="B581" s="2">
        <v>1974</v>
      </c>
      <c r="C581" s="2" t="s">
        <v>37</v>
      </c>
      <c r="D581" s="2">
        <v>9017</v>
      </c>
      <c r="E581" s="2">
        <v>57280</v>
      </c>
      <c r="J581" s="3">
        <f t="shared" si="12"/>
        <v>458087.7870351554</v>
      </c>
      <c r="K581" s="3">
        <f t="shared" si="13"/>
        <v>57280</v>
      </c>
      <c r="L581" s="3" t="e">
        <f t="shared" si="14"/>
        <v>#N/A</v>
      </c>
      <c r="M581" s="3" t="e">
        <f t="shared" si="15"/>
        <v>#N/A</v>
      </c>
      <c r="N581" s="3" t="e">
        <f t="shared" si="16"/>
        <v>#N/A</v>
      </c>
      <c r="O581" s="3" t="e">
        <f t="shared" si="17"/>
        <v>#N/A</v>
      </c>
    </row>
    <row r="582" spans="1:15" ht="14.25" customHeight="1">
      <c r="A582" s="2" t="s">
        <v>39</v>
      </c>
      <c r="B582" s="2">
        <v>1974</v>
      </c>
      <c r="C582" s="2" t="s">
        <v>36</v>
      </c>
      <c r="D582" s="2">
        <v>46</v>
      </c>
      <c r="E582" s="2">
        <v>298</v>
      </c>
      <c r="J582" s="3">
        <f t="shared" si="12"/>
        <v>2336.9233895549683</v>
      </c>
      <c r="K582" s="3">
        <f t="shared" si="13"/>
        <v>298</v>
      </c>
      <c r="L582" s="3" t="e">
        <f t="shared" si="14"/>
        <v>#N/A</v>
      </c>
      <c r="M582" s="3" t="e">
        <f t="shared" si="15"/>
        <v>#N/A</v>
      </c>
      <c r="N582" s="3" t="e">
        <f t="shared" si="16"/>
        <v>#N/A</v>
      </c>
      <c r="O582" s="3" t="e">
        <f t="shared" si="17"/>
        <v>#N/A</v>
      </c>
    </row>
    <row r="583" spans="1:15" ht="14.25" customHeight="1">
      <c r="A583" s="2" t="s">
        <v>39</v>
      </c>
      <c r="B583" s="2">
        <v>1974</v>
      </c>
      <c r="C583" s="2" t="s">
        <v>34</v>
      </c>
      <c r="D583" s="2">
        <v>12</v>
      </c>
      <c r="E583" s="2">
        <v>1422</v>
      </c>
      <c r="J583" s="3">
        <f t="shared" si="12"/>
        <v>609.6321885795569</v>
      </c>
      <c r="K583" s="3">
        <f t="shared" si="13"/>
        <v>1422</v>
      </c>
      <c r="L583" s="3" t="e">
        <f t="shared" si="14"/>
        <v>#N/A</v>
      </c>
      <c r="M583" s="3" t="e">
        <f t="shared" si="15"/>
        <v>#N/A</v>
      </c>
      <c r="N583" s="3" t="e">
        <f t="shared" si="16"/>
        <v>#N/A</v>
      </c>
      <c r="O583" s="3" t="e">
        <f t="shared" si="17"/>
        <v>#N/A</v>
      </c>
    </row>
    <row r="584" spans="1:15" ht="14.25" customHeight="1">
      <c r="A584" s="2" t="s">
        <v>39</v>
      </c>
      <c r="B584" s="2">
        <v>1974</v>
      </c>
      <c r="C584" s="2" t="s">
        <v>35</v>
      </c>
      <c r="D584" s="2">
        <v>164</v>
      </c>
      <c r="E584" s="2">
        <v>3845</v>
      </c>
      <c r="J584" s="3">
        <f t="shared" si="12"/>
        <v>8331.6399105872788</v>
      </c>
      <c r="K584" s="3">
        <f t="shared" si="13"/>
        <v>3845</v>
      </c>
      <c r="L584" s="3" t="e">
        <f t="shared" si="14"/>
        <v>#N/A</v>
      </c>
      <c r="M584" s="3" t="e">
        <f t="shared" si="15"/>
        <v>#N/A</v>
      </c>
      <c r="N584" s="3" t="e">
        <f t="shared" si="16"/>
        <v>#N/A</v>
      </c>
      <c r="O584" s="3" t="e">
        <f t="shared" si="17"/>
        <v>#N/A</v>
      </c>
    </row>
    <row r="585" spans="1:15" ht="14.25" customHeight="1">
      <c r="A585" s="2" t="s">
        <v>39</v>
      </c>
      <c r="B585" s="2">
        <v>1974</v>
      </c>
      <c r="C585" s="2" t="s">
        <v>30</v>
      </c>
      <c r="D585" s="2">
        <v>9</v>
      </c>
      <c r="E585" s="2">
        <v>163</v>
      </c>
      <c r="J585" s="3">
        <f t="shared" si="12"/>
        <v>457.22414143466773</v>
      </c>
      <c r="K585" s="3">
        <f t="shared" si="13"/>
        <v>163</v>
      </c>
      <c r="L585" s="3" t="e">
        <f t="shared" si="14"/>
        <v>#N/A</v>
      </c>
      <c r="M585" s="3" t="e">
        <f t="shared" si="15"/>
        <v>#N/A</v>
      </c>
      <c r="N585" s="3" t="e">
        <f t="shared" si="16"/>
        <v>#N/A</v>
      </c>
      <c r="O585" s="3" t="e">
        <f t="shared" si="17"/>
        <v>#N/A</v>
      </c>
    </row>
    <row r="586" spans="1:15" ht="14.25" customHeight="1">
      <c r="A586" s="2" t="s">
        <v>39</v>
      </c>
      <c r="B586" s="2">
        <v>1974</v>
      </c>
      <c r="C586" s="2" t="s">
        <v>28</v>
      </c>
      <c r="D586" s="2">
        <v>377</v>
      </c>
      <c r="E586" s="2">
        <v>6782</v>
      </c>
      <c r="J586" s="3">
        <f t="shared" si="12"/>
        <v>19152.611257874414</v>
      </c>
      <c r="K586" s="3">
        <f t="shared" si="13"/>
        <v>6782</v>
      </c>
      <c r="L586" s="3" t="e">
        <f t="shared" si="14"/>
        <v>#N/A</v>
      </c>
      <c r="M586" s="3" t="e">
        <f t="shared" si="15"/>
        <v>#N/A</v>
      </c>
      <c r="N586" s="3" t="e">
        <f t="shared" si="16"/>
        <v>#N/A</v>
      </c>
      <c r="O586" s="3" t="e">
        <f t="shared" si="17"/>
        <v>#N/A</v>
      </c>
    </row>
    <row r="587" spans="1:15" ht="14.25" customHeight="1">
      <c r="A587" s="2" t="s">
        <v>39</v>
      </c>
      <c r="B587" s="2">
        <v>1974</v>
      </c>
      <c r="C587" s="2" t="s">
        <v>16</v>
      </c>
      <c r="D587" s="2">
        <v>9394</v>
      </c>
      <c r="E587" s="2">
        <v>64062</v>
      </c>
      <c r="J587" s="3">
        <f t="shared" si="12"/>
        <v>477240.39829302987</v>
      </c>
      <c r="K587" s="3">
        <f t="shared" si="13"/>
        <v>64062</v>
      </c>
      <c r="L587" s="3" t="e">
        <f t="shared" si="14"/>
        <v>#N/A</v>
      </c>
      <c r="M587" s="3" t="e">
        <f t="shared" si="15"/>
        <v>#N/A</v>
      </c>
      <c r="N587" s="3" t="e">
        <f t="shared" si="16"/>
        <v>#N/A</v>
      </c>
      <c r="O587" s="3" t="e">
        <f t="shared" si="17"/>
        <v>#N/A</v>
      </c>
    </row>
    <row r="588" spans="1:15" ht="14.25" customHeight="1">
      <c r="A588" s="2" t="s">
        <v>40</v>
      </c>
      <c r="B588" s="2">
        <v>1974</v>
      </c>
      <c r="C588" s="2" t="s">
        <v>22</v>
      </c>
      <c r="D588" s="2">
        <v>19</v>
      </c>
      <c r="E588" s="2">
        <v>185</v>
      </c>
      <c r="J588" s="3">
        <f t="shared" si="12"/>
        <v>965.25096525096524</v>
      </c>
      <c r="K588" s="3">
        <f t="shared" si="13"/>
        <v>185</v>
      </c>
      <c r="L588" s="3" t="e">
        <f t="shared" si="14"/>
        <v>#N/A</v>
      </c>
      <c r="M588" s="3" t="e">
        <f t="shared" si="15"/>
        <v>#N/A</v>
      </c>
      <c r="N588" s="3" t="e">
        <f t="shared" si="16"/>
        <v>#N/A</v>
      </c>
      <c r="O588" s="3" t="e">
        <f t="shared" si="17"/>
        <v>#N/A</v>
      </c>
    </row>
    <row r="589" spans="1:15" ht="14.25" customHeight="1">
      <c r="A589" s="2" t="s">
        <v>40</v>
      </c>
      <c r="B589" s="2">
        <v>1974</v>
      </c>
      <c r="C589" s="2" t="s">
        <v>23</v>
      </c>
      <c r="D589" s="2">
        <v>1</v>
      </c>
      <c r="E589" s="2">
        <v>5</v>
      </c>
      <c r="J589" s="3">
        <f t="shared" si="12"/>
        <v>50.802682381629751</v>
      </c>
      <c r="K589" s="3">
        <f t="shared" si="13"/>
        <v>5</v>
      </c>
      <c r="L589" s="3" t="e">
        <f t="shared" si="14"/>
        <v>#N/A</v>
      </c>
      <c r="M589" s="3" t="e">
        <f t="shared" si="15"/>
        <v>#N/A</v>
      </c>
      <c r="N589" s="3" t="e">
        <f t="shared" si="16"/>
        <v>#N/A</v>
      </c>
      <c r="O589" s="3" t="e">
        <f t="shared" si="17"/>
        <v>#N/A</v>
      </c>
    </row>
    <row r="590" spans="1:15" ht="14.25" customHeight="1">
      <c r="A590" s="2" t="s">
        <v>40</v>
      </c>
      <c r="B590" s="2">
        <v>1974</v>
      </c>
      <c r="C590" s="2" t="s">
        <v>25</v>
      </c>
      <c r="D590" s="2">
        <v>2</v>
      </c>
      <c r="E590" s="2">
        <v>16</v>
      </c>
      <c r="J590" s="3">
        <f t="shared" si="12"/>
        <v>101.6053647632595</v>
      </c>
      <c r="K590" s="3">
        <f t="shared" si="13"/>
        <v>16</v>
      </c>
      <c r="L590" s="3" t="e">
        <f t="shared" si="14"/>
        <v>#N/A</v>
      </c>
      <c r="M590" s="3" t="e">
        <f t="shared" si="15"/>
        <v>#N/A</v>
      </c>
      <c r="N590" s="3" t="e">
        <f t="shared" si="16"/>
        <v>#N/A</v>
      </c>
      <c r="O590" s="3" t="e">
        <f t="shared" si="17"/>
        <v>#N/A</v>
      </c>
    </row>
    <row r="591" spans="1:15" ht="14.25" customHeight="1">
      <c r="A591" s="2" t="s">
        <v>40</v>
      </c>
      <c r="B591" s="2">
        <v>1974</v>
      </c>
      <c r="C591" s="2" t="s">
        <v>38</v>
      </c>
      <c r="D591" s="2">
        <v>7</v>
      </c>
      <c r="E591" s="2">
        <v>28</v>
      </c>
      <c r="J591" s="3">
        <f t="shared" si="12"/>
        <v>355.61877667140823</v>
      </c>
      <c r="K591" s="3">
        <f t="shared" si="13"/>
        <v>28</v>
      </c>
      <c r="L591" s="3" t="e">
        <f t="shared" si="14"/>
        <v>#N/A</v>
      </c>
      <c r="M591" s="3" t="e">
        <f t="shared" si="15"/>
        <v>#N/A</v>
      </c>
      <c r="N591" s="3" t="e">
        <f t="shared" si="16"/>
        <v>#N/A</v>
      </c>
      <c r="O591" s="3" t="e">
        <f t="shared" si="17"/>
        <v>#N/A</v>
      </c>
    </row>
    <row r="592" spans="1:15" ht="14.25" customHeight="1">
      <c r="A592" s="2" t="s">
        <v>40</v>
      </c>
      <c r="B592" s="2">
        <v>1974</v>
      </c>
      <c r="C592" s="2" t="s">
        <v>24</v>
      </c>
      <c r="D592" s="2">
        <v>36</v>
      </c>
      <c r="E592" s="2">
        <v>183</v>
      </c>
      <c r="J592" s="3">
        <f t="shared" si="12"/>
        <v>1828.8965657386709</v>
      </c>
      <c r="K592" s="3">
        <f t="shared" si="13"/>
        <v>183</v>
      </c>
      <c r="L592" s="3" t="e">
        <f t="shared" si="14"/>
        <v>#N/A</v>
      </c>
      <c r="M592" s="3" t="e">
        <f t="shared" si="15"/>
        <v>#N/A</v>
      </c>
      <c r="N592" s="3" t="e">
        <f t="shared" si="16"/>
        <v>#N/A</v>
      </c>
      <c r="O592" s="3" t="e">
        <f t="shared" si="17"/>
        <v>#N/A</v>
      </c>
    </row>
    <row r="593" spans="1:15" ht="14.25" customHeight="1">
      <c r="A593" s="2" t="s">
        <v>40</v>
      </c>
      <c r="B593" s="2">
        <v>1974</v>
      </c>
      <c r="C593" s="2" t="s">
        <v>19</v>
      </c>
      <c r="D593" s="2">
        <v>171</v>
      </c>
      <c r="E593" s="2">
        <v>679</v>
      </c>
      <c r="J593" s="3">
        <f t="shared" si="12"/>
        <v>8687.2586872586871</v>
      </c>
      <c r="K593" s="3">
        <f t="shared" si="13"/>
        <v>679</v>
      </c>
      <c r="L593" s="3" t="e">
        <f t="shared" si="14"/>
        <v>#N/A</v>
      </c>
      <c r="M593" s="3" t="e">
        <f t="shared" si="15"/>
        <v>#N/A</v>
      </c>
      <c r="N593" s="3" t="e">
        <f t="shared" si="16"/>
        <v>#N/A</v>
      </c>
      <c r="O593" s="3" t="e">
        <f t="shared" si="17"/>
        <v>#N/A</v>
      </c>
    </row>
    <row r="594" spans="1:15" ht="14.25" customHeight="1">
      <c r="A594" s="2" t="s">
        <v>40</v>
      </c>
      <c r="B594" s="2">
        <v>1974</v>
      </c>
      <c r="C594" s="2" t="s">
        <v>20</v>
      </c>
      <c r="D594" s="2">
        <v>2</v>
      </c>
      <c r="E594" s="2">
        <v>3</v>
      </c>
      <c r="J594" s="3">
        <f t="shared" si="12"/>
        <v>101.6053647632595</v>
      </c>
      <c r="K594" s="3">
        <f t="shared" si="13"/>
        <v>3</v>
      </c>
      <c r="L594" s="3" t="e">
        <f t="shared" si="14"/>
        <v>#N/A</v>
      </c>
      <c r="M594" s="3" t="e">
        <f t="shared" si="15"/>
        <v>#N/A</v>
      </c>
      <c r="N594" s="3" t="e">
        <f t="shared" si="16"/>
        <v>#N/A</v>
      </c>
      <c r="O594" s="3" t="e">
        <f t="shared" si="17"/>
        <v>#N/A</v>
      </c>
    </row>
    <row r="595" spans="1:15" ht="14.25" customHeight="1">
      <c r="A595" s="2" t="s">
        <v>40</v>
      </c>
      <c r="B595" s="2">
        <v>1974</v>
      </c>
      <c r="C595" s="2" t="s">
        <v>21</v>
      </c>
      <c r="D595" s="2">
        <v>0</v>
      </c>
      <c r="E595" s="2">
        <v>0</v>
      </c>
      <c r="J595" s="3">
        <f t="shared" si="12"/>
        <v>0</v>
      </c>
      <c r="K595" s="3">
        <f t="shared" si="13"/>
        <v>0</v>
      </c>
      <c r="L595" s="3" t="e">
        <f t="shared" si="14"/>
        <v>#N/A</v>
      </c>
      <c r="M595" s="3" t="e">
        <f t="shared" si="15"/>
        <v>#N/A</v>
      </c>
      <c r="N595" s="3" t="e">
        <f t="shared" si="16"/>
        <v>#N/A</v>
      </c>
      <c r="O595" s="3" t="e">
        <f t="shared" si="17"/>
        <v>#N/A</v>
      </c>
    </row>
    <row r="596" spans="1:15" ht="14.25" customHeight="1">
      <c r="A596" s="2" t="s">
        <v>40</v>
      </c>
      <c r="B596" s="2">
        <v>1974</v>
      </c>
      <c r="C596" s="2" t="s">
        <v>37</v>
      </c>
      <c r="D596" s="2">
        <v>248</v>
      </c>
      <c r="E596" s="2">
        <v>1159</v>
      </c>
      <c r="J596" s="3">
        <f t="shared" si="12"/>
        <v>12599.065230644177</v>
      </c>
      <c r="K596" s="3">
        <f t="shared" si="13"/>
        <v>1159</v>
      </c>
      <c r="L596" s="3" t="e">
        <f t="shared" si="14"/>
        <v>#N/A</v>
      </c>
      <c r="M596" s="3" t="e">
        <f t="shared" si="15"/>
        <v>#N/A</v>
      </c>
      <c r="N596" s="3" t="e">
        <f t="shared" si="16"/>
        <v>#N/A</v>
      </c>
      <c r="O596" s="3" t="e">
        <f t="shared" si="17"/>
        <v>#N/A</v>
      </c>
    </row>
    <row r="597" spans="1:15" ht="14.25" customHeight="1">
      <c r="A597" s="2" t="s">
        <v>40</v>
      </c>
      <c r="B597" s="2">
        <v>1974</v>
      </c>
      <c r="C597" s="2" t="s">
        <v>36</v>
      </c>
      <c r="D597" s="2">
        <v>0</v>
      </c>
      <c r="E597" s="2">
        <v>1</v>
      </c>
      <c r="J597" s="3">
        <f t="shared" si="12"/>
        <v>0</v>
      </c>
      <c r="K597" s="3">
        <f t="shared" si="13"/>
        <v>1</v>
      </c>
      <c r="L597" s="3" t="e">
        <f t="shared" si="14"/>
        <v>#N/A</v>
      </c>
      <c r="M597" s="3" t="e">
        <f t="shared" si="15"/>
        <v>#N/A</v>
      </c>
      <c r="N597" s="3" t="e">
        <f t="shared" si="16"/>
        <v>#N/A</v>
      </c>
      <c r="O597" s="3" t="e">
        <f t="shared" si="17"/>
        <v>#N/A</v>
      </c>
    </row>
    <row r="598" spans="1:15" ht="14.25" customHeight="1">
      <c r="A598" s="2" t="s">
        <v>40</v>
      </c>
      <c r="B598" s="2">
        <v>1974</v>
      </c>
      <c r="C598" s="2" t="s">
        <v>34</v>
      </c>
      <c r="D598" s="2">
        <v>0</v>
      </c>
      <c r="E598" s="2">
        <v>43</v>
      </c>
      <c r="J598" s="3">
        <f t="shared" si="12"/>
        <v>0</v>
      </c>
      <c r="K598" s="3">
        <f t="shared" si="13"/>
        <v>43</v>
      </c>
      <c r="L598" s="3" t="e">
        <f t="shared" si="14"/>
        <v>#N/A</v>
      </c>
      <c r="M598" s="3" t="e">
        <f t="shared" si="15"/>
        <v>#N/A</v>
      </c>
      <c r="N598" s="3" t="e">
        <f t="shared" si="16"/>
        <v>#N/A</v>
      </c>
      <c r="O598" s="3" t="e">
        <f t="shared" si="17"/>
        <v>#N/A</v>
      </c>
    </row>
    <row r="599" spans="1:15" ht="14.25" customHeight="1">
      <c r="A599" s="2" t="s">
        <v>40</v>
      </c>
      <c r="B599" s="2">
        <v>1974</v>
      </c>
      <c r="C599" s="2" t="s">
        <v>35</v>
      </c>
      <c r="D599" s="2">
        <v>49</v>
      </c>
      <c r="E599" s="2">
        <v>527</v>
      </c>
      <c r="J599" s="3">
        <f t="shared" si="12"/>
        <v>2489.3314366998575</v>
      </c>
      <c r="K599" s="3">
        <f t="shared" si="13"/>
        <v>527</v>
      </c>
      <c r="L599" s="3" t="e">
        <f t="shared" si="14"/>
        <v>#N/A</v>
      </c>
      <c r="M599" s="3" t="e">
        <f t="shared" si="15"/>
        <v>#N/A</v>
      </c>
      <c r="N599" s="3" t="e">
        <f t="shared" si="16"/>
        <v>#N/A</v>
      </c>
      <c r="O599" s="3" t="e">
        <f t="shared" si="17"/>
        <v>#N/A</v>
      </c>
    </row>
    <row r="600" spans="1:15" ht="14.25" customHeight="1">
      <c r="A600" s="2" t="s">
        <v>40</v>
      </c>
      <c r="B600" s="2">
        <v>1974</v>
      </c>
      <c r="C600" s="2" t="s">
        <v>30</v>
      </c>
      <c r="D600" s="2">
        <v>0</v>
      </c>
      <c r="E600" s="2">
        <v>0</v>
      </c>
      <c r="J600" s="3">
        <f t="shared" si="12"/>
        <v>0</v>
      </c>
      <c r="K600" s="3">
        <f t="shared" si="13"/>
        <v>0</v>
      </c>
      <c r="L600" s="3" t="e">
        <f t="shared" si="14"/>
        <v>#N/A</v>
      </c>
      <c r="M600" s="3" t="e">
        <f t="shared" si="15"/>
        <v>#N/A</v>
      </c>
      <c r="N600" s="3" t="e">
        <f t="shared" si="16"/>
        <v>#N/A</v>
      </c>
      <c r="O600" s="3" t="e">
        <f t="shared" si="17"/>
        <v>#N/A</v>
      </c>
    </row>
    <row r="601" spans="1:15" ht="14.25" customHeight="1">
      <c r="A601" s="2" t="s">
        <v>40</v>
      </c>
      <c r="B601" s="2">
        <v>1974</v>
      </c>
      <c r="C601" s="2" t="s">
        <v>28</v>
      </c>
      <c r="D601" s="2">
        <v>57</v>
      </c>
      <c r="E601" s="2">
        <v>620</v>
      </c>
      <c r="J601" s="3">
        <f t="shared" si="12"/>
        <v>2895.7528957528957</v>
      </c>
      <c r="K601" s="3">
        <f t="shared" si="13"/>
        <v>620</v>
      </c>
      <c r="L601" s="3" t="e">
        <f t="shared" si="14"/>
        <v>#N/A</v>
      </c>
      <c r="M601" s="3" t="e">
        <f t="shared" si="15"/>
        <v>#N/A</v>
      </c>
      <c r="N601" s="3" t="e">
        <f t="shared" si="16"/>
        <v>#N/A</v>
      </c>
      <c r="O601" s="3" t="e">
        <f t="shared" si="17"/>
        <v>#N/A</v>
      </c>
    </row>
    <row r="602" spans="1:15" ht="14.25" customHeight="1">
      <c r="A602" s="2" t="s">
        <v>40</v>
      </c>
      <c r="B602" s="2">
        <v>1974</v>
      </c>
      <c r="C602" s="2" t="s">
        <v>16</v>
      </c>
      <c r="D602" s="2">
        <v>305</v>
      </c>
      <c r="E602" s="2">
        <v>1779</v>
      </c>
      <c r="J602" s="3">
        <f t="shared" si="12"/>
        <v>15494.818126397073</v>
      </c>
      <c r="K602" s="3">
        <f t="shared" si="13"/>
        <v>1779</v>
      </c>
      <c r="L602" s="3" t="e">
        <f t="shared" si="14"/>
        <v>#N/A</v>
      </c>
      <c r="M602" s="3" t="e">
        <f t="shared" si="15"/>
        <v>#N/A</v>
      </c>
      <c r="N602" s="3" t="e">
        <f t="shared" si="16"/>
        <v>#N/A</v>
      </c>
      <c r="O602" s="3" t="e">
        <f t="shared" si="17"/>
        <v>#N/A</v>
      </c>
    </row>
    <row r="603" spans="1:15" ht="14.25" customHeight="1">
      <c r="A603" s="2" t="s">
        <v>15</v>
      </c>
      <c r="B603" s="2">
        <v>1974</v>
      </c>
      <c r="C603" s="2" t="s">
        <v>22</v>
      </c>
      <c r="D603" s="2">
        <v>5268</v>
      </c>
      <c r="E603" s="2">
        <v>61824</v>
      </c>
      <c r="H603" s="2">
        <f>119+16+486+42+1</f>
        <v>664</v>
      </c>
      <c r="I603" s="2">
        <f>1629+680+13867+598+30</f>
        <v>16804</v>
      </c>
      <c r="J603" s="3">
        <f t="shared" si="12"/>
        <v>267628.53078642552</v>
      </c>
      <c r="K603" s="3">
        <f t="shared" si="13"/>
        <v>61824</v>
      </c>
      <c r="L603" s="3" t="e">
        <f t="shared" si="14"/>
        <v>#N/A</v>
      </c>
      <c r="M603" s="3" t="e">
        <f t="shared" si="15"/>
        <v>#N/A</v>
      </c>
      <c r="N603" s="3">
        <f t="shared" si="16"/>
        <v>33732.981101402154</v>
      </c>
      <c r="O603" s="3">
        <f t="shared" si="17"/>
        <v>16804</v>
      </c>
    </row>
    <row r="604" spans="1:15" ht="14.25" customHeight="1">
      <c r="A604" s="2" t="s">
        <v>15</v>
      </c>
      <c r="B604" s="2">
        <v>1974</v>
      </c>
      <c r="C604" s="2" t="s">
        <v>23</v>
      </c>
      <c r="D604" s="2">
        <v>2484</v>
      </c>
      <c r="E604" s="2">
        <v>27222</v>
      </c>
      <c r="H604" s="2">
        <f>62+3+122+16</f>
        <v>203</v>
      </c>
      <c r="I604" s="2">
        <f>655+101+3568+184</f>
        <v>4508</v>
      </c>
      <c r="J604" s="3">
        <f t="shared" si="12"/>
        <v>126193.86303596829</v>
      </c>
      <c r="K604" s="3">
        <f t="shared" si="13"/>
        <v>27222</v>
      </c>
      <c r="L604" s="3" t="e">
        <f t="shared" si="14"/>
        <v>#N/A</v>
      </c>
      <c r="M604" s="3" t="e">
        <f t="shared" si="15"/>
        <v>#N/A</v>
      </c>
      <c r="N604" s="3">
        <f t="shared" si="16"/>
        <v>10312.944523470838</v>
      </c>
      <c r="O604" s="3">
        <f t="shared" si="17"/>
        <v>4508</v>
      </c>
    </row>
    <row r="605" spans="1:15" ht="14.25" customHeight="1">
      <c r="A605" s="2" t="s">
        <v>15</v>
      </c>
      <c r="B605" s="2">
        <v>1974</v>
      </c>
      <c r="C605" s="2" t="s">
        <v>25</v>
      </c>
      <c r="D605" s="2">
        <v>573</v>
      </c>
      <c r="E605" s="2">
        <v>8618</v>
      </c>
      <c r="H605" s="2">
        <f>7+306+10+50+28</f>
        <v>401</v>
      </c>
      <c r="I605" s="2">
        <f>178+4681+456+1937+532</f>
        <v>7784</v>
      </c>
      <c r="J605" s="3">
        <f t="shared" si="12"/>
        <v>29109.937004673844</v>
      </c>
      <c r="K605" s="3">
        <f t="shared" si="13"/>
        <v>8618</v>
      </c>
      <c r="L605" s="3" t="e">
        <f t="shared" si="14"/>
        <v>#N/A</v>
      </c>
      <c r="M605" s="3" t="e">
        <f t="shared" si="15"/>
        <v>#N/A</v>
      </c>
      <c r="N605" s="3">
        <f t="shared" si="16"/>
        <v>20371.875635033528</v>
      </c>
      <c r="O605" s="3">
        <f t="shared" si="17"/>
        <v>7784</v>
      </c>
    </row>
    <row r="606" spans="1:15" ht="14.25" customHeight="1">
      <c r="A606" s="2" t="s">
        <v>15</v>
      </c>
      <c r="B606" s="2">
        <v>1974</v>
      </c>
      <c r="C606" s="2" t="s">
        <v>38</v>
      </c>
      <c r="D606" s="2">
        <v>873</v>
      </c>
      <c r="E606" s="2">
        <v>5601</v>
      </c>
      <c r="H606" s="2">
        <v>198</v>
      </c>
      <c r="I606" s="2">
        <v>964</v>
      </c>
      <c r="J606" s="3">
        <f t="shared" si="12"/>
        <v>44350.741719162768</v>
      </c>
      <c r="K606" s="3">
        <f t="shared" si="13"/>
        <v>5601</v>
      </c>
      <c r="L606" s="3" t="e">
        <f t="shared" si="14"/>
        <v>#N/A</v>
      </c>
      <c r="M606" s="3" t="e">
        <f t="shared" si="15"/>
        <v>#N/A</v>
      </c>
      <c r="N606" s="3">
        <f t="shared" si="16"/>
        <v>10058.93111156269</v>
      </c>
      <c r="O606" s="3">
        <f t="shared" si="17"/>
        <v>964</v>
      </c>
    </row>
    <row r="607" spans="1:15" ht="14.25" customHeight="1">
      <c r="A607" s="2" t="s">
        <v>15</v>
      </c>
      <c r="B607" s="2">
        <v>1974</v>
      </c>
      <c r="C607" s="2" t="s">
        <v>24</v>
      </c>
      <c r="D607" s="2">
        <v>791</v>
      </c>
      <c r="E607" s="2">
        <v>5699</v>
      </c>
      <c r="J607" s="3">
        <f t="shared" si="12"/>
        <v>40184.921763869126</v>
      </c>
      <c r="K607" s="3">
        <f t="shared" si="13"/>
        <v>5699</v>
      </c>
      <c r="L607" s="3" t="e">
        <f t="shared" si="14"/>
        <v>#N/A</v>
      </c>
      <c r="M607" s="3" t="e">
        <f t="shared" si="15"/>
        <v>#N/A</v>
      </c>
      <c r="N607" s="3" t="e">
        <f t="shared" si="16"/>
        <v>#N/A</v>
      </c>
      <c r="O607" s="3" t="e">
        <f t="shared" si="17"/>
        <v>#N/A</v>
      </c>
    </row>
    <row r="608" spans="1:15" ht="14.25" customHeight="1">
      <c r="A608" s="2" t="s">
        <v>15</v>
      </c>
      <c r="B608" s="2">
        <v>1974</v>
      </c>
      <c r="C608" s="2" t="s">
        <v>19</v>
      </c>
      <c r="D608" s="2">
        <v>2938</v>
      </c>
      <c r="E608" s="2">
        <v>13430</v>
      </c>
      <c r="H608" s="2">
        <f>166+23+25+13</f>
        <v>227</v>
      </c>
      <c r="I608" s="2">
        <f>668+196+205+467</f>
        <v>1536</v>
      </c>
      <c r="J608" s="3">
        <f t="shared" si="12"/>
        <v>149258.2808372282</v>
      </c>
      <c r="K608" s="3">
        <f t="shared" si="13"/>
        <v>13430</v>
      </c>
      <c r="L608" s="3" t="e">
        <f t="shared" si="14"/>
        <v>#N/A</v>
      </c>
      <c r="M608" s="3" t="e">
        <f t="shared" si="15"/>
        <v>#N/A</v>
      </c>
      <c r="N608" s="3">
        <f t="shared" si="16"/>
        <v>11532.208900629954</v>
      </c>
      <c r="O608" s="3">
        <f t="shared" si="17"/>
        <v>1536</v>
      </c>
    </row>
    <row r="609" spans="1:15" ht="14.25" customHeight="1">
      <c r="A609" s="2" t="s">
        <v>15</v>
      </c>
      <c r="B609" s="2">
        <v>1974</v>
      </c>
      <c r="C609" s="2" t="s">
        <v>20</v>
      </c>
      <c r="D609" s="2">
        <v>693</v>
      </c>
      <c r="E609" s="2">
        <v>1452</v>
      </c>
      <c r="H609" s="2">
        <v>69</v>
      </c>
      <c r="I609" s="2">
        <v>1442</v>
      </c>
      <c r="J609" s="3">
        <f t="shared" si="12"/>
        <v>35206.258890469413</v>
      </c>
      <c r="K609" s="3">
        <f t="shared" si="13"/>
        <v>1452</v>
      </c>
      <c r="L609" s="3" t="e">
        <f t="shared" si="14"/>
        <v>#N/A</v>
      </c>
      <c r="M609" s="3" t="e">
        <f t="shared" si="15"/>
        <v>#N/A</v>
      </c>
      <c r="N609" s="3">
        <f t="shared" si="16"/>
        <v>3505.3850843324526</v>
      </c>
      <c r="O609" s="3">
        <f t="shared" si="17"/>
        <v>1442</v>
      </c>
    </row>
    <row r="610" spans="1:15" ht="14.25" customHeight="1">
      <c r="A610" s="2" t="s">
        <v>15</v>
      </c>
      <c r="B610" s="2">
        <v>1974</v>
      </c>
      <c r="C610" s="2" t="s">
        <v>21</v>
      </c>
      <c r="D610" s="2">
        <v>1628</v>
      </c>
      <c r="E610" s="2">
        <v>2656</v>
      </c>
      <c r="J610" s="3">
        <f t="shared" si="12"/>
        <v>82706.766917293222</v>
      </c>
      <c r="K610" s="3">
        <f t="shared" si="13"/>
        <v>2656</v>
      </c>
      <c r="L610" s="3" t="e">
        <f t="shared" si="14"/>
        <v>#N/A</v>
      </c>
      <c r="M610" s="3" t="e">
        <f t="shared" si="15"/>
        <v>#N/A</v>
      </c>
      <c r="N610" s="3" t="e">
        <f t="shared" si="16"/>
        <v>#N/A</v>
      </c>
      <c r="O610" s="3" t="e">
        <f t="shared" si="17"/>
        <v>#N/A</v>
      </c>
    </row>
    <row r="611" spans="1:15" ht="14.25" customHeight="1">
      <c r="A611" s="2" t="s">
        <v>15</v>
      </c>
      <c r="B611" s="2">
        <v>1974</v>
      </c>
      <c r="C611" s="2" t="s">
        <v>37</v>
      </c>
      <c r="D611" s="2">
        <v>17839</v>
      </c>
      <c r="E611" s="2">
        <v>142195</v>
      </c>
      <c r="F611" s="2">
        <v>2901</v>
      </c>
      <c r="G611" s="2">
        <v>40382</v>
      </c>
      <c r="H611" s="2">
        <v>3392</v>
      </c>
      <c r="I611" s="2">
        <v>94891</v>
      </c>
      <c r="J611" s="3">
        <f t="shared" si="12"/>
        <v>906269.05100589304</v>
      </c>
      <c r="K611" s="3">
        <f t="shared" si="13"/>
        <v>142195</v>
      </c>
      <c r="L611" s="3">
        <f t="shared" si="14"/>
        <v>147378.5815891079</v>
      </c>
      <c r="M611" s="3">
        <f t="shared" si="15"/>
        <v>40382</v>
      </c>
      <c r="N611" s="3">
        <f t="shared" si="16"/>
        <v>172322.6986384881</v>
      </c>
      <c r="O611" s="3">
        <f t="shared" si="17"/>
        <v>94891</v>
      </c>
    </row>
    <row r="612" spans="1:15" ht="14.25" customHeight="1">
      <c r="A612" s="2" t="s">
        <v>15</v>
      </c>
      <c r="B612" s="2">
        <v>1974</v>
      </c>
      <c r="C612" s="2" t="s">
        <v>36</v>
      </c>
      <c r="D612" s="2">
        <v>117</v>
      </c>
      <c r="E612" s="2">
        <v>1199</v>
      </c>
      <c r="H612" s="2">
        <v>7</v>
      </c>
      <c r="I612" s="2">
        <v>771</v>
      </c>
      <c r="J612" s="3">
        <f t="shared" si="12"/>
        <v>5943.9138386506811</v>
      </c>
      <c r="K612" s="3">
        <f t="shared" si="13"/>
        <v>1199</v>
      </c>
      <c r="L612" s="3" t="e">
        <f t="shared" si="14"/>
        <v>#N/A</v>
      </c>
      <c r="M612" s="3" t="e">
        <f t="shared" si="15"/>
        <v>#N/A</v>
      </c>
      <c r="N612" s="3">
        <f t="shared" si="16"/>
        <v>355.61877667140823</v>
      </c>
      <c r="O612" s="3">
        <f t="shared" si="17"/>
        <v>771</v>
      </c>
    </row>
    <row r="613" spans="1:15" ht="14.25" customHeight="1">
      <c r="A613" s="2" t="s">
        <v>15</v>
      </c>
      <c r="B613" s="2">
        <v>1974</v>
      </c>
      <c r="C613" s="2" t="s">
        <v>34</v>
      </c>
      <c r="D613" s="2">
        <v>20</v>
      </c>
      <c r="E613" s="2">
        <v>2297</v>
      </c>
      <c r="J613" s="3">
        <f t="shared" si="12"/>
        <v>1016.053647632595</v>
      </c>
      <c r="K613" s="3">
        <f t="shared" si="13"/>
        <v>2297</v>
      </c>
      <c r="L613" s="3" t="e">
        <f t="shared" si="14"/>
        <v>#N/A</v>
      </c>
      <c r="M613" s="3" t="e">
        <f t="shared" si="15"/>
        <v>#N/A</v>
      </c>
      <c r="N613" s="3" t="e">
        <f t="shared" si="16"/>
        <v>#N/A</v>
      </c>
      <c r="O613" s="3" t="e">
        <f t="shared" si="17"/>
        <v>#N/A</v>
      </c>
    </row>
    <row r="614" spans="1:15" ht="14.25" customHeight="1">
      <c r="A614" s="2" t="s">
        <v>15</v>
      </c>
      <c r="B614" s="2">
        <v>1974</v>
      </c>
      <c r="C614" s="2" t="s">
        <v>35</v>
      </c>
      <c r="D614" s="2">
        <v>226</v>
      </c>
      <c r="E614" s="2">
        <v>4696</v>
      </c>
      <c r="J614" s="3">
        <f t="shared" si="12"/>
        <v>11481.406218248323</v>
      </c>
      <c r="K614" s="3">
        <f t="shared" si="13"/>
        <v>4696</v>
      </c>
      <c r="L614" s="3" t="e">
        <f t="shared" si="14"/>
        <v>#N/A</v>
      </c>
      <c r="M614" s="3" t="e">
        <f t="shared" si="15"/>
        <v>#N/A</v>
      </c>
      <c r="N614" s="3" t="e">
        <f t="shared" si="16"/>
        <v>#N/A</v>
      </c>
      <c r="O614" s="3" t="e">
        <f t="shared" si="17"/>
        <v>#N/A</v>
      </c>
    </row>
    <row r="615" spans="1:15" ht="14.25" customHeight="1">
      <c r="A615" s="2" t="s">
        <v>15</v>
      </c>
      <c r="B615" s="2">
        <v>1974</v>
      </c>
      <c r="C615" s="2" t="s">
        <v>30</v>
      </c>
      <c r="D615" s="2">
        <v>34</v>
      </c>
      <c r="E615" s="2">
        <v>493</v>
      </c>
      <c r="H615" s="2">
        <f>69+27+14+29</f>
        <v>139</v>
      </c>
      <c r="I615" s="2">
        <f>4762+2273+1036+2011</f>
        <v>10082</v>
      </c>
      <c r="J615" s="3">
        <f t="shared" si="12"/>
        <v>1727.2912009754114</v>
      </c>
      <c r="K615" s="3">
        <f t="shared" si="13"/>
        <v>493</v>
      </c>
      <c r="L615" s="3" t="e">
        <f t="shared" si="14"/>
        <v>#N/A</v>
      </c>
      <c r="M615" s="3" t="e">
        <f t="shared" si="15"/>
        <v>#N/A</v>
      </c>
      <c r="N615" s="3">
        <f t="shared" si="16"/>
        <v>7061.5728510465342</v>
      </c>
      <c r="O615" s="3">
        <f t="shared" si="17"/>
        <v>10082</v>
      </c>
    </row>
    <row r="616" spans="1:15" ht="14.25" customHeight="1">
      <c r="A616" s="2" t="s">
        <v>15</v>
      </c>
      <c r="B616" s="2">
        <v>1974</v>
      </c>
      <c r="C616" s="2" t="s">
        <v>28</v>
      </c>
      <c r="D616" s="2">
        <v>1254</v>
      </c>
      <c r="E616" s="2">
        <v>11501</v>
      </c>
      <c r="F616" s="2">
        <v>221</v>
      </c>
      <c r="G616" s="2">
        <v>9996</v>
      </c>
      <c r="H616" s="2">
        <v>371</v>
      </c>
      <c r="I616" s="2">
        <v>25513</v>
      </c>
      <c r="J616" s="3">
        <f t="shared" si="12"/>
        <v>63706.563706563706</v>
      </c>
      <c r="K616" s="3">
        <f t="shared" si="13"/>
        <v>11501</v>
      </c>
      <c r="L616" s="3">
        <f t="shared" si="14"/>
        <v>11227.392806340173</v>
      </c>
      <c r="M616" s="3">
        <f t="shared" si="15"/>
        <v>9996</v>
      </c>
      <c r="N616" s="3">
        <f t="shared" si="16"/>
        <v>18847.795163584637</v>
      </c>
      <c r="O616" s="3">
        <f t="shared" si="17"/>
        <v>25513</v>
      </c>
    </row>
    <row r="617" spans="1:15" ht="14.25" customHeight="1">
      <c r="A617" s="2" t="s">
        <v>15</v>
      </c>
      <c r="B617" s="2">
        <v>1974</v>
      </c>
      <c r="C617" s="2" t="s">
        <v>16</v>
      </c>
      <c r="D617" s="2">
        <v>19093</v>
      </c>
      <c r="E617" s="2">
        <v>153696</v>
      </c>
      <c r="F617" s="2">
        <v>3121</v>
      </c>
      <c r="G617" s="2">
        <v>50378</v>
      </c>
      <c r="H617" s="2">
        <v>3764</v>
      </c>
      <c r="I617" s="2">
        <v>120404</v>
      </c>
      <c r="J617" s="3">
        <f t="shared" si="12"/>
        <v>969975.61471245671</v>
      </c>
      <c r="K617" s="3">
        <f t="shared" si="13"/>
        <v>153696</v>
      </c>
      <c r="L617" s="3">
        <f t="shared" si="14"/>
        <v>158555.17171306643</v>
      </c>
      <c r="M617" s="3">
        <f t="shared" si="15"/>
        <v>50378</v>
      </c>
      <c r="N617" s="3">
        <f t="shared" si="16"/>
        <v>191221.29648445436</v>
      </c>
      <c r="O617" s="3">
        <f t="shared" si="17"/>
        <v>120404</v>
      </c>
    </row>
    <row r="618" spans="1:15" ht="14.25" customHeight="1">
      <c r="A618" s="2" t="s">
        <v>18</v>
      </c>
      <c r="B618" s="2">
        <v>1965</v>
      </c>
      <c r="C618" s="2" t="s">
        <v>20</v>
      </c>
      <c r="D618" s="2">
        <v>33</v>
      </c>
      <c r="E618" s="2">
        <v>97</v>
      </c>
      <c r="J618" s="3">
        <f t="shared" si="12"/>
        <v>1676.4885185937817</v>
      </c>
      <c r="K618" s="3">
        <f t="shared" si="13"/>
        <v>97</v>
      </c>
      <c r="L618" s="3" t="e">
        <f t="shared" si="14"/>
        <v>#N/A</v>
      </c>
      <c r="M618" s="3" t="e">
        <f t="shared" si="15"/>
        <v>#N/A</v>
      </c>
      <c r="N618" s="3" t="e">
        <f t="shared" si="16"/>
        <v>#N/A</v>
      </c>
      <c r="O618" s="3" t="e">
        <f t="shared" si="17"/>
        <v>#N/A</v>
      </c>
    </row>
    <row r="619" spans="1:15" ht="14.25" customHeight="1">
      <c r="A619" s="2" t="s">
        <v>39</v>
      </c>
      <c r="B619" s="2">
        <v>1965</v>
      </c>
      <c r="C619" s="2" t="s">
        <v>20</v>
      </c>
      <c r="D619" s="2">
        <v>29</v>
      </c>
      <c r="E619" s="2">
        <v>51</v>
      </c>
      <c r="J619" s="3">
        <f t="shared" si="12"/>
        <v>1473.2777890672626</v>
      </c>
      <c r="K619" s="3">
        <f t="shared" si="13"/>
        <v>51</v>
      </c>
      <c r="L619" s="3" t="e">
        <f t="shared" si="14"/>
        <v>#N/A</v>
      </c>
      <c r="M619" s="3" t="e">
        <f t="shared" si="15"/>
        <v>#N/A</v>
      </c>
      <c r="N619" s="3" t="e">
        <f t="shared" si="16"/>
        <v>#N/A</v>
      </c>
      <c r="O619" s="3" t="e">
        <f t="shared" si="17"/>
        <v>#N/A</v>
      </c>
    </row>
    <row r="620" spans="1:15" ht="14.25" customHeight="1">
      <c r="A620" s="2" t="s">
        <v>40</v>
      </c>
      <c r="B620" s="2">
        <v>1965</v>
      </c>
      <c r="C620" s="2" t="s">
        <v>20</v>
      </c>
      <c r="D620" s="2">
        <v>2</v>
      </c>
      <c r="E620" s="2">
        <v>1</v>
      </c>
      <c r="J620" s="3">
        <f t="shared" si="12"/>
        <v>101.6053647632595</v>
      </c>
      <c r="K620" s="3">
        <f t="shared" si="13"/>
        <v>1</v>
      </c>
      <c r="L620" s="3" t="e">
        <f t="shared" si="14"/>
        <v>#N/A</v>
      </c>
      <c r="M620" s="3" t="e">
        <f t="shared" si="15"/>
        <v>#N/A</v>
      </c>
      <c r="N620" s="3" t="e">
        <f t="shared" si="16"/>
        <v>#N/A</v>
      </c>
      <c r="O620" s="3" t="e">
        <f t="shared" si="17"/>
        <v>#N/A</v>
      </c>
    </row>
    <row r="621" spans="1:15" ht="14.25" customHeight="1">
      <c r="A621" s="2" t="s">
        <v>15</v>
      </c>
      <c r="B621" s="2">
        <v>1965</v>
      </c>
      <c r="C621" s="2" t="s">
        <v>20</v>
      </c>
      <c r="D621" s="2">
        <v>64</v>
      </c>
      <c r="E621" s="2">
        <v>149</v>
      </c>
      <c r="J621" s="3">
        <f t="shared" si="12"/>
        <v>3251.3716724243041</v>
      </c>
      <c r="K621" s="3">
        <f t="shared" si="13"/>
        <v>149</v>
      </c>
      <c r="L621" s="3" t="e">
        <f t="shared" si="14"/>
        <v>#N/A</v>
      </c>
      <c r="M621" s="3" t="e">
        <f t="shared" si="15"/>
        <v>#N/A</v>
      </c>
      <c r="N621" s="3" t="e">
        <f t="shared" si="16"/>
        <v>#N/A</v>
      </c>
      <c r="O621" s="3" t="e">
        <f t="shared" si="17"/>
        <v>#N/A</v>
      </c>
    </row>
    <row r="622" spans="1:15" ht="14.25" customHeight="1">
      <c r="A622" s="2" t="s">
        <v>18</v>
      </c>
      <c r="B622" s="2">
        <v>1966</v>
      </c>
      <c r="C622" s="2" t="s">
        <v>20</v>
      </c>
      <c r="D622" s="2">
        <v>39</v>
      </c>
      <c r="E622" s="2">
        <v>121</v>
      </c>
      <c r="J622" s="3">
        <f t="shared" si="12"/>
        <v>1981.3046128835601</v>
      </c>
      <c r="K622" s="3">
        <f t="shared" si="13"/>
        <v>121</v>
      </c>
      <c r="L622" s="3" t="e">
        <f t="shared" si="14"/>
        <v>#N/A</v>
      </c>
      <c r="M622" s="3" t="e">
        <f t="shared" si="15"/>
        <v>#N/A</v>
      </c>
      <c r="N622" s="3" t="e">
        <f t="shared" si="16"/>
        <v>#N/A</v>
      </c>
      <c r="O622" s="3" t="e">
        <f t="shared" si="17"/>
        <v>#N/A</v>
      </c>
    </row>
    <row r="623" spans="1:15" ht="14.25" customHeight="1">
      <c r="A623" s="2" t="s">
        <v>39</v>
      </c>
      <c r="B623" s="2">
        <v>1966</v>
      </c>
      <c r="C623" s="2" t="s">
        <v>20</v>
      </c>
      <c r="D623" s="2">
        <v>26</v>
      </c>
      <c r="E623" s="2">
        <v>36</v>
      </c>
      <c r="J623" s="3">
        <f t="shared" si="12"/>
        <v>1320.8697419223734</v>
      </c>
      <c r="K623" s="3">
        <f t="shared" si="13"/>
        <v>36</v>
      </c>
      <c r="L623" s="3" t="e">
        <f t="shared" si="14"/>
        <v>#N/A</v>
      </c>
      <c r="M623" s="3" t="e">
        <f t="shared" si="15"/>
        <v>#N/A</v>
      </c>
      <c r="N623" s="3" t="e">
        <f t="shared" si="16"/>
        <v>#N/A</v>
      </c>
      <c r="O623" s="3" t="e">
        <f t="shared" si="17"/>
        <v>#N/A</v>
      </c>
    </row>
    <row r="624" spans="1:15" ht="14.25" customHeight="1">
      <c r="A624" s="2" t="s">
        <v>40</v>
      </c>
      <c r="B624" s="2">
        <v>1966</v>
      </c>
      <c r="C624" s="2" t="s">
        <v>20</v>
      </c>
      <c r="D624" s="2">
        <v>2</v>
      </c>
      <c r="E624" s="2">
        <v>2</v>
      </c>
      <c r="J624" s="3">
        <f t="shared" si="12"/>
        <v>101.6053647632595</v>
      </c>
      <c r="K624" s="3">
        <f t="shared" si="13"/>
        <v>2</v>
      </c>
      <c r="L624" s="3" t="e">
        <f t="shared" si="14"/>
        <v>#N/A</v>
      </c>
      <c r="M624" s="3" t="e">
        <f t="shared" si="15"/>
        <v>#N/A</v>
      </c>
      <c r="N624" s="3" t="e">
        <f t="shared" si="16"/>
        <v>#N/A</v>
      </c>
      <c r="O624" s="3" t="e">
        <f t="shared" si="17"/>
        <v>#N/A</v>
      </c>
    </row>
    <row r="625" spans="1:15" ht="14.25" customHeight="1">
      <c r="A625" s="2" t="s">
        <v>15</v>
      </c>
      <c r="B625" s="2">
        <v>1966</v>
      </c>
      <c r="C625" s="2" t="s">
        <v>20</v>
      </c>
      <c r="D625" s="2">
        <v>67</v>
      </c>
      <c r="E625" s="2">
        <v>159</v>
      </c>
      <c r="J625" s="3">
        <f t="shared" si="12"/>
        <v>3403.7797195691933</v>
      </c>
      <c r="K625" s="3">
        <f t="shared" si="13"/>
        <v>159</v>
      </c>
      <c r="L625" s="3" t="e">
        <f t="shared" si="14"/>
        <v>#N/A</v>
      </c>
      <c r="M625" s="3" t="e">
        <f t="shared" si="15"/>
        <v>#N/A</v>
      </c>
      <c r="N625" s="3" t="e">
        <f t="shared" si="16"/>
        <v>#N/A</v>
      </c>
      <c r="O625" s="3" t="e">
        <f t="shared" si="17"/>
        <v>#N/A</v>
      </c>
    </row>
    <row r="626" spans="1:15" ht="14.25" customHeight="1">
      <c r="A626" s="2" t="s">
        <v>18</v>
      </c>
      <c r="B626" s="2">
        <v>1967</v>
      </c>
      <c r="C626" s="2" t="s">
        <v>20</v>
      </c>
      <c r="D626" s="2">
        <v>53</v>
      </c>
      <c r="E626" s="2">
        <v>158</v>
      </c>
      <c r="J626" s="3">
        <f t="shared" si="12"/>
        <v>2692.5421662263766</v>
      </c>
      <c r="K626" s="3">
        <f t="shared" si="13"/>
        <v>158</v>
      </c>
      <c r="L626" s="3" t="e">
        <f t="shared" si="14"/>
        <v>#N/A</v>
      </c>
      <c r="M626" s="3" t="e">
        <f t="shared" si="15"/>
        <v>#N/A</v>
      </c>
      <c r="N626" s="3" t="e">
        <f t="shared" si="16"/>
        <v>#N/A</v>
      </c>
      <c r="O626" s="3" t="e">
        <f t="shared" si="17"/>
        <v>#N/A</v>
      </c>
    </row>
    <row r="627" spans="1:15" ht="14.25" customHeight="1">
      <c r="A627" s="2" t="s">
        <v>39</v>
      </c>
      <c r="B627" s="2">
        <v>1967</v>
      </c>
      <c r="C627" s="2" t="s">
        <v>20</v>
      </c>
      <c r="D627" s="2">
        <v>25</v>
      </c>
      <c r="E627" s="2">
        <v>38</v>
      </c>
      <c r="J627" s="3">
        <f t="shared" si="12"/>
        <v>1270.0670595407437</v>
      </c>
      <c r="K627" s="3">
        <f t="shared" si="13"/>
        <v>38</v>
      </c>
      <c r="L627" s="3" t="e">
        <f t="shared" si="14"/>
        <v>#N/A</v>
      </c>
      <c r="M627" s="3" t="e">
        <f t="shared" si="15"/>
        <v>#N/A</v>
      </c>
      <c r="N627" s="3" t="e">
        <f t="shared" si="16"/>
        <v>#N/A</v>
      </c>
      <c r="O627" s="3" t="e">
        <f t="shared" si="17"/>
        <v>#N/A</v>
      </c>
    </row>
    <row r="628" spans="1:15" ht="14.25" customHeight="1">
      <c r="A628" s="2" t="s">
        <v>40</v>
      </c>
      <c r="B628" s="2">
        <v>1967</v>
      </c>
      <c r="C628" s="2" t="s">
        <v>20</v>
      </c>
      <c r="D628" s="2">
        <v>3</v>
      </c>
      <c r="E628" s="2">
        <v>3</v>
      </c>
      <c r="J628" s="3">
        <f t="shared" si="12"/>
        <v>152.40804714488922</v>
      </c>
      <c r="K628" s="3">
        <f t="shared" si="13"/>
        <v>3</v>
      </c>
      <c r="L628" s="3" t="e">
        <f t="shared" si="14"/>
        <v>#N/A</v>
      </c>
      <c r="M628" s="3" t="e">
        <f t="shared" si="15"/>
        <v>#N/A</v>
      </c>
      <c r="N628" s="3" t="e">
        <f t="shared" si="16"/>
        <v>#N/A</v>
      </c>
      <c r="O628" s="3" t="e">
        <f t="shared" si="17"/>
        <v>#N/A</v>
      </c>
    </row>
    <row r="629" spans="1:15" ht="14.25" customHeight="1">
      <c r="A629" s="2" t="s">
        <v>15</v>
      </c>
      <c r="B629" s="2">
        <v>1967</v>
      </c>
      <c r="C629" s="2" t="s">
        <v>20</v>
      </c>
      <c r="D629" s="2">
        <v>81</v>
      </c>
      <c r="E629" s="2">
        <v>199</v>
      </c>
      <c r="J629" s="3">
        <f t="shared" si="12"/>
        <v>4115.0172729120095</v>
      </c>
      <c r="K629" s="3">
        <f t="shared" si="13"/>
        <v>199</v>
      </c>
      <c r="L629" s="3" t="e">
        <f t="shared" si="14"/>
        <v>#N/A</v>
      </c>
      <c r="M629" s="3" t="e">
        <f t="shared" si="15"/>
        <v>#N/A</v>
      </c>
      <c r="N629" s="3" t="e">
        <f t="shared" si="16"/>
        <v>#N/A</v>
      </c>
      <c r="O629" s="3" t="e">
        <f t="shared" si="17"/>
        <v>#N/A</v>
      </c>
    </row>
    <row r="630" spans="1:15" ht="14.25" customHeight="1">
      <c r="A630" s="2" t="s">
        <v>18</v>
      </c>
      <c r="B630" s="2">
        <v>1968</v>
      </c>
      <c r="C630" s="2" t="s">
        <v>20</v>
      </c>
      <c r="D630" s="2">
        <v>52</v>
      </c>
      <c r="E630" s="2">
        <v>165</v>
      </c>
      <c r="J630" s="3">
        <f t="shared" si="12"/>
        <v>2641.7394838447467</v>
      </c>
      <c r="K630" s="3">
        <f t="shared" si="13"/>
        <v>165</v>
      </c>
      <c r="L630" s="3" t="e">
        <f t="shared" si="14"/>
        <v>#N/A</v>
      </c>
      <c r="M630" s="3" t="e">
        <f t="shared" si="15"/>
        <v>#N/A</v>
      </c>
      <c r="N630" s="3" t="e">
        <f t="shared" si="16"/>
        <v>#N/A</v>
      </c>
      <c r="O630" s="3" t="e">
        <f t="shared" si="17"/>
        <v>#N/A</v>
      </c>
    </row>
    <row r="631" spans="1:15" ht="14.25" customHeight="1">
      <c r="A631" s="2" t="s">
        <v>39</v>
      </c>
      <c r="B631" s="2">
        <v>1968</v>
      </c>
      <c r="C631" s="2" t="s">
        <v>20</v>
      </c>
      <c r="D631" s="2">
        <v>22</v>
      </c>
      <c r="E631" s="2">
        <v>28</v>
      </c>
      <c r="J631" s="3">
        <f t="shared" si="12"/>
        <v>1117.6590123958545</v>
      </c>
      <c r="K631" s="3">
        <f t="shared" si="13"/>
        <v>28</v>
      </c>
      <c r="L631" s="3" t="e">
        <f t="shared" si="14"/>
        <v>#N/A</v>
      </c>
      <c r="M631" s="3" t="e">
        <f t="shared" si="15"/>
        <v>#N/A</v>
      </c>
      <c r="N631" s="3" t="e">
        <f t="shared" si="16"/>
        <v>#N/A</v>
      </c>
      <c r="O631" s="3" t="e">
        <f t="shared" si="17"/>
        <v>#N/A</v>
      </c>
    </row>
    <row r="632" spans="1:15" ht="14.25" customHeight="1">
      <c r="A632" s="2" t="s">
        <v>40</v>
      </c>
      <c r="B632" s="2">
        <v>1968</v>
      </c>
      <c r="C632" s="2" t="s">
        <v>20</v>
      </c>
      <c r="D632" s="2">
        <v>3</v>
      </c>
      <c r="E632" s="2">
        <v>3</v>
      </c>
      <c r="J632" s="3">
        <f t="shared" si="12"/>
        <v>152.40804714488922</v>
      </c>
      <c r="K632" s="3">
        <f t="shared" si="13"/>
        <v>3</v>
      </c>
      <c r="L632" s="3" t="e">
        <f t="shared" si="14"/>
        <v>#N/A</v>
      </c>
      <c r="M632" s="3" t="e">
        <f t="shared" si="15"/>
        <v>#N/A</v>
      </c>
      <c r="N632" s="3" t="e">
        <f t="shared" si="16"/>
        <v>#N/A</v>
      </c>
      <c r="O632" s="3" t="e">
        <f t="shared" si="17"/>
        <v>#N/A</v>
      </c>
    </row>
    <row r="633" spans="1:15" ht="14.25" customHeight="1">
      <c r="A633" s="2" t="s">
        <v>15</v>
      </c>
      <c r="B633" s="2">
        <v>1968</v>
      </c>
      <c r="C633" s="2" t="s">
        <v>20</v>
      </c>
      <c r="D633" s="2">
        <v>77</v>
      </c>
      <c r="E633" s="2">
        <v>196</v>
      </c>
      <c r="J633" s="3">
        <f t="shared" si="12"/>
        <v>3911.8065433854908</v>
      </c>
      <c r="K633" s="3">
        <f t="shared" si="13"/>
        <v>196</v>
      </c>
      <c r="L633" s="3" t="e">
        <f t="shared" si="14"/>
        <v>#N/A</v>
      </c>
      <c r="M633" s="3" t="e">
        <f t="shared" si="15"/>
        <v>#N/A</v>
      </c>
      <c r="N633" s="3" t="e">
        <f t="shared" si="16"/>
        <v>#N/A</v>
      </c>
      <c r="O633" s="3" t="e">
        <f t="shared" si="17"/>
        <v>#N/A</v>
      </c>
    </row>
    <row r="634" spans="1:15" ht="14.25" customHeight="1">
      <c r="A634" s="2" t="s">
        <v>18</v>
      </c>
      <c r="B634" s="2">
        <v>1969</v>
      </c>
      <c r="C634" s="2" t="s">
        <v>20</v>
      </c>
      <c r="D634" s="2">
        <v>54</v>
      </c>
      <c r="E634" s="2">
        <v>160</v>
      </c>
      <c r="J634" s="3">
        <f t="shared" si="12"/>
        <v>2743.3448486080065</v>
      </c>
      <c r="K634" s="3">
        <f t="shared" si="13"/>
        <v>160</v>
      </c>
      <c r="L634" s="3" t="e">
        <f t="shared" si="14"/>
        <v>#N/A</v>
      </c>
      <c r="M634" s="3" t="e">
        <f t="shared" si="15"/>
        <v>#N/A</v>
      </c>
      <c r="N634" s="3" t="e">
        <f t="shared" si="16"/>
        <v>#N/A</v>
      </c>
      <c r="O634" s="3" t="e">
        <f t="shared" si="17"/>
        <v>#N/A</v>
      </c>
    </row>
    <row r="635" spans="1:15" ht="14.25" customHeight="1">
      <c r="A635" s="2" t="s">
        <v>39</v>
      </c>
      <c r="B635" s="2">
        <v>1969</v>
      </c>
      <c r="C635" s="2" t="s">
        <v>20</v>
      </c>
      <c r="D635" s="2">
        <v>12</v>
      </c>
      <c r="E635" s="2">
        <v>15</v>
      </c>
      <c r="J635" s="3">
        <f t="shared" si="12"/>
        <v>609.6321885795569</v>
      </c>
      <c r="K635" s="3">
        <f t="shared" si="13"/>
        <v>15</v>
      </c>
      <c r="L635" s="3" t="e">
        <f t="shared" si="14"/>
        <v>#N/A</v>
      </c>
      <c r="M635" s="3" t="e">
        <f t="shared" si="15"/>
        <v>#N/A</v>
      </c>
      <c r="N635" s="3" t="e">
        <f t="shared" si="16"/>
        <v>#N/A</v>
      </c>
      <c r="O635" s="3" t="e">
        <f t="shared" si="17"/>
        <v>#N/A</v>
      </c>
    </row>
    <row r="636" spans="1:15" ht="14.25" customHeight="1">
      <c r="A636" s="2" t="s">
        <v>40</v>
      </c>
      <c r="B636" s="2">
        <v>1969</v>
      </c>
      <c r="C636" s="2" t="s">
        <v>20</v>
      </c>
      <c r="D636" s="2">
        <v>6</v>
      </c>
      <c r="E636" s="2">
        <v>4</v>
      </c>
      <c r="J636" s="3">
        <f t="shared" si="12"/>
        <v>304.81609428977845</v>
      </c>
      <c r="K636" s="3">
        <f t="shared" si="13"/>
        <v>4</v>
      </c>
      <c r="L636" s="3" t="e">
        <f t="shared" si="14"/>
        <v>#N/A</v>
      </c>
      <c r="M636" s="3" t="e">
        <f t="shared" si="15"/>
        <v>#N/A</v>
      </c>
      <c r="N636" s="3" t="e">
        <f t="shared" si="16"/>
        <v>#N/A</v>
      </c>
      <c r="O636" s="3" t="e">
        <f t="shared" si="17"/>
        <v>#N/A</v>
      </c>
    </row>
    <row r="637" spans="1:15" ht="14.25" customHeight="1">
      <c r="A637" s="2" t="s">
        <v>15</v>
      </c>
      <c r="B637" s="2">
        <v>1969</v>
      </c>
      <c r="C637" s="2" t="s">
        <v>20</v>
      </c>
      <c r="D637" s="2">
        <v>72</v>
      </c>
      <c r="E637" s="2">
        <v>180</v>
      </c>
      <c r="J637" s="3">
        <f t="shared" si="12"/>
        <v>3657.7931314773418</v>
      </c>
      <c r="K637" s="3">
        <f t="shared" si="13"/>
        <v>180</v>
      </c>
      <c r="L637" s="3" t="e">
        <f t="shared" si="14"/>
        <v>#N/A</v>
      </c>
      <c r="M637" s="3" t="e">
        <f t="shared" si="15"/>
        <v>#N/A</v>
      </c>
      <c r="N637" s="3" t="e">
        <f t="shared" si="16"/>
        <v>#N/A</v>
      </c>
      <c r="O637" s="3" t="e">
        <f t="shared" si="17"/>
        <v>#N/A</v>
      </c>
    </row>
    <row r="638" spans="1:15" ht="14.25" customHeight="1">
      <c r="A638" s="2" t="s">
        <v>18</v>
      </c>
      <c r="B638" s="2">
        <v>1970</v>
      </c>
      <c r="C638" s="2" t="s">
        <v>20</v>
      </c>
      <c r="D638" s="2">
        <v>67</v>
      </c>
      <c r="E638" s="2">
        <v>207</v>
      </c>
      <c r="J638" s="3">
        <f t="shared" si="12"/>
        <v>3403.7797195691933</v>
      </c>
      <c r="K638" s="3">
        <f t="shared" si="13"/>
        <v>207</v>
      </c>
      <c r="L638" s="3" t="e">
        <f t="shared" si="14"/>
        <v>#N/A</v>
      </c>
      <c r="M638" s="3" t="e">
        <f t="shared" si="15"/>
        <v>#N/A</v>
      </c>
      <c r="N638" s="3" t="e">
        <f t="shared" si="16"/>
        <v>#N/A</v>
      </c>
      <c r="O638" s="3" t="e">
        <f t="shared" si="17"/>
        <v>#N/A</v>
      </c>
    </row>
    <row r="639" spans="1:15" ht="14.25" customHeight="1">
      <c r="A639" s="2" t="s">
        <v>39</v>
      </c>
      <c r="B639" s="2">
        <v>1970</v>
      </c>
      <c r="C639" s="2" t="s">
        <v>20</v>
      </c>
      <c r="D639" s="2">
        <v>19</v>
      </c>
      <c r="E639" s="2">
        <v>34</v>
      </c>
      <c r="J639" s="3">
        <f t="shared" si="12"/>
        <v>965.25096525096524</v>
      </c>
      <c r="K639" s="3">
        <f t="shared" si="13"/>
        <v>34</v>
      </c>
      <c r="L639" s="3" t="e">
        <f t="shared" si="14"/>
        <v>#N/A</v>
      </c>
      <c r="M639" s="3" t="e">
        <f t="shared" si="15"/>
        <v>#N/A</v>
      </c>
      <c r="N639" s="3" t="e">
        <f t="shared" si="16"/>
        <v>#N/A</v>
      </c>
      <c r="O639" s="3" t="e">
        <f t="shared" si="17"/>
        <v>#N/A</v>
      </c>
    </row>
    <row r="640" spans="1:15" ht="14.25" customHeight="1">
      <c r="A640" s="2" t="s">
        <v>40</v>
      </c>
      <c r="B640" s="2">
        <v>1970</v>
      </c>
      <c r="C640" s="2" t="s">
        <v>20</v>
      </c>
      <c r="D640" s="2">
        <v>5</v>
      </c>
      <c r="E640" s="2">
        <v>4</v>
      </c>
      <c r="J640" s="3">
        <f t="shared" si="12"/>
        <v>254.01341190814875</v>
      </c>
      <c r="K640" s="3">
        <f t="shared" si="13"/>
        <v>4</v>
      </c>
      <c r="L640" s="3" t="e">
        <f t="shared" si="14"/>
        <v>#N/A</v>
      </c>
      <c r="M640" s="3" t="e">
        <f t="shared" si="15"/>
        <v>#N/A</v>
      </c>
      <c r="N640" s="3" t="e">
        <f t="shared" si="16"/>
        <v>#N/A</v>
      </c>
      <c r="O640" s="3" t="e">
        <f t="shared" si="17"/>
        <v>#N/A</v>
      </c>
    </row>
    <row r="641" spans="1:15" ht="14.25" customHeight="1">
      <c r="A641" s="2" t="s">
        <v>15</v>
      </c>
      <c r="B641" s="2">
        <v>1970</v>
      </c>
      <c r="C641" s="2" t="s">
        <v>20</v>
      </c>
      <c r="D641" s="2">
        <v>91</v>
      </c>
      <c r="E641" s="2">
        <v>245</v>
      </c>
      <c r="J641" s="3">
        <f t="shared" si="12"/>
        <v>4623.0440967283075</v>
      </c>
      <c r="K641" s="3">
        <f t="shared" si="13"/>
        <v>245</v>
      </c>
      <c r="L641" s="3" t="e">
        <f t="shared" si="14"/>
        <v>#N/A</v>
      </c>
      <c r="M641" s="3" t="e">
        <f t="shared" si="15"/>
        <v>#N/A</v>
      </c>
      <c r="N641" s="3" t="e">
        <f t="shared" si="16"/>
        <v>#N/A</v>
      </c>
      <c r="O641" s="3" t="e">
        <f t="shared" si="17"/>
        <v>#N/A</v>
      </c>
    </row>
    <row r="642" spans="1:15" ht="14.25" customHeight="1">
      <c r="A642" s="2" t="s">
        <v>18</v>
      </c>
      <c r="B642" s="2">
        <v>1971</v>
      </c>
      <c r="C642" s="2" t="s">
        <v>20</v>
      </c>
      <c r="D642" s="2">
        <v>95</v>
      </c>
      <c r="E642" s="2">
        <v>298</v>
      </c>
      <c r="J642" s="3">
        <f t="shared" si="12"/>
        <v>4826.2548262548262</v>
      </c>
      <c r="K642" s="3">
        <f t="shared" si="13"/>
        <v>298</v>
      </c>
      <c r="L642" s="3" t="e">
        <f t="shared" si="14"/>
        <v>#N/A</v>
      </c>
      <c r="M642" s="3" t="e">
        <f t="shared" si="15"/>
        <v>#N/A</v>
      </c>
      <c r="N642" s="3" t="e">
        <f t="shared" si="16"/>
        <v>#N/A</v>
      </c>
      <c r="O642" s="3" t="e">
        <f t="shared" si="17"/>
        <v>#N/A</v>
      </c>
    </row>
    <row r="643" spans="1:15" ht="14.25" customHeight="1">
      <c r="A643" s="2" t="s">
        <v>39</v>
      </c>
      <c r="B643" s="2">
        <v>1971</v>
      </c>
      <c r="C643" s="2" t="s">
        <v>20</v>
      </c>
      <c r="D643" s="2">
        <v>28</v>
      </c>
      <c r="E643" s="2">
        <v>39</v>
      </c>
      <c r="J643" s="3">
        <f t="shared" si="12"/>
        <v>1422.4751066856329</v>
      </c>
      <c r="K643" s="3">
        <f t="shared" si="13"/>
        <v>39</v>
      </c>
      <c r="L643" s="3" t="e">
        <f t="shared" si="14"/>
        <v>#N/A</v>
      </c>
      <c r="M643" s="3" t="e">
        <f t="shared" si="15"/>
        <v>#N/A</v>
      </c>
      <c r="N643" s="3" t="e">
        <f t="shared" si="16"/>
        <v>#N/A</v>
      </c>
      <c r="O643" s="3" t="e">
        <f t="shared" si="17"/>
        <v>#N/A</v>
      </c>
    </row>
    <row r="644" spans="1:15" ht="14.25" customHeight="1">
      <c r="A644" s="2" t="s">
        <v>40</v>
      </c>
      <c r="B644" s="2">
        <v>1971</v>
      </c>
      <c r="C644" s="2" t="s">
        <v>20</v>
      </c>
      <c r="D644" s="2">
        <v>6</v>
      </c>
      <c r="E644" s="2">
        <v>5</v>
      </c>
      <c r="J644" s="3">
        <f t="shared" si="12"/>
        <v>304.81609428977845</v>
      </c>
      <c r="K644" s="3">
        <f t="shared" si="13"/>
        <v>5</v>
      </c>
      <c r="L644" s="3" t="e">
        <f t="shared" si="14"/>
        <v>#N/A</v>
      </c>
      <c r="M644" s="3" t="e">
        <f t="shared" si="15"/>
        <v>#N/A</v>
      </c>
      <c r="N644" s="3" t="e">
        <f t="shared" si="16"/>
        <v>#N/A</v>
      </c>
      <c r="O644" s="3" t="e">
        <f t="shared" si="17"/>
        <v>#N/A</v>
      </c>
    </row>
    <row r="645" spans="1:15" ht="14.25" customHeight="1">
      <c r="A645" s="2" t="s">
        <v>15</v>
      </c>
      <c r="B645" s="2">
        <v>1971</v>
      </c>
      <c r="C645" s="2" t="s">
        <v>20</v>
      </c>
      <c r="D645" s="2">
        <v>129</v>
      </c>
      <c r="E645" s="2">
        <v>342</v>
      </c>
      <c r="J645" s="3">
        <f t="shared" si="12"/>
        <v>6553.5460272302371</v>
      </c>
      <c r="K645" s="3">
        <f t="shared" si="13"/>
        <v>342</v>
      </c>
      <c r="L645" s="3" t="e">
        <f t="shared" si="14"/>
        <v>#N/A</v>
      </c>
      <c r="M645" s="3" t="e">
        <f t="shared" si="15"/>
        <v>#N/A</v>
      </c>
      <c r="N645" s="3" t="e">
        <f t="shared" si="16"/>
        <v>#N/A</v>
      </c>
      <c r="O645" s="3" t="e">
        <f t="shared" si="17"/>
        <v>#N/A</v>
      </c>
    </row>
    <row r="646" spans="1:15" ht="14.25" customHeight="1">
      <c r="A646" s="2" t="s">
        <v>18</v>
      </c>
      <c r="B646" s="2">
        <v>1972</v>
      </c>
      <c r="C646" s="2" t="s">
        <v>20</v>
      </c>
      <c r="D646" s="2">
        <v>137</v>
      </c>
      <c r="E646" s="2">
        <v>375</v>
      </c>
      <c r="J646" s="3">
        <f t="shared" si="12"/>
        <v>6959.9674862832753</v>
      </c>
      <c r="K646" s="3">
        <f t="shared" si="13"/>
        <v>375</v>
      </c>
      <c r="L646" s="3" t="e">
        <f t="shared" si="14"/>
        <v>#N/A</v>
      </c>
      <c r="M646" s="3" t="e">
        <f t="shared" si="15"/>
        <v>#N/A</v>
      </c>
      <c r="N646" s="3" t="e">
        <f t="shared" si="16"/>
        <v>#N/A</v>
      </c>
      <c r="O646" s="3" t="e">
        <f t="shared" si="17"/>
        <v>#N/A</v>
      </c>
    </row>
    <row r="647" spans="1:15" ht="14.25" customHeight="1">
      <c r="A647" s="2" t="s">
        <v>39</v>
      </c>
      <c r="B647" s="2">
        <v>1972</v>
      </c>
      <c r="C647" s="2" t="s">
        <v>20</v>
      </c>
      <c r="D647" s="2">
        <v>35</v>
      </c>
      <c r="E647" s="2">
        <v>55</v>
      </c>
      <c r="J647" s="3">
        <f t="shared" si="12"/>
        <v>1778.0938833570412</v>
      </c>
      <c r="K647" s="3">
        <f t="shared" si="13"/>
        <v>55</v>
      </c>
      <c r="L647" s="3" t="e">
        <f t="shared" si="14"/>
        <v>#N/A</v>
      </c>
      <c r="M647" s="3" t="e">
        <f t="shared" si="15"/>
        <v>#N/A</v>
      </c>
      <c r="N647" s="3" t="e">
        <f t="shared" si="16"/>
        <v>#N/A</v>
      </c>
      <c r="O647" s="3" t="e">
        <f t="shared" si="17"/>
        <v>#N/A</v>
      </c>
    </row>
    <row r="648" spans="1:15" ht="14.25" customHeight="1">
      <c r="A648" s="2" t="s">
        <v>40</v>
      </c>
      <c r="B648" s="2">
        <v>1972</v>
      </c>
      <c r="C648" s="2" t="s">
        <v>20</v>
      </c>
      <c r="D648" s="2">
        <v>1</v>
      </c>
      <c r="E648" s="2">
        <v>1</v>
      </c>
      <c r="J648" s="3">
        <f t="shared" si="12"/>
        <v>50.802682381629751</v>
      </c>
      <c r="K648" s="3">
        <f t="shared" si="13"/>
        <v>1</v>
      </c>
      <c r="L648" s="3" t="e">
        <f t="shared" si="14"/>
        <v>#N/A</v>
      </c>
      <c r="M648" s="3" t="e">
        <f t="shared" si="15"/>
        <v>#N/A</v>
      </c>
      <c r="N648" s="3" t="e">
        <f t="shared" si="16"/>
        <v>#N/A</v>
      </c>
      <c r="O648" s="3" t="e">
        <f t="shared" si="17"/>
        <v>#N/A</v>
      </c>
    </row>
    <row r="649" spans="1:15" ht="14.25" customHeight="1">
      <c r="A649" s="2" t="s">
        <v>15</v>
      </c>
      <c r="B649" s="2">
        <v>1972</v>
      </c>
      <c r="C649" s="2" t="s">
        <v>20</v>
      </c>
      <c r="D649" s="2">
        <v>173</v>
      </c>
      <c r="E649" s="2">
        <v>431</v>
      </c>
      <c r="H649" s="2">
        <v>66</v>
      </c>
      <c r="I649" s="2">
        <v>640</v>
      </c>
      <c r="J649" s="3">
        <f t="shared" si="12"/>
        <v>8788.8640520219469</v>
      </c>
      <c r="K649" s="3">
        <f t="shared" si="13"/>
        <v>431</v>
      </c>
      <c r="L649" s="3" t="e">
        <f t="shared" si="14"/>
        <v>#N/A</v>
      </c>
      <c r="M649" s="3" t="e">
        <f t="shared" si="15"/>
        <v>#N/A</v>
      </c>
      <c r="N649" s="3">
        <f t="shared" si="16"/>
        <v>3352.9770371875634</v>
      </c>
      <c r="O649" s="3">
        <f t="shared" si="17"/>
        <v>640</v>
      </c>
    </row>
    <row r="650" spans="1:15" ht="14.25" customHeight="1">
      <c r="A650" s="2" t="s">
        <v>18</v>
      </c>
      <c r="B650" s="2">
        <v>1973</v>
      </c>
      <c r="C650" s="2" t="s">
        <v>20</v>
      </c>
      <c r="D650" s="2">
        <v>258</v>
      </c>
      <c r="E650" s="2">
        <v>715</v>
      </c>
      <c r="J650" s="3">
        <f t="shared" si="12"/>
        <v>13107.092054460474</v>
      </c>
      <c r="K650" s="3">
        <f t="shared" si="13"/>
        <v>715</v>
      </c>
      <c r="L650" s="3" t="e">
        <f t="shared" si="14"/>
        <v>#N/A</v>
      </c>
      <c r="M650" s="3" t="e">
        <f t="shared" si="15"/>
        <v>#N/A</v>
      </c>
      <c r="N650" s="3" t="e">
        <f t="shared" si="16"/>
        <v>#N/A</v>
      </c>
      <c r="O650" s="3" t="e">
        <f t="shared" si="17"/>
        <v>#N/A</v>
      </c>
    </row>
    <row r="651" spans="1:15" ht="14.25" customHeight="1">
      <c r="A651" s="2" t="s">
        <v>39</v>
      </c>
      <c r="B651" s="2">
        <v>1973</v>
      </c>
      <c r="C651" s="2" t="s">
        <v>20</v>
      </c>
      <c r="D651" s="2">
        <v>161</v>
      </c>
      <c r="E651" s="2">
        <v>379</v>
      </c>
      <c r="J651" s="3">
        <f t="shared" si="12"/>
        <v>8179.2318634423891</v>
      </c>
      <c r="K651" s="3">
        <f t="shared" si="13"/>
        <v>379</v>
      </c>
      <c r="L651" s="3" t="e">
        <f t="shared" si="14"/>
        <v>#N/A</v>
      </c>
      <c r="M651" s="3" t="e">
        <f t="shared" si="15"/>
        <v>#N/A</v>
      </c>
      <c r="N651" s="3" t="e">
        <f t="shared" si="16"/>
        <v>#N/A</v>
      </c>
      <c r="O651" s="3" t="e">
        <f t="shared" si="17"/>
        <v>#N/A</v>
      </c>
    </row>
    <row r="652" spans="1:15" ht="14.25" customHeight="1">
      <c r="A652" s="2" t="s">
        <v>40</v>
      </c>
      <c r="B652" s="2">
        <v>1973</v>
      </c>
      <c r="C652" s="2" t="s">
        <v>20</v>
      </c>
      <c r="D652" s="2">
        <v>2</v>
      </c>
      <c r="E652" s="2">
        <v>3</v>
      </c>
      <c r="J652" s="3">
        <f t="shared" si="12"/>
        <v>101.6053647632595</v>
      </c>
      <c r="K652" s="3">
        <f t="shared" si="13"/>
        <v>3</v>
      </c>
      <c r="L652" s="3" t="e">
        <f t="shared" si="14"/>
        <v>#N/A</v>
      </c>
      <c r="M652" s="3" t="e">
        <f t="shared" si="15"/>
        <v>#N/A</v>
      </c>
      <c r="N652" s="3" t="e">
        <f t="shared" si="16"/>
        <v>#N/A</v>
      </c>
      <c r="O652" s="3" t="e">
        <f t="shared" si="17"/>
        <v>#N/A</v>
      </c>
    </row>
    <row r="653" spans="1:15" ht="14.25" customHeight="1">
      <c r="A653" s="2" t="s">
        <v>15</v>
      </c>
      <c r="B653" s="2">
        <v>1973</v>
      </c>
      <c r="C653" s="2" t="s">
        <v>20</v>
      </c>
      <c r="D653" s="2">
        <v>421</v>
      </c>
      <c r="E653" s="2">
        <v>1097</v>
      </c>
      <c r="H653" s="2">
        <v>66</v>
      </c>
      <c r="I653" s="2">
        <v>798</v>
      </c>
      <c r="J653" s="3">
        <f t="shared" si="12"/>
        <v>21387.929282666126</v>
      </c>
      <c r="K653" s="3">
        <f t="shared" si="13"/>
        <v>1097</v>
      </c>
      <c r="L653" s="3" t="e">
        <f t="shared" si="14"/>
        <v>#N/A</v>
      </c>
      <c r="M653" s="3" t="e">
        <f t="shared" si="15"/>
        <v>#N/A</v>
      </c>
      <c r="N653" s="3">
        <f t="shared" si="16"/>
        <v>3352.9770371875634</v>
      </c>
      <c r="O653" s="3">
        <f t="shared" si="17"/>
        <v>798</v>
      </c>
    </row>
    <row r="654" spans="1:15" ht="14.25" customHeight="1">
      <c r="A654" s="2" t="s">
        <v>15</v>
      </c>
      <c r="B654" s="2">
        <v>1965</v>
      </c>
      <c r="C654" s="2" t="s">
        <v>29</v>
      </c>
      <c r="H654" s="2">
        <f>15+88+862</f>
        <v>965</v>
      </c>
      <c r="I654" s="2">
        <f>565+2582+28252</f>
        <v>31399</v>
      </c>
      <c r="J654" s="3" t="e">
        <f t="shared" si="12"/>
        <v>#N/A</v>
      </c>
      <c r="K654" s="3" t="e">
        <f t="shared" si="13"/>
        <v>#N/A</v>
      </c>
      <c r="L654" s="3" t="e">
        <f t="shared" si="14"/>
        <v>#N/A</v>
      </c>
      <c r="M654" s="3" t="e">
        <f t="shared" si="15"/>
        <v>#N/A</v>
      </c>
      <c r="N654" s="3">
        <f t="shared" si="16"/>
        <v>49024.588498272708</v>
      </c>
      <c r="O654" s="3">
        <f t="shared" si="17"/>
        <v>31399</v>
      </c>
    </row>
    <row r="655" spans="1:15" ht="14.25" customHeight="1">
      <c r="A655" s="2" t="s">
        <v>15</v>
      </c>
      <c r="B655" s="2">
        <v>1966</v>
      </c>
      <c r="C655" s="2" t="s">
        <v>29</v>
      </c>
      <c r="H655" s="2">
        <f>13+102+600</f>
        <v>715</v>
      </c>
      <c r="I655" s="2">
        <f>555+2933+20102</f>
        <v>23590</v>
      </c>
      <c r="J655" s="3" t="e">
        <f t="shared" si="12"/>
        <v>#N/A</v>
      </c>
      <c r="K655" s="3" t="e">
        <f t="shared" si="13"/>
        <v>#N/A</v>
      </c>
      <c r="L655" s="3" t="e">
        <f t="shared" si="14"/>
        <v>#N/A</v>
      </c>
      <c r="M655" s="3" t="e">
        <f t="shared" si="15"/>
        <v>#N/A</v>
      </c>
      <c r="N655" s="3">
        <f t="shared" si="16"/>
        <v>36323.917902865265</v>
      </c>
      <c r="O655" s="3">
        <f t="shared" si="17"/>
        <v>23590</v>
      </c>
    </row>
    <row r="656" spans="1:15" ht="14.25" customHeight="1">
      <c r="A656" s="2" t="s">
        <v>15</v>
      </c>
      <c r="B656" s="2">
        <v>1965</v>
      </c>
      <c r="C656" s="2" t="s">
        <v>43</v>
      </c>
      <c r="H656" s="2">
        <v>48</v>
      </c>
      <c r="I656" s="2">
        <v>686</v>
      </c>
      <c r="J656" s="3" t="e">
        <f t="shared" si="12"/>
        <v>#N/A</v>
      </c>
      <c r="K656" s="3" t="e">
        <f t="shared" si="13"/>
        <v>#N/A</v>
      </c>
      <c r="L656" s="3" t="e">
        <f t="shared" si="14"/>
        <v>#N/A</v>
      </c>
      <c r="M656" s="3" t="e">
        <f t="shared" si="15"/>
        <v>#N/A</v>
      </c>
      <c r="N656" s="3">
        <f t="shared" si="16"/>
        <v>2438.5287543182276</v>
      </c>
      <c r="O656" s="3">
        <f t="shared" si="17"/>
        <v>686</v>
      </c>
    </row>
    <row r="657" spans="1:15" ht="14.25" customHeight="1">
      <c r="A657" s="2" t="s">
        <v>15</v>
      </c>
      <c r="B657" s="2">
        <v>1966</v>
      </c>
      <c r="C657" s="2" t="s">
        <v>43</v>
      </c>
      <c r="H657" s="2">
        <v>62</v>
      </c>
      <c r="I657" s="2">
        <v>983</v>
      </c>
      <c r="J657" s="3" t="e">
        <f t="shared" si="12"/>
        <v>#N/A</v>
      </c>
      <c r="K657" s="3" t="e">
        <f t="shared" si="13"/>
        <v>#N/A</v>
      </c>
      <c r="L657" s="3" t="e">
        <f t="shared" si="14"/>
        <v>#N/A</v>
      </c>
      <c r="M657" s="3" t="e">
        <f t="shared" si="15"/>
        <v>#N/A</v>
      </c>
      <c r="N657" s="3">
        <f t="shared" si="16"/>
        <v>3149.7663076610443</v>
      </c>
      <c r="O657" s="3">
        <f t="shared" si="17"/>
        <v>983</v>
      </c>
    </row>
    <row r="658" spans="1:15" ht="14.25" customHeight="1">
      <c r="A658" s="2" t="s">
        <v>15</v>
      </c>
      <c r="B658" s="2">
        <v>1967</v>
      </c>
      <c r="C658" s="2" t="s">
        <v>29</v>
      </c>
      <c r="H658" s="2">
        <f>16+106+788</f>
        <v>910</v>
      </c>
      <c r="I658" s="2">
        <f>588+3243+27419</f>
        <v>31250</v>
      </c>
      <c r="J658" s="3" t="e">
        <f t="shared" si="12"/>
        <v>#N/A</v>
      </c>
      <c r="K658" s="3" t="e">
        <f t="shared" si="13"/>
        <v>#N/A</v>
      </c>
      <c r="L658" s="3" t="e">
        <f t="shared" si="14"/>
        <v>#N/A</v>
      </c>
      <c r="M658" s="3" t="e">
        <f t="shared" si="15"/>
        <v>#N/A</v>
      </c>
      <c r="N658" s="3">
        <f t="shared" si="16"/>
        <v>46230.440967283073</v>
      </c>
      <c r="O658" s="3">
        <f t="shared" si="17"/>
        <v>31250</v>
      </c>
    </row>
    <row r="659" spans="1:15" ht="14.25" customHeight="1">
      <c r="A659" s="2" t="s">
        <v>15</v>
      </c>
      <c r="B659" s="2">
        <v>1968</v>
      </c>
      <c r="C659" s="2" t="s">
        <v>29</v>
      </c>
      <c r="H659" s="2">
        <f>21+90+876</f>
        <v>987</v>
      </c>
      <c r="I659" s="2">
        <f>548+3165+32766</f>
        <v>36479</v>
      </c>
      <c r="J659" s="3" t="e">
        <f t="shared" si="12"/>
        <v>#N/A</v>
      </c>
      <c r="K659" s="3" t="e">
        <f t="shared" si="13"/>
        <v>#N/A</v>
      </c>
      <c r="L659" s="3" t="e">
        <f t="shared" si="14"/>
        <v>#N/A</v>
      </c>
      <c r="M659" s="3" t="e">
        <f t="shared" si="15"/>
        <v>#N/A</v>
      </c>
      <c r="N659" s="3">
        <f t="shared" si="16"/>
        <v>50142.24751066856</v>
      </c>
      <c r="O659" s="3">
        <f t="shared" si="17"/>
        <v>36479</v>
      </c>
    </row>
    <row r="660" spans="1:15" ht="14.25" customHeight="1">
      <c r="A660" s="2" t="s">
        <v>15</v>
      </c>
      <c r="B660" s="2">
        <v>1967</v>
      </c>
      <c r="C660" s="2" t="s">
        <v>43</v>
      </c>
      <c r="H660" s="2">
        <v>72</v>
      </c>
      <c r="I660" s="2">
        <v>1193</v>
      </c>
      <c r="J660" s="3" t="e">
        <f t="shared" si="12"/>
        <v>#N/A</v>
      </c>
      <c r="K660" s="3" t="e">
        <f t="shared" si="13"/>
        <v>#N/A</v>
      </c>
      <c r="L660" s="3" t="e">
        <f t="shared" si="14"/>
        <v>#N/A</v>
      </c>
      <c r="M660" s="3" t="e">
        <f t="shared" si="15"/>
        <v>#N/A</v>
      </c>
      <c r="N660" s="3">
        <f t="shared" si="16"/>
        <v>3657.7931314773418</v>
      </c>
      <c r="O660" s="3">
        <f t="shared" si="17"/>
        <v>1193</v>
      </c>
    </row>
    <row r="661" spans="1:15" ht="14.25" customHeight="1">
      <c r="A661" s="2" t="s">
        <v>15</v>
      </c>
      <c r="B661" s="2">
        <v>1968</v>
      </c>
      <c r="C661" s="2" t="s">
        <v>43</v>
      </c>
      <c r="H661" s="2">
        <v>84</v>
      </c>
      <c r="I661" s="2">
        <v>1536</v>
      </c>
      <c r="J661" s="3" t="e">
        <f t="shared" si="12"/>
        <v>#N/A</v>
      </c>
      <c r="K661" s="3" t="e">
        <f t="shared" si="13"/>
        <v>#N/A</v>
      </c>
      <c r="L661" s="3" t="e">
        <f t="shared" si="14"/>
        <v>#N/A</v>
      </c>
      <c r="M661" s="3" t="e">
        <f t="shared" si="15"/>
        <v>#N/A</v>
      </c>
      <c r="N661" s="3">
        <f t="shared" si="16"/>
        <v>4267.4253200568983</v>
      </c>
      <c r="O661" s="3">
        <f t="shared" si="17"/>
        <v>1536</v>
      </c>
    </row>
    <row r="662" spans="1:15" ht="14.25" customHeight="1">
      <c r="A662" s="2" t="s">
        <v>15</v>
      </c>
      <c r="B662" s="2">
        <v>1969</v>
      </c>
      <c r="C662" s="2" t="s">
        <v>29</v>
      </c>
      <c r="H662" s="2">
        <f>14+88+610</f>
        <v>712</v>
      </c>
      <c r="I662" s="2">
        <f>735+3337+24921</f>
        <v>28993</v>
      </c>
      <c r="J662" s="3" t="e">
        <f t="shared" si="12"/>
        <v>#N/A</v>
      </c>
      <c r="K662" s="3" t="e">
        <f t="shared" si="13"/>
        <v>#N/A</v>
      </c>
      <c r="L662" s="3" t="e">
        <f t="shared" si="14"/>
        <v>#N/A</v>
      </c>
      <c r="M662" s="3" t="e">
        <f t="shared" si="15"/>
        <v>#N/A</v>
      </c>
      <c r="N662" s="3">
        <f t="shared" si="16"/>
        <v>36171.509855720382</v>
      </c>
      <c r="O662" s="3">
        <f t="shared" si="17"/>
        <v>28993</v>
      </c>
    </row>
    <row r="663" spans="1:15" ht="14.25" customHeight="1">
      <c r="A663" s="2" t="s">
        <v>15</v>
      </c>
      <c r="B663" s="2">
        <v>1970</v>
      </c>
      <c r="C663" s="2" t="s">
        <v>29</v>
      </c>
      <c r="H663" s="2">
        <f>12+1+81+473</f>
        <v>567</v>
      </c>
      <c r="I663" s="2">
        <f>531+49+3502+20957</f>
        <v>25039</v>
      </c>
      <c r="J663" s="3" t="e">
        <f t="shared" si="12"/>
        <v>#N/A</v>
      </c>
      <c r="K663" s="3" t="e">
        <f t="shared" si="13"/>
        <v>#N/A</v>
      </c>
      <c r="L663" s="3" t="e">
        <f t="shared" si="14"/>
        <v>#N/A</v>
      </c>
      <c r="M663" s="3" t="e">
        <f t="shared" si="15"/>
        <v>#N/A</v>
      </c>
      <c r="N663" s="3">
        <f t="shared" si="16"/>
        <v>28805.120910384067</v>
      </c>
      <c r="O663" s="3">
        <f t="shared" si="17"/>
        <v>25039</v>
      </c>
    </row>
    <row r="664" spans="1:15" ht="14.25" customHeight="1">
      <c r="A664" s="2" t="s">
        <v>15</v>
      </c>
      <c r="B664" s="2">
        <v>1969</v>
      </c>
      <c r="C664" s="2" t="s">
        <v>43</v>
      </c>
      <c r="H664" s="2">
        <v>97</v>
      </c>
      <c r="I664" s="2">
        <v>1987</v>
      </c>
      <c r="J664" s="3" t="e">
        <f t="shared" si="12"/>
        <v>#N/A</v>
      </c>
      <c r="K664" s="3" t="e">
        <f t="shared" si="13"/>
        <v>#N/A</v>
      </c>
      <c r="L664" s="3" t="e">
        <f t="shared" si="14"/>
        <v>#N/A</v>
      </c>
      <c r="M664" s="3" t="e">
        <f t="shared" si="15"/>
        <v>#N/A</v>
      </c>
      <c r="N664" s="3">
        <f t="shared" si="16"/>
        <v>4927.860191018086</v>
      </c>
      <c r="O664" s="3">
        <f t="shared" si="17"/>
        <v>1987</v>
      </c>
    </row>
    <row r="665" spans="1:15" ht="14.25" customHeight="1">
      <c r="A665" s="2" t="s">
        <v>15</v>
      </c>
      <c r="B665" s="2">
        <v>1970</v>
      </c>
      <c r="C665" s="2" t="s">
        <v>43</v>
      </c>
      <c r="H665" s="2">
        <v>101</v>
      </c>
      <c r="I665" s="2">
        <v>2286</v>
      </c>
      <c r="J665" s="3" t="e">
        <f t="shared" si="12"/>
        <v>#N/A</v>
      </c>
      <c r="K665" s="3" t="e">
        <f t="shared" si="13"/>
        <v>#N/A</v>
      </c>
      <c r="L665" s="3" t="e">
        <f t="shared" si="14"/>
        <v>#N/A</v>
      </c>
      <c r="M665" s="3" t="e">
        <f t="shared" si="15"/>
        <v>#N/A</v>
      </c>
      <c r="N665" s="3">
        <f t="shared" si="16"/>
        <v>5131.0709205446046</v>
      </c>
      <c r="O665" s="3">
        <f t="shared" si="17"/>
        <v>2286</v>
      </c>
    </row>
    <row r="666" spans="1:15" ht="14.25" customHeight="1">
      <c r="A666" s="2" t="s">
        <v>15</v>
      </c>
      <c r="B666" s="2">
        <v>1971</v>
      </c>
      <c r="C666" s="2" t="s">
        <v>29</v>
      </c>
      <c r="H666" s="2">
        <f>7+2+85+658</f>
        <v>752</v>
      </c>
      <c r="I666" s="2">
        <f>387+89+3440+29891</f>
        <v>33807</v>
      </c>
      <c r="J666" s="3" t="e">
        <f t="shared" si="12"/>
        <v>#N/A</v>
      </c>
      <c r="K666" s="3" t="e">
        <f t="shared" si="13"/>
        <v>#N/A</v>
      </c>
      <c r="L666" s="3" t="e">
        <f t="shared" si="14"/>
        <v>#N/A</v>
      </c>
      <c r="M666" s="3" t="e">
        <f t="shared" si="15"/>
        <v>#N/A</v>
      </c>
      <c r="N666" s="3">
        <f t="shared" si="16"/>
        <v>38203.61715098557</v>
      </c>
      <c r="O666" s="3">
        <f t="shared" si="17"/>
        <v>33807</v>
      </c>
    </row>
    <row r="667" spans="1:15" ht="14.25" customHeight="1">
      <c r="A667" s="2" t="s">
        <v>15</v>
      </c>
      <c r="B667" s="2">
        <v>1972</v>
      </c>
      <c r="C667" s="2" t="s">
        <v>29</v>
      </c>
      <c r="H667" s="2">
        <f>7+1+106+660</f>
        <v>774</v>
      </c>
      <c r="I667" s="2">
        <f>513+59+5078+31421</f>
        <v>37071</v>
      </c>
      <c r="J667" s="3" t="e">
        <f t="shared" si="12"/>
        <v>#N/A</v>
      </c>
      <c r="K667" s="3" t="e">
        <f t="shared" si="13"/>
        <v>#N/A</v>
      </c>
      <c r="L667" s="3" t="e">
        <f t="shared" si="14"/>
        <v>#N/A</v>
      </c>
      <c r="M667" s="3" t="e">
        <f t="shared" si="15"/>
        <v>#N/A</v>
      </c>
      <c r="N667" s="3">
        <f t="shared" si="16"/>
        <v>39321.27616338143</v>
      </c>
      <c r="O667" s="3">
        <f t="shared" si="17"/>
        <v>37071</v>
      </c>
    </row>
    <row r="668" spans="1:15" ht="14.25" customHeight="1">
      <c r="A668" s="2" t="s">
        <v>15</v>
      </c>
      <c r="B668" s="2">
        <v>1971</v>
      </c>
      <c r="C668" s="2" t="s">
        <v>43</v>
      </c>
      <c r="H668" s="2">
        <v>46</v>
      </c>
      <c r="I668" s="2">
        <v>1164</v>
      </c>
      <c r="J668" s="3" t="e">
        <f t="shared" si="12"/>
        <v>#N/A</v>
      </c>
      <c r="K668" s="3" t="e">
        <f t="shared" si="13"/>
        <v>#N/A</v>
      </c>
      <c r="L668" s="3" t="e">
        <f t="shared" si="14"/>
        <v>#N/A</v>
      </c>
      <c r="M668" s="3" t="e">
        <f t="shared" si="15"/>
        <v>#N/A</v>
      </c>
      <c r="N668" s="3">
        <f t="shared" si="16"/>
        <v>2336.9233895549683</v>
      </c>
      <c r="O668" s="3">
        <f t="shared" si="17"/>
        <v>1164</v>
      </c>
    </row>
    <row r="669" spans="1:15" ht="14.25" customHeight="1">
      <c r="A669" s="2" t="s">
        <v>15</v>
      </c>
      <c r="B669" s="2">
        <v>1972</v>
      </c>
      <c r="C669" s="2" t="s">
        <v>43</v>
      </c>
      <c r="H669" s="2">
        <v>65</v>
      </c>
      <c r="I669" s="2">
        <v>1903</v>
      </c>
      <c r="J669" s="3" t="e">
        <f t="shared" si="12"/>
        <v>#N/A</v>
      </c>
      <c r="K669" s="3" t="e">
        <f t="shared" si="13"/>
        <v>#N/A</v>
      </c>
      <c r="L669" s="3" t="e">
        <f t="shared" si="14"/>
        <v>#N/A</v>
      </c>
      <c r="M669" s="3" t="e">
        <f t="shared" si="15"/>
        <v>#N/A</v>
      </c>
      <c r="N669" s="3">
        <f t="shared" si="16"/>
        <v>3302.1743548059335</v>
      </c>
      <c r="O669" s="3">
        <f t="shared" si="17"/>
        <v>1903</v>
      </c>
    </row>
    <row r="670" spans="1:15" ht="14.25" customHeight="1">
      <c r="A670" s="2" t="s">
        <v>15</v>
      </c>
      <c r="B670" s="2">
        <v>1973</v>
      </c>
      <c r="C670" s="2" t="s">
        <v>29</v>
      </c>
      <c r="H670" s="2">
        <f>5+95+475</f>
        <v>575</v>
      </c>
      <c r="I670" s="2">
        <f>355+5433+37382</f>
        <v>43170</v>
      </c>
      <c r="J670" s="3" t="e">
        <f t="shared" si="12"/>
        <v>#N/A</v>
      </c>
      <c r="K670" s="3" t="e">
        <f t="shared" si="13"/>
        <v>#N/A</v>
      </c>
      <c r="L670" s="3" t="e">
        <f t="shared" si="14"/>
        <v>#N/A</v>
      </c>
      <c r="M670" s="3" t="e">
        <f t="shared" si="15"/>
        <v>#N/A</v>
      </c>
      <c r="N670" s="3">
        <f t="shared" si="16"/>
        <v>29211.542369437106</v>
      </c>
      <c r="O670" s="3">
        <f t="shared" si="17"/>
        <v>43170</v>
      </c>
    </row>
    <row r="671" spans="1:15" ht="14.25" customHeight="1">
      <c r="A671" s="2" t="s">
        <v>15</v>
      </c>
      <c r="B671" s="2">
        <v>1974</v>
      </c>
      <c r="C671" s="2" t="s">
        <v>29</v>
      </c>
      <c r="H671" s="2">
        <f>10+81+272</f>
        <v>363</v>
      </c>
      <c r="I671" s="2">
        <f>420+4811+23984</f>
        <v>29215</v>
      </c>
      <c r="J671" s="3" t="e">
        <f t="shared" si="12"/>
        <v>#N/A</v>
      </c>
      <c r="K671" s="3" t="e">
        <f t="shared" si="13"/>
        <v>#N/A</v>
      </c>
      <c r="L671" s="3" t="e">
        <f t="shared" si="14"/>
        <v>#N/A</v>
      </c>
      <c r="M671" s="3" t="e">
        <f t="shared" si="15"/>
        <v>#N/A</v>
      </c>
      <c r="N671" s="3">
        <f t="shared" si="16"/>
        <v>18441.373704531601</v>
      </c>
      <c r="O671" s="3">
        <f t="shared" si="17"/>
        <v>29215</v>
      </c>
    </row>
    <row r="672" spans="1:15" ht="14.25" customHeight="1">
      <c r="A672" s="2" t="s">
        <v>15</v>
      </c>
      <c r="B672" s="2">
        <v>1973</v>
      </c>
      <c r="C672" s="2" t="s">
        <v>43</v>
      </c>
      <c r="H672" s="2">
        <v>160</v>
      </c>
      <c r="I672" s="2">
        <v>5723</v>
      </c>
      <c r="J672" s="3" t="e">
        <f t="shared" si="12"/>
        <v>#N/A</v>
      </c>
      <c r="K672" s="3" t="e">
        <f t="shared" si="13"/>
        <v>#N/A</v>
      </c>
      <c r="L672" s="3" t="e">
        <f t="shared" si="14"/>
        <v>#N/A</v>
      </c>
      <c r="M672" s="3" t="e">
        <f t="shared" si="15"/>
        <v>#N/A</v>
      </c>
      <c r="N672" s="3">
        <f t="shared" si="16"/>
        <v>8128.4291810607601</v>
      </c>
      <c r="O672" s="3">
        <f t="shared" si="17"/>
        <v>5723</v>
      </c>
    </row>
    <row r="673" spans="1:16" ht="14.25" customHeight="1">
      <c r="A673" s="2" t="s">
        <v>15</v>
      </c>
      <c r="B673" s="2">
        <v>1974</v>
      </c>
      <c r="C673" s="2" t="s">
        <v>43</v>
      </c>
      <c r="H673" s="2">
        <v>107</v>
      </c>
      <c r="I673" s="2">
        <v>5266</v>
      </c>
      <c r="J673" s="3" t="e">
        <f t="shared" si="12"/>
        <v>#N/A</v>
      </c>
      <c r="K673" s="3" t="e">
        <f t="shared" si="13"/>
        <v>#N/A</v>
      </c>
      <c r="L673" s="3" t="e">
        <f t="shared" si="14"/>
        <v>#N/A</v>
      </c>
      <c r="M673" s="3" t="e">
        <f t="shared" si="15"/>
        <v>#N/A</v>
      </c>
      <c r="N673" s="3">
        <f t="shared" si="16"/>
        <v>5435.8870148343831</v>
      </c>
      <c r="O673" s="3">
        <f t="shared" si="17"/>
        <v>5266</v>
      </c>
    </row>
    <row r="674" spans="1:16" ht="14.25" customHeight="1">
      <c r="K674" s="3"/>
      <c r="L674" s="3"/>
      <c r="M674" s="3"/>
      <c r="N674" s="3"/>
      <c r="O674" s="3"/>
      <c r="P674" s="3"/>
    </row>
    <row r="675" spans="1:16" ht="14.25" customHeight="1">
      <c r="K675" s="3"/>
      <c r="L675" s="3"/>
      <c r="M675" s="3"/>
      <c r="N675" s="3"/>
      <c r="O675" s="3"/>
      <c r="P675" s="3"/>
    </row>
    <row r="676" spans="1:16" ht="14.25" customHeight="1"/>
    <row r="677" spans="1:16" ht="14.25" customHeight="1"/>
    <row r="678" spans="1:16" ht="14.25" customHeight="1"/>
    <row r="679" spans="1:16" ht="14.25" customHeight="1"/>
    <row r="680" spans="1:16" ht="14.25" customHeight="1"/>
    <row r="681" spans="1:16" ht="14.25" customHeight="1"/>
    <row r="682" spans="1:16" ht="14.25" customHeight="1"/>
    <row r="683" spans="1:16" ht="14.25" customHeight="1"/>
    <row r="684" spans="1:16" ht="14.25" customHeight="1"/>
    <row r="685" spans="1:16" ht="14.25" customHeight="1"/>
    <row r="686" spans="1:16" ht="14.25" customHeight="1"/>
    <row r="687" spans="1:16" ht="14.25" customHeight="1"/>
    <row r="688" spans="1:16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5306"/>
  <sheetViews>
    <sheetView workbookViewId="0">
      <pane xSplit="3" ySplit="1" topLeftCell="I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28515625" customWidth="1"/>
    <col min="2" max="2" width="5.85546875" customWidth="1"/>
    <col min="3" max="9" width="14.28515625" customWidth="1"/>
    <col min="10" max="10" width="16.28515625" customWidth="1"/>
    <col min="11" max="11" width="15.28515625" customWidth="1"/>
    <col min="12" max="12" width="8.28515625" customWidth="1"/>
    <col min="13" max="13" width="13.42578125" customWidth="1"/>
    <col min="14" max="14" width="8.28515625" customWidth="1"/>
    <col min="15" max="15" width="14.140625" customWidth="1"/>
    <col min="16" max="18" width="11.85546875" customWidth="1"/>
    <col min="19" max="19" width="6.85546875" customWidth="1"/>
    <col min="20" max="21" width="11.85546875" customWidth="1"/>
  </cols>
  <sheetData>
    <row r="1" spans="1:21" ht="25.5" customHeight="1">
      <c r="A1" s="1" t="s">
        <v>0</v>
      </c>
      <c r="B1" s="1" t="s">
        <v>1</v>
      </c>
      <c r="C1" s="1" t="s">
        <v>2</v>
      </c>
      <c r="D1" s="1" t="s">
        <v>78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84</v>
      </c>
      <c r="Q1" s="1" t="s">
        <v>85</v>
      </c>
      <c r="R1" s="1" t="s">
        <v>86</v>
      </c>
      <c r="S1" s="4" t="s">
        <v>87</v>
      </c>
      <c r="T1" s="1" t="s">
        <v>88</v>
      </c>
      <c r="U1" s="1" t="s">
        <v>89</v>
      </c>
    </row>
    <row r="2" spans="1:21" ht="14.25" customHeight="1">
      <c r="A2" s="2" t="s">
        <v>15</v>
      </c>
      <c r="B2" s="2">
        <v>1900</v>
      </c>
      <c r="C2" s="2" t="s">
        <v>16</v>
      </c>
      <c r="D2" s="3">
        <f t="shared" ref="D2:D65" si="0">IF(J2="", NA(), J2/1000)</f>
        <v>745.32970940865664</v>
      </c>
      <c r="E2" s="3">
        <f t="shared" ref="E2:E65" si="1">IF(K2="", NA(), K2/1000)</f>
        <v>9.7147050000000004</v>
      </c>
      <c r="F2" s="3" t="e">
        <f t="shared" ref="F2:F65" si="2">IF(L2="", NA(), L2/1000)</f>
        <v>#VALUE!</v>
      </c>
      <c r="G2" s="3">
        <f t="shared" ref="G2:G65" si="3">IF(M2="", NA(), M2/1000)</f>
        <v>3.0008520000000001</v>
      </c>
      <c r="H2" s="3">
        <f t="shared" ref="H2:H65" si="4">IF(N2="", NA(), N2/1000)</f>
        <v>113.1025706157285</v>
      </c>
      <c r="I2" s="3">
        <f t="shared" ref="I2:I65" si="5">IF(O2="", NA(), O2/1000)</f>
        <v>3.6369229999999999</v>
      </c>
      <c r="J2" s="3">
        <v>745329.70940865669</v>
      </c>
      <c r="K2" s="3">
        <v>9714.7049999999999</v>
      </c>
      <c r="L2" s="3" t="e">
        <v>#VALUE!</v>
      </c>
      <c r="M2" s="3">
        <v>3000.8519999999999</v>
      </c>
      <c r="N2" s="3">
        <v>113102.5706157285</v>
      </c>
      <c r="O2" s="3">
        <v>3636.9229999999998</v>
      </c>
      <c r="P2" s="3">
        <f>E2*(VLOOKUP(B2,Price_data!A$1:B$190,2,FALSE))</f>
        <v>709.38465423490663</v>
      </c>
      <c r="Q2" s="3">
        <f>G2*(VLOOKUP(B2,Price_data!A$1:B$190,2,FALSE))</f>
        <v>219.12743191173877</v>
      </c>
      <c r="R2" s="3">
        <f>I2*(VLOOKUP(B2,Price_data!A$1:B$190,2,FALSE))</f>
        <v>265.57444254189699</v>
      </c>
      <c r="S2" s="4" t="str">
        <f>(VLOOKUP(B2,Price_data!A$1:C$190,3,FALSE))</f>
        <v>Open access</v>
      </c>
      <c r="T2" s="2">
        <f>IF(C2="Total", (VLOOKUP(B2,Recommended_fish_intake!A$4:D$122,4,FALSE)), "NA")</f>
        <v>539.1147806974684</v>
      </c>
      <c r="U2" s="2" t="str">
        <f t="shared" ref="U2:U65" si="6">IF(C2="Wet fish", D2*0.49, IF(C2="Shellfish", D2*0.28, "NA"))</f>
        <v>NA</v>
      </c>
    </row>
    <row r="3" spans="1:21" ht="14.25" customHeight="1">
      <c r="A3" s="2" t="s">
        <v>15</v>
      </c>
      <c r="B3" s="2">
        <v>1900</v>
      </c>
      <c r="C3" s="2" t="s">
        <v>22</v>
      </c>
      <c r="D3" s="3">
        <f t="shared" si="0"/>
        <v>53.350436903068477</v>
      </c>
      <c r="E3" s="3">
        <f t="shared" si="1"/>
        <v>0.6569299999999999</v>
      </c>
      <c r="F3" s="3" t="e">
        <f t="shared" si="2"/>
        <v>#VALUE!</v>
      </c>
      <c r="G3" s="3" t="e">
        <f t="shared" si="3"/>
        <v>#VALUE!</v>
      </c>
      <c r="H3" s="3" t="e">
        <f t="shared" si="4"/>
        <v>#VALUE!</v>
      </c>
      <c r="I3" s="3" t="e">
        <f t="shared" si="5"/>
        <v>#VALUE!</v>
      </c>
      <c r="J3" s="3">
        <v>53350.436903068476</v>
      </c>
      <c r="K3" s="3">
        <v>656.93</v>
      </c>
      <c r="L3" s="3" t="e">
        <v>#VALUE!</v>
      </c>
      <c r="M3" s="3" t="e">
        <v>#VALUE!</v>
      </c>
      <c r="N3" s="3" t="e">
        <v>#VALUE!</v>
      </c>
      <c r="O3" s="3" t="e">
        <v>#VALUE!</v>
      </c>
      <c r="P3" s="3">
        <f>E3*(VLOOKUP(B3,Price_data!A$1:B$190,2,FALSE))</f>
        <v>47.970171086670895</v>
      </c>
      <c r="Q3" s="3" t="e">
        <f>G3*(VLOOKUP(B3,Price_data!A$1:B$190,2,FALSE))</f>
        <v>#VALUE!</v>
      </c>
      <c r="R3" s="3" t="e">
        <f>I3*(VLOOKUP(B3,Price_data!A$1:B$190,2,FALSE))</f>
        <v>#VALUE!</v>
      </c>
      <c r="S3" s="4" t="str">
        <f>(VLOOKUP(B3,Price_data!A$1:C$190,3,FALSE))</f>
        <v>Open access</v>
      </c>
      <c r="T3" s="2" t="str">
        <f>IF(C3="Total", (VLOOKUP(B3,Recommended_fish_intake!A$4:D$122,4,FALSE)), "NA")</f>
        <v>NA</v>
      </c>
      <c r="U3" s="2" t="str">
        <f t="shared" si="6"/>
        <v>NA</v>
      </c>
    </row>
    <row r="4" spans="1:21" ht="14.25" customHeight="1">
      <c r="A4" s="2" t="s">
        <v>15</v>
      </c>
      <c r="B4" s="2">
        <v>1900</v>
      </c>
      <c r="C4" s="2" t="s">
        <v>23</v>
      </c>
      <c r="D4" s="3">
        <f t="shared" si="0"/>
        <v>165.66053647632594</v>
      </c>
      <c r="E4" s="3">
        <f t="shared" si="1"/>
        <v>2.2105949999999996</v>
      </c>
      <c r="F4" s="3" t="e">
        <f t="shared" si="2"/>
        <v>#VALUE!</v>
      </c>
      <c r="G4" s="3" t="e">
        <f t="shared" si="3"/>
        <v>#VALUE!</v>
      </c>
      <c r="H4" s="3" t="e">
        <f t="shared" si="4"/>
        <v>#VALUE!</v>
      </c>
      <c r="I4" s="3" t="e">
        <f t="shared" si="5"/>
        <v>#VALUE!</v>
      </c>
      <c r="J4" s="3">
        <v>165660.53647632594</v>
      </c>
      <c r="K4" s="3">
        <v>2210.5949999999998</v>
      </c>
      <c r="L4" s="3" t="e">
        <v>#VALUE!</v>
      </c>
      <c r="M4" s="3" t="e">
        <v>#VALUE!</v>
      </c>
      <c r="N4" s="3" t="e">
        <v>#VALUE!</v>
      </c>
      <c r="O4" s="3" t="e">
        <v>#VALUE!</v>
      </c>
      <c r="P4" s="3">
        <f>E4*(VLOOKUP(B4,Price_data!A$1:B$190,2,FALSE))</f>
        <v>161.42149141208233</v>
      </c>
      <c r="Q4" s="3" t="e">
        <f>G4*(VLOOKUP(B4,Price_data!A$1:B$190,2,FALSE))</f>
        <v>#VALUE!</v>
      </c>
      <c r="R4" s="3" t="e">
        <f>I4*(VLOOKUP(B4,Price_data!A$1:B$190,2,FALSE))</f>
        <v>#VALUE!</v>
      </c>
      <c r="S4" s="4" t="str">
        <f>(VLOOKUP(B4,Price_data!A$1:C$190,3,FALSE))</f>
        <v>Open access</v>
      </c>
      <c r="T4" s="2" t="str">
        <f>IF(C4="Total", (VLOOKUP(B4,Recommended_fish_intake!A$4:D$122,4,FALSE)), "NA")</f>
        <v>NA</v>
      </c>
      <c r="U4" s="2" t="str">
        <f t="shared" si="6"/>
        <v>NA</v>
      </c>
    </row>
    <row r="5" spans="1:21" ht="14.25" customHeight="1">
      <c r="A5" s="2" t="s">
        <v>15</v>
      </c>
      <c r="B5" s="2">
        <v>1900</v>
      </c>
      <c r="C5" s="2" t="s">
        <v>19</v>
      </c>
      <c r="D5" s="3">
        <f t="shared" si="0"/>
        <v>313.37477138792929</v>
      </c>
      <c r="E5" s="3">
        <f t="shared" si="1"/>
        <v>2.2479870000000002</v>
      </c>
      <c r="F5" s="3" t="e">
        <f t="shared" si="2"/>
        <v>#VALUE!</v>
      </c>
      <c r="G5" s="3">
        <f t="shared" si="3"/>
        <v>2.3378220000000001</v>
      </c>
      <c r="H5" s="3" t="e">
        <f t="shared" si="4"/>
        <v>#VALUE!</v>
      </c>
      <c r="I5" s="3" t="e">
        <f t="shared" si="5"/>
        <v>#VALUE!</v>
      </c>
      <c r="J5" s="3">
        <v>313374.77138792927</v>
      </c>
      <c r="K5" s="3">
        <v>2247.9870000000001</v>
      </c>
      <c r="L5" s="3" t="e">
        <v>#VALUE!</v>
      </c>
      <c r="M5" s="3">
        <v>2337.8220000000001</v>
      </c>
      <c r="N5" s="3" t="e">
        <v>#VALUE!</v>
      </c>
      <c r="O5" s="3" t="e">
        <v>#VALUE!</v>
      </c>
      <c r="P5" s="3">
        <f>E5*(VLOOKUP(B5,Price_data!A$1:B$190,2,FALSE))</f>
        <v>164.15192028163133</v>
      </c>
      <c r="Q5" s="3">
        <f>G5*(VLOOKUP(B5,Price_data!A$1:B$190,2,FALSE))</f>
        <v>170.71182821637487</v>
      </c>
      <c r="R5" s="3" t="e">
        <f>I5*(VLOOKUP(B5,Price_data!A$1:B$190,2,FALSE))</f>
        <v>#VALUE!</v>
      </c>
      <c r="S5" s="4" t="str">
        <f>(VLOOKUP(B5,Price_data!A$1:C$190,3,FALSE))</f>
        <v>Open access</v>
      </c>
      <c r="T5" s="2" t="str">
        <f>IF(C5="Total", (VLOOKUP(B5,Recommended_fish_intake!A$4:D$122,4,FALSE)), "NA")</f>
        <v>NA</v>
      </c>
      <c r="U5" s="2" t="str">
        <f t="shared" si="6"/>
        <v>NA</v>
      </c>
    </row>
    <row r="6" spans="1:21" ht="14.25" customHeight="1">
      <c r="A6" s="2" t="s">
        <v>15</v>
      </c>
      <c r="B6" s="2">
        <v>1900</v>
      </c>
      <c r="C6" s="2" t="s">
        <v>28</v>
      </c>
      <c r="D6" s="3" t="e">
        <f t="shared" si="0"/>
        <v>#VALUE!</v>
      </c>
      <c r="E6" s="3" t="e">
        <f t="shared" si="1"/>
        <v>#VALUE!</v>
      </c>
      <c r="F6" s="3" t="e">
        <f t="shared" si="2"/>
        <v>#VALUE!</v>
      </c>
      <c r="G6" s="3" t="e">
        <f t="shared" si="3"/>
        <v>#VALUE!</v>
      </c>
      <c r="H6" s="3" t="e">
        <f t="shared" si="4"/>
        <v>#VALUE!</v>
      </c>
      <c r="I6" s="3" t="e">
        <f t="shared" si="5"/>
        <v>#VALUE!</v>
      </c>
      <c r="J6" s="3" t="e">
        <v>#VALUE!</v>
      </c>
      <c r="K6" s="3" t="e">
        <v>#VALUE!</v>
      </c>
      <c r="L6" s="3" t="e">
        <v>#VALUE!</v>
      </c>
      <c r="M6" s="3" t="e">
        <v>#VALUE!</v>
      </c>
      <c r="N6" s="3" t="e">
        <v>#VALUE!</v>
      </c>
      <c r="O6" s="3" t="e">
        <v>#VALUE!</v>
      </c>
      <c r="P6" s="3" t="e">
        <f>E6*(VLOOKUP(B6,Price_data!A$1:B$190,2,FALSE))</f>
        <v>#VALUE!</v>
      </c>
      <c r="Q6" s="3" t="e">
        <f>G6*(VLOOKUP(B6,Price_data!A$1:B$190,2,FALSE))</f>
        <v>#VALUE!</v>
      </c>
      <c r="R6" s="3" t="e">
        <f>I6*(VLOOKUP(B6,Price_data!A$1:B$190,2,FALSE))</f>
        <v>#VALUE!</v>
      </c>
      <c r="S6" s="4" t="str">
        <f>(VLOOKUP(B6,Price_data!A$1:C$190,3,FALSE))</f>
        <v>Open access</v>
      </c>
      <c r="T6" s="2" t="str">
        <f>IF(C6="Total", (VLOOKUP(B6,Recommended_fish_intake!A$4:D$122,4,FALSE)), "NA")</f>
        <v>NA</v>
      </c>
      <c r="U6" s="2" t="e">
        <f t="shared" si="6"/>
        <v>#VALUE!</v>
      </c>
    </row>
    <row r="7" spans="1:21" ht="14.25" customHeight="1">
      <c r="A7" s="2" t="s">
        <v>15</v>
      </c>
      <c r="B7" s="2">
        <v>1900</v>
      </c>
      <c r="C7" s="2" t="s">
        <v>29</v>
      </c>
      <c r="D7" s="3" t="e">
        <f t="shared" si="0"/>
        <v>#VALUE!</v>
      </c>
      <c r="E7" s="3" t="e">
        <f t="shared" si="1"/>
        <v>#VALUE!</v>
      </c>
      <c r="F7" s="3" t="e">
        <f t="shared" si="2"/>
        <v>#VALUE!</v>
      </c>
      <c r="G7" s="3" t="e">
        <f t="shared" si="3"/>
        <v>#VALUE!</v>
      </c>
      <c r="H7" s="3" t="e">
        <f t="shared" si="4"/>
        <v>#VALUE!</v>
      </c>
      <c r="I7" s="3" t="e">
        <f t="shared" si="5"/>
        <v>#VALUE!</v>
      </c>
      <c r="J7" s="3" t="e">
        <v>#VALUE!</v>
      </c>
      <c r="K7" s="3" t="e">
        <v>#VALUE!</v>
      </c>
      <c r="L7" s="3" t="e">
        <v>#VALUE!</v>
      </c>
      <c r="M7" s="3" t="e">
        <v>#VALUE!</v>
      </c>
      <c r="N7" s="3" t="e">
        <v>#VALUE!</v>
      </c>
      <c r="O7" s="3" t="e">
        <v>#VALUE!</v>
      </c>
      <c r="P7" s="3" t="e">
        <f>E7*(VLOOKUP(B7,Price_data!A$1:B$190,2,FALSE))</f>
        <v>#VALUE!</v>
      </c>
      <c r="Q7" s="3" t="e">
        <f>G7*(VLOOKUP(B7,Price_data!A$1:B$190,2,FALSE))</f>
        <v>#VALUE!</v>
      </c>
      <c r="R7" s="3" t="e">
        <f>I7*(VLOOKUP(B7,Price_data!A$1:B$190,2,FALSE))</f>
        <v>#VALUE!</v>
      </c>
      <c r="S7" s="4" t="str">
        <f>(VLOOKUP(B7,Price_data!A$1:C$190,3,FALSE))</f>
        <v>Open access</v>
      </c>
      <c r="T7" s="2" t="str">
        <f>IF(C7="Total", (VLOOKUP(B7,Recommended_fish_intake!A$4:D$122,4,FALSE)), "NA")</f>
        <v>NA</v>
      </c>
      <c r="U7" s="2" t="str">
        <f t="shared" si="6"/>
        <v>NA</v>
      </c>
    </row>
    <row r="8" spans="1:21" ht="14.25" customHeight="1">
      <c r="A8" s="2" t="s">
        <v>15</v>
      </c>
      <c r="B8" s="2">
        <v>1900</v>
      </c>
      <c r="C8" s="2" t="s">
        <v>20</v>
      </c>
      <c r="D8" s="3">
        <f t="shared" si="0"/>
        <v>28.945844340581182</v>
      </c>
      <c r="E8" s="3">
        <f t="shared" si="1"/>
        <v>0.30408099999999999</v>
      </c>
      <c r="F8" s="3" t="e">
        <f t="shared" si="2"/>
        <v>#VALUE!</v>
      </c>
      <c r="G8" s="3" t="e">
        <f t="shared" si="3"/>
        <v>#VALUE!</v>
      </c>
      <c r="H8" s="3" t="e">
        <f t="shared" si="4"/>
        <v>#VALUE!</v>
      </c>
      <c r="I8" s="3" t="e">
        <f t="shared" si="5"/>
        <v>#VALUE!</v>
      </c>
      <c r="J8" s="3">
        <v>28945.844340581181</v>
      </c>
      <c r="K8" s="3">
        <v>304.08100000000002</v>
      </c>
      <c r="L8" s="3" t="e">
        <v>#VALUE!</v>
      </c>
      <c r="M8" s="3" t="e">
        <v>#VALUE!</v>
      </c>
      <c r="N8" s="3" t="e">
        <v>#VALUE!</v>
      </c>
      <c r="O8" s="3" t="e">
        <v>#VALUE!</v>
      </c>
      <c r="P8" s="3">
        <f>E8*(VLOOKUP(B8,Price_data!A$1:B$190,2,FALSE))</f>
        <v>22.204523456389531</v>
      </c>
      <c r="Q8" s="3" t="e">
        <f>G8*(VLOOKUP(B8,Price_data!A$1:B$190,2,FALSE))</f>
        <v>#VALUE!</v>
      </c>
      <c r="R8" s="3" t="e">
        <f>I8*(VLOOKUP(B8,Price_data!A$1:B$190,2,FALSE))</f>
        <v>#VALUE!</v>
      </c>
      <c r="S8" s="4" t="str">
        <f>(VLOOKUP(B8,Price_data!A$1:C$190,3,FALSE))</f>
        <v>Open access</v>
      </c>
      <c r="T8" s="2" t="str">
        <f>IF(C8="Total", (VLOOKUP(B8,Recommended_fish_intake!A$4:D$122,4,FALSE)), "NA")</f>
        <v>NA</v>
      </c>
      <c r="U8" s="2" t="str">
        <f t="shared" si="6"/>
        <v>NA</v>
      </c>
    </row>
    <row r="9" spans="1:21" ht="14.25" customHeight="1">
      <c r="A9" s="2" t="s">
        <v>18</v>
      </c>
      <c r="B9" s="2">
        <v>1900</v>
      </c>
      <c r="C9" s="2" t="s">
        <v>25</v>
      </c>
      <c r="D9" s="3">
        <f t="shared" si="0"/>
        <v>38.22922170290591</v>
      </c>
      <c r="E9" s="3">
        <f t="shared" si="1"/>
        <v>0.90932800000000003</v>
      </c>
      <c r="F9" s="3" t="e">
        <f t="shared" si="2"/>
        <v>#N/A</v>
      </c>
      <c r="G9" s="3" t="e">
        <f t="shared" si="3"/>
        <v>#N/A</v>
      </c>
      <c r="H9" s="3" t="e">
        <f t="shared" si="4"/>
        <v>#N/A</v>
      </c>
      <c r="I9" s="3" t="e">
        <f t="shared" si="5"/>
        <v>#N/A</v>
      </c>
      <c r="J9" s="3">
        <v>38229.22170290591</v>
      </c>
      <c r="K9" s="3">
        <v>909.32799999999997</v>
      </c>
      <c r="L9" s="3" t="e">
        <v>#N/A</v>
      </c>
      <c r="M9" s="3" t="e">
        <v>#N/A</v>
      </c>
      <c r="N9" s="3" t="e">
        <v>#N/A</v>
      </c>
      <c r="O9" s="3" t="e">
        <v>#N/A</v>
      </c>
      <c r="P9" s="3">
        <f>E9*(VLOOKUP(B9,Price_data!A$1:B$190,2,FALSE))</f>
        <v>66.400711999604638</v>
      </c>
      <c r="Q9" s="3" t="e">
        <f>G9*(VLOOKUP(B9,Price_data!A$1:B$190,2,FALSE))</f>
        <v>#N/A</v>
      </c>
      <c r="R9" s="3" t="e">
        <f>I9*(VLOOKUP(B9,Price_data!A$1:B$190,2,FALSE))</f>
        <v>#N/A</v>
      </c>
      <c r="S9" s="4" t="str">
        <f>(VLOOKUP(B9,Price_data!A$1:C$190,3,FALSE))</f>
        <v>Open access</v>
      </c>
      <c r="T9" s="2" t="str">
        <f>IF(C9="Total", (VLOOKUP(B9,Recommended_fish_intake!A$4:D$122,4,FALSE)), "NA")</f>
        <v>NA</v>
      </c>
      <c r="U9" s="2" t="str">
        <f t="shared" si="6"/>
        <v>NA</v>
      </c>
    </row>
    <row r="10" spans="1:21" ht="14.25" customHeight="1">
      <c r="A10" s="2" t="s">
        <v>15</v>
      </c>
      <c r="B10" s="2">
        <v>1900</v>
      </c>
      <c r="C10" s="2" t="s">
        <v>24</v>
      </c>
      <c r="D10" s="3" t="e">
        <f t="shared" si="0"/>
        <v>#VALUE!</v>
      </c>
      <c r="E10" s="3" t="e">
        <f t="shared" si="1"/>
        <v>#VALUE!</v>
      </c>
      <c r="F10" s="3" t="e">
        <f t="shared" si="2"/>
        <v>#N/A</v>
      </c>
      <c r="G10" s="3" t="e">
        <f t="shared" si="3"/>
        <v>#N/A</v>
      </c>
      <c r="H10" s="3" t="e">
        <f t="shared" si="4"/>
        <v>#N/A</v>
      </c>
      <c r="I10" s="3" t="e">
        <f t="shared" si="5"/>
        <v>#N/A</v>
      </c>
      <c r="J10" s="3" t="e">
        <v>#VALUE!</v>
      </c>
      <c r="K10" s="3" t="e">
        <v>#VALUE!</v>
      </c>
      <c r="L10" s="3" t="e">
        <v>#N/A</v>
      </c>
      <c r="M10" s="3" t="e">
        <v>#N/A</v>
      </c>
      <c r="N10" s="3" t="e">
        <v>#N/A</v>
      </c>
      <c r="O10" s="3" t="e">
        <v>#N/A</v>
      </c>
      <c r="P10" s="3" t="e">
        <f>E10*(VLOOKUP(B10,Price_data!A$1:B$190,2,FALSE))</f>
        <v>#VALUE!</v>
      </c>
      <c r="Q10" s="3" t="e">
        <f>G10*(VLOOKUP(B10,Price_data!A$1:B$190,2,FALSE))</f>
        <v>#N/A</v>
      </c>
      <c r="R10" s="3" t="e">
        <f>I10*(VLOOKUP(B10,Price_data!A$1:B$190,2,FALSE))</f>
        <v>#N/A</v>
      </c>
      <c r="S10" s="4" t="str">
        <f>(VLOOKUP(B10,Price_data!A$1:C$190,3,FALSE))</f>
        <v>Open access</v>
      </c>
      <c r="T10" s="2" t="str">
        <f>IF(C10="Total", (VLOOKUP(B10,Recommended_fish_intake!A$4:D$122,4,FALSE)), "NA")</f>
        <v>NA</v>
      </c>
      <c r="U10" s="2" t="str">
        <f t="shared" si="6"/>
        <v>NA</v>
      </c>
    </row>
    <row r="11" spans="1:21" ht="14.25" customHeight="1">
      <c r="A11" s="2" t="s">
        <v>15</v>
      </c>
      <c r="B11" s="2">
        <v>1900</v>
      </c>
      <c r="C11" s="2" t="s">
        <v>30</v>
      </c>
      <c r="D11" s="3" t="e">
        <f t="shared" si="0"/>
        <v>#N/A</v>
      </c>
      <c r="E11" s="3" t="e">
        <f t="shared" si="1"/>
        <v>#N/A</v>
      </c>
      <c r="F11" s="3" t="e">
        <f t="shared" si="2"/>
        <v>#VALUE!</v>
      </c>
      <c r="G11" s="3" t="e">
        <f t="shared" si="3"/>
        <v>#VALUE!</v>
      </c>
      <c r="H11" s="3" t="e">
        <f t="shared" si="4"/>
        <v>#VALUE!</v>
      </c>
      <c r="I11" s="3" t="e">
        <f t="shared" si="5"/>
        <v>#VALUE!</v>
      </c>
      <c r="J11" s="3" t="e">
        <v>#N/A</v>
      </c>
      <c r="K11" s="3" t="e">
        <v>#N/A</v>
      </c>
      <c r="L11" s="3" t="e">
        <v>#VALUE!</v>
      </c>
      <c r="M11" s="3" t="e">
        <v>#VALUE!</v>
      </c>
      <c r="N11" s="3" t="e">
        <v>#VALUE!</v>
      </c>
      <c r="O11" s="3" t="e">
        <v>#VALUE!</v>
      </c>
      <c r="P11" s="3" t="e">
        <f>E11*(VLOOKUP(B11,Price_data!A$1:B$190,2,FALSE))</f>
        <v>#N/A</v>
      </c>
      <c r="Q11" s="3" t="e">
        <f>G11*(VLOOKUP(B11,Price_data!A$1:B$190,2,FALSE))</f>
        <v>#VALUE!</v>
      </c>
      <c r="R11" s="3" t="e">
        <f>I11*(VLOOKUP(B11,Price_data!A$1:B$190,2,FALSE))</f>
        <v>#VALUE!</v>
      </c>
      <c r="S11" s="4" t="str">
        <f>(VLOOKUP(B11,Price_data!A$1:C$190,3,FALSE))</f>
        <v>Open access</v>
      </c>
      <c r="T11" s="2" t="str">
        <f>IF(C11="Total", (VLOOKUP(B11,Recommended_fish_intake!A$4:D$122,4,FALSE)), "NA")</f>
        <v>NA</v>
      </c>
      <c r="U11" s="2" t="str">
        <f t="shared" si="6"/>
        <v>NA</v>
      </c>
    </row>
    <row r="12" spans="1:21" ht="14.25" customHeight="1">
      <c r="A12" s="2" t="s">
        <v>15</v>
      </c>
      <c r="B12" s="2">
        <v>1901</v>
      </c>
      <c r="C12" s="2" t="s">
        <v>16</v>
      </c>
      <c r="D12" s="3">
        <f t="shared" si="0"/>
        <v>805.2727087990246</v>
      </c>
      <c r="E12" s="3">
        <f t="shared" si="1"/>
        <v>9.5417000000000005</v>
      </c>
      <c r="F12" s="3" t="e">
        <f t="shared" si="2"/>
        <v>#VALUE!</v>
      </c>
      <c r="G12" s="3">
        <f t="shared" si="3"/>
        <v>3.0708530000000001</v>
      </c>
      <c r="H12" s="3">
        <f t="shared" si="4"/>
        <v>116.94894330420647</v>
      </c>
      <c r="I12" s="3">
        <f t="shared" si="5"/>
        <v>3.6372840000000002</v>
      </c>
      <c r="J12" s="3">
        <v>805272.70879902458</v>
      </c>
      <c r="K12" s="3">
        <v>9541.7000000000007</v>
      </c>
      <c r="L12" s="3" t="e">
        <v>#VALUE!</v>
      </c>
      <c r="M12" s="3">
        <v>3070.8530000000001</v>
      </c>
      <c r="N12" s="3">
        <v>116948.94330420646</v>
      </c>
      <c r="O12" s="3">
        <v>3637.2840000000001</v>
      </c>
      <c r="P12" s="3">
        <f>E12*(VLOOKUP(B12,Price_data!A$1:B$190,2,FALSE))</f>
        <v>696.75152825672103</v>
      </c>
      <c r="Q12" s="3">
        <f>G12*(VLOOKUP(B12,Price_data!A$1:B$190,2,FALSE))</f>
        <v>224.23902667257789</v>
      </c>
      <c r="R12" s="3">
        <f>I12*(VLOOKUP(B12,Price_data!A$1:B$190,2,FALSE))</f>
        <v>265.60080338972296</v>
      </c>
      <c r="S12" s="4" t="str">
        <f>(VLOOKUP(B12,Price_data!A$1:C$190,3,FALSE))</f>
        <v>Open access</v>
      </c>
      <c r="T12" s="2">
        <f>IF(C12="Total", (VLOOKUP(B12,Recommended_fish_intake!A$4:D$122,4,FALSE)), "NA")</f>
        <v>544.13984302040558</v>
      </c>
      <c r="U12" s="2" t="str">
        <f t="shared" si="6"/>
        <v>NA</v>
      </c>
    </row>
    <row r="13" spans="1:21" ht="14.25" customHeight="1">
      <c r="A13" s="2" t="s">
        <v>15</v>
      </c>
      <c r="B13" s="2">
        <v>1901</v>
      </c>
      <c r="C13" s="2" t="s">
        <v>22</v>
      </c>
      <c r="D13" s="3">
        <f t="shared" si="0"/>
        <v>52.851452956716116</v>
      </c>
      <c r="E13" s="3">
        <f t="shared" si="1"/>
        <v>0.66655200000000003</v>
      </c>
      <c r="F13" s="3" t="e">
        <f t="shared" si="2"/>
        <v>#N/A</v>
      </c>
      <c r="G13" s="3" t="e">
        <f t="shared" si="3"/>
        <v>#N/A</v>
      </c>
      <c r="H13" s="3" t="e">
        <f t="shared" si="4"/>
        <v>#N/A</v>
      </c>
      <c r="I13" s="3" t="e">
        <f t="shared" si="5"/>
        <v>#N/A</v>
      </c>
      <c r="J13" s="3">
        <v>52851.452956716115</v>
      </c>
      <c r="K13" s="3">
        <v>666.55200000000002</v>
      </c>
      <c r="L13" s="3" t="e">
        <v>#N/A</v>
      </c>
      <c r="M13" s="3" t="e">
        <v>#N/A</v>
      </c>
      <c r="N13" s="3" t="e">
        <v>#N/A</v>
      </c>
      <c r="O13" s="3" t="e">
        <v>#N/A</v>
      </c>
      <c r="P13" s="3">
        <f>E13*(VLOOKUP(B13,Price_data!A$1:B$190,2,FALSE))</f>
        <v>48.672786260579763</v>
      </c>
      <c r="Q13" s="3" t="e">
        <f>G13*(VLOOKUP(B13,Price_data!A$1:B$190,2,FALSE))</f>
        <v>#N/A</v>
      </c>
      <c r="R13" s="3" t="e">
        <f>I13*(VLOOKUP(B13,Price_data!A$1:B$190,2,FALSE))</f>
        <v>#N/A</v>
      </c>
      <c r="S13" s="4" t="str">
        <f>(VLOOKUP(B13,Price_data!A$1:C$190,3,FALSE))</f>
        <v>Open access</v>
      </c>
      <c r="T13" s="2" t="str">
        <f>IF(C13="Total", (VLOOKUP(B13,Recommended_fish_intake!A$4:D$122,4,FALSE)), "NA")</f>
        <v>NA</v>
      </c>
      <c r="U13" s="2" t="str">
        <f t="shared" si="6"/>
        <v>NA</v>
      </c>
    </row>
    <row r="14" spans="1:21" ht="14.25" customHeight="1">
      <c r="A14" s="2" t="s">
        <v>15</v>
      </c>
      <c r="B14" s="2">
        <v>1901</v>
      </c>
      <c r="C14" s="2" t="s">
        <v>23</v>
      </c>
      <c r="D14" s="3">
        <f t="shared" si="0"/>
        <v>162.25457224141434</v>
      </c>
      <c r="E14" s="3">
        <f t="shared" si="1"/>
        <v>2.2371950000000003</v>
      </c>
      <c r="F14" s="3" t="e">
        <f t="shared" si="2"/>
        <v>#N/A</v>
      </c>
      <c r="G14" s="3" t="e">
        <f t="shared" si="3"/>
        <v>#N/A</v>
      </c>
      <c r="H14" s="3" t="e">
        <f t="shared" si="4"/>
        <v>#N/A</v>
      </c>
      <c r="I14" s="3" t="e">
        <f t="shared" si="5"/>
        <v>#N/A</v>
      </c>
      <c r="J14" s="3">
        <v>162254.57224141434</v>
      </c>
      <c r="K14" s="3">
        <v>2237.1950000000002</v>
      </c>
      <c r="L14" s="3" t="e">
        <v>#N/A</v>
      </c>
      <c r="M14" s="3" t="e">
        <v>#N/A</v>
      </c>
      <c r="N14" s="3" t="e">
        <v>#N/A</v>
      </c>
      <c r="O14" s="3" t="e">
        <v>#N/A</v>
      </c>
      <c r="P14" s="3">
        <f>E14*(VLOOKUP(B14,Price_data!A$1:B$190,2,FALSE))</f>
        <v>163.36386967294038</v>
      </c>
      <c r="Q14" s="3" t="e">
        <f>G14*(VLOOKUP(B14,Price_data!A$1:B$190,2,FALSE))</f>
        <v>#N/A</v>
      </c>
      <c r="R14" s="3" t="e">
        <f>I14*(VLOOKUP(B14,Price_data!A$1:B$190,2,FALSE))</f>
        <v>#N/A</v>
      </c>
      <c r="S14" s="4" t="str">
        <f>(VLOOKUP(B14,Price_data!A$1:C$190,3,FALSE))</f>
        <v>Open access</v>
      </c>
      <c r="T14" s="2" t="str">
        <f>IF(C14="Total", (VLOOKUP(B14,Recommended_fish_intake!A$4:D$122,4,FALSE)), "NA")</f>
        <v>NA</v>
      </c>
      <c r="U14" s="2" t="str">
        <f t="shared" si="6"/>
        <v>NA</v>
      </c>
    </row>
    <row r="15" spans="1:21" ht="14.25" customHeight="1">
      <c r="A15" s="2" t="s">
        <v>15</v>
      </c>
      <c r="B15" s="2">
        <v>1901</v>
      </c>
      <c r="C15" s="2" t="s">
        <v>19</v>
      </c>
      <c r="D15" s="3">
        <f t="shared" si="0"/>
        <v>358.55725462304406</v>
      </c>
      <c r="E15" s="3">
        <f t="shared" si="1"/>
        <v>2.0287809999999999</v>
      </c>
      <c r="F15" s="3" t="e">
        <f t="shared" si="2"/>
        <v>#N/A</v>
      </c>
      <c r="G15" s="3" t="e">
        <f t="shared" si="3"/>
        <v>#N/A</v>
      </c>
      <c r="H15" s="3" t="e">
        <f t="shared" si="4"/>
        <v>#N/A</v>
      </c>
      <c r="I15" s="3" t="e">
        <f t="shared" si="5"/>
        <v>#N/A</v>
      </c>
      <c r="J15" s="3">
        <v>358557.25462304405</v>
      </c>
      <c r="K15" s="3">
        <v>2028.7809999999999</v>
      </c>
      <c r="L15" s="3" t="e">
        <v>#N/A</v>
      </c>
      <c r="M15" s="3" t="e">
        <v>#N/A</v>
      </c>
      <c r="N15" s="3" t="e">
        <v>#N/A</v>
      </c>
      <c r="O15" s="3" t="e">
        <v>#N/A</v>
      </c>
      <c r="P15" s="3">
        <f>E15*(VLOOKUP(B15,Price_data!A$1:B$190,2,FALSE))</f>
        <v>148.14511693390054</v>
      </c>
      <c r="Q15" s="3" t="e">
        <f>G15*(VLOOKUP(B15,Price_data!A$1:B$190,2,FALSE))</f>
        <v>#N/A</v>
      </c>
      <c r="R15" s="3" t="e">
        <f>I15*(VLOOKUP(B15,Price_data!A$1:B$190,2,FALSE))</f>
        <v>#N/A</v>
      </c>
      <c r="S15" s="4" t="str">
        <f>(VLOOKUP(B15,Price_data!A$1:C$190,3,FALSE))</f>
        <v>Open access</v>
      </c>
      <c r="T15" s="2" t="str">
        <f>IF(C15="Total", (VLOOKUP(B15,Recommended_fish_intake!A$4:D$122,4,FALSE)), "NA")</f>
        <v>NA</v>
      </c>
      <c r="U15" s="2" t="str">
        <f t="shared" si="6"/>
        <v>NA</v>
      </c>
    </row>
    <row r="16" spans="1:21" ht="14.25" customHeight="1">
      <c r="A16" s="2" t="s">
        <v>15</v>
      </c>
      <c r="B16" s="2">
        <v>1901</v>
      </c>
      <c r="C16" s="2" t="s">
        <v>28</v>
      </c>
      <c r="D16" s="3" t="e">
        <f t="shared" si="0"/>
        <v>#VALUE!</v>
      </c>
      <c r="E16" s="3" t="e">
        <f t="shared" si="1"/>
        <v>#VALUE!</v>
      </c>
      <c r="F16" s="3" t="e">
        <f t="shared" si="2"/>
        <v>#N/A</v>
      </c>
      <c r="G16" s="3" t="e">
        <f t="shared" si="3"/>
        <v>#N/A</v>
      </c>
      <c r="H16" s="3" t="e">
        <f t="shared" si="4"/>
        <v>#N/A</v>
      </c>
      <c r="I16" s="3" t="e">
        <f t="shared" si="5"/>
        <v>#N/A</v>
      </c>
      <c r="J16" s="3" t="e">
        <v>#VALUE!</v>
      </c>
      <c r="K16" s="3" t="e">
        <v>#VALUE!</v>
      </c>
      <c r="L16" s="3" t="e">
        <v>#N/A</v>
      </c>
      <c r="M16" s="3" t="e">
        <v>#N/A</v>
      </c>
      <c r="N16" s="3" t="e">
        <v>#N/A</v>
      </c>
      <c r="O16" s="3" t="e">
        <v>#N/A</v>
      </c>
      <c r="P16" s="3" t="e">
        <f>E16*(VLOOKUP(B16,Price_data!A$1:B$190,2,FALSE))</f>
        <v>#VALUE!</v>
      </c>
      <c r="Q16" s="3" t="e">
        <f>G16*(VLOOKUP(B16,Price_data!A$1:B$190,2,FALSE))</f>
        <v>#N/A</v>
      </c>
      <c r="R16" s="3" t="e">
        <f>I16*(VLOOKUP(B16,Price_data!A$1:B$190,2,FALSE))</f>
        <v>#N/A</v>
      </c>
      <c r="S16" s="4" t="str">
        <f>(VLOOKUP(B16,Price_data!A$1:C$190,3,FALSE))</f>
        <v>Open access</v>
      </c>
      <c r="T16" s="2" t="str">
        <f>IF(C16="Total", (VLOOKUP(B16,Recommended_fish_intake!A$4:D$122,4,FALSE)), "NA")</f>
        <v>NA</v>
      </c>
      <c r="U16" s="2" t="e">
        <f t="shared" si="6"/>
        <v>#VALUE!</v>
      </c>
    </row>
    <row r="17" spans="1:21" ht="14.25" customHeight="1">
      <c r="A17" s="2" t="s">
        <v>15</v>
      </c>
      <c r="B17" s="2">
        <v>1901</v>
      </c>
      <c r="C17" s="2" t="s">
        <v>29</v>
      </c>
      <c r="D17" s="3" t="e">
        <f t="shared" si="0"/>
        <v>#VALUE!</v>
      </c>
      <c r="E17" s="3" t="e">
        <f t="shared" si="1"/>
        <v>#VALUE!</v>
      </c>
      <c r="F17" s="3" t="e">
        <f t="shared" si="2"/>
        <v>#N/A</v>
      </c>
      <c r="G17" s="3" t="e">
        <f t="shared" si="3"/>
        <v>#N/A</v>
      </c>
      <c r="H17" s="3" t="e">
        <f t="shared" si="4"/>
        <v>#N/A</v>
      </c>
      <c r="I17" s="3" t="e">
        <f t="shared" si="5"/>
        <v>#N/A</v>
      </c>
      <c r="J17" s="3" t="e">
        <v>#VALUE!</v>
      </c>
      <c r="K17" s="3" t="e">
        <v>#VALUE!</v>
      </c>
      <c r="L17" s="3" t="e">
        <v>#N/A</v>
      </c>
      <c r="M17" s="3" t="e">
        <v>#N/A</v>
      </c>
      <c r="N17" s="3" t="e">
        <v>#N/A</v>
      </c>
      <c r="O17" s="3" t="e">
        <v>#N/A</v>
      </c>
      <c r="P17" s="3" t="e">
        <f>E17*(VLOOKUP(B17,Price_data!A$1:B$190,2,FALSE))</f>
        <v>#VALUE!</v>
      </c>
      <c r="Q17" s="3" t="e">
        <f>G17*(VLOOKUP(B17,Price_data!A$1:B$190,2,FALSE))</f>
        <v>#N/A</v>
      </c>
      <c r="R17" s="3" t="e">
        <f>I17*(VLOOKUP(B17,Price_data!A$1:B$190,2,FALSE))</f>
        <v>#N/A</v>
      </c>
      <c r="S17" s="4" t="str">
        <f>(VLOOKUP(B17,Price_data!A$1:C$190,3,FALSE))</f>
        <v>Open access</v>
      </c>
      <c r="T17" s="2" t="str">
        <f>IF(C17="Total", (VLOOKUP(B17,Recommended_fish_intake!A$4:D$122,4,FALSE)), "NA")</f>
        <v>NA</v>
      </c>
      <c r="U17" s="2" t="str">
        <f t="shared" si="6"/>
        <v>NA</v>
      </c>
    </row>
    <row r="18" spans="1:21" ht="14.25" customHeight="1">
      <c r="A18" s="2" t="s">
        <v>15</v>
      </c>
      <c r="B18" s="2">
        <v>1901</v>
      </c>
      <c r="C18" s="2" t="s">
        <v>20</v>
      </c>
      <c r="D18" s="3">
        <f t="shared" si="0"/>
        <v>34.761735419630156</v>
      </c>
      <c r="E18" s="3">
        <f t="shared" si="1"/>
        <v>0.37345400000000001</v>
      </c>
      <c r="F18" s="3" t="e">
        <f t="shared" si="2"/>
        <v>#N/A</v>
      </c>
      <c r="G18" s="3" t="e">
        <f t="shared" si="3"/>
        <v>#N/A</v>
      </c>
      <c r="H18" s="3" t="e">
        <f t="shared" si="4"/>
        <v>#N/A</v>
      </c>
      <c r="I18" s="3" t="e">
        <f t="shared" si="5"/>
        <v>#N/A</v>
      </c>
      <c r="J18" s="3">
        <v>34761.735419630153</v>
      </c>
      <c r="K18" s="3">
        <v>373.45400000000001</v>
      </c>
      <c r="L18" s="3" t="e">
        <v>#N/A</v>
      </c>
      <c r="M18" s="3" t="e">
        <v>#N/A</v>
      </c>
      <c r="N18" s="3" t="e">
        <v>#N/A</v>
      </c>
      <c r="O18" s="3" t="e">
        <v>#N/A</v>
      </c>
      <c r="P18" s="3">
        <f>E18*(VLOOKUP(B18,Price_data!A$1:B$190,2,FALSE))</f>
        <v>27.270260565055022</v>
      </c>
      <c r="Q18" s="3" t="e">
        <f>G18*(VLOOKUP(B18,Price_data!A$1:B$190,2,FALSE))</f>
        <v>#N/A</v>
      </c>
      <c r="R18" s="3" t="e">
        <f>I18*(VLOOKUP(B18,Price_data!A$1:B$190,2,FALSE))</f>
        <v>#N/A</v>
      </c>
      <c r="S18" s="4" t="str">
        <f>(VLOOKUP(B18,Price_data!A$1:C$190,3,FALSE))</f>
        <v>Open access</v>
      </c>
      <c r="T18" s="2" t="str">
        <f>IF(C18="Total", (VLOOKUP(B18,Recommended_fish_intake!A$4:D$122,4,FALSE)), "NA")</f>
        <v>NA</v>
      </c>
      <c r="U18" s="2" t="str">
        <f t="shared" si="6"/>
        <v>NA</v>
      </c>
    </row>
    <row r="19" spans="1:21" ht="14.25" customHeight="1">
      <c r="A19" s="2" t="s">
        <v>18</v>
      </c>
      <c r="B19" s="2">
        <v>1901</v>
      </c>
      <c r="C19" s="2" t="s">
        <v>25</v>
      </c>
      <c r="D19" s="3">
        <f t="shared" si="0"/>
        <v>43.090225563909769</v>
      </c>
      <c r="E19" s="3">
        <f t="shared" si="1"/>
        <v>0.93447400000000003</v>
      </c>
      <c r="F19" s="3" t="e">
        <f t="shared" si="2"/>
        <v>#N/A</v>
      </c>
      <c r="G19" s="3" t="e">
        <f t="shared" si="3"/>
        <v>#N/A</v>
      </c>
      <c r="H19" s="3" t="e">
        <f t="shared" si="4"/>
        <v>#N/A</v>
      </c>
      <c r="I19" s="3" t="e">
        <f t="shared" si="5"/>
        <v>#N/A</v>
      </c>
      <c r="J19" s="3">
        <v>43090.225563909771</v>
      </c>
      <c r="K19" s="3">
        <v>934.47400000000005</v>
      </c>
      <c r="L19" s="3" t="e">
        <v>#N/A</v>
      </c>
      <c r="M19" s="3" t="e">
        <v>#N/A</v>
      </c>
      <c r="N19" s="3" t="e">
        <v>#N/A</v>
      </c>
      <c r="O19" s="3" t="e">
        <v>#N/A</v>
      </c>
      <c r="P19" s="3">
        <f>E19*(VLOOKUP(B19,Price_data!A$1:B$190,2,FALSE))</f>
        <v>68.236916651767629</v>
      </c>
      <c r="Q19" s="3" t="e">
        <f>G19*(VLOOKUP(B19,Price_data!A$1:B$190,2,FALSE))</f>
        <v>#N/A</v>
      </c>
      <c r="R19" s="3" t="e">
        <f>I19*(VLOOKUP(B19,Price_data!A$1:B$190,2,FALSE))</f>
        <v>#N/A</v>
      </c>
      <c r="S19" s="4" t="str">
        <f>(VLOOKUP(B19,Price_data!A$1:C$190,3,FALSE))</f>
        <v>Open access</v>
      </c>
      <c r="T19" s="2" t="str">
        <f>IF(C19="Total", (VLOOKUP(B19,Recommended_fish_intake!A$4:D$122,4,FALSE)), "NA")</f>
        <v>NA</v>
      </c>
      <c r="U19" s="2" t="str">
        <f t="shared" si="6"/>
        <v>NA</v>
      </c>
    </row>
    <row r="20" spans="1:21" ht="14.25" customHeight="1">
      <c r="A20" s="2" t="s">
        <v>15</v>
      </c>
      <c r="B20" s="2">
        <v>1901</v>
      </c>
      <c r="C20" s="2" t="s">
        <v>24</v>
      </c>
      <c r="D20" s="3" t="e">
        <f t="shared" si="0"/>
        <v>#VALUE!</v>
      </c>
      <c r="E20" s="3" t="e">
        <f t="shared" si="1"/>
        <v>#VALUE!</v>
      </c>
      <c r="F20" s="3" t="e">
        <f t="shared" si="2"/>
        <v>#N/A</v>
      </c>
      <c r="G20" s="3" t="e">
        <f t="shared" si="3"/>
        <v>#N/A</v>
      </c>
      <c r="H20" s="3" t="e">
        <f t="shared" si="4"/>
        <v>#N/A</v>
      </c>
      <c r="I20" s="3" t="e">
        <f t="shared" si="5"/>
        <v>#N/A</v>
      </c>
      <c r="J20" s="3" t="e">
        <v>#VALUE!</v>
      </c>
      <c r="K20" s="3" t="e">
        <v>#VALUE!</v>
      </c>
      <c r="L20" s="3" t="e">
        <v>#N/A</v>
      </c>
      <c r="M20" s="3" t="e">
        <v>#N/A</v>
      </c>
      <c r="N20" s="3" t="e">
        <v>#N/A</v>
      </c>
      <c r="O20" s="3" t="e">
        <v>#N/A</v>
      </c>
      <c r="P20" s="3" t="e">
        <f>E20*(VLOOKUP(B20,Price_data!A$1:B$190,2,FALSE))</f>
        <v>#VALUE!</v>
      </c>
      <c r="Q20" s="3" t="e">
        <f>G20*(VLOOKUP(B20,Price_data!A$1:B$190,2,FALSE))</f>
        <v>#N/A</v>
      </c>
      <c r="R20" s="3" t="e">
        <f>I20*(VLOOKUP(B20,Price_data!A$1:B$190,2,FALSE))</f>
        <v>#N/A</v>
      </c>
      <c r="S20" s="4" t="str">
        <f>(VLOOKUP(B20,Price_data!A$1:C$190,3,FALSE))</f>
        <v>Open access</v>
      </c>
      <c r="T20" s="2" t="str">
        <f>IF(C20="Total", (VLOOKUP(B20,Recommended_fish_intake!A$4:D$122,4,FALSE)), "NA")</f>
        <v>NA</v>
      </c>
      <c r="U20" s="2" t="str">
        <f t="shared" si="6"/>
        <v>NA</v>
      </c>
    </row>
    <row r="21" spans="1:21" ht="14.25" customHeight="1">
      <c r="A21" s="2" t="s">
        <v>15</v>
      </c>
      <c r="B21" s="2">
        <v>1901</v>
      </c>
      <c r="C21" s="2" t="s">
        <v>30</v>
      </c>
      <c r="D21" s="3" t="e">
        <f t="shared" si="0"/>
        <v>#N/A</v>
      </c>
      <c r="E21" s="3" t="e">
        <f t="shared" si="1"/>
        <v>#N/A</v>
      </c>
      <c r="F21" s="3" t="e">
        <f t="shared" si="2"/>
        <v>#N/A</v>
      </c>
      <c r="G21" s="3" t="e">
        <f t="shared" si="3"/>
        <v>#N/A</v>
      </c>
      <c r="H21" s="3" t="e">
        <f t="shared" si="4"/>
        <v>#N/A</v>
      </c>
      <c r="I21" s="3" t="e">
        <f t="shared" si="5"/>
        <v>#N/A</v>
      </c>
      <c r="J21" s="3" t="e">
        <v>#N/A</v>
      </c>
      <c r="K21" s="3" t="e">
        <v>#N/A</v>
      </c>
      <c r="L21" s="3" t="e">
        <v>#N/A</v>
      </c>
      <c r="M21" s="3" t="e">
        <v>#N/A</v>
      </c>
      <c r="N21" s="3" t="e">
        <v>#N/A</v>
      </c>
      <c r="O21" s="3" t="e">
        <v>#N/A</v>
      </c>
      <c r="P21" s="3" t="e">
        <f>E21*(VLOOKUP(B21,Price_data!A$1:B$190,2,FALSE))</f>
        <v>#N/A</v>
      </c>
      <c r="Q21" s="3" t="e">
        <f>G21*(VLOOKUP(B21,Price_data!A$1:B$190,2,FALSE))</f>
        <v>#N/A</v>
      </c>
      <c r="R21" s="3" t="e">
        <f>I21*(VLOOKUP(B21,Price_data!A$1:B$190,2,FALSE))</f>
        <v>#N/A</v>
      </c>
      <c r="S21" s="4" t="str">
        <f>(VLOOKUP(B21,Price_data!A$1:C$190,3,FALSE))</f>
        <v>Open access</v>
      </c>
      <c r="T21" s="2" t="str">
        <f>IF(C21="Total", (VLOOKUP(B21,Recommended_fish_intake!A$4:D$122,4,FALSE)), "NA")</f>
        <v>NA</v>
      </c>
      <c r="U21" s="2" t="str">
        <f t="shared" si="6"/>
        <v>NA</v>
      </c>
    </row>
    <row r="22" spans="1:21" ht="14.25" customHeight="1">
      <c r="A22" s="2" t="s">
        <v>15</v>
      </c>
      <c r="B22" s="2">
        <v>1902</v>
      </c>
      <c r="C22" s="2" t="s">
        <v>16</v>
      </c>
      <c r="D22" s="3">
        <f t="shared" si="0"/>
        <v>913.40444015444007</v>
      </c>
      <c r="E22" s="3">
        <f t="shared" si="1"/>
        <v>9.7990069999999996</v>
      </c>
      <c r="F22" s="3" t="e">
        <f t="shared" si="2"/>
        <v>#VALUE!</v>
      </c>
      <c r="G22" s="3">
        <f t="shared" si="3"/>
        <v>3.7065920000000001</v>
      </c>
      <c r="H22" s="3">
        <f t="shared" si="4"/>
        <v>131.22586872586874</v>
      </c>
      <c r="I22" s="3">
        <f t="shared" si="5"/>
        <v>4.1057100000000002</v>
      </c>
      <c r="J22" s="3">
        <v>913404.44015444012</v>
      </c>
      <c r="K22" s="3">
        <v>9799.0069999999996</v>
      </c>
      <c r="L22" s="3" t="e">
        <v>#VALUE!</v>
      </c>
      <c r="M22" s="3">
        <v>3706.5920000000001</v>
      </c>
      <c r="N22" s="3">
        <v>131225.86872586873</v>
      </c>
      <c r="O22" s="3">
        <v>4105.71</v>
      </c>
      <c r="P22" s="3">
        <f>E22*(VLOOKUP(B22,Price_data!A$1:B$190,2,FALSE))</f>
        <v>715.54053288704392</v>
      </c>
      <c r="Q22" s="3">
        <f>G22*(VLOOKUP(B22,Price_data!A$1:B$190,2,FALSE))</f>
        <v>270.66179408534498</v>
      </c>
      <c r="R22" s="3">
        <f>I22*(VLOOKUP(B22,Price_data!A$1:B$190,2,FALSE))</f>
        <v>299.80608456343231</v>
      </c>
      <c r="S22" s="4" t="str">
        <f>(VLOOKUP(B22,Price_data!A$1:C$190,3,FALSE))</f>
        <v>Open access</v>
      </c>
      <c r="T22" s="2">
        <f>IF(C22="Total", (VLOOKUP(B22,Recommended_fish_intake!A$4:D$122,4,FALSE)), "NA")</f>
        <v>548.78370275315115</v>
      </c>
      <c r="U22" s="2" t="str">
        <f t="shared" si="6"/>
        <v>NA</v>
      </c>
    </row>
    <row r="23" spans="1:21" ht="14.25" customHeight="1">
      <c r="A23" s="2" t="s">
        <v>15</v>
      </c>
      <c r="B23" s="2">
        <v>1902</v>
      </c>
      <c r="C23" s="2" t="s">
        <v>22</v>
      </c>
      <c r="D23" s="3">
        <f t="shared" si="0"/>
        <v>77.963218857955695</v>
      </c>
      <c r="E23" s="3">
        <f t="shared" si="1"/>
        <v>0.86593399999999998</v>
      </c>
      <c r="F23" s="3" t="e">
        <f t="shared" si="2"/>
        <v>#N/A</v>
      </c>
      <c r="G23" s="3" t="e">
        <f t="shared" si="3"/>
        <v>#N/A</v>
      </c>
      <c r="H23" s="3" t="e">
        <f t="shared" si="4"/>
        <v>#N/A</v>
      </c>
      <c r="I23" s="3" t="e">
        <f t="shared" si="5"/>
        <v>#N/A</v>
      </c>
      <c r="J23" s="3">
        <v>77963.218857955697</v>
      </c>
      <c r="K23" s="3">
        <v>865.93399999999997</v>
      </c>
      <c r="L23" s="3" t="e">
        <v>#N/A</v>
      </c>
      <c r="M23" s="3" t="e">
        <v>#N/A</v>
      </c>
      <c r="N23" s="3" t="e">
        <v>#N/A</v>
      </c>
      <c r="O23" s="3" t="e">
        <v>#N/A</v>
      </c>
      <c r="P23" s="3">
        <f>E23*(VLOOKUP(B23,Price_data!A$1:B$190,2,FALSE))</f>
        <v>63.23200665179742</v>
      </c>
      <c r="Q23" s="3" t="e">
        <f>G23*(VLOOKUP(B23,Price_data!A$1:B$190,2,FALSE))</f>
        <v>#N/A</v>
      </c>
      <c r="R23" s="3" t="e">
        <f>I23*(VLOOKUP(B23,Price_data!A$1:B$190,2,FALSE))</f>
        <v>#N/A</v>
      </c>
      <c r="S23" s="4" t="str">
        <f>(VLOOKUP(B23,Price_data!A$1:C$190,3,FALSE))</f>
        <v>Open access</v>
      </c>
      <c r="T23" s="2" t="str">
        <f>IF(C23="Total", (VLOOKUP(B23,Recommended_fish_intake!A$4:D$122,4,FALSE)), "NA")</f>
        <v>NA</v>
      </c>
      <c r="U23" s="2" t="str">
        <f t="shared" si="6"/>
        <v>NA</v>
      </c>
    </row>
    <row r="24" spans="1:21" ht="14.25" customHeight="1">
      <c r="A24" s="2" t="s">
        <v>15</v>
      </c>
      <c r="B24" s="2">
        <v>1902</v>
      </c>
      <c r="C24" s="2" t="s">
        <v>23</v>
      </c>
      <c r="D24" s="3">
        <f t="shared" si="0"/>
        <v>149.42105263157893</v>
      </c>
      <c r="E24" s="3">
        <f t="shared" si="1"/>
        <v>1.7879419999999999</v>
      </c>
      <c r="F24" s="3" t="e">
        <f t="shared" si="2"/>
        <v>#N/A</v>
      </c>
      <c r="G24" s="3" t="e">
        <f t="shared" si="3"/>
        <v>#N/A</v>
      </c>
      <c r="H24" s="3" t="e">
        <f t="shared" si="4"/>
        <v>#N/A</v>
      </c>
      <c r="I24" s="3" t="e">
        <f t="shared" si="5"/>
        <v>#N/A</v>
      </c>
      <c r="J24" s="3">
        <v>149421.05263157893</v>
      </c>
      <c r="K24" s="3">
        <v>1787.942</v>
      </c>
      <c r="L24" s="3" t="e">
        <v>#N/A</v>
      </c>
      <c r="M24" s="3" t="e">
        <v>#N/A</v>
      </c>
      <c r="N24" s="3" t="e">
        <v>#N/A</v>
      </c>
      <c r="O24" s="3" t="e">
        <v>#N/A</v>
      </c>
      <c r="P24" s="3">
        <f>E24*(VLOOKUP(B24,Price_data!A$1:B$190,2,FALSE))</f>
        <v>130.55863430357044</v>
      </c>
      <c r="Q24" s="3" t="e">
        <f>G24*(VLOOKUP(B24,Price_data!A$1:B$190,2,FALSE))</f>
        <v>#N/A</v>
      </c>
      <c r="R24" s="3" t="e">
        <f>I24*(VLOOKUP(B24,Price_data!A$1:B$190,2,FALSE))</f>
        <v>#N/A</v>
      </c>
      <c r="S24" s="4" t="str">
        <f>(VLOOKUP(B24,Price_data!A$1:C$190,3,FALSE))</f>
        <v>Open access</v>
      </c>
      <c r="T24" s="2" t="str">
        <f>IF(C24="Total", (VLOOKUP(B24,Recommended_fish_intake!A$4:D$122,4,FALSE)), "NA")</f>
        <v>NA</v>
      </c>
      <c r="U24" s="2" t="str">
        <f t="shared" si="6"/>
        <v>NA</v>
      </c>
    </row>
    <row r="25" spans="1:21" ht="14.25" customHeight="1">
      <c r="A25" s="2" t="s">
        <v>15</v>
      </c>
      <c r="B25" s="2">
        <v>1902</v>
      </c>
      <c r="C25" s="2" t="s">
        <v>19</v>
      </c>
      <c r="D25" s="3">
        <f t="shared" si="0"/>
        <v>428.65606584027637</v>
      </c>
      <c r="E25" s="3">
        <f t="shared" si="1"/>
        <v>2.6319119999999998</v>
      </c>
      <c r="F25" s="3" t="e">
        <f t="shared" si="2"/>
        <v>#N/A</v>
      </c>
      <c r="G25" s="3" t="e">
        <f t="shared" si="3"/>
        <v>#N/A</v>
      </c>
      <c r="H25" s="3" t="e">
        <f t="shared" si="4"/>
        <v>#N/A</v>
      </c>
      <c r="I25" s="3" t="e">
        <f t="shared" si="5"/>
        <v>#N/A</v>
      </c>
      <c r="J25" s="3">
        <v>428656.06584027637</v>
      </c>
      <c r="K25" s="3">
        <v>2631.9119999999998</v>
      </c>
      <c r="L25" s="3" t="e">
        <v>#N/A</v>
      </c>
      <c r="M25" s="3" t="e">
        <v>#N/A</v>
      </c>
      <c r="N25" s="3" t="e">
        <v>#N/A</v>
      </c>
      <c r="O25" s="3" t="e">
        <v>#N/A</v>
      </c>
      <c r="P25" s="3">
        <f>E25*(VLOOKUP(B25,Price_data!A$1:B$190,2,FALSE))</f>
        <v>192.18679147711654</v>
      </c>
      <c r="Q25" s="3" t="e">
        <f>G25*(VLOOKUP(B25,Price_data!A$1:B$190,2,FALSE))</f>
        <v>#N/A</v>
      </c>
      <c r="R25" s="3" t="e">
        <f>I25*(VLOOKUP(B25,Price_data!A$1:B$190,2,FALSE))</f>
        <v>#N/A</v>
      </c>
      <c r="S25" s="4" t="str">
        <f>(VLOOKUP(B25,Price_data!A$1:C$190,3,FALSE))</f>
        <v>Open access</v>
      </c>
      <c r="T25" s="2" t="str">
        <f>IF(C25="Total", (VLOOKUP(B25,Recommended_fish_intake!A$4:D$122,4,FALSE)), "NA")</f>
        <v>NA</v>
      </c>
      <c r="U25" s="2" t="str">
        <f t="shared" si="6"/>
        <v>NA</v>
      </c>
    </row>
    <row r="26" spans="1:21" ht="14.25" customHeight="1">
      <c r="A26" s="2" t="s">
        <v>15</v>
      </c>
      <c r="B26" s="2">
        <v>1902</v>
      </c>
      <c r="C26" s="2" t="s">
        <v>28</v>
      </c>
      <c r="D26" s="3" t="e">
        <f t="shared" si="0"/>
        <v>#VALUE!</v>
      </c>
      <c r="E26" s="3" t="e">
        <f t="shared" si="1"/>
        <v>#VALUE!</v>
      </c>
      <c r="F26" s="3" t="e">
        <f t="shared" si="2"/>
        <v>#N/A</v>
      </c>
      <c r="G26" s="3" t="e">
        <f t="shared" si="3"/>
        <v>#N/A</v>
      </c>
      <c r="H26" s="3" t="e">
        <f t="shared" si="4"/>
        <v>#N/A</v>
      </c>
      <c r="I26" s="3" t="e">
        <f t="shared" si="5"/>
        <v>#N/A</v>
      </c>
      <c r="J26" s="3" t="e">
        <v>#VALUE!</v>
      </c>
      <c r="K26" s="3" t="e">
        <v>#VALUE!</v>
      </c>
      <c r="L26" s="3" t="e">
        <v>#N/A</v>
      </c>
      <c r="M26" s="3" t="e">
        <v>#N/A</v>
      </c>
      <c r="N26" s="3" t="e">
        <v>#N/A</v>
      </c>
      <c r="O26" s="3" t="e">
        <v>#N/A</v>
      </c>
      <c r="P26" s="3" t="e">
        <f>E26*(VLOOKUP(B26,Price_data!A$1:B$190,2,FALSE))</f>
        <v>#VALUE!</v>
      </c>
      <c r="Q26" s="3" t="e">
        <f>G26*(VLOOKUP(B26,Price_data!A$1:B$190,2,FALSE))</f>
        <v>#N/A</v>
      </c>
      <c r="R26" s="3" t="e">
        <f>I26*(VLOOKUP(B26,Price_data!A$1:B$190,2,FALSE))</f>
        <v>#N/A</v>
      </c>
      <c r="S26" s="4" t="str">
        <f>(VLOOKUP(B26,Price_data!A$1:C$190,3,FALSE))</f>
        <v>Open access</v>
      </c>
      <c r="T26" s="2" t="str">
        <f>IF(C26="Total", (VLOOKUP(B26,Recommended_fish_intake!A$4:D$122,4,FALSE)), "NA")</f>
        <v>NA</v>
      </c>
      <c r="U26" s="2" t="e">
        <f t="shared" si="6"/>
        <v>#VALUE!</v>
      </c>
    </row>
    <row r="27" spans="1:21" ht="14.25" customHeight="1">
      <c r="A27" s="2" t="s">
        <v>15</v>
      </c>
      <c r="B27" s="2">
        <v>1902</v>
      </c>
      <c r="C27" s="2" t="s">
        <v>29</v>
      </c>
      <c r="D27" s="3" t="e">
        <f t="shared" si="0"/>
        <v>#VALUE!</v>
      </c>
      <c r="E27" s="3" t="e">
        <f t="shared" si="1"/>
        <v>#VALUE!</v>
      </c>
      <c r="F27" s="3" t="e">
        <f t="shared" si="2"/>
        <v>#N/A</v>
      </c>
      <c r="G27" s="3" t="e">
        <f t="shared" si="3"/>
        <v>#N/A</v>
      </c>
      <c r="H27" s="3" t="e">
        <f t="shared" si="4"/>
        <v>#N/A</v>
      </c>
      <c r="I27" s="3" t="e">
        <f t="shared" si="5"/>
        <v>#N/A</v>
      </c>
      <c r="J27" s="3" t="e">
        <v>#VALUE!</v>
      </c>
      <c r="K27" s="3" t="e">
        <v>#VALUE!</v>
      </c>
      <c r="L27" s="3" t="e">
        <v>#N/A</v>
      </c>
      <c r="M27" s="3" t="e">
        <v>#N/A</v>
      </c>
      <c r="N27" s="3" t="e">
        <v>#N/A</v>
      </c>
      <c r="O27" s="3" t="e">
        <v>#N/A</v>
      </c>
      <c r="P27" s="3" t="e">
        <f>E27*(VLOOKUP(B27,Price_data!A$1:B$190,2,FALSE))</f>
        <v>#VALUE!</v>
      </c>
      <c r="Q27" s="3" t="e">
        <f>G27*(VLOOKUP(B27,Price_data!A$1:B$190,2,FALSE))</f>
        <v>#N/A</v>
      </c>
      <c r="R27" s="3" t="e">
        <f>I27*(VLOOKUP(B27,Price_data!A$1:B$190,2,FALSE))</f>
        <v>#N/A</v>
      </c>
      <c r="S27" s="4" t="str">
        <f>(VLOOKUP(B27,Price_data!A$1:C$190,3,FALSE))</f>
        <v>Open access</v>
      </c>
      <c r="T27" s="2" t="str">
        <f>IF(C27="Total", (VLOOKUP(B27,Recommended_fish_intake!A$4:D$122,4,FALSE)), "NA")</f>
        <v>NA</v>
      </c>
      <c r="U27" s="2" t="str">
        <f t="shared" si="6"/>
        <v>NA</v>
      </c>
    </row>
    <row r="28" spans="1:21" ht="14.25" customHeight="1">
      <c r="A28" s="2" t="s">
        <v>15</v>
      </c>
      <c r="B28" s="2">
        <v>1902</v>
      </c>
      <c r="C28" s="2" t="s">
        <v>20</v>
      </c>
      <c r="D28" s="3">
        <f t="shared" si="0"/>
        <v>30.480745783377362</v>
      </c>
      <c r="E28" s="3">
        <f t="shared" si="1"/>
        <v>0.39082100000000003</v>
      </c>
      <c r="F28" s="3" t="e">
        <f t="shared" si="2"/>
        <v>#N/A</v>
      </c>
      <c r="G28" s="3" t="e">
        <f t="shared" si="3"/>
        <v>#N/A</v>
      </c>
      <c r="H28" s="3" t="e">
        <f t="shared" si="4"/>
        <v>#N/A</v>
      </c>
      <c r="I28" s="3" t="e">
        <f t="shared" si="5"/>
        <v>#N/A</v>
      </c>
      <c r="J28" s="3">
        <v>30480.745783377362</v>
      </c>
      <c r="K28" s="3">
        <v>390.82100000000003</v>
      </c>
      <c r="L28" s="3" t="e">
        <v>#N/A</v>
      </c>
      <c r="M28" s="3" t="e">
        <v>#N/A</v>
      </c>
      <c r="N28" s="3" t="e">
        <v>#N/A</v>
      </c>
      <c r="O28" s="3" t="e">
        <v>#N/A</v>
      </c>
      <c r="P28" s="3">
        <f>E28*(VLOOKUP(B28,Price_data!A$1:B$190,2,FALSE))</f>
        <v>28.538429108525733</v>
      </c>
      <c r="Q28" s="3" t="e">
        <f>G28*(VLOOKUP(B28,Price_data!A$1:B$190,2,FALSE))</f>
        <v>#N/A</v>
      </c>
      <c r="R28" s="3" t="e">
        <f>I28*(VLOOKUP(B28,Price_data!A$1:B$190,2,FALSE))</f>
        <v>#N/A</v>
      </c>
      <c r="S28" s="4" t="str">
        <f>(VLOOKUP(B28,Price_data!A$1:C$190,3,FALSE))</f>
        <v>Open access</v>
      </c>
      <c r="T28" s="2" t="str">
        <f>IF(C28="Total", (VLOOKUP(B28,Recommended_fish_intake!A$4:D$122,4,FALSE)), "NA")</f>
        <v>NA</v>
      </c>
      <c r="U28" s="2" t="str">
        <f t="shared" si="6"/>
        <v>NA</v>
      </c>
    </row>
    <row r="29" spans="1:21" ht="14.25" customHeight="1">
      <c r="A29" s="2" t="s">
        <v>18</v>
      </c>
      <c r="B29" s="2">
        <v>1902</v>
      </c>
      <c r="C29" s="2" t="s">
        <v>25</v>
      </c>
      <c r="D29" s="3">
        <f t="shared" si="0"/>
        <v>64.856584027636657</v>
      </c>
      <c r="E29" s="3">
        <f t="shared" si="1"/>
        <v>1.0344819999999999</v>
      </c>
      <c r="F29" s="3" t="e">
        <f t="shared" si="2"/>
        <v>#N/A</v>
      </c>
      <c r="G29" s="3" t="e">
        <f t="shared" si="3"/>
        <v>#N/A</v>
      </c>
      <c r="H29" s="3" t="e">
        <f t="shared" si="4"/>
        <v>#N/A</v>
      </c>
      <c r="I29" s="3" t="e">
        <f t="shared" si="5"/>
        <v>#N/A</v>
      </c>
      <c r="J29" s="3">
        <v>64856.584027636658</v>
      </c>
      <c r="K29" s="3">
        <v>1034.482</v>
      </c>
      <c r="L29" s="3" t="e">
        <v>#N/A</v>
      </c>
      <c r="M29" s="3" t="e">
        <v>#N/A</v>
      </c>
      <c r="N29" s="3" t="e">
        <v>#N/A</v>
      </c>
      <c r="O29" s="3" t="e">
        <v>#N/A</v>
      </c>
      <c r="P29" s="3">
        <f>E29*(VLOOKUP(B29,Price_data!A$1:B$190,2,FALSE))</f>
        <v>75.53967473868066</v>
      </c>
      <c r="Q29" s="3" t="e">
        <f>G29*(VLOOKUP(B29,Price_data!A$1:B$190,2,FALSE))</f>
        <v>#N/A</v>
      </c>
      <c r="R29" s="3" t="e">
        <f>I29*(VLOOKUP(B29,Price_data!A$1:B$190,2,FALSE))</f>
        <v>#N/A</v>
      </c>
      <c r="S29" s="4" t="str">
        <f>(VLOOKUP(B29,Price_data!A$1:C$190,3,FALSE))</f>
        <v>Open access</v>
      </c>
      <c r="T29" s="2" t="str">
        <f>IF(C29="Total", (VLOOKUP(B29,Recommended_fish_intake!A$4:D$122,4,FALSE)), "NA")</f>
        <v>NA</v>
      </c>
      <c r="U29" s="2" t="str">
        <f t="shared" si="6"/>
        <v>NA</v>
      </c>
    </row>
    <row r="30" spans="1:21" ht="14.25" customHeight="1">
      <c r="A30" s="2" t="s">
        <v>15</v>
      </c>
      <c r="B30" s="2">
        <v>1902</v>
      </c>
      <c r="C30" s="2" t="s">
        <v>24</v>
      </c>
      <c r="D30" s="3">
        <f t="shared" si="0"/>
        <v>20.486029262345053</v>
      </c>
      <c r="E30" s="3">
        <f t="shared" si="1"/>
        <v>0.181392</v>
      </c>
      <c r="F30" s="3" t="e">
        <f t="shared" si="2"/>
        <v>#N/A</v>
      </c>
      <c r="G30" s="3" t="e">
        <f t="shared" si="3"/>
        <v>#N/A</v>
      </c>
      <c r="H30" s="3" t="e">
        <f t="shared" si="4"/>
        <v>#N/A</v>
      </c>
      <c r="I30" s="3" t="e">
        <f t="shared" si="5"/>
        <v>#N/A</v>
      </c>
      <c r="J30" s="3">
        <v>20486.029262345051</v>
      </c>
      <c r="K30" s="3">
        <v>181.392</v>
      </c>
      <c r="L30" s="3" t="e">
        <v>#N/A</v>
      </c>
      <c r="M30" s="3" t="e">
        <v>#N/A</v>
      </c>
      <c r="N30" s="3" t="e">
        <v>#N/A</v>
      </c>
      <c r="O30" s="3" t="e">
        <v>#N/A</v>
      </c>
      <c r="P30" s="3">
        <f>E30*(VLOOKUP(B30,Price_data!A$1:B$190,2,FALSE))</f>
        <v>13.24555930426896</v>
      </c>
      <c r="Q30" s="3" t="e">
        <f>G30*(VLOOKUP(B30,Price_data!A$1:B$190,2,FALSE))</f>
        <v>#N/A</v>
      </c>
      <c r="R30" s="3" t="e">
        <f>I30*(VLOOKUP(B30,Price_data!A$1:B$190,2,FALSE))</f>
        <v>#N/A</v>
      </c>
      <c r="S30" s="4" t="str">
        <f>(VLOOKUP(B30,Price_data!A$1:C$190,3,FALSE))</f>
        <v>Open access</v>
      </c>
      <c r="T30" s="2" t="str">
        <f>IF(C30="Total", (VLOOKUP(B30,Recommended_fish_intake!A$4:D$122,4,FALSE)), "NA")</f>
        <v>NA</v>
      </c>
      <c r="U30" s="2" t="str">
        <f t="shared" si="6"/>
        <v>NA</v>
      </c>
    </row>
    <row r="31" spans="1:21" ht="14.25" customHeight="1">
      <c r="A31" s="2" t="s">
        <v>15</v>
      </c>
      <c r="B31" s="2">
        <v>1902</v>
      </c>
      <c r="C31" s="2" t="s">
        <v>30</v>
      </c>
      <c r="D31" s="3" t="e">
        <f t="shared" si="0"/>
        <v>#N/A</v>
      </c>
      <c r="E31" s="3" t="e">
        <f t="shared" si="1"/>
        <v>#N/A</v>
      </c>
      <c r="F31" s="3" t="e">
        <f t="shared" si="2"/>
        <v>#N/A</v>
      </c>
      <c r="G31" s="3" t="e">
        <f t="shared" si="3"/>
        <v>#N/A</v>
      </c>
      <c r="H31" s="3" t="e">
        <f t="shared" si="4"/>
        <v>#N/A</v>
      </c>
      <c r="I31" s="3" t="e">
        <f t="shared" si="5"/>
        <v>#N/A</v>
      </c>
      <c r="J31" s="3" t="e">
        <v>#N/A</v>
      </c>
      <c r="K31" s="3" t="e">
        <v>#N/A</v>
      </c>
      <c r="L31" s="3" t="e">
        <v>#N/A</v>
      </c>
      <c r="M31" s="3" t="e">
        <v>#N/A</v>
      </c>
      <c r="N31" s="3" t="e">
        <v>#N/A</v>
      </c>
      <c r="O31" s="3" t="e">
        <v>#N/A</v>
      </c>
      <c r="P31" s="3" t="e">
        <f>E31*(VLOOKUP(B31,Price_data!A$1:B$190,2,FALSE))</f>
        <v>#N/A</v>
      </c>
      <c r="Q31" s="3" t="e">
        <f>G31*(VLOOKUP(B31,Price_data!A$1:B$190,2,FALSE))</f>
        <v>#N/A</v>
      </c>
      <c r="R31" s="3" t="e">
        <f>I31*(VLOOKUP(B31,Price_data!A$1:B$190,2,FALSE))</f>
        <v>#N/A</v>
      </c>
      <c r="S31" s="4" t="str">
        <f>(VLOOKUP(B31,Price_data!A$1:C$190,3,FALSE))</f>
        <v>Open access</v>
      </c>
      <c r="T31" s="2" t="str">
        <f>IF(C31="Total", (VLOOKUP(B31,Recommended_fish_intake!A$4:D$122,4,FALSE)), "NA")</f>
        <v>NA</v>
      </c>
      <c r="U31" s="2" t="str">
        <f t="shared" si="6"/>
        <v>NA</v>
      </c>
    </row>
    <row r="32" spans="1:21" ht="14.25" customHeight="1">
      <c r="A32" s="2" t="s">
        <v>15</v>
      </c>
      <c r="B32" s="2">
        <v>1903</v>
      </c>
      <c r="C32" s="2" t="s">
        <v>16</v>
      </c>
      <c r="D32" s="3">
        <f t="shared" si="0"/>
        <v>942.66714082503552</v>
      </c>
      <c r="E32" s="3">
        <f t="shared" si="1"/>
        <v>10.112049000000001</v>
      </c>
      <c r="F32" s="3" t="e">
        <f t="shared" si="2"/>
        <v>#VALUE!</v>
      </c>
      <c r="G32" s="3">
        <f t="shared" si="3"/>
        <v>3.29833</v>
      </c>
      <c r="H32" s="3">
        <f t="shared" si="4"/>
        <v>106.7569091648039</v>
      </c>
      <c r="I32" s="3">
        <f t="shared" si="5"/>
        <v>3.2137330000000004</v>
      </c>
      <c r="J32" s="3">
        <v>942667.14082503552</v>
      </c>
      <c r="K32" s="3">
        <v>10112.049000000001</v>
      </c>
      <c r="L32" s="3" t="e">
        <v>#VALUE!</v>
      </c>
      <c r="M32" s="3">
        <v>3298.33</v>
      </c>
      <c r="N32" s="3">
        <v>106756.9091648039</v>
      </c>
      <c r="O32" s="3">
        <v>3213.7330000000002</v>
      </c>
      <c r="P32" s="3">
        <f>E32*(VLOOKUP(B32,Price_data!A$1:B$190,2,FALSE))</f>
        <v>730.45962561507793</v>
      </c>
      <c r="Q32" s="3">
        <f>G32*(VLOOKUP(B32,Price_data!A$1:B$190,2,FALSE))</f>
        <v>238.2600101082362</v>
      </c>
      <c r="R32" s="3">
        <f>I32*(VLOOKUP(B32,Price_data!A$1:B$190,2,FALSE))</f>
        <v>232.14901391466964</v>
      </c>
      <c r="S32" s="4" t="str">
        <f>(VLOOKUP(B32,Price_data!A$1:C$190,3,FALSE))</f>
        <v>Open access</v>
      </c>
      <c r="T32" s="2">
        <f>IF(C32="Total", (VLOOKUP(B32,Recommended_fish_intake!A$4:D$122,4,FALSE)), "NA")</f>
        <v>553.41970263867631</v>
      </c>
      <c r="U32" s="2" t="str">
        <f t="shared" si="6"/>
        <v>NA</v>
      </c>
    </row>
    <row r="33" spans="1:21" ht="14.25" customHeight="1">
      <c r="A33" s="2" t="s">
        <v>18</v>
      </c>
      <c r="B33" s="2">
        <v>1903</v>
      </c>
      <c r="C33" s="2" t="s">
        <v>19</v>
      </c>
      <c r="D33" s="3">
        <f t="shared" si="0"/>
        <v>155.40596423491161</v>
      </c>
      <c r="E33" s="3">
        <f t="shared" si="1"/>
        <v>0.801261</v>
      </c>
      <c r="F33" s="3" t="e">
        <f t="shared" si="2"/>
        <v>#N/A</v>
      </c>
      <c r="G33" s="3" t="e">
        <f t="shared" si="3"/>
        <v>#N/A</v>
      </c>
      <c r="H33" s="3" t="e">
        <f t="shared" si="4"/>
        <v>#N/A</v>
      </c>
      <c r="I33" s="3" t="e">
        <f t="shared" si="5"/>
        <v>#N/A</v>
      </c>
      <c r="J33" s="3">
        <v>155405.9642349116</v>
      </c>
      <c r="K33" s="3">
        <v>801.26099999999997</v>
      </c>
      <c r="L33" s="3" t="e">
        <v>#N/A</v>
      </c>
      <c r="M33" s="3" t="e">
        <v>#N/A</v>
      </c>
      <c r="N33" s="3" t="e">
        <v>#N/A</v>
      </c>
      <c r="O33" s="3" t="e">
        <v>#N/A</v>
      </c>
      <c r="P33" s="3">
        <f>E33*(VLOOKUP(B33,Price_data!A$1:B$190,2,FALSE))</f>
        <v>57.88033761307554</v>
      </c>
      <c r="Q33" s="3" t="e">
        <f>G33*(VLOOKUP(B33,Price_data!A$1:B$190,2,FALSE))</f>
        <v>#N/A</v>
      </c>
      <c r="R33" s="3" t="e">
        <f>I33*(VLOOKUP(B33,Price_data!A$1:B$190,2,FALSE))</f>
        <v>#N/A</v>
      </c>
      <c r="S33" s="4" t="str">
        <f>(VLOOKUP(B33,Price_data!A$1:C$190,3,FALSE))</f>
        <v>Open access</v>
      </c>
      <c r="T33" s="2" t="str">
        <f>IF(C33="Total", (VLOOKUP(B33,Recommended_fish_intake!A$4:D$122,4,FALSE)), "NA")</f>
        <v>NA</v>
      </c>
      <c r="U33" s="2" t="str">
        <f t="shared" si="6"/>
        <v>NA</v>
      </c>
    </row>
    <row r="34" spans="1:21" ht="14.25" customHeight="1">
      <c r="A34" s="2" t="s">
        <v>18</v>
      </c>
      <c r="B34" s="2">
        <v>1903</v>
      </c>
      <c r="C34" s="2" t="s">
        <v>20</v>
      </c>
      <c r="D34" s="3">
        <f t="shared" si="0"/>
        <v>17.70478561268035</v>
      </c>
      <c r="E34" s="3">
        <f t="shared" si="1"/>
        <v>0.255272</v>
      </c>
      <c r="F34" s="3" t="e">
        <f t="shared" si="2"/>
        <v>#N/A</v>
      </c>
      <c r="G34" s="3" t="e">
        <f t="shared" si="3"/>
        <v>#N/A</v>
      </c>
      <c r="H34" s="3" t="e">
        <f t="shared" si="4"/>
        <v>#N/A</v>
      </c>
      <c r="I34" s="3" t="e">
        <f t="shared" si="5"/>
        <v>#N/A</v>
      </c>
      <c r="J34" s="3">
        <v>17704.785612680349</v>
      </c>
      <c r="K34" s="3">
        <v>255.27199999999999</v>
      </c>
      <c r="L34" s="3" t="e">
        <v>#N/A</v>
      </c>
      <c r="M34" s="3" t="e">
        <v>#N/A</v>
      </c>
      <c r="N34" s="3" t="e">
        <v>#N/A</v>
      </c>
      <c r="O34" s="3" t="e">
        <v>#N/A</v>
      </c>
      <c r="P34" s="3">
        <f>E34*(VLOOKUP(B34,Price_data!A$1:B$190,2,FALSE))</f>
        <v>18.439970924786078</v>
      </c>
      <c r="Q34" s="3" t="e">
        <f>G34*(VLOOKUP(B34,Price_data!A$1:B$190,2,FALSE))</f>
        <v>#N/A</v>
      </c>
      <c r="R34" s="3" t="e">
        <f>I34*(VLOOKUP(B34,Price_data!A$1:B$190,2,FALSE))</f>
        <v>#N/A</v>
      </c>
      <c r="S34" s="4" t="str">
        <f>(VLOOKUP(B34,Price_data!A$1:C$190,3,FALSE))</f>
        <v>Open access</v>
      </c>
      <c r="T34" s="2" t="str">
        <f>IF(C34="Total", (VLOOKUP(B34,Recommended_fish_intake!A$4:D$122,4,FALSE)), "NA")</f>
        <v>NA</v>
      </c>
      <c r="U34" s="2" t="str">
        <f t="shared" si="6"/>
        <v>NA</v>
      </c>
    </row>
    <row r="35" spans="1:21" ht="14.25" customHeight="1">
      <c r="A35" s="2" t="s">
        <v>18</v>
      </c>
      <c r="B35" s="2">
        <v>1903</v>
      </c>
      <c r="C35" s="2" t="s">
        <v>21</v>
      </c>
      <c r="D35" s="3">
        <f t="shared" si="0"/>
        <v>3.3377870351554559</v>
      </c>
      <c r="E35" s="3">
        <f t="shared" si="1"/>
        <v>1.2471999999999999E-2</v>
      </c>
      <c r="F35" s="3" t="e">
        <f t="shared" si="2"/>
        <v>#N/A</v>
      </c>
      <c r="G35" s="3" t="e">
        <f t="shared" si="3"/>
        <v>#N/A</v>
      </c>
      <c r="H35" s="3" t="e">
        <f t="shared" si="4"/>
        <v>#N/A</v>
      </c>
      <c r="I35" s="3" t="e">
        <f t="shared" si="5"/>
        <v>#N/A</v>
      </c>
      <c r="J35" s="3">
        <v>3337.7870351554561</v>
      </c>
      <c r="K35" s="3">
        <v>12.472</v>
      </c>
      <c r="L35" s="3" t="e">
        <v>#N/A</v>
      </c>
      <c r="M35" s="3" t="e">
        <v>#N/A</v>
      </c>
      <c r="N35" s="3" t="e">
        <v>#N/A</v>
      </c>
      <c r="O35" s="3" t="e">
        <v>#N/A</v>
      </c>
      <c r="P35" s="3">
        <f>E35*(VLOOKUP(B35,Price_data!A$1:B$190,2,FALSE))</f>
        <v>0.90093436559407991</v>
      </c>
      <c r="Q35" s="3" t="e">
        <f>G35*(VLOOKUP(B35,Price_data!A$1:B$190,2,FALSE))</f>
        <v>#N/A</v>
      </c>
      <c r="R35" s="3" t="e">
        <f>I35*(VLOOKUP(B35,Price_data!A$1:B$190,2,FALSE))</f>
        <v>#N/A</v>
      </c>
      <c r="S35" s="4" t="str">
        <f>(VLOOKUP(B35,Price_data!A$1:C$190,3,FALSE))</f>
        <v>Open access</v>
      </c>
      <c r="T35" s="2" t="str">
        <f>IF(C35="Total", (VLOOKUP(B35,Recommended_fish_intake!A$4:D$122,4,FALSE)), "NA")</f>
        <v>NA</v>
      </c>
      <c r="U35" s="2" t="str">
        <f t="shared" si="6"/>
        <v>NA</v>
      </c>
    </row>
    <row r="36" spans="1:21" ht="14.25" customHeight="1">
      <c r="A36" s="2" t="s">
        <v>18</v>
      </c>
      <c r="B36" s="2">
        <v>1903</v>
      </c>
      <c r="C36" s="2" t="s">
        <v>22</v>
      </c>
      <c r="D36" s="3">
        <f t="shared" si="0"/>
        <v>69.342410079252176</v>
      </c>
      <c r="E36" s="3">
        <f t="shared" si="1"/>
        <v>0.83209199999999994</v>
      </c>
      <c r="F36" s="3" t="e">
        <f t="shared" si="2"/>
        <v>#N/A</v>
      </c>
      <c r="G36" s="3" t="e">
        <f t="shared" si="3"/>
        <v>#N/A</v>
      </c>
      <c r="H36" s="3" t="e">
        <f t="shared" si="4"/>
        <v>#N/A</v>
      </c>
      <c r="I36" s="3" t="e">
        <f t="shared" si="5"/>
        <v>#N/A</v>
      </c>
      <c r="J36" s="3">
        <v>69342.410079252179</v>
      </c>
      <c r="K36" s="3">
        <v>832.09199999999998</v>
      </c>
      <c r="L36" s="3" t="e">
        <v>#N/A</v>
      </c>
      <c r="M36" s="3" t="e">
        <v>#N/A</v>
      </c>
      <c r="N36" s="3" t="e">
        <v>#N/A</v>
      </c>
      <c r="O36" s="3" t="e">
        <v>#N/A</v>
      </c>
      <c r="P36" s="3">
        <f>E36*(VLOOKUP(B36,Price_data!A$1:B$190,2,FALSE))</f>
        <v>60.107462967920874</v>
      </c>
      <c r="Q36" s="3" t="e">
        <f>G36*(VLOOKUP(B36,Price_data!A$1:B$190,2,FALSE))</f>
        <v>#N/A</v>
      </c>
      <c r="R36" s="3" t="e">
        <f>I36*(VLOOKUP(B36,Price_data!A$1:B$190,2,FALSE))</f>
        <v>#N/A</v>
      </c>
      <c r="S36" s="4" t="str">
        <f>(VLOOKUP(B36,Price_data!A$1:C$190,3,FALSE))</f>
        <v>Open access</v>
      </c>
      <c r="T36" s="2" t="str">
        <f>IF(C36="Total", (VLOOKUP(B36,Recommended_fish_intake!A$4:D$122,4,FALSE)), "NA")</f>
        <v>NA</v>
      </c>
      <c r="U36" s="2" t="str">
        <f t="shared" si="6"/>
        <v>NA</v>
      </c>
    </row>
    <row r="37" spans="1:21" ht="14.25" customHeight="1">
      <c r="A37" s="2" t="s">
        <v>18</v>
      </c>
      <c r="B37" s="2">
        <v>1903</v>
      </c>
      <c r="C37" s="2" t="s">
        <v>23</v>
      </c>
      <c r="D37" s="3">
        <f t="shared" si="0"/>
        <v>140.22363340784395</v>
      </c>
      <c r="E37" s="3">
        <f t="shared" si="1"/>
        <v>1.3881459999999999</v>
      </c>
      <c r="F37" s="3" t="e">
        <f t="shared" si="2"/>
        <v>#N/A</v>
      </c>
      <c r="G37" s="3" t="e">
        <f t="shared" si="3"/>
        <v>#N/A</v>
      </c>
      <c r="H37" s="3" t="e">
        <f t="shared" si="4"/>
        <v>#N/A</v>
      </c>
      <c r="I37" s="3" t="e">
        <f t="shared" si="5"/>
        <v>#N/A</v>
      </c>
      <c r="J37" s="3">
        <v>140223.63340784394</v>
      </c>
      <c r="K37" s="3">
        <v>1388.146</v>
      </c>
      <c r="L37" s="3" t="e">
        <v>#N/A</v>
      </c>
      <c r="M37" s="3" t="e">
        <v>#N/A</v>
      </c>
      <c r="N37" s="3" t="e">
        <v>#N/A</v>
      </c>
      <c r="O37" s="3" t="e">
        <v>#N/A</v>
      </c>
      <c r="P37" s="3">
        <f>E37*(VLOOKUP(B37,Price_data!A$1:B$190,2,FALSE))</f>
        <v>100.27489062395443</v>
      </c>
      <c r="Q37" s="3" t="e">
        <f>G37*(VLOOKUP(B37,Price_data!A$1:B$190,2,FALSE))</f>
        <v>#N/A</v>
      </c>
      <c r="R37" s="3" t="e">
        <f>I37*(VLOOKUP(B37,Price_data!A$1:B$190,2,FALSE))</f>
        <v>#N/A</v>
      </c>
      <c r="S37" s="4" t="str">
        <f>(VLOOKUP(B37,Price_data!A$1:C$190,3,FALSE))</f>
        <v>Open access</v>
      </c>
      <c r="T37" s="2" t="str">
        <f>IF(C37="Total", (VLOOKUP(B37,Recommended_fish_intake!A$4:D$122,4,FALSE)), "NA")</f>
        <v>NA</v>
      </c>
      <c r="U37" s="2" t="str">
        <f t="shared" si="6"/>
        <v>NA</v>
      </c>
    </row>
    <row r="38" spans="1:21" ht="14.25" customHeight="1">
      <c r="A38" s="2" t="s">
        <v>18</v>
      </c>
      <c r="B38" s="2">
        <v>1903</v>
      </c>
      <c r="C38" s="2" t="s">
        <v>24</v>
      </c>
      <c r="D38" s="3">
        <f t="shared" si="0"/>
        <v>15.286476325950009</v>
      </c>
      <c r="E38" s="3">
        <f t="shared" si="1"/>
        <v>0.13042500000000001</v>
      </c>
      <c r="F38" s="3" t="e">
        <f t="shared" si="2"/>
        <v>#N/A</v>
      </c>
      <c r="G38" s="3" t="e">
        <f t="shared" si="3"/>
        <v>#N/A</v>
      </c>
      <c r="H38" s="3" t="e">
        <f t="shared" si="4"/>
        <v>#N/A</v>
      </c>
      <c r="I38" s="3" t="e">
        <f t="shared" si="5"/>
        <v>#N/A</v>
      </c>
      <c r="J38" s="3">
        <v>15286.476325950009</v>
      </c>
      <c r="K38" s="3">
        <v>130.42500000000001</v>
      </c>
      <c r="L38" s="3" t="e">
        <v>#N/A</v>
      </c>
      <c r="M38" s="3" t="e">
        <v>#N/A</v>
      </c>
      <c r="N38" s="3" t="e">
        <v>#N/A</v>
      </c>
      <c r="O38" s="3" t="e">
        <v>#N/A</v>
      </c>
      <c r="P38" s="3">
        <f>E38*(VLOOKUP(B38,Price_data!A$1:B$190,2,FALSE))</f>
        <v>9.421453225834501</v>
      </c>
      <c r="Q38" s="3" t="e">
        <f>G38*(VLOOKUP(B38,Price_data!A$1:B$190,2,FALSE))</f>
        <v>#N/A</v>
      </c>
      <c r="R38" s="3" t="e">
        <f>I38*(VLOOKUP(B38,Price_data!A$1:B$190,2,FALSE))</f>
        <v>#N/A</v>
      </c>
      <c r="S38" s="4" t="str">
        <f>(VLOOKUP(B38,Price_data!A$1:C$190,3,FALSE))</f>
        <v>Open access</v>
      </c>
      <c r="T38" s="2" t="str">
        <f>IF(C38="Total", (VLOOKUP(B38,Recommended_fish_intake!A$4:D$122,4,FALSE)), "NA")</f>
        <v>NA</v>
      </c>
      <c r="U38" s="2" t="str">
        <f t="shared" si="6"/>
        <v>NA</v>
      </c>
    </row>
    <row r="39" spans="1:21" ht="14.25" customHeight="1">
      <c r="A39" s="2" t="s">
        <v>18</v>
      </c>
      <c r="B39" s="2">
        <v>1903</v>
      </c>
      <c r="C39" s="2" t="s">
        <v>25</v>
      </c>
      <c r="D39" s="3">
        <f t="shared" si="0"/>
        <v>56.63173135541556</v>
      </c>
      <c r="E39" s="3">
        <f t="shared" si="1"/>
        <v>1.076176</v>
      </c>
      <c r="F39" s="3" t="e">
        <f t="shared" si="2"/>
        <v>#N/A</v>
      </c>
      <c r="G39" s="3" t="e">
        <f t="shared" si="3"/>
        <v>#N/A</v>
      </c>
      <c r="H39" s="3" t="e">
        <f t="shared" si="4"/>
        <v>#N/A</v>
      </c>
      <c r="I39" s="3" t="e">
        <f t="shared" si="5"/>
        <v>#N/A</v>
      </c>
      <c r="J39" s="3">
        <v>56631.731355415563</v>
      </c>
      <c r="K39" s="3">
        <v>1076.1759999999999</v>
      </c>
      <c r="L39" s="3" t="e">
        <v>#N/A</v>
      </c>
      <c r="M39" s="3" t="e">
        <v>#N/A</v>
      </c>
      <c r="N39" s="3" t="e">
        <v>#N/A</v>
      </c>
      <c r="O39" s="3" t="e">
        <v>#N/A</v>
      </c>
      <c r="P39" s="3">
        <f>E39*(VLOOKUP(B39,Price_data!A$1:B$190,2,FALSE))</f>
        <v>77.739251269048637</v>
      </c>
      <c r="Q39" s="3" t="e">
        <f>G39*(VLOOKUP(B39,Price_data!A$1:B$190,2,FALSE))</f>
        <v>#N/A</v>
      </c>
      <c r="R39" s="3" t="e">
        <f>I39*(VLOOKUP(B39,Price_data!A$1:B$190,2,FALSE))</f>
        <v>#N/A</v>
      </c>
      <c r="S39" s="4" t="str">
        <f>(VLOOKUP(B39,Price_data!A$1:C$190,3,FALSE))</f>
        <v>Open access</v>
      </c>
      <c r="T39" s="2" t="str">
        <f>IF(C39="Total", (VLOOKUP(B39,Recommended_fish_intake!A$4:D$122,4,FALSE)), "NA")</f>
        <v>NA</v>
      </c>
      <c r="U39" s="2" t="str">
        <f t="shared" si="6"/>
        <v>NA</v>
      </c>
    </row>
    <row r="40" spans="1:21" ht="14.25" customHeight="1">
      <c r="A40" s="2" t="s">
        <v>15</v>
      </c>
      <c r="B40" s="2">
        <v>1903</v>
      </c>
      <c r="C40" s="2" t="s">
        <v>22</v>
      </c>
      <c r="D40" s="3" t="e">
        <f t="shared" si="0"/>
        <v>#N/A</v>
      </c>
      <c r="E40" s="3" t="e">
        <f t="shared" si="1"/>
        <v>#N/A</v>
      </c>
      <c r="F40" s="3" t="e">
        <f t="shared" si="2"/>
        <v>#N/A</v>
      </c>
      <c r="G40" s="3" t="e">
        <f t="shared" si="3"/>
        <v>#N/A</v>
      </c>
      <c r="H40" s="3" t="e">
        <f t="shared" si="4"/>
        <v>#N/A</v>
      </c>
      <c r="I40" s="3" t="e">
        <f t="shared" si="5"/>
        <v>#N/A</v>
      </c>
      <c r="J40" s="3" t="e">
        <v>#N/A</v>
      </c>
      <c r="K40" s="3" t="e">
        <v>#N/A</v>
      </c>
      <c r="L40" s="3" t="e">
        <v>#N/A</v>
      </c>
      <c r="M40" s="3" t="e">
        <v>#N/A</v>
      </c>
      <c r="N40" s="3" t="e">
        <v>#N/A</v>
      </c>
      <c r="O40" s="3" t="e">
        <v>#N/A</v>
      </c>
      <c r="P40" s="3" t="e">
        <f>E40*(VLOOKUP(B40,Price_data!A$1:B$190,2,FALSE))</f>
        <v>#N/A</v>
      </c>
      <c r="Q40" s="3" t="e">
        <f>G40*(VLOOKUP(B40,Price_data!A$1:B$190,2,FALSE))</f>
        <v>#N/A</v>
      </c>
      <c r="R40" s="3" t="e">
        <f>I40*(VLOOKUP(B40,Price_data!A$1:B$190,2,FALSE))</f>
        <v>#N/A</v>
      </c>
      <c r="S40" s="4" t="str">
        <f>(VLOOKUP(B40,Price_data!A$1:C$190,3,FALSE))</f>
        <v>Open access</v>
      </c>
      <c r="T40" s="2" t="str">
        <f>IF(C40="Total", (VLOOKUP(B40,Recommended_fish_intake!A$4:D$122,4,FALSE)), "NA")</f>
        <v>NA</v>
      </c>
      <c r="U40" s="2" t="str">
        <f t="shared" si="6"/>
        <v>NA</v>
      </c>
    </row>
    <row r="41" spans="1:21" ht="14.25" customHeight="1">
      <c r="A41" s="2" t="s">
        <v>15</v>
      </c>
      <c r="B41" s="2">
        <v>1903</v>
      </c>
      <c r="C41" s="2" t="s">
        <v>23</v>
      </c>
      <c r="D41" s="3" t="e">
        <f t="shared" si="0"/>
        <v>#N/A</v>
      </c>
      <c r="E41" s="3" t="e">
        <f t="shared" si="1"/>
        <v>#N/A</v>
      </c>
      <c r="F41" s="3" t="e">
        <f t="shared" si="2"/>
        <v>#N/A</v>
      </c>
      <c r="G41" s="3" t="e">
        <f t="shared" si="3"/>
        <v>#N/A</v>
      </c>
      <c r="H41" s="3" t="e">
        <f t="shared" si="4"/>
        <v>#N/A</v>
      </c>
      <c r="I41" s="3" t="e">
        <f t="shared" si="5"/>
        <v>#N/A</v>
      </c>
      <c r="J41" s="3" t="e">
        <v>#N/A</v>
      </c>
      <c r="K41" s="3" t="e">
        <v>#N/A</v>
      </c>
      <c r="L41" s="3" t="e">
        <v>#N/A</v>
      </c>
      <c r="M41" s="3" t="e">
        <v>#N/A</v>
      </c>
      <c r="N41" s="3" t="e">
        <v>#N/A</v>
      </c>
      <c r="O41" s="3" t="e">
        <v>#N/A</v>
      </c>
      <c r="P41" s="3" t="e">
        <f>E41*(VLOOKUP(B41,Price_data!A$1:B$190,2,FALSE))</f>
        <v>#N/A</v>
      </c>
      <c r="Q41" s="3" t="e">
        <f>G41*(VLOOKUP(B41,Price_data!A$1:B$190,2,FALSE))</f>
        <v>#N/A</v>
      </c>
      <c r="R41" s="3" t="e">
        <f>I41*(VLOOKUP(B41,Price_data!A$1:B$190,2,FALSE))</f>
        <v>#N/A</v>
      </c>
      <c r="S41" s="4" t="str">
        <f>(VLOOKUP(B41,Price_data!A$1:C$190,3,FALSE))</f>
        <v>Open access</v>
      </c>
      <c r="T41" s="2" t="str">
        <f>IF(C41="Total", (VLOOKUP(B41,Recommended_fish_intake!A$4:D$122,4,FALSE)), "NA")</f>
        <v>NA</v>
      </c>
      <c r="U41" s="2" t="str">
        <f t="shared" si="6"/>
        <v>NA</v>
      </c>
    </row>
    <row r="42" spans="1:21" ht="14.25" customHeight="1">
      <c r="A42" s="2" t="s">
        <v>15</v>
      </c>
      <c r="B42" s="2">
        <v>1903</v>
      </c>
      <c r="C42" s="2" t="s">
        <v>19</v>
      </c>
      <c r="D42" s="3" t="e">
        <f t="shared" si="0"/>
        <v>#N/A</v>
      </c>
      <c r="E42" s="3" t="e">
        <f t="shared" si="1"/>
        <v>#N/A</v>
      </c>
      <c r="F42" s="3" t="e">
        <f t="shared" si="2"/>
        <v>#N/A</v>
      </c>
      <c r="G42" s="3" t="e">
        <f t="shared" si="3"/>
        <v>#N/A</v>
      </c>
      <c r="H42" s="3" t="e">
        <f t="shared" si="4"/>
        <v>#N/A</v>
      </c>
      <c r="I42" s="3" t="e">
        <f t="shared" si="5"/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 t="e">
        <v>#N/A</v>
      </c>
      <c r="O42" s="3" t="e">
        <v>#N/A</v>
      </c>
      <c r="P42" s="3" t="e">
        <f>E42*(VLOOKUP(B42,Price_data!A$1:B$190,2,FALSE))</f>
        <v>#N/A</v>
      </c>
      <c r="Q42" s="3" t="e">
        <f>G42*(VLOOKUP(B42,Price_data!A$1:B$190,2,FALSE))</f>
        <v>#N/A</v>
      </c>
      <c r="R42" s="3" t="e">
        <f>I42*(VLOOKUP(B42,Price_data!A$1:B$190,2,FALSE))</f>
        <v>#N/A</v>
      </c>
      <c r="S42" s="4" t="str">
        <f>(VLOOKUP(B42,Price_data!A$1:C$190,3,FALSE))</f>
        <v>Open access</v>
      </c>
      <c r="T42" s="2" t="str">
        <f>IF(C42="Total", (VLOOKUP(B42,Recommended_fish_intake!A$4:D$122,4,FALSE)), "NA")</f>
        <v>NA</v>
      </c>
      <c r="U42" s="2" t="str">
        <f t="shared" si="6"/>
        <v>NA</v>
      </c>
    </row>
    <row r="43" spans="1:21" ht="14.25" customHeight="1">
      <c r="A43" s="2" t="s">
        <v>15</v>
      </c>
      <c r="B43" s="2">
        <v>1903</v>
      </c>
      <c r="C43" s="2" t="s">
        <v>28</v>
      </c>
      <c r="D43" s="3" t="e">
        <f t="shared" si="0"/>
        <v>#VALUE!</v>
      </c>
      <c r="E43" s="3" t="e">
        <f t="shared" si="1"/>
        <v>#VALUE!</v>
      </c>
      <c r="F43" s="3" t="e">
        <f t="shared" si="2"/>
        <v>#N/A</v>
      </c>
      <c r="G43" s="3" t="e">
        <f t="shared" si="3"/>
        <v>#N/A</v>
      </c>
      <c r="H43" s="3" t="e">
        <f t="shared" si="4"/>
        <v>#N/A</v>
      </c>
      <c r="I43" s="3" t="e">
        <f t="shared" si="5"/>
        <v>#N/A</v>
      </c>
      <c r="J43" s="3" t="e">
        <v>#VALUE!</v>
      </c>
      <c r="K43" s="3" t="e">
        <v>#VALUE!</v>
      </c>
      <c r="L43" s="3" t="e">
        <v>#N/A</v>
      </c>
      <c r="M43" s="3" t="e">
        <v>#N/A</v>
      </c>
      <c r="N43" s="3" t="e">
        <v>#N/A</v>
      </c>
      <c r="O43" s="3" t="e">
        <v>#N/A</v>
      </c>
      <c r="P43" s="3" t="e">
        <f>E43*(VLOOKUP(B43,Price_data!A$1:B$190,2,FALSE))</f>
        <v>#VALUE!</v>
      </c>
      <c r="Q43" s="3" t="e">
        <f>G43*(VLOOKUP(B43,Price_data!A$1:B$190,2,FALSE))</f>
        <v>#N/A</v>
      </c>
      <c r="R43" s="3" t="e">
        <f>I43*(VLOOKUP(B43,Price_data!A$1:B$190,2,FALSE))</f>
        <v>#N/A</v>
      </c>
      <c r="S43" s="4" t="str">
        <f>(VLOOKUP(B43,Price_data!A$1:C$190,3,FALSE))</f>
        <v>Open access</v>
      </c>
      <c r="T43" s="2" t="str">
        <f>IF(C43="Total", (VLOOKUP(B43,Recommended_fish_intake!A$4:D$122,4,FALSE)), "NA")</f>
        <v>NA</v>
      </c>
      <c r="U43" s="2" t="e">
        <f t="shared" si="6"/>
        <v>#VALUE!</v>
      </c>
    </row>
    <row r="44" spans="1:21" ht="14.25" customHeight="1">
      <c r="A44" s="2" t="s">
        <v>15</v>
      </c>
      <c r="B44" s="2">
        <v>1903</v>
      </c>
      <c r="C44" s="2" t="s">
        <v>29</v>
      </c>
      <c r="D44" s="3" t="e">
        <f t="shared" si="0"/>
        <v>#VALUE!</v>
      </c>
      <c r="E44" s="3" t="e">
        <f t="shared" si="1"/>
        <v>#VALUE!</v>
      </c>
      <c r="F44" s="3" t="e">
        <f t="shared" si="2"/>
        <v>#N/A</v>
      </c>
      <c r="G44" s="3" t="e">
        <f t="shared" si="3"/>
        <v>#N/A</v>
      </c>
      <c r="H44" s="3" t="e">
        <f t="shared" si="4"/>
        <v>#N/A</v>
      </c>
      <c r="I44" s="3" t="e">
        <f t="shared" si="5"/>
        <v>#N/A</v>
      </c>
      <c r="J44" s="3" t="e">
        <v>#VALUE!</v>
      </c>
      <c r="K44" s="3" t="e">
        <v>#VALUE!</v>
      </c>
      <c r="L44" s="3" t="e">
        <v>#N/A</v>
      </c>
      <c r="M44" s="3" t="e">
        <v>#N/A</v>
      </c>
      <c r="N44" s="3" t="e">
        <v>#N/A</v>
      </c>
      <c r="O44" s="3" t="e">
        <v>#N/A</v>
      </c>
      <c r="P44" s="3" t="e">
        <f>E44*(VLOOKUP(B44,Price_data!A$1:B$190,2,FALSE))</f>
        <v>#VALUE!</v>
      </c>
      <c r="Q44" s="3" t="e">
        <f>G44*(VLOOKUP(B44,Price_data!A$1:B$190,2,FALSE))</f>
        <v>#N/A</v>
      </c>
      <c r="R44" s="3" t="e">
        <f>I44*(VLOOKUP(B44,Price_data!A$1:B$190,2,FALSE))</f>
        <v>#N/A</v>
      </c>
      <c r="S44" s="4" t="str">
        <f>(VLOOKUP(B44,Price_data!A$1:C$190,3,FALSE))</f>
        <v>Open access</v>
      </c>
      <c r="T44" s="2" t="str">
        <f>IF(C44="Total", (VLOOKUP(B44,Recommended_fish_intake!A$4:D$122,4,FALSE)), "NA")</f>
        <v>NA</v>
      </c>
      <c r="U44" s="2" t="str">
        <f t="shared" si="6"/>
        <v>NA</v>
      </c>
    </row>
    <row r="45" spans="1:21" ht="14.25" customHeight="1">
      <c r="A45" s="2" t="s">
        <v>15</v>
      </c>
      <c r="B45" s="2">
        <v>1903</v>
      </c>
      <c r="C45" s="2" t="s">
        <v>20</v>
      </c>
      <c r="D45" s="3" t="e">
        <f t="shared" si="0"/>
        <v>#N/A</v>
      </c>
      <c r="E45" s="3" t="e">
        <f t="shared" si="1"/>
        <v>#N/A</v>
      </c>
      <c r="F45" s="3" t="e">
        <f t="shared" si="2"/>
        <v>#N/A</v>
      </c>
      <c r="G45" s="3" t="e">
        <f t="shared" si="3"/>
        <v>#N/A</v>
      </c>
      <c r="H45" s="3" t="e">
        <f t="shared" si="4"/>
        <v>#N/A</v>
      </c>
      <c r="I45" s="3" t="e">
        <f t="shared" si="5"/>
        <v>#N/A</v>
      </c>
      <c r="J45" s="3" t="e">
        <v>#N/A</v>
      </c>
      <c r="K45" s="3" t="e">
        <v>#N/A</v>
      </c>
      <c r="L45" s="3" t="e">
        <v>#N/A</v>
      </c>
      <c r="M45" s="3" t="e">
        <v>#N/A</v>
      </c>
      <c r="N45" s="3" t="e">
        <v>#N/A</v>
      </c>
      <c r="O45" s="3" t="e">
        <v>#N/A</v>
      </c>
      <c r="P45" s="3" t="e">
        <f>E45*(VLOOKUP(B45,Price_data!A$1:B$190,2,FALSE))</f>
        <v>#N/A</v>
      </c>
      <c r="Q45" s="3" t="e">
        <f>G45*(VLOOKUP(B45,Price_data!A$1:B$190,2,FALSE))</f>
        <v>#N/A</v>
      </c>
      <c r="R45" s="3" t="e">
        <f>I45*(VLOOKUP(B45,Price_data!A$1:B$190,2,FALSE))</f>
        <v>#N/A</v>
      </c>
      <c r="S45" s="4" t="str">
        <f>(VLOOKUP(B45,Price_data!A$1:C$190,3,FALSE))</f>
        <v>Open access</v>
      </c>
      <c r="T45" s="2" t="str">
        <f>IF(C45="Total", (VLOOKUP(B45,Recommended_fish_intake!A$4:D$122,4,FALSE)), "NA")</f>
        <v>NA</v>
      </c>
      <c r="U45" s="2" t="str">
        <f t="shared" si="6"/>
        <v>NA</v>
      </c>
    </row>
    <row r="46" spans="1:21" ht="14.25" customHeight="1">
      <c r="A46" s="2" t="s">
        <v>15</v>
      </c>
      <c r="B46" s="2">
        <v>1903</v>
      </c>
      <c r="C46" s="2" t="s">
        <v>25</v>
      </c>
      <c r="D46" s="3" t="e">
        <f t="shared" si="0"/>
        <v>#N/A</v>
      </c>
      <c r="E46" s="3" t="e">
        <f t="shared" si="1"/>
        <v>#N/A</v>
      </c>
      <c r="F46" s="3" t="e">
        <f t="shared" si="2"/>
        <v>#N/A</v>
      </c>
      <c r="G46" s="3" t="e">
        <f t="shared" si="3"/>
        <v>#N/A</v>
      </c>
      <c r="H46" s="3" t="e">
        <f t="shared" si="4"/>
        <v>#N/A</v>
      </c>
      <c r="I46" s="3" t="e">
        <f t="shared" si="5"/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 t="e">
        <v>#N/A</v>
      </c>
      <c r="O46" s="3" t="e">
        <v>#N/A</v>
      </c>
      <c r="P46" s="3" t="e">
        <f>E46*(VLOOKUP(B46,Price_data!A$1:B$190,2,FALSE))</f>
        <v>#N/A</v>
      </c>
      <c r="Q46" s="3" t="e">
        <f>G46*(VLOOKUP(B46,Price_data!A$1:B$190,2,FALSE))</f>
        <v>#N/A</v>
      </c>
      <c r="R46" s="3" t="e">
        <f>I46*(VLOOKUP(B46,Price_data!A$1:B$190,2,FALSE))</f>
        <v>#N/A</v>
      </c>
      <c r="S46" s="4" t="str">
        <f>(VLOOKUP(B46,Price_data!A$1:C$190,3,FALSE))</f>
        <v>Open access</v>
      </c>
      <c r="T46" s="2" t="str">
        <f>IF(C46="Total", (VLOOKUP(B46,Recommended_fish_intake!A$4:D$122,4,FALSE)), "NA")</f>
        <v>NA</v>
      </c>
      <c r="U46" s="2" t="str">
        <f t="shared" si="6"/>
        <v>NA</v>
      </c>
    </row>
    <row r="47" spans="1:21" ht="14.25" customHeight="1">
      <c r="A47" s="2" t="s">
        <v>15</v>
      </c>
      <c r="B47" s="2">
        <v>1903</v>
      </c>
      <c r="C47" s="2" t="s">
        <v>24</v>
      </c>
      <c r="D47" s="3" t="e">
        <f t="shared" si="0"/>
        <v>#N/A</v>
      </c>
      <c r="E47" s="3" t="e">
        <f t="shared" si="1"/>
        <v>#N/A</v>
      </c>
      <c r="F47" s="3" t="e">
        <f t="shared" si="2"/>
        <v>#N/A</v>
      </c>
      <c r="G47" s="3" t="e">
        <f t="shared" si="3"/>
        <v>#N/A</v>
      </c>
      <c r="H47" s="3" t="e">
        <f t="shared" si="4"/>
        <v>#N/A</v>
      </c>
      <c r="I47" s="3" t="e">
        <f t="shared" si="5"/>
        <v>#N/A</v>
      </c>
      <c r="J47" s="3" t="e">
        <v>#N/A</v>
      </c>
      <c r="K47" s="3" t="e">
        <v>#N/A</v>
      </c>
      <c r="L47" s="3" t="e">
        <v>#N/A</v>
      </c>
      <c r="M47" s="3" t="e">
        <v>#N/A</v>
      </c>
      <c r="N47" s="3" t="e">
        <v>#N/A</v>
      </c>
      <c r="O47" s="3" t="e">
        <v>#N/A</v>
      </c>
      <c r="P47" s="3" t="e">
        <f>E47*(VLOOKUP(B47,Price_data!A$1:B$190,2,FALSE))</f>
        <v>#N/A</v>
      </c>
      <c r="Q47" s="3" t="e">
        <f>G47*(VLOOKUP(B47,Price_data!A$1:B$190,2,FALSE))</f>
        <v>#N/A</v>
      </c>
      <c r="R47" s="3" t="e">
        <f>I47*(VLOOKUP(B47,Price_data!A$1:B$190,2,FALSE))</f>
        <v>#N/A</v>
      </c>
      <c r="S47" s="4" t="str">
        <f>(VLOOKUP(B47,Price_data!A$1:C$190,3,FALSE))</f>
        <v>Open access</v>
      </c>
      <c r="T47" s="2" t="str">
        <f>IF(C47="Total", (VLOOKUP(B47,Recommended_fish_intake!A$4:D$122,4,FALSE)), "NA")</f>
        <v>NA</v>
      </c>
      <c r="U47" s="2" t="str">
        <f t="shared" si="6"/>
        <v>NA</v>
      </c>
    </row>
    <row r="48" spans="1:21" ht="14.25" customHeight="1">
      <c r="A48" s="2" t="s">
        <v>15</v>
      </c>
      <c r="B48" s="2">
        <v>1903</v>
      </c>
      <c r="C48" s="2" t="s">
        <v>30</v>
      </c>
      <c r="D48" s="3" t="e">
        <f t="shared" si="0"/>
        <v>#N/A</v>
      </c>
      <c r="E48" s="3" t="e">
        <f t="shared" si="1"/>
        <v>#N/A</v>
      </c>
      <c r="F48" s="3" t="e">
        <f t="shared" si="2"/>
        <v>#N/A</v>
      </c>
      <c r="G48" s="3" t="e">
        <f t="shared" si="3"/>
        <v>#N/A</v>
      </c>
      <c r="H48" s="3" t="e">
        <f t="shared" si="4"/>
        <v>#N/A</v>
      </c>
      <c r="I48" s="3" t="e">
        <f t="shared" si="5"/>
        <v>#N/A</v>
      </c>
      <c r="J48" s="3" t="e">
        <v>#N/A</v>
      </c>
      <c r="K48" s="3" t="e">
        <v>#N/A</v>
      </c>
      <c r="L48" s="3" t="e">
        <v>#N/A</v>
      </c>
      <c r="M48" s="3" t="e">
        <v>#N/A</v>
      </c>
      <c r="N48" s="3" t="e">
        <v>#N/A</v>
      </c>
      <c r="O48" s="3" t="e">
        <v>#N/A</v>
      </c>
      <c r="P48" s="3" t="e">
        <f>E48*(VLOOKUP(B48,Price_data!A$1:B$190,2,FALSE))</f>
        <v>#N/A</v>
      </c>
      <c r="Q48" s="3" t="e">
        <f>G48*(VLOOKUP(B48,Price_data!A$1:B$190,2,FALSE))</f>
        <v>#N/A</v>
      </c>
      <c r="R48" s="3" t="e">
        <f>I48*(VLOOKUP(B48,Price_data!A$1:B$190,2,FALSE))</f>
        <v>#N/A</v>
      </c>
      <c r="S48" s="4" t="str">
        <f>(VLOOKUP(B48,Price_data!A$1:C$190,3,FALSE))</f>
        <v>Open access</v>
      </c>
      <c r="T48" s="2" t="str">
        <f>IF(C48="Total", (VLOOKUP(B48,Recommended_fish_intake!A$4:D$122,4,FALSE)), "NA")</f>
        <v>NA</v>
      </c>
      <c r="U48" s="2" t="str">
        <f t="shared" si="6"/>
        <v>NA</v>
      </c>
    </row>
    <row r="49" spans="1:21" ht="14.25" customHeight="1">
      <c r="A49" s="2" t="s">
        <v>15</v>
      </c>
      <c r="B49" s="2">
        <v>1904</v>
      </c>
      <c r="C49" s="2" t="s">
        <v>16</v>
      </c>
      <c r="D49" s="3">
        <f t="shared" si="0"/>
        <v>1029.503606990449</v>
      </c>
      <c r="E49" s="3">
        <f t="shared" si="1"/>
        <v>9.4815190000000005</v>
      </c>
      <c r="F49" s="3" t="e">
        <f t="shared" si="2"/>
        <v>#VALUE!</v>
      </c>
      <c r="G49" s="3">
        <f t="shared" si="3"/>
        <v>3.5550659999999996</v>
      </c>
      <c r="H49" s="3">
        <f t="shared" si="4"/>
        <v>107.50695996748628</v>
      </c>
      <c r="I49" s="3">
        <f t="shared" si="5"/>
        <v>3.3326560000000001</v>
      </c>
      <c r="J49" s="3">
        <v>1029503.606990449</v>
      </c>
      <c r="K49" s="3">
        <v>9481.5190000000002</v>
      </c>
      <c r="L49" s="3" t="e">
        <v>#VALUE!</v>
      </c>
      <c r="M49" s="3">
        <v>3555.0659999999998</v>
      </c>
      <c r="N49" s="3">
        <v>107506.95996748628</v>
      </c>
      <c r="O49" s="3">
        <v>3332.6559999999999</v>
      </c>
      <c r="P49" s="3">
        <f>E49*(VLOOKUP(B49,Price_data!A$1:B$190,2,FALSE))</f>
        <v>684.91230798053368</v>
      </c>
      <c r="Q49" s="3">
        <f>G49*(VLOOKUP(B49,Price_data!A$1:B$190,2,FALSE))</f>
        <v>256.80573535560319</v>
      </c>
      <c r="R49" s="3">
        <f>I49*(VLOOKUP(B49,Price_data!A$1:B$190,2,FALSE))</f>
        <v>240.73960223727585</v>
      </c>
      <c r="S49" s="4" t="str">
        <f>(VLOOKUP(B49,Price_data!A$1:C$190,3,FALSE))</f>
        <v>Open access</v>
      </c>
      <c r="T49" s="2">
        <f>IF(C49="Total", (VLOOKUP(B49,Recommended_fish_intake!A$4:D$122,4,FALSE)), "NA")</f>
        <v>558.19848974870615</v>
      </c>
      <c r="U49" s="2" t="str">
        <f t="shared" si="6"/>
        <v>NA</v>
      </c>
    </row>
    <row r="50" spans="1:21" ht="14.25" customHeight="1">
      <c r="A50" s="2" t="s">
        <v>18</v>
      </c>
      <c r="B50" s="2">
        <v>1904</v>
      </c>
      <c r="C50" s="2" t="s">
        <v>19</v>
      </c>
      <c r="D50" s="3">
        <f t="shared" si="0"/>
        <v>162.53317415159518</v>
      </c>
      <c r="E50" s="3">
        <f t="shared" si="1"/>
        <v>0.76967399999999997</v>
      </c>
      <c r="F50" s="3" t="e">
        <f t="shared" si="2"/>
        <v>#N/A</v>
      </c>
      <c r="G50" s="3" t="e">
        <f t="shared" si="3"/>
        <v>#N/A</v>
      </c>
      <c r="H50" s="3" t="e">
        <f t="shared" si="4"/>
        <v>#N/A</v>
      </c>
      <c r="I50" s="3" t="e">
        <f t="shared" si="5"/>
        <v>#N/A</v>
      </c>
      <c r="J50" s="3">
        <v>162533.17415159519</v>
      </c>
      <c r="K50" s="3">
        <v>769.67399999999998</v>
      </c>
      <c r="L50" s="3" t="e">
        <v>#N/A</v>
      </c>
      <c r="M50" s="3" t="e">
        <v>#N/A</v>
      </c>
      <c r="N50" s="3" t="e">
        <v>#N/A</v>
      </c>
      <c r="O50" s="3" t="e">
        <v>#N/A</v>
      </c>
      <c r="P50" s="3">
        <f>E50*(VLOOKUP(B50,Price_data!A$1:B$190,2,FALSE))</f>
        <v>55.598601419520357</v>
      </c>
      <c r="Q50" s="3" t="e">
        <f>G50*(VLOOKUP(B50,Price_data!A$1:B$190,2,FALSE))</f>
        <v>#N/A</v>
      </c>
      <c r="R50" s="3" t="e">
        <f>I50*(VLOOKUP(B50,Price_data!A$1:B$190,2,FALSE))</f>
        <v>#N/A</v>
      </c>
      <c r="S50" s="4" t="str">
        <f>(VLOOKUP(B50,Price_data!A$1:C$190,3,FALSE))</f>
        <v>Open access</v>
      </c>
      <c r="T50" s="2" t="str">
        <f>IF(C50="Total", (VLOOKUP(B50,Recommended_fish_intake!A$4:D$122,4,FALSE)), "NA")</f>
        <v>NA</v>
      </c>
      <c r="U50" s="2" t="str">
        <f t="shared" si="6"/>
        <v>NA</v>
      </c>
    </row>
    <row r="51" spans="1:21" ht="14.25" customHeight="1">
      <c r="A51" s="2" t="s">
        <v>18</v>
      </c>
      <c r="B51" s="2">
        <v>1904</v>
      </c>
      <c r="C51" s="2" t="s">
        <v>20</v>
      </c>
      <c r="D51" s="3">
        <f t="shared" si="0"/>
        <v>26.344696199959355</v>
      </c>
      <c r="E51" s="3">
        <f t="shared" si="1"/>
        <v>0.27095199999999997</v>
      </c>
      <c r="F51" s="3" t="e">
        <f t="shared" si="2"/>
        <v>#N/A</v>
      </c>
      <c r="G51" s="3" t="e">
        <f t="shared" si="3"/>
        <v>#N/A</v>
      </c>
      <c r="H51" s="3" t="e">
        <f t="shared" si="4"/>
        <v>#N/A</v>
      </c>
      <c r="I51" s="3" t="e">
        <f t="shared" si="5"/>
        <v>#N/A</v>
      </c>
      <c r="J51" s="3">
        <v>26344.696199959355</v>
      </c>
      <c r="K51" s="3">
        <v>270.952</v>
      </c>
      <c r="L51" s="3" t="e">
        <v>#N/A</v>
      </c>
      <c r="M51" s="3" t="e">
        <v>#N/A</v>
      </c>
      <c r="N51" s="3" t="e">
        <v>#N/A</v>
      </c>
      <c r="O51" s="3" t="e">
        <v>#N/A</v>
      </c>
      <c r="P51" s="3">
        <f>E51*(VLOOKUP(B51,Price_data!A$1:B$190,2,FALSE))</f>
        <v>19.572640172101277</v>
      </c>
      <c r="Q51" s="3" t="e">
        <f>G51*(VLOOKUP(B51,Price_data!A$1:B$190,2,FALSE))</f>
        <v>#N/A</v>
      </c>
      <c r="R51" s="3" t="e">
        <f>I51*(VLOOKUP(B51,Price_data!A$1:B$190,2,FALSE))</f>
        <v>#N/A</v>
      </c>
      <c r="S51" s="4" t="str">
        <f>(VLOOKUP(B51,Price_data!A$1:C$190,3,FALSE))</f>
        <v>Open access</v>
      </c>
      <c r="T51" s="2" t="str">
        <f>IF(C51="Total", (VLOOKUP(B51,Recommended_fish_intake!A$4:D$122,4,FALSE)), "NA")</f>
        <v>NA</v>
      </c>
      <c r="U51" s="2" t="str">
        <f t="shared" si="6"/>
        <v>NA</v>
      </c>
    </row>
    <row r="52" spans="1:21" ht="14.25" customHeight="1">
      <c r="A52" s="2" t="s">
        <v>18</v>
      </c>
      <c r="B52" s="2">
        <v>1904</v>
      </c>
      <c r="C52" s="2" t="s">
        <v>21</v>
      </c>
      <c r="D52" s="3">
        <f t="shared" si="0"/>
        <v>4.5089920747815482</v>
      </c>
      <c r="E52" s="3">
        <f t="shared" si="1"/>
        <v>1.2433E-2</v>
      </c>
      <c r="F52" s="3" t="e">
        <f t="shared" si="2"/>
        <v>#N/A</v>
      </c>
      <c r="G52" s="3" t="e">
        <f t="shared" si="3"/>
        <v>#N/A</v>
      </c>
      <c r="H52" s="3" t="e">
        <f t="shared" si="4"/>
        <v>#N/A</v>
      </c>
      <c r="I52" s="3" t="e">
        <f t="shared" si="5"/>
        <v>#N/A</v>
      </c>
      <c r="J52" s="3">
        <v>4508.9920747815486</v>
      </c>
      <c r="K52" s="3">
        <v>12.433</v>
      </c>
      <c r="L52" s="3" t="e">
        <v>#N/A</v>
      </c>
      <c r="M52" s="3" t="e">
        <v>#N/A</v>
      </c>
      <c r="N52" s="3" t="e">
        <v>#N/A</v>
      </c>
      <c r="O52" s="3" t="e">
        <v>#N/A</v>
      </c>
      <c r="P52" s="3">
        <f>E52*(VLOOKUP(B52,Price_data!A$1:B$190,2,FALSE))</f>
        <v>0.89811713978761998</v>
      </c>
      <c r="Q52" s="3" t="e">
        <f>G52*(VLOOKUP(B52,Price_data!A$1:B$190,2,FALSE))</f>
        <v>#N/A</v>
      </c>
      <c r="R52" s="3" t="e">
        <f>I52*(VLOOKUP(B52,Price_data!A$1:B$190,2,FALSE))</f>
        <v>#N/A</v>
      </c>
      <c r="S52" s="4" t="str">
        <f>(VLOOKUP(B52,Price_data!A$1:C$190,3,FALSE))</f>
        <v>Open access</v>
      </c>
      <c r="T52" s="2" t="str">
        <f>IF(C52="Total", (VLOOKUP(B52,Recommended_fish_intake!A$4:D$122,4,FALSE)), "NA")</f>
        <v>NA</v>
      </c>
      <c r="U52" s="2" t="str">
        <f t="shared" si="6"/>
        <v>NA</v>
      </c>
    </row>
    <row r="53" spans="1:21" ht="14.25" customHeight="1">
      <c r="A53" s="2" t="s">
        <v>18</v>
      </c>
      <c r="B53" s="2">
        <v>1904</v>
      </c>
      <c r="C53" s="2" t="s">
        <v>22</v>
      </c>
      <c r="D53" s="3">
        <f t="shared" si="0"/>
        <v>63.657640723430198</v>
      </c>
      <c r="E53" s="3">
        <f t="shared" si="1"/>
        <v>0.73505600000000004</v>
      </c>
      <c r="F53" s="3" t="e">
        <f t="shared" si="2"/>
        <v>#N/A</v>
      </c>
      <c r="G53" s="3" t="e">
        <f t="shared" si="3"/>
        <v>#N/A</v>
      </c>
      <c r="H53" s="3" t="e">
        <f t="shared" si="4"/>
        <v>#N/A</v>
      </c>
      <c r="I53" s="3" t="e">
        <f t="shared" si="5"/>
        <v>#N/A</v>
      </c>
      <c r="J53" s="3">
        <v>63657.640723430195</v>
      </c>
      <c r="K53" s="3">
        <v>735.05600000000004</v>
      </c>
      <c r="L53" s="3" t="e">
        <v>#N/A</v>
      </c>
      <c r="M53" s="3" t="e">
        <v>#N/A</v>
      </c>
      <c r="N53" s="3" t="e">
        <v>#N/A</v>
      </c>
      <c r="O53" s="3" t="e">
        <v>#N/A</v>
      </c>
      <c r="P53" s="3">
        <f>E53*(VLOOKUP(B53,Price_data!A$1:B$190,2,FALSE))</f>
        <v>53.097916215211839</v>
      </c>
      <c r="Q53" s="3" t="e">
        <f>G53*(VLOOKUP(B53,Price_data!A$1:B$190,2,FALSE))</f>
        <v>#N/A</v>
      </c>
      <c r="R53" s="3" t="e">
        <f>I53*(VLOOKUP(B53,Price_data!A$1:B$190,2,FALSE))</f>
        <v>#N/A</v>
      </c>
      <c r="S53" s="4" t="str">
        <f>(VLOOKUP(B53,Price_data!A$1:C$190,3,FALSE))</f>
        <v>Open access</v>
      </c>
      <c r="T53" s="2" t="str">
        <f>IF(C53="Total", (VLOOKUP(B53,Recommended_fish_intake!A$4:D$122,4,FALSE)), "NA")</f>
        <v>NA</v>
      </c>
      <c r="U53" s="2" t="str">
        <f t="shared" si="6"/>
        <v>NA</v>
      </c>
    </row>
    <row r="54" spans="1:21" ht="14.25" customHeight="1">
      <c r="A54" s="2" t="s">
        <v>18</v>
      </c>
      <c r="B54" s="2">
        <v>1904</v>
      </c>
      <c r="C54" s="2" t="s">
        <v>23</v>
      </c>
      <c r="D54" s="3">
        <f t="shared" si="0"/>
        <v>128.5915464336517</v>
      </c>
      <c r="E54" s="3">
        <f t="shared" si="1"/>
        <v>1.329358</v>
      </c>
      <c r="F54" s="3" t="e">
        <f t="shared" si="2"/>
        <v>#N/A</v>
      </c>
      <c r="G54" s="3" t="e">
        <f t="shared" si="3"/>
        <v>#N/A</v>
      </c>
      <c r="H54" s="3" t="e">
        <f t="shared" si="4"/>
        <v>#N/A</v>
      </c>
      <c r="I54" s="3" t="e">
        <f t="shared" si="5"/>
        <v>#N/A</v>
      </c>
      <c r="J54" s="3">
        <v>128591.54643365169</v>
      </c>
      <c r="K54" s="3">
        <v>1329.3579999999999</v>
      </c>
      <c r="L54" s="3" t="e">
        <v>#N/A</v>
      </c>
      <c r="M54" s="3" t="e">
        <v>#N/A</v>
      </c>
      <c r="N54" s="3" t="e">
        <v>#N/A</v>
      </c>
      <c r="O54" s="3" t="e">
        <v>#N/A</v>
      </c>
      <c r="P54" s="3">
        <f>E54*(VLOOKUP(B54,Price_data!A$1:B$190,2,FALSE))</f>
        <v>96.028247785232125</v>
      </c>
      <c r="Q54" s="3" t="e">
        <f>G54*(VLOOKUP(B54,Price_data!A$1:B$190,2,FALSE))</f>
        <v>#N/A</v>
      </c>
      <c r="R54" s="3" t="e">
        <f>I54*(VLOOKUP(B54,Price_data!A$1:B$190,2,FALSE))</f>
        <v>#N/A</v>
      </c>
      <c r="S54" s="4" t="str">
        <f>(VLOOKUP(B54,Price_data!A$1:C$190,3,FALSE))</f>
        <v>Open access</v>
      </c>
      <c r="T54" s="2" t="str">
        <f>IF(C54="Total", (VLOOKUP(B54,Recommended_fish_intake!A$4:D$122,4,FALSE)), "NA")</f>
        <v>NA</v>
      </c>
      <c r="U54" s="2" t="str">
        <f t="shared" si="6"/>
        <v>NA</v>
      </c>
    </row>
    <row r="55" spans="1:21" ht="14.25" customHeight="1">
      <c r="A55" s="2" t="s">
        <v>18</v>
      </c>
      <c r="B55" s="2">
        <v>1904</v>
      </c>
      <c r="C55" s="2" t="s">
        <v>24</v>
      </c>
      <c r="D55" s="3">
        <f t="shared" si="0"/>
        <v>16.62284088599878</v>
      </c>
      <c r="E55" s="3">
        <f t="shared" si="1"/>
        <v>0.13811500000000002</v>
      </c>
      <c r="F55" s="3" t="e">
        <f t="shared" si="2"/>
        <v>#N/A</v>
      </c>
      <c r="G55" s="3" t="e">
        <f t="shared" si="3"/>
        <v>#N/A</v>
      </c>
      <c r="H55" s="3" t="e">
        <f t="shared" si="4"/>
        <v>#N/A</v>
      </c>
      <c r="I55" s="3" t="e">
        <f t="shared" si="5"/>
        <v>#N/A</v>
      </c>
      <c r="J55" s="3">
        <v>16622.840885998779</v>
      </c>
      <c r="K55" s="3">
        <v>138.11500000000001</v>
      </c>
      <c r="L55" s="3" t="e">
        <v>#N/A</v>
      </c>
      <c r="M55" s="3" t="e">
        <v>#N/A</v>
      </c>
      <c r="N55" s="3" t="e">
        <v>#N/A</v>
      </c>
      <c r="O55" s="3" t="e">
        <v>#N/A</v>
      </c>
      <c r="P55" s="3">
        <f>E55*(VLOOKUP(B55,Price_data!A$1:B$190,2,FALSE))</f>
        <v>9.9769523656211003</v>
      </c>
      <c r="Q55" s="3" t="e">
        <f>G55*(VLOOKUP(B55,Price_data!A$1:B$190,2,FALSE))</f>
        <v>#N/A</v>
      </c>
      <c r="R55" s="3" t="e">
        <f>I55*(VLOOKUP(B55,Price_data!A$1:B$190,2,FALSE))</f>
        <v>#N/A</v>
      </c>
      <c r="S55" s="4" t="str">
        <f>(VLOOKUP(B55,Price_data!A$1:C$190,3,FALSE))</f>
        <v>Open access</v>
      </c>
      <c r="T55" s="2" t="str">
        <f>IF(C55="Total", (VLOOKUP(B55,Recommended_fish_intake!A$4:D$122,4,FALSE)), "NA")</f>
        <v>NA</v>
      </c>
      <c r="U55" s="2" t="str">
        <f t="shared" si="6"/>
        <v>NA</v>
      </c>
    </row>
    <row r="56" spans="1:21" ht="14.25" customHeight="1">
      <c r="A56" s="2" t="s">
        <v>18</v>
      </c>
      <c r="B56" s="2">
        <v>1904</v>
      </c>
      <c r="C56" s="2" t="s">
        <v>25</v>
      </c>
      <c r="D56" s="3">
        <f t="shared" si="0"/>
        <v>57.087837837837832</v>
      </c>
      <c r="E56" s="3">
        <f t="shared" si="1"/>
        <v>0.83391700000000002</v>
      </c>
      <c r="F56" s="3" t="e">
        <f t="shared" si="2"/>
        <v>#N/A</v>
      </c>
      <c r="G56" s="3" t="e">
        <f t="shared" si="3"/>
        <v>#N/A</v>
      </c>
      <c r="H56" s="3" t="e">
        <f t="shared" si="4"/>
        <v>#N/A</v>
      </c>
      <c r="I56" s="3" t="e">
        <f t="shared" si="5"/>
        <v>#N/A</v>
      </c>
      <c r="J56" s="3">
        <v>57087.837837837833</v>
      </c>
      <c r="K56" s="3">
        <v>833.91700000000003</v>
      </c>
      <c r="L56" s="3" t="e">
        <v>#N/A</v>
      </c>
      <c r="M56" s="3" t="e">
        <v>#N/A</v>
      </c>
      <c r="N56" s="3" t="e">
        <v>#N/A</v>
      </c>
      <c r="O56" s="3" t="e">
        <v>#N/A</v>
      </c>
      <c r="P56" s="3">
        <f>E56*(VLOOKUP(B56,Price_data!A$1:B$190,2,FALSE))</f>
        <v>60.239294688351379</v>
      </c>
      <c r="Q56" s="3" t="e">
        <f>G56*(VLOOKUP(B56,Price_data!A$1:B$190,2,FALSE))</f>
        <v>#N/A</v>
      </c>
      <c r="R56" s="3" t="e">
        <f>I56*(VLOOKUP(B56,Price_data!A$1:B$190,2,FALSE))</f>
        <v>#N/A</v>
      </c>
      <c r="S56" s="4" t="str">
        <f>(VLOOKUP(B56,Price_data!A$1:C$190,3,FALSE))</f>
        <v>Open access</v>
      </c>
      <c r="T56" s="2" t="str">
        <f>IF(C56="Total", (VLOOKUP(B56,Recommended_fish_intake!A$4:D$122,4,FALSE)), "NA")</f>
        <v>NA</v>
      </c>
      <c r="U56" s="2" t="str">
        <f t="shared" si="6"/>
        <v>NA</v>
      </c>
    </row>
    <row r="57" spans="1:21" ht="14.25" customHeight="1">
      <c r="A57" s="2" t="s">
        <v>15</v>
      </c>
      <c r="B57" s="2">
        <v>1904</v>
      </c>
      <c r="C57" s="2" t="s">
        <v>22</v>
      </c>
      <c r="D57" s="3" t="e">
        <f t="shared" si="0"/>
        <v>#N/A</v>
      </c>
      <c r="E57" s="3" t="e">
        <f t="shared" si="1"/>
        <v>#N/A</v>
      </c>
      <c r="F57" s="3" t="e">
        <f t="shared" si="2"/>
        <v>#N/A</v>
      </c>
      <c r="G57" s="3" t="e">
        <f t="shared" si="3"/>
        <v>#N/A</v>
      </c>
      <c r="H57" s="3" t="e">
        <f t="shared" si="4"/>
        <v>#N/A</v>
      </c>
      <c r="I57" s="3" t="e">
        <f t="shared" si="5"/>
        <v>#N/A</v>
      </c>
      <c r="J57" s="3" t="e">
        <v>#N/A</v>
      </c>
      <c r="K57" s="3" t="e">
        <v>#N/A</v>
      </c>
      <c r="L57" s="3" t="e">
        <v>#N/A</v>
      </c>
      <c r="M57" s="3" t="e">
        <v>#N/A</v>
      </c>
      <c r="N57" s="3" t="e">
        <v>#N/A</v>
      </c>
      <c r="O57" s="3" t="e">
        <v>#N/A</v>
      </c>
      <c r="P57" s="3" t="e">
        <f>E57*(VLOOKUP(B57,Price_data!A$1:B$190,2,FALSE))</f>
        <v>#N/A</v>
      </c>
      <c r="Q57" s="3" t="e">
        <f>G57*(VLOOKUP(B57,Price_data!A$1:B$190,2,FALSE))</f>
        <v>#N/A</v>
      </c>
      <c r="R57" s="3" t="e">
        <f>I57*(VLOOKUP(B57,Price_data!A$1:B$190,2,FALSE))</f>
        <v>#N/A</v>
      </c>
      <c r="S57" s="4" t="str">
        <f>(VLOOKUP(B57,Price_data!A$1:C$190,3,FALSE))</f>
        <v>Open access</v>
      </c>
      <c r="T57" s="2" t="str">
        <f>IF(C57="Total", (VLOOKUP(B57,Recommended_fish_intake!A$4:D$122,4,FALSE)), "NA")</f>
        <v>NA</v>
      </c>
      <c r="U57" s="2" t="str">
        <f t="shared" si="6"/>
        <v>NA</v>
      </c>
    </row>
    <row r="58" spans="1:21" ht="14.25" customHeight="1">
      <c r="A58" s="2" t="s">
        <v>15</v>
      </c>
      <c r="B58" s="2">
        <v>1904</v>
      </c>
      <c r="C58" s="2" t="s">
        <v>23</v>
      </c>
      <c r="D58" s="3" t="e">
        <f t="shared" si="0"/>
        <v>#N/A</v>
      </c>
      <c r="E58" s="3" t="e">
        <f t="shared" si="1"/>
        <v>#N/A</v>
      </c>
      <c r="F58" s="3" t="e">
        <f t="shared" si="2"/>
        <v>#N/A</v>
      </c>
      <c r="G58" s="3" t="e">
        <f t="shared" si="3"/>
        <v>#N/A</v>
      </c>
      <c r="H58" s="3" t="e">
        <f t="shared" si="4"/>
        <v>#N/A</v>
      </c>
      <c r="I58" s="3" t="e">
        <f t="shared" si="5"/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 t="e">
        <v>#N/A</v>
      </c>
      <c r="O58" s="3" t="e">
        <v>#N/A</v>
      </c>
      <c r="P58" s="3" t="e">
        <f>E58*(VLOOKUP(B58,Price_data!A$1:B$190,2,FALSE))</f>
        <v>#N/A</v>
      </c>
      <c r="Q58" s="3" t="e">
        <f>G58*(VLOOKUP(B58,Price_data!A$1:B$190,2,FALSE))</f>
        <v>#N/A</v>
      </c>
      <c r="R58" s="3" t="e">
        <f>I58*(VLOOKUP(B58,Price_data!A$1:B$190,2,FALSE))</f>
        <v>#N/A</v>
      </c>
      <c r="S58" s="4" t="str">
        <f>(VLOOKUP(B58,Price_data!A$1:C$190,3,FALSE))</f>
        <v>Open access</v>
      </c>
      <c r="T58" s="2" t="str">
        <f>IF(C58="Total", (VLOOKUP(B58,Recommended_fish_intake!A$4:D$122,4,FALSE)), "NA")</f>
        <v>NA</v>
      </c>
      <c r="U58" s="2" t="str">
        <f t="shared" si="6"/>
        <v>NA</v>
      </c>
    </row>
    <row r="59" spans="1:21" ht="14.25" customHeight="1">
      <c r="A59" s="2" t="s">
        <v>15</v>
      </c>
      <c r="B59" s="2">
        <v>1904</v>
      </c>
      <c r="C59" s="2" t="s">
        <v>19</v>
      </c>
      <c r="D59" s="3" t="e">
        <f t="shared" si="0"/>
        <v>#N/A</v>
      </c>
      <c r="E59" s="3" t="e">
        <f t="shared" si="1"/>
        <v>#N/A</v>
      </c>
      <c r="F59" s="3" t="e">
        <f t="shared" si="2"/>
        <v>#N/A</v>
      </c>
      <c r="G59" s="3" t="e">
        <f t="shared" si="3"/>
        <v>#N/A</v>
      </c>
      <c r="H59" s="3" t="e">
        <f t="shared" si="4"/>
        <v>#N/A</v>
      </c>
      <c r="I59" s="3" t="e">
        <f t="shared" si="5"/>
        <v>#N/A</v>
      </c>
      <c r="J59" s="3" t="e">
        <v>#N/A</v>
      </c>
      <c r="K59" s="3" t="e">
        <v>#N/A</v>
      </c>
      <c r="L59" s="3" t="e">
        <v>#N/A</v>
      </c>
      <c r="M59" s="3" t="e">
        <v>#N/A</v>
      </c>
      <c r="N59" s="3" t="e">
        <v>#N/A</v>
      </c>
      <c r="O59" s="3" t="e">
        <v>#N/A</v>
      </c>
      <c r="P59" s="3" t="e">
        <f>E59*(VLOOKUP(B59,Price_data!A$1:B$190,2,FALSE))</f>
        <v>#N/A</v>
      </c>
      <c r="Q59" s="3" t="e">
        <f>G59*(VLOOKUP(B59,Price_data!A$1:B$190,2,FALSE))</f>
        <v>#N/A</v>
      </c>
      <c r="R59" s="3" t="e">
        <f>I59*(VLOOKUP(B59,Price_data!A$1:B$190,2,FALSE))</f>
        <v>#N/A</v>
      </c>
      <c r="S59" s="4" t="str">
        <f>(VLOOKUP(B59,Price_data!A$1:C$190,3,FALSE))</f>
        <v>Open access</v>
      </c>
      <c r="T59" s="2" t="str">
        <f>IF(C59="Total", (VLOOKUP(B59,Recommended_fish_intake!A$4:D$122,4,FALSE)), "NA")</f>
        <v>NA</v>
      </c>
      <c r="U59" s="2" t="str">
        <f t="shared" si="6"/>
        <v>NA</v>
      </c>
    </row>
    <row r="60" spans="1:21" ht="14.25" customHeight="1">
      <c r="A60" s="2" t="s">
        <v>15</v>
      </c>
      <c r="B60" s="2">
        <v>1904</v>
      </c>
      <c r="C60" s="2" t="s">
        <v>28</v>
      </c>
      <c r="D60" s="3" t="e">
        <f t="shared" si="0"/>
        <v>#VALUE!</v>
      </c>
      <c r="E60" s="3" t="e">
        <f t="shared" si="1"/>
        <v>#VALUE!</v>
      </c>
      <c r="F60" s="3" t="e">
        <f t="shared" si="2"/>
        <v>#N/A</v>
      </c>
      <c r="G60" s="3" t="e">
        <f t="shared" si="3"/>
        <v>#N/A</v>
      </c>
      <c r="H60" s="3" t="e">
        <f t="shared" si="4"/>
        <v>#N/A</v>
      </c>
      <c r="I60" s="3" t="e">
        <f t="shared" si="5"/>
        <v>#N/A</v>
      </c>
      <c r="J60" s="3" t="e">
        <v>#VALUE!</v>
      </c>
      <c r="K60" s="3" t="e">
        <v>#VALUE!</v>
      </c>
      <c r="L60" s="3" t="e">
        <v>#N/A</v>
      </c>
      <c r="M60" s="3" t="e">
        <v>#N/A</v>
      </c>
      <c r="N60" s="3" t="e">
        <v>#N/A</v>
      </c>
      <c r="O60" s="3" t="e">
        <v>#N/A</v>
      </c>
      <c r="P60" s="3" t="e">
        <f>E60*(VLOOKUP(B60,Price_data!A$1:B$190,2,FALSE))</f>
        <v>#VALUE!</v>
      </c>
      <c r="Q60" s="3" t="e">
        <f>G60*(VLOOKUP(B60,Price_data!A$1:B$190,2,FALSE))</f>
        <v>#N/A</v>
      </c>
      <c r="R60" s="3" t="e">
        <f>I60*(VLOOKUP(B60,Price_data!A$1:B$190,2,FALSE))</f>
        <v>#N/A</v>
      </c>
      <c r="S60" s="4" t="str">
        <f>(VLOOKUP(B60,Price_data!A$1:C$190,3,FALSE))</f>
        <v>Open access</v>
      </c>
      <c r="T60" s="2" t="str">
        <f>IF(C60="Total", (VLOOKUP(B60,Recommended_fish_intake!A$4:D$122,4,FALSE)), "NA")</f>
        <v>NA</v>
      </c>
      <c r="U60" s="2" t="e">
        <f t="shared" si="6"/>
        <v>#VALUE!</v>
      </c>
    </row>
    <row r="61" spans="1:21" ht="14.25" customHeight="1">
      <c r="A61" s="2" t="s">
        <v>15</v>
      </c>
      <c r="B61" s="2">
        <v>1904</v>
      </c>
      <c r="C61" s="2" t="s">
        <v>29</v>
      </c>
      <c r="D61" s="3" t="e">
        <f t="shared" si="0"/>
        <v>#VALUE!</v>
      </c>
      <c r="E61" s="3" t="e">
        <f t="shared" si="1"/>
        <v>#VALUE!</v>
      </c>
      <c r="F61" s="3" t="e">
        <f t="shared" si="2"/>
        <v>#N/A</v>
      </c>
      <c r="G61" s="3" t="e">
        <f t="shared" si="3"/>
        <v>#N/A</v>
      </c>
      <c r="H61" s="3" t="e">
        <f t="shared" si="4"/>
        <v>#N/A</v>
      </c>
      <c r="I61" s="3" t="e">
        <f t="shared" si="5"/>
        <v>#N/A</v>
      </c>
      <c r="J61" s="3" t="e">
        <v>#VALUE!</v>
      </c>
      <c r="K61" s="3" t="e">
        <v>#VALUE!</v>
      </c>
      <c r="L61" s="3" t="e">
        <v>#N/A</v>
      </c>
      <c r="M61" s="3" t="e">
        <v>#N/A</v>
      </c>
      <c r="N61" s="3" t="e">
        <v>#N/A</v>
      </c>
      <c r="O61" s="3" t="e">
        <v>#N/A</v>
      </c>
      <c r="P61" s="3" t="e">
        <f>E61*(VLOOKUP(B61,Price_data!A$1:B$190,2,FALSE))</f>
        <v>#VALUE!</v>
      </c>
      <c r="Q61" s="3" t="e">
        <f>G61*(VLOOKUP(B61,Price_data!A$1:B$190,2,FALSE))</f>
        <v>#N/A</v>
      </c>
      <c r="R61" s="3" t="e">
        <f>I61*(VLOOKUP(B61,Price_data!A$1:B$190,2,FALSE))</f>
        <v>#N/A</v>
      </c>
      <c r="S61" s="4" t="str">
        <f>(VLOOKUP(B61,Price_data!A$1:C$190,3,FALSE))</f>
        <v>Open access</v>
      </c>
      <c r="T61" s="2" t="str">
        <f>IF(C61="Total", (VLOOKUP(B61,Recommended_fish_intake!A$4:D$122,4,FALSE)), "NA")</f>
        <v>NA</v>
      </c>
      <c r="U61" s="2" t="str">
        <f t="shared" si="6"/>
        <v>NA</v>
      </c>
    </row>
    <row r="62" spans="1:21" ht="14.25" customHeight="1">
      <c r="A62" s="2" t="s">
        <v>15</v>
      </c>
      <c r="B62" s="2">
        <v>1904</v>
      </c>
      <c r="C62" s="2" t="s">
        <v>20</v>
      </c>
      <c r="D62" s="3" t="e">
        <f t="shared" si="0"/>
        <v>#N/A</v>
      </c>
      <c r="E62" s="3" t="e">
        <f t="shared" si="1"/>
        <v>#N/A</v>
      </c>
      <c r="F62" s="3" t="e">
        <f t="shared" si="2"/>
        <v>#N/A</v>
      </c>
      <c r="G62" s="3" t="e">
        <f t="shared" si="3"/>
        <v>#N/A</v>
      </c>
      <c r="H62" s="3" t="e">
        <f t="shared" si="4"/>
        <v>#N/A</v>
      </c>
      <c r="I62" s="3" t="e">
        <f t="shared" si="5"/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 t="e">
        <v>#N/A</v>
      </c>
      <c r="O62" s="3" t="e">
        <v>#N/A</v>
      </c>
      <c r="P62" s="3" t="e">
        <f>E62*(VLOOKUP(B62,Price_data!A$1:B$190,2,FALSE))</f>
        <v>#N/A</v>
      </c>
      <c r="Q62" s="3" t="e">
        <f>G62*(VLOOKUP(B62,Price_data!A$1:B$190,2,FALSE))</f>
        <v>#N/A</v>
      </c>
      <c r="R62" s="3" t="e">
        <f>I62*(VLOOKUP(B62,Price_data!A$1:B$190,2,FALSE))</f>
        <v>#N/A</v>
      </c>
      <c r="S62" s="4" t="str">
        <f>(VLOOKUP(B62,Price_data!A$1:C$190,3,FALSE))</f>
        <v>Open access</v>
      </c>
      <c r="T62" s="2" t="str">
        <f>IF(C62="Total", (VLOOKUP(B62,Recommended_fish_intake!A$4:D$122,4,FALSE)), "NA")</f>
        <v>NA</v>
      </c>
      <c r="U62" s="2" t="str">
        <f t="shared" si="6"/>
        <v>NA</v>
      </c>
    </row>
    <row r="63" spans="1:21" ht="14.25" customHeight="1">
      <c r="A63" s="2" t="s">
        <v>15</v>
      </c>
      <c r="B63" s="2">
        <v>1904</v>
      </c>
      <c r="C63" s="2" t="s">
        <v>25</v>
      </c>
      <c r="D63" s="3" t="e">
        <f t="shared" si="0"/>
        <v>#N/A</v>
      </c>
      <c r="E63" s="3" t="e">
        <f t="shared" si="1"/>
        <v>#N/A</v>
      </c>
      <c r="F63" s="3" t="e">
        <f t="shared" si="2"/>
        <v>#N/A</v>
      </c>
      <c r="G63" s="3" t="e">
        <f t="shared" si="3"/>
        <v>#N/A</v>
      </c>
      <c r="H63" s="3" t="e">
        <f t="shared" si="4"/>
        <v>#N/A</v>
      </c>
      <c r="I63" s="3" t="e">
        <f t="shared" si="5"/>
        <v>#N/A</v>
      </c>
      <c r="J63" s="3" t="e">
        <v>#N/A</v>
      </c>
      <c r="K63" s="3" t="e">
        <v>#N/A</v>
      </c>
      <c r="L63" s="3" t="e">
        <v>#N/A</v>
      </c>
      <c r="M63" s="3" t="e">
        <v>#N/A</v>
      </c>
      <c r="N63" s="3" t="e">
        <v>#N/A</v>
      </c>
      <c r="O63" s="3" t="e">
        <v>#N/A</v>
      </c>
      <c r="P63" s="3" t="e">
        <f>E63*(VLOOKUP(B63,Price_data!A$1:B$190,2,FALSE))</f>
        <v>#N/A</v>
      </c>
      <c r="Q63" s="3" t="e">
        <f>G63*(VLOOKUP(B63,Price_data!A$1:B$190,2,FALSE))</f>
        <v>#N/A</v>
      </c>
      <c r="R63" s="3" t="e">
        <f>I63*(VLOOKUP(B63,Price_data!A$1:B$190,2,FALSE))</f>
        <v>#N/A</v>
      </c>
      <c r="S63" s="4" t="str">
        <f>(VLOOKUP(B63,Price_data!A$1:C$190,3,FALSE))</f>
        <v>Open access</v>
      </c>
      <c r="T63" s="2" t="str">
        <f>IF(C63="Total", (VLOOKUP(B63,Recommended_fish_intake!A$4:D$122,4,FALSE)), "NA")</f>
        <v>NA</v>
      </c>
      <c r="U63" s="2" t="str">
        <f t="shared" si="6"/>
        <v>NA</v>
      </c>
    </row>
    <row r="64" spans="1:21" ht="14.25" customHeight="1">
      <c r="A64" s="2" t="s">
        <v>15</v>
      </c>
      <c r="B64" s="2">
        <v>1904</v>
      </c>
      <c r="C64" s="2" t="s">
        <v>24</v>
      </c>
      <c r="D64" s="3" t="e">
        <f t="shared" si="0"/>
        <v>#N/A</v>
      </c>
      <c r="E64" s="3" t="e">
        <f t="shared" si="1"/>
        <v>#N/A</v>
      </c>
      <c r="F64" s="3" t="e">
        <f t="shared" si="2"/>
        <v>#N/A</v>
      </c>
      <c r="G64" s="3" t="e">
        <f t="shared" si="3"/>
        <v>#N/A</v>
      </c>
      <c r="H64" s="3" t="e">
        <f t="shared" si="4"/>
        <v>#N/A</v>
      </c>
      <c r="I64" s="3" t="e">
        <f t="shared" si="5"/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f>E64*(VLOOKUP(B64,Price_data!A$1:B$190,2,FALSE))</f>
        <v>#N/A</v>
      </c>
      <c r="Q64" s="3" t="e">
        <f>G64*(VLOOKUP(B64,Price_data!A$1:B$190,2,FALSE))</f>
        <v>#N/A</v>
      </c>
      <c r="R64" s="3" t="e">
        <f>I64*(VLOOKUP(B64,Price_data!A$1:B$190,2,FALSE))</f>
        <v>#N/A</v>
      </c>
      <c r="S64" s="4" t="str">
        <f>(VLOOKUP(B64,Price_data!A$1:C$190,3,FALSE))</f>
        <v>Open access</v>
      </c>
      <c r="T64" s="2" t="str">
        <f>IF(C64="Total", (VLOOKUP(B64,Recommended_fish_intake!A$4:D$122,4,FALSE)), "NA")</f>
        <v>NA</v>
      </c>
      <c r="U64" s="2" t="str">
        <f t="shared" si="6"/>
        <v>NA</v>
      </c>
    </row>
    <row r="65" spans="1:21" ht="14.25" customHeight="1">
      <c r="A65" s="2" t="s">
        <v>15</v>
      </c>
      <c r="B65" s="2">
        <v>1904</v>
      </c>
      <c r="C65" s="2" t="s">
        <v>30</v>
      </c>
      <c r="D65" s="3" t="e">
        <f t="shared" si="0"/>
        <v>#N/A</v>
      </c>
      <c r="E65" s="3" t="e">
        <f t="shared" si="1"/>
        <v>#N/A</v>
      </c>
      <c r="F65" s="3" t="e">
        <f t="shared" si="2"/>
        <v>#N/A</v>
      </c>
      <c r="G65" s="3" t="e">
        <f t="shared" si="3"/>
        <v>#N/A</v>
      </c>
      <c r="H65" s="3" t="e">
        <f t="shared" si="4"/>
        <v>#N/A</v>
      </c>
      <c r="I65" s="3" t="e">
        <f t="shared" si="5"/>
        <v>#N/A</v>
      </c>
      <c r="J65" s="3" t="e">
        <v>#N/A</v>
      </c>
      <c r="K65" s="3" t="e">
        <v>#N/A</v>
      </c>
      <c r="L65" s="3" t="e">
        <v>#N/A</v>
      </c>
      <c r="M65" s="3" t="e">
        <v>#N/A</v>
      </c>
      <c r="N65" s="3" t="e">
        <v>#N/A</v>
      </c>
      <c r="O65" s="3" t="e">
        <v>#N/A</v>
      </c>
      <c r="P65" s="3" t="e">
        <f>E65*(VLOOKUP(B65,Price_data!A$1:B$190,2,FALSE))</f>
        <v>#N/A</v>
      </c>
      <c r="Q65" s="3" t="e">
        <f>G65*(VLOOKUP(B65,Price_data!A$1:B$190,2,FALSE))</f>
        <v>#N/A</v>
      </c>
      <c r="R65" s="3" t="e">
        <f>I65*(VLOOKUP(B65,Price_data!A$1:B$190,2,FALSE))</f>
        <v>#N/A</v>
      </c>
      <c r="S65" s="4" t="str">
        <f>(VLOOKUP(B65,Price_data!A$1:C$190,3,FALSE))</f>
        <v>Open access</v>
      </c>
      <c r="T65" s="2" t="str">
        <f>IF(C65="Total", (VLOOKUP(B65,Recommended_fish_intake!A$4:D$122,4,FALSE)), "NA")</f>
        <v>NA</v>
      </c>
      <c r="U65" s="2" t="str">
        <f t="shared" si="6"/>
        <v>NA</v>
      </c>
    </row>
    <row r="66" spans="1:21" ht="14.25" customHeight="1">
      <c r="A66" s="2" t="s">
        <v>15</v>
      </c>
      <c r="B66" s="2">
        <v>1905</v>
      </c>
      <c r="C66" s="2" t="s">
        <v>16</v>
      </c>
      <c r="D66" s="3">
        <f t="shared" ref="D66:D129" si="7">IF(J66="", NA(), J66/1000)</f>
        <v>1024.3993090835195</v>
      </c>
      <c r="E66" s="3">
        <f t="shared" ref="E66:E129" si="8">IF(K66="", NA(), K66/1000)</f>
        <v>10.636941999999999</v>
      </c>
      <c r="F66" s="3" t="e">
        <f t="shared" ref="F66:F129" si="9">IF(L66="", NA(), L66/1000)</f>
        <v>#VALUE!</v>
      </c>
      <c r="G66" s="3">
        <f t="shared" ref="G66:G129" si="10">IF(M66="", NA(), M66/1000)</f>
        <v>4.1648689999999995</v>
      </c>
      <c r="H66" s="3">
        <f t="shared" ref="H66:H129" si="11">IF(N66="", NA(), N66/1000)</f>
        <v>111.32915057915058</v>
      </c>
      <c r="I66" s="3">
        <f t="shared" ref="I66:I129" si="12">IF(O66="", NA(), O66/1000)</f>
        <v>3.224402</v>
      </c>
      <c r="J66" s="3">
        <v>1024399.3090835195</v>
      </c>
      <c r="K66" s="3">
        <v>10636.941999999999</v>
      </c>
      <c r="L66" s="3" t="e">
        <v>#VALUE!</v>
      </c>
      <c r="M66" s="3">
        <v>4164.8689999999997</v>
      </c>
      <c r="N66" s="3">
        <v>111329.15057915058</v>
      </c>
      <c r="O66" s="3">
        <v>3224.402</v>
      </c>
      <c r="P66" s="3">
        <f>E66*(VLOOKUP(B66,Price_data!A$1:B$190,2,FALSE))</f>
        <v>768.37608985174984</v>
      </c>
      <c r="Q66" s="3">
        <f>G66*(VLOOKUP(B66,Price_data!A$1:B$190,2,FALSE))</f>
        <v>300.85580582885262</v>
      </c>
      <c r="R66" s="3">
        <f>I66*(VLOOKUP(B66,Price_data!A$1:B$190,2,FALSE))</f>
        <v>232.91970576413428</v>
      </c>
      <c r="S66" s="4" t="str">
        <f>(VLOOKUP(B66,Price_data!A$1:C$190,3,FALSE))</f>
        <v>Open access</v>
      </c>
      <c r="T66" s="2">
        <f>IF(C66="Total", (VLOOKUP(B66,Recommended_fish_intake!A$4:D$122,4,FALSE)), "NA")</f>
        <v>563.03753568742616</v>
      </c>
      <c r="U66" s="2" t="str">
        <f t="shared" ref="U66:U129" si="13">IF(C66="Wet fish", D66*0.49, IF(C66="Shellfish", D66*0.28, "NA"))</f>
        <v>NA</v>
      </c>
    </row>
    <row r="67" spans="1:21" ht="14.25" customHeight="1">
      <c r="A67" s="2" t="s">
        <v>18</v>
      </c>
      <c r="B67" s="2">
        <v>1905</v>
      </c>
      <c r="C67" s="2" t="s">
        <v>19</v>
      </c>
      <c r="D67" s="3">
        <f t="shared" si="7"/>
        <v>152.56070920544605</v>
      </c>
      <c r="E67" s="3">
        <f t="shared" si="8"/>
        <v>1.161422</v>
      </c>
      <c r="F67" s="3" t="e">
        <f t="shared" si="9"/>
        <v>#N/A</v>
      </c>
      <c r="G67" s="3" t="e">
        <f t="shared" si="10"/>
        <v>#N/A</v>
      </c>
      <c r="H67" s="3" t="e">
        <f t="shared" si="11"/>
        <v>#N/A</v>
      </c>
      <c r="I67" s="3" t="e">
        <f t="shared" si="12"/>
        <v>#N/A</v>
      </c>
      <c r="J67" s="3">
        <v>152560.70920544604</v>
      </c>
      <c r="K67" s="3">
        <v>1161.422</v>
      </c>
      <c r="L67" s="3" t="e">
        <v>#N/A</v>
      </c>
      <c r="M67" s="3" t="e">
        <v>#N/A</v>
      </c>
      <c r="N67" s="3" t="e">
        <v>#N/A</v>
      </c>
      <c r="O67" s="3" t="e">
        <v>#N/A</v>
      </c>
      <c r="P67" s="3">
        <f>E67*(VLOOKUP(B67,Price_data!A$1:B$190,2,FALSE))</f>
        <v>83.897128989497077</v>
      </c>
      <c r="Q67" s="3" t="e">
        <f>G67*(VLOOKUP(B67,Price_data!A$1:B$190,2,FALSE))</f>
        <v>#N/A</v>
      </c>
      <c r="R67" s="3" t="e">
        <f>I67*(VLOOKUP(B67,Price_data!A$1:B$190,2,FALSE))</f>
        <v>#N/A</v>
      </c>
      <c r="S67" s="4" t="str">
        <f>(VLOOKUP(B67,Price_data!A$1:C$190,3,FALSE))</f>
        <v>Open access</v>
      </c>
      <c r="T67" s="2" t="str">
        <f>IF(C67="Total", (VLOOKUP(B67,Recommended_fish_intake!A$4:D$122,4,FALSE)), "NA")</f>
        <v>NA</v>
      </c>
      <c r="U67" s="2" t="str">
        <f t="shared" si="13"/>
        <v>NA</v>
      </c>
    </row>
    <row r="68" spans="1:21" ht="14.25" customHeight="1">
      <c r="A68" s="2" t="s">
        <v>18</v>
      </c>
      <c r="B68" s="2">
        <v>1905</v>
      </c>
      <c r="C68" s="2" t="s">
        <v>20</v>
      </c>
      <c r="D68" s="3">
        <f t="shared" si="7"/>
        <v>34.675066043487092</v>
      </c>
      <c r="E68" s="3">
        <f t="shared" si="8"/>
        <v>0.30402800000000002</v>
      </c>
      <c r="F68" s="3" t="e">
        <f t="shared" si="9"/>
        <v>#N/A</v>
      </c>
      <c r="G68" s="3" t="e">
        <f t="shared" si="10"/>
        <v>#N/A</v>
      </c>
      <c r="H68" s="3" t="e">
        <f t="shared" si="11"/>
        <v>#N/A</v>
      </c>
      <c r="I68" s="3" t="e">
        <f t="shared" si="12"/>
        <v>#N/A</v>
      </c>
      <c r="J68" s="3">
        <v>34675.066043487095</v>
      </c>
      <c r="K68" s="3">
        <v>304.02800000000002</v>
      </c>
      <c r="L68" s="3" t="e">
        <v>#N/A</v>
      </c>
      <c r="M68" s="3" t="e">
        <v>#N/A</v>
      </c>
      <c r="N68" s="3" t="e">
        <v>#N/A</v>
      </c>
      <c r="O68" s="3" t="e">
        <v>#N/A</v>
      </c>
      <c r="P68" s="3">
        <f>E68*(VLOOKUP(B68,Price_data!A$1:B$190,2,FALSE))</f>
        <v>21.961936602215921</v>
      </c>
      <c r="Q68" s="3" t="e">
        <f>G68*(VLOOKUP(B68,Price_data!A$1:B$190,2,FALSE))</f>
        <v>#N/A</v>
      </c>
      <c r="R68" s="3" t="e">
        <f>I68*(VLOOKUP(B68,Price_data!A$1:B$190,2,FALSE))</f>
        <v>#N/A</v>
      </c>
      <c r="S68" s="4" t="str">
        <f>(VLOOKUP(B68,Price_data!A$1:C$190,3,FALSE))</f>
        <v>Open access</v>
      </c>
      <c r="T68" s="2" t="str">
        <f>IF(C68="Total", (VLOOKUP(B68,Recommended_fish_intake!A$4:D$122,4,FALSE)), "NA")</f>
        <v>NA</v>
      </c>
      <c r="U68" s="2" t="str">
        <f t="shared" si="13"/>
        <v>NA</v>
      </c>
    </row>
    <row r="69" spans="1:21" ht="14.25" customHeight="1">
      <c r="A69" s="2" t="s">
        <v>18</v>
      </c>
      <c r="B69" s="2">
        <v>1905</v>
      </c>
      <c r="C69" s="2" t="s">
        <v>21</v>
      </c>
      <c r="D69" s="3">
        <f t="shared" si="7"/>
        <v>3.7894736842105261</v>
      </c>
      <c r="E69" s="3">
        <f t="shared" si="8"/>
        <v>1.2954E-2</v>
      </c>
      <c r="F69" s="3" t="e">
        <f t="shared" si="9"/>
        <v>#N/A</v>
      </c>
      <c r="G69" s="3" t="e">
        <f t="shared" si="10"/>
        <v>#N/A</v>
      </c>
      <c r="H69" s="3" t="e">
        <f t="shared" si="11"/>
        <v>#N/A</v>
      </c>
      <c r="I69" s="3" t="e">
        <f t="shared" si="12"/>
        <v>#N/A</v>
      </c>
      <c r="J69" s="3">
        <v>3789.4736842105262</v>
      </c>
      <c r="K69" s="3">
        <v>12.954000000000001</v>
      </c>
      <c r="L69" s="3" t="e">
        <v>#N/A</v>
      </c>
      <c r="M69" s="3" t="e">
        <v>#N/A</v>
      </c>
      <c r="N69" s="3" t="e">
        <v>#N/A</v>
      </c>
      <c r="O69" s="3" t="e">
        <v>#N/A</v>
      </c>
      <c r="P69" s="3">
        <f>E69*(VLOOKUP(B69,Price_data!A$1:B$190,2,FALSE))</f>
        <v>0.93575238709955999</v>
      </c>
      <c r="Q69" s="3" t="e">
        <f>G69*(VLOOKUP(B69,Price_data!A$1:B$190,2,FALSE))</f>
        <v>#N/A</v>
      </c>
      <c r="R69" s="3" t="e">
        <f>I69*(VLOOKUP(B69,Price_data!A$1:B$190,2,FALSE))</f>
        <v>#N/A</v>
      </c>
      <c r="S69" s="4" t="str">
        <f>(VLOOKUP(B69,Price_data!A$1:C$190,3,FALSE))</f>
        <v>Open access</v>
      </c>
      <c r="T69" s="2" t="str">
        <f>IF(C69="Total", (VLOOKUP(B69,Recommended_fish_intake!A$4:D$122,4,FALSE)), "NA")</f>
        <v>NA</v>
      </c>
      <c r="U69" s="2" t="str">
        <f t="shared" si="13"/>
        <v>NA</v>
      </c>
    </row>
    <row r="70" spans="1:21" ht="14.25" customHeight="1">
      <c r="A70" s="2" t="s">
        <v>18</v>
      </c>
      <c r="B70" s="2">
        <v>1905</v>
      </c>
      <c r="C70" s="2" t="s">
        <v>22</v>
      </c>
      <c r="D70" s="3">
        <f t="shared" si="7"/>
        <v>72.321022149969522</v>
      </c>
      <c r="E70" s="3">
        <f t="shared" si="8"/>
        <v>0.87629400000000002</v>
      </c>
      <c r="F70" s="3" t="e">
        <f t="shared" si="9"/>
        <v>#N/A</v>
      </c>
      <c r="G70" s="3" t="e">
        <f t="shared" si="10"/>
        <v>#N/A</v>
      </c>
      <c r="H70" s="3" t="e">
        <f t="shared" si="11"/>
        <v>#N/A</v>
      </c>
      <c r="I70" s="3" t="e">
        <f t="shared" si="12"/>
        <v>#N/A</v>
      </c>
      <c r="J70" s="3">
        <v>72321.022149969518</v>
      </c>
      <c r="K70" s="3">
        <v>876.29399999999998</v>
      </c>
      <c r="L70" s="3" t="e">
        <v>#N/A</v>
      </c>
      <c r="M70" s="3" t="e">
        <v>#N/A</v>
      </c>
      <c r="N70" s="3" t="e">
        <v>#N/A</v>
      </c>
      <c r="O70" s="3" t="e">
        <v>#N/A</v>
      </c>
      <c r="P70" s="3">
        <f>E70*(VLOOKUP(B70,Price_data!A$1:B$190,2,FALSE))</f>
        <v>63.300463355027162</v>
      </c>
      <c r="Q70" s="3" t="e">
        <f>G70*(VLOOKUP(B70,Price_data!A$1:B$190,2,FALSE))</f>
        <v>#N/A</v>
      </c>
      <c r="R70" s="3" t="e">
        <f>I70*(VLOOKUP(B70,Price_data!A$1:B$190,2,FALSE))</f>
        <v>#N/A</v>
      </c>
      <c r="S70" s="4" t="str">
        <f>(VLOOKUP(B70,Price_data!A$1:C$190,3,FALSE))</f>
        <v>Open access</v>
      </c>
      <c r="T70" s="2" t="str">
        <f>IF(C70="Total", (VLOOKUP(B70,Recommended_fish_intake!A$4:D$122,4,FALSE)), "NA")</f>
        <v>NA</v>
      </c>
      <c r="U70" s="2" t="str">
        <f t="shared" si="13"/>
        <v>NA</v>
      </c>
    </row>
    <row r="71" spans="1:21" ht="14.25" customHeight="1">
      <c r="A71" s="2" t="s">
        <v>18</v>
      </c>
      <c r="B71" s="2">
        <v>1905</v>
      </c>
      <c r="C71" s="2" t="s">
        <v>23</v>
      </c>
      <c r="D71" s="3">
        <f t="shared" si="7"/>
        <v>109.14290794553952</v>
      </c>
      <c r="E71" s="3">
        <f t="shared" si="8"/>
        <v>1.329637</v>
      </c>
      <c r="F71" s="3" t="e">
        <f t="shared" si="9"/>
        <v>#N/A</v>
      </c>
      <c r="G71" s="3" t="e">
        <f t="shared" si="10"/>
        <v>#N/A</v>
      </c>
      <c r="H71" s="3" t="e">
        <f t="shared" si="11"/>
        <v>#N/A</v>
      </c>
      <c r="I71" s="3" t="e">
        <f t="shared" si="12"/>
        <v>#N/A</v>
      </c>
      <c r="J71" s="3">
        <v>109142.90794553953</v>
      </c>
      <c r="K71" s="3">
        <v>1329.6369999999999</v>
      </c>
      <c r="L71" s="3" t="e">
        <v>#N/A</v>
      </c>
      <c r="M71" s="3" t="e">
        <v>#N/A</v>
      </c>
      <c r="N71" s="3" t="e">
        <v>#N/A</v>
      </c>
      <c r="O71" s="3" t="e">
        <v>#N/A</v>
      </c>
      <c r="P71" s="3">
        <f>E71*(VLOOKUP(B71,Price_data!A$1:B$190,2,FALSE))</f>
        <v>96.048401785232173</v>
      </c>
      <c r="Q71" s="3" t="e">
        <f>G71*(VLOOKUP(B71,Price_data!A$1:B$190,2,FALSE))</f>
        <v>#N/A</v>
      </c>
      <c r="R71" s="3" t="e">
        <f>I71*(VLOOKUP(B71,Price_data!A$1:B$190,2,FALSE))</f>
        <v>#N/A</v>
      </c>
      <c r="S71" s="4" t="str">
        <f>(VLOOKUP(B71,Price_data!A$1:C$190,3,FALSE))</f>
        <v>Open access</v>
      </c>
      <c r="T71" s="2" t="str">
        <f>IF(C71="Total", (VLOOKUP(B71,Recommended_fish_intake!A$4:D$122,4,FALSE)), "NA")</f>
        <v>NA</v>
      </c>
      <c r="U71" s="2" t="str">
        <f t="shared" si="13"/>
        <v>NA</v>
      </c>
    </row>
    <row r="72" spans="1:21" ht="14.25" customHeight="1">
      <c r="A72" s="2" t="s">
        <v>18</v>
      </c>
      <c r="B72" s="2">
        <v>1905</v>
      </c>
      <c r="C72" s="2" t="s">
        <v>24</v>
      </c>
      <c r="D72" s="3">
        <f t="shared" si="7"/>
        <v>17.647734200365779</v>
      </c>
      <c r="E72" s="3">
        <f t="shared" si="8"/>
        <v>0.16931800000000002</v>
      </c>
      <c r="F72" s="3" t="e">
        <f t="shared" si="9"/>
        <v>#N/A</v>
      </c>
      <c r="G72" s="3" t="e">
        <f t="shared" si="10"/>
        <v>#N/A</v>
      </c>
      <c r="H72" s="3" t="e">
        <f t="shared" si="11"/>
        <v>#N/A</v>
      </c>
      <c r="I72" s="3" t="e">
        <f t="shared" si="12"/>
        <v>#N/A</v>
      </c>
      <c r="J72" s="3">
        <v>17647.73420036578</v>
      </c>
      <c r="K72" s="3">
        <v>169.31800000000001</v>
      </c>
      <c r="L72" s="3" t="e">
        <v>#N/A</v>
      </c>
      <c r="M72" s="3" t="e">
        <v>#N/A</v>
      </c>
      <c r="N72" s="3" t="e">
        <v>#N/A</v>
      </c>
      <c r="O72" s="3" t="e">
        <v>#N/A</v>
      </c>
      <c r="P72" s="3">
        <f>E72*(VLOOKUP(B72,Price_data!A$1:B$190,2,FALSE))</f>
        <v>12.230949720466521</v>
      </c>
      <c r="Q72" s="3" t="e">
        <f>G72*(VLOOKUP(B72,Price_data!A$1:B$190,2,FALSE))</f>
        <v>#N/A</v>
      </c>
      <c r="R72" s="3" t="e">
        <f>I72*(VLOOKUP(B72,Price_data!A$1:B$190,2,FALSE))</f>
        <v>#N/A</v>
      </c>
      <c r="S72" s="4" t="str">
        <f>(VLOOKUP(B72,Price_data!A$1:C$190,3,FALSE))</f>
        <v>Open access</v>
      </c>
      <c r="T72" s="2" t="str">
        <f>IF(C72="Total", (VLOOKUP(B72,Recommended_fish_intake!A$4:D$122,4,FALSE)), "NA")</f>
        <v>NA</v>
      </c>
      <c r="U72" s="2" t="str">
        <f t="shared" si="13"/>
        <v>NA</v>
      </c>
    </row>
    <row r="73" spans="1:21" ht="14.25" customHeight="1">
      <c r="A73" s="2" t="s">
        <v>18</v>
      </c>
      <c r="B73" s="2">
        <v>1905</v>
      </c>
      <c r="C73" s="2" t="s">
        <v>25</v>
      </c>
      <c r="D73" s="3">
        <f t="shared" si="7"/>
        <v>54.581131883763462</v>
      </c>
      <c r="E73" s="3">
        <f t="shared" si="8"/>
        <v>1.0900000000000001</v>
      </c>
      <c r="F73" s="3" t="e">
        <f t="shared" si="9"/>
        <v>#N/A</v>
      </c>
      <c r="G73" s="3" t="e">
        <f t="shared" si="10"/>
        <v>#N/A</v>
      </c>
      <c r="H73" s="3" t="e">
        <f t="shared" si="11"/>
        <v>#N/A</v>
      </c>
      <c r="I73" s="3" t="e">
        <f t="shared" si="12"/>
        <v>#N/A</v>
      </c>
      <c r="J73" s="3">
        <v>54581.131883763461</v>
      </c>
      <c r="K73" s="3">
        <v>1090</v>
      </c>
      <c r="L73" s="3" t="e">
        <v>#N/A</v>
      </c>
      <c r="M73" s="3" t="e">
        <v>#N/A</v>
      </c>
      <c r="N73" s="3" t="e">
        <v>#N/A</v>
      </c>
      <c r="O73" s="3" t="e">
        <v>#N/A</v>
      </c>
      <c r="P73" s="3">
        <f>E73*(VLOOKUP(B73,Price_data!A$1:B$190,2,FALSE))</f>
        <v>78.737849462599996</v>
      </c>
      <c r="Q73" s="3" t="e">
        <f>G73*(VLOOKUP(B73,Price_data!A$1:B$190,2,FALSE))</f>
        <v>#N/A</v>
      </c>
      <c r="R73" s="3" t="e">
        <f>I73*(VLOOKUP(B73,Price_data!A$1:B$190,2,FALSE))</f>
        <v>#N/A</v>
      </c>
      <c r="S73" s="4" t="str">
        <f>(VLOOKUP(B73,Price_data!A$1:C$190,3,FALSE))</f>
        <v>Open access</v>
      </c>
      <c r="T73" s="2" t="str">
        <f>IF(C73="Total", (VLOOKUP(B73,Recommended_fish_intake!A$4:D$122,4,FALSE)), "NA")</f>
        <v>NA</v>
      </c>
      <c r="U73" s="2" t="str">
        <f t="shared" si="13"/>
        <v>NA</v>
      </c>
    </row>
    <row r="74" spans="1:21" ht="14.25" customHeight="1">
      <c r="A74" s="2" t="s">
        <v>15</v>
      </c>
      <c r="B74" s="2">
        <v>1905</v>
      </c>
      <c r="C74" s="2" t="s">
        <v>22</v>
      </c>
      <c r="D74" s="3" t="e">
        <f t="shared" si="7"/>
        <v>#N/A</v>
      </c>
      <c r="E74" s="3" t="e">
        <f t="shared" si="8"/>
        <v>#N/A</v>
      </c>
      <c r="F74" s="3" t="e">
        <f t="shared" si="9"/>
        <v>#VALUE!</v>
      </c>
      <c r="G74" s="3" t="e">
        <f t="shared" si="10"/>
        <v>#VALUE!</v>
      </c>
      <c r="H74" s="3" t="e">
        <f t="shared" si="11"/>
        <v>#VALUE!</v>
      </c>
      <c r="I74" s="3" t="e">
        <f t="shared" si="12"/>
        <v>#VALUE!</v>
      </c>
      <c r="J74" s="3" t="e">
        <v>#N/A</v>
      </c>
      <c r="K74" s="3" t="e">
        <v>#N/A</v>
      </c>
      <c r="L74" s="3" t="e">
        <v>#VALUE!</v>
      </c>
      <c r="M74" s="3" t="e">
        <v>#VALUE!</v>
      </c>
      <c r="N74" s="3" t="e">
        <v>#VALUE!</v>
      </c>
      <c r="O74" s="3" t="e">
        <v>#VALUE!</v>
      </c>
      <c r="P74" s="3" t="e">
        <f>E74*(VLOOKUP(B74,Price_data!A$1:B$190,2,FALSE))</f>
        <v>#N/A</v>
      </c>
      <c r="Q74" s="3" t="e">
        <f>G74*(VLOOKUP(B74,Price_data!A$1:B$190,2,FALSE))</f>
        <v>#VALUE!</v>
      </c>
      <c r="R74" s="3" t="e">
        <f>I74*(VLOOKUP(B74,Price_data!A$1:B$190,2,FALSE))</f>
        <v>#VALUE!</v>
      </c>
      <c r="S74" s="4" t="str">
        <f>(VLOOKUP(B74,Price_data!A$1:C$190,3,FALSE))</f>
        <v>Open access</v>
      </c>
      <c r="T74" s="2" t="str">
        <f>IF(C74="Total", (VLOOKUP(B74,Recommended_fish_intake!A$4:D$122,4,FALSE)), "NA")</f>
        <v>NA</v>
      </c>
      <c r="U74" s="2" t="str">
        <f t="shared" si="13"/>
        <v>NA</v>
      </c>
    </row>
    <row r="75" spans="1:21" ht="14.25" customHeight="1">
      <c r="A75" s="2" t="s">
        <v>15</v>
      </c>
      <c r="B75" s="2">
        <v>1905</v>
      </c>
      <c r="C75" s="2" t="s">
        <v>23</v>
      </c>
      <c r="D75" s="3" t="e">
        <f t="shared" si="7"/>
        <v>#N/A</v>
      </c>
      <c r="E75" s="3" t="e">
        <f t="shared" si="8"/>
        <v>#N/A</v>
      </c>
      <c r="F75" s="3" t="e">
        <f t="shared" si="9"/>
        <v>#VALUE!</v>
      </c>
      <c r="G75" s="3" t="e">
        <f t="shared" si="10"/>
        <v>#VALUE!</v>
      </c>
      <c r="H75" s="3" t="e">
        <f t="shared" si="11"/>
        <v>#VALUE!</v>
      </c>
      <c r="I75" s="3" t="e">
        <f t="shared" si="12"/>
        <v>#VALUE!</v>
      </c>
      <c r="J75" s="3" t="e">
        <v>#N/A</v>
      </c>
      <c r="K75" s="3" t="e">
        <v>#N/A</v>
      </c>
      <c r="L75" s="3" t="e">
        <v>#VALUE!</v>
      </c>
      <c r="M75" s="3" t="e">
        <v>#VALUE!</v>
      </c>
      <c r="N75" s="3" t="e">
        <v>#VALUE!</v>
      </c>
      <c r="O75" s="3" t="e">
        <v>#VALUE!</v>
      </c>
      <c r="P75" s="3" t="e">
        <f>E75*(VLOOKUP(B75,Price_data!A$1:B$190,2,FALSE))</f>
        <v>#N/A</v>
      </c>
      <c r="Q75" s="3" t="e">
        <f>G75*(VLOOKUP(B75,Price_data!A$1:B$190,2,FALSE))</f>
        <v>#VALUE!</v>
      </c>
      <c r="R75" s="3" t="e">
        <f>I75*(VLOOKUP(B75,Price_data!A$1:B$190,2,FALSE))</f>
        <v>#VALUE!</v>
      </c>
      <c r="S75" s="4" t="str">
        <f>(VLOOKUP(B75,Price_data!A$1:C$190,3,FALSE))</f>
        <v>Open access</v>
      </c>
      <c r="T75" s="2" t="str">
        <f>IF(C75="Total", (VLOOKUP(B75,Recommended_fish_intake!A$4:D$122,4,FALSE)), "NA")</f>
        <v>NA</v>
      </c>
      <c r="U75" s="2" t="str">
        <f t="shared" si="13"/>
        <v>NA</v>
      </c>
    </row>
    <row r="76" spans="1:21" ht="14.25" customHeight="1">
      <c r="A76" s="2" t="s">
        <v>15</v>
      </c>
      <c r="B76" s="2">
        <v>1905</v>
      </c>
      <c r="C76" s="2" t="s">
        <v>19</v>
      </c>
      <c r="D76" s="3" t="e">
        <f t="shared" si="7"/>
        <v>#N/A</v>
      </c>
      <c r="E76" s="3" t="e">
        <f t="shared" si="8"/>
        <v>#N/A</v>
      </c>
      <c r="F76" s="3" t="e">
        <f t="shared" si="9"/>
        <v>#VALUE!</v>
      </c>
      <c r="G76" s="3">
        <f t="shared" si="10"/>
        <v>3.1338889999999999</v>
      </c>
      <c r="H76" s="3">
        <f t="shared" si="11"/>
        <v>30.604653525706155</v>
      </c>
      <c r="I76" s="3">
        <f t="shared" si="12"/>
        <v>0.20552999999999999</v>
      </c>
      <c r="J76" s="3" t="e">
        <v>#N/A</v>
      </c>
      <c r="K76" s="3" t="e">
        <v>#N/A</v>
      </c>
      <c r="L76" s="3" t="e">
        <v>#VALUE!</v>
      </c>
      <c r="M76" s="3">
        <v>3133.8890000000001</v>
      </c>
      <c r="N76" s="3">
        <v>30604.653525706155</v>
      </c>
      <c r="O76" s="3">
        <v>205.53</v>
      </c>
      <c r="P76" s="3" t="e">
        <f>E76*(VLOOKUP(B76,Price_data!A$1:B$190,2,FALSE))</f>
        <v>#N/A</v>
      </c>
      <c r="Q76" s="3">
        <f>G76*(VLOOKUP(B76,Price_data!A$1:B$190,2,FALSE))</f>
        <v>226.38135808669546</v>
      </c>
      <c r="R76" s="3">
        <f>I76*(VLOOKUP(B76,Price_data!A$1:B$190,2,FALSE))</f>
        <v>14.846780000044198</v>
      </c>
      <c r="S76" s="4" t="str">
        <f>(VLOOKUP(B76,Price_data!A$1:C$190,3,FALSE))</f>
        <v>Open access</v>
      </c>
      <c r="T76" s="2" t="str">
        <f>IF(C76="Total", (VLOOKUP(B76,Recommended_fish_intake!A$4:D$122,4,FALSE)), "NA")</f>
        <v>NA</v>
      </c>
      <c r="U76" s="2" t="str">
        <f t="shared" si="13"/>
        <v>NA</v>
      </c>
    </row>
    <row r="77" spans="1:21" ht="14.25" customHeight="1">
      <c r="A77" s="2" t="s">
        <v>15</v>
      </c>
      <c r="B77" s="2">
        <v>1905</v>
      </c>
      <c r="C77" s="2" t="s">
        <v>28</v>
      </c>
      <c r="D77" s="3" t="e">
        <f t="shared" si="7"/>
        <v>#VALUE!</v>
      </c>
      <c r="E77" s="3" t="e">
        <f t="shared" si="8"/>
        <v>#VALUE!</v>
      </c>
      <c r="F77" s="3" t="e">
        <f t="shared" si="9"/>
        <v>#VALUE!</v>
      </c>
      <c r="G77" s="3" t="e">
        <f t="shared" si="10"/>
        <v>#VALUE!</v>
      </c>
      <c r="H77" s="3">
        <f t="shared" si="11"/>
        <v>10.411603332655964</v>
      </c>
      <c r="I77" s="3">
        <f t="shared" si="12"/>
        <v>0.444581</v>
      </c>
      <c r="J77" s="3" t="e">
        <v>#VALUE!</v>
      </c>
      <c r="K77" s="3" t="e">
        <v>#VALUE!</v>
      </c>
      <c r="L77" s="3" t="e">
        <v>#VALUE!</v>
      </c>
      <c r="M77" s="3" t="e">
        <v>#VALUE!</v>
      </c>
      <c r="N77" s="3">
        <v>10411.603332655965</v>
      </c>
      <c r="O77" s="3">
        <v>444.58100000000002</v>
      </c>
      <c r="P77" s="3" t="e">
        <f>E77*(VLOOKUP(B77,Price_data!A$1:B$190,2,FALSE))</f>
        <v>#VALUE!</v>
      </c>
      <c r="Q77" s="3" t="e">
        <f>G77*(VLOOKUP(B77,Price_data!A$1:B$190,2,FALSE))</f>
        <v>#VALUE!</v>
      </c>
      <c r="R77" s="3">
        <f>I77*(VLOOKUP(B77,Price_data!A$1:B$190,2,FALSE))</f>
        <v>32.11500169902034</v>
      </c>
      <c r="S77" s="4" t="str">
        <f>(VLOOKUP(B77,Price_data!A$1:C$190,3,FALSE))</f>
        <v>Open access</v>
      </c>
      <c r="T77" s="2" t="str">
        <f>IF(C77="Total", (VLOOKUP(B77,Recommended_fish_intake!A$4:D$122,4,FALSE)), "NA")</f>
        <v>NA</v>
      </c>
      <c r="U77" s="2" t="e">
        <f t="shared" si="13"/>
        <v>#VALUE!</v>
      </c>
    </row>
    <row r="78" spans="1:21" ht="14.25" customHeight="1">
      <c r="A78" s="2" t="s">
        <v>15</v>
      </c>
      <c r="B78" s="2">
        <v>1905</v>
      </c>
      <c r="C78" s="2" t="s">
        <v>29</v>
      </c>
      <c r="D78" s="3" t="e">
        <f t="shared" si="7"/>
        <v>#VALUE!</v>
      </c>
      <c r="E78" s="3" t="e">
        <f t="shared" si="8"/>
        <v>#VALUE!</v>
      </c>
      <c r="F78" s="3">
        <f t="shared" si="9"/>
        <v>0.34540743751270064</v>
      </c>
      <c r="G78" s="3">
        <f t="shared" si="10"/>
        <v>5.2049999999999999E-2</v>
      </c>
      <c r="H78" s="3">
        <f t="shared" si="11"/>
        <v>17.934210526315791</v>
      </c>
      <c r="I78" s="3">
        <f t="shared" si="12"/>
        <v>0.92996100000000004</v>
      </c>
      <c r="J78" s="3" t="e">
        <v>#VALUE!</v>
      </c>
      <c r="K78" s="3" t="e">
        <v>#VALUE!</v>
      </c>
      <c r="L78" s="3">
        <v>345.40743751270065</v>
      </c>
      <c r="M78" s="3">
        <v>52.05</v>
      </c>
      <c r="N78" s="3">
        <v>17934.21052631579</v>
      </c>
      <c r="O78" s="3">
        <v>929.96100000000001</v>
      </c>
      <c r="P78" s="3" t="e">
        <f>E78*(VLOOKUP(B78,Price_data!A$1:B$190,2,FALSE))</f>
        <v>#VALUE!</v>
      </c>
      <c r="Q78" s="3">
        <f>G78*(VLOOKUP(B78,Price_data!A$1:B$190,2,FALSE))</f>
        <v>3.7599129032369998</v>
      </c>
      <c r="R78" s="3">
        <f>I78*(VLOOKUP(B78,Price_data!A$1:B$190,2,FALSE))</f>
        <v>67.177182774393543</v>
      </c>
      <c r="S78" s="4" t="str">
        <f>(VLOOKUP(B78,Price_data!A$1:C$190,3,FALSE))</f>
        <v>Open access</v>
      </c>
      <c r="T78" s="2" t="str">
        <f>IF(C78="Total", (VLOOKUP(B78,Recommended_fish_intake!A$4:D$122,4,FALSE)), "NA")</f>
        <v>NA</v>
      </c>
      <c r="U78" s="2" t="str">
        <f t="shared" si="13"/>
        <v>NA</v>
      </c>
    </row>
    <row r="79" spans="1:21" ht="14.25" customHeight="1">
      <c r="A79" s="2" t="s">
        <v>15</v>
      </c>
      <c r="B79" s="2">
        <v>1905</v>
      </c>
      <c r="C79" s="2" t="s">
        <v>20</v>
      </c>
      <c r="D79" s="3" t="e">
        <f t="shared" si="7"/>
        <v>#N/A</v>
      </c>
      <c r="E79" s="3" t="e">
        <f t="shared" si="8"/>
        <v>#N/A</v>
      </c>
      <c r="F79" s="3" t="e">
        <f t="shared" si="9"/>
        <v>#VALUE!</v>
      </c>
      <c r="G79" s="3" t="e">
        <f t="shared" si="10"/>
        <v>#VALUE!</v>
      </c>
      <c r="H79" s="3" t="e">
        <f t="shared" si="11"/>
        <v>#VALUE!</v>
      </c>
      <c r="I79" s="3" t="e">
        <f t="shared" si="12"/>
        <v>#VALUE!</v>
      </c>
      <c r="J79" s="3" t="e">
        <v>#N/A</v>
      </c>
      <c r="K79" s="3" t="e">
        <v>#N/A</v>
      </c>
      <c r="L79" s="3" t="e">
        <v>#VALUE!</v>
      </c>
      <c r="M79" s="3" t="e">
        <v>#VALUE!</v>
      </c>
      <c r="N79" s="3" t="e">
        <v>#VALUE!</v>
      </c>
      <c r="O79" s="3" t="e">
        <v>#VALUE!</v>
      </c>
      <c r="P79" s="3" t="e">
        <f>E79*(VLOOKUP(B79,Price_data!A$1:B$190,2,FALSE))</f>
        <v>#N/A</v>
      </c>
      <c r="Q79" s="3" t="e">
        <f>G79*(VLOOKUP(B79,Price_data!A$1:B$190,2,FALSE))</f>
        <v>#VALUE!</v>
      </c>
      <c r="R79" s="3" t="e">
        <f>I79*(VLOOKUP(B79,Price_data!A$1:B$190,2,FALSE))</f>
        <v>#VALUE!</v>
      </c>
      <c r="S79" s="4" t="str">
        <f>(VLOOKUP(B79,Price_data!A$1:C$190,3,FALSE))</f>
        <v>Open access</v>
      </c>
      <c r="T79" s="2" t="str">
        <f>IF(C79="Total", (VLOOKUP(B79,Recommended_fish_intake!A$4:D$122,4,FALSE)), "NA")</f>
        <v>NA</v>
      </c>
      <c r="U79" s="2" t="str">
        <f t="shared" si="13"/>
        <v>NA</v>
      </c>
    </row>
    <row r="80" spans="1:21" ht="14.25" customHeight="1">
      <c r="A80" s="2" t="s">
        <v>15</v>
      </c>
      <c r="B80" s="2">
        <v>1905</v>
      </c>
      <c r="C80" s="2" t="s">
        <v>25</v>
      </c>
      <c r="D80" s="3" t="e">
        <f t="shared" si="7"/>
        <v>#N/A</v>
      </c>
      <c r="E80" s="3" t="e">
        <f t="shared" si="8"/>
        <v>#N/A</v>
      </c>
      <c r="F80" s="3" t="e">
        <f t="shared" si="9"/>
        <v>#N/A</v>
      </c>
      <c r="G80" s="3" t="e">
        <f t="shared" si="10"/>
        <v>#N/A</v>
      </c>
      <c r="H80" s="3" t="e">
        <f t="shared" si="11"/>
        <v>#N/A</v>
      </c>
      <c r="I80" s="3" t="e">
        <f t="shared" si="12"/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f>E80*(VLOOKUP(B80,Price_data!A$1:B$190,2,FALSE))</f>
        <v>#N/A</v>
      </c>
      <c r="Q80" s="3" t="e">
        <f>G80*(VLOOKUP(B80,Price_data!A$1:B$190,2,FALSE))</f>
        <v>#N/A</v>
      </c>
      <c r="R80" s="3" t="e">
        <f>I80*(VLOOKUP(B80,Price_data!A$1:B$190,2,FALSE))</f>
        <v>#N/A</v>
      </c>
      <c r="S80" s="4" t="str">
        <f>(VLOOKUP(B80,Price_data!A$1:C$190,3,FALSE))</f>
        <v>Open access</v>
      </c>
      <c r="T80" s="2" t="str">
        <f>IF(C80="Total", (VLOOKUP(B80,Recommended_fish_intake!A$4:D$122,4,FALSE)), "NA")</f>
        <v>NA</v>
      </c>
      <c r="U80" s="2" t="str">
        <f t="shared" si="13"/>
        <v>NA</v>
      </c>
    </row>
    <row r="81" spans="1:21" ht="14.25" customHeight="1">
      <c r="A81" s="2" t="s">
        <v>15</v>
      </c>
      <c r="B81" s="2">
        <v>1905</v>
      </c>
      <c r="C81" s="2" t="s">
        <v>24</v>
      </c>
      <c r="D81" s="3" t="e">
        <f t="shared" si="7"/>
        <v>#N/A</v>
      </c>
      <c r="E81" s="3" t="e">
        <f t="shared" si="8"/>
        <v>#N/A</v>
      </c>
      <c r="F81" s="3" t="e">
        <f t="shared" si="9"/>
        <v>#N/A</v>
      </c>
      <c r="G81" s="3" t="e">
        <f t="shared" si="10"/>
        <v>#N/A</v>
      </c>
      <c r="H81" s="3" t="e">
        <f t="shared" si="11"/>
        <v>#N/A</v>
      </c>
      <c r="I81" s="3" t="e">
        <f t="shared" si="12"/>
        <v>#N/A</v>
      </c>
      <c r="J81" s="3" t="e">
        <v>#N/A</v>
      </c>
      <c r="K81" s="3" t="e">
        <v>#N/A</v>
      </c>
      <c r="L81" s="3" t="e">
        <v>#N/A</v>
      </c>
      <c r="M81" s="3" t="e">
        <v>#N/A</v>
      </c>
      <c r="N81" s="3" t="e">
        <v>#N/A</v>
      </c>
      <c r="O81" s="3" t="e">
        <v>#N/A</v>
      </c>
      <c r="P81" s="3" t="e">
        <f>E81*(VLOOKUP(B81,Price_data!A$1:B$190,2,FALSE))</f>
        <v>#N/A</v>
      </c>
      <c r="Q81" s="3" t="e">
        <f>G81*(VLOOKUP(B81,Price_data!A$1:B$190,2,FALSE))</f>
        <v>#N/A</v>
      </c>
      <c r="R81" s="3" t="e">
        <f>I81*(VLOOKUP(B81,Price_data!A$1:B$190,2,FALSE))</f>
        <v>#N/A</v>
      </c>
      <c r="S81" s="4" t="str">
        <f>(VLOOKUP(B81,Price_data!A$1:C$190,3,FALSE))</f>
        <v>Open access</v>
      </c>
      <c r="T81" s="2" t="str">
        <f>IF(C81="Total", (VLOOKUP(B81,Recommended_fish_intake!A$4:D$122,4,FALSE)), "NA")</f>
        <v>NA</v>
      </c>
      <c r="U81" s="2" t="str">
        <f t="shared" si="13"/>
        <v>NA</v>
      </c>
    </row>
    <row r="82" spans="1:21" ht="14.25" customHeight="1">
      <c r="A82" s="2" t="s">
        <v>15</v>
      </c>
      <c r="B82" s="2">
        <v>1905</v>
      </c>
      <c r="C82" s="2" t="s">
        <v>30</v>
      </c>
      <c r="D82" s="3" t="e">
        <f t="shared" si="7"/>
        <v>#N/A</v>
      </c>
      <c r="E82" s="3" t="e">
        <f t="shared" si="8"/>
        <v>#N/A</v>
      </c>
      <c r="F82" s="3" t="e">
        <f t="shared" si="9"/>
        <v>#VALUE!</v>
      </c>
      <c r="G82" s="3" t="e">
        <f t="shared" si="10"/>
        <v>#VALUE!</v>
      </c>
      <c r="H82" s="3" t="e">
        <f t="shared" si="11"/>
        <v>#VALUE!</v>
      </c>
      <c r="I82" s="3" t="e">
        <f t="shared" si="12"/>
        <v>#VALUE!</v>
      </c>
      <c r="J82" s="3" t="e">
        <v>#N/A</v>
      </c>
      <c r="K82" s="3" t="e">
        <v>#N/A</v>
      </c>
      <c r="L82" s="3" t="e">
        <v>#VALUE!</v>
      </c>
      <c r="M82" s="3" t="e">
        <v>#VALUE!</v>
      </c>
      <c r="N82" s="3" t="e">
        <v>#VALUE!</v>
      </c>
      <c r="O82" s="3" t="e">
        <v>#VALUE!</v>
      </c>
      <c r="P82" s="3" t="e">
        <f>E82*(VLOOKUP(B82,Price_data!A$1:B$190,2,FALSE))</f>
        <v>#N/A</v>
      </c>
      <c r="Q82" s="3" t="e">
        <f>G82*(VLOOKUP(B82,Price_data!A$1:B$190,2,FALSE))</f>
        <v>#VALUE!</v>
      </c>
      <c r="R82" s="3" t="e">
        <f>I82*(VLOOKUP(B82,Price_data!A$1:B$190,2,FALSE))</f>
        <v>#VALUE!</v>
      </c>
      <c r="S82" s="4" t="str">
        <f>(VLOOKUP(B82,Price_data!A$1:C$190,3,FALSE))</f>
        <v>Open access</v>
      </c>
      <c r="T82" s="2" t="str">
        <f>IF(C82="Total", (VLOOKUP(B82,Recommended_fish_intake!A$4:D$122,4,FALSE)), "NA")</f>
        <v>NA</v>
      </c>
      <c r="U82" s="2" t="str">
        <f t="shared" si="13"/>
        <v>NA</v>
      </c>
    </row>
    <row r="83" spans="1:21" ht="14.25" customHeight="1">
      <c r="A83" s="2" t="s">
        <v>15</v>
      </c>
      <c r="B83" s="2">
        <v>1906</v>
      </c>
      <c r="C83" s="2" t="s">
        <v>16</v>
      </c>
      <c r="D83" s="3">
        <f t="shared" si="7"/>
        <v>1043.5561877667139</v>
      </c>
      <c r="E83" s="3">
        <f t="shared" si="8"/>
        <v>11.388638</v>
      </c>
      <c r="F83" s="3">
        <f t="shared" si="9"/>
        <v>379.42786019101811</v>
      </c>
      <c r="G83" s="3">
        <f t="shared" si="10"/>
        <v>4.518281</v>
      </c>
      <c r="H83" s="3">
        <f t="shared" si="11"/>
        <v>133.58992074781548</v>
      </c>
      <c r="I83" s="3">
        <f t="shared" si="12"/>
        <v>3.7510110000000001</v>
      </c>
      <c r="J83" s="3">
        <v>1043556.187766714</v>
      </c>
      <c r="K83" s="3">
        <v>11388.638000000001</v>
      </c>
      <c r="L83" s="3">
        <v>379427.86019101809</v>
      </c>
      <c r="M83" s="3">
        <v>4518.2809999999999</v>
      </c>
      <c r="N83" s="3">
        <v>133589.92074781549</v>
      </c>
      <c r="O83" s="3">
        <v>3751.011</v>
      </c>
      <c r="P83" s="3">
        <f>E83*(VLOOKUP(B83,Price_data!A$1:B$190,2,FALSE))</f>
        <v>822.67602241105135</v>
      </c>
      <c r="Q83" s="3">
        <f>G83*(VLOOKUP(B83,Price_data!A$1:B$190,2,FALSE))</f>
        <v>326.38507266763833</v>
      </c>
      <c r="R83" s="3">
        <f>I83*(VLOOKUP(B83,Price_data!A$1:B$190,2,FALSE))</f>
        <v>270.96012793629052</v>
      </c>
      <c r="S83" s="4" t="str">
        <f>(VLOOKUP(B83,Price_data!A$1:C$190,3,FALSE))</f>
        <v>Open access</v>
      </c>
      <c r="T83" s="2">
        <f>IF(C83="Total", (VLOOKUP(B83,Recommended_fish_intake!A$4:D$122,4,FALSE)), "NA")</f>
        <v>568.01936885065095</v>
      </c>
      <c r="U83" s="2" t="str">
        <f t="shared" si="13"/>
        <v>NA</v>
      </c>
    </row>
    <row r="84" spans="1:21" ht="14.25" customHeight="1">
      <c r="A84" s="2" t="s">
        <v>18</v>
      </c>
      <c r="B84" s="2">
        <v>1906</v>
      </c>
      <c r="C84" s="2" t="s">
        <v>19</v>
      </c>
      <c r="D84" s="3">
        <f t="shared" si="7"/>
        <v>166.54587482219063</v>
      </c>
      <c r="E84" s="3">
        <f t="shared" si="8"/>
        <v>1.319186</v>
      </c>
      <c r="F84" s="3" t="e">
        <f t="shared" si="9"/>
        <v>#N/A</v>
      </c>
      <c r="G84" s="3" t="e">
        <f t="shared" si="10"/>
        <v>#N/A</v>
      </c>
      <c r="H84" s="3" t="e">
        <f t="shared" si="11"/>
        <v>#N/A</v>
      </c>
      <c r="I84" s="3" t="e">
        <f t="shared" si="12"/>
        <v>#N/A</v>
      </c>
      <c r="J84" s="3">
        <v>166545.87482219061</v>
      </c>
      <c r="K84" s="3">
        <v>1319.1859999999999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>
        <f>E84*(VLOOKUP(B84,Price_data!A$1:B$190,2,FALSE))</f>
        <v>95.293457505660029</v>
      </c>
      <c r="Q84" s="3" t="e">
        <f>G84*(VLOOKUP(B84,Price_data!A$1:B$190,2,FALSE))</f>
        <v>#N/A</v>
      </c>
      <c r="R84" s="3" t="e">
        <f>I84*(VLOOKUP(B84,Price_data!A$1:B$190,2,FALSE))</f>
        <v>#N/A</v>
      </c>
      <c r="S84" s="4" t="str">
        <f>(VLOOKUP(B84,Price_data!A$1:C$190,3,FALSE))</f>
        <v>Open access</v>
      </c>
      <c r="T84" s="2" t="str">
        <f>IF(C84="Total", (VLOOKUP(B84,Recommended_fish_intake!A$4:D$122,4,FALSE)), "NA")</f>
        <v>NA</v>
      </c>
      <c r="U84" s="2" t="str">
        <f t="shared" si="13"/>
        <v>NA</v>
      </c>
    </row>
    <row r="85" spans="1:21" ht="14.25" customHeight="1">
      <c r="A85" s="2" t="s">
        <v>18</v>
      </c>
      <c r="B85" s="2">
        <v>1906</v>
      </c>
      <c r="C85" s="2" t="s">
        <v>20</v>
      </c>
      <c r="D85" s="3">
        <f t="shared" si="7"/>
        <v>14.279211542369437</v>
      </c>
      <c r="E85" s="3">
        <f t="shared" si="8"/>
        <v>0.166578</v>
      </c>
      <c r="F85" s="3" t="e">
        <f t="shared" si="9"/>
        <v>#N/A</v>
      </c>
      <c r="G85" s="3" t="e">
        <f t="shared" si="10"/>
        <v>#N/A</v>
      </c>
      <c r="H85" s="3" t="e">
        <f t="shared" si="11"/>
        <v>#N/A</v>
      </c>
      <c r="I85" s="3" t="e">
        <f t="shared" si="12"/>
        <v>#N/A</v>
      </c>
      <c r="J85" s="3">
        <v>14279.211542369436</v>
      </c>
      <c r="K85" s="3">
        <v>166.578</v>
      </c>
      <c r="L85" s="3" t="e">
        <v>#N/A</v>
      </c>
      <c r="M85" s="3" t="e">
        <v>#N/A</v>
      </c>
      <c r="N85" s="3" t="e">
        <v>#N/A</v>
      </c>
      <c r="O85" s="3" t="e">
        <v>#N/A</v>
      </c>
      <c r="P85" s="3">
        <f>E85*(VLOOKUP(B85,Price_data!A$1:B$190,2,FALSE))</f>
        <v>12.033021548422919</v>
      </c>
      <c r="Q85" s="3" t="e">
        <f>G85*(VLOOKUP(B85,Price_data!A$1:B$190,2,FALSE))</f>
        <v>#N/A</v>
      </c>
      <c r="R85" s="3" t="e">
        <f>I85*(VLOOKUP(B85,Price_data!A$1:B$190,2,FALSE))</f>
        <v>#N/A</v>
      </c>
      <c r="S85" s="4" t="str">
        <f>(VLOOKUP(B85,Price_data!A$1:C$190,3,FALSE))</f>
        <v>Open access</v>
      </c>
      <c r="T85" s="2" t="str">
        <f>IF(C85="Total", (VLOOKUP(B85,Recommended_fish_intake!A$4:D$122,4,FALSE)), "NA")</f>
        <v>NA</v>
      </c>
      <c r="U85" s="2" t="str">
        <f t="shared" si="13"/>
        <v>NA</v>
      </c>
    </row>
    <row r="86" spans="1:21" ht="14.25" customHeight="1">
      <c r="A86" s="2" t="s">
        <v>18</v>
      </c>
      <c r="B86" s="2">
        <v>1906</v>
      </c>
      <c r="C86" s="2" t="s">
        <v>21</v>
      </c>
      <c r="D86" s="3">
        <f t="shared" si="7"/>
        <v>2.2323714692135743</v>
      </c>
      <c r="E86" s="3">
        <f t="shared" si="8"/>
        <v>9.1329999999999988E-3</v>
      </c>
      <c r="F86" s="3" t="e">
        <f t="shared" si="9"/>
        <v>#N/A</v>
      </c>
      <c r="G86" s="3" t="e">
        <f t="shared" si="10"/>
        <v>#N/A</v>
      </c>
      <c r="H86" s="3" t="e">
        <f t="shared" si="11"/>
        <v>#N/A</v>
      </c>
      <c r="I86" s="3" t="e">
        <f t="shared" si="12"/>
        <v>#N/A</v>
      </c>
      <c r="J86" s="3">
        <v>2232.3714692135745</v>
      </c>
      <c r="K86" s="3">
        <v>9.1329999999999991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>
        <f>E86*(VLOOKUP(B86,Price_data!A$1:B$190,2,FALSE))</f>
        <v>0.6597364946256199</v>
      </c>
      <c r="Q86" s="3" t="e">
        <f>G86*(VLOOKUP(B86,Price_data!A$1:B$190,2,FALSE))</f>
        <v>#N/A</v>
      </c>
      <c r="R86" s="3" t="e">
        <f>I86*(VLOOKUP(B86,Price_data!A$1:B$190,2,FALSE))</f>
        <v>#N/A</v>
      </c>
      <c r="S86" s="4" t="str">
        <f>(VLOOKUP(B86,Price_data!A$1:C$190,3,FALSE))</f>
        <v>Open access</v>
      </c>
      <c r="T86" s="2" t="str">
        <f>IF(C86="Total", (VLOOKUP(B86,Recommended_fish_intake!A$4:D$122,4,FALSE)), "NA")</f>
        <v>NA</v>
      </c>
      <c r="U86" s="2" t="str">
        <f t="shared" si="13"/>
        <v>NA</v>
      </c>
    </row>
    <row r="87" spans="1:21" ht="14.25" customHeight="1">
      <c r="A87" s="2" t="s">
        <v>18</v>
      </c>
      <c r="B87" s="2">
        <v>1906</v>
      </c>
      <c r="C87" s="2" t="s">
        <v>22</v>
      </c>
      <c r="D87" s="3">
        <f t="shared" si="7"/>
        <v>97.082097134728713</v>
      </c>
      <c r="E87" s="3">
        <f t="shared" si="8"/>
        <v>1.1174860000000002</v>
      </c>
      <c r="F87" s="3" t="e">
        <f t="shared" si="9"/>
        <v>#N/A</v>
      </c>
      <c r="G87" s="3" t="e">
        <f t="shared" si="10"/>
        <v>#N/A</v>
      </c>
      <c r="H87" s="3" t="e">
        <f t="shared" si="11"/>
        <v>#N/A</v>
      </c>
      <c r="I87" s="3" t="e">
        <f t="shared" si="12"/>
        <v>#N/A</v>
      </c>
      <c r="J87" s="3">
        <v>97082.097134728712</v>
      </c>
      <c r="K87" s="3">
        <v>1117.4860000000001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>
        <f>E87*(VLOOKUP(B87,Price_data!A$1:B$190,2,FALSE))</f>
        <v>80.723343527122054</v>
      </c>
      <c r="Q87" s="3" t="e">
        <f>G87*(VLOOKUP(B87,Price_data!A$1:B$190,2,FALSE))</f>
        <v>#N/A</v>
      </c>
      <c r="R87" s="3" t="e">
        <f>I87*(VLOOKUP(B87,Price_data!A$1:B$190,2,FALSE))</f>
        <v>#N/A</v>
      </c>
      <c r="S87" s="4" t="str">
        <f>(VLOOKUP(B87,Price_data!A$1:C$190,3,FALSE))</f>
        <v>Open access</v>
      </c>
      <c r="T87" s="2" t="str">
        <f>IF(C87="Total", (VLOOKUP(B87,Recommended_fish_intake!A$4:D$122,4,FALSE)), "NA")</f>
        <v>NA</v>
      </c>
      <c r="U87" s="2" t="str">
        <f t="shared" si="13"/>
        <v>NA</v>
      </c>
    </row>
    <row r="88" spans="1:21" ht="14.25" customHeight="1">
      <c r="A88" s="2" t="s">
        <v>18</v>
      </c>
      <c r="B88" s="2">
        <v>1906</v>
      </c>
      <c r="C88" s="2" t="s">
        <v>23</v>
      </c>
      <c r="D88" s="3">
        <f t="shared" si="7"/>
        <v>143.28510465352568</v>
      </c>
      <c r="E88" s="3">
        <f t="shared" si="8"/>
        <v>1.405368</v>
      </c>
      <c r="F88" s="3" t="e">
        <f t="shared" si="9"/>
        <v>#N/A</v>
      </c>
      <c r="G88" s="3" t="e">
        <f t="shared" si="10"/>
        <v>#N/A</v>
      </c>
      <c r="H88" s="3" t="e">
        <f t="shared" si="11"/>
        <v>#N/A</v>
      </c>
      <c r="I88" s="3" t="e">
        <f t="shared" si="12"/>
        <v>#N/A</v>
      </c>
      <c r="J88" s="3">
        <v>143285.10465352569</v>
      </c>
      <c r="K88" s="3">
        <v>1405.3679999999999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>
        <f>E88*(VLOOKUP(B88,Price_data!A$1:B$190,2,FALSE))</f>
        <v>101.51894864546351</v>
      </c>
      <c r="Q88" s="3" t="e">
        <f>G88*(VLOOKUP(B88,Price_data!A$1:B$190,2,FALSE))</f>
        <v>#N/A</v>
      </c>
      <c r="R88" s="3" t="e">
        <f>I88*(VLOOKUP(B88,Price_data!A$1:B$190,2,FALSE))</f>
        <v>#N/A</v>
      </c>
      <c r="S88" s="4" t="str">
        <f>(VLOOKUP(B88,Price_data!A$1:C$190,3,FALSE))</f>
        <v>Open access</v>
      </c>
      <c r="T88" s="2" t="str">
        <f>IF(C88="Total", (VLOOKUP(B88,Recommended_fish_intake!A$4:D$122,4,FALSE)), "NA")</f>
        <v>NA</v>
      </c>
      <c r="U88" s="2" t="str">
        <f t="shared" si="13"/>
        <v>NA</v>
      </c>
    </row>
    <row r="89" spans="1:21" ht="14.25" customHeight="1">
      <c r="A89" s="2" t="s">
        <v>18</v>
      </c>
      <c r="B89" s="2">
        <v>1906</v>
      </c>
      <c r="C89" s="2" t="s">
        <v>24</v>
      </c>
      <c r="D89" s="3">
        <f t="shared" si="7"/>
        <v>14.045722414143466</v>
      </c>
      <c r="E89" s="3">
        <f t="shared" si="8"/>
        <v>0.136932</v>
      </c>
      <c r="F89" s="3" t="e">
        <f t="shared" si="9"/>
        <v>#N/A</v>
      </c>
      <c r="G89" s="3" t="e">
        <f t="shared" si="10"/>
        <v>#N/A</v>
      </c>
      <c r="H89" s="3" t="e">
        <f t="shared" si="11"/>
        <v>#N/A</v>
      </c>
      <c r="I89" s="3" t="e">
        <f t="shared" si="12"/>
        <v>#N/A</v>
      </c>
      <c r="J89" s="3">
        <v>14045.722414143465</v>
      </c>
      <c r="K89" s="3">
        <v>136.93199999999999</v>
      </c>
      <c r="L89" s="3" t="e">
        <v>#N/A</v>
      </c>
      <c r="M89" s="3" t="e">
        <v>#N/A</v>
      </c>
      <c r="N89" s="3" t="e">
        <v>#N/A</v>
      </c>
      <c r="O89" s="3" t="e">
        <v>#N/A</v>
      </c>
      <c r="P89" s="3">
        <f>E89*(VLOOKUP(B89,Price_data!A$1:B$190,2,FALSE))</f>
        <v>9.8914965161584796</v>
      </c>
      <c r="Q89" s="3" t="e">
        <f>G89*(VLOOKUP(B89,Price_data!A$1:B$190,2,FALSE))</f>
        <v>#N/A</v>
      </c>
      <c r="R89" s="3" t="e">
        <f>I89*(VLOOKUP(B89,Price_data!A$1:B$190,2,FALSE))</f>
        <v>#N/A</v>
      </c>
      <c r="S89" s="4" t="str">
        <f>(VLOOKUP(B89,Price_data!A$1:C$190,3,FALSE))</f>
        <v>Open access</v>
      </c>
      <c r="T89" s="2" t="str">
        <f>IF(C89="Total", (VLOOKUP(B89,Recommended_fish_intake!A$4:D$122,4,FALSE)), "NA")</f>
        <v>NA</v>
      </c>
      <c r="U89" s="2" t="str">
        <f t="shared" si="13"/>
        <v>NA</v>
      </c>
    </row>
    <row r="90" spans="1:21" ht="14.25" customHeight="1">
      <c r="A90" s="2" t="s">
        <v>18</v>
      </c>
      <c r="B90" s="2">
        <v>1906</v>
      </c>
      <c r="C90" s="2" t="s">
        <v>25</v>
      </c>
      <c r="D90" s="3">
        <f t="shared" si="7"/>
        <v>43.342308473887414</v>
      </c>
      <c r="E90" s="3">
        <f t="shared" si="8"/>
        <v>0.94558000000000009</v>
      </c>
      <c r="F90" s="3" t="e">
        <f t="shared" si="9"/>
        <v>#N/A</v>
      </c>
      <c r="G90" s="3" t="e">
        <f t="shared" si="10"/>
        <v>#N/A</v>
      </c>
      <c r="H90" s="3" t="e">
        <f t="shared" si="11"/>
        <v>#N/A</v>
      </c>
      <c r="I90" s="3" t="e">
        <f t="shared" si="12"/>
        <v>#N/A</v>
      </c>
      <c r="J90" s="3">
        <v>43342.308473887417</v>
      </c>
      <c r="K90" s="3">
        <v>945.58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>
        <f>E90*(VLOOKUP(B90,Price_data!A$1:B$190,2,FALSE))</f>
        <v>68.305445591601199</v>
      </c>
      <c r="Q90" s="3" t="e">
        <f>G90*(VLOOKUP(B90,Price_data!A$1:B$190,2,FALSE))</f>
        <v>#N/A</v>
      </c>
      <c r="R90" s="3" t="e">
        <f>I90*(VLOOKUP(B90,Price_data!A$1:B$190,2,FALSE))</f>
        <v>#N/A</v>
      </c>
      <c r="S90" s="4" t="str">
        <f>(VLOOKUP(B90,Price_data!A$1:C$190,3,FALSE))</f>
        <v>Open access</v>
      </c>
      <c r="T90" s="2" t="str">
        <f>IF(C90="Total", (VLOOKUP(B90,Recommended_fish_intake!A$4:D$122,4,FALSE)), "NA")</f>
        <v>NA</v>
      </c>
      <c r="U90" s="2" t="str">
        <f t="shared" si="13"/>
        <v>NA</v>
      </c>
    </row>
    <row r="91" spans="1:21" ht="14.25" customHeight="1">
      <c r="A91" s="2" t="s">
        <v>15</v>
      </c>
      <c r="B91" s="2">
        <v>1906</v>
      </c>
      <c r="C91" s="2" t="s">
        <v>22</v>
      </c>
      <c r="D91" s="3" t="e">
        <f t="shared" si="7"/>
        <v>#N/A</v>
      </c>
      <c r="E91" s="3" t="e">
        <f t="shared" si="8"/>
        <v>#N/A</v>
      </c>
      <c r="F91" s="3" t="e">
        <f t="shared" si="9"/>
        <v>#N/A</v>
      </c>
      <c r="G91" s="3" t="e">
        <f t="shared" si="10"/>
        <v>#N/A</v>
      </c>
      <c r="H91" s="3" t="e">
        <f t="shared" si="11"/>
        <v>#N/A</v>
      </c>
      <c r="I91" s="3" t="e">
        <f t="shared" si="12"/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f>E91*(VLOOKUP(B91,Price_data!A$1:B$190,2,FALSE))</f>
        <v>#N/A</v>
      </c>
      <c r="Q91" s="3" t="e">
        <f>G91*(VLOOKUP(B91,Price_data!A$1:B$190,2,FALSE))</f>
        <v>#N/A</v>
      </c>
      <c r="R91" s="3" t="e">
        <f>I91*(VLOOKUP(B91,Price_data!A$1:B$190,2,FALSE))</f>
        <v>#N/A</v>
      </c>
      <c r="S91" s="4" t="str">
        <f>(VLOOKUP(B91,Price_data!A$1:C$190,3,FALSE))</f>
        <v>Open access</v>
      </c>
      <c r="T91" s="2" t="str">
        <f>IF(C91="Total", (VLOOKUP(B91,Recommended_fish_intake!A$4:D$122,4,FALSE)), "NA")</f>
        <v>NA</v>
      </c>
      <c r="U91" s="2" t="str">
        <f t="shared" si="13"/>
        <v>NA</v>
      </c>
    </row>
    <row r="92" spans="1:21" ht="14.25" customHeight="1">
      <c r="A92" s="2" t="s">
        <v>15</v>
      </c>
      <c r="B92" s="2">
        <v>1906</v>
      </c>
      <c r="C92" s="2" t="s">
        <v>23</v>
      </c>
      <c r="D92" s="3" t="e">
        <f t="shared" si="7"/>
        <v>#N/A</v>
      </c>
      <c r="E92" s="3" t="e">
        <f t="shared" si="8"/>
        <v>#N/A</v>
      </c>
      <c r="F92" s="3" t="e">
        <f t="shared" si="9"/>
        <v>#N/A</v>
      </c>
      <c r="G92" s="3" t="e">
        <f t="shared" si="10"/>
        <v>#N/A</v>
      </c>
      <c r="H92" s="3" t="e">
        <f t="shared" si="11"/>
        <v>#N/A</v>
      </c>
      <c r="I92" s="3" t="e">
        <f t="shared" si="12"/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f>E92*(VLOOKUP(B92,Price_data!A$1:B$190,2,FALSE))</f>
        <v>#N/A</v>
      </c>
      <c r="Q92" s="3" t="e">
        <f>G92*(VLOOKUP(B92,Price_data!A$1:B$190,2,FALSE))</f>
        <v>#N/A</v>
      </c>
      <c r="R92" s="3" t="e">
        <f>I92*(VLOOKUP(B92,Price_data!A$1:B$190,2,FALSE))</f>
        <v>#N/A</v>
      </c>
      <c r="S92" s="4" t="str">
        <f>(VLOOKUP(B92,Price_data!A$1:C$190,3,FALSE))</f>
        <v>Open access</v>
      </c>
      <c r="T92" s="2" t="str">
        <f>IF(C92="Total", (VLOOKUP(B92,Recommended_fish_intake!A$4:D$122,4,FALSE)), "NA")</f>
        <v>NA</v>
      </c>
      <c r="U92" s="2" t="str">
        <f t="shared" si="13"/>
        <v>NA</v>
      </c>
    </row>
    <row r="93" spans="1:21" ht="14.25" customHeight="1">
      <c r="A93" s="2" t="s">
        <v>15</v>
      </c>
      <c r="B93" s="2">
        <v>1906</v>
      </c>
      <c r="C93" s="2" t="s">
        <v>19</v>
      </c>
      <c r="D93" s="3" t="e">
        <f t="shared" si="7"/>
        <v>#N/A</v>
      </c>
      <c r="E93" s="3" t="e">
        <f t="shared" si="8"/>
        <v>#N/A</v>
      </c>
      <c r="F93" s="3" t="e">
        <f t="shared" si="9"/>
        <v>#N/A</v>
      </c>
      <c r="G93" s="3" t="e">
        <f t="shared" si="10"/>
        <v>#N/A</v>
      </c>
      <c r="H93" s="3" t="e">
        <f t="shared" si="11"/>
        <v>#N/A</v>
      </c>
      <c r="I93" s="3" t="e">
        <f t="shared" si="12"/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f>E93*(VLOOKUP(B93,Price_data!A$1:B$190,2,FALSE))</f>
        <v>#N/A</v>
      </c>
      <c r="Q93" s="3" t="e">
        <f>G93*(VLOOKUP(B93,Price_data!A$1:B$190,2,FALSE))</f>
        <v>#N/A</v>
      </c>
      <c r="R93" s="3" t="e">
        <f>I93*(VLOOKUP(B93,Price_data!A$1:B$190,2,FALSE))</f>
        <v>#N/A</v>
      </c>
      <c r="S93" s="4" t="str">
        <f>(VLOOKUP(B93,Price_data!A$1:C$190,3,FALSE))</f>
        <v>Open access</v>
      </c>
      <c r="T93" s="2" t="str">
        <f>IF(C93="Total", (VLOOKUP(B93,Recommended_fish_intake!A$4:D$122,4,FALSE)), "NA")</f>
        <v>NA</v>
      </c>
      <c r="U93" s="2" t="str">
        <f t="shared" si="13"/>
        <v>NA</v>
      </c>
    </row>
    <row r="94" spans="1:21" ht="14.25" customHeight="1">
      <c r="A94" s="2" t="s">
        <v>15</v>
      </c>
      <c r="B94" s="2">
        <v>1906</v>
      </c>
      <c r="C94" s="2" t="s">
        <v>28</v>
      </c>
      <c r="D94" s="3" t="e">
        <f t="shared" si="7"/>
        <v>#VALUE!</v>
      </c>
      <c r="E94" s="3" t="e">
        <f t="shared" si="8"/>
        <v>#VALUE!</v>
      </c>
      <c r="F94" s="3" t="e">
        <f t="shared" si="9"/>
        <v>#N/A</v>
      </c>
      <c r="G94" s="3" t="e">
        <f t="shared" si="10"/>
        <v>#N/A</v>
      </c>
      <c r="H94" s="3" t="e">
        <f t="shared" si="11"/>
        <v>#N/A</v>
      </c>
      <c r="I94" s="3" t="e">
        <f t="shared" si="12"/>
        <v>#N/A</v>
      </c>
      <c r="J94" s="3" t="e">
        <v>#VALUE!</v>
      </c>
      <c r="K94" s="3" t="e">
        <v>#VALUE!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f>E94*(VLOOKUP(B94,Price_data!A$1:B$190,2,FALSE))</f>
        <v>#VALUE!</v>
      </c>
      <c r="Q94" s="3" t="e">
        <f>G94*(VLOOKUP(B94,Price_data!A$1:B$190,2,FALSE))</f>
        <v>#N/A</v>
      </c>
      <c r="R94" s="3" t="e">
        <f>I94*(VLOOKUP(B94,Price_data!A$1:B$190,2,FALSE))</f>
        <v>#N/A</v>
      </c>
      <c r="S94" s="4" t="str">
        <f>(VLOOKUP(B94,Price_data!A$1:C$190,3,FALSE))</f>
        <v>Open access</v>
      </c>
      <c r="T94" s="2" t="str">
        <f>IF(C94="Total", (VLOOKUP(B94,Recommended_fish_intake!A$4:D$122,4,FALSE)), "NA")</f>
        <v>NA</v>
      </c>
      <c r="U94" s="2" t="e">
        <f t="shared" si="13"/>
        <v>#VALUE!</v>
      </c>
    </row>
    <row r="95" spans="1:21" ht="14.25" customHeight="1">
      <c r="A95" s="2" t="s">
        <v>15</v>
      </c>
      <c r="B95" s="2">
        <v>1906</v>
      </c>
      <c r="C95" s="2" t="s">
        <v>29</v>
      </c>
      <c r="D95" s="3" t="e">
        <f t="shared" si="7"/>
        <v>#VALUE!</v>
      </c>
      <c r="E95" s="3" t="e">
        <f t="shared" si="8"/>
        <v>#VALUE!</v>
      </c>
      <c r="F95" s="3" t="e">
        <f t="shared" si="9"/>
        <v>#N/A</v>
      </c>
      <c r="G95" s="3" t="e">
        <f t="shared" si="10"/>
        <v>#N/A</v>
      </c>
      <c r="H95" s="3" t="e">
        <f t="shared" si="11"/>
        <v>#N/A</v>
      </c>
      <c r="I95" s="3" t="e">
        <f t="shared" si="12"/>
        <v>#N/A</v>
      </c>
      <c r="J95" s="3" t="e">
        <v>#VALUE!</v>
      </c>
      <c r="K95" s="3" t="e">
        <v>#VALUE!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f>E95*(VLOOKUP(B95,Price_data!A$1:B$190,2,FALSE))</f>
        <v>#VALUE!</v>
      </c>
      <c r="Q95" s="3" t="e">
        <f>G95*(VLOOKUP(B95,Price_data!A$1:B$190,2,FALSE))</f>
        <v>#N/A</v>
      </c>
      <c r="R95" s="3" t="e">
        <f>I95*(VLOOKUP(B95,Price_data!A$1:B$190,2,FALSE))</f>
        <v>#N/A</v>
      </c>
      <c r="S95" s="4" t="str">
        <f>(VLOOKUP(B95,Price_data!A$1:C$190,3,FALSE))</f>
        <v>Open access</v>
      </c>
      <c r="T95" s="2" t="str">
        <f>IF(C95="Total", (VLOOKUP(B95,Recommended_fish_intake!A$4:D$122,4,FALSE)), "NA")</f>
        <v>NA</v>
      </c>
      <c r="U95" s="2" t="str">
        <f t="shared" si="13"/>
        <v>NA</v>
      </c>
    </row>
    <row r="96" spans="1:21" ht="14.25" customHeight="1">
      <c r="A96" s="2" t="s">
        <v>15</v>
      </c>
      <c r="B96" s="2">
        <v>1906</v>
      </c>
      <c r="C96" s="2" t="s">
        <v>20</v>
      </c>
      <c r="D96" s="3" t="e">
        <f t="shared" si="7"/>
        <v>#N/A</v>
      </c>
      <c r="E96" s="3" t="e">
        <f t="shared" si="8"/>
        <v>#N/A</v>
      </c>
      <c r="F96" s="3" t="e">
        <f t="shared" si="9"/>
        <v>#N/A</v>
      </c>
      <c r="G96" s="3" t="e">
        <f t="shared" si="10"/>
        <v>#N/A</v>
      </c>
      <c r="H96" s="3" t="e">
        <f t="shared" si="11"/>
        <v>#N/A</v>
      </c>
      <c r="I96" s="3" t="e">
        <f t="shared" si="12"/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f>E96*(VLOOKUP(B96,Price_data!A$1:B$190,2,FALSE))</f>
        <v>#N/A</v>
      </c>
      <c r="Q96" s="3" t="e">
        <f>G96*(VLOOKUP(B96,Price_data!A$1:B$190,2,FALSE))</f>
        <v>#N/A</v>
      </c>
      <c r="R96" s="3" t="e">
        <f>I96*(VLOOKUP(B96,Price_data!A$1:B$190,2,FALSE))</f>
        <v>#N/A</v>
      </c>
      <c r="S96" s="4" t="str">
        <f>(VLOOKUP(B96,Price_data!A$1:C$190,3,FALSE))</f>
        <v>Open access</v>
      </c>
      <c r="T96" s="2" t="str">
        <f>IF(C96="Total", (VLOOKUP(B96,Recommended_fish_intake!A$4:D$122,4,FALSE)), "NA")</f>
        <v>NA</v>
      </c>
      <c r="U96" s="2" t="str">
        <f t="shared" si="13"/>
        <v>NA</v>
      </c>
    </row>
    <row r="97" spans="1:21" ht="14.25" customHeight="1">
      <c r="A97" s="2" t="s">
        <v>15</v>
      </c>
      <c r="B97" s="2">
        <v>1906</v>
      </c>
      <c r="C97" s="2" t="s">
        <v>25</v>
      </c>
      <c r="D97" s="3" t="e">
        <f t="shared" si="7"/>
        <v>#N/A</v>
      </c>
      <c r="E97" s="3" t="e">
        <f t="shared" si="8"/>
        <v>#N/A</v>
      </c>
      <c r="F97" s="3" t="e">
        <f t="shared" si="9"/>
        <v>#N/A</v>
      </c>
      <c r="G97" s="3" t="e">
        <f t="shared" si="10"/>
        <v>#N/A</v>
      </c>
      <c r="H97" s="3" t="e">
        <f t="shared" si="11"/>
        <v>#N/A</v>
      </c>
      <c r="I97" s="3" t="e">
        <f t="shared" si="12"/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f>E97*(VLOOKUP(B97,Price_data!A$1:B$190,2,FALSE))</f>
        <v>#N/A</v>
      </c>
      <c r="Q97" s="3" t="e">
        <f>G97*(VLOOKUP(B97,Price_data!A$1:B$190,2,FALSE))</f>
        <v>#N/A</v>
      </c>
      <c r="R97" s="3" t="e">
        <f>I97*(VLOOKUP(B97,Price_data!A$1:B$190,2,FALSE))</f>
        <v>#N/A</v>
      </c>
      <c r="S97" s="4" t="str">
        <f>(VLOOKUP(B97,Price_data!A$1:C$190,3,FALSE))</f>
        <v>Open access</v>
      </c>
      <c r="T97" s="2" t="str">
        <f>IF(C97="Total", (VLOOKUP(B97,Recommended_fish_intake!A$4:D$122,4,FALSE)), "NA")</f>
        <v>NA</v>
      </c>
      <c r="U97" s="2" t="str">
        <f t="shared" si="13"/>
        <v>NA</v>
      </c>
    </row>
    <row r="98" spans="1:21" ht="14.25" customHeight="1">
      <c r="A98" s="2" t="s">
        <v>15</v>
      </c>
      <c r="B98" s="2">
        <v>1906</v>
      </c>
      <c r="C98" s="2" t="s">
        <v>24</v>
      </c>
      <c r="D98" s="3" t="e">
        <f t="shared" si="7"/>
        <v>#N/A</v>
      </c>
      <c r="E98" s="3" t="e">
        <f t="shared" si="8"/>
        <v>#N/A</v>
      </c>
      <c r="F98" s="3" t="e">
        <f t="shared" si="9"/>
        <v>#N/A</v>
      </c>
      <c r="G98" s="3" t="e">
        <f t="shared" si="10"/>
        <v>#N/A</v>
      </c>
      <c r="H98" s="3" t="e">
        <f t="shared" si="11"/>
        <v>#N/A</v>
      </c>
      <c r="I98" s="3" t="e">
        <f t="shared" si="12"/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 t="e">
        <v>#N/A</v>
      </c>
      <c r="O98" s="3" t="e">
        <v>#N/A</v>
      </c>
      <c r="P98" s="3" t="e">
        <f>E98*(VLOOKUP(B98,Price_data!A$1:B$190,2,FALSE))</f>
        <v>#N/A</v>
      </c>
      <c r="Q98" s="3" t="e">
        <f>G98*(VLOOKUP(B98,Price_data!A$1:B$190,2,FALSE))</f>
        <v>#N/A</v>
      </c>
      <c r="R98" s="3" t="e">
        <f>I98*(VLOOKUP(B98,Price_data!A$1:B$190,2,FALSE))</f>
        <v>#N/A</v>
      </c>
      <c r="S98" s="4" t="str">
        <f>(VLOOKUP(B98,Price_data!A$1:C$190,3,FALSE))</f>
        <v>Open access</v>
      </c>
      <c r="T98" s="2" t="str">
        <f>IF(C98="Total", (VLOOKUP(B98,Recommended_fish_intake!A$4:D$122,4,FALSE)), "NA")</f>
        <v>NA</v>
      </c>
      <c r="U98" s="2" t="str">
        <f t="shared" si="13"/>
        <v>NA</v>
      </c>
    </row>
    <row r="99" spans="1:21" ht="14.25" customHeight="1">
      <c r="A99" s="2" t="s">
        <v>15</v>
      </c>
      <c r="B99" s="2">
        <v>1906</v>
      </c>
      <c r="C99" s="2" t="s">
        <v>30</v>
      </c>
      <c r="D99" s="3" t="e">
        <f t="shared" si="7"/>
        <v>#N/A</v>
      </c>
      <c r="E99" s="3" t="e">
        <f t="shared" si="8"/>
        <v>#N/A</v>
      </c>
      <c r="F99" s="3" t="e">
        <f t="shared" si="9"/>
        <v>#N/A</v>
      </c>
      <c r="G99" s="3" t="e">
        <f t="shared" si="10"/>
        <v>#N/A</v>
      </c>
      <c r="H99" s="3" t="e">
        <f t="shared" si="11"/>
        <v>#N/A</v>
      </c>
      <c r="I99" s="3" t="e">
        <f t="shared" si="12"/>
        <v>#N/A</v>
      </c>
      <c r="J99" s="3" t="e">
        <v>#N/A</v>
      </c>
      <c r="K99" s="3" t="e">
        <v>#N/A</v>
      </c>
      <c r="L99" s="3" t="e">
        <v>#N/A</v>
      </c>
      <c r="M99" s="3" t="e">
        <v>#N/A</v>
      </c>
      <c r="N99" s="3" t="e">
        <v>#N/A</v>
      </c>
      <c r="O99" s="3" t="e">
        <v>#N/A</v>
      </c>
      <c r="P99" s="3" t="e">
        <f>E99*(VLOOKUP(B99,Price_data!A$1:B$190,2,FALSE))</f>
        <v>#N/A</v>
      </c>
      <c r="Q99" s="3" t="e">
        <f>G99*(VLOOKUP(B99,Price_data!A$1:B$190,2,FALSE))</f>
        <v>#N/A</v>
      </c>
      <c r="R99" s="3" t="e">
        <f>I99*(VLOOKUP(B99,Price_data!A$1:B$190,2,FALSE))</f>
        <v>#N/A</v>
      </c>
      <c r="S99" s="4" t="str">
        <f>(VLOOKUP(B99,Price_data!A$1:C$190,3,FALSE))</f>
        <v>Open access</v>
      </c>
      <c r="T99" s="2" t="str">
        <f>IF(C99="Total", (VLOOKUP(B99,Recommended_fish_intake!A$4:D$122,4,FALSE)), "NA")</f>
        <v>NA</v>
      </c>
      <c r="U99" s="2" t="str">
        <f t="shared" si="13"/>
        <v>NA</v>
      </c>
    </row>
    <row r="100" spans="1:21" ht="14.25" customHeight="1">
      <c r="A100" s="2" t="s">
        <v>15</v>
      </c>
      <c r="B100" s="2">
        <v>1907</v>
      </c>
      <c r="C100" s="2" t="s">
        <v>16</v>
      </c>
      <c r="D100" s="3">
        <f t="shared" si="7"/>
        <v>1204.5501422475106</v>
      </c>
      <c r="E100" s="3">
        <f t="shared" si="8"/>
        <v>11.717816000000001</v>
      </c>
      <c r="F100" s="3">
        <f t="shared" si="9"/>
        <v>486.3540438935176</v>
      </c>
      <c r="G100" s="3">
        <f t="shared" si="10"/>
        <v>5.138223</v>
      </c>
      <c r="H100" s="3">
        <f t="shared" si="11"/>
        <v>127.49644381223328</v>
      </c>
      <c r="I100" s="3">
        <f t="shared" si="12"/>
        <v>2.8603730000000001</v>
      </c>
      <c r="J100" s="3">
        <v>1204550.1422475106</v>
      </c>
      <c r="K100" s="3">
        <v>11717.816000000001</v>
      </c>
      <c r="L100" s="3">
        <v>486354.04389351758</v>
      </c>
      <c r="M100" s="3">
        <v>5138.223</v>
      </c>
      <c r="N100" s="3">
        <v>127496.44381223328</v>
      </c>
      <c r="O100" s="3">
        <v>2860.373</v>
      </c>
      <c r="P100" s="3">
        <f>E100*(VLOOKUP(B100,Price_data!A$1:B$190,2,FALSE))</f>
        <v>837.44987119131986</v>
      </c>
      <c r="Q100" s="3">
        <f>G100*(VLOOKUP(B100,Price_data!A$1:B$190,2,FALSE))</f>
        <v>367.21895867815954</v>
      </c>
      <c r="R100" s="3">
        <f>I100*(VLOOKUP(B100,Price_data!A$1:B$190,2,FALSE))</f>
        <v>204.42538101034606</v>
      </c>
      <c r="S100" s="4" t="str">
        <f>(VLOOKUP(B100,Price_data!A$1:C$190,3,FALSE))</f>
        <v>Open access</v>
      </c>
      <c r="T100" s="2">
        <f>IF(C100="Total", (VLOOKUP(B100,Recommended_fish_intake!A$4:D$122,4,FALSE)), "NA")</f>
        <v>572.95404293055299</v>
      </c>
      <c r="U100" s="2" t="str">
        <f t="shared" si="13"/>
        <v>NA</v>
      </c>
    </row>
    <row r="101" spans="1:21" ht="14.25" customHeight="1">
      <c r="A101" s="2" t="s">
        <v>18</v>
      </c>
      <c r="B101" s="2">
        <v>1907</v>
      </c>
      <c r="C101" s="2" t="s">
        <v>19</v>
      </c>
      <c r="D101" s="3">
        <f t="shared" si="7"/>
        <v>225.54125177809385</v>
      </c>
      <c r="E101" s="3">
        <f t="shared" si="8"/>
        <v>1.125918</v>
      </c>
      <c r="F101" s="3" t="e">
        <f t="shared" si="9"/>
        <v>#N/A</v>
      </c>
      <c r="G101" s="3" t="e">
        <f t="shared" si="10"/>
        <v>#N/A</v>
      </c>
      <c r="H101" s="3" t="e">
        <f t="shared" si="11"/>
        <v>#N/A</v>
      </c>
      <c r="I101" s="3" t="e">
        <f t="shared" si="12"/>
        <v>#N/A</v>
      </c>
      <c r="J101" s="3">
        <v>225541.25177809387</v>
      </c>
      <c r="K101" s="3">
        <v>1125.9179999999999</v>
      </c>
      <c r="L101" s="3" t="e">
        <v>#N/A</v>
      </c>
      <c r="M101" s="3" t="e">
        <v>#N/A</v>
      </c>
      <c r="N101" s="3" t="e">
        <v>#N/A</v>
      </c>
      <c r="O101" s="3" t="e">
        <v>#N/A</v>
      </c>
      <c r="P101" s="3">
        <f>E101*(VLOOKUP(B101,Price_data!A$1:B$190,2,FALSE))</f>
        <v>80.467203450880987</v>
      </c>
      <c r="Q101" s="3" t="e">
        <f>G101*(VLOOKUP(B101,Price_data!A$1:B$190,2,FALSE))</f>
        <v>#N/A</v>
      </c>
      <c r="R101" s="3" t="e">
        <f>I101*(VLOOKUP(B101,Price_data!A$1:B$190,2,FALSE))</f>
        <v>#N/A</v>
      </c>
      <c r="S101" s="4" t="str">
        <f>(VLOOKUP(B101,Price_data!A$1:C$190,3,FALSE))</f>
        <v>Open access</v>
      </c>
      <c r="T101" s="2" t="str">
        <f>IF(C101="Total", (VLOOKUP(B101,Recommended_fish_intake!A$4:D$122,4,FALSE)), "NA")</f>
        <v>NA</v>
      </c>
      <c r="U101" s="2" t="str">
        <f t="shared" si="13"/>
        <v>NA</v>
      </c>
    </row>
    <row r="102" spans="1:21" ht="14.25" customHeight="1">
      <c r="A102" s="2" t="s">
        <v>18</v>
      </c>
      <c r="B102" s="2">
        <v>1907</v>
      </c>
      <c r="C102" s="2" t="s">
        <v>20</v>
      </c>
      <c r="D102" s="3">
        <f t="shared" si="7"/>
        <v>21.298110140215403</v>
      </c>
      <c r="E102" s="3">
        <f t="shared" si="8"/>
        <v>0.18690100000000001</v>
      </c>
      <c r="F102" s="3" t="e">
        <f t="shared" si="9"/>
        <v>#N/A</v>
      </c>
      <c r="G102" s="3" t="e">
        <f t="shared" si="10"/>
        <v>#N/A</v>
      </c>
      <c r="H102" s="3" t="e">
        <f t="shared" si="11"/>
        <v>#N/A</v>
      </c>
      <c r="I102" s="3" t="e">
        <f t="shared" si="12"/>
        <v>#N/A</v>
      </c>
      <c r="J102" s="3">
        <v>21298.110140215402</v>
      </c>
      <c r="K102" s="3">
        <v>186.90100000000001</v>
      </c>
      <c r="L102" s="3" t="e">
        <v>#N/A</v>
      </c>
      <c r="M102" s="3" t="e">
        <v>#N/A</v>
      </c>
      <c r="N102" s="3" t="e">
        <v>#N/A</v>
      </c>
      <c r="O102" s="3" t="e">
        <v>#N/A</v>
      </c>
      <c r="P102" s="3">
        <f>E102*(VLOOKUP(B102,Price_data!A$1:B$190,2,FALSE))</f>
        <v>13.357456575144111</v>
      </c>
      <c r="Q102" s="3" t="e">
        <f>G102*(VLOOKUP(B102,Price_data!A$1:B$190,2,FALSE))</f>
        <v>#N/A</v>
      </c>
      <c r="R102" s="3" t="e">
        <f>I102*(VLOOKUP(B102,Price_data!A$1:B$190,2,FALSE))</f>
        <v>#N/A</v>
      </c>
      <c r="S102" s="4" t="str">
        <f>(VLOOKUP(B102,Price_data!A$1:C$190,3,FALSE))</f>
        <v>Open access</v>
      </c>
      <c r="T102" s="2" t="str">
        <f>IF(C102="Total", (VLOOKUP(B102,Recommended_fish_intake!A$4:D$122,4,FALSE)), "NA")</f>
        <v>NA</v>
      </c>
      <c r="U102" s="2" t="str">
        <f t="shared" si="13"/>
        <v>NA</v>
      </c>
    </row>
    <row r="103" spans="1:21" ht="14.25" customHeight="1">
      <c r="A103" s="2" t="s">
        <v>18</v>
      </c>
      <c r="B103" s="2">
        <v>1907</v>
      </c>
      <c r="C103" s="2" t="s">
        <v>21</v>
      </c>
      <c r="D103" s="3">
        <f t="shared" si="7"/>
        <v>1.9924812030075185</v>
      </c>
      <c r="E103" s="3">
        <f t="shared" si="8"/>
        <v>9.5350000000000001E-3</v>
      </c>
      <c r="F103" s="3" t="e">
        <f t="shared" si="9"/>
        <v>#N/A</v>
      </c>
      <c r="G103" s="3" t="e">
        <f t="shared" si="10"/>
        <v>#N/A</v>
      </c>
      <c r="H103" s="3" t="e">
        <f t="shared" si="11"/>
        <v>#N/A</v>
      </c>
      <c r="I103" s="3" t="e">
        <f t="shared" si="12"/>
        <v>#N/A</v>
      </c>
      <c r="J103" s="3">
        <v>1992.4812030075186</v>
      </c>
      <c r="K103" s="3">
        <v>9.5350000000000001</v>
      </c>
      <c r="L103" s="3" t="e">
        <v>#N/A</v>
      </c>
      <c r="M103" s="3" t="e">
        <v>#N/A</v>
      </c>
      <c r="N103" s="3" t="e">
        <v>#N/A</v>
      </c>
      <c r="O103" s="3" t="e">
        <v>#N/A</v>
      </c>
      <c r="P103" s="3">
        <f>E103*(VLOOKUP(B103,Price_data!A$1:B$190,2,FALSE))</f>
        <v>0.68144819152385006</v>
      </c>
      <c r="Q103" s="3" t="e">
        <f>G103*(VLOOKUP(B103,Price_data!A$1:B$190,2,FALSE))</f>
        <v>#N/A</v>
      </c>
      <c r="R103" s="3" t="e">
        <f>I103*(VLOOKUP(B103,Price_data!A$1:B$190,2,FALSE))</f>
        <v>#N/A</v>
      </c>
      <c r="S103" s="4" t="str">
        <f>(VLOOKUP(B103,Price_data!A$1:C$190,3,FALSE))</f>
        <v>Open access</v>
      </c>
      <c r="T103" s="2" t="str">
        <f>IF(C103="Total", (VLOOKUP(B103,Recommended_fish_intake!A$4:D$122,4,FALSE)), "NA")</f>
        <v>NA</v>
      </c>
      <c r="U103" s="2" t="str">
        <f t="shared" si="13"/>
        <v>NA</v>
      </c>
    </row>
    <row r="104" spans="1:21" ht="14.25" customHeight="1">
      <c r="A104" s="2" t="s">
        <v>18</v>
      </c>
      <c r="B104" s="2">
        <v>1907</v>
      </c>
      <c r="C104" s="2" t="s">
        <v>22</v>
      </c>
      <c r="D104" s="3">
        <f t="shared" si="7"/>
        <v>98.96199959357854</v>
      </c>
      <c r="E104" s="3">
        <f t="shared" si="8"/>
        <v>1.2246440000000001</v>
      </c>
      <c r="F104" s="3" t="e">
        <f t="shared" si="9"/>
        <v>#N/A</v>
      </c>
      <c r="G104" s="3" t="e">
        <f t="shared" si="10"/>
        <v>#N/A</v>
      </c>
      <c r="H104" s="3" t="e">
        <f t="shared" si="11"/>
        <v>#N/A</v>
      </c>
      <c r="I104" s="3" t="e">
        <f t="shared" si="12"/>
        <v>#N/A</v>
      </c>
      <c r="J104" s="3">
        <v>98961.999593578541</v>
      </c>
      <c r="K104" s="3">
        <v>1224.644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>
        <f>E104*(VLOOKUP(B104,Price_data!A$1:B$190,2,FALSE))</f>
        <v>87.522961621450847</v>
      </c>
      <c r="Q104" s="3" t="e">
        <f>G104*(VLOOKUP(B104,Price_data!A$1:B$190,2,FALSE))</f>
        <v>#N/A</v>
      </c>
      <c r="R104" s="3" t="e">
        <f>I104*(VLOOKUP(B104,Price_data!A$1:B$190,2,FALSE))</f>
        <v>#N/A</v>
      </c>
      <c r="S104" s="4" t="str">
        <f>(VLOOKUP(B104,Price_data!A$1:C$190,3,FALSE))</f>
        <v>Open access</v>
      </c>
      <c r="T104" s="2" t="str">
        <f>IF(C104="Total", (VLOOKUP(B104,Recommended_fish_intake!A$4:D$122,4,FALSE)), "NA")</f>
        <v>NA</v>
      </c>
      <c r="U104" s="2" t="str">
        <f t="shared" si="13"/>
        <v>NA</v>
      </c>
    </row>
    <row r="105" spans="1:21" ht="14.25" customHeight="1">
      <c r="A105" s="2" t="s">
        <v>18</v>
      </c>
      <c r="B105" s="2">
        <v>1907</v>
      </c>
      <c r="C105" s="2" t="s">
        <v>23</v>
      </c>
      <c r="D105" s="3">
        <f t="shared" si="7"/>
        <v>145.43669985775247</v>
      </c>
      <c r="E105" s="3">
        <f t="shared" si="8"/>
        <v>1.4851210000000001</v>
      </c>
      <c r="F105" s="3" t="e">
        <f t="shared" si="9"/>
        <v>#N/A</v>
      </c>
      <c r="G105" s="3" t="e">
        <f t="shared" si="10"/>
        <v>#N/A</v>
      </c>
      <c r="H105" s="3" t="e">
        <f t="shared" si="11"/>
        <v>#N/A</v>
      </c>
      <c r="I105" s="3" t="e">
        <f t="shared" si="12"/>
        <v>#N/A</v>
      </c>
      <c r="J105" s="3">
        <v>145436.69985775248</v>
      </c>
      <c r="K105" s="3">
        <v>1485.1210000000001</v>
      </c>
      <c r="L105" s="3" t="e">
        <v>#N/A</v>
      </c>
      <c r="M105" s="3" t="e">
        <v>#N/A</v>
      </c>
      <c r="N105" s="3" t="e">
        <v>#N/A</v>
      </c>
      <c r="O105" s="3" t="e">
        <v>#N/A</v>
      </c>
      <c r="P105" s="3">
        <f>E105*(VLOOKUP(B105,Price_data!A$1:B$190,2,FALSE))</f>
        <v>106.13875402664833</v>
      </c>
      <c r="Q105" s="3" t="e">
        <f>G105*(VLOOKUP(B105,Price_data!A$1:B$190,2,FALSE))</f>
        <v>#N/A</v>
      </c>
      <c r="R105" s="3" t="e">
        <f>I105*(VLOOKUP(B105,Price_data!A$1:B$190,2,FALSE))</f>
        <v>#N/A</v>
      </c>
      <c r="S105" s="4" t="str">
        <f>(VLOOKUP(B105,Price_data!A$1:C$190,3,FALSE))</f>
        <v>Open access</v>
      </c>
      <c r="T105" s="2" t="str">
        <f>IF(C105="Total", (VLOOKUP(B105,Recommended_fish_intake!A$4:D$122,4,FALSE)), "NA")</f>
        <v>NA</v>
      </c>
      <c r="U105" s="2" t="str">
        <f t="shared" si="13"/>
        <v>NA</v>
      </c>
    </row>
    <row r="106" spans="1:21" ht="14.25" customHeight="1">
      <c r="A106" s="2" t="s">
        <v>18</v>
      </c>
      <c r="B106" s="2">
        <v>1907</v>
      </c>
      <c r="C106" s="2" t="s">
        <v>24</v>
      </c>
      <c r="D106" s="3">
        <f t="shared" si="7"/>
        <v>13.08484047957732</v>
      </c>
      <c r="E106" s="3">
        <f t="shared" si="8"/>
        <v>0.12203899999999999</v>
      </c>
      <c r="F106" s="3" t="e">
        <f t="shared" si="9"/>
        <v>#N/A</v>
      </c>
      <c r="G106" s="3" t="e">
        <f t="shared" si="10"/>
        <v>#N/A</v>
      </c>
      <c r="H106" s="3" t="e">
        <f t="shared" si="11"/>
        <v>#N/A</v>
      </c>
      <c r="I106" s="3" t="e">
        <f t="shared" si="12"/>
        <v>#N/A</v>
      </c>
      <c r="J106" s="3">
        <v>13084.84047957732</v>
      </c>
      <c r="K106" s="3">
        <v>122.039</v>
      </c>
      <c r="L106" s="3" t="e">
        <v>#N/A</v>
      </c>
      <c r="M106" s="3" t="e">
        <v>#N/A</v>
      </c>
      <c r="N106" s="3" t="e">
        <v>#N/A</v>
      </c>
      <c r="O106" s="3" t="e">
        <v>#N/A</v>
      </c>
      <c r="P106" s="3">
        <f>E106*(VLOOKUP(B106,Price_data!A$1:B$190,2,FALSE))</f>
        <v>8.7218936387392905</v>
      </c>
      <c r="Q106" s="3" t="e">
        <f>G106*(VLOOKUP(B106,Price_data!A$1:B$190,2,FALSE))</f>
        <v>#N/A</v>
      </c>
      <c r="R106" s="3" t="e">
        <f>I106*(VLOOKUP(B106,Price_data!A$1:B$190,2,FALSE))</f>
        <v>#N/A</v>
      </c>
      <c r="S106" s="4" t="str">
        <f>(VLOOKUP(B106,Price_data!A$1:C$190,3,FALSE))</f>
        <v>Open access</v>
      </c>
      <c r="T106" s="2" t="str">
        <f>IF(C106="Total", (VLOOKUP(B106,Recommended_fish_intake!A$4:D$122,4,FALSE)), "NA")</f>
        <v>NA</v>
      </c>
      <c r="U106" s="2" t="str">
        <f t="shared" si="13"/>
        <v>NA</v>
      </c>
    </row>
    <row r="107" spans="1:21" ht="14.25" customHeight="1">
      <c r="A107" s="2" t="s">
        <v>18</v>
      </c>
      <c r="B107" s="2">
        <v>1907</v>
      </c>
      <c r="C107" s="2" t="s">
        <v>25</v>
      </c>
      <c r="D107" s="3">
        <f t="shared" si="7"/>
        <v>49.07757569599675</v>
      </c>
      <c r="E107" s="3">
        <f t="shared" si="8"/>
        <v>0.95184400000000002</v>
      </c>
      <c r="F107" s="3" t="e">
        <f t="shared" si="9"/>
        <v>#N/A</v>
      </c>
      <c r="G107" s="3" t="e">
        <f t="shared" si="10"/>
        <v>#N/A</v>
      </c>
      <c r="H107" s="3" t="e">
        <f t="shared" si="11"/>
        <v>#N/A</v>
      </c>
      <c r="I107" s="3" t="e">
        <f t="shared" si="12"/>
        <v>#N/A</v>
      </c>
      <c r="J107" s="3">
        <v>49077.575695996748</v>
      </c>
      <c r="K107" s="3">
        <v>951.84400000000005</v>
      </c>
      <c r="L107" s="3" t="e">
        <v>#N/A</v>
      </c>
      <c r="M107" s="3" t="e">
        <v>#N/A</v>
      </c>
      <c r="N107" s="3" t="e">
        <v>#N/A</v>
      </c>
      <c r="O107" s="3" t="e">
        <v>#N/A</v>
      </c>
      <c r="P107" s="3">
        <f>E107*(VLOOKUP(B107,Price_data!A$1:B$190,2,FALSE))</f>
        <v>68.026468003442844</v>
      </c>
      <c r="Q107" s="3" t="e">
        <f>G107*(VLOOKUP(B107,Price_data!A$1:B$190,2,FALSE))</f>
        <v>#N/A</v>
      </c>
      <c r="R107" s="3" t="e">
        <f>I107*(VLOOKUP(B107,Price_data!A$1:B$190,2,FALSE))</f>
        <v>#N/A</v>
      </c>
      <c r="S107" s="4" t="str">
        <f>(VLOOKUP(B107,Price_data!A$1:C$190,3,FALSE))</f>
        <v>Open access</v>
      </c>
      <c r="T107" s="2" t="str">
        <f>IF(C107="Total", (VLOOKUP(B107,Recommended_fish_intake!A$4:D$122,4,FALSE)), "NA")</f>
        <v>NA</v>
      </c>
      <c r="U107" s="2" t="str">
        <f t="shared" si="13"/>
        <v>NA</v>
      </c>
    </row>
    <row r="108" spans="1:21" ht="14.25" customHeight="1">
      <c r="A108" s="2" t="s">
        <v>15</v>
      </c>
      <c r="B108" s="2">
        <v>1907</v>
      </c>
      <c r="C108" s="2" t="s">
        <v>22</v>
      </c>
      <c r="D108" s="3" t="e">
        <f t="shared" si="7"/>
        <v>#N/A</v>
      </c>
      <c r="E108" s="3" t="e">
        <f t="shared" si="8"/>
        <v>#N/A</v>
      </c>
      <c r="F108" s="3" t="e">
        <f t="shared" si="9"/>
        <v>#N/A</v>
      </c>
      <c r="G108" s="3" t="e">
        <f t="shared" si="10"/>
        <v>#N/A</v>
      </c>
      <c r="H108" s="3" t="e">
        <f t="shared" si="11"/>
        <v>#N/A</v>
      </c>
      <c r="I108" s="3" t="e">
        <f t="shared" si="12"/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f>E108*(VLOOKUP(B108,Price_data!A$1:B$190,2,FALSE))</f>
        <v>#N/A</v>
      </c>
      <c r="Q108" s="3" t="e">
        <f>G108*(VLOOKUP(B108,Price_data!A$1:B$190,2,FALSE))</f>
        <v>#N/A</v>
      </c>
      <c r="R108" s="3" t="e">
        <f>I108*(VLOOKUP(B108,Price_data!A$1:B$190,2,FALSE))</f>
        <v>#N/A</v>
      </c>
      <c r="S108" s="4" t="str">
        <f>(VLOOKUP(B108,Price_data!A$1:C$190,3,FALSE))</f>
        <v>Open access</v>
      </c>
      <c r="T108" s="2" t="str">
        <f>IF(C108="Total", (VLOOKUP(B108,Recommended_fish_intake!A$4:D$122,4,FALSE)), "NA")</f>
        <v>NA</v>
      </c>
      <c r="U108" s="2" t="str">
        <f t="shared" si="13"/>
        <v>NA</v>
      </c>
    </row>
    <row r="109" spans="1:21" ht="14.25" customHeight="1">
      <c r="A109" s="2" t="s">
        <v>15</v>
      </c>
      <c r="B109" s="2">
        <v>1907</v>
      </c>
      <c r="C109" s="2" t="s">
        <v>23</v>
      </c>
      <c r="D109" s="3" t="e">
        <f t="shared" si="7"/>
        <v>#N/A</v>
      </c>
      <c r="E109" s="3" t="e">
        <f t="shared" si="8"/>
        <v>#N/A</v>
      </c>
      <c r="F109" s="3" t="e">
        <f t="shared" si="9"/>
        <v>#N/A</v>
      </c>
      <c r="G109" s="3" t="e">
        <f t="shared" si="10"/>
        <v>#N/A</v>
      </c>
      <c r="H109" s="3" t="e">
        <f t="shared" si="11"/>
        <v>#N/A</v>
      </c>
      <c r="I109" s="3" t="e">
        <f t="shared" si="12"/>
        <v>#N/A</v>
      </c>
      <c r="J109" s="3" t="e">
        <v>#N/A</v>
      </c>
      <c r="K109" s="3" t="e">
        <v>#N/A</v>
      </c>
      <c r="L109" s="3" t="e">
        <v>#N/A</v>
      </c>
      <c r="M109" s="3" t="e">
        <v>#N/A</v>
      </c>
      <c r="N109" s="3" t="e">
        <v>#N/A</v>
      </c>
      <c r="O109" s="3" t="e">
        <v>#N/A</v>
      </c>
      <c r="P109" s="3" t="e">
        <f>E109*(VLOOKUP(B109,Price_data!A$1:B$190,2,FALSE))</f>
        <v>#N/A</v>
      </c>
      <c r="Q109" s="3" t="e">
        <f>G109*(VLOOKUP(B109,Price_data!A$1:B$190,2,FALSE))</f>
        <v>#N/A</v>
      </c>
      <c r="R109" s="3" t="e">
        <f>I109*(VLOOKUP(B109,Price_data!A$1:B$190,2,FALSE))</f>
        <v>#N/A</v>
      </c>
      <c r="S109" s="4" t="str">
        <f>(VLOOKUP(B109,Price_data!A$1:C$190,3,FALSE))</f>
        <v>Open access</v>
      </c>
      <c r="T109" s="2" t="str">
        <f>IF(C109="Total", (VLOOKUP(B109,Recommended_fish_intake!A$4:D$122,4,FALSE)), "NA")</f>
        <v>NA</v>
      </c>
      <c r="U109" s="2" t="str">
        <f t="shared" si="13"/>
        <v>NA</v>
      </c>
    </row>
    <row r="110" spans="1:21" ht="14.25" customHeight="1">
      <c r="A110" s="2" t="s">
        <v>15</v>
      </c>
      <c r="B110" s="2">
        <v>1907</v>
      </c>
      <c r="C110" s="2" t="s">
        <v>19</v>
      </c>
      <c r="D110" s="3" t="e">
        <f t="shared" si="7"/>
        <v>#N/A</v>
      </c>
      <c r="E110" s="3" t="e">
        <f t="shared" si="8"/>
        <v>#N/A</v>
      </c>
      <c r="F110" s="3" t="e">
        <f t="shared" si="9"/>
        <v>#N/A</v>
      </c>
      <c r="G110" s="3" t="e">
        <f t="shared" si="10"/>
        <v>#N/A</v>
      </c>
      <c r="H110" s="3" t="e">
        <f t="shared" si="11"/>
        <v>#N/A</v>
      </c>
      <c r="I110" s="3" t="e">
        <f t="shared" si="12"/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 t="e">
        <v>#N/A</v>
      </c>
      <c r="O110" s="3" t="e">
        <v>#N/A</v>
      </c>
      <c r="P110" s="3" t="e">
        <f>E110*(VLOOKUP(B110,Price_data!A$1:B$190,2,FALSE))</f>
        <v>#N/A</v>
      </c>
      <c r="Q110" s="3" t="e">
        <f>G110*(VLOOKUP(B110,Price_data!A$1:B$190,2,FALSE))</f>
        <v>#N/A</v>
      </c>
      <c r="R110" s="3" t="e">
        <f>I110*(VLOOKUP(B110,Price_data!A$1:B$190,2,FALSE))</f>
        <v>#N/A</v>
      </c>
      <c r="S110" s="4" t="str">
        <f>(VLOOKUP(B110,Price_data!A$1:C$190,3,FALSE))</f>
        <v>Open access</v>
      </c>
      <c r="T110" s="2" t="str">
        <f>IF(C110="Total", (VLOOKUP(B110,Recommended_fish_intake!A$4:D$122,4,FALSE)), "NA")</f>
        <v>NA</v>
      </c>
      <c r="U110" s="2" t="str">
        <f t="shared" si="13"/>
        <v>NA</v>
      </c>
    </row>
    <row r="111" spans="1:21" ht="14.25" customHeight="1">
      <c r="A111" s="2" t="s">
        <v>15</v>
      </c>
      <c r="B111" s="2">
        <v>1907</v>
      </c>
      <c r="C111" s="2" t="s">
        <v>28</v>
      </c>
      <c r="D111" s="3" t="e">
        <f t="shared" si="7"/>
        <v>#VALUE!</v>
      </c>
      <c r="E111" s="3" t="e">
        <f t="shared" si="8"/>
        <v>#VALUE!</v>
      </c>
      <c r="F111" s="3" t="e">
        <f t="shared" si="9"/>
        <v>#N/A</v>
      </c>
      <c r="G111" s="3" t="e">
        <f t="shared" si="10"/>
        <v>#N/A</v>
      </c>
      <c r="H111" s="3" t="e">
        <f t="shared" si="11"/>
        <v>#N/A</v>
      </c>
      <c r="I111" s="3" t="e">
        <f t="shared" si="12"/>
        <v>#N/A</v>
      </c>
      <c r="J111" s="3" t="e">
        <v>#VALUE!</v>
      </c>
      <c r="K111" s="3" t="e">
        <v>#VALUE!</v>
      </c>
      <c r="L111" s="3" t="e">
        <v>#N/A</v>
      </c>
      <c r="M111" s="3" t="e">
        <v>#N/A</v>
      </c>
      <c r="N111" s="3" t="e">
        <v>#N/A</v>
      </c>
      <c r="O111" s="3" t="e">
        <v>#N/A</v>
      </c>
      <c r="P111" s="3" t="e">
        <f>E111*(VLOOKUP(B111,Price_data!A$1:B$190,2,FALSE))</f>
        <v>#VALUE!</v>
      </c>
      <c r="Q111" s="3" t="e">
        <f>G111*(VLOOKUP(B111,Price_data!A$1:B$190,2,FALSE))</f>
        <v>#N/A</v>
      </c>
      <c r="R111" s="3" t="e">
        <f>I111*(VLOOKUP(B111,Price_data!A$1:B$190,2,FALSE))</f>
        <v>#N/A</v>
      </c>
      <c r="S111" s="4" t="str">
        <f>(VLOOKUP(B111,Price_data!A$1:C$190,3,FALSE))</f>
        <v>Open access</v>
      </c>
      <c r="T111" s="2" t="str">
        <f>IF(C111="Total", (VLOOKUP(B111,Recommended_fish_intake!A$4:D$122,4,FALSE)), "NA")</f>
        <v>NA</v>
      </c>
      <c r="U111" s="2" t="e">
        <f t="shared" si="13"/>
        <v>#VALUE!</v>
      </c>
    </row>
    <row r="112" spans="1:21" ht="14.25" customHeight="1">
      <c r="A112" s="2" t="s">
        <v>15</v>
      </c>
      <c r="B112" s="2">
        <v>1907</v>
      </c>
      <c r="C112" s="2" t="s">
        <v>29</v>
      </c>
      <c r="D112" s="3" t="e">
        <f t="shared" si="7"/>
        <v>#VALUE!</v>
      </c>
      <c r="E112" s="3" t="e">
        <f t="shared" si="8"/>
        <v>#VALUE!</v>
      </c>
      <c r="F112" s="3" t="e">
        <f t="shared" si="9"/>
        <v>#N/A</v>
      </c>
      <c r="G112" s="3" t="e">
        <f t="shared" si="10"/>
        <v>#N/A</v>
      </c>
      <c r="H112" s="3" t="e">
        <f t="shared" si="11"/>
        <v>#N/A</v>
      </c>
      <c r="I112" s="3" t="e">
        <f t="shared" si="12"/>
        <v>#N/A</v>
      </c>
      <c r="J112" s="3" t="e">
        <v>#VALUE!</v>
      </c>
      <c r="K112" s="3" t="e">
        <v>#VALUE!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f>E112*(VLOOKUP(B112,Price_data!A$1:B$190,2,FALSE))</f>
        <v>#VALUE!</v>
      </c>
      <c r="Q112" s="3" t="e">
        <f>G112*(VLOOKUP(B112,Price_data!A$1:B$190,2,FALSE))</f>
        <v>#N/A</v>
      </c>
      <c r="R112" s="3" t="e">
        <f>I112*(VLOOKUP(B112,Price_data!A$1:B$190,2,FALSE))</f>
        <v>#N/A</v>
      </c>
      <c r="S112" s="4" t="str">
        <f>(VLOOKUP(B112,Price_data!A$1:C$190,3,FALSE))</f>
        <v>Open access</v>
      </c>
      <c r="T112" s="2" t="str">
        <f>IF(C112="Total", (VLOOKUP(B112,Recommended_fish_intake!A$4:D$122,4,FALSE)), "NA")</f>
        <v>NA</v>
      </c>
      <c r="U112" s="2" t="str">
        <f t="shared" si="13"/>
        <v>NA</v>
      </c>
    </row>
    <row r="113" spans="1:21" ht="14.25" customHeight="1">
      <c r="A113" s="2" t="s">
        <v>15</v>
      </c>
      <c r="B113" s="2">
        <v>1907</v>
      </c>
      <c r="C113" s="2" t="s">
        <v>20</v>
      </c>
      <c r="D113" s="3" t="e">
        <f t="shared" si="7"/>
        <v>#N/A</v>
      </c>
      <c r="E113" s="3" t="e">
        <f t="shared" si="8"/>
        <v>#N/A</v>
      </c>
      <c r="F113" s="3" t="e">
        <f t="shared" si="9"/>
        <v>#N/A</v>
      </c>
      <c r="G113" s="3" t="e">
        <f t="shared" si="10"/>
        <v>#N/A</v>
      </c>
      <c r="H113" s="3" t="e">
        <f t="shared" si="11"/>
        <v>#N/A</v>
      </c>
      <c r="I113" s="3" t="e">
        <f t="shared" si="12"/>
        <v>#N/A</v>
      </c>
      <c r="J113" s="3" t="e">
        <v>#N/A</v>
      </c>
      <c r="K113" s="3" t="e">
        <v>#N/A</v>
      </c>
      <c r="L113" s="3" t="e">
        <v>#N/A</v>
      </c>
      <c r="M113" s="3" t="e">
        <v>#N/A</v>
      </c>
      <c r="N113" s="3" t="e">
        <v>#N/A</v>
      </c>
      <c r="O113" s="3" t="e">
        <v>#N/A</v>
      </c>
      <c r="P113" s="3" t="e">
        <f>E113*(VLOOKUP(B113,Price_data!A$1:B$190,2,FALSE))</f>
        <v>#N/A</v>
      </c>
      <c r="Q113" s="3" t="e">
        <f>G113*(VLOOKUP(B113,Price_data!A$1:B$190,2,FALSE))</f>
        <v>#N/A</v>
      </c>
      <c r="R113" s="3" t="e">
        <f>I113*(VLOOKUP(B113,Price_data!A$1:B$190,2,FALSE))</f>
        <v>#N/A</v>
      </c>
      <c r="S113" s="4" t="str">
        <f>(VLOOKUP(B113,Price_data!A$1:C$190,3,FALSE))</f>
        <v>Open access</v>
      </c>
      <c r="T113" s="2" t="str">
        <f>IF(C113="Total", (VLOOKUP(B113,Recommended_fish_intake!A$4:D$122,4,FALSE)), "NA")</f>
        <v>NA</v>
      </c>
      <c r="U113" s="2" t="str">
        <f t="shared" si="13"/>
        <v>NA</v>
      </c>
    </row>
    <row r="114" spans="1:21" ht="14.25" customHeight="1">
      <c r="A114" s="2" t="s">
        <v>15</v>
      </c>
      <c r="B114" s="2">
        <v>1907</v>
      </c>
      <c r="C114" s="2" t="s">
        <v>25</v>
      </c>
      <c r="D114" s="3" t="e">
        <f t="shared" si="7"/>
        <v>#N/A</v>
      </c>
      <c r="E114" s="3" t="e">
        <f t="shared" si="8"/>
        <v>#N/A</v>
      </c>
      <c r="F114" s="3" t="e">
        <f t="shared" si="9"/>
        <v>#N/A</v>
      </c>
      <c r="G114" s="3" t="e">
        <f t="shared" si="10"/>
        <v>#N/A</v>
      </c>
      <c r="H114" s="3" t="e">
        <f t="shared" si="11"/>
        <v>#N/A</v>
      </c>
      <c r="I114" s="3" t="e">
        <f t="shared" si="12"/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 t="e">
        <v>#N/A</v>
      </c>
      <c r="O114" s="3" t="e">
        <v>#N/A</v>
      </c>
      <c r="P114" s="3" t="e">
        <f>E114*(VLOOKUP(B114,Price_data!A$1:B$190,2,FALSE))</f>
        <v>#N/A</v>
      </c>
      <c r="Q114" s="3" t="e">
        <f>G114*(VLOOKUP(B114,Price_data!A$1:B$190,2,FALSE))</f>
        <v>#N/A</v>
      </c>
      <c r="R114" s="3" t="e">
        <f>I114*(VLOOKUP(B114,Price_data!A$1:B$190,2,FALSE))</f>
        <v>#N/A</v>
      </c>
      <c r="S114" s="4" t="str">
        <f>(VLOOKUP(B114,Price_data!A$1:C$190,3,FALSE))</f>
        <v>Open access</v>
      </c>
      <c r="T114" s="2" t="str">
        <f>IF(C114="Total", (VLOOKUP(B114,Recommended_fish_intake!A$4:D$122,4,FALSE)), "NA")</f>
        <v>NA</v>
      </c>
      <c r="U114" s="2" t="str">
        <f t="shared" si="13"/>
        <v>NA</v>
      </c>
    </row>
    <row r="115" spans="1:21" ht="14.25" customHeight="1">
      <c r="A115" s="2" t="s">
        <v>15</v>
      </c>
      <c r="B115" s="2">
        <v>1907</v>
      </c>
      <c r="C115" s="2" t="s">
        <v>24</v>
      </c>
      <c r="D115" s="3" t="e">
        <f t="shared" si="7"/>
        <v>#N/A</v>
      </c>
      <c r="E115" s="3" t="e">
        <f t="shared" si="8"/>
        <v>#N/A</v>
      </c>
      <c r="F115" s="3" t="e">
        <f t="shared" si="9"/>
        <v>#N/A</v>
      </c>
      <c r="G115" s="3" t="e">
        <f t="shared" si="10"/>
        <v>#N/A</v>
      </c>
      <c r="H115" s="3" t="e">
        <f t="shared" si="11"/>
        <v>#N/A</v>
      </c>
      <c r="I115" s="3" t="e">
        <f t="shared" si="12"/>
        <v>#N/A</v>
      </c>
      <c r="J115" s="3" t="e">
        <v>#N/A</v>
      </c>
      <c r="K115" s="3" t="e">
        <v>#N/A</v>
      </c>
      <c r="L115" s="3" t="e">
        <v>#N/A</v>
      </c>
      <c r="M115" s="3" t="e">
        <v>#N/A</v>
      </c>
      <c r="N115" s="3" t="e">
        <v>#N/A</v>
      </c>
      <c r="O115" s="3" t="e">
        <v>#N/A</v>
      </c>
      <c r="P115" s="3" t="e">
        <f>E115*(VLOOKUP(B115,Price_data!A$1:B$190,2,FALSE))</f>
        <v>#N/A</v>
      </c>
      <c r="Q115" s="3" t="e">
        <f>G115*(VLOOKUP(B115,Price_data!A$1:B$190,2,FALSE))</f>
        <v>#N/A</v>
      </c>
      <c r="R115" s="3" t="e">
        <f>I115*(VLOOKUP(B115,Price_data!A$1:B$190,2,FALSE))</f>
        <v>#N/A</v>
      </c>
      <c r="S115" s="4" t="str">
        <f>(VLOOKUP(B115,Price_data!A$1:C$190,3,FALSE))</f>
        <v>Open access</v>
      </c>
      <c r="T115" s="2" t="str">
        <f>IF(C115="Total", (VLOOKUP(B115,Recommended_fish_intake!A$4:D$122,4,FALSE)), "NA")</f>
        <v>NA</v>
      </c>
      <c r="U115" s="2" t="str">
        <f t="shared" si="13"/>
        <v>NA</v>
      </c>
    </row>
    <row r="116" spans="1:21" ht="14.25" customHeight="1">
      <c r="A116" s="2" t="s">
        <v>15</v>
      </c>
      <c r="B116" s="2">
        <v>1907</v>
      </c>
      <c r="C116" s="2" t="s">
        <v>30</v>
      </c>
      <c r="D116" s="3" t="e">
        <f t="shared" si="7"/>
        <v>#N/A</v>
      </c>
      <c r="E116" s="3" t="e">
        <f t="shared" si="8"/>
        <v>#N/A</v>
      </c>
      <c r="F116" s="3" t="e">
        <f t="shared" si="9"/>
        <v>#N/A</v>
      </c>
      <c r="G116" s="3" t="e">
        <f t="shared" si="10"/>
        <v>#N/A</v>
      </c>
      <c r="H116" s="3" t="e">
        <f t="shared" si="11"/>
        <v>#N/A</v>
      </c>
      <c r="I116" s="3" t="e">
        <f t="shared" si="12"/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f>E116*(VLOOKUP(B116,Price_data!A$1:B$190,2,FALSE))</f>
        <v>#N/A</v>
      </c>
      <c r="Q116" s="3" t="e">
        <f>G116*(VLOOKUP(B116,Price_data!A$1:B$190,2,FALSE))</f>
        <v>#N/A</v>
      </c>
      <c r="R116" s="3" t="e">
        <f>I116*(VLOOKUP(B116,Price_data!A$1:B$190,2,FALSE))</f>
        <v>#N/A</v>
      </c>
      <c r="S116" s="4" t="str">
        <f>(VLOOKUP(B116,Price_data!A$1:C$190,3,FALSE))</f>
        <v>Open access</v>
      </c>
      <c r="T116" s="2" t="str">
        <f>IF(C116="Total", (VLOOKUP(B116,Recommended_fish_intake!A$4:D$122,4,FALSE)), "NA")</f>
        <v>NA</v>
      </c>
      <c r="U116" s="2" t="str">
        <f t="shared" si="13"/>
        <v>NA</v>
      </c>
    </row>
    <row r="117" spans="1:21" ht="14.25" customHeight="1">
      <c r="A117" s="2" t="s">
        <v>15</v>
      </c>
      <c r="B117" s="2">
        <v>1908</v>
      </c>
      <c r="C117" s="2" t="s">
        <v>16</v>
      </c>
      <c r="D117" s="3">
        <f t="shared" si="7"/>
        <v>1151.9125685836211</v>
      </c>
      <c r="E117" s="3">
        <f t="shared" si="8"/>
        <v>10.966253</v>
      </c>
      <c r="F117" s="3">
        <f t="shared" si="9"/>
        <v>456.16495630969308</v>
      </c>
      <c r="G117" s="3">
        <f t="shared" si="10"/>
        <v>4.6040479999999997</v>
      </c>
      <c r="H117" s="3">
        <f t="shared" si="11"/>
        <v>133.5533428165007</v>
      </c>
      <c r="I117" s="3">
        <f t="shared" si="12"/>
        <v>3.2048550000000002</v>
      </c>
      <c r="J117" s="3">
        <v>1151912.5685836212</v>
      </c>
      <c r="K117" s="3">
        <v>10966.253000000001</v>
      </c>
      <c r="L117" s="3">
        <v>456164.95630969311</v>
      </c>
      <c r="M117" s="3">
        <v>4604.0479999999998</v>
      </c>
      <c r="N117" s="3">
        <v>133553.34281650069</v>
      </c>
      <c r="O117" s="3">
        <v>3204.855</v>
      </c>
      <c r="P117" s="3">
        <f>E117*(VLOOKUP(B117,Price_data!A$1:B$190,2,FALSE))</f>
        <v>783.73710274179291</v>
      </c>
      <c r="Q117" s="3">
        <f>G117*(VLOOKUP(B117,Price_data!A$1:B$190,2,FALSE))</f>
        <v>329.0424943145253</v>
      </c>
      <c r="R117" s="3">
        <f>I117*(VLOOKUP(B117,Price_data!A$1:B$190,2,FALSE))</f>
        <v>229.04484990520908</v>
      </c>
      <c r="S117" s="4" t="str">
        <f>(VLOOKUP(B117,Price_data!A$1:C$190,3,FALSE))</f>
        <v>Open access</v>
      </c>
      <c r="T117" s="2">
        <f>IF(C117="Total", (VLOOKUP(B117,Recommended_fish_intake!A$4:D$122,4,FALSE)), "NA")</f>
        <v>578.01054464237177</v>
      </c>
      <c r="U117" s="2" t="str">
        <f t="shared" si="13"/>
        <v>NA</v>
      </c>
    </row>
    <row r="118" spans="1:21" ht="14.25" customHeight="1">
      <c r="A118" s="2" t="s">
        <v>18</v>
      </c>
      <c r="B118" s="2">
        <v>1908</v>
      </c>
      <c r="C118" s="2" t="s">
        <v>19</v>
      </c>
      <c r="D118" s="3">
        <f t="shared" si="7"/>
        <v>202.38208697419225</v>
      </c>
      <c r="E118" s="3">
        <f t="shared" si="8"/>
        <v>1.1117010000000001</v>
      </c>
      <c r="F118" s="3" t="e">
        <f t="shared" si="9"/>
        <v>#N/A</v>
      </c>
      <c r="G118" s="3" t="e">
        <f t="shared" si="10"/>
        <v>#N/A</v>
      </c>
      <c r="H118" s="3" t="e">
        <f t="shared" si="11"/>
        <v>#N/A</v>
      </c>
      <c r="I118" s="3" t="e">
        <f t="shared" si="12"/>
        <v>#N/A</v>
      </c>
      <c r="J118" s="3">
        <v>202382.08697419224</v>
      </c>
      <c r="K118" s="3">
        <v>1111.701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>
        <f>E118*(VLOOKUP(B118,Price_data!A$1:B$190,2,FALSE))</f>
        <v>79.451141684872113</v>
      </c>
      <c r="Q118" s="3" t="e">
        <f>G118*(VLOOKUP(B118,Price_data!A$1:B$190,2,FALSE))</f>
        <v>#N/A</v>
      </c>
      <c r="R118" s="3" t="e">
        <f>I118*(VLOOKUP(B118,Price_data!A$1:B$190,2,FALSE))</f>
        <v>#N/A</v>
      </c>
      <c r="S118" s="4" t="str">
        <f>(VLOOKUP(B118,Price_data!A$1:C$190,3,FALSE))</f>
        <v>Open access</v>
      </c>
      <c r="T118" s="2" t="str">
        <f>IF(C118="Total", (VLOOKUP(B118,Recommended_fish_intake!A$4:D$122,4,FALSE)), "NA")</f>
        <v>NA</v>
      </c>
      <c r="U118" s="2" t="str">
        <f t="shared" si="13"/>
        <v>NA</v>
      </c>
    </row>
    <row r="119" spans="1:21" ht="14.25" customHeight="1">
      <c r="A119" s="2" t="s">
        <v>18</v>
      </c>
      <c r="B119" s="2">
        <v>1908</v>
      </c>
      <c r="C119" s="2" t="s">
        <v>20</v>
      </c>
      <c r="D119" s="3">
        <f t="shared" si="7"/>
        <v>17.420951026214183</v>
      </c>
      <c r="E119" s="3">
        <f t="shared" si="8"/>
        <v>0.180696</v>
      </c>
      <c r="F119" s="3" t="e">
        <f t="shared" si="9"/>
        <v>#N/A</v>
      </c>
      <c r="G119" s="3" t="e">
        <f t="shared" si="10"/>
        <v>#N/A</v>
      </c>
      <c r="H119" s="3" t="e">
        <f t="shared" si="11"/>
        <v>#N/A</v>
      </c>
      <c r="I119" s="3" t="e">
        <f t="shared" si="12"/>
        <v>#N/A</v>
      </c>
      <c r="J119" s="3">
        <v>17420.951026214185</v>
      </c>
      <c r="K119" s="3">
        <v>180.696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>
        <f>E119*(VLOOKUP(B119,Price_data!A$1:B$190,2,FALSE))</f>
        <v>12.913997107036561</v>
      </c>
      <c r="Q119" s="3" t="e">
        <f>G119*(VLOOKUP(B119,Price_data!A$1:B$190,2,FALSE))</f>
        <v>#N/A</v>
      </c>
      <c r="R119" s="3" t="e">
        <f>I119*(VLOOKUP(B119,Price_data!A$1:B$190,2,FALSE))</f>
        <v>#N/A</v>
      </c>
      <c r="S119" s="4" t="str">
        <f>(VLOOKUP(B119,Price_data!A$1:C$190,3,FALSE))</f>
        <v>Open access</v>
      </c>
      <c r="T119" s="2" t="str">
        <f>IF(C119="Total", (VLOOKUP(B119,Recommended_fish_intake!A$4:D$122,4,FALSE)), "NA")</f>
        <v>NA</v>
      </c>
      <c r="U119" s="2" t="str">
        <f t="shared" si="13"/>
        <v>NA</v>
      </c>
    </row>
    <row r="120" spans="1:21" ht="14.25" customHeight="1">
      <c r="A120" s="2" t="s">
        <v>18</v>
      </c>
      <c r="B120" s="2">
        <v>1908</v>
      </c>
      <c r="C120" s="2" t="s">
        <v>21</v>
      </c>
      <c r="D120" s="3">
        <f t="shared" si="7"/>
        <v>3.7021438731965044</v>
      </c>
      <c r="E120" s="3">
        <f t="shared" si="8"/>
        <v>1.3522000000000001E-2</v>
      </c>
      <c r="F120" s="3" t="e">
        <f t="shared" si="9"/>
        <v>#N/A</v>
      </c>
      <c r="G120" s="3" t="e">
        <f t="shared" si="10"/>
        <v>#N/A</v>
      </c>
      <c r="H120" s="3" t="e">
        <f t="shared" si="11"/>
        <v>#N/A</v>
      </c>
      <c r="I120" s="3" t="e">
        <f t="shared" si="12"/>
        <v>#N/A</v>
      </c>
      <c r="J120" s="3">
        <v>3702.1438731965045</v>
      </c>
      <c r="K120" s="3">
        <v>13.522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>
        <f>E120*(VLOOKUP(B120,Price_data!A$1:B$190,2,FALSE))</f>
        <v>0.96639144685742018</v>
      </c>
      <c r="Q120" s="3" t="e">
        <f>G120*(VLOOKUP(B120,Price_data!A$1:B$190,2,FALSE))</f>
        <v>#N/A</v>
      </c>
      <c r="R120" s="3" t="e">
        <f>I120*(VLOOKUP(B120,Price_data!A$1:B$190,2,FALSE))</f>
        <v>#N/A</v>
      </c>
      <c r="S120" s="4" t="str">
        <f>(VLOOKUP(B120,Price_data!A$1:C$190,3,FALSE))</f>
        <v>Open access</v>
      </c>
      <c r="T120" s="2" t="str">
        <f>IF(C120="Total", (VLOOKUP(B120,Recommended_fish_intake!A$4:D$122,4,FALSE)), "NA")</f>
        <v>NA</v>
      </c>
      <c r="U120" s="2" t="str">
        <f t="shared" si="13"/>
        <v>NA</v>
      </c>
    </row>
    <row r="121" spans="1:21" ht="14.25" customHeight="1">
      <c r="A121" s="2" t="s">
        <v>18</v>
      </c>
      <c r="B121" s="2">
        <v>1908</v>
      </c>
      <c r="C121" s="2" t="s">
        <v>22</v>
      </c>
      <c r="D121" s="3">
        <f t="shared" si="7"/>
        <v>97.990042674253203</v>
      </c>
      <c r="E121" s="3">
        <f t="shared" si="8"/>
        <v>1.149632</v>
      </c>
      <c r="F121" s="3" t="e">
        <f t="shared" si="9"/>
        <v>#N/A</v>
      </c>
      <c r="G121" s="3" t="e">
        <f t="shared" si="10"/>
        <v>#N/A</v>
      </c>
      <c r="H121" s="3" t="e">
        <f t="shared" si="11"/>
        <v>#N/A</v>
      </c>
      <c r="I121" s="3" t="e">
        <f t="shared" si="12"/>
        <v>#N/A</v>
      </c>
      <c r="J121" s="3">
        <v>97990.0426742532</v>
      </c>
      <c r="K121" s="3">
        <v>1149.6320000000001</v>
      </c>
      <c r="L121" s="3" t="e">
        <v>#N/A</v>
      </c>
      <c r="M121" s="3" t="e">
        <v>#N/A</v>
      </c>
      <c r="N121" s="3" t="e">
        <v>#N/A</v>
      </c>
      <c r="O121" s="3" t="e">
        <v>#N/A</v>
      </c>
      <c r="P121" s="3">
        <f>E121*(VLOOKUP(B121,Price_data!A$1:B$190,2,FALSE))</f>
        <v>82.161997621179523</v>
      </c>
      <c r="Q121" s="3" t="e">
        <f>G121*(VLOOKUP(B121,Price_data!A$1:B$190,2,FALSE))</f>
        <v>#N/A</v>
      </c>
      <c r="R121" s="3" t="e">
        <f>I121*(VLOOKUP(B121,Price_data!A$1:B$190,2,FALSE))</f>
        <v>#N/A</v>
      </c>
      <c r="S121" s="4" t="str">
        <f>(VLOOKUP(B121,Price_data!A$1:C$190,3,FALSE))</f>
        <v>Open access</v>
      </c>
      <c r="T121" s="2" t="str">
        <f>IF(C121="Total", (VLOOKUP(B121,Recommended_fish_intake!A$4:D$122,4,FALSE)), "NA")</f>
        <v>NA</v>
      </c>
      <c r="U121" s="2" t="str">
        <f t="shared" si="13"/>
        <v>NA</v>
      </c>
    </row>
    <row r="122" spans="1:21" ht="14.25" customHeight="1">
      <c r="A122" s="2" t="s">
        <v>18</v>
      </c>
      <c r="B122" s="2">
        <v>1908</v>
      </c>
      <c r="C122" s="2" t="s">
        <v>23</v>
      </c>
      <c r="D122" s="3">
        <f t="shared" si="7"/>
        <v>128.64676894940052</v>
      </c>
      <c r="E122" s="3">
        <f t="shared" si="8"/>
        <v>1.421271</v>
      </c>
      <c r="F122" s="3" t="e">
        <f t="shared" si="9"/>
        <v>#N/A</v>
      </c>
      <c r="G122" s="3" t="e">
        <f t="shared" si="10"/>
        <v>#N/A</v>
      </c>
      <c r="H122" s="3" t="e">
        <f t="shared" si="11"/>
        <v>#N/A</v>
      </c>
      <c r="I122" s="3" t="e">
        <f t="shared" si="12"/>
        <v>#N/A</v>
      </c>
      <c r="J122" s="3">
        <v>128646.76894940052</v>
      </c>
      <c r="K122" s="3">
        <v>1421.271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>
        <f>E122*(VLOOKUP(B122,Price_data!A$1:B$190,2,FALSE))</f>
        <v>101.57551679237481</v>
      </c>
      <c r="Q122" s="3" t="e">
        <f>G122*(VLOOKUP(B122,Price_data!A$1:B$190,2,FALSE))</f>
        <v>#N/A</v>
      </c>
      <c r="R122" s="3" t="e">
        <f>I122*(VLOOKUP(B122,Price_data!A$1:B$190,2,FALSE))</f>
        <v>#N/A</v>
      </c>
      <c r="S122" s="4" t="str">
        <f>(VLOOKUP(B122,Price_data!A$1:C$190,3,FALSE))</f>
        <v>Open access</v>
      </c>
      <c r="T122" s="2" t="str">
        <f>IF(C122="Total", (VLOOKUP(B122,Recommended_fish_intake!A$4:D$122,4,FALSE)), "NA")</f>
        <v>NA</v>
      </c>
      <c r="U122" s="2" t="str">
        <f t="shared" si="13"/>
        <v>NA</v>
      </c>
    </row>
    <row r="123" spans="1:21" ht="14.25" customHeight="1">
      <c r="A123" s="2" t="s">
        <v>18</v>
      </c>
      <c r="B123" s="2">
        <v>1908</v>
      </c>
      <c r="C123" s="2" t="s">
        <v>24</v>
      </c>
      <c r="D123" s="3">
        <f t="shared" si="7"/>
        <v>15.218807153017679</v>
      </c>
      <c r="E123" s="3">
        <f t="shared" si="8"/>
        <v>0.132128</v>
      </c>
      <c r="F123" s="3" t="e">
        <f t="shared" si="9"/>
        <v>#N/A</v>
      </c>
      <c r="G123" s="3" t="e">
        <f t="shared" si="10"/>
        <v>#N/A</v>
      </c>
      <c r="H123" s="3" t="e">
        <f t="shared" si="11"/>
        <v>#N/A</v>
      </c>
      <c r="I123" s="3" t="e">
        <f t="shared" si="12"/>
        <v>#N/A</v>
      </c>
      <c r="J123" s="3">
        <v>15218.807153017679</v>
      </c>
      <c r="K123" s="3">
        <v>132.12799999999999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>
        <f>E123*(VLOOKUP(B123,Price_data!A$1:B$190,2,FALSE))</f>
        <v>9.4429351494140796</v>
      </c>
      <c r="Q123" s="3" t="e">
        <f>G123*(VLOOKUP(B123,Price_data!A$1:B$190,2,FALSE))</f>
        <v>#N/A</v>
      </c>
      <c r="R123" s="3" t="e">
        <f>I123*(VLOOKUP(B123,Price_data!A$1:B$190,2,FALSE))</f>
        <v>#N/A</v>
      </c>
      <c r="S123" s="4" t="str">
        <f>(VLOOKUP(B123,Price_data!A$1:C$190,3,FALSE))</f>
        <v>Open access</v>
      </c>
      <c r="T123" s="2" t="str">
        <f>IF(C123="Total", (VLOOKUP(B123,Recommended_fish_intake!A$4:D$122,4,FALSE)), "NA")</f>
        <v>NA</v>
      </c>
      <c r="U123" s="2" t="str">
        <f t="shared" si="13"/>
        <v>NA</v>
      </c>
    </row>
    <row r="124" spans="1:21" ht="14.25" customHeight="1">
      <c r="A124" s="2" t="s">
        <v>18</v>
      </c>
      <c r="B124" s="2">
        <v>1908</v>
      </c>
      <c r="C124" s="2" t="s">
        <v>25</v>
      </c>
      <c r="D124" s="3">
        <f t="shared" si="7"/>
        <v>46.92150985572038</v>
      </c>
      <c r="E124" s="3">
        <f t="shared" si="8"/>
        <v>0.959453</v>
      </c>
      <c r="F124" s="3" t="e">
        <f t="shared" si="9"/>
        <v>#N/A</v>
      </c>
      <c r="G124" s="3" t="e">
        <f t="shared" si="10"/>
        <v>#N/A</v>
      </c>
      <c r="H124" s="3" t="e">
        <f t="shared" si="11"/>
        <v>#N/A</v>
      </c>
      <c r="I124" s="3" t="e">
        <f t="shared" si="12"/>
        <v>#N/A</v>
      </c>
      <c r="J124" s="3">
        <v>46921.509855720382</v>
      </c>
      <c r="K124" s="3">
        <v>959.45299999999997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>
        <f>E124*(VLOOKUP(B124,Price_data!A$1:B$190,2,FALSE))</f>
        <v>68.570268663044828</v>
      </c>
      <c r="Q124" s="3" t="e">
        <f>G124*(VLOOKUP(B124,Price_data!A$1:B$190,2,FALSE))</f>
        <v>#N/A</v>
      </c>
      <c r="R124" s="3" t="e">
        <f>I124*(VLOOKUP(B124,Price_data!A$1:B$190,2,FALSE))</f>
        <v>#N/A</v>
      </c>
      <c r="S124" s="4" t="str">
        <f>(VLOOKUP(B124,Price_data!A$1:C$190,3,FALSE))</f>
        <v>Open access</v>
      </c>
      <c r="T124" s="2" t="str">
        <f>IF(C124="Total", (VLOOKUP(B124,Recommended_fish_intake!A$4:D$122,4,FALSE)), "NA")</f>
        <v>NA</v>
      </c>
      <c r="U124" s="2" t="str">
        <f t="shared" si="13"/>
        <v>NA</v>
      </c>
    </row>
    <row r="125" spans="1:21" ht="14.25" customHeight="1">
      <c r="A125" s="2" t="s">
        <v>15</v>
      </c>
      <c r="B125" s="2">
        <v>1908</v>
      </c>
      <c r="C125" s="2" t="s">
        <v>22</v>
      </c>
      <c r="D125" s="3" t="e">
        <f t="shared" si="7"/>
        <v>#N/A</v>
      </c>
      <c r="E125" s="3" t="e">
        <f t="shared" si="8"/>
        <v>#N/A</v>
      </c>
      <c r="F125" s="3" t="e">
        <f t="shared" si="9"/>
        <v>#N/A</v>
      </c>
      <c r="G125" s="3" t="e">
        <f t="shared" si="10"/>
        <v>#N/A</v>
      </c>
      <c r="H125" s="3" t="e">
        <f t="shared" si="11"/>
        <v>#N/A</v>
      </c>
      <c r="I125" s="3" t="e">
        <f t="shared" si="12"/>
        <v>#N/A</v>
      </c>
      <c r="J125" s="3" t="e">
        <v>#N/A</v>
      </c>
      <c r="K125" s="3" t="e">
        <v>#N/A</v>
      </c>
      <c r="L125" s="3" t="e">
        <v>#N/A</v>
      </c>
      <c r="M125" s="3" t="e">
        <v>#N/A</v>
      </c>
      <c r="N125" s="3" t="e">
        <v>#N/A</v>
      </c>
      <c r="O125" s="3" t="e">
        <v>#N/A</v>
      </c>
      <c r="P125" s="3" t="e">
        <f>E125*(VLOOKUP(B125,Price_data!A$1:B$190,2,FALSE))</f>
        <v>#N/A</v>
      </c>
      <c r="Q125" s="3" t="e">
        <f>G125*(VLOOKUP(B125,Price_data!A$1:B$190,2,FALSE))</f>
        <v>#N/A</v>
      </c>
      <c r="R125" s="3" t="e">
        <f>I125*(VLOOKUP(B125,Price_data!A$1:B$190,2,FALSE))</f>
        <v>#N/A</v>
      </c>
      <c r="S125" s="4" t="str">
        <f>(VLOOKUP(B125,Price_data!A$1:C$190,3,FALSE))</f>
        <v>Open access</v>
      </c>
      <c r="T125" s="2" t="str">
        <f>IF(C125="Total", (VLOOKUP(B125,Recommended_fish_intake!A$4:D$122,4,FALSE)), "NA")</f>
        <v>NA</v>
      </c>
      <c r="U125" s="2" t="str">
        <f t="shared" si="13"/>
        <v>NA</v>
      </c>
    </row>
    <row r="126" spans="1:21" ht="14.25" customHeight="1">
      <c r="A126" s="2" t="s">
        <v>15</v>
      </c>
      <c r="B126" s="2">
        <v>1908</v>
      </c>
      <c r="C126" s="2" t="s">
        <v>23</v>
      </c>
      <c r="D126" s="3" t="e">
        <f t="shared" si="7"/>
        <v>#N/A</v>
      </c>
      <c r="E126" s="3" t="e">
        <f t="shared" si="8"/>
        <v>#N/A</v>
      </c>
      <c r="F126" s="3" t="e">
        <f t="shared" si="9"/>
        <v>#N/A</v>
      </c>
      <c r="G126" s="3" t="e">
        <f t="shared" si="10"/>
        <v>#N/A</v>
      </c>
      <c r="H126" s="3" t="e">
        <f t="shared" si="11"/>
        <v>#N/A</v>
      </c>
      <c r="I126" s="3" t="e">
        <f t="shared" si="12"/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 t="e">
        <v>#N/A</v>
      </c>
      <c r="O126" s="3" t="e">
        <v>#N/A</v>
      </c>
      <c r="P126" s="3" t="e">
        <f>E126*(VLOOKUP(B126,Price_data!A$1:B$190,2,FALSE))</f>
        <v>#N/A</v>
      </c>
      <c r="Q126" s="3" t="e">
        <f>G126*(VLOOKUP(B126,Price_data!A$1:B$190,2,FALSE))</f>
        <v>#N/A</v>
      </c>
      <c r="R126" s="3" t="e">
        <f>I126*(VLOOKUP(B126,Price_data!A$1:B$190,2,FALSE))</f>
        <v>#N/A</v>
      </c>
      <c r="S126" s="4" t="str">
        <f>(VLOOKUP(B126,Price_data!A$1:C$190,3,FALSE))</f>
        <v>Open access</v>
      </c>
      <c r="T126" s="2" t="str">
        <f>IF(C126="Total", (VLOOKUP(B126,Recommended_fish_intake!A$4:D$122,4,FALSE)), "NA")</f>
        <v>NA</v>
      </c>
      <c r="U126" s="2" t="str">
        <f t="shared" si="13"/>
        <v>NA</v>
      </c>
    </row>
    <row r="127" spans="1:21" ht="14.25" customHeight="1">
      <c r="A127" s="2" t="s">
        <v>15</v>
      </c>
      <c r="B127" s="2">
        <v>1908</v>
      </c>
      <c r="C127" s="2" t="s">
        <v>19</v>
      </c>
      <c r="D127" s="3" t="e">
        <f t="shared" si="7"/>
        <v>#N/A</v>
      </c>
      <c r="E127" s="3" t="e">
        <f t="shared" si="8"/>
        <v>#N/A</v>
      </c>
      <c r="F127" s="3" t="e">
        <f t="shared" si="9"/>
        <v>#N/A</v>
      </c>
      <c r="G127" s="3" t="e">
        <f t="shared" si="10"/>
        <v>#N/A</v>
      </c>
      <c r="H127" s="3" t="e">
        <f t="shared" si="11"/>
        <v>#N/A</v>
      </c>
      <c r="I127" s="3" t="e">
        <f t="shared" si="12"/>
        <v>#N/A</v>
      </c>
      <c r="J127" s="3" t="e">
        <v>#N/A</v>
      </c>
      <c r="K127" s="3" t="e">
        <v>#N/A</v>
      </c>
      <c r="L127" s="3" t="e">
        <v>#N/A</v>
      </c>
      <c r="M127" s="3" t="e">
        <v>#N/A</v>
      </c>
      <c r="N127" s="3" t="e">
        <v>#N/A</v>
      </c>
      <c r="O127" s="3" t="e">
        <v>#N/A</v>
      </c>
      <c r="P127" s="3" t="e">
        <f>E127*(VLOOKUP(B127,Price_data!A$1:B$190,2,FALSE))</f>
        <v>#N/A</v>
      </c>
      <c r="Q127" s="3" t="e">
        <f>G127*(VLOOKUP(B127,Price_data!A$1:B$190,2,FALSE))</f>
        <v>#N/A</v>
      </c>
      <c r="R127" s="3" t="e">
        <f>I127*(VLOOKUP(B127,Price_data!A$1:B$190,2,FALSE))</f>
        <v>#N/A</v>
      </c>
      <c r="S127" s="4" t="str">
        <f>(VLOOKUP(B127,Price_data!A$1:C$190,3,FALSE))</f>
        <v>Open access</v>
      </c>
      <c r="T127" s="2" t="str">
        <f>IF(C127="Total", (VLOOKUP(B127,Recommended_fish_intake!A$4:D$122,4,FALSE)), "NA")</f>
        <v>NA</v>
      </c>
      <c r="U127" s="2" t="str">
        <f t="shared" si="13"/>
        <v>NA</v>
      </c>
    </row>
    <row r="128" spans="1:21" ht="14.25" customHeight="1">
      <c r="A128" s="2" t="s">
        <v>15</v>
      </c>
      <c r="B128" s="2">
        <v>1908</v>
      </c>
      <c r="C128" s="2" t="s">
        <v>28</v>
      </c>
      <c r="D128" s="3" t="e">
        <f t="shared" si="7"/>
        <v>#VALUE!</v>
      </c>
      <c r="E128" s="3" t="e">
        <f t="shared" si="8"/>
        <v>#VALUE!</v>
      </c>
      <c r="F128" s="3" t="e">
        <f t="shared" si="9"/>
        <v>#N/A</v>
      </c>
      <c r="G128" s="3" t="e">
        <f t="shared" si="10"/>
        <v>#N/A</v>
      </c>
      <c r="H128" s="3" t="e">
        <f t="shared" si="11"/>
        <v>#N/A</v>
      </c>
      <c r="I128" s="3" t="e">
        <f t="shared" si="12"/>
        <v>#N/A</v>
      </c>
      <c r="J128" s="3" t="e">
        <v>#VALUE!</v>
      </c>
      <c r="K128" s="3" t="e">
        <v>#VALUE!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f>E128*(VLOOKUP(B128,Price_data!A$1:B$190,2,FALSE))</f>
        <v>#VALUE!</v>
      </c>
      <c r="Q128" s="3" t="e">
        <f>G128*(VLOOKUP(B128,Price_data!A$1:B$190,2,FALSE))</f>
        <v>#N/A</v>
      </c>
      <c r="R128" s="3" t="e">
        <f>I128*(VLOOKUP(B128,Price_data!A$1:B$190,2,FALSE))</f>
        <v>#N/A</v>
      </c>
      <c r="S128" s="4" t="str">
        <f>(VLOOKUP(B128,Price_data!A$1:C$190,3,FALSE))</f>
        <v>Open access</v>
      </c>
      <c r="T128" s="2" t="str">
        <f>IF(C128="Total", (VLOOKUP(B128,Recommended_fish_intake!A$4:D$122,4,FALSE)), "NA")</f>
        <v>NA</v>
      </c>
      <c r="U128" s="2" t="e">
        <f t="shared" si="13"/>
        <v>#VALUE!</v>
      </c>
    </row>
    <row r="129" spans="1:21" ht="14.25" customHeight="1">
      <c r="A129" s="2" t="s">
        <v>15</v>
      </c>
      <c r="B129" s="2">
        <v>1908</v>
      </c>
      <c r="C129" s="2" t="s">
        <v>29</v>
      </c>
      <c r="D129" s="3" t="e">
        <f t="shared" si="7"/>
        <v>#VALUE!</v>
      </c>
      <c r="E129" s="3" t="e">
        <f t="shared" si="8"/>
        <v>#VALUE!</v>
      </c>
      <c r="F129" s="3" t="e">
        <f t="shared" si="9"/>
        <v>#N/A</v>
      </c>
      <c r="G129" s="3" t="e">
        <f t="shared" si="10"/>
        <v>#N/A</v>
      </c>
      <c r="H129" s="3" t="e">
        <f t="shared" si="11"/>
        <v>#N/A</v>
      </c>
      <c r="I129" s="3" t="e">
        <f t="shared" si="12"/>
        <v>#N/A</v>
      </c>
      <c r="J129" s="3" t="e">
        <v>#VALUE!</v>
      </c>
      <c r="K129" s="3" t="e">
        <v>#VALUE!</v>
      </c>
      <c r="L129" s="3" t="e">
        <v>#N/A</v>
      </c>
      <c r="M129" s="3" t="e">
        <v>#N/A</v>
      </c>
      <c r="N129" s="3" t="e">
        <v>#N/A</v>
      </c>
      <c r="O129" s="3" t="e">
        <v>#N/A</v>
      </c>
      <c r="P129" s="3" t="e">
        <f>E129*(VLOOKUP(B129,Price_data!A$1:B$190,2,FALSE))</f>
        <v>#VALUE!</v>
      </c>
      <c r="Q129" s="3" t="e">
        <f>G129*(VLOOKUP(B129,Price_data!A$1:B$190,2,FALSE))</f>
        <v>#N/A</v>
      </c>
      <c r="R129" s="3" t="e">
        <f>I129*(VLOOKUP(B129,Price_data!A$1:B$190,2,FALSE))</f>
        <v>#N/A</v>
      </c>
      <c r="S129" s="4" t="str">
        <f>(VLOOKUP(B129,Price_data!A$1:C$190,3,FALSE))</f>
        <v>Open access</v>
      </c>
      <c r="T129" s="2" t="str">
        <f>IF(C129="Total", (VLOOKUP(B129,Recommended_fish_intake!A$4:D$122,4,FALSE)), "NA")</f>
        <v>NA</v>
      </c>
      <c r="U129" s="2" t="str">
        <f t="shared" si="13"/>
        <v>NA</v>
      </c>
    </row>
    <row r="130" spans="1:21" ht="14.25" customHeight="1">
      <c r="A130" s="2" t="s">
        <v>15</v>
      </c>
      <c r="B130" s="2">
        <v>1908</v>
      </c>
      <c r="C130" s="2" t="s">
        <v>20</v>
      </c>
      <c r="D130" s="3" t="e">
        <f t="shared" ref="D130:D193" si="14">IF(J130="", NA(), J130/1000)</f>
        <v>#N/A</v>
      </c>
      <c r="E130" s="3" t="e">
        <f t="shared" ref="E130:E193" si="15">IF(K130="", NA(), K130/1000)</f>
        <v>#N/A</v>
      </c>
      <c r="F130" s="3" t="e">
        <f t="shared" ref="F130:F193" si="16">IF(L130="", NA(), L130/1000)</f>
        <v>#N/A</v>
      </c>
      <c r="G130" s="3" t="e">
        <f t="shared" ref="G130:G193" si="17">IF(M130="", NA(), M130/1000)</f>
        <v>#N/A</v>
      </c>
      <c r="H130" s="3" t="e">
        <f t="shared" ref="H130:H193" si="18">IF(N130="", NA(), N130/1000)</f>
        <v>#N/A</v>
      </c>
      <c r="I130" s="3" t="e">
        <f t="shared" ref="I130:I193" si="19">IF(O130="", NA(), O130/1000)</f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 t="e">
        <v>#N/A</v>
      </c>
      <c r="O130" s="3" t="e">
        <v>#N/A</v>
      </c>
      <c r="P130" s="3" t="e">
        <f>E130*(VLOOKUP(B130,Price_data!A$1:B$190,2,FALSE))</f>
        <v>#N/A</v>
      </c>
      <c r="Q130" s="3" t="e">
        <f>G130*(VLOOKUP(B130,Price_data!A$1:B$190,2,FALSE))</f>
        <v>#N/A</v>
      </c>
      <c r="R130" s="3" t="e">
        <f>I130*(VLOOKUP(B130,Price_data!A$1:B$190,2,FALSE))</f>
        <v>#N/A</v>
      </c>
      <c r="S130" s="4" t="str">
        <f>(VLOOKUP(B130,Price_data!A$1:C$190,3,FALSE))</f>
        <v>Open access</v>
      </c>
      <c r="T130" s="2" t="str">
        <f>IF(C130="Total", (VLOOKUP(B130,Recommended_fish_intake!A$4:D$122,4,FALSE)), "NA")</f>
        <v>NA</v>
      </c>
      <c r="U130" s="2" t="str">
        <f t="shared" ref="U130:U193" si="20">IF(C130="Wet fish", D130*0.49, IF(C130="Shellfish", D130*0.28, "NA"))</f>
        <v>NA</v>
      </c>
    </row>
    <row r="131" spans="1:21" ht="14.25" customHeight="1">
      <c r="A131" s="2" t="s">
        <v>15</v>
      </c>
      <c r="B131" s="2">
        <v>1908</v>
      </c>
      <c r="C131" s="2" t="s">
        <v>25</v>
      </c>
      <c r="D131" s="3" t="e">
        <f t="shared" si="14"/>
        <v>#N/A</v>
      </c>
      <c r="E131" s="3" t="e">
        <f t="shared" si="15"/>
        <v>#N/A</v>
      </c>
      <c r="F131" s="3" t="e">
        <f t="shared" si="16"/>
        <v>#N/A</v>
      </c>
      <c r="G131" s="3" t="e">
        <f t="shared" si="17"/>
        <v>#N/A</v>
      </c>
      <c r="H131" s="3" t="e">
        <f t="shared" si="18"/>
        <v>#N/A</v>
      </c>
      <c r="I131" s="3" t="e">
        <f t="shared" si="19"/>
        <v>#N/A</v>
      </c>
      <c r="J131" s="3" t="e">
        <v>#N/A</v>
      </c>
      <c r="K131" s="3" t="e">
        <v>#N/A</v>
      </c>
      <c r="L131" s="3" t="e">
        <v>#N/A</v>
      </c>
      <c r="M131" s="3" t="e">
        <v>#N/A</v>
      </c>
      <c r="N131" s="3" t="e">
        <v>#N/A</v>
      </c>
      <c r="O131" s="3" t="e">
        <v>#N/A</v>
      </c>
      <c r="P131" s="3" t="e">
        <f>E131*(VLOOKUP(B131,Price_data!A$1:B$190,2,FALSE))</f>
        <v>#N/A</v>
      </c>
      <c r="Q131" s="3" t="e">
        <f>G131*(VLOOKUP(B131,Price_data!A$1:B$190,2,FALSE))</f>
        <v>#N/A</v>
      </c>
      <c r="R131" s="3" t="e">
        <f>I131*(VLOOKUP(B131,Price_data!A$1:B$190,2,FALSE))</f>
        <v>#N/A</v>
      </c>
      <c r="S131" s="4" t="str">
        <f>(VLOOKUP(B131,Price_data!A$1:C$190,3,FALSE))</f>
        <v>Open access</v>
      </c>
      <c r="T131" s="2" t="str">
        <f>IF(C131="Total", (VLOOKUP(B131,Recommended_fish_intake!A$4:D$122,4,FALSE)), "NA")</f>
        <v>NA</v>
      </c>
      <c r="U131" s="2" t="str">
        <f t="shared" si="20"/>
        <v>NA</v>
      </c>
    </row>
    <row r="132" spans="1:21" ht="14.25" customHeight="1">
      <c r="A132" s="2" t="s">
        <v>15</v>
      </c>
      <c r="B132" s="2">
        <v>1908</v>
      </c>
      <c r="C132" s="2" t="s">
        <v>24</v>
      </c>
      <c r="D132" s="3" t="e">
        <f t="shared" si="14"/>
        <v>#N/A</v>
      </c>
      <c r="E132" s="3" t="e">
        <f t="shared" si="15"/>
        <v>#N/A</v>
      </c>
      <c r="F132" s="3" t="e">
        <f t="shared" si="16"/>
        <v>#N/A</v>
      </c>
      <c r="G132" s="3" t="e">
        <f t="shared" si="17"/>
        <v>#N/A</v>
      </c>
      <c r="H132" s="3" t="e">
        <f t="shared" si="18"/>
        <v>#N/A</v>
      </c>
      <c r="I132" s="3" t="e">
        <f t="shared" si="19"/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f>E132*(VLOOKUP(B132,Price_data!A$1:B$190,2,FALSE))</f>
        <v>#N/A</v>
      </c>
      <c r="Q132" s="3" t="e">
        <f>G132*(VLOOKUP(B132,Price_data!A$1:B$190,2,FALSE))</f>
        <v>#N/A</v>
      </c>
      <c r="R132" s="3" t="e">
        <f>I132*(VLOOKUP(B132,Price_data!A$1:B$190,2,FALSE))</f>
        <v>#N/A</v>
      </c>
      <c r="S132" s="4" t="str">
        <f>(VLOOKUP(B132,Price_data!A$1:C$190,3,FALSE))</f>
        <v>Open access</v>
      </c>
      <c r="T132" s="2" t="str">
        <f>IF(C132="Total", (VLOOKUP(B132,Recommended_fish_intake!A$4:D$122,4,FALSE)), "NA")</f>
        <v>NA</v>
      </c>
      <c r="U132" s="2" t="str">
        <f t="shared" si="20"/>
        <v>NA</v>
      </c>
    </row>
    <row r="133" spans="1:21" ht="14.25" customHeight="1">
      <c r="A133" s="2" t="s">
        <v>15</v>
      </c>
      <c r="B133" s="2">
        <v>1908</v>
      </c>
      <c r="C133" s="2" t="s">
        <v>30</v>
      </c>
      <c r="D133" s="3" t="e">
        <f t="shared" si="14"/>
        <v>#N/A</v>
      </c>
      <c r="E133" s="3" t="e">
        <f t="shared" si="15"/>
        <v>#N/A</v>
      </c>
      <c r="F133" s="3" t="e">
        <f t="shared" si="16"/>
        <v>#N/A</v>
      </c>
      <c r="G133" s="3" t="e">
        <f t="shared" si="17"/>
        <v>#N/A</v>
      </c>
      <c r="H133" s="3" t="e">
        <f t="shared" si="18"/>
        <v>#N/A</v>
      </c>
      <c r="I133" s="3" t="e">
        <f t="shared" si="19"/>
        <v>#N/A</v>
      </c>
      <c r="J133" s="3" t="e">
        <v>#N/A</v>
      </c>
      <c r="K133" s="3" t="e">
        <v>#N/A</v>
      </c>
      <c r="L133" s="3" t="e">
        <v>#N/A</v>
      </c>
      <c r="M133" s="3" t="e">
        <v>#N/A</v>
      </c>
      <c r="N133" s="3" t="e">
        <v>#N/A</v>
      </c>
      <c r="O133" s="3" t="e">
        <v>#N/A</v>
      </c>
      <c r="P133" s="3" t="e">
        <f>E133*(VLOOKUP(B133,Price_data!A$1:B$190,2,FALSE))</f>
        <v>#N/A</v>
      </c>
      <c r="Q133" s="3" t="e">
        <f>G133*(VLOOKUP(B133,Price_data!A$1:B$190,2,FALSE))</f>
        <v>#N/A</v>
      </c>
      <c r="R133" s="3" t="e">
        <f>I133*(VLOOKUP(B133,Price_data!A$1:B$190,2,FALSE))</f>
        <v>#N/A</v>
      </c>
      <c r="S133" s="4" t="str">
        <f>(VLOOKUP(B133,Price_data!A$1:C$190,3,FALSE))</f>
        <v>Open access</v>
      </c>
      <c r="T133" s="2" t="str">
        <f>IF(C133="Total", (VLOOKUP(B133,Recommended_fish_intake!A$4:D$122,4,FALSE)), "NA")</f>
        <v>NA</v>
      </c>
      <c r="U133" s="2" t="str">
        <f t="shared" si="20"/>
        <v>NA</v>
      </c>
    </row>
    <row r="134" spans="1:21" ht="14.25" customHeight="1">
      <c r="A134" s="2" t="s">
        <v>18</v>
      </c>
      <c r="B134" s="2">
        <v>1909</v>
      </c>
      <c r="C134" s="2" t="s">
        <v>19</v>
      </c>
      <c r="D134" s="3">
        <f t="shared" si="14"/>
        <v>231.86974192237346</v>
      </c>
      <c r="E134" s="3">
        <f t="shared" si="15"/>
        <v>1.375597</v>
      </c>
      <c r="F134" s="3" t="e">
        <f t="shared" si="16"/>
        <v>#N/A</v>
      </c>
      <c r="G134" s="3" t="e">
        <f t="shared" si="17"/>
        <v>#N/A</v>
      </c>
      <c r="H134" s="3" t="e">
        <f t="shared" si="18"/>
        <v>#N/A</v>
      </c>
      <c r="I134" s="3" t="e">
        <f t="shared" si="19"/>
        <v>#N/A</v>
      </c>
      <c r="J134" s="3">
        <v>231869.74192237348</v>
      </c>
      <c r="K134" s="3">
        <v>1375.597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>
        <f>E134*(VLOOKUP(B134,Price_data!A$1:B$190,2,FALSE))</f>
        <v>97.276427847563596</v>
      </c>
      <c r="Q134" s="3" t="e">
        <f>G134*(VLOOKUP(B134,Price_data!A$1:B$190,2,FALSE))</f>
        <v>#N/A</v>
      </c>
      <c r="R134" s="3" t="e">
        <f>I134*(VLOOKUP(B134,Price_data!A$1:B$190,2,FALSE))</f>
        <v>#N/A</v>
      </c>
      <c r="S134" s="4" t="str">
        <f>(VLOOKUP(B134,Price_data!A$1:C$190,3,FALSE))</f>
        <v>Open access</v>
      </c>
      <c r="T134" s="2" t="str">
        <f>IF(C134="Total", (VLOOKUP(B134,Recommended_fish_intake!A$4:D$122,4,FALSE)), "NA")</f>
        <v>NA</v>
      </c>
      <c r="U134" s="2" t="str">
        <f t="shared" si="20"/>
        <v>NA</v>
      </c>
    </row>
    <row r="135" spans="1:21" ht="14.25" customHeight="1">
      <c r="A135" s="2" t="s">
        <v>18</v>
      </c>
      <c r="B135" s="2">
        <v>1909</v>
      </c>
      <c r="C135" s="2" t="s">
        <v>20</v>
      </c>
      <c r="D135" s="3">
        <f t="shared" si="14"/>
        <v>18.658047144889249</v>
      </c>
      <c r="E135" s="3">
        <f t="shared" si="15"/>
        <v>0.18309</v>
      </c>
      <c r="F135" s="3" t="e">
        <f t="shared" si="16"/>
        <v>#N/A</v>
      </c>
      <c r="G135" s="3" t="e">
        <f t="shared" si="17"/>
        <v>#N/A</v>
      </c>
      <c r="H135" s="3" t="e">
        <f t="shared" si="18"/>
        <v>#N/A</v>
      </c>
      <c r="I135" s="3" t="e">
        <f t="shared" si="19"/>
        <v>#N/A</v>
      </c>
      <c r="J135" s="3">
        <v>18658.047144889249</v>
      </c>
      <c r="K135" s="3">
        <v>183.09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>
        <f>E135*(VLOOKUP(B135,Price_data!A$1:B$190,2,FALSE))</f>
        <v>12.947353894062301</v>
      </c>
      <c r="Q135" s="3" t="e">
        <f>G135*(VLOOKUP(B135,Price_data!A$1:B$190,2,FALSE))</f>
        <v>#N/A</v>
      </c>
      <c r="R135" s="3" t="e">
        <f>I135*(VLOOKUP(B135,Price_data!A$1:B$190,2,FALSE))</f>
        <v>#N/A</v>
      </c>
      <c r="S135" s="4" t="str">
        <f>(VLOOKUP(B135,Price_data!A$1:C$190,3,FALSE))</f>
        <v>Open access</v>
      </c>
      <c r="T135" s="2" t="str">
        <f>IF(C135="Total", (VLOOKUP(B135,Recommended_fish_intake!A$4:D$122,4,FALSE)), "NA")</f>
        <v>NA</v>
      </c>
      <c r="U135" s="2" t="str">
        <f t="shared" si="20"/>
        <v>NA</v>
      </c>
    </row>
    <row r="136" spans="1:21" ht="14.25" customHeight="1">
      <c r="A136" s="2" t="s">
        <v>18</v>
      </c>
      <c r="B136" s="2">
        <v>1909</v>
      </c>
      <c r="C136" s="2" t="s">
        <v>21</v>
      </c>
      <c r="D136" s="3">
        <f t="shared" si="14"/>
        <v>3.7394838447470025</v>
      </c>
      <c r="E136" s="3">
        <f t="shared" si="15"/>
        <v>1.2335E-2</v>
      </c>
      <c r="F136" s="3" t="e">
        <f t="shared" si="16"/>
        <v>#N/A</v>
      </c>
      <c r="G136" s="3" t="e">
        <f t="shared" si="17"/>
        <v>#N/A</v>
      </c>
      <c r="H136" s="3" t="e">
        <f t="shared" si="18"/>
        <v>#N/A</v>
      </c>
      <c r="I136" s="3" t="e">
        <f t="shared" si="19"/>
        <v>#N/A</v>
      </c>
      <c r="J136" s="3">
        <v>3739.4838447470024</v>
      </c>
      <c r="K136" s="3">
        <v>12.335000000000001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>
        <f>E136*(VLOOKUP(B136,Price_data!A$1:B$190,2,FALSE))</f>
        <v>0.87227926311245008</v>
      </c>
      <c r="Q136" s="3" t="e">
        <f>G136*(VLOOKUP(B136,Price_data!A$1:B$190,2,FALSE))</f>
        <v>#N/A</v>
      </c>
      <c r="R136" s="3" t="e">
        <f>I136*(VLOOKUP(B136,Price_data!A$1:B$190,2,FALSE))</f>
        <v>#N/A</v>
      </c>
      <c r="S136" s="4" t="str">
        <f>(VLOOKUP(B136,Price_data!A$1:C$190,3,FALSE))</f>
        <v>Open access</v>
      </c>
      <c r="T136" s="2" t="str">
        <f>IF(C136="Total", (VLOOKUP(B136,Recommended_fish_intake!A$4:D$122,4,FALSE)), "NA")</f>
        <v>NA</v>
      </c>
      <c r="U136" s="2" t="str">
        <f t="shared" si="20"/>
        <v>NA</v>
      </c>
    </row>
    <row r="137" spans="1:21" ht="14.25" customHeight="1">
      <c r="A137" s="2" t="s">
        <v>18</v>
      </c>
      <c r="B137" s="2">
        <v>1909</v>
      </c>
      <c r="C137" s="2" t="s">
        <v>22</v>
      </c>
      <c r="D137" s="3">
        <f t="shared" si="14"/>
        <v>109.28210729526519</v>
      </c>
      <c r="E137" s="3">
        <f t="shared" si="15"/>
        <v>0.95982699999999999</v>
      </c>
      <c r="F137" s="3" t="e">
        <f t="shared" si="16"/>
        <v>#N/A</v>
      </c>
      <c r="G137" s="3" t="e">
        <f t="shared" si="17"/>
        <v>#N/A</v>
      </c>
      <c r="H137" s="3" t="e">
        <f t="shared" si="18"/>
        <v>#N/A</v>
      </c>
      <c r="I137" s="3" t="e">
        <f t="shared" si="19"/>
        <v>#N/A</v>
      </c>
      <c r="J137" s="3">
        <v>109282.10729526519</v>
      </c>
      <c r="K137" s="3">
        <v>959.827</v>
      </c>
      <c r="L137" s="3" t="e">
        <v>#N/A</v>
      </c>
      <c r="M137" s="3" t="e">
        <v>#N/A</v>
      </c>
      <c r="N137" s="3" t="e">
        <v>#N/A</v>
      </c>
      <c r="O137" s="3" t="e">
        <v>#N/A</v>
      </c>
      <c r="P137" s="3">
        <f>E137*(VLOOKUP(B137,Price_data!A$1:B$190,2,FALSE))</f>
        <v>67.874924059621691</v>
      </c>
      <c r="Q137" s="3" t="e">
        <f>G137*(VLOOKUP(B137,Price_data!A$1:B$190,2,FALSE))</f>
        <v>#N/A</v>
      </c>
      <c r="R137" s="3" t="e">
        <f>I137*(VLOOKUP(B137,Price_data!A$1:B$190,2,FALSE))</f>
        <v>#N/A</v>
      </c>
      <c r="S137" s="4" t="str">
        <f>(VLOOKUP(B137,Price_data!A$1:C$190,3,FALSE))</f>
        <v>Open access</v>
      </c>
      <c r="T137" s="2" t="str">
        <f>IF(C137="Total", (VLOOKUP(B137,Recommended_fish_intake!A$4:D$122,4,FALSE)), "NA")</f>
        <v>NA</v>
      </c>
      <c r="U137" s="2" t="str">
        <f t="shared" si="20"/>
        <v>NA</v>
      </c>
    </row>
    <row r="138" spans="1:21" ht="14.25" customHeight="1">
      <c r="A138" s="2" t="s">
        <v>18</v>
      </c>
      <c r="B138" s="2">
        <v>1909</v>
      </c>
      <c r="C138" s="2" t="s">
        <v>23</v>
      </c>
      <c r="D138" s="3">
        <f t="shared" si="14"/>
        <v>112.96240601503759</v>
      </c>
      <c r="E138" s="3">
        <f t="shared" si="15"/>
        <v>1.2136300000000002</v>
      </c>
      <c r="F138" s="3" t="e">
        <f t="shared" si="16"/>
        <v>#N/A</v>
      </c>
      <c r="G138" s="3" t="e">
        <f t="shared" si="17"/>
        <v>#N/A</v>
      </c>
      <c r="H138" s="3" t="e">
        <f t="shared" si="18"/>
        <v>#N/A</v>
      </c>
      <c r="I138" s="3" t="e">
        <f t="shared" si="19"/>
        <v>#N/A</v>
      </c>
      <c r="J138" s="3">
        <v>112962.40601503759</v>
      </c>
      <c r="K138" s="3">
        <v>1213.6300000000001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>
        <f>E138*(VLOOKUP(B138,Price_data!A$1:B$190,2,FALSE))</f>
        <v>85.822803574476126</v>
      </c>
      <c r="Q138" s="3" t="e">
        <f>G138*(VLOOKUP(B138,Price_data!A$1:B$190,2,FALSE))</f>
        <v>#N/A</v>
      </c>
      <c r="R138" s="3" t="e">
        <f>I138*(VLOOKUP(B138,Price_data!A$1:B$190,2,FALSE))</f>
        <v>#N/A</v>
      </c>
      <c r="S138" s="4" t="str">
        <f>(VLOOKUP(B138,Price_data!A$1:C$190,3,FALSE))</f>
        <v>Open access</v>
      </c>
      <c r="T138" s="2" t="str">
        <f>IF(C138="Total", (VLOOKUP(B138,Recommended_fish_intake!A$4:D$122,4,FALSE)), "NA")</f>
        <v>NA</v>
      </c>
      <c r="U138" s="2" t="str">
        <f t="shared" si="20"/>
        <v>NA</v>
      </c>
    </row>
    <row r="139" spans="1:21" ht="14.25" customHeight="1">
      <c r="A139" s="2" t="s">
        <v>18</v>
      </c>
      <c r="B139" s="2">
        <v>1909</v>
      </c>
      <c r="C139" s="2" t="s">
        <v>24</v>
      </c>
      <c r="D139" s="3">
        <f t="shared" si="14"/>
        <v>15.467740296687664</v>
      </c>
      <c r="E139" s="3">
        <f t="shared" si="15"/>
        <v>0.13231999999999999</v>
      </c>
      <c r="F139" s="3" t="e">
        <f t="shared" si="16"/>
        <v>#N/A</v>
      </c>
      <c r="G139" s="3" t="e">
        <f t="shared" si="17"/>
        <v>#N/A</v>
      </c>
      <c r="H139" s="3" t="e">
        <f t="shared" si="18"/>
        <v>#N/A</v>
      </c>
      <c r="I139" s="3" t="e">
        <f t="shared" si="19"/>
        <v>#N/A</v>
      </c>
      <c r="J139" s="3">
        <v>15467.740296687663</v>
      </c>
      <c r="K139" s="3">
        <v>132.32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>
        <f>E139*(VLOOKUP(B139,Price_data!A$1:B$190,2,FALSE))</f>
        <v>9.3571132626703992</v>
      </c>
      <c r="Q139" s="3" t="e">
        <f>G139*(VLOOKUP(B139,Price_data!A$1:B$190,2,FALSE))</f>
        <v>#N/A</v>
      </c>
      <c r="R139" s="3" t="e">
        <f>I139*(VLOOKUP(B139,Price_data!A$1:B$190,2,FALSE))</f>
        <v>#N/A</v>
      </c>
      <c r="S139" s="4" t="str">
        <f>(VLOOKUP(B139,Price_data!A$1:C$190,3,FALSE))</f>
        <v>Open access</v>
      </c>
      <c r="T139" s="2" t="str">
        <f>IF(C139="Total", (VLOOKUP(B139,Recommended_fish_intake!A$4:D$122,4,FALSE)), "NA")</f>
        <v>NA</v>
      </c>
      <c r="U139" s="2" t="str">
        <f t="shared" si="20"/>
        <v>NA</v>
      </c>
    </row>
    <row r="140" spans="1:21" ht="14.25" customHeight="1">
      <c r="A140" s="2" t="s">
        <v>18</v>
      </c>
      <c r="B140" s="2">
        <v>1909</v>
      </c>
      <c r="C140" s="2" t="s">
        <v>25</v>
      </c>
      <c r="D140" s="3">
        <f t="shared" si="14"/>
        <v>53.427402966876642</v>
      </c>
      <c r="E140" s="3">
        <f t="shared" si="15"/>
        <v>0.91962699999999997</v>
      </c>
      <c r="F140" s="3" t="e">
        <f t="shared" si="16"/>
        <v>#N/A</v>
      </c>
      <c r="G140" s="3" t="e">
        <f t="shared" si="17"/>
        <v>#N/A</v>
      </c>
      <c r="H140" s="3" t="e">
        <f t="shared" si="18"/>
        <v>#N/A</v>
      </c>
      <c r="I140" s="3" t="e">
        <f t="shared" si="19"/>
        <v>#N/A</v>
      </c>
      <c r="J140" s="3">
        <v>53427.402966876645</v>
      </c>
      <c r="K140" s="3">
        <v>919.62699999999995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>
        <f>E140*(VLOOKUP(B140,Price_data!A$1:B$190,2,FALSE))</f>
        <v>65.032149322927694</v>
      </c>
      <c r="Q140" s="3" t="e">
        <f>G140*(VLOOKUP(B140,Price_data!A$1:B$190,2,FALSE))</f>
        <v>#N/A</v>
      </c>
      <c r="R140" s="3" t="e">
        <f>I140*(VLOOKUP(B140,Price_data!A$1:B$190,2,FALSE))</f>
        <v>#N/A</v>
      </c>
      <c r="S140" s="4" t="str">
        <f>(VLOOKUP(B140,Price_data!A$1:C$190,3,FALSE))</f>
        <v>Open access</v>
      </c>
      <c r="T140" s="2" t="str">
        <f>IF(C140="Total", (VLOOKUP(B140,Recommended_fish_intake!A$4:D$122,4,FALSE)), "NA")</f>
        <v>NA</v>
      </c>
      <c r="U140" s="2" t="str">
        <f t="shared" si="20"/>
        <v>NA</v>
      </c>
    </row>
    <row r="141" spans="1:21" ht="14.25" customHeight="1">
      <c r="A141" s="2" t="s">
        <v>15</v>
      </c>
      <c r="B141" s="2">
        <v>1909</v>
      </c>
      <c r="C141" s="2" t="s">
        <v>22</v>
      </c>
      <c r="D141" s="3" t="e">
        <f t="shared" si="14"/>
        <v>#N/A</v>
      </c>
      <c r="E141" s="3" t="e">
        <f t="shared" si="15"/>
        <v>#N/A</v>
      </c>
      <c r="F141" s="3" t="e">
        <f t="shared" si="16"/>
        <v>#N/A</v>
      </c>
      <c r="G141" s="3" t="e">
        <f t="shared" si="17"/>
        <v>#N/A</v>
      </c>
      <c r="H141" s="3" t="e">
        <f t="shared" si="18"/>
        <v>#N/A</v>
      </c>
      <c r="I141" s="3" t="e">
        <f t="shared" si="19"/>
        <v>#N/A</v>
      </c>
      <c r="J141" s="3" t="e">
        <v>#N/A</v>
      </c>
      <c r="K141" s="3" t="e">
        <v>#N/A</v>
      </c>
      <c r="L141" s="3" t="e">
        <v>#N/A</v>
      </c>
      <c r="M141" s="3" t="e">
        <v>#N/A</v>
      </c>
      <c r="N141" s="3" t="e">
        <v>#N/A</v>
      </c>
      <c r="O141" s="3" t="e">
        <v>#N/A</v>
      </c>
      <c r="P141" s="3" t="e">
        <f>E141*(VLOOKUP(B141,Price_data!A$1:B$190,2,FALSE))</f>
        <v>#N/A</v>
      </c>
      <c r="Q141" s="3" t="e">
        <f>G141*(VLOOKUP(B141,Price_data!A$1:B$190,2,FALSE))</f>
        <v>#N/A</v>
      </c>
      <c r="R141" s="3" t="e">
        <f>I141*(VLOOKUP(B141,Price_data!A$1:B$190,2,FALSE))</f>
        <v>#N/A</v>
      </c>
      <c r="S141" s="4" t="str">
        <f>(VLOOKUP(B141,Price_data!A$1:C$190,3,FALSE))</f>
        <v>Open access</v>
      </c>
      <c r="T141" s="2" t="str">
        <f>IF(C141="Total", (VLOOKUP(B141,Recommended_fish_intake!A$4:D$122,4,FALSE)), "NA")</f>
        <v>NA</v>
      </c>
      <c r="U141" s="2" t="str">
        <f t="shared" si="20"/>
        <v>NA</v>
      </c>
    </row>
    <row r="142" spans="1:21" ht="14.25" customHeight="1">
      <c r="A142" s="2" t="s">
        <v>15</v>
      </c>
      <c r="B142" s="2">
        <v>1909</v>
      </c>
      <c r="C142" s="2" t="s">
        <v>19</v>
      </c>
      <c r="D142" s="3" t="e">
        <f t="shared" si="14"/>
        <v>#N/A</v>
      </c>
      <c r="E142" s="3" t="e">
        <f t="shared" si="15"/>
        <v>#N/A</v>
      </c>
      <c r="F142" s="3" t="e">
        <f t="shared" si="16"/>
        <v>#N/A</v>
      </c>
      <c r="G142" s="3" t="e">
        <f t="shared" si="17"/>
        <v>#N/A</v>
      </c>
      <c r="H142" s="3" t="e">
        <f t="shared" si="18"/>
        <v>#N/A</v>
      </c>
      <c r="I142" s="3" t="e">
        <f t="shared" si="19"/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 t="e">
        <v>#N/A</v>
      </c>
      <c r="O142" s="3" t="e">
        <v>#N/A</v>
      </c>
      <c r="P142" s="3" t="e">
        <f>E142*(VLOOKUP(B142,Price_data!A$1:B$190,2,FALSE))</f>
        <v>#N/A</v>
      </c>
      <c r="Q142" s="3" t="e">
        <f>G142*(VLOOKUP(B142,Price_data!A$1:B$190,2,FALSE))</f>
        <v>#N/A</v>
      </c>
      <c r="R142" s="3" t="e">
        <f>I142*(VLOOKUP(B142,Price_data!A$1:B$190,2,FALSE))</f>
        <v>#N/A</v>
      </c>
      <c r="S142" s="4" t="str">
        <f>(VLOOKUP(B142,Price_data!A$1:C$190,3,FALSE))</f>
        <v>Open access</v>
      </c>
      <c r="T142" s="2" t="str">
        <f>IF(C142="Total", (VLOOKUP(B142,Recommended_fish_intake!A$4:D$122,4,FALSE)), "NA")</f>
        <v>NA</v>
      </c>
      <c r="U142" s="2" t="str">
        <f t="shared" si="20"/>
        <v>NA</v>
      </c>
    </row>
    <row r="143" spans="1:21" ht="14.25" customHeight="1">
      <c r="A143" s="2" t="s">
        <v>15</v>
      </c>
      <c r="B143" s="2">
        <v>1909</v>
      </c>
      <c r="C143" s="2" t="s">
        <v>28</v>
      </c>
      <c r="D143" s="3" t="e">
        <f t="shared" si="14"/>
        <v>#VALUE!</v>
      </c>
      <c r="E143" s="3" t="e">
        <f t="shared" si="15"/>
        <v>#VALUE!</v>
      </c>
      <c r="F143" s="3" t="e">
        <f t="shared" si="16"/>
        <v>#N/A</v>
      </c>
      <c r="G143" s="3" t="e">
        <f t="shared" si="17"/>
        <v>#N/A</v>
      </c>
      <c r="H143" s="3" t="e">
        <f t="shared" si="18"/>
        <v>#N/A</v>
      </c>
      <c r="I143" s="3" t="e">
        <f t="shared" si="19"/>
        <v>#N/A</v>
      </c>
      <c r="J143" s="3" t="e">
        <v>#VALUE!</v>
      </c>
      <c r="K143" s="3" t="e">
        <v>#VALUE!</v>
      </c>
      <c r="L143" s="3" t="e">
        <v>#N/A</v>
      </c>
      <c r="M143" s="3" t="e">
        <v>#N/A</v>
      </c>
      <c r="N143" s="3" t="e">
        <v>#N/A</v>
      </c>
      <c r="O143" s="3" t="e">
        <v>#N/A</v>
      </c>
      <c r="P143" s="3" t="e">
        <f>E143*(VLOOKUP(B143,Price_data!A$1:B$190,2,FALSE))</f>
        <v>#VALUE!</v>
      </c>
      <c r="Q143" s="3" t="e">
        <f>G143*(VLOOKUP(B143,Price_data!A$1:B$190,2,FALSE))</f>
        <v>#N/A</v>
      </c>
      <c r="R143" s="3" t="e">
        <f>I143*(VLOOKUP(B143,Price_data!A$1:B$190,2,FALSE))</f>
        <v>#N/A</v>
      </c>
      <c r="S143" s="4" t="str">
        <f>(VLOOKUP(B143,Price_data!A$1:C$190,3,FALSE))</f>
        <v>Open access</v>
      </c>
      <c r="T143" s="2" t="str">
        <f>IF(C143="Total", (VLOOKUP(B143,Recommended_fish_intake!A$4:D$122,4,FALSE)), "NA")</f>
        <v>NA</v>
      </c>
      <c r="U143" s="2" t="e">
        <f t="shared" si="20"/>
        <v>#VALUE!</v>
      </c>
    </row>
    <row r="144" spans="1:21" ht="14.25" customHeight="1">
      <c r="A144" s="2" t="s">
        <v>15</v>
      </c>
      <c r="B144" s="2">
        <v>1909</v>
      </c>
      <c r="C144" s="2" t="s">
        <v>29</v>
      </c>
      <c r="D144" s="3" t="e">
        <f t="shared" si="14"/>
        <v>#VALUE!</v>
      </c>
      <c r="E144" s="3" t="e">
        <f t="shared" si="15"/>
        <v>#VALUE!</v>
      </c>
      <c r="F144" s="3" t="e">
        <f t="shared" si="16"/>
        <v>#N/A</v>
      </c>
      <c r="G144" s="3" t="e">
        <f t="shared" si="17"/>
        <v>#N/A</v>
      </c>
      <c r="H144" s="3" t="e">
        <f t="shared" si="18"/>
        <v>#N/A</v>
      </c>
      <c r="I144" s="3" t="e">
        <f t="shared" si="19"/>
        <v>#N/A</v>
      </c>
      <c r="J144" s="3" t="e">
        <v>#VALUE!</v>
      </c>
      <c r="K144" s="3" t="e">
        <v>#VALUE!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f>E144*(VLOOKUP(B144,Price_data!A$1:B$190,2,FALSE))</f>
        <v>#VALUE!</v>
      </c>
      <c r="Q144" s="3" t="e">
        <f>G144*(VLOOKUP(B144,Price_data!A$1:B$190,2,FALSE))</f>
        <v>#N/A</v>
      </c>
      <c r="R144" s="3" t="e">
        <f>I144*(VLOOKUP(B144,Price_data!A$1:B$190,2,FALSE))</f>
        <v>#N/A</v>
      </c>
      <c r="S144" s="4" t="str">
        <f>(VLOOKUP(B144,Price_data!A$1:C$190,3,FALSE))</f>
        <v>Open access</v>
      </c>
      <c r="T144" s="2" t="str">
        <f>IF(C144="Total", (VLOOKUP(B144,Recommended_fish_intake!A$4:D$122,4,FALSE)), "NA")</f>
        <v>NA</v>
      </c>
      <c r="U144" s="2" t="str">
        <f t="shared" si="20"/>
        <v>NA</v>
      </c>
    </row>
    <row r="145" spans="1:21" ht="14.25" customHeight="1">
      <c r="A145" s="2" t="s">
        <v>15</v>
      </c>
      <c r="B145" s="2">
        <v>1909</v>
      </c>
      <c r="C145" s="2" t="s">
        <v>20</v>
      </c>
      <c r="D145" s="3" t="e">
        <f t="shared" si="14"/>
        <v>#N/A</v>
      </c>
      <c r="E145" s="3" t="e">
        <f t="shared" si="15"/>
        <v>#N/A</v>
      </c>
      <c r="F145" s="3" t="e">
        <f t="shared" si="16"/>
        <v>#N/A</v>
      </c>
      <c r="G145" s="3" t="e">
        <f t="shared" si="17"/>
        <v>#N/A</v>
      </c>
      <c r="H145" s="3" t="e">
        <f t="shared" si="18"/>
        <v>#N/A</v>
      </c>
      <c r="I145" s="3" t="e">
        <f t="shared" si="19"/>
        <v>#N/A</v>
      </c>
      <c r="J145" s="3" t="e">
        <v>#N/A</v>
      </c>
      <c r="K145" s="3" t="e">
        <v>#N/A</v>
      </c>
      <c r="L145" s="3" t="e">
        <v>#N/A</v>
      </c>
      <c r="M145" s="3" t="e">
        <v>#N/A</v>
      </c>
      <c r="N145" s="3" t="e">
        <v>#N/A</v>
      </c>
      <c r="O145" s="3" t="e">
        <v>#N/A</v>
      </c>
      <c r="P145" s="3" t="e">
        <f>E145*(VLOOKUP(B145,Price_data!A$1:B$190,2,FALSE))</f>
        <v>#N/A</v>
      </c>
      <c r="Q145" s="3" t="e">
        <f>G145*(VLOOKUP(B145,Price_data!A$1:B$190,2,FALSE))</f>
        <v>#N/A</v>
      </c>
      <c r="R145" s="3" t="e">
        <f>I145*(VLOOKUP(B145,Price_data!A$1:B$190,2,FALSE))</f>
        <v>#N/A</v>
      </c>
      <c r="S145" s="4" t="str">
        <f>(VLOOKUP(B145,Price_data!A$1:C$190,3,FALSE))</f>
        <v>Open access</v>
      </c>
      <c r="T145" s="2" t="str">
        <f>IF(C145="Total", (VLOOKUP(B145,Recommended_fish_intake!A$4:D$122,4,FALSE)), "NA")</f>
        <v>NA</v>
      </c>
      <c r="U145" s="2" t="str">
        <f t="shared" si="20"/>
        <v>NA</v>
      </c>
    </row>
    <row r="146" spans="1:21" ht="14.25" customHeight="1">
      <c r="A146" s="2" t="s">
        <v>15</v>
      </c>
      <c r="B146" s="2">
        <v>1909</v>
      </c>
      <c r="C146" s="2" t="s">
        <v>25</v>
      </c>
      <c r="D146" s="3" t="e">
        <f t="shared" si="14"/>
        <v>#N/A</v>
      </c>
      <c r="E146" s="3" t="e">
        <f t="shared" si="15"/>
        <v>#N/A</v>
      </c>
      <c r="F146" s="3" t="e">
        <f t="shared" si="16"/>
        <v>#N/A</v>
      </c>
      <c r="G146" s="3" t="e">
        <f t="shared" si="17"/>
        <v>#N/A</v>
      </c>
      <c r="H146" s="3" t="e">
        <f t="shared" si="18"/>
        <v>#N/A</v>
      </c>
      <c r="I146" s="3" t="e">
        <f t="shared" si="19"/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f>E146*(VLOOKUP(B146,Price_data!A$1:B$190,2,FALSE))</f>
        <v>#N/A</v>
      </c>
      <c r="Q146" s="3" t="e">
        <f>G146*(VLOOKUP(B146,Price_data!A$1:B$190,2,FALSE))</f>
        <v>#N/A</v>
      </c>
      <c r="R146" s="3" t="e">
        <f>I146*(VLOOKUP(B146,Price_data!A$1:B$190,2,FALSE))</f>
        <v>#N/A</v>
      </c>
      <c r="S146" s="4" t="str">
        <f>(VLOOKUP(B146,Price_data!A$1:C$190,3,FALSE))</f>
        <v>Open access</v>
      </c>
      <c r="T146" s="2" t="str">
        <f>IF(C146="Total", (VLOOKUP(B146,Recommended_fish_intake!A$4:D$122,4,FALSE)), "NA")</f>
        <v>NA</v>
      </c>
      <c r="U146" s="2" t="str">
        <f t="shared" si="20"/>
        <v>NA</v>
      </c>
    </row>
    <row r="147" spans="1:21" ht="14.25" customHeight="1">
      <c r="A147" s="2" t="s">
        <v>15</v>
      </c>
      <c r="B147" s="2">
        <v>1909</v>
      </c>
      <c r="C147" s="2" t="s">
        <v>24</v>
      </c>
      <c r="D147" s="3" t="e">
        <f t="shared" si="14"/>
        <v>#N/A</v>
      </c>
      <c r="E147" s="3" t="e">
        <f t="shared" si="15"/>
        <v>#N/A</v>
      </c>
      <c r="F147" s="3" t="e">
        <f t="shared" si="16"/>
        <v>#N/A</v>
      </c>
      <c r="G147" s="3" t="e">
        <f t="shared" si="17"/>
        <v>#N/A</v>
      </c>
      <c r="H147" s="3" t="e">
        <f t="shared" si="18"/>
        <v>#N/A</v>
      </c>
      <c r="I147" s="3" t="e">
        <f t="shared" si="19"/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f>E147*(VLOOKUP(B147,Price_data!A$1:B$190,2,FALSE))</f>
        <v>#N/A</v>
      </c>
      <c r="Q147" s="3" t="e">
        <f>G147*(VLOOKUP(B147,Price_data!A$1:B$190,2,FALSE))</f>
        <v>#N/A</v>
      </c>
      <c r="R147" s="3" t="e">
        <f>I147*(VLOOKUP(B147,Price_data!A$1:B$190,2,FALSE))</f>
        <v>#N/A</v>
      </c>
      <c r="S147" s="4" t="str">
        <f>(VLOOKUP(B147,Price_data!A$1:C$190,3,FALSE))</f>
        <v>Open access</v>
      </c>
      <c r="T147" s="2" t="str">
        <f>IF(C147="Total", (VLOOKUP(B147,Recommended_fish_intake!A$4:D$122,4,FALSE)), "NA")</f>
        <v>NA</v>
      </c>
      <c r="U147" s="2" t="str">
        <f t="shared" si="20"/>
        <v>NA</v>
      </c>
    </row>
    <row r="148" spans="1:21" ht="14.25" customHeight="1">
      <c r="A148" s="2" t="s">
        <v>15</v>
      </c>
      <c r="B148" s="2">
        <v>1909</v>
      </c>
      <c r="C148" s="2" t="s">
        <v>30</v>
      </c>
      <c r="D148" s="3" t="e">
        <f t="shared" si="14"/>
        <v>#N/A</v>
      </c>
      <c r="E148" s="3" t="e">
        <f t="shared" si="15"/>
        <v>#N/A</v>
      </c>
      <c r="F148" s="3" t="e">
        <f t="shared" si="16"/>
        <v>#N/A</v>
      </c>
      <c r="G148" s="3" t="e">
        <f t="shared" si="17"/>
        <v>#N/A</v>
      </c>
      <c r="H148" s="3" t="e">
        <f t="shared" si="18"/>
        <v>#N/A</v>
      </c>
      <c r="I148" s="3" t="e">
        <f t="shared" si="19"/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f>E148*(VLOOKUP(B148,Price_data!A$1:B$190,2,FALSE))</f>
        <v>#N/A</v>
      </c>
      <c r="Q148" s="3" t="e">
        <f>G148*(VLOOKUP(B148,Price_data!A$1:B$190,2,FALSE))</f>
        <v>#N/A</v>
      </c>
      <c r="R148" s="3" t="e">
        <f>I148*(VLOOKUP(B148,Price_data!A$1:B$190,2,FALSE))</f>
        <v>#N/A</v>
      </c>
      <c r="S148" s="4" t="str">
        <f>(VLOOKUP(B148,Price_data!A$1:C$190,3,FALSE))</f>
        <v>Open access</v>
      </c>
      <c r="T148" s="2" t="str">
        <f>IF(C148="Total", (VLOOKUP(B148,Recommended_fish_intake!A$4:D$122,4,FALSE)), "NA")</f>
        <v>NA</v>
      </c>
      <c r="U148" s="2" t="str">
        <f t="shared" si="20"/>
        <v>NA</v>
      </c>
    </row>
    <row r="149" spans="1:21" ht="14.25" customHeight="1">
      <c r="A149" s="2" t="s">
        <v>15</v>
      </c>
      <c r="B149" s="2">
        <v>1910</v>
      </c>
      <c r="C149" s="2" t="s">
        <v>16</v>
      </c>
      <c r="D149" s="3">
        <f t="shared" si="14"/>
        <v>1161.7906421459052</v>
      </c>
      <c r="E149" s="3">
        <f t="shared" si="15"/>
        <v>11.740054000000001</v>
      </c>
      <c r="F149" s="3">
        <f t="shared" si="16"/>
        <v>453.21027230237758</v>
      </c>
      <c r="G149" s="3">
        <f t="shared" si="17"/>
        <v>5.2435469999999995</v>
      </c>
      <c r="H149" s="3">
        <f t="shared" si="18"/>
        <v>192.13132493395651</v>
      </c>
      <c r="I149" s="3">
        <f t="shared" si="19"/>
        <v>3.7454839999999998</v>
      </c>
      <c r="J149" s="3">
        <v>1161790.6421459052</v>
      </c>
      <c r="K149" s="3">
        <v>11740.054</v>
      </c>
      <c r="L149" s="3">
        <v>453210.27230237756</v>
      </c>
      <c r="M149" s="3">
        <v>5243.5469999999996</v>
      </c>
      <c r="N149" s="3">
        <v>192131.32493395649</v>
      </c>
      <c r="O149" s="3">
        <v>3745.4839999999999</v>
      </c>
      <c r="P149" s="3">
        <f>E149*(VLOOKUP(B149,Price_data!A$1:B$190,2,FALSE))</f>
        <v>821.55919558080018</v>
      </c>
      <c r="Q149" s="3">
        <f>G149*(VLOOKUP(B149,Price_data!A$1:B$190,2,FALSE))</f>
        <v>366.93904945497843</v>
      </c>
      <c r="R149" s="3">
        <f>I149*(VLOOKUP(B149,Price_data!A$1:B$190,2,FALSE))</f>
        <v>262.10584909581826</v>
      </c>
      <c r="S149" s="4" t="str">
        <f>(VLOOKUP(B149,Price_data!A$1:C$190,3,FALSE))</f>
        <v>Open access</v>
      </c>
      <c r="T149" s="2">
        <f>IF(C149="Total", (VLOOKUP(B149,Recommended_fish_intake!A$4:D$122,4,FALSE)), "NA")</f>
        <v>588.38685294789457</v>
      </c>
      <c r="U149" s="2" t="str">
        <f t="shared" si="20"/>
        <v>NA</v>
      </c>
    </row>
    <row r="150" spans="1:21" ht="14.25" customHeight="1">
      <c r="A150" s="2" t="s">
        <v>18</v>
      </c>
      <c r="B150" s="2">
        <v>1910</v>
      </c>
      <c r="C150" s="2" t="s">
        <v>19</v>
      </c>
      <c r="D150" s="3">
        <f t="shared" si="14"/>
        <v>194.45138183296075</v>
      </c>
      <c r="E150" s="3">
        <f t="shared" si="15"/>
        <v>1.4707349999999999</v>
      </c>
      <c r="F150" s="3" t="e">
        <f t="shared" si="16"/>
        <v>#N/A</v>
      </c>
      <c r="G150" s="3" t="e">
        <f t="shared" si="17"/>
        <v>#N/A</v>
      </c>
      <c r="H150" s="3" t="e">
        <f t="shared" si="18"/>
        <v>#N/A</v>
      </c>
      <c r="I150" s="3" t="e">
        <f t="shared" si="19"/>
        <v>#N/A</v>
      </c>
      <c r="J150" s="3">
        <v>194451.38183296076</v>
      </c>
      <c r="K150" s="3">
        <v>1470.7349999999999</v>
      </c>
      <c r="L150" s="3" t="e">
        <v>#N/A</v>
      </c>
      <c r="M150" s="3" t="e">
        <v>#N/A</v>
      </c>
      <c r="N150" s="3" t="e">
        <v>#N/A</v>
      </c>
      <c r="O150" s="3" t="e">
        <v>#N/A</v>
      </c>
      <c r="P150" s="3">
        <f>E150*(VLOOKUP(B150,Price_data!A$1:B$190,2,FALSE))</f>
        <v>102.92080969240244</v>
      </c>
      <c r="Q150" s="3" t="e">
        <f>G150*(VLOOKUP(B150,Price_data!A$1:B$190,2,FALSE))</f>
        <v>#N/A</v>
      </c>
      <c r="R150" s="3" t="e">
        <f>I150*(VLOOKUP(B150,Price_data!A$1:B$190,2,FALSE))</f>
        <v>#N/A</v>
      </c>
      <c r="S150" s="4" t="str">
        <f>(VLOOKUP(B150,Price_data!A$1:C$190,3,FALSE))</f>
        <v>Open access</v>
      </c>
      <c r="T150" s="2" t="str">
        <f>IF(C150="Total", (VLOOKUP(B150,Recommended_fish_intake!A$4:D$122,4,FALSE)), "NA")</f>
        <v>NA</v>
      </c>
      <c r="U150" s="2" t="str">
        <f t="shared" si="20"/>
        <v>NA</v>
      </c>
    </row>
    <row r="151" spans="1:21" ht="14.25" customHeight="1">
      <c r="A151" s="2" t="s">
        <v>18</v>
      </c>
      <c r="B151" s="2">
        <v>1910</v>
      </c>
      <c r="C151" s="2" t="s">
        <v>20</v>
      </c>
      <c r="D151" s="3">
        <f t="shared" si="14"/>
        <v>20.734098760414547</v>
      </c>
      <c r="E151" s="3">
        <f t="shared" si="15"/>
        <v>0.19029400000000002</v>
      </c>
      <c r="F151" s="3" t="e">
        <f t="shared" si="16"/>
        <v>#N/A</v>
      </c>
      <c r="G151" s="3" t="e">
        <f t="shared" si="17"/>
        <v>#N/A</v>
      </c>
      <c r="H151" s="3" t="e">
        <f t="shared" si="18"/>
        <v>#N/A</v>
      </c>
      <c r="I151" s="3" t="e">
        <f t="shared" si="19"/>
        <v>#N/A</v>
      </c>
      <c r="J151" s="3">
        <v>20734.098760414548</v>
      </c>
      <c r="K151" s="3">
        <v>190.29400000000001</v>
      </c>
      <c r="L151" s="3" t="e">
        <v>#N/A</v>
      </c>
      <c r="M151" s="3" t="e">
        <v>#N/A</v>
      </c>
      <c r="N151" s="3" t="e">
        <v>#N/A</v>
      </c>
      <c r="O151" s="3" t="e">
        <v>#N/A</v>
      </c>
      <c r="P151" s="3">
        <f>E151*(VLOOKUP(B151,Price_data!A$1:B$190,2,FALSE))</f>
        <v>13.316615542300982</v>
      </c>
      <c r="Q151" s="3" t="e">
        <f>G151*(VLOOKUP(B151,Price_data!A$1:B$190,2,FALSE))</f>
        <v>#N/A</v>
      </c>
      <c r="R151" s="3" t="e">
        <f>I151*(VLOOKUP(B151,Price_data!A$1:B$190,2,FALSE))</f>
        <v>#N/A</v>
      </c>
      <c r="S151" s="4" t="str">
        <f>(VLOOKUP(B151,Price_data!A$1:C$190,3,FALSE))</f>
        <v>Open access</v>
      </c>
      <c r="T151" s="2" t="str">
        <f>IF(C151="Total", (VLOOKUP(B151,Recommended_fish_intake!A$4:D$122,4,FALSE)), "NA")</f>
        <v>NA</v>
      </c>
      <c r="U151" s="2" t="str">
        <f t="shared" si="20"/>
        <v>NA</v>
      </c>
    </row>
    <row r="152" spans="1:21" ht="14.25" customHeight="1">
      <c r="A152" s="2" t="s">
        <v>18</v>
      </c>
      <c r="B152" s="2">
        <v>1910</v>
      </c>
      <c r="C152" s="2" t="s">
        <v>21</v>
      </c>
      <c r="D152" s="3">
        <f t="shared" si="14"/>
        <v>3.685937817516765</v>
      </c>
      <c r="E152" s="3">
        <f t="shared" si="15"/>
        <v>1.4648E-2</v>
      </c>
      <c r="F152" s="3" t="e">
        <f t="shared" si="16"/>
        <v>#N/A</v>
      </c>
      <c r="G152" s="3" t="e">
        <f t="shared" si="17"/>
        <v>#N/A</v>
      </c>
      <c r="H152" s="3" t="e">
        <f t="shared" si="18"/>
        <v>#N/A</v>
      </c>
      <c r="I152" s="3" t="e">
        <f t="shared" si="19"/>
        <v>#N/A</v>
      </c>
      <c r="J152" s="3">
        <v>3685.9378175167649</v>
      </c>
      <c r="K152" s="3">
        <v>14.648</v>
      </c>
      <c r="L152" s="3" t="e">
        <v>#N/A</v>
      </c>
      <c r="M152" s="3" t="e">
        <v>#N/A</v>
      </c>
      <c r="N152" s="3" t="e">
        <v>#N/A</v>
      </c>
      <c r="O152" s="3" t="e">
        <v>#N/A</v>
      </c>
      <c r="P152" s="3">
        <f>E152*(VLOOKUP(B152,Price_data!A$1:B$190,2,FALSE))</f>
        <v>1.0250548333821599</v>
      </c>
      <c r="Q152" s="3" t="e">
        <f>G152*(VLOOKUP(B152,Price_data!A$1:B$190,2,FALSE))</f>
        <v>#N/A</v>
      </c>
      <c r="R152" s="3" t="e">
        <f>I152*(VLOOKUP(B152,Price_data!A$1:B$190,2,FALSE))</f>
        <v>#N/A</v>
      </c>
      <c r="S152" s="4" t="str">
        <f>(VLOOKUP(B152,Price_data!A$1:C$190,3,FALSE))</f>
        <v>Open access</v>
      </c>
      <c r="T152" s="2" t="str">
        <f>IF(C152="Total", (VLOOKUP(B152,Recommended_fish_intake!A$4:D$122,4,FALSE)), "NA")</f>
        <v>NA</v>
      </c>
      <c r="U152" s="2" t="str">
        <f t="shared" si="20"/>
        <v>NA</v>
      </c>
    </row>
    <row r="153" spans="1:21" ht="14.25" customHeight="1">
      <c r="A153" s="2" t="s">
        <v>18</v>
      </c>
      <c r="B153" s="2">
        <v>1910</v>
      </c>
      <c r="C153" s="2" t="s">
        <v>22</v>
      </c>
      <c r="D153" s="3">
        <f t="shared" si="14"/>
        <v>120.16912212964844</v>
      </c>
      <c r="E153" s="3">
        <f t="shared" si="15"/>
        <v>1.178974</v>
      </c>
      <c r="F153" s="3" t="e">
        <f t="shared" si="16"/>
        <v>#N/A</v>
      </c>
      <c r="G153" s="3" t="e">
        <f t="shared" si="17"/>
        <v>#N/A</v>
      </c>
      <c r="H153" s="3" t="e">
        <f t="shared" si="18"/>
        <v>#N/A</v>
      </c>
      <c r="I153" s="3" t="e">
        <f t="shared" si="19"/>
        <v>#N/A</v>
      </c>
      <c r="J153" s="3">
        <v>120169.12212964844</v>
      </c>
      <c r="K153" s="3">
        <v>1178.9739999999999</v>
      </c>
      <c r="L153" s="3" t="e">
        <v>#N/A</v>
      </c>
      <c r="M153" s="3" t="e">
        <v>#N/A</v>
      </c>
      <c r="N153" s="3" t="e">
        <v>#N/A</v>
      </c>
      <c r="O153" s="3" t="e">
        <v>#N/A</v>
      </c>
      <c r="P153" s="3">
        <f>E153*(VLOOKUP(B153,Price_data!A$1:B$190,2,FALSE))</f>
        <v>82.503618045596582</v>
      </c>
      <c r="Q153" s="3" t="e">
        <f>G153*(VLOOKUP(B153,Price_data!A$1:B$190,2,FALSE))</f>
        <v>#N/A</v>
      </c>
      <c r="R153" s="3" t="e">
        <f>I153*(VLOOKUP(B153,Price_data!A$1:B$190,2,FALSE))</f>
        <v>#N/A</v>
      </c>
      <c r="S153" s="4" t="str">
        <f>(VLOOKUP(B153,Price_data!A$1:C$190,3,FALSE))</f>
        <v>Open access</v>
      </c>
      <c r="T153" s="2" t="str">
        <f>IF(C153="Total", (VLOOKUP(B153,Recommended_fish_intake!A$4:D$122,4,FALSE)), "NA")</f>
        <v>NA</v>
      </c>
      <c r="U153" s="2" t="str">
        <f t="shared" si="20"/>
        <v>NA</v>
      </c>
    </row>
    <row r="154" spans="1:21" ht="14.25" customHeight="1">
      <c r="A154" s="2" t="s">
        <v>18</v>
      </c>
      <c r="B154" s="2">
        <v>1910</v>
      </c>
      <c r="C154" s="2" t="s">
        <v>23</v>
      </c>
      <c r="D154" s="3">
        <f t="shared" si="14"/>
        <v>103.61100386100387</v>
      </c>
      <c r="E154" s="3">
        <f t="shared" si="15"/>
        <v>1.220437</v>
      </c>
      <c r="F154" s="3" t="e">
        <f t="shared" si="16"/>
        <v>#N/A</v>
      </c>
      <c r="G154" s="3" t="e">
        <f t="shared" si="17"/>
        <v>#N/A</v>
      </c>
      <c r="H154" s="3" t="e">
        <f t="shared" si="18"/>
        <v>#N/A</v>
      </c>
      <c r="I154" s="3" t="e">
        <f t="shared" si="19"/>
        <v>#N/A</v>
      </c>
      <c r="J154" s="3">
        <v>103611.00386100386</v>
      </c>
      <c r="K154" s="3">
        <v>1220.4369999999999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>
        <f>E154*(VLOOKUP(B154,Price_data!A$1:B$190,2,FALSE))</f>
        <v>85.405164233234785</v>
      </c>
      <c r="Q154" s="3" t="e">
        <f>G154*(VLOOKUP(B154,Price_data!A$1:B$190,2,FALSE))</f>
        <v>#N/A</v>
      </c>
      <c r="R154" s="3" t="e">
        <f>I154*(VLOOKUP(B154,Price_data!A$1:B$190,2,FALSE))</f>
        <v>#N/A</v>
      </c>
      <c r="S154" s="4" t="str">
        <f>(VLOOKUP(B154,Price_data!A$1:C$190,3,FALSE))</f>
        <v>Open access</v>
      </c>
      <c r="T154" s="2" t="str">
        <f>IF(C154="Total", (VLOOKUP(B154,Recommended_fish_intake!A$4:D$122,4,FALSE)), "NA")</f>
        <v>NA</v>
      </c>
      <c r="U154" s="2" t="str">
        <f t="shared" si="20"/>
        <v>NA</v>
      </c>
    </row>
    <row r="155" spans="1:21" ht="14.25" customHeight="1">
      <c r="A155" s="2" t="s">
        <v>18</v>
      </c>
      <c r="B155" s="2">
        <v>1910</v>
      </c>
      <c r="C155" s="2" t="s">
        <v>24</v>
      </c>
      <c r="D155" s="3">
        <f t="shared" si="14"/>
        <v>16.994411704938017</v>
      </c>
      <c r="E155" s="3">
        <f t="shared" si="15"/>
        <v>0.16201199999999999</v>
      </c>
      <c r="F155" s="3" t="e">
        <f t="shared" si="16"/>
        <v>#N/A</v>
      </c>
      <c r="G155" s="3" t="e">
        <f t="shared" si="17"/>
        <v>#N/A</v>
      </c>
      <c r="H155" s="3" t="e">
        <f t="shared" si="18"/>
        <v>#N/A</v>
      </c>
      <c r="I155" s="3" t="e">
        <f t="shared" si="19"/>
        <v>#N/A</v>
      </c>
      <c r="J155" s="3">
        <v>16994.411704938018</v>
      </c>
      <c r="K155" s="3">
        <v>162.012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>
        <f>E155*(VLOOKUP(B155,Price_data!A$1:B$190,2,FALSE))</f>
        <v>11.33746475054004</v>
      </c>
      <c r="Q155" s="3" t="e">
        <f>G155*(VLOOKUP(B155,Price_data!A$1:B$190,2,FALSE))</f>
        <v>#N/A</v>
      </c>
      <c r="R155" s="3" t="e">
        <f>I155*(VLOOKUP(B155,Price_data!A$1:B$190,2,FALSE))</f>
        <v>#N/A</v>
      </c>
      <c r="S155" s="4" t="str">
        <f>(VLOOKUP(B155,Price_data!A$1:C$190,3,FALSE))</f>
        <v>Open access</v>
      </c>
      <c r="T155" s="2" t="str">
        <f>IF(C155="Total", (VLOOKUP(B155,Recommended_fish_intake!A$4:D$122,4,FALSE)), "NA")</f>
        <v>NA</v>
      </c>
      <c r="U155" s="2" t="str">
        <f t="shared" si="20"/>
        <v>NA</v>
      </c>
    </row>
    <row r="156" spans="1:21" ht="14.25" customHeight="1">
      <c r="A156" s="2" t="s">
        <v>18</v>
      </c>
      <c r="B156" s="2">
        <v>1910</v>
      </c>
      <c r="C156" s="2" t="s">
        <v>25</v>
      </c>
      <c r="D156" s="3">
        <f t="shared" si="14"/>
        <v>47.828794960373905</v>
      </c>
      <c r="E156" s="3">
        <f t="shared" si="15"/>
        <v>0.95515499999999998</v>
      </c>
      <c r="F156" s="3" t="e">
        <f t="shared" si="16"/>
        <v>#N/A</v>
      </c>
      <c r="G156" s="3" t="e">
        <f t="shared" si="17"/>
        <v>#N/A</v>
      </c>
      <c r="H156" s="3" t="e">
        <f t="shared" si="18"/>
        <v>#N/A</v>
      </c>
      <c r="I156" s="3" t="e">
        <f t="shared" si="19"/>
        <v>#N/A</v>
      </c>
      <c r="J156" s="3">
        <v>47828.794960373903</v>
      </c>
      <c r="K156" s="3">
        <v>955.15499999999997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>
        <f>E156*(VLOOKUP(B156,Price_data!A$1:B$190,2,FALSE))</f>
        <v>66.84095094068384</v>
      </c>
      <c r="Q156" s="3" t="e">
        <f>G156*(VLOOKUP(B156,Price_data!A$1:B$190,2,FALSE))</f>
        <v>#N/A</v>
      </c>
      <c r="R156" s="3" t="e">
        <f>I156*(VLOOKUP(B156,Price_data!A$1:B$190,2,FALSE))</f>
        <v>#N/A</v>
      </c>
      <c r="S156" s="4" t="str">
        <f>(VLOOKUP(B156,Price_data!A$1:C$190,3,FALSE))</f>
        <v>Open access</v>
      </c>
      <c r="T156" s="2" t="str">
        <f>IF(C156="Total", (VLOOKUP(B156,Recommended_fish_intake!A$4:D$122,4,FALSE)), "NA")</f>
        <v>NA</v>
      </c>
      <c r="U156" s="2" t="str">
        <f t="shared" si="20"/>
        <v>NA</v>
      </c>
    </row>
    <row r="157" spans="1:21" ht="14.25" customHeight="1">
      <c r="A157" s="2" t="s">
        <v>15</v>
      </c>
      <c r="B157" s="2">
        <v>1910</v>
      </c>
      <c r="C157" s="2" t="s">
        <v>22</v>
      </c>
      <c r="D157" s="3" t="e">
        <f t="shared" si="14"/>
        <v>#N/A</v>
      </c>
      <c r="E157" s="3" t="e">
        <f t="shared" si="15"/>
        <v>#N/A</v>
      </c>
      <c r="F157" s="3">
        <f t="shared" si="16"/>
        <v>16.046179638284901</v>
      </c>
      <c r="G157" s="3">
        <f t="shared" si="17"/>
        <v>0.37568400000000002</v>
      </c>
      <c r="H157" s="3" t="e">
        <f t="shared" si="18"/>
        <v>#VALUE!</v>
      </c>
      <c r="I157" s="3" t="e">
        <f t="shared" si="19"/>
        <v>#VALUE!</v>
      </c>
      <c r="J157" s="3" t="e">
        <v>#N/A</v>
      </c>
      <c r="K157" s="3" t="e">
        <v>#N/A</v>
      </c>
      <c r="L157" s="3">
        <v>16046.179638284901</v>
      </c>
      <c r="M157" s="3">
        <v>375.68400000000003</v>
      </c>
      <c r="N157" s="3" t="e">
        <v>#VALUE!</v>
      </c>
      <c r="O157" s="3" t="e">
        <v>#VALUE!</v>
      </c>
      <c r="P157" s="3" t="e">
        <f>E157*(VLOOKUP(B157,Price_data!A$1:B$190,2,FALSE))</f>
        <v>#N/A</v>
      </c>
      <c r="Q157" s="3">
        <f>G157*(VLOOKUP(B157,Price_data!A$1:B$190,2,FALSE))</f>
        <v>26.290053251252282</v>
      </c>
      <c r="R157" s="3" t="e">
        <f>I157*(VLOOKUP(B157,Price_data!A$1:B$190,2,FALSE))</f>
        <v>#VALUE!</v>
      </c>
      <c r="S157" s="4" t="str">
        <f>(VLOOKUP(B157,Price_data!A$1:C$190,3,FALSE))</f>
        <v>Open access</v>
      </c>
      <c r="T157" s="2" t="str">
        <f>IF(C157="Total", (VLOOKUP(B157,Recommended_fish_intake!A$4:D$122,4,FALSE)), "NA")</f>
        <v>NA</v>
      </c>
      <c r="U157" s="2" t="str">
        <f t="shared" si="20"/>
        <v>NA</v>
      </c>
    </row>
    <row r="158" spans="1:21" ht="14.25" customHeight="1">
      <c r="A158" s="2" t="s">
        <v>15</v>
      </c>
      <c r="B158" s="2">
        <v>1910</v>
      </c>
      <c r="C158" s="2" t="s">
        <v>23</v>
      </c>
      <c r="D158" s="3" t="e">
        <f t="shared" si="14"/>
        <v>#N/A</v>
      </c>
      <c r="E158" s="3" t="e">
        <f t="shared" si="15"/>
        <v>#N/A</v>
      </c>
      <c r="F158" s="3">
        <f t="shared" si="16"/>
        <v>3.2748933143669983</v>
      </c>
      <c r="G158" s="3">
        <f t="shared" si="17"/>
        <v>7.9491000000000006E-2</v>
      </c>
      <c r="H158" s="3" t="e">
        <f t="shared" si="18"/>
        <v>#VALUE!</v>
      </c>
      <c r="I158" s="3" t="e">
        <f t="shared" si="19"/>
        <v>#VALUE!</v>
      </c>
      <c r="J158" s="3" t="e">
        <v>#N/A</v>
      </c>
      <c r="K158" s="3" t="e">
        <v>#N/A</v>
      </c>
      <c r="L158" s="3">
        <v>3274.8933143669983</v>
      </c>
      <c r="M158" s="3">
        <v>79.491</v>
      </c>
      <c r="N158" s="3" t="e">
        <v>#VALUE!</v>
      </c>
      <c r="O158" s="3" t="e">
        <v>#VALUE!</v>
      </c>
      <c r="P158" s="3" t="e">
        <f>E158*(VLOOKUP(B158,Price_data!A$1:B$190,2,FALSE))</f>
        <v>#N/A</v>
      </c>
      <c r="Q158" s="3">
        <f>G158*(VLOOKUP(B158,Price_data!A$1:B$190,2,FALSE))</f>
        <v>5.5627139377649701</v>
      </c>
      <c r="R158" s="3" t="e">
        <f>I158*(VLOOKUP(B158,Price_data!A$1:B$190,2,FALSE))</f>
        <v>#VALUE!</v>
      </c>
      <c r="S158" s="4" t="str">
        <f>(VLOOKUP(B158,Price_data!A$1:C$190,3,FALSE))</f>
        <v>Open access</v>
      </c>
      <c r="T158" s="2" t="str">
        <f>IF(C158="Total", (VLOOKUP(B158,Recommended_fish_intake!A$4:D$122,4,FALSE)), "NA")</f>
        <v>NA</v>
      </c>
      <c r="U158" s="2" t="str">
        <f t="shared" si="20"/>
        <v>NA</v>
      </c>
    </row>
    <row r="159" spans="1:21" ht="14.25" customHeight="1">
      <c r="A159" s="2" t="s">
        <v>15</v>
      </c>
      <c r="B159" s="2">
        <v>1910</v>
      </c>
      <c r="C159" s="2" t="s">
        <v>19</v>
      </c>
      <c r="D159" s="3" t="e">
        <f t="shared" si="14"/>
        <v>#N/A</v>
      </c>
      <c r="E159" s="3" t="e">
        <f t="shared" si="15"/>
        <v>#N/A</v>
      </c>
      <c r="F159" s="3">
        <f t="shared" si="16"/>
        <v>408.56096321885792</v>
      </c>
      <c r="G159" s="3">
        <f t="shared" si="17"/>
        <v>4.0343080000000002</v>
      </c>
      <c r="H159" s="3">
        <f t="shared" si="18"/>
        <v>67.095102621418405</v>
      </c>
      <c r="I159" s="3">
        <f t="shared" si="19"/>
        <v>0.330399</v>
      </c>
      <c r="J159" s="3" t="e">
        <v>#N/A</v>
      </c>
      <c r="K159" s="3" t="e">
        <v>#N/A</v>
      </c>
      <c r="L159" s="3">
        <v>408560.96321885794</v>
      </c>
      <c r="M159" s="3">
        <v>4034.308</v>
      </c>
      <c r="N159" s="3">
        <v>67095.102621418409</v>
      </c>
      <c r="O159" s="3">
        <v>330.399</v>
      </c>
      <c r="P159" s="3" t="e">
        <f>E159*(VLOOKUP(B159,Price_data!A$1:B$190,2,FALSE))</f>
        <v>#N/A</v>
      </c>
      <c r="Q159" s="3">
        <f>G159*(VLOOKUP(B159,Price_data!A$1:B$190,2,FALSE))</f>
        <v>282.31751193011439</v>
      </c>
      <c r="R159" s="3">
        <f>I159*(VLOOKUP(B159,Price_data!A$1:B$190,2,FALSE))</f>
        <v>23.121046688601329</v>
      </c>
      <c r="S159" s="4" t="str">
        <f>(VLOOKUP(B159,Price_data!A$1:C$190,3,FALSE))</f>
        <v>Open access</v>
      </c>
      <c r="T159" s="2" t="str">
        <f>IF(C159="Total", (VLOOKUP(B159,Recommended_fish_intake!A$4:D$122,4,FALSE)), "NA")</f>
        <v>NA</v>
      </c>
      <c r="U159" s="2" t="str">
        <f t="shared" si="20"/>
        <v>NA</v>
      </c>
    </row>
    <row r="160" spans="1:21" ht="14.25" customHeight="1">
      <c r="A160" s="2" t="s">
        <v>15</v>
      </c>
      <c r="B160" s="2">
        <v>1910</v>
      </c>
      <c r="C160" s="2" t="s">
        <v>28</v>
      </c>
      <c r="D160" s="3" t="e">
        <f t="shared" si="14"/>
        <v>#VALUE!</v>
      </c>
      <c r="E160" s="3" t="e">
        <f t="shared" si="15"/>
        <v>#VALUE!</v>
      </c>
      <c r="F160" s="3">
        <f t="shared" si="16"/>
        <v>0.87680349522454781</v>
      </c>
      <c r="G160" s="3">
        <f t="shared" si="17"/>
        <v>3.7122000000000002E-2</v>
      </c>
      <c r="H160" s="3">
        <f t="shared" si="18"/>
        <v>12.466419426945743</v>
      </c>
      <c r="I160" s="3">
        <f t="shared" si="19"/>
        <v>0.47443999999999997</v>
      </c>
      <c r="J160" s="3" t="e">
        <v>#VALUE!</v>
      </c>
      <c r="K160" s="3" t="e">
        <v>#VALUE!</v>
      </c>
      <c r="L160" s="3">
        <v>876.80349522454776</v>
      </c>
      <c r="M160" s="3">
        <v>37.122</v>
      </c>
      <c r="N160" s="3">
        <v>12466.419426945742</v>
      </c>
      <c r="O160" s="3">
        <v>474.44</v>
      </c>
      <c r="P160" s="3" t="e">
        <f>E160*(VLOOKUP(B160,Price_data!A$1:B$190,2,FALSE))</f>
        <v>#VALUE!</v>
      </c>
      <c r="Q160" s="3">
        <f>G160*(VLOOKUP(B160,Price_data!A$1:B$190,2,FALSE))</f>
        <v>2.5977666251237399</v>
      </c>
      <c r="R160" s="3">
        <f>I160*(VLOOKUP(B160,Price_data!A$1:B$190,2,FALSE))</f>
        <v>33.200915834914795</v>
      </c>
      <c r="S160" s="4" t="str">
        <f>(VLOOKUP(B160,Price_data!A$1:C$190,3,FALSE))</f>
        <v>Open access</v>
      </c>
      <c r="T160" s="2" t="str">
        <f>IF(C160="Total", (VLOOKUP(B160,Recommended_fish_intake!A$4:D$122,4,FALSE)), "NA")</f>
        <v>NA</v>
      </c>
      <c r="U160" s="2" t="e">
        <f t="shared" si="20"/>
        <v>#VALUE!</v>
      </c>
    </row>
    <row r="161" spans="1:21" ht="14.25" customHeight="1">
      <c r="A161" s="2" t="s">
        <v>15</v>
      </c>
      <c r="B161" s="2">
        <v>1910</v>
      </c>
      <c r="C161" s="2" t="s">
        <v>29</v>
      </c>
      <c r="D161" s="3" t="e">
        <f t="shared" si="14"/>
        <v>#VALUE!</v>
      </c>
      <c r="E161" s="3" t="e">
        <f t="shared" si="15"/>
        <v>#VALUE!</v>
      </c>
      <c r="F161" s="3">
        <f t="shared" si="16"/>
        <v>0.39092664092664092</v>
      </c>
      <c r="G161" s="3">
        <f t="shared" si="17"/>
        <v>6.9293999999999994E-2</v>
      </c>
      <c r="H161" s="3">
        <f t="shared" si="18"/>
        <v>32.309794757163175</v>
      </c>
      <c r="I161" s="3">
        <f t="shared" si="19"/>
        <v>1.765134</v>
      </c>
      <c r="J161" s="3" t="e">
        <v>#VALUE!</v>
      </c>
      <c r="K161" s="3" t="e">
        <v>#VALUE!</v>
      </c>
      <c r="L161" s="3">
        <v>390.92664092664091</v>
      </c>
      <c r="M161" s="3">
        <v>69.293999999999997</v>
      </c>
      <c r="N161" s="3">
        <v>32309.794757163178</v>
      </c>
      <c r="O161" s="3">
        <v>1765.134</v>
      </c>
      <c r="P161" s="3" t="e">
        <f>E161*(VLOOKUP(B161,Price_data!A$1:B$190,2,FALSE))</f>
        <v>#VALUE!</v>
      </c>
      <c r="Q161" s="3">
        <f>G161*(VLOOKUP(B161,Price_data!A$1:B$190,2,FALSE))</f>
        <v>4.8491363752309793</v>
      </c>
      <c r="R161" s="3">
        <f>I161*(VLOOKUP(B161,Price_data!A$1:B$190,2,FALSE))</f>
        <v>123.52260638088377</v>
      </c>
      <c r="S161" s="4" t="str">
        <f>(VLOOKUP(B161,Price_data!A$1:C$190,3,FALSE))</f>
        <v>Open access</v>
      </c>
      <c r="T161" s="2" t="str">
        <f>IF(C161="Total", (VLOOKUP(B161,Recommended_fish_intake!A$4:D$122,4,FALSE)), "NA")</f>
        <v>NA</v>
      </c>
      <c r="U161" s="2" t="str">
        <f t="shared" si="20"/>
        <v>NA</v>
      </c>
    </row>
    <row r="162" spans="1:21" ht="14.25" customHeight="1">
      <c r="A162" s="2" t="s">
        <v>15</v>
      </c>
      <c r="B162" s="2">
        <v>1910</v>
      </c>
      <c r="C162" s="2" t="s">
        <v>20</v>
      </c>
      <c r="D162" s="3" t="e">
        <f t="shared" si="14"/>
        <v>#N/A</v>
      </c>
      <c r="E162" s="3" t="e">
        <f t="shared" si="15"/>
        <v>#N/A</v>
      </c>
      <c r="F162" s="3">
        <f t="shared" si="16"/>
        <v>9.2581284291810615</v>
      </c>
      <c r="G162" s="3">
        <f t="shared" si="17"/>
        <v>0.17365</v>
      </c>
      <c r="H162" s="3" t="e">
        <f t="shared" si="18"/>
        <v>#VALUE!</v>
      </c>
      <c r="I162" s="3" t="e">
        <f t="shared" si="19"/>
        <v>#VALUE!</v>
      </c>
      <c r="J162" s="3" t="e">
        <v>#N/A</v>
      </c>
      <c r="K162" s="3" t="e">
        <v>#N/A</v>
      </c>
      <c r="L162" s="3">
        <v>9258.1284291810607</v>
      </c>
      <c r="M162" s="3">
        <v>173.65</v>
      </c>
      <c r="N162" s="3" t="e">
        <v>#VALUE!</v>
      </c>
      <c r="O162" s="3" t="e">
        <v>#VALUE!</v>
      </c>
      <c r="P162" s="3" t="e">
        <f>E162*(VLOOKUP(B162,Price_data!A$1:B$190,2,FALSE))</f>
        <v>#N/A</v>
      </c>
      <c r="Q162" s="3">
        <f>G162*(VLOOKUP(B162,Price_data!A$1:B$190,2,FALSE))</f>
        <v>12.151882292245499</v>
      </c>
      <c r="R162" s="3" t="e">
        <f>I162*(VLOOKUP(B162,Price_data!A$1:B$190,2,FALSE))</f>
        <v>#VALUE!</v>
      </c>
      <c r="S162" s="4" t="str">
        <f>(VLOOKUP(B162,Price_data!A$1:C$190,3,FALSE))</f>
        <v>Open access</v>
      </c>
      <c r="T162" s="2" t="str">
        <f>IF(C162="Total", (VLOOKUP(B162,Recommended_fish_intake!A$4:D$122,4,FALSE)), "NA")</f>
        <v>NA</v>
      </c>
      <c r="U162" s="2" t="str">
        <f t="shared" si="20"/>
        <v>NA</v>
      </c>
    </row>
    <row r="163" spans="1:21" ht="14.25" customHeight="1">
      <c r="A163" s="2" t="s">
        <v>15</v>
      </c>
      <c r="B163" s="2">
        <v>1910</v>
      </c>
      <c r="C163" s="2" t="s">
        <v>25</v>
      </c>
      <c r="D163" s="3" t="e">
        <f t="shared" si="14"/>
        <v>#N/A</v>
      </c>
      <c r="E163" s="3" t="e">
        <f t="shared" si="15"/>
        <v>#N/A</v>
      </c>
      <c r="F163" s="3" t="e">
        <f t="shared" si="16"/>
        <v>#N/A</v>
      </c>
      <c r="G163" s="3" t="e">
        <f t="shared" si="17"/>
        <v>#N/A</v>
      </c>
      <c r="H163" s="3" t="e">
        <f t="shared" si="18"/>
        <v>#N/A</v>
      </c>
      <c r="I163" s="3" t="e">
        <f t="shared" si="19"/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f>E163*(VLOOKUP(B163,Price_data!A$1:B$190,2,FALSE))</f>
        <v>#N/A</v>
      </c>
      <c r="Q163" s="3" t="e">
        <f>G163*(VLOOKUP(B163,Price_data!A$1:B$190,2,FALSE))</f>
        <v>#N/A</v>
      </c>
      <c r="R163" s="3" t="e">
        <f>I163*(VLOOKUP(B163,Price_data!A$1:B$190,2,FALSE))</f>
        <v>#N/A</v>
      </c>
      <c r="S163" s="4" t="str">
        <f>(VLOOKUP(B163,Price_data!A$1:C$190,3,FALSE))</f>
        <v>Open access</v>
      </c>
      <c r="T163" s="2" t="str">
        <f>IF(C163="Total", (VLOOKUP(B163,Recommended_fish_intake!A$4:D$122,4,FALSE)), "NA")</f>
        <v>NA</v>
      </c>
      <c r="U163" s="2" t="str">
        <f t="shared" si="20"/>
        <v>NA</v>
      </c>
    </row>
    <row r="164" spans="1:21" ht="14.25" customHeight="1">
      <c r="A164" s="2" t="s">
        <v>15</v>
      </c>
      <c r="B164" s="2">
        <v>1910</v>
      </c>
      <c r="C164" s="2" t="s">
        <v>24</v>
      </c>
      <c r="D164" s="3" t="e">
        <f t="shared" si="14"/>
        <v>#N/A</v>
      </c>
      <c r="E164" s="3" t="e">
        <f t="shared" si="15"/>
        <v>#N/A</v>
      </c>
      <c r="F164" s="3" t="e">
        <f t="shared" si="16"/>
        <v>#N/A</v>
      </c>
      <c r="G164" s="3" t="e">
        <f t="shared" si="17"/>
        <v>#N/A</v>
      </c>
      <c r="H164" s="3" t="e">
        <f t="shared" si="18"/>
        <v>#N/A</v>
      </c>
      <c r="I164" s="3" t="e">
        <f t="shared" si="19"/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f>E164*(VLOOKUP(B164,Price_data!A$1:B$190,2,FALSE))</f>
        <v>#N/A</v>
      </c>
      <c r="Q164" s="3" t="e">
        <f>G164*(VLOOKUP(B164,Price_data!A$1:B$190,2,FALSE))</f>
        <v>#N/A</v>
      </c>
      <c r="R164" s="3" t="e">
        <f>I164*(VLOOKUP(B164,Price_data!A$1:B$190,2,FALSE))</f>
        <v>#N/A</v>
      </c>
      <c r="S164" s="4" t="str">
        <f>(VLOOKUP(B164,Price_data!A$1:C$190,3,FALSE))</f>
        <v>Open access</v>
      </c>
      <c r="T164" s="2" t="str">
        <f>IF(C164="Total", (VLOOKUP(B164,Recommended_fish_intake!A$4:D$122,4,FALSE)), "NA")</f>
        <v>NA</v>
      </c>
      <c r="U164" s="2" t="str">
        <f t="shared" si="20"/>
        <v>NA</v>
      </c>
    </row>
    <row r="165" spans="1:21" ht="14.25" customHeight="1">
      <c r="A165" s="2" t="s">
        <v>15</v>
      </c>
      <c r="B165" s="2">
        <v>1910</v>
      </c>
      <c r="C165" s="2" t="s">
        <v>30</v>
      </c>
      <c r="D165" s="3" t="e">
        <f t="shared" si="14"/>
        <v>#N/A</v>
      </c>
      <c r="E165" s="3" t="e">
        <f t="shared" si="15"/>
        <v>#N/A</v>
      </c>
      <c r="F165" s="3" t="e">
        <f t="shared" si="16"/>
        <v>#VALUE!</v>
      </c>
      <c r="G165" s="3" t="e">
        <f t="shared" si="17"/>
        <v>#VALUE!</v>
      </c>
      <c r="H165" s="3" t="e">
        <f t="shared" si="18"/>
        <v>#VALUE!</v>
      </c>
      <c r="I165" s="3" t="e">
        <f t="shared" si="19"/>
        <v>#VALUE!</v>
      </c>
      <c r="J165" s="3" t="e">
        <v>#N/A</v>
      </c>
      <c r="K165" s="3" t="e">
        <v>#N/A</v>
      </c>
      <c r="L165" s="3" t="e">
        <v>#VALUE!</v>
      </c>
      <c r="M165" s="3" t="e">
        <v>#VALUE!</v>
      </c>
      <c r="N165" s="3" t="e">
        <v>#VALUE!</v>
      </c>
      <c r="O165" s="3" t="e">
        <v>#VALUE!</v>
      </c>
      <c r="P165" s="3" t="e">
        <f>E165*(VLOOKUP(B165,Price_data!A$1:B$190,2,FALSE))</f>
        <v>#N/A</v>
      </c>
      <c r="Q165" s="3" t="e">
        <f>G165*(VLOOKUP(B165,Price_data!A$1:B$190,2,FALSE))</f>
        <v>#VALUE!</v>
      </c>
      <c r="R165" s="3" t="e">
        <f>I165*(VLOOKUP(B165,Price_data!A$1:B$190,2,FALSE))</f>
        <v>#VALUE!</v>
      </c>
      <c r="S165" s="4" t="str">
        <f>(VLOOKUP(B165,Price_data!A$1:C$190,3,FALSE))</f>
        <v>Open access</v>
      </c>
      <c r="T165" s="2" t="str">
        <f>IF(C165="Total", (VLOOKUP(B165,Recommended_fish_intake!A$4:D$122,4,FALSE)), "NA")</f>
        <v>NA</v>
      </c>
      <c r="U165" s="2" t="str">
        <f t="shared" si="20"/>
        <v>NA</v>
      </c>
    </row>
    <row r="166" spans="1:21" ht="14.25" customHeight="1">
      <c r="A166" s="2" t="s">
        <v>15</v>
      </c>
      <c r="B166" s="2">
        <v>1911</v>
      </c>
      <c r="C166" s="2" t="s">
        <v>16</v>
      </c>
      <c r="D166" s="3">
        <f t="shared" si="14"/>
        <v>1198.1365068075595</v>
      </c>
      <c r="E166" s="3">
        <f t="shared" si="15"/>
        <v>11.743938</v>
      </c>
      <c r="F166" s="3">
        <f t="shared" si="16"/>
        <v>498.01828896565735</v>
      </c>
      <c r="G166" s="3">
        <f t="shared" si="17"/>
        <v>6.4271199999999995</v>
      </c>
      <c r="H166" s="3">
        <f t="shared" si="18"/>
        <v>166.40002032107296</v>
      </c>
      <c r="I166" s="3">
        <f t="shared" si="19"/>
        <v>3.9118429999999997</v>
      </c>
      <c r="J166" s="3">
        <v>1198136.5068075594</v>
      </c>
      <c r="K166" s="3">
        <v>11743.938</v>
      </c>
      <c r="L166" s="3">
        <v>498018.28896565735</v>
      </c>
      <c r="M166" s="3">
        <v>6427.12</v>
      </c>
      <c r="N166" s="3">
        <v>166400.02032107295</v>
      </c>
      <c r="O166" s="3">
        <v>3911.8429999999998</v>
      </c>
      <c r="P166" s="3">
        <f>E166*(VLOOKUP(B166,Price_data!A$1:B$190,2,FALSE))</f>
        <v>821.83099466414649</v>
      </c>
      <c r="Q166" s="3">
        <f>G166*(VLOOKUP(B166,Price_data!A$1:B$190,2,FALSE))</f>
        <v>449.76450168809038</v>
      </c>
      <c r="R166" s="3">
        <f>I166*(VLOOKUP(B166,Price_data!A$1:B$190,2,FALSE))</f>
        <v>273.74751328387276</v>
      </c>
      <c r="S166" s="4" t="str">
        <f>(VLOOKUP(B166,Price_data!A$1:C$190,3,FALSE))</f>
        <v>Open access</v>
      </c>
      <c r="T166" s="2">
        <f>IF(C166="Total", (VLOOKUP(B166,Recommended_fish_intake!A$4:D$122,4,FALSE)), "NA")</f>
        <v>552.67563710180764</v>
      </c>
      <c r="U166" s="2" t="str">
        <f t="shared" si="20"/>
        <v>NA</v>
      </c>
    </row>
    <row r="167" spans="1:21" ht="14.25" customHeight="1">
      <c r="A167" s="2" t="s">
        <v>15</v>
      </c>
      <c r="B167" s="2">
        <v>1911</v>
      </c>
      <c r="C167" s="2" t="s">
        <v>22</v>
      </c>
      <c r="D167" s="3">
        <f t="shared" si="14"/>
        <v>180.23816297500508</v>
      </c>
      <c r="E167" s="3" t="e">
        <f t="shared" si="15"/>
        <v>#N/A</v>
      </c>
      <c r="F167" s="3" t="e">
        <f t="shared" si="16"/>
        <v>#N/A</v>
      </c>
      <c r="G167" s="3" t="e">
        <f t="shared" si="17"/>
        <v>#N/A</v>
      </c>
      <c r="H167" s="3" t="e">
        <f t="shared" si="18"/>
        <v>#N/A</v>
      </c>
      <c r="I167" s="3" t="e">
        <f t="shared" si="19"/>
        <v>#N/A</v>
      </c>
      <c r="J167" s="3">
        <v>180238.16297500508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f>E167*(VLOOKUP(B167,Price_data!A$1:B$190,2,FALSE))</f>
        <v>#N/A</v>
      </c>
      <c r="Q167" s="3" t="e">
        <f>G167*(VLOOKUP(B167,Price_data!A$1:B$190,2,FALSE))</f>
        <v>#N/A</v>
      </c>
      <c r="R167" s="3" t="e">
        <f>I167*(VLOOKUP(B167,Price_data!A$1:B$190,2,FALSE))</f>
        <v>#N/A</v>
      </c>
      <c r="S167" s="4" t="str">
        <f>(VLOOKUP(B167,Price_data!A$1:C$190,3,FALSE))</f>
        <v>Open access</v>
      </c>
      <c r="T167" s="2" t="str">
        <f>IF(C167="Total", (VLOOKUP(B167,Recommended_fish_intake!A$4:D$122,4,FALSE)), "NA")</f>
        <v>NA</v>
      </c>
      <c r="U167" s="2" t="str">
        <f t="shared" si="20"/>
        <v>NA</v>
      </c>
    </row>
    <row r="168" spans="1:21" ht="14.25" customHeight="1">
      <c r="A168" s="2" t="s">
        <v>15</v>
      </c>
      <c r="B168" s="2">
        <v>1911</v>
      </c>
      <c r="C168" s="2" t="s">
        <v>23</v>
      </c>
      <c r="D168" s="3">
        <f t="shared" si="14"/>
        <v>158.90977443609023</v>
      </c>
      <c r="E168" s="3" t="e">
        <f t="shared" si="15"/>
        <v>#N/A</v>
      </c>
      <c r="F168" s="3" t="e">
        <f t="shared" si="16"/>
        <v>#N/A</v>
      </c>
      <c r="G168" s="3" t="e">
        <f t="shared" si="17"/>
        <v>#N/A</v>
      </c>
      <c r="H168" s="3" t="e">
        <f t="shared" si="18"/>
        <v>#N/A</v>
      </c>
      <c r="I168" s="3" t="e">
        <f t="shared" si="19"/>
        <v>#N/A</v>
      </c>
      <c r="J168" s="3">
        <v>158909.77443609023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f>E168*(VLOOKUP(B168,Price_data!A$1:B$190,2,FALSE))</f>
        <v>#N/A</v>
      </c>
      <c r="Q168" s="3" t="e">
        <f>G168*(VLOOKUP(B168,Price_data!A$1:B$190,2,FALSE))</f>
        <v>#N/A</v>
      </c>
      <c r="R168" s="3" t="e">
        <f>I168*(VLOOKUP(B168,Price_data!A$1:B$190,2,FALSE))</f>
        <v>#N/A</v>
      </c>
      <c r="S168" s="4" t="str">
        <f>(VLOOKUP(B168,Price_data!A$1:C$190,3,FALSE))</f>
        <v>Open access</v>
      </c>
      <c r="T168" s="2" t="str">
        <f>IF(C168="Total", (VLOOKUP(B168,Recommended_fish_intake!A$4:D$122,4,FALSE)), "NA")</f>
        <v>NA</v>
      </c>
      <c r="U168" s="2" t="str">
        <f t="shared" si="20"/>
        <v>NA</v>
      </c>
    </row>
    <row r="169" spans="1:21" ht="14.25" customHeight="1">
      <c r="A169" s="2" t="s">
        <v>15</v>
      </c>
      <c r="B169" s="2">
        <v>1911</v>
      </c>
      <c r="C169" s="2" t="s">
        <v>19</v>
      </c>
      <c r="D169" s="3">
        <f t="shared" si="14"/>
        <v>509.6758788864052</v>
      </c>
      <c r="E169" s="3" t="e">
        <f t="shared" si="15"/>
        <v>#N/A</v>
      </c>
      <c r="F169" s="3" t="e">
        <f t="shared" si="16"/>
        <v>#N/A</v>
      </c>
      <c r="G169" s="3" t="e">
        <f t="shared" si="17"/>
        <v>#N/A</v>
      </c>
      <c r="H169" s="3" t="e">
        <f t="shared" si="18"/>
        <v>#N/A</v>
      </c>
      <c r="I169" s="3" t="e">
        <f t="shared" si="19"/>
        <v>#N/A</v>
      </c>
      <c r="J169" s="3">
        <v>509675.8788864052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f>E169*(VLOOKUP(B169,Price_data!A$1:B$190,2,FALSE))</f>
        <v>#N/A</v>
      </c>
      <c r="Q169" s="3" t="e">
        <f>G169*(VLOOKUP(B169,Price_data!A$1:B$190,2,FALSE))</f>
        <v>#N/A</v>
      </c>
      <c r="R169" s="3" t="e">
        <f>I169*(VLOOKUP(B169,Price_data!A$1:B$190,2,FALSE))</f>
        <v>#N/A</v>
      </c>
      <c r="S169" s="4" t="str">
        <f>(VLOOKUP(B169,Price_data!A$1:C$190,3,FALSE))</f>
        <v>Open access</v>
      </c>
      <c r="T169" s="2" t="str">
        <f>IF(C169="Total", (VLOOKUP(B169,Recommended_fish_intake!A$4:D$122,4,FALSE)), "NA")</f>
        <v>NA</v>
      </c>
      <c r="U169" s="2" t="str">
        <f t="shared" si="20"/>
        <v>NA</v>
      </c>
    </row>
    <row r="170" spans="1:21" ht="14.25" customHeight="1">
      <c r="A170" s="2" t="s">
        <v>15</v>
      </c>
      <c r="B170" s="2">
        <v>1911</v>
      </c>
      <c r="C170" s="2" t="s">
        <v>28</v>
      </c>
      <c r="D170" s="3" t="e">
        <f t="shared" si="14"/>
        <v>#VALUE!</v>
      </c>
      <c r="E170" s="3" t="e">
        <f t="shared" si="15"/>
        <v>#VALUE!</v>
      </c>
      <c r="F170" s="3" t="e">
        <f t="shared" si="16"/>
        <v>#N/A</v>
      </c>
      <c r="G170" s="3" t="e">
        <f t="shared" si="17"/>
        <v>#N/A</v>
      </c>
      <c r="H170" s="3" t="e">
        <f t="shared" si="18"/>
        <v>#N/A</v>
      </c>
      <c r="I170" s="3" t="e">
        <f t="shared" si="19"/>
        <v>#N/A</v>
      </c>
      <c r="J170" s="3" t="e">
        <v>#VALUE!</v>
      </c>
      <c r="K170" s="3" t="e">
        <v>#VALUE!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f>E170*(VLOOKUP(B170,Price_data!A$1:B$190,2,FALSE))</f>
        <v>#VALUE!</v>
      </c>
      <c r="Q170" s="3" t="e">
        <f>G170*(VLOOKUP(B170,Price_data!A$1:B$190,2,FALSE))</f>
        <v>#N/A</v>
      </c>
      <c r="R170" s="3" t="e">
        <f>I170*(VLOOKUP(B170,Price_data!A$1:B$190,2,FALSE))</f>
        <v>#N/A</v>
      </c>
      <c r="S170" s="4" t="str">
        <f>(VLOOKUP(B170,Price_data!A$1:C$190,3,FALSE))</f>
        <v>Open access</v>
      </c>
      <c r="T170" s="2" t="str">
        <f>IF(C170="Total", (VLOOKUP(B170,Recommended_fish_intake!A$4:D$122,4,FALSE)), "NA")</f>
        <v>NA</v>
      </c>
      <c r="U170" s="2" t="e">
        <f t="shared" si="20"/>
        <v>#VALUE!</v>
      </c>
    </row>
    <row r="171" spans="1:21" ht="14.25" customHeight="1">
      <c r="A171" s="2" t="s">
        <v>15</v>
      </c>
      <c r="B171" s="2">
        <v>1911</v>
      </c>
      <c r="C171" s="2" t="s">
        <v>29</v>
      </c>
      <c r="D171" s="3" t="e">
        <f t="shared" si="14"/>
        <v>#VALUE!</v>
      </c>
      <c r="E171" s="3" t="e">
        <f t="shared" si="15"/>
        <v>#VALUE!</v>
      </c>
      <c r="F171" s="3" t="e">
        <f t="shared" si="16"/>
        <v>#N/A</v>
      </c>
      <c r="G171" s="3" t="e">
        <f t="shared" si="17"/>
        <v>#N/A</v>
      </c>
      <c r="H171" s="3" t="e">
        <f t="shared" si="18"/>
        <v>#N/A</v>
      </c>
      <c r="I171" s="3" t="e">
        <f t="shared" si="19"/>
        <v>#N/A</v>
      </c>
      <c r="J171" s="3" t="e">
        <v>#VALUE!</v>
      </c>
      <c r="K171" s="3" t="e">
        <v>#VALUE!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f>E171*(VLOOKUP(B171,Price_data!A$1:B$190,2,FALSE))</f>
        <v>#VALUE!</v>
      </c>
      <c r="Q171" s="3" t="e">
        <f>G171*(VLOOKUP(B171,Price_data!A$1:B$190,2,FALSE))</f>
        <v>#N/A</v>
      </c>
      <c r="R171" s="3" t="e">
        <f>I171*(VLOOKUP(B171,Price_data!A$1:B$190,2,FALSE))</f>
        <v>#N/A</v>
      </c>
      <c r="S171" s="4" t="str">
        <f>(VLOOKUP(B171,Price_data!A$1:C$190,3,FALSE))</f>
        <v>Open access</v>
      </c>
      <c r="T171" s="2" t="str">
        <f>IF(C171="Total", (VLOOKUP(B171,Recommended_fish_intake!A$4:D$122,4,FALSE)), "NA")</f>
        <v>NA</v>
      </c>
      <c r="U171" s="2" t="str">
        <f t="shared" si="20"/>
        <v>NA</v>
      </c>
    </row>
    <row r="172" spans="1:21" ht="14.25" customHeight="1">
      <c r="A172" s="2" t="s">
        <v>15</v>
      </c>
      <c r="B172" s="2">
        <v>1911</v>
      </c>
      <c r="C172" s="2" t="s">
        <v>20</v>
      </c>
      <c r="D172" s="3">
        <f t="shared" si="14"/>
        <v>21.40469416785206</v>
      </c>
      <c r="E172" s="3" t="e">
        <f t="shared" si="15"/>
        <v>#N/A</v>
      </c>
      <c r="F172" s="3" t="e">
        <f t="shared" si="16"/>
        <v>#N/A</v>
      </c>
      <c r="G172" s="3" t="e">
        <f t="shared" si="17"/>
        <v>#N/A</v>
      </c>
      <c r="H172" s="3" t="e">
        <f t="shared" si="18"/>
        <v>#N/A</v>
      </c>
      <c r="I172" s="3" t="e">
        <f t="shared" si="19"/>
        <v>#N/A</v>
      </c>
      <c r="J172" s="3">
        <v>21404.69416785206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f>E172*(VLOOKUP(B172,Price_data!A$1:B$190,2,FALSE))</f>
        <v>#N/A</v>
      </c>
      <c r="Q172" s="3" t="e">
        <f>G172*(VLOOKUP(B172,Price_data!A$1:B$190,2,FALSE))</f>
        <v>#N/A</v>
      </c>
      <c r="R172" s="3" t="e">
        <f>I172*(VLOOKUP(B172,Price_data!A$1:B$190,2,FALSE))</f>
        <v>#N/A</v>
      </c>
      <c r="S172" s="4" t="str">
        <f>(VLOOKUP(B172,Price_data!A$1:C$190,3,FALSE))</f>
        <v>Open access</v>
      </c>
      <c r="T172" s="2" t="str">
        <f>IF(C172="Total", (VLOOKUP(B172,Recommended_fish_intake!A$4:D$122,4,FALSE)), "NA")</f>
        <v>NA</v>
      </c>
      <c r="U172" s="2" t="str">
        <f t="shared" si="20"/>
        <v>NA</v>
      </c>
    </row>
    <row r="173" spans="1:21" ht="14.25" customHeight="1">
      <c r="A173" s="2" t="s">
        <v>15</v>
      </c>
      <c r="B173" s="2">
        <v>1911</v>
      </c>
      <c r="C173" s="2" t="s">
        <v>25</v>
      </c>
      <c r="D173" s="3">
        <f t="shared" si="14"/>
        <v>52.811064824222719</v>
      </c>
      <c r="E173" s="3" t="e">
        <f t="shared" si="15"/>
        <v>#N/A</v>
      </c>
      <c r="F173" s="3" t="e">
        <f t="shared" si="16"/>
        <v>#N/A</v>
      </c>
      <c r="G173" s="3" t="e">
        <f t="shared" si="17"/>
        <v>#N/A</v>
      </c>
      <c r="H173" s="3" t="e">
        <f t="shared" si="18"/>
        <v>#N/A</v>
      </c>
      <c r="I173" s="3" t="e">
        <f t="shared" si="19"/>
        <v>#N/A</v>
      </c>
      <c r="J173" s="3">
        <v>52811.064824222718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f>E173*(VLOOKUP(B173,Price_data!A$1:B$190,2,FALSE))</f>
        <v>#N/A</v>
      </c>
      <c r="Q173" s="3" t="e">
        <f>G173*(VLOOKUP(B173,Price_data!A$1:B$190,2,FALSE))</f>
        <v>#N/A</v>
      </c>
      <c r="R173" s="3" t="e">
        <f>I173*(VLOOKUP(B173,Price_data!A$1:B$190,2,FALSE))</f>
        <v>#N/A</v>
      </c>
      <c r="S173" s="4" t="str">
        <f>(VLOOKUP(B173,Price_data!A$1:C$190,3,FALSE))</f>
        <v>Open access</v>
      </c>
      <c r="T173" s="2" t="str">
        <f>IF(C173="Total", (VLOOKUP(B173,Recommended_fish_intake!A$4:D$122,4,FALSE)), "NA")</f>
        <v>NA</v>
      </c>
      <c r="U173" s="2" t="str">
        <f t="shared" si="20"/>
        <v>NA</v>
      </c>
    </row>
    <row r="174" spans="1:21" ht="14.25" customHeight="1">
      <c r="A174" s="2" t="s">
        <v>15</v>
      </c>
      <c r="B174" s="2">
        <v>1911</v>
      </c>
      <c r="C174" s="2" t="s">
        <v>24</v>
      </c>
      <c r="D174" s="3">
        <f t="shared" si="14"/>
        <v>23.230034545824019</v>
      </c>
      <c r="E174" s="3" t="e">
        <f t="shared" si="15"/>
        <v>#N/A</v>
      </c>
      <c r="F174" s="3" t="e">
        <f t="shared" si="16"/>
        <v>#N/A</v>
      </c>
      <c r="G174" s="3" t="e">
        <f t="shared" si="17"/>
        <v>#N/A</v>
      </c>
      <c r="H174" s="3" t="e">
        <f t="shared" si="18"/>
        <v>#N/A</v>
      </c>
      <c r="I174" s="3" t="e">
        <f t="shared" si="19"/>
        <v>#N/A</v>
      </c>
      <c r="J174" s="3">
        <v>23230.034545824019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f>E174*(VLOOKUP(B174,Price_data!A$1:B$190,2,FALSE))</f>
        <v>#N/A</v>
      </c>
      <c r="Q174" s="3" t="e">
        <f>G174*(VLOOKUP(B174,Price_data!A$1:B$190,2,FALSE))</f>
        <v>#N/A</v>
      </c>
      <c r="R174" s="3" t="e">
        <f>I174*(VLOOKUP(B174,Price_data!A$1:B$190,2,FALSE))</f>
        <v>#N/A</v>
      </c>
      <c r="S174" s="4" t="str">
        <f>(VLOOKUP(B174,Price_data!A$1:C$190,3,FALSE))</f>
        <v>Open access</v>
      </c>
      <c r="T174" s="2" t="str">
        <f>IF(C174="Total", (VLOOKUP(B174,Recommended_fish_intake!A$4:D$122,4,FALSE)), "NA")</f>
        <v>NA</v>
      </c>
      <c r="U174" s="2" t="str">
        <f t="shared" si="20"/>
        <v>NA</v>
      </c>
    </row>
    <row r="175" spans="1:21" ht="14.25" customHeight="1">
      <c r="A175" s="2" t="s">
        <v>15</v>
      </c>
      <c r="B175" s="2">
        <v>1911</v>
      </c>
      <c r="C175" s="2" t="s">
        <v>30</v>
      </c>
      <c r="D175" s="3" t="e">
        <f t="shared" si="14"/>
        <v>#N/A</v>
      </c>
      <c r="E175" s="3" t="e">
        <f t="shared" si="15"/>
        <v>#N/A</v>
      </c>
      <c r="F175" s="3" t="e">
        <f t="shared" si="16"/>
        <v>#N/A</v>
      </c>
      <c r="G175" s="3" t="e">
        <f t="shared" si="17"/>
        <v>#N/A</v>
      </c>
      <c r="H175" s="3" t="e">
        <f t="shared" si="18"/>
        <v>#N/A</v>
      </c>
      <c r="I175" s="3" t="e">
        <f t="shared" si="19"/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f>E175*(VLOOKUP(B175,Price_data!A$1:B$190,2,FALSE))</f>
        <v>#N/A</v>
      </c>
      <c r="Q175" s="3" t="e">
        <f>G175*(VLOOKUP(B175,Price_data!A$1:B$190,2,FALSE))</f>
        <v>#N/A</v>
      </c>
      <c r="R175" s="3" t="e">
        <f>I175*(VLOOKUP(B175,Price_data!A$1:B$190,2,FALSE))</f>
        <v>#N/A</v>
      </c>
      <c r="S175" s="4" t="str">
        <f>(VLOOKUP(B175,Price_data!A$1:C$190,3,FALSE))</f>
        <v>Open access</v>
      </c>
      <c r="T175" s="2" t="str">
        <f>IF(C175="Total", (VLOOKUP(B175,Recommended_fish_intake!A$4:D$122,4,FALSE)), "NA")</f>
        <v>NA</v>
      </c>
      <c r="U175" s="2" t="str">
        <f t="shared" si="20"/>
        <v>NA</v>
      </c>
    </row>
    <row r="176" spans="1:21" ht="14.25" customHeight="1">
      <c r="A176" s="2" t="s">
        <v>15</v>
      </c>
      <c r="B176" s="2">
        <v>1912</v>
      </c>
      <c r="C176" s="2" t="s">
        <v>16</v>
      </c>
      <c r="D176" s="3">
        <f t="shared" si="14"/>
        <v>1200.1413330623857</v>
      </c>
      <c r="E176" s="3">
        <f t="shared" si="15"/>
        <v>13.096671000000001</v>
      </c>
      <c r="F176" s="3">
        <f t="shared" si="16"/>
        <v>535.1140520219468</v>
      </c>
      <c r="G176" s="3">
        <f t="shared" si="17"/>
        <v>6.7214989999999997</v>
      </c>
      <c r="H176" s="3">
        <f t="shared" si="18"/>
        <v>158.58545011176588</v>
      </c>
      <c r="I176" s="3">
        <f t="shared" si="19"/>
        <v>3.915791</v>
      </c>
      <c r="J176" s="3">
        <v>1200141.3330623857</v>
      </c>
      <c r="K176" s="3">
        <v>13096.671</v>
      </c>
      <c r="L176" s="3">
        <v>535114.05202194676</v>
      </c>
      <c r="M176" s="3">
        <v>6721.4989999999998</v>
      </c>
      <c r="N176" s="3">
        <v>158585.45011176588</v>
      </c>
      <c r="O176" s="3">
        <v>3915.7910000000002</v>
      </c>
      <c r="P176" s="3">
        <f>E176*(VLOOKUP(B176,Price_data!A$1:B$190,2,FALSE))</f>
        <v>888.7215735336722</v>
      </c>
      <c r="Q176" s="3">
        <f>G176*(VLOOKUP(B176,Price_data!A$1:B$190,2,FALSE))</f>
        <v>456.11141699940413</v>
      </c>
      <c r="R176" s="3">
        <f>I176*(VLOOKUP(B176,Price_data!A$1:B$190,2,FALSE))</f>
        <v>265.72003978331526</v>
      </c>
      <c r="S176" s="4" t="str">
        <f>(VLOOKUP(B176,Price_data!A$1:C$190,3,FALSE))</f>
        <v>Open access</v>
      </c>
      <c r="T176" s="2">
        <f>IF(C176="Total", (VLOOKUP(B176,Recommended_fish_intake!A$4:D$122,4,FALSE)), "NA")</f>
        <v>579.60609362812193</v>
      </c>
      <c r="U176" s="2" t="str">
        <f t="shared" si="20"/>
        <v>NA</v>
      </c>
    </row>
    <row r="177" spans="1:21" ht="14.25" customHeight="1">
      <c r="A177" s="2" t="s">
        <v>15</v>
      </c>
      <c r="B177" s="2">
        <v>1912</v>
      </c>
      <c r="C177" s="2" t="s">
        <v>22</v>
      </c>
      <c r="D177" s="3">
        <f t="shared" si="14"/>
        <v>173.06335094492988</v>
      </c>
      <c r="E177" s="3" t="e">
        <f t="shared" si="15"/>
        <v>#N/A</v>
      </c>
      <c r="F177" s="3" t="e">
        <f t="shared" si="16"/>
        <v>#N/A</v>
      </c>
      <c r="G177" s="3" t="e">
        <f t="shared" si="17"/>
        <v>#N/A</v>
      </c>
      <c r="H177" s="3" t="e">
        <f t="shared" si="18"/>
        <v>#N/A</v>
      </c>
      <c r="I177" s="3" t="e">
        <f t="shared" si="19"/>
        <v>#N/A</v>
      </c>
      <c r="J177" s="3">
        <v>173063.35094492987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f>E177*(VLOOKUP(B177,Price_data!A$1:B$190,2,FALSE))</f>
        <v>#N/A</v>
      </c>
      <c r="Q177" s="3" t="e">
        <f>G177*(VLOOKUP(B177,Price_data!A$1:B$190,2,FALSE))</f>
        <v>#N/A</v>
      </c>
      <c r="R177" s="3" t="e">
        <f>I177*(VLOOKUP(B177,Price_data!A$1:B$190,2,FALSE))</f>
        <v>#N/A</v>
      </c>
      <c r="S177" s="4" t="str">
        <f>(VLOOKUP(B177,Price_data!A$1:C$190,3,FALSE))</f>
        <v>Open access</v>
      </c>
      <c r="T177" s="2" t="str">
        <f>IF(C177="Total", (VLOOKUP(B177,Recommended_fish_intake!A$4:D$122,4,FALSE)), "NA")</f>
        <v>NA</v>
      </c>
      <c r="U177" s="2" t="str">
        <f t="shared" si="20"/>
        <v>NA</v>
      </c>
    </row>
    <row r="178" spans="1:21" ht="14.25" customHeight="1">
      <c r="A178" s="2" t="s">
        <v>15</v>
      </c>
      <c r="B178" s="2">
        <v>1912</v>
      </c>
      <c r="C178" s="2" t="s">
        <v>23</v>
      </c>
      <c r="D178" s="3">
        <f t="shared" si="14"/>
        <v>145.45763056289371</v>
      </c>
      <c r="E178" s="3" t="e">
        <f t="shared" si="15"/>
        <v>#N/A</v>
      </c>
      <c r="F178" s="3" t="e">
        <f t="shared" si="16"/>
        <v>#N/A</v>
      </c>
      <c r="G178" s="3" t="e">
        <f t="shared" si="17"/>
        <v>#N/A</v>
      </c>
      <c r="H178" s="3" t="e">
        <f t="shared" si="18"/>
        <v>#N/A</v>
      </c>
      <c r="I178" s="3" t="e">
        <f t="shared" si="19"/>
        <v>#N/A</v>
      </c>
      <c r="J178" s="3">
        <v>145457.63056289373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f>E178*(VLOOKUP(B178,Price_data!A$1:B$190,2,FALSE))</f>
        <v>#N/A</v>
      </c>
      <c r="Q178" s="3" t="e">
        <f>G178*(VLOOKUP(B178,Price_data!A$1:B$190,2,FALSE))</f>
        <v>#N/A</v>
      </c>
      <c r="R178" s="3" t="e">
        <f>I178*(VLOOKUP(B178,Price_data!A$1:B$190,2,FALSE))</f>
        <v>#N/A</v>
      </c>
      <c r="S178" s="4" t="str">
        <f>(VLOOKUP(B178,Price_data!A$1:C$190,3,FALSE))</f>
        <v>Open access</v>
      </c>
      <c r="T178" s="2" t="str">
        <f>IF(C178="Total", (VLOOKUP(B178,Recommended_fish_intake!A$4:D$122,4,FALSE)), "NA")</f>
        <v>NA</v>
      </c>
      <c r="U178" s="2" t="str">
        <f t="shared" si="20"/>
        <v>NA</v>
      </c>
    </row>
    <row r="179" spans="1:21" ht="14.25" customHeight="1">
      <c r="A179" s="2" t="s">
        <v>15</v>
      </c>
      <c r="B179" s="2">
        <v>1912</v>
      </c>
      <c r="C179" s="2" t="s">
        <v>19</v>
      </c>
      <c r="D179" s="3">
        <f t="shared" si="14"/>
        <v>537.41043487096113</v>
      </c>
      <c r="E179" s="3" t="e">
        <f t="shared" si="15"/>
        <v>#N/A</v>
      </c>
      <c r="F179" s="3" t="e">
        <f t="shared" si="16"/>
        <v>#N/A</v>
      </c>
      <c r="G179" s="3" t="e">
        <f t="shared" si="17"/>
        <v>#N/A</v>
      </c>
      <c r="H179" s="3" t="e">
        <f t="shared" si="18"/>
        <v>#N/A</v>
      </c>
      <c r="I179" s="3" t="e">
        <f t="shared" si="19"/>
        <v>#N/A</v>
      </c>
      <c r="J179" s="3">
        <v>537410.43487096112</v>
      </c>
      <c r="K179" s="3" t="e">
        <v>#N/A</v>
      </c>
      <c r="L179" s="3" t="e">
        <v>#N/A</v>
      </c>
      <c r="M179" s="3" t="e">
        <v>#N/A</v>
      </c>
      <c r="N179" s="3" t="e">
        <v>#N/A</v>
      </c>
      <c r="O179" s="3" t="e">
        <v>#N/A</v>
      </c>
      <c r="P179" s="3" t="e">
        <f>E179*(VLOOKUP(B179,Price_data!A$1:B$190,2,FALSE))</f>
        <v>#N/A</v>
      </c>
      <c r="Q179" s="3" t="e">
        <f>G179*(VLOOKUP(B179,Price_data!A$1:B$190,2,FALSE))</f>
        <v>#N/A</v>
      </c>
      <c r="R179" s="3" t="e">
        <f>I179*(VLOOKUP(B179,Price_data!A$1:B$190,2,FALSE))</f>
        <v>#N/A</v>
      </c>
      <c r="S179" s="4" t="str">
        <f>(VLOOKUP(B179,Price_data!A$1:C$190,3,FALSE))</f>
        <v>Open access</v>
      </c>
      <c r="T179" s="2" t="str">
        <f>IF(C179="Total", (VLOOKUP(B179,Recommended_fish_intake!A$4:D$122,4,FALSE)), "NA")</f>
        <v>NA</v>
      </c>
      <c r="U179" s="2" t="str">
        <f t="shared" si="20"/>
        <v>NA</v>
      </c>
    </row>
    <row r="180" spans="1:21" ht="14.25" customHeight="1">
      <c r="A180" s="2" t="s">
        <v>15</v>
      </c>
      <c r="B180" s="2">
        <v>1912</v>
      </c>
      <c r="C180" s="2" t="s">
        <v>28</v>
      </c>
      <c r="D180" s="3" t="e">
        <f t="shared" si="14"/>
        <v>#VALUE!</v>
      </c>
      <c r="E180" s="3" t="e">
        <f t="shared" si="15"/>
        <v>#VALUE!</v>
      </c>
      <c r="F180" s="3" t="e">
        <f t="shared" si="16"/>
        <v>#N/A</v>
      </c>
      <c r="G180" s="3" t="e">
        <f t="shared" si="17"/>
        <v>#N/A</v>
      </c>
      <c r="H180" s="3" t="e">
        <f t="shared" si="18"/>
        <v>#N/A</v>
      </c>
      <c r="I180" s="3" t="e">
        <f t="shared" si="19"/>
        <v>#N/A</v>
      </c>
      <c r="J180" s="3" t="e">
        <v>#VALUE!</v>
      </c>
      <c r="K180" s="3" t="e">
        <v>#VALUE!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f>E180*(VLOOKUP(B180,Price_data!A$1:B$190,2,FALSE))</f>
        <v>#VALUE!</v>
      </c>
      <c r="Q180" s="3" t="e">
        <f>G180*(VLOOKUP(B180,Price_data!A$1:B$190,2,FALSE))</f>
        <v>#N/A</v>
      </c>
      <c r="R180" s="3" t="e">
        <f>I180*(VLOOKUP(B180,Price_data!A$1:B$190,2,FALSE))</f>
        <v>#N/A</v>
      </c>
      <c r="S180" s="4" t="str">
        <f>(VLOOKUP(B180,Price_data!A$1:C$190,3,FALSE))</f>
        <v>Open access</v>
      </c>
      <c r="T180" s="2" t="str">
        <f>IF(C180="Total", (VLOOKUP(B180,Recommended_fish_intake!A$4:D$122,4,FALSE)), "NA")</f>
        <v>NA</v>
      </c>
      <c r="U180" s="2" t="e">
        <f t="shared" si="20"/>
        <v>#VALUE!</v>
      </c>
    </row>
    <row r="181" spans="1:21" ht="14.25" customHeight="1">
      <c r="A181" s="2" t="s">
        <v>15</v>
      </c>
      <c r="B181" s="2">
        <v>1912</v>
      </c>
      <c r="C181" s="2" t="s">
        <v>29</v>
      </c>
      <c r="D181" s="3" t="e">
        <f t="shared" si="14"/>
        <v>#VALUE!</v>
      </c>
      <c r="E181" s="3" t="e">
        <f t="shared" si="15"/>
        <v>#VALUE!</v>
      </c>
      <c r="F181" s="3" t="e">
        <f t="shared" si="16"/>
        <v>#N/A</v>
      </c>
      <c r="G181" s="3" t="e">
        <f t="shared" si="17"/>
        <v>#N/A</v>
      </c>
      <c r="H181" s="3" t="e">
        <f t="shared" si="18"/>
        <v>#N/A</v>
      </c>
      <c r="I181" s="3" t="e">
        <f t="shared" si="19"/>
        <v>#N/A</v>
      </c>
      <c r="J181" s="3" t="e">
        <v>#VALUE!</v>
      </c>
      <c r="K181" s="3" t="e">
        <v>#VALUE!</v>
      </c>
      <c r="L181" s="3" t="e">
        <v>#N/A</v>
      </c>
      <c r="M181" s="3" t="e">
        <v>#N/A</v>
      </c>
      <c r="N181" s="3" t="e">
        <v>#N/A</v>
      </c>
      <c r="O181" s="3" t="e">
        <v>#N/A</v>
      </c>
      <c r="P181" s="3" t="e">
        <f>E181*(VLOOKUP(B181,Price_data!A$1:B$190,2,FALSE))</f>
        <v>#VALUE!</v>
      </c>
      <c r="Q181" s="3" t="e">
        <f>G181*(VLOOKUP(B181,Price_data!A$1:B$190,2,FALSE))</f>
        <v>#N/A</v>
      </c>
      <c r="R181" s="3" t="e">
        <f>I181*(VLOOKUP(B181,Price_data!A$1:B$190,2,FALSE))</f>
        <v>#N/A</v>
      </c>
      <c r="S181" s="4" t="str">
        <f>(VLOOKUP(B181,Price_data!A$1:C$190,3,FALSE))</f>
        <v>Open access</v>
      </c>
      <c r="T181" s="2" t="str">
        <f>IF(C181="Total", (VLOOKUP(B181,Recommended_fish_intake!A$4:D$122,4,FALSE)), "NA")</f>
        <v>NA</v>
      </c>
      <c r="U181" s="2" t="str">
        <f t="shared" si="20"/>
        <v>NA</v>
      </c>
    </row>
    <row r="182" spans="1:21" ht="14.25" customHeight="1">
      <c r="A182" s="2" t="s">
        <v>15</v>
      </c>
      <c r="B182" s="2">
        <v>1912</v>
      </c>
      <c r="C182" s="2" t="s">
        <v>20</v>
      </c>
      <c r="D182" s="3">
        <f t="shared" si="14"/>
        <v>19.368675066043483</v>
      </c>
      <c r="E182" s="3" t="e">
        <f t="shared" si="15"/>
        <v>#N/A</v>
      </c>
      <c r="F182" s="3" t="e">
        <f t="shared" si="16"/>
        <v>#N/A</v>
      </c>
      <c r="G182" s="3" t="e">
        <f t="shared" si="17"/>
        <v>#N/A</v>
      </c>
      <c r="H182" s="3" t="e">
        <f t="shared" si="18"/>
        <v>#N/A</v>
      </c>
      <c r="I182" s="3" t="e">
        <f t="shared" si="19"/>
        <v>#N/A</v>
      </c>
      <c r="J182" s="3">
        <v>19368.675066043485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f>E182*(VLOOKUP(B182,Price_data!A$1:B$190,2,FALSE))</f>
        <v>#N/A</v>
      </c>
      <c r="Q182" s="3" t="e">
        <f>G182*(VLOOKUP(B182,Price_data!A$1:B$190,2,FALSE))</f>
        <v>#N/A</v>
      </c>
      <c r="R182" s="3" t="e">
        <f>I182*(VLOOKUP(B182,Price_data!A$1:B$190,2,FALSE))</f>
        <v>#N/A</v>
      </c>
      <c r="S182" s="4" t="str">
        <f>(VLOOKUP(B182,Price_data!A$1:C$190,3,FALSE))</f>
        <v>Open access</v>
      </c>
      <c r="T182" s="2" t="str">
        <f>IF(C182="Total", (VLOOKUP(B182,Recommended_fish_intake!A$4:D$122,4,FALSE)), "NA")</f>
        <v>NA</v>
      </c>
      <c r="U182" s="2" t="str">
        <f t="shared" si="20"/>
        <v>NA</v>
      </c>
    </row>
    <row r="183" spans="1:21" ht="14.25" customHeight="1">
      <c r="A183" s="2" t="s">
        <v>15</v>
      </c>
      <c r="B183" s="2">
        <v>1912</v>
      </c>
      <c r="C183" s="2" t="s">
        <v>25</v>
      </c>
      <c r="D183" s="3">
        <f t="shared" si="14"/>
        <v>44.807356228408857</v>
      </c>
      <c r="E183" s="3" t="e">
        <f t="shared" si="15"/>
        <v>#N/A</v>
      </c>
      <c r="F183" s="3" t="e">
        <f t="shared" si="16"/>
        <v>#N/A</v>
      </c>
      <c r="G183" s="3" t="e">
        <f t="shared" si="17"/>
        <v>#N/A</v>
      </c>
      <c r="H183" s="3" t="e">
        <f t="shared" si="18"/>
        <v>#N/A</v>
      </c>
      <c r="I183" s="3" t="e">
        <f t="shared" si="19"/>
        <v>#N/A</v>
      </c>
      <c r="J183" s="3">
        <v>44807.356228408855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f>E183*(VLOOKUP(B183,Price_data!A$1:B$190,2,FALSE))</f>
        <v>#N/A</v>
      </c>
      <c r="Q183" s="3" t="e">
        <f>G183*(VLOOKUP(B183,Price_data!A$1:B$190,2,FALSE))</f>
        <v>#N/A</v>
      </c>
      <c r="R183" s="3" t="e">
        <f>I183*(VLOOKUP(B183,Price_data!A$1:B$190,2,FALSE))</f>
        <v>#N/A</v>
      </c>
      <c r="S183" s="4" t="str">
        <f>(VLOOKUP(B183,Price_data!A$1:C$190,3,FALSE))</f>
        <v>Open access</v>
      </c>
      <c r="T183" s="2" t="str">
        <f>IF(C183="Total", (VLOOKUP(B183,Recommended_fish_intake!A$4:D$122,4,FALSE)), "NA")</f>
        <v>NA</v>
      </c>
      <c r="U183" s="2" t="str">
        <f t="shared" si="20"/>
        <v>NA</v>
      </c>
    </row>
    <row r="184" spans="1:21" ht="14.25" customHeight="1">
      <c r="A184" s="2" t="s">
        <v>15</v>
      </c>
      <c r="B184" s="2">
        <v>1912</v>
      </c>
      <c r="C184" s="2" t="s">
        <v>24</v>
      </c>
      <c r="D184" s="3">
        <f t="shared" si="14"/>
        <v>29.50812842918106</v>
      </c>
      <c r="E184" s="3" t="e">
        <f t="shared" si="15"/>
        <v>#N/A</v>
      </c>
      <c r="F184" s="3" t="e">
        <f t="shared" si="16"/>
        <v>#N/A</v>
      </c>
      <c r="G184" s="3" t="e">
        <f t="shared" si="17"/>
        <v>#N/A</v>
      </c>
      <c r="H184" s="3" t="e">
        <f t="shared" si="18"/>
        <v>#N/A</v>
      </c>
      <c r="I184" s="3" t="e">
        <f t="shared" si="19"/>
        <v>#N/A</v>
      </c>
      <c r="J184" s="3">
        <v>29508.128429181059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f>E184*(VLOOKUP(B184,Price_data!A$1:B$190,2,FALSE))</f>
        <v>#N/A</v>
      </c>
      <c r="Q184" s="3" t="e">
        <f>G184*(VLOOKUP(B184,Price_data!A$1:B$190,2,FALSE))</f>
        <v>#N/A</v>
      </c>
      <c r="R184" s="3" t="e">
        <f>I184*(VLOOKUP(B184,Price_data!A$1:B$190,2,FALSE))</f>
        <v>#N/A</v>
      </c>
      <c r="S184" s="4" t="str">
        <f>(VLOOKUP(B184,Price_data!A$1:C$190,3,FALSE))</f>
        <v>Open access</v>
      </c>
      <c r="T184" s="2" t="str">
        <f>IF(C184="Total", (VLOOKUP(B184,Recommended_fish_intake!A$4:D$122,4,FALSE)), "NA")</f>
        <v>NA</v>
      </c>
      <c r="U184" s="2" t="str">
        <f t="shared" si="20"/>
        <v>NA</v>
      </c>
    </row>
    <row r="185" spans="1:21" ht="14.25" customHeight="1">
      <c r="A185" s="2" t="s">
        <v>15</v>
      </c>
      <c r="B185" s="2">
        <v>1912</v>
      </c>
      <c r="C185" s="2" t="s">
        <v>30</v>
      </c>
      <c r="D185" s="3" t="e">
        <f t="shared" si="14"/>
        <v>#N/A</v>
      </c>
      <c r="E185" s="3" t="e">
        <f t="shared" si="15"/>
        <v>#N/A</v>
      </c>
      <c r="F185" s="3" t="e">
        <f t="shared" si="16"/>
        <v>#N/A</v>
      </c>
      <c r="G185" s="3" t="e">
        <f t="shared" si="17"/>
        <v>#N/A</v>
      </c>
      <c r="H185" s="3" t="e">
        <f t="shared" si="18"/>
        <v>#N/A</v>
      </c>
      <c r="I185" s="3" t="e">
        <f t="shared" si="19"/>
        <v>#N/A</v>
      </c>
      <c r="J185" s="3" t="e">
        <v>#N/A</v>
      </c>
      <c r="K185" s="3" t="e">
        <v>#N/A</v>
      </c>
      <c r="L185" s="3" t="e">
        <v>#N/A</v>
      </c>
      <c r="M185" s="3" t="e">
        <v>#N/A</v>
      </c>
      <c r="N185" s="3" t="e">
        <v>#N/A</v>
      </c>
      <c r="O185" s="3" t="e">
        <v>#N/A</v>
      </c>
      <c r="P185" s="3" t="e">
        <f>E185*(VLOOKUP(B185,Price_data!A$1:B$190,2,FALSE))</f>
        <v>#N/A</v>
      </c>
      <c r="Q185" s="3" t="e">
        <f>G185*(VLOOKUP(B185,Price_data!A$1:B$190,2,FALSE))</f>
        <v>#N/A</v>
      </c>
      <c r="R185" s="3" t="e">
        <f>I185*(VLOOKUP(B185,Price_data!A$1:B$190,2,FALSE))</f>
        <v>#N/A</v>
      </c>
      <c r="S185" s="4" t="str">
        <f>(VLOOKUP(B185,Price_data!A$1:C$190,3,FALSE))</f>
        <v>Open access</v>
      </c>
      <c r="T185" s="2" t="str">
        <f>IF(C185="Total", (VLOOKUP(B185,Recommended_fish_intake!A$4:D$122,4,FALSE)), "NA")</f>
        <v>NA</v>
      </c>
      <c r="U185" s="2" t="str">
        <f t="shared" si="20"/>
        <v>NA</v>
      </c>
    </row>
    <row r="186" spans="1:21" ht="14.25" customHeight="1">
      <c r="A186" s="2" t="s">
        <v>15</v>
      </c>
      <c r="B186" s="2">
        <v>1913</v>
      </c>
      <c r="C186" s="2" t="s">
        <v>16</v>
      </c>
      <c r="D186" s="3">
        <f t="shared" si="14"/>
        <v>1224.1462101198942</v>
      </c>
      <c r="E186" s="3">
        <f t="shared" si="15"/>
        <v>14.500971999999999</v>
      </c>
      <c r="F186" s="3">
        <f t="shared" si="16"/>
        <v>558.76706970128021</v>
      </c>
      <c r="G186" s="3">
        <f t="shared" si="17"/>
        <v>7.5034679999999998</v>
      </c>
      <c r="H186" s="3">
        <f t="shared" si="18"/>
        <v>187.4095204226783</v>
      </c>
      <c r="I186" s="3">
        <f t="shared" si="19"/>
        <v>4.886927</v>
      </c>
      <c r="J186" s="3">
        <v>1224146.2101198942</v>
      </c>
      <c r="K186" s="3">
        <v>14500.972</v>
      </c>
      <c r="L186" s="3">
        <v>558767.06970128021</v>
      </c>
      <c r="M186" s="3">
        <v>7503.4679999999998</v>
      </c>
      <c r="N186" s="3">
        <v>187409.5204226783</v>
      </c>
      <c r="O186" s="3">
        <v>4886.9269999999997</v>
      </c>
      <c r="P186" s="3">
        <f>E186*(VLOOKUP(B186,Price_data!A$1:B$190,2,FALSE))</f>
        <v>994.05642753683856</v>
      </c>
      <c r="Q186" s="3">
        <f>G186*(VLOOKUP(B186,Price_data!A$1:B$190,2,FALSE))</f>
        <v>514.37038801378196</v>
      </c>
      <c r="R186" s="3">
        <f>I186*(VLOOKUP(B186,Price_data!A$1:B$190,2,FALSE))</f>
        <v>335.00383251918009</v>
      </c>
      <c r="S186" s="4" t="str">
        <f>(VLOOKUP(B186,Price_data!A$1:C$190,3,FALSE))</f>
        <v>Open access</v>
      </c>
      <c r="T186" s="2">
        <f>IF(C186="Total", (VLOOKUP(B186,Recommended_fish_intake!A$4:D$122,4,FALSE)), "NA")</f>
        <v>582.18281354189082</v>
      </c>
      <c r="U186" s="2" t="str">
        <f t="shared" si="20"/>
        <v>NA</v>
      </c>
    </row>
    <row r="187" spans="1:21" ht="14.25" customHeight="1">
      <c r="A187" s="2" t="s">
        <v>15</v>
      </c>
      <c r="B187" s="2">
        <v>1913</v>
      </c>
      <c r="C187" s="2" t="s">
        <v>22</v>
      </c>
      <c r="D187" s="3">
        <f t="shared" si="14"/>
        <v>178.52174354805933</v>
      </c>
      <c r="E187" s="3" t="e">
        <f t="shared" si="15"/>
        <v>#N/A</v>
      </c>
      <c r="F187" s="3" t="e">
        <f t="shared" si="16"/>
        <v>#N/A</v>
      </c>
      <c r="G187" s="3" t="e">
        <f t="shared" si="17"/>
        <v>#N/A</v>
      </c>
      <c r="H187" s="3" t="e">
        <f t="shared" si="18"/>
        <v>#N/A</v>
      </c>
      <c r="I187" s="3" t="e">
        <f t="shared" si="19"/>
        <v>#N/A</v>
      </c>
      <c r="J187" s="3">
        <v>178521.74354805934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f>E187*(VLOOKUP(B187,Price_data!A$1:B$190,2,FALSE))</f>
        <v>#N/A</v>
      </c>
      <c r="Q187" s="3" t="e">
        <f>G187*(VLOOKUP(B187,Price_data!A$1:B$190,2,FALSE))</f>
        <v>#N/A</v>
      </c>
      <c r="R187" s="3" t="e">
        <f>I187*(VLOOKUP(B187,Price_data!A$1:B$190,2,FALSE))</f>
        <v>#N/A</v>
      </c>
      <c r="S187" s="4" t="str">
        <f>(VLOOKUP(B187,Price_data!A$1:C$190,3,FALSE))</f>
        <v>Open access</v>
      </c>
      <c r="T187" s="2" t="str">
        <f>IF(C187="Total", (VLOOKUP(B187,Recommended_fish_intake!A$4:D$122,4,FALSE)), "NA")</f>
        <v>NA</v>
      </c>
      <c r="U187" s="2" t="str">
        <f t="shared" si="20"/>
        <v>NA</v>
      </c>
    </row>
    <row r="188" spans="1:21" ht="14.25" customHeight="1">
      <c r="A188" s="2" t="s">
        <v>15</v>
      </c>
      <c r="B188" s="2">
        <v>1913</v>
      </c>
      <c r="C188" s="2" t="s">
        <v>23</v>
      </c>
      <c r="D188" s="3">
        <f t="shared" si="14"/>
        <v>112.2981101402154</v>
      </c>
      <c r="E188" s="3" t="e">
        <f t="shared" si="15"/>
        <v>#N/A</v>
      </c>
      <c r="F188" s="3" t="e">
        <f t="shared" si="16"/>
        <v>#N/A</v>
      </c>
      <c r="G188" s="3" t="e">
        <f t="shared" si="17"/>
        <v>#N/A</v>
      </c>
      <c r="H188" s="3" t="e">
        <f t="shared" si="18"/>
        <v>#N/A</v>
      </c>
      <c r="I188" s="3" t="e">
        <f t="shared" si="19"/>
        <v>#N/A</v>
      </c>
      <c r="J188" s="3">
        <v>112298.1101402154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f>E188*(VLOOKUP(B188,Price_data!A$1:B$190,2,FALSE))</f>
        <v>#N/A</v>
      </c>
      <c r="Q188" s="3" t="e">
        <f>G188*(VLOOKUP(B188,Price_data!A$1:B$190,2,FALSE))</f>
        <v>#N/A</v>
      </c>
      <c r="R188" s="3" t="e">
        <f>I188*(VLOOKUP(B188,Price_data!A$1:B$190,2,FALSE))</f>
        <v>#N/A</v>
      </c>
      <c r="S188" s="4" t="str">
        <f>(VLOOKUP(B188,Price_data!A$1:C$190,3,FALSE))</f>
        <v>Open access</v>
      </c>
      <c r="T188" s="2" t="str">
        <f>IF(C188="Total", (VLOOKUP(B188,Recommended_fish_intake!A$4:D$122,4,FALSE)), "NA")</f>
        <v>NA</v>
      </c>
      <c r="U188" s="2" t="str">
        <f t="shared" si="20"/>
        <v>NA</v>
      </c>
    </row>
    <row r="189" spans="1:21" ht="14.25" customHeight="1">
      <c r="A189" s="2" t="s">
        <v>15</v>
      </c>
      <c r="B189" s="2">
        <v>1913</v>
      </c>
      <c r="C189" s="2" t="s">
        <v>19</v>
      </c>
      <c r="D189" s="3">
        <f t="shared" si="14"/>
        <v>597.5790489737858</v>
      </c>
      <c r="E189" s="3" t="e">
        <f t="shared" si="15"/>
        <v>#N/A</v>
      </c>
      <c r="F189" s="3" t="e">
        <f t="shared" si="16"/>
        <v>#N/A</v>
      </c>
      <c r="G189" s="3" t="e">
        <f t="shared" si="17"/>
        <v>#N/A</v>
      </c>
      <c r="H189" s="3" t="e">
        <f t="shared" si="18"/>
        <v>#N/A</v>
      </c>
      <c r="I189" s="3" t="e">
        <f t="shared" si="19"/>
        <v>#N/A</v>
      </c>
      <c r="J189" s="3">
        <v>597579.04897378583</v>
      </c>
      <c r="K189" s="3" t="e">
        <v>#N/A</v>
      </c>
      <c r="L189" s="3" t="e">
        <v>#N/A</v>
      </c>
      <c r="M189" s="3" t="e">
        <v>#N/A</v>
      </c>
      <c r="N189" s="3" t="e">
        <v>#N/A</v>
      </c>
      <c r="O189" s="3" t="e">
        <v>#N/A</v>
      </c>
      <c r="P189" s="3" t="e">
        <f>E189*(VLOOKUP(B189,Price_data!A$1:B$190,2,FALSE))</f>
        <v>#N/A</v>
      </c>
      <c r="Q189" s="3" t="e">
        <f>G189*(VLOOKUP(B189,Price_data!A$1:B$190,2,FALSE))</f>
        <v>#N/A</v>
      </c>
      <c r="R189" s="3" t="e">
        <f>I189*(VLOOKUP(B189,Price_data!A$1:B$190,2,FALSE))</f>
        <v>#N/A</v>
      </c>
      <c r="S189" s="4" t="str">
        <f>(VLOOKUP(B189,Price_data!A$1:C$190,3,FALSE))</f>
        <v>Open access</v>
      </c>
      <c r="T189" s="2" t="str">
        <f>IF(C189="Total", (VLOOKUP(B189,Recommended_fish_intake!A$4:D$122,4,FALSE)), "NA")</f>
        <v>NA</v>
      </c>
      <c r="U189" s="2" t="str">
        <f t="shared" si="20"/>
        <v>NA</v>
      </c>
    </row>
    <row r="190" spans="1:21" ht="14.25" customHeight="1">
      <c r="A190" s="2" t="s">
        <v>15</v>
      </c>
      <c r="B190" s="2">
        <v>1913</v>
      </c>
      <c r="C190" s="2" t="s">
        <v>28</v>
      </c>
      <c r="D190" s="3" t="e">
        <f t="shared" si="14"/>
        <v>#VALUE!</v>
      </c>
      <c r="E190" s="3" t="e">
        <f t="shared" si="15"/>
        <v>#VALUE!</v>
      </c>
      <c r="F190" s="3" t="e">
        <f t="shared" si="16"/>
        <v>#N/A</v>
      </c>
      <c r="G190" s="3" t="e">
        <f t="shared" si="17"/>
        <v>#N/A</v>
      </c>
      <c r="H190" s="3" t="e">
        <f t="shared" si="18"/>
        <v>#N/A</v>
      </c>
      <c r="I190" s="3" t="e">
        <f t="shared" si="19"/>
        <v>#N/A</v>
      </c>
      <c r="J190" s="3" t="e">
        <v>#VALUE!</v>
      </c>
      <c r="K190" s="3" t="e">
        <v>#VALUE!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f>E190*(VLOOKUP(B190,Price_data!A$1:B$190,2,FALSE))</f>
        <v>#VALUE!</v>
      </c>
      <c r="Q190" s="3" t="e">
        <f>G190*(VLOOKUP(B190,Price_data!A$1:B$190,2,FALSE))</f>
        <v>#N/A</v>
      </c>
      <c r="R190" s="3" t="e">
        <f>I190*(VLOOKUP(B190,Price_data!A$1:B$190,2,FALSE))</f>
        <v>#N/A</v>
      </c>
      <c r="S190" s="4" t="str">
        <f>(VLOOKUP(B190,Price_data!A$1:C$190,3,FALSE))</f>
        <v>Open access</v>
      </c>
      <c r="T190" s="2" t="str">
        <f>IF(C190="Total", (VLOOKUP(B190,Recommended_fish_intake!A$4:D$122,4,FALSE)), "NA")</f>
        <v>NA</v>
      </c>
      <c r="U190" s="2" t="e">
        <f t="shared" si="20"/>
        <v>#VALUE!</v>
      </c>
    </row>
    <row r="191" spans="1:21" ht="14.25" customHeight="1">
      <c r="A191" s="2" t="s">
        <v>15</v>
      </c>
      <c r="B191" s="2">
        <v>1913</v>
      </c>
      <c r="C191" s="2" t="s">
        <v>29</v>
      </c>
      <c r="D191" s="3" t="e">
        <f t="shared" si="14"/>
        <v>#VALUE!</v>
      </c>
      <c r="E191" s="3" t="e">
        <f t="shared" si="15"/>
        <v>#VALUE!</v>
      </c>
      <c r="F191" s="3" t="e">
        <f t="shared" si="16"/>
        <v>#N/A</v>
      </c>
      <c r="G191" s="3" t="e">
        <f t="shared" si="17"/>
        <v>#N/A</v>
      </c>
      <c r="H191" s="3" t="e">
        <f t="shared" si="18"/>
        <v>#N/A</v>
      </c>
      <c r="I191" s="3" t="e">
        <f t="shared" si="19"/>
        <v>#N/A</v>
      </c>
      <c r="J191" s="3" t="e">
        <v>#VALUE!</v>
      </c>
      <c r="K191" s="3" t="e">
        <v>#VALUE!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f>E191*(VLOOKUP(B191,Price_data!A$1:B$190,2,FALSE))</f>
        <v>#VALUE!</v>
      </c>
      <c r="Q191" s="3" t="e">
        <f>G191*(VLOOKUP(B191,Price_data!A$1:B$190,2,FALSE))</f>
        <v>#N/A</v>
      </c>
      <c r="R191" s="3" t="e">
        <f>I191*(VLOOKUP(B191,Price_data!A$1:B$190,2,FALSE))</f>
        <v>#N/A</v>
      </c>
      <c r="S191" s="4" t="str">
        <f>(VLOOKUP(B191,Price_data!A$1:C$190,3,FALSE))</f>
        <v>Open access</v>
      </c>
      <c r="T191" s="2" t="str">
        <f>IF(C191="Total", (VLOOKUP(B191,Recommended_fish_intake!A$4:D$122,4,FALSE)), "NA")</f>
        <v>NA</v>
      </c>
      <c r="U191" s="2" t="str">
        <f t="shared" si="20"/>
        <v>NA</v>
      </c>
    </row>
    <row r="192" spans="1:21" ht="14.25" customHeight="1">
      <c r="A192" s="2" t="s">
        <v>15</v>
      </c>
      <c r="B192" s="2">
        <v>1913</v>
      </c>
      <c r="C192" s="2" t="s">
        <v>20</v>
      </c>
      <c r="D192" s="3">
        <f t="shared" si="14"/>
        <v>21.308067465962203</v>
      </c>
      <c r="E192" s="3" t="e">
        <f t="shared" si="15"/>
        <v>#N/A</v>
      </c>
      <c r="F192" s="3" t="e">
        <f t="shared" si="16"/>
        <v>#N/A</v>
      </c>
      <c r="G192" s="3" t="e">
        <f t="shared" si="17"/>
        <v>#N/A</v>
      </c>
      <c r="H192" s="3" t="e">
        <f t="shared" si="18"/>
        <v>#N/A</v>
      </c>
      <c r="I192" s="3" t="e">
        <f t="shared" si="19"/>
        <v>#N/A</v>
      </c>
      <c r="J192" s="3">
        <v>21308.067465962202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f>E192*(VLOOKUP(B192,Price_data!A$1:B$190,2,FALSE))</f>
        <v>#N/A</v>
      </c>
      <c r="Q192" s="3" t="e">
        <f>G192*(VLOOKUP(B192,Price_data!A$1:B$190,2,FALSE))</f>
        <v>#N/A</v>
      </c>
      <c r="R192" s="3" t="e">
        <f>I192*(VLOOKUP(B192,Price_data!A$1:B$190,2,FALSE))</f>
        <v>#N/A</v>
      </c>
      <c r="S192" s="4" t="str">
        <f>(VLOOKUP(B192,Price_data!A$1:C$190,3,FALSE))</f>
        <v>Open access</v>
      </c>
      <c r="T192" s="2" t="str">
        <f>IF(C192="Total", (VLOOKUP(B192,Recommended_fish_intake!A$4:D$122,4,FALSE)), "NA")</f>
        <v>NA</v>
      </c>
      <c r="U192" s="2" t="str">
        <f t="shared" si="20"/>
        <v>NA</v>
      </c>
    </row>
    <row r="193" spans="1:21" ht="14.25" customHeight="1">
      <c r="A193" s="2" t="s">
        <v>15</v>
      </c>
      <c r="B193" s="2">
        <v>1913</v>
      </c>
      <c r="C193" s="2" t="s">
        <v>25</v>
      </c>
      <c r="D193" s="3">
        <f t="shared" si="14"/>
        <v>37.743751270067058</v>
      </c>
      <c r="E193" s="3" t="e">
        <f t="shared" si="15"/>
        <v>#N/A</v>
      </c>
      <c r="F193" s="3" t="e">
        <f t="shared" si="16"/>
        <v>#N/A</v>
      </c>
      <c r="G193" s="3" t="e">
        <f t="shared" si="17"/>
        <v>#N/A</v>
      </c>
      <c r="H193" s="3" t="e">
        <f t="shared" si="18"/>
        <v>#N/A</v>
      </c>
      <c r="I193" s="3" t="e">
        <f t="shared" si="19"/>
        <v>#N/A</v>
      </c>
      <c r="J193" s="3">
        <v>37743.751270067056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f>E193*(VLOOKUP(B193,Price_data!A$1:B$190,2,FALSE))</f>
        <v>#N/A</v>
      </c>
      <c r="Q193" s="3" t="e">
        <f>G193*(VLOOKUP(B193,Price_data!A$1:B$190,2,FALSE))</f>
        <v>#N/A</v>
      </c>
      <c r="R193" s="3" t="e">
        <f>I193*(VLOOKUP(B193,Price_data!A$1:B$190,2,FALSE))</f>
        <v>#N/A</v>
      </c>
      <c r="S193" s="4" t="str">
        <f>(VLOOKUP(B193,Price_data!A$1:C$190,3,FALSE))</f>
        <v>Open access</v>
      </c>
      <c r="T193" s="2" t="str">
        <f>IF(C193="Total", (VLOOKUP(B193,Recommended_fish_intake!A$4:D$122,4,FALSE)), "NA")</f>
        <v>NA</v>
      </c>
      <c r="U193" s="2" t="str">
        <f t="shared" si="20"/>
        <v>NA</v>
      </c>
    </row>
    <row r="194" spans="1:21" ht="14.25" customHeight="1">
      <c r="A194" s="2" t="s">
        <v>15</v>
      </c>
      <c r="B194" s="2">
        <v>1913</v>
      </c>
      <c r="C194" s="2" t="s">
        <v>24</v>
      </c>
      <c r="D194" s="3">
        <f t="shared" ref="D194:D257" si="21">IF(J194="", NA(), J194/1000)</f>
        <v>33.016155252997358</v>
      </c>
      <c r="E194" s="3" t="e">
        <f t="shared" ref="E194:E257" si="22">IF(K194="", NA(), K194/1000)</f>
        <v>#N/A</v>
      </c>
      <c r="F194" s="3" t="e">
        <f t="shared" ref="F194:F257" si="23">IF(L194="", NA(), L194/1000)</f>
        <v>#N/A</v>
      </c>
      <c r="G194" s="3" t="e">
        <f t="shared" ref="G194:G257" si="24">IF(M194="", NA(), M194/1000)</f>
        <v>#N/A</v>
      </c>
      <c r="H194" s="3" t="e">
        <f t="shared" ref="H194:H257" si="25">IF(N194="", NA(), N194/1000)</f>
        <v>#N/A</v>
      </c>
      <c r="I194" s="3" t="e">
        <f t="shared" ref="I194:I257" si="26">IF(O194="", NA(), O194/1000)</f>
        <v>#N/A</v>
      </c>
      <c r="J194" s="3">
        <v>33016.155252997356</v>
      </c>
      <c r="K194" s="3" t="e">
        <v>#N/A</v>
      </c>
      <c r="L194" s="3" t="e">
        <v>#N/A</v>
      </c>
      <c r="M194" s="3" t="e">
        <v>#N/A</v>
      </c>
      <c r="N194" s="3" t="e">
        <v>#N/A</v>
      </c>
      <c r="O194" s="3" t="e">
        <v>#N/A</v>
      </c>
      <c r="P194" s="3" t="e">
        <f>E194*(VLOOKUP(B194,Price_data!A$1:B$190,2,FALSE))</f>
        <v>#N/A</v>
      </c>
      <c r="Q194" s="3" t="e">
        <f>G194*(VLOOKUP(B194,Price_data!A$1:B$190,2,FALSE))</f>
        <v>#N/A</v>
      </c>
      <c r="R194" s="3" t="e">
        <f>I194*(VLOOKUP(B194,Price_data!A$1:B$190,2,FALSE))</f>
        <v>#N/A</v>
      </c>
      <c r="S194" s="4" t="str">
        <f>(VLOOKUP(B194,Price_data!A$1:C$190,3,FALSE))</f>
        <v>Open access</v>
      </c>
      <c r="T194" s="2" t="str">
        <f>IF(C194="Total", (VLOOKUP(B194,Recommended_fish_intake!A$4:D$122,4,FALSE)), "NA")</f>
        <v>NA</v>
      </c>
      <c r="U194" s="2" t="str">
        <f t="shared" ref="U194:U257" si="27">IF(C194="Wet fish", D194*0.49, IF(C194="Shellfish", D194*0.28, "NA"))</f>
        <v>NA</v>
      </c>
    </row>
    <row r="195" spans="1:21" ht="14.25" customHeight="1">
      <c r="A195" s="2" t="s">
        <v>15</v>
      </c>
      <c r="B195" s="2">
        <v>1913</v>
      </c>
      <c r="C195" s="2" t="s">
        <v>30</v>
      </c>
      <c r="D195" s="3" t="e">
        <f t="shared" si="21"/>
        <v>#N/A</v>
      </c>
      <c r="E195" s="3" t="e">
        <f t="shared" si="22"/>
        <v>#N/A</v>
      </c>
      <c r="F195" s="3" t="e">
        <f t="shared" si="23"/>
        <v>#N/A</v>
      </c>
      <c r="G195" s="3" t="e">
        <f t="shared" si="24"/>
        <v>#N/A</v>
      </c>
      <c r="H195" s="3" t="e">
        <f t="shared" si="25"/>
        <v>#N/A</v>
      </c>
      <c r="I195" s="3" t="e">
        <f t="shared" si="26"/>
        <v>#N/A</v>
      </c>
      <c r="J195" s="3" t="e">
        <v>#N/A</v>
      </c>
      <c r="K195" s="3" t="e">
        <v>#N/A</v>
      </c>
      <c r="L195" s="3" t="e">
        <v>#N/A</v>
      </c>
      <c r="M195" s="3" t="e">
        <v>#N/A</v>
      </c>
      <c r="N195" s="3" t="e">
        <v>#N/A</v>
      </c>
      <c r="O195" s="3" t="e">
        <v>#N/A</v>
      </c>
      <c r="P195" s="3" t="e">
        <f>E195*(VLOOKUP(B195,Price_data!A$1:B$190,2,FALSE))</f>
        <v>#N/A</v>
      </c>
      <c r="Q195" s="3" t="e">
        <f>G195*(VLOOKUP(B195,Price_data!A$1:B$190,2,FALSE))</f>
        <v>#N/A</v>
      </c>
      <c r="R195" s="3" t="e">
        <f>I195*(VLOOKUP(B195,Price_data!A$1:B$190,2,FALSE))</f>
        <v>#N/A</v>
      </c>
      <c r="S195" s="4" t="str">
        <f>(VLOOKUP(B195,Price_data!A$1:C$190,3,FALSE))</f>
        <v>Open access</v>
      </c>
      <c r="T195" s="2" t="str">
        <f>IF(C195="Total", (VLOOKUP(B195,Recommended_fish_intake!A$4:D$122,4,FALSE)), "NA")</f>
        <v>NA</v>
      </c>
      <c r="U195" s="2" t="str">
        <f t="shared" si="27"/>
        <v>NA</v>
      </c>
    </row>
    <row r="196" spans="1:21" ht="14.25" customHeight="1">
      <c r="A196" s="2" t="s">
        <v>15</v>
      </c>
      <c r="B196" s="2">
        <v>1914</v>
      </c>
      <c r="C196" s="2" t="s">
        <v>16</v>
      </c>
      <c r="D196" s="3">
        <f t="shared" si="21"/>
        <v>896.21245681771995</v>
      </c>
      <c r="E196" s="3">
        <f t="shared" si="22"/>
        <v>11.458350000000001</v>
      </c>
      <c r="F196" s="3">
        <f t="shared" si="23"/>
        <v>253.91886811623652</v>
      </c>
      <c r="G196" s="3">
        <f t="shared" si="24"/>
        <v>3.7578529999999999</v>
      </c>
      <c r="H196" s="3">
        <f t="shared" si="25"/>
        <v>181.52824629140417</v>
      </c>
      <c r="I196" s="3">
        <f t="shared" si="26"/>
        <v>5.6737910000000005</v>
      </c>
      <c r="J196" s="3">
        <v>896212.45681771997</v>
      </c>
      <c r="K196" s="3">
        <v>11458.35</v>
      </c>
      <c r="L196" s="3">
        <v>253918.86811623652</v>
      </c>
      <c r="M196" s="3">
        <v>3757.8530000000001</v>
      </c>
      <c r="N196" s="3">
        <v>181528.24629140418</v>
      </c>
      <c r="O196" s="3">
        <v>5673.7910000000002</v>
      </c>
      <c r="P196" s="3">
        <f>E196*(VLOOKUP(B196,Price_data!A$1:B$190,2,FALSE))</f>
        <v>785.48158471492366</v>
      </c>
      <c r="Q196" s="3">
        <f>G196*(VLOOKUP(B196,Price_data!A$1:B$190,2,FALSE))</f>
        <v>257.60465770077974</v>
      </c>
      <c r="R196" s="3">
        <f>I196*(VLOOKUP(B196,Price_data!A$1:B$190,2,FALSE))</f>
        <v>388.94416264307438</v>
      </c>
      <c r="S196" s="4" t="str">
        <f>(VLOOKUP(B196,Price_data!A$1:C$190,3,FALSE))</f>
        <v>WW</v>
      </c>
      <c r="T196" s="2">
        <f>IF(C196="Total", (VLOOKUP(B196,Recommended_fish_intake!A$4:D$122,4,FALSE)), "NA")</f>
        <v>586.95898070284716</v>
      </c>
      <c r="U196" s="2" t="str">
        <f t="shared" si="27"/>
        <v>NA</v>
      </c>
    </row>
    <row r="197" spans="1:21" ht="14.25" customHeight="1">
      <c r="A197" s="2" t="s">
        <v>18</v>
      </c>
      <c r="B197" s="2">
        <v>1914</v>
      </c>
      <c r="C197" s="2" t="s">
        <v>19</v>
      </c>
      <c r="D197" s="3">
        <f t="shared" si="21"/>
        <v>102.46433651696809</v>
      </c>
      <c r="E197" s="3">
        <f t="shared" si="22"/>
        <v>0.67780399999999996</v>
      </c>
      <c r="F197" s="3" t="e">
        <f t="shared" si="23"/>
        <v>#N/A</v>
      </c>
      <c r="G197" s="3" t="e">
        <f t="shared" si="24"/>
        <v>#N/A</v>
      </c>
      <c r="H197" s="3" t="e">
        <f t="shared" si="25"/>
        <v>#N/A</v>
      </c>
      <c r="I197" s="3" t="e">
        <f t="shared" si="26"/>
        <v>#N/A</v>
      </c>
      <c r="J197" s="3">
        <v>102464.33651696809</v>
      </c>
      <c r="K197" s="3">
        <v>677.80399999999997</v>
      </c>
      <c r="L197" s="3" t="e">
        <v>#N/A</v>
      </c>
      <c r="M197" s="3" t="e">
        <v>#N/A</v>
      </c>
      <c r="N197" s="3" t="e">
        <v>#N/A</v>
      </c>
      <c r="O197" s="3" t="e">
        <v>#N/A</v>
      </c>
      <c r="P197" s="3">
        <f>E197*(VLOOKUP(B197,Price_data!A$1:B$190,2,FALSE))</f>
        <v>46.464155837979639</v>
      </c>
      <c r="Q197" s="3" t="e">
        <f>G197*(VLOOKUP(B197,Price_data!A$1:B$190,2,FALSE))</f>
        <v>#N/A</v>
      </c>
      <c r="R197" s="3" t="e">
        <f>I197*(VLOOKUP(B197,Price_data!A$1:B$190,2,FALSE))</f>
        <v>#N/A</v>
      </c>
      <c r="S197" s="4" t="str">
        <f>(VLOOKUP(B197,Price_data!A$1:C$190,3,FALSE))</f>
        <v>WW</v>
      </c>
      <c r="T197" s="2" t="str">
        <f>IF(C197="Total", (VLOOKUP(B197,Recommended_fish_intake!A$4:D$122,4,FALSE)), "NA")</f>
        <v>NA</v>
      </c>
      <c r="U197" s="2" t="str">
        <f t="shared" si="27"/>
        <v>NA</v>
      </c>
    </row>
    <row r="198" spans="1:21" ht="14.25" customHeight="1">
      <c r="A198" s="2" t="s">
        <v>18</v>
      </c>
      <c r="B198" s="2">
        <v>1914</v>
      </c>
      <c r="C198" s="2" t="s">
        <v>20</v>
      </c>
      <c r="D198" s="3">
        <f t="shared" si="21"/>
        <v>14.070717333875228</v>
      </c>
      <c r="E198" s="3">
        <f t="shared" si="22"/>
        <v>0.14138399999999998</v>
      </c>
      <c r="F198" s="3" t="e">
        <f t="shared" si="23"/>
        <v>#N/A</v>
      </c>
      <c r="G198" s="3" t="e">
        <f t="shared" si="24"/>
        <v>#N/A</v>
      </c>
      <c r="H198" s="3" t="e">
        <f t="shared" si="25"/>
        <v>#N/A</v>
      </c>
      <c r="I198" s="3" t="e">
        <f t="shared" si="26"/>
        <v>#N/A</v>
      </c>
      <c r="J198" s="3">
        <v>14070.717333875227</v>
      </c>
      <c r="K198" s="3">
        <v>141.38399999999999</v>
      </c>
      <c r="L198" s="3" t="e">
        <v>#N/A</v>
      </c>
      <c r="M198" s="3" t="e">
        <v>#N/A</v>
      </c>
      <c r="N198" s="3" t="e">
        <v>#N/A</v>
      </c>
      <c r="O198" s="3" t="e">
        <v>#N/A</v>
      </c>
      <c r="P198" s="3">
        <f>E198*(VLOOKUP(B198,Price_data!A$1:B$190,2,FALSE))</f>
        <v>9.692017469647439</v>
      </c>
      <c r="Q198" s="3" t="e">
        <f>G198*(VLOOKUP(B198,Price_data!A$1:B$190,2,FALSE))</f>
        <v>#N/A</v>
      </c>
      <c r="R198" s="3" t="e">
        <f>I198*(VLOOKUP(B198,Price_data!A$1:B$190,2,FALSE))</f>
        <v>#N/A</v>
      </c>
      <c r="S198" s="4" t="str">
        <f>(VLOOKUP(B198,Price_data!A$1:C$190,3,FALSE))</f>
        <v>WW</v>
      </c>
      <c r="T198" s="2" t="str">
        <f>IF(C198="Total", (VLOOKUP(B198,Recommended_fish_intake!A$4:D$122,4,FALSE)), "NA")</f>
        <v>NA</v>
      </c>
      <c r="U198" s="2" t="str">
        <f t="shared" si="27"/>
        <v>NA</v>
      </c>
    </row>
    <row r="199" spans="1:21" ht="14.25" customHeight="1">
      <c r="A199" s="2" t="s">
        <v>18</v>
      </c>
      <c r="B199" s="2">
        <v>1914</v>
      </c>
      <c r="C199" s="2" t="s">
        <v>21</v>
      </c>
      <c r="D199" s="3">
        <f t="shared" si="21"/>
        <v>4.4791200975411503</v>
      </c>
      <c r="E199" s="3">
        <f t="shared" si="22"/>
        <v>2.2123E-2</v>
      </c>
      <c r="F199" s="3" t="e">
        <f t="shared" si="23"/>
        <v>#N/A</v>
      </c>
      <c r="G199" s="3" t="e">
        <f t="shared" si="24"/>
        <v>#N/A</v>
      </c>
      <c r="H199" s="3" t="e">
        <f t="shared" si="25"/>
        <v>#N/A</v>
      </c>
      <c r="I199" s="3" t="e">
        <f t="shared" si="26"/>
        <v>#N/A</v>
      </c>
      <c r="J199" s="3">
        <v>4479.1200975411502</v>
      </c>
      <c r="K199" s="3">
        <v>22.123000000000001</v>
      </c>
      <c r="L199" s="3" t="e">
        <v>#N/A</v>
      </c>
      <c r="M199" s="3" t="e">
        <v>#N/A</v>
      </c>
      <c r="N199" s="3" t="e">
        <v>#N/A</v>
      </c>
      <c r="O199" s="3" t="e">
        <v>#N/A</v>
      </c>
      <c r="P199" s="3">
        <f>E199*(VLOOKUP(B199,Price_data!A$1:B$190,2,FALSE))</f>
        <v>1.5165542245304302</v>
      </c>
      <c r="Q199" s="3" t="e">
        <f>G199*(VLOOKUP(B199,Price_data!A$1:B$190,2,FALSE))</f>
        <v>#N/A</v>
      </c>
      <c r="R199" s="3" t="e">
        <f>I199*(VLOOKUP(B199,Price_data!A$1:B$190,2,FALSE))</f>
        <v>#N/A</v>
      </c>
      <c r="S199" s="4" t="str">
        <f>(VLOOKUP(B199,Price_data!A$1:C$190,3,FALSE))</f>
        <v>WW</v>
      </c>
      <c r="T199" s="2" t="str">
        <f>IF(C199="Total", (VLOOKUP(B199,Recommended_fish_intake!A$4:D$122,4,FALSE)), "NA")</f>
        <v>NA</v>
      </c>
      <c r="U199" s="2" t="str">
        <f t="shared" si="27"/>
        <v>NA</v>
      </c>
    </row>
    <row r="200" spans="1:21" ht="14.25" customHeight="1">
      <c r="A200" s="2" t="s">
        <v>18</v>
      </c>
      <c r="B200" s="2">
        <v>1914</v>
      </c>
      <c r="C200" s="2" t="s">
        <v>22</v>
      </c>
      <c r="D200" s="3">
        <f t="shared" si="21"/>
        <v>131.02524893314367</v>
      </c>
      <c r="E200" s="3">
        <f t="shared" si="22"/>
        <v>1.7557579999999999</v>
      </c>
      <c r="F200" s="3" t="e">
        <f t="shared" si="23"/>
        <v>#N/A</v>
      </c>
      <c r="G200" s="3" t="e">
        <f t="shared" si="24"/>
        <v>#N/A</v>
      </c>
      <c r="H200" s="3" t="e">
        <f t="shared" si="25"/>
        <v>#N/A</v>
      </c>
      <c r="I200" s="3" t="e">
        <f t="shared" si="26"/>
        <v>#N/A</v>
      </c>
      <c r="J200" s="3">
        <v>131025.24893314367</v>
      </c>
      <c r="K200" s="3">
        <v>1755.758</v>
      </c>
      <c r="L200" s="3" t="e">
        <v>#N/A</v>
      </c>
      <c r="M200" s="3" t="e">
        <v>#N/A</v>
      </c>
      <c r="N200" s="3" t="e">
        <v>#N/A</v>
      </c>
      <c r="O200" s="3" t="e">
        <v>#N/A</v>
      </c>
      <c r="P200" s="3">
        <f>E200*(VLOOKUP(B200,Price_data!A$1:B$190,2,FALSE))</f>
        <v>120.35900249302078</v>
      </c>
      <c r="Q200" s="3" t="e">
        <f>G200*(VLOOKUP(B200,Price_data!A$1:B$190,2,FALSE))</f>
        <v>#N/A</v>
      </c>
      <c r="R200" s="3" t="e">
        <f>I200*(VLOOKUP(B200,Price_data!A$1:B$190,2,FALSE))</f>
        <v>#N/A</v>
      </c>
      <c r="S200" s="4" t="str">
        <f>(VLOOKUP(B200,Price_data!A$1:C$190,3,FALSE))</f>
        <v>WW</v>
      </c>
      <c r="T200" s="2" t="str">
        <f>IF(C200="Total", (VLOOKUP(B200,Recommended_fish_intake!A$4:D$122,4,FALSE)), "NA")</f>
        <v>NA</v>
      </c>
      <c r="U200" s="2" t="str">
        <f t="shared" si="27"/>
        <v>NA</v>
      </c>
    </row>
    <row r="201" spans="1:21" ht="14.25" customHeight="1">
      <c r="A201" s="2" t="s">
        <v>18</v>
      </c>
      <c r="B201" s="2">
        <v>1914</v>
      </c>
      <c r="C201" s="2" t="s">
        <v>23</v>
      </c>
      <c r="D201" s="3">
        <f t="shared" si="21"/>
        <v>67.929943100995729</v>
      </c>
      <c r="E201" s="3">
        <f t="shared" si="22"/>
        <v>1.1677690000000001</v>
      </c>
      <c r="F201" s="3" t="e">
        <f t="shared" si="23"/>
        <v>#N/A</v>
      </c>
      <c r="G201" s="3" t="e">
        <f t="shared" si="24"/>
        <v>#N/A</v>
      </c>
      <c r="H201" s="3" t="e">
        <f t="shared" si="25"/>
        <v>#N/A</v>
      </c>
      <c r="I201" s="3" t="e">
        <f t="shared" si="26"/>
        <v>#N/A</v>
      </c>
      <c r="J201" s="3">
        <v>67929.943100995733</v>
      </c>
      <c r="K201" s="3">
        <v>1167.769</v>
      </c>
      <c r="L201" s="3" t="e">
        <v>#N/A</v>
      </c>
      <c r="M201" s="3" t="e">
        <v>#N/A</v>
      </c>
      <c r="N201" s="3" t="e">
        <v>#N/A</v>
      </c>
      <c r="O201" s="3" t="e">
        <v>#N/A</v>
      </c>
      <c r="P201" s="3">
        <f>E201*(VLOOKUP(B201,Price_data!A$1:B$190,2,FALSE))</f>
        <v>80.051756553165305</v>
      </c>
      <c r="Q201" s="3" t="e">
        <f>G201*(VLOOKUP(B201,Price_data!A$1:B$190,2,FALSE))</f>
        <v>#N/A</v>
      </c>
      <c r="R201" s="3" t="e">
        <f>I201*(VLOOKUP(B201,Price_data!A$1:B$190,2,FALSE))</f>
        <v>#N/A</v>
      </c>
      <c r="S201" s="4" t="str">
        <f>(VLOOKUP(B201,Price_data!A$1:C$190,3,FALSE))</f>
        <v>WW</v>
      </c>
      <c r="T201" s="2" t="str">
        <f>IF(C201="Total", (VLOOKUP(B201,Recommended_fish_intake!A$4:D$122,4,FALSE)), "NA")</f>
        <v>NA</v>
      </c>
      <c r="U201" s="2" t="str">
        <f t="shared" si="27"/>
        <v>NA</v>
      </c>
    </row>
    <row r="202" spans="1:21" ht="14.25" customHeight="1">
      <c r="A202" s="2" t="s">
        <v>18</v>
      </c>
      <c r="B202" s="2">
        <v>1914</v>
      </c>
      <c r="C202" s="2" t="s">
        <v>24</v>
      </c>
      <c r="D202" s="3">
        <f t="shared" si="21"/>
        <v>18.206665311928468</v>
      </c>
      <c r="E202" s="3">
        <f t="shared" si="22"/>
        <v>0.25461099999999998</v>
      </c>
      <c r="F202" s="3" t="e">
        <f t="shared" si="23"/>
        <v>#N/A</v>
      </c>
      <c r="G202" s="3" t="e">
        <f t="shared" si="24"/>
        <v>#N/A</v>
      </c>
      <c r="H202" s="3" t="e">
        <f t="shared" si="25"/>
        <v>#N/A</v>
      </c>
      <c r="I202" s="3" t="e">
        <f t="shared" si="26"/>
        <v>#N/A</v>
      </c>
      <c r="J202" s="3">
        <v>18206.665311928467</v>
      </c>
      <c r="K202" s="3">
        <v>254.61099999999999</v>
      </c>
      <c r="L202" s="3" t="e">
        <v>#N/A</v>
      </c>
      <c r="M202" s="3" t="e">
        <v>#N/A</v>
      </c>
      <c r="N202" s="3" t="e">
        <v>#N/A</v>
      </c>
      <c r="O202" s="3" t="e">
        <v>#N/A</v>
      </c>
      <c r="P202" s="3">
        <f>E202*(VLOOKUP(B202,Price_data!A$1:B$190,2,FALSE))</f>
        <v>17.453843857610511</v>
      </c>
      <c r="Q202" s="3" t="e">
        <f>G202*(VLOOKUP(B202,Price_data!A$1:B$190,2,FALSE))</f>
        <v>#N/A</v>
      </c>
      <c r="R202" s="3" t="e">
        <f>I202*(VLOOKUP(B202,Price_data!A$1:B$190,2,FALSE))</f>
        <v>#N/A</v>
      </c>
      <c r="S202" s="4" t="str">
        <f>(VLOOKUP(B202,Price_data!A$1:C$190,3,FALSE))</f>
        <v>WW</v>
      </c>
      <c r="T202" s="2" t="str">
        <f>IF(C202="Total", (VLOOKUP(B202,Recommended_fish_intake!A$4:D$122,4,FALSE)), "NA")</f>
        <v>NA</v>
      </c>
      <c r="U202" s="2" t="str">
        <f t="shared" si="27"/>
        <v>NA</v>
      </c>
    </row>
    <row r="203" spans="1:21" ht="14.25" customHeight="1">
      <c r="A203" s="2" t="s">
        <v>18</v>
      </c>
      <c r="B203" s="2">
        <v>1914</v>
      </c>
      <c r="C203" s="2" t="s">
        <v>25</v>
      </c>
      <c r="D203" s="3">
        <f t="shared" si="21"/>
        <v>28.565586262954682</v>
      </c>
      <c r="E203" s="3">
        <f t="shared" si="22"/>
        <v>0.87419199999999997</v>
      </c>
      <c r="F203" s="3" t="e">
        <f t="shared" si="23"/>
        <v>#N/A</v>
      </c>
      <c r="G203" s="3" t="e">
        <f t="shared" si="24"/>
        <v>#N/A</v>
      </c>
      <c r="H203" s="3" t="e">
        <f t="shared" si="25"/>
        <v>#N/A</v>
      </c>
      <c r="I203" s="3" t="e">
        <f t="shared" si="26"/>
        <v>#N/A</v>
      </c>
      <c r="J203" s="3">
        <v>28565.586262954683</v>
      </c>
      <c r="K203" s="3">
        <v>874.19200000000001</v>
      </c>
      <c r="L203" s="3" t="e">
        <v>#N/A</v>
      </c>
      <c r="M203" s="3" t="e">
        <v>#N/A</v>
      </c>
      <c r="N203" s="3" t="e">
        <v>#N/A</v>
      </c>
      <c r="O203" s="3" t="e">
        <v>#N/A</v>
      </c>
      <c r="P203" s="3">
        <f>E203*(VLOOKUP(B203,Price_data!A$1:B$190,2,FALSE))</f>
        <v>59.926753634258723</v>
      </c>
      <c r="Q203" s="3" t="e">
        <f>G203*(VLOOKUP(B203,Price_data!A$1:B$190,2,FALSE))</f>
        <v>#N/A</v>
      </c>
      <c r="R203" s="3" t="e">
        <f>I203*(VLOOKUP(B203,Price_data!A$1:B$190,2,FALSE))</f>
        <v>#N/A</v>
      </c>
      <c r="S203" s="4" t="str">
        <f>(VLOOKUP(B203,Price_data!A$1:C$190,3,FALSE))</f>
        <v>WW</v>
      </c>
      <c r="T203" s="2" t="str">
        <f>IF(C203="Total", (VLOOKUP(B203,Recommended_fish_intake!A$4:D$122,4,FALSE)), "NA")</f>
        <v>NA</v>
      </c>
      <c r="U203" s="2" t="str">
        <f t="shared" si="27"/>
        <v>NA</v>
      </c>
    </row>
    <row r="204" spans="1:21" ht="14.25" customHeight="1">
      <c r="A204" s="2" t="s">
        <v>15</v>
      </c>
      <c r="B204" s="2">
        <v>1914</v>
      </c>
      <c r="C204" s="2" t="s">
        <v>22</v>
      </c>
      <c r="D204" s="3" t="e">
        <f t="shared" si="21"/>
        <v>#N/A</v>
      </c>
      <c r="E204" s="3" t="e">
        <f t="shared" si="22"/>
        <v>#N/A</v>
      </c>
      <c r="F204" s="3">
        <f t="shared" si="23"/>
        <v>22.562233285917497</v>
      </c>
      <c r="G204" s="3">
        <f t="shared" si="24"/>
        <v>0.63576999999999995</v>
      </c>
      <c r="H204" s="3">
        <f t="shared" si="25"/>
        <v>0</v>
      </c>
      <c r="I204" s="3">
        <f t="shared" si="26"/>
        <v>0</v>
      </c>
      <c r="J204" s="3" t="e">
        <v>#N/A</v>
      </c>
      <c r="K204" s="3" t="e">
        <v>#N/A</v>
      </c>
      <c r="L204" s="3">
        <v>22562.233285917497</v>
      </c>
      <c r="M204" s="3">
        <v>635.77</v>
      </c>
      <c r="N204" s="3">
        <v>0</v>
      </c>
      <c r="O204" s="3">
        <v>0</v>
      </c>
      <c r="P204" s="3" t="e">
        <f>E204*(VLOOKUP(B204,Price_data!A$1:B$190,2,FALSE))</f>
        <v>#N/A</v>
      </c>
      <c r="Q204" s="3">
        <f>G204*(VLOOKUP(B204,Price_data!A$1:B$190,2,FALSE))</f>
        <v>43.582682246065701</v>
      </c>
      <c r="R204" s="3">
        <f>I204*(VLOOKUP(B204,Price_data!A$1:B$190,2,FALSE))</f>
        <v>0</v>
      </c>
      <c r="S204" s="4" t="str">
        <f>(VLOOKUP(B204,Price_data!A$1:C$190,3,FALSE))</f>
        <v>WW</v>
      </c>
      <c r="T204" s="2" t="str">
        <f>IF(C204="Total", (VLOOKUP(B204,Recommended_fish_intake!A$4:D$122,4,FALSE)), "NA")</f>
        <v>NA</v>
      </c>
      <c r="U204" s="2" t="str">
        <f t="shared" si="27"/>
        <v>NA</v>
      </c>
    </row>
    <row r="205" spans="1:21" ht="14.25" customHeight="1">
      <c r="A205" s="2" t="s">
        <v>15</v>
      </c>
      <c r="B205" s="2">
        <v>1914</v>
      </c>
      <c r="C205" s="2" t="s">
        <v>23</v>
      </c>
      <c r="D205" s="3" t="e">
        <f t="shared" si="21"/>
        <v>#N/A</v>
      </c>
      <c r="E205" s="3" t="e">
        <f t="shared" si="22"/>
        <v>#N/A</v>
      </c>
      <c r="F205" s="3">
        <f t="shared" si="23"/>
        <v>3.1218248323511482</v>
      </c>
      <c r="G205" s="3">
        <f t="shared" si="24"/>
        <v>9.6785999999999997E-2</v>
      </c>
      <c r="H205" s="3" t="e">
        <f t="shared" si="25"/>
        <v>#VALUE!</v>
      </c>
      <c r="I205" s="3" t="e">
        <f t="shared" si="26"/>
        <v>#VALUE!</v>
      </c>
      <c r="J205" s="3" t="e">
        <v>#N/A</v>
      </c>
      <c r="K205" s="3" t="e">
        <v>#N/A</v>
      </c>
      <c r="L205" s="3">
        <v>3121.824832351148</v>
      </c>
      <c r="M205" s="3">
        <v>96.786000000000001</v>
      </c>
      <c r="N205" s="3" t="e">
        <v>#VALUE!</v>
      </c>
      <c r="O205" s="3" t="e">
        <v>#VALUE!</v>
      </c>
      <c r="P205" s="3" t="e">
        <f>E205*(VLOOKUP(B205,Price_data!A$1:B$190,2,FALSE))</f>
        <v>#N/A</v>
      </c>
      <c r="Q205" s="3">
        <f>G205*(VLOOKUP(B205,Price_data!A$1:B$190,2,FALSE))</f>
        <v>6.6347790614022601</v>
      </c>
      <c r="R205" s="3" t="e">
        <f>I205*(VLOOKUP(B205,Price_data!A$1:B$190,2,FALSE))</f>
        <v>#VALUE!</v>
      </c>
      <c r="S205" s="4" t="str">
        <f>(VLOOKUP(B205,Price_data!A$1:C$190,3,FALSE))</f>
        <v>WW</v>
      </c>
      <c r="T205" s="2" t="str">
        <f>IF(C205="Total", (VLOOKUP(B205,Recommended_fish_intake!A$4:D$122,4,FALSE)), "NA")</f>
        <v>NA</v>
      </c>
      <c r="U205" s="2" t="str">
        <f t="shared" si="27"/>
        <v>NA</v>
      </c>
    </row>
    <row r="206" spans="1:21" ht="14.25" customHeight="1">
      <c r="A206" s="2" t="s">
        <v>15</v>
      </c>
      <c r="B206" s="2">
        <v>1914</v>
      </c>
      <c r="C206" s="2" t="s">
        <v>19</v>
      </c>
      <c r="D206" s="3" t="e">
        <f t="shared" si="21"/>
        <v>#N/A</v>
      </c>
      <c r="E206" s="3" t="e">
        <f t="shared" si="22"/>
        <v>#N/A</v>
      </c>
      <c r="F206" s="3">
        <f t="shared" si="23"/>
        <v>205.84942084942082</v>
      </c>
      <c r="G206" s="3">
        <f t="shared" si="24"/>
        <v>2.3407770000000001</v>
      </c>
      <c r="H206" s="3">
        <f t="shared" si="25"/>
        <v>48.429638284901444</v>
      </c>
      <c r="I206" s="3">
        <f t="shared" si="26"/>
        <v>0.27086900000000003</v>
      </c>
      <c r="J206" s="3" t="e">
        <v>#N/A</v>
      </c>
      <c r="K206" s="3" t="e">
        <v>#N/A</v>
      </c>
      <c r="L206" s="3">
        <v>205849.42084942083</v>
      </c>
      <c r="M206" s="3">
        <v>2340.777</v>
      </c>
      <c r="N206" s="3">
        <v>48429.638284901441</v>
      </c>
      <c r="O206" s="3">
        <v>270.86900000000003</v>
      </c>
      <c r="P206" s="3" t="e">
        <f>E206*(VLOOKUP(B206,Price_data!A$1:B$190,2,FALSE))</f>
        <v>#N/A</v>
      </c>
      <c r="Q206" s="3">
        <f>G206*(VLOOKUP(B206,Price_data!A$1:B$190,2,FALSE))</f>
        <v>160.46265190225859</v>
      </c>
      <c r="R206" s="3">
        <f>I206*(VLOOKUP(B206,Price_data!A$1:B$190,2,FALSE))</f>
        <v>18.568346347436293</v>
      </c>
      <c r="S206" s="4" t="str">
        <f>(VLOOKUP(B206,Price_data!A$1:C$190,3,FALSE))</f>
        <v>WW</v>
      </c>
      <c r="T206" s="2" t="str">
        <f>IF(C206="Total", (VLOOKUP(B206,Recommended_fish_intake!A$4:D$122,4,FALSE)), "NA")</f>
        <v>NA</v>
      </c>
      <c r="U206" s="2" t="str">
        <f t="shared" si="27"/>
        <v>NA</v>
      </c>
    </row>
    <row r="207" spans="1:21" ht="14.25" customHeight="1">
      <c r="A207" s="2" t="s">
        <v>15</v>
      </c>
      <c r="B207" s="2">
        <v>1914</v>
      </c>
      <c r="C207" s="2" t="s">
        <v>28</v>
      </c>
      <c r="D207" s="3" t="e">
        <f t="shared" si="21"/>
        <v>#VALUE!</v>
      </c>
      <c r="E207" s="3" t="e">
        <f t="shared" si="22"/>
        <v>#VALUE!</v>
      </c>
      <c r="F207" s="3">
        <f t="shared" si="23"/>
        <v>1.1353891485470433</v>
      </c>
      <c r="G207" s="3">
        <f t="shared" si="24"/>
        <v>3.5398000000000006E-2</v>
      </c>
      <c r="H207" s="3">
        <f t="shared" si="25"/>
        <v>11.346779109937005</v>
      </c>
      <c r="I207" s="3">
        <f t="shared" si="26"/>
        <v>0.49430099999999999</v>
      </c>
      <c r="J207" s="3" t="e">
        <v>#VALUE!</v>
      </c>
      <c r="K207" s="3" t="e">
        <v>#VALUE!</v>
      </c>
      <c r="L207" s="3">
        <v>1135.3891485470433</v>
      </c>
      <c r="M207" s="3">
        <v>35.398000000000003</v>
      </c>
      <c r="N207" s="3">
        <v>11346.779109937004</v>
      </c>
      <c r="O207" s="3">
        <v>494.30099999999999</v>
      </c>
      <c r="P207" s="3" t="e">
        <f>E207*(VLOOKUP(B207,Price_data!A$1:B$190,2,FALSE))</f>
        <v>#VALUE!</v>
      </c>
      <c r="Q207" s="3">
        <f>G207*(VLOOKUP(B207,Price_data!A$1:B$190,2,FALSE))</f>
        <v>2.4265690204731807</v>
      </c>
      <c r="R207" s="3">
        <f>I207*(VLOOKUP(B207,Price_data!A$1:B$190,2,FALSE))</f>
        <v>33.884837939683415</v>
      </c>
      <c r="S207" s="4" t="str">
        <f>(VLOOKUP(B207,Price_data!A$1:C$190,3,FALSE))</f>
        <v>WW</v>
      </c>
      <c r="T207" s="2" t="str">
        <f>IF(C207="Total", (VLOOKUP(B207,Recommended_fish_intake!A$4:D$122,4,FALSE)), "NA")</f>
        <v>NA</v>
      </c>
      <c r="U207" s="2" t="e">
        <f t="shared" si="27"/>
        <v>#VALUE!</v>
      </c>
    </row>
    <row r="208" spans="1:21" ht="14.25" customHeight="1">
      <c r="A208" s="2" t="s">
        <v>15</v>
      </c>
      <c r="B208" s="2">
        <v>1914</v>
      </c>
      <c r="C208" s="2" t="s">
        <v>29</v>
      </c>
      <c r="D208" s="3" t="e">
        <f t="shared" si="21"/>
        <v>#VALUE!</v>
      </c>
      <c r="E208" s="3" t="e">
        <f t="shared" si="22"/>
        <v>#VALUE!</v>
      </c>
      <c r="F208" s="3">
        <f t="shared" si="23"/>
        <v>0.26391993497256655</v>
      </c>
      <c r="G208" s="3">
        <f t="shared" si="24"/>
        <v>5.4493E-2</v>
      </c>
      <c r="H208" s="3">
        <f t="shared" si="25"/>
        <v>44.867404998983943</v>
      </c>
      <c r="I208" s="3">
        <f t="shared" si="26"/>
        <v>2.5699409999999996</v>
      </c>
      <c r="J208" s="3" t="e">
        <v>#VALUE!</v>
      </c>
      <c r="K208" s="3" t="e">
        <v>#VALUE!</v>
      </c>
      <c r="L208" s="3">
        <v>263.91993497256652</v>
      </c>
      <c r="M208" s="3">
        <v>54.493000000000002</v>
      </c>
      <c r="N208" s="3">
        <v>44867.40499898394</v>
      </c>
      <c r="O208" s="3">
        <v>2569.9409999999998</v>
      </c>
      <c r="P208" s="3" t="e">
        <f>E208*(VLOOKUP(B208,Price_data!A$1:B$190,2,FALSE))</f>
        <v>#VALUE!</v>
      </c>
      <c r="Q208" s="3">
        <f>G208*(VLOOKUP(B208,Price_data!A$1:B$190,2,FALSE))</f>
        <v>3.7355507552021305</v>
      </c>
      <c r="R208" s="3">
        <f>I208*(VLOOKUP(B208,Price_data!A$1:B$190,2,FALSE))</f>
        <v>176.17207794349579</v>
      </c>
      <c r="S208" s="4" t="str">
        <f>(VLOOKUP(B208,Price_data!A$1:C$190,3,FALSE))</f>
        <v>WW</v>
      </c>
      <c r="T208" s="2" t="str">
        <f>IF(C208="Total", (VLOOKUP(B208,Recommended_fish_intake!A$4:D$122,4,FALSE)), "NA")</f>
        <v>NA</v>
      </c>
      <c r="U208" s="2" t="str">
        <f t="shared" si="27"/>
        <v>NA</v>
      </c>
    </row>
    <row r="209" spans="1:21" ht="14.25" customHeight="1">
      <c r="A209" s="2" t="s">
        <v>15</v>
      </c>
      <c r="B209" s="2">
        <v>1914</v>
      </c>
      <c r="C209" s="2" t="s">
        <v>20</v>
      </c>
      <c r="D209" s="3" t="e">
        <f t="shared" si="21"/>
        <v>#N/A</v>
      </c>
      <c r="E209" s="3" t="e">
        <f t="shared" si="22"/>
        <v>#N/A</v>
      </c>
      <c r="F209" s="3">
        <f t="shared" si="23"/>
        <v>6.8822393822393817</v>
      </c>
      <c r="G209" s="3">
        <f t="shared" si="24"/>
        <v>0.11870399999999999</v>
      </c>
      <c r="H209" s="3" t="e">
        <f t="shared" si="25"/>
        <v>#VALUE!</v>
      </c>
      <c r="I209" s="3" t="e">
        <f t="shared" si="26"/>
        <v>#VALUE!</v>
      </c>
      <c r="J209" s="3" t="e">
        <v>#N/A</v>
      </c>
      <c r="K209" s="3" t="e">
        <v>#N/A</v>
      </c>
      <c r="L209" s="3">
        <v>6882.2393822393815</v>
      </c>
      <c r="M209" s="3">
        <v>118.70399999999999</v>
      </c>
      <c r="N209" s="3" t="e">
        <v>#VALUE!</v>
      </c>
      <c r="O209" s="3" t="e">
        <v>#VALUE!</v>
      </c>
      <c r="P209" s="3" t="e">
        <f>E209*(VLOOKUP(B209,Price_data!A$1:B$190,2,FALSE))</f>
        <v>#N/A</v>
      </c>
      <c r="Q209" s="3">
        <f>G209*(VLOOKUP(B209,Price_data!A$1:B$190,2,FALSE))</f>
        <v>8.1372803267486393</v>
      </c>
      <c r="R209" s="3" t="e">
        <f>I209*(VLOOKUP(B209,Price_data!A$1:B$190,2,FALSE))</f>
        <v>#VALUE!</v>
      </c>
      <c r="S209" s="4" t="str">
        <f>(VLOOKUP(B209,Price_data!A$1:C$190,3,FALSE))</f>
        <v>WW</v>
      </c>
      <c r="T209" s="2" t="str">
        <f>IF(C209="Total", (VLOOKUP(B209,Recommended_fish_intake!A$4:D$122,4,FALSE)), "NA")</f>
        <v>NA</v>
      </c>
      <c r="U209" s="2" t="str">
        <f t="shared" si="27"/>
        <v>NA</v>
      </c>
    </row>
    <row r="210" spans="1:21" ht="14.25" customHeight="1">
      <c r="A210" s="2" t="s">
        <v>15</v>
      </c>
      <c r="B210" s="2">
        <v>1914</v>
      </c>
      <c r="C210" s="2" t="s">
        <v>25</v>
      </c>
      <c r="D210" s="3" t="e">
        <f t="shared" si="21"/>
        <v>#N/A</v>
      </c>
      <c r="E210" s="3" t="e">
        <f t="shared" si="22"/>
        <v>#N/A</v>
      </c>
      <c r="F210" s="3" t="e">
        <f t="shared" si="23"/>
        <v>#N/A</v>
      </c>
      <c r="G210" s="3" t="e">
        <f t="shared" si="24"/>
        <v>#N/A</v>
      </c>
      <c r="H210" s="3" t="e">
        <f t="shared" si="25"/>
        <v>#N/A</v>
      </c>
      <c r="I210" s="3" t="e">
        <f t="shared" si="26"/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 t="e">
        <v>#N/A</v>
      </c>
      <c r="O210" s="3" t="e">
        <v>#N/A</v>
      </c>
      <c r="P210" s="3" t="e">
        <f>E210*(VLOOKUP(B210,Price_data!A$1:B$190,2,FALSE))</f>
        <v>#N/A</v>
      </c>
      <c r="Q210" s="3" t="e">
        <f>G210*(VLOOKUP(B210,Price_data!A$1:B$190,2,FALSE))</f>
        <v>#N/A</v>
      </c>
      <c r="R210" s="3" t="e">
        <f>I210*(VLOOKUP(B210,Price_data!A$1:B$190,2,FALSE))</f>
        <v>#N/A</v>
      </c>
      <c r="S210" s="4" t="str">
        <f>(VLOOKUP(B210,Price_data!A$1:C$190,3,FALSE))</f>
        <v>WW</v>
      </c>
      <c r="T210" s="2" t="str">
        <f>IF(C210="Total", (VLOOKUP(B210,Recommended_fish_intake!A$4:D$122,4,FALSE)), "NA")</f>
        <v>NA</v>
      </c>
      <c r="U210" s="2" t="str">
        <f t="shared" si="27"/>
        <v>NA</v>
      </c>
    </row>
    <row r="211" spans="1:21" ht="14.25" customHeight="1">
      <c r="A211" s="2" t="s">
        <v>15</v>
      </c>
      <c r="B211" s="2">
        <v>1914</v>
      </c>
      <c r="C211" s="2" t="s">
        <v>24</v>
      </c>
      <c r="D211" s="3" t="e">
        <f t="shared" si="21"/>
        <v>#N/A</v>
      </c>
      <c r="E211" s="3" t="e">
        <f t="shared" si="22"/>
        <v>#N/A</v>
      </c>
      <c r="F211" s="3" t="e">
        <f t="shared" si="23"/>
        <v>#N/A</v>
      </c>
      <c r="G211" s="3" t="e">
        <f t="shared" si="24"/>
        <v>#N/A</v>
      </c>
      <c r="H211" s="3" t="e">
        <f t="shared" si="25"/>
        <v>#N/A</v>
      </c>
      <c r="I211" s="3" t="e">
        <f t="shared" si="26"/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f>E211*(VLOOKUP(B211,Price_data!A$1:B$190,2,FALSE))</f>
        <v>#N/A</v>
      </c>
      <c r="Q211" s="3" t="e">
        <f>G211*(VLOOKUP(B211,Price_data!A$1:B$190,2,FALSE))</f>
        <v>#N/A</v>
      </c>
      <c r="R211" s="3" t="e">
        <f>I211*(VLOOKUP(B211,Price_data!A$1:B$190,2,FALSE))</f>
        <v>#N/A</v>
      </c>
      <c r="S211" s="4" t="str">
        <f>(VLOOKUP(B211,Price_data!A$1:C$190,3,FALSE))</f>
        <v>WW</v>
      </c>
      <c r="T211" s="2" t="str">
        <f>IF(C211="Total", (VLOOKUP(B211,Recommended_fish_intake!A$4:D$122,4,FALSE)), "NA")</f>
        <v>NA</v>
      </c>
      <c r="U211" s="2" t="str">
        <f t="shared" si="27"/>
        <v>NA</v>
      </c>
    </row>
    <row r="212" spans="1:21" ht="14.25" customHeight="1">
      <c r="A212" s="2" t="s">
        <v>15</v>
      </c>
      <c r="B212" s="2">
        <v>1914</v>
      </c>
      <c r="C212" s="2" t="s">
        <v>30</v>
      </c>
      <c r="D212" s="3" t="e">
        <f t="shared" si="21"/>
        <v>#N/A</v>
      </c>
      <c r="E212" s="3" t="e">
        <f t="shared" si="22"/>
        <v>#N/A</v>
      </c>
      <c r="F212" s="3" t="e">
        <f t="shared" si="23"/>
        <v>#VALUE!</v>
      </c>
      <c r="G212" s="3" t="e">
        <f t="shared" si="24"/>
        <v>#VALUE!</v>
      </c>
      <c r="H212" s="3" t="e">
        <f t="shared" si="25"/>
        <v>#VALUE!</v>
      </c>
      <c r="I212" s="3" t="e">
        <f t="shared" si="26"/>
        <v>#VALUE!</v>
      </c>
      <c r="J212" s="3" t="e">
        <v>#N/A</v>
      </c>
      <c r="K212" s="3" t="e">
        <v>#N/A</v>
      </c>
      <c r="L212" s="3" t="e">
        <v>#VALUE!</v>
      </c>
      <c r="M212" s="3" t="e">
        <v>#VALUE!</v>
      </c>
      <c r="N212" s="3" t="e">
        <v>#VALUE!</v>
      </c>
      <c r="O212" s="3" t="e">
        <v>#VALUE!</v>
      </c>
      <c r="P212" s="3" t="e">
        <f>E212*(VLOOKUP(B212,Price_data!A$1:B$190,2,FALSE))</f>
        <v>#N/A</v>
      </c>
      <c r="Q212" s="3" t="e">
        <f>G212*(VLOOKUP(B212,Price_data!A$1:B$190,2,FALSE))</f>
        <v>#VALUE!</v>
      </c>
      <c r="R212" s="3" t="e">
        <f>I212*(VLOOKUP(B212,Price_data!A$1:B$190,2,FALSE))</f>
        <v>#VALUE!</v>
      </c>
      <c r="S212" s="4" t="str">
        <f>(VLOOKUP(B212,Price_data!A$1:C$190,3,FALSE))</f>
        <v>WW</v>
      </c>
      <c r="T212" s="2" t="str">
        <f>IF(C212="Total", (VLOOKUP(B212,Recommended_fish_intake!A$4:D$122,4,FALSE)), "NA")</f>
        <v>NA</v>
      </c>
      <c r="U212" s="2" t="str">
        <f t="shared" si="27"/>
        <v>NA</v>
      </c>
    </row>
    <row r="213" spans="1:21" ht="14.25" customHeight="1">
      <c r="A213" s="2" t="s">
        <v>15</v>
      </c>
      <c r="B213" s="2">
        <v>1915</v>
      </c>
      <c r="C213" s="2" t="s">
        <v>16</v>
      </c>
      <c r="D213" s="3">
        <f t="shared" si="21"/>
        <v>439.66856330014224</v>
      </c>
      <c r="E213" s="3">
        <f t="shared" si="22"/>
        <v>10.165459999999999</v>
      </c>
      <c r="F213" s="3">
        <f t="shared" si="23"/>
        <v>66.943913838650687</v>
      </c>
      <c r="G213" s="3">
        <f t="shared" si="24"/>
        <v>1.469851</v>
      </c>
      <c r="H213" s="3">
        <f t="shared" si="25"/>
        <v>180.34520422678315</v>
      </c>
      <c r="I213" s="3">
        <f t="shared" si="26"/>
        <v>7.760948</v>
      </c>
      <c r="J213" s="3">
        <v>439668.56330014224</v>
      </c>
      <c r="K213" s="3">
        <v>10165.459999999999</v>
      </c>
      <c r="L213" s="3">
        <v>66943.913838650682</v>
      </c>
      <c r="M213" s="3">
        <v>1469.8510000000001</v>
      </c>
      <c r="N213" s="3">
        <v>180345.20422678316</v>
      </c>
      <c r="O213" s="3">
        <v>7760.9480000000003</v>
      </c>
      <c r="P213" s="3">
        <f>E213*(VLOOKUP(B213,Price_data!A$1:B$190,2,FALSE))</f>
        <v>620.83236615409419</v>
      </c>
      <c r="Q213" s="3">
        <f>G213*(VLOOKUP(B213,Price_data!A$1:B$190,2,FALSE))</f>
        <v>89.767809250536772</v>
      </c>
      <c r="R213" s="3">
        <f>I213*(VLOOKUP(B213,Price_data!A$1:B$190,2,FALSE))</f>
        <v>473.98226056065198</v>
      </c>
      <c r="S213" s="4" t="str">
        <f>(VLOOKUP(B213,Price_data!A$1:C$190,3,FALSE))</f>
        <v>WW</v>
      </c>
      <c r="T213" s="2">
        <f>IF(C213="Total", (VLOOKUP(B213,Recommended_fish_intake!A$4:D$122,4,FALSE)), "NA")</f>
        <v>566.16444490662604</v>
      </c>
      <c r="U213" s="2" t="str">
        <f t="shared" si="27"/>
        <v>NA</v>
      </c>
    </row>
    <row r="214" spans="1:21" ht="14.25" customHeight="1">
      <c r="A214" s="2" t="s">
        <v>18</v>
      </c>
      <c r="B214" s="2">
        <v>1915</v>
      </c>
      <c r="C214" s="2" t="s">
        <v>19</v>
      </c>
      <c r="D214" s="3">
        <f t="shared" si="21"/>
        <v>61.165667547246493</v>
      </c>
      <c r="E214" s="3">
        <f t="shared" si="22"/>
        <v>0.99072900000000008</v>
      </c>
      <c r="F214" s="3" t="e">
        <f t="shared" si="23"/>
        <v>#N/A</v>
      </c>
      <c r="G214" s="3" t="e">
        <f t="shared" si="24"/>
        <v>#N/A</v>
      </c>
      <c r="H214" s="3" t="e">
        <f t="shared" si="25"/>
        <v>#N/A</v>
      </c>
      <c r="I214" s="3" t="e">
        <f t="shared" si="26"/>
        <v>#N/A</v>
      </c>
      <c r="J214" s="3">
        <v>61165.667547246492</v>
      </c>
      <c r="K214" s="3">
        <v>990.72900000000004</v>
      </c>
      <c r="L214" s="3" t="e">
        <v>#N/A</v>
      </c>
      <c r="M214" s="3" t="e">
        <v>#N/A</v>
      </c>
      <c r="N214" s="3" t="e">
        <v>#N/A</v>
      </c>
      <c r="O214" s="3" t="e">
        <v>#N/A</v>
      </c>
      <c r="P214" s="3">
        <f>E214*(VLOOKUP(B214,Price_data!A$1:B$190,2,FALSE))</f>
        <v>60.506522015479838</v>
      </c>
      <c r="Q214" s="3" t="e">
        <f>G214*(VLOOKUP(B214,Price_data!A$1:B$190,2,FALSE))</f>
        <v>#N/A</v>
      </c>
      <c r="R214" s="3" t="e">
        <f>I214*(VLOOKUP(B214,Price_data!A$1:B$190,2,FALSE))</f>
        <v>#N/A</v>
      </c>
      <c r="S214" s="4" t="str">
        <f>(VLOOKUP(B214,Price_data!A$1:C$190,3,FALSE))</f>
        <v>WW</v>
      </c>
      <c r="T214" s="2" t="str">
        <f>IF(C214="Total", (VLOOKUP(B214,Recommended_fish_intake!A$4:D$122,4,FALSE)), "NA")</f>
        <v>NA</v>
      </c>
      <c r="U214" s="2" t="str">
        <f t="shared" si="27"/>
        <v>NA</v>
      </c>
    </row>
    <row r="215" spans="1:21" ht="14.25" customHeight="1">
      <c r="A215" s="2" t="s">
        <v>18</v>
      </c>
      <c r="B215" s="2">
        <v>1915</v>
      </c>
      <c r="C215" s="2" t="s">
        <v>20</v>
      </c>
      <c r="D215" s="3">
        <f t="shared" si="21"/>
        <v>13.203413940256045</v>
      </c>
      <c r="E215" s="3">
        <f t="shared" si="22"/>
        <v>0.18420699999999998</v>
      </c>
      <c r="F215" s="3" t="e">
        <f t="shared" si="23"/>
        <v>#N/A</v>
      </c>
      <c r="G215" s="3" t="e">
        <f t="shared" si="24"/>
        <v>#N/A</v>
      </c>
      <c r="H215" s="3" t="e">
        <f t="shared" si="25"/>
        <v>#N/A</v>
      </c>
      <c r="I215" s="3" t="e">
        <f t="shared" si="26"/>
        <v>#N/A</v>
      </c>
      <c r="J215" s="3">
        <v>13203.413940256045</v>
      </c>
      <c r="K215" s="3">
        <v>184.20699999999999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>
        <f>E215*(VLOOKUP(B215,Price_data!A$1:B$190,2,FALSE))</f>
        <v>11.250023872224888</v>
      </c>
      <c r="Q215" s="3" t="e">
        <f>G215*(VLOOKUP(B215,Price_data!A$1:B$190,2,FALSE))</f>
        <v>#N/A</v>
      </c>
      <c r="R215" s="3" t="e">
        <f>I215*(VLOOKUP(B215,Price_data!A$1:B$190,2,FALSE))</f>
        <v>#N/A</v>
      </c>
      <c r="S215" s="4" t="str">
        <f>(VLOOKUP(B215,Price_data!A$1:C$190,3,FALSE))</f>
        <v>WW</v>
      </c>
      <c r="T215" s="2" t="str">
        <f>IF(C215="Total", (VLOOKUP(B215,Recommended_fish_intake!A$4:D$122,4,FALSE)), "NA")</f>
        <v>NA</v>
      </c>
      <c r="U215" s="2" t="str">
        <f t="shared" si="27"/>
        <v>NA</v>
      </c>
    </row>
    <row r="216" spans="1:21" ht="14.25" customHeight="1">
      <c r="A216" s="2" t="s">
        <v>18</v>
      </c>
      <c r="B216" s="2">
        <v>1915</v>
      </c>
      <c r="C216" s="2" t="s">
        <v>21</v>
      </c>
      <c r="D216" s="3">
        <f t="shared" si="21"/>
        <v>4.7877463930095505</v>
      </c>
      <c r="E216" s="3">
        <f t="shared" si="22"/>
        <v>2.5001000000000002E-2</v>
      </c>
      <c r="F216" s="3" t="e">
        <f t="shared" si="23"/>
        <v>#N/A</v>
      </c>
      <c r="G216" s="3" t="e">
        <f t="shared" si="24"/>
        <v>#N/A</v>
      </c>
      <c r="H216" s="3" t="e">
        <f t="shared" si="25"/>
        <v>#N/A</v>
      </c>
      <c r="I216" s="3" t="e">
        <f t="shared" si="26"/>
        <v>#N/A</v>
      </c>
      <c r="J216" s="3">
        <v>4787.746393009551</v>
      </c>
      <c r="K216" s="3">
        <v>25.001000000000001</v>
      </c>
      <c r="L216" s="3" t="e">
        <v>#N/A</v>
      </c>
      <c r="M216" s="3" t="e">
        <v>#N/A</v>
      </c>
      <c r="N216" s="3" t="e">
        <v>#N/A</v>
      </c>
      <c r="O216" s="3" t="e">
        <v>#N/A</v>
      </c>
      <c r="P216" s="3">
        <f>E216*(VLOOKUP(B216,Price_data!A$1:B$190,2,FALSE))</f>
        <v>1.5268792544772702</v>
      </c>
      <c r="Q216" s="3" t="e">
        <f>G216*(VLOOKUP(B216,Price_data!A$1:B$190,2,FALSE))</f>
        <v>#N/A</v>
      </c>
      <c r="R216" s="3" t="e">
        <f>I216*(VLOOKUP(B216,Price_data!A$1:B$190,2,FALSE))</f>
        <v>#N/A</v>
      </c>
      <c r="S216" s="4" t="str">
        <f>(VLOOKUP(B216,Price_data!A$1:C$190,3,FALSE))</f>
        <v>WW</v>
      </c>
      <c r="T216" s="2" t="str">
        <f>IF(C216="Total", (VLOOKUP(B216,Recommended_fish_intake!A$4:D$122,4,FALSE)), "NA")</f>
        <v>NA</v>
      </c>
      <c r="U216" s="2" t="str">
        <f t="shared" si="27"/>
        <v>NA</v>
      </c>
    </row>
    <row r="217" spans="1:21" ht="14.25" customHeight="1">
      <c r="A217" s="2" t="s">
        <v>18</v>
      </c>
      <c r="B217" s="2">
        <v>1915</v>
      </c>
      <c r="C217" s="2" t="s">
        <v>22</v>
      </c>
      <c r="D217" s="3">
        <f t="shared" si="21"/>
        <v>69.149105872790088</v>
      </c>
      <c r="E217" s="3">
        <f t="shared" si="22"/>
        <v>1.699198</v>
      </c>
      <c r="F217" s="3" t="e">
        <f t="shared" si="23"/>
        <v>#N/A</v>
      </c>
      <c r="G217" s="3" t="e">
        <f t="shared" si="24"/>
        <v>#N/A</v>
      </c>
      <c r="H217" s="3" t="e">
        <f t="shared" si="25"/>
        <v>#N/A</v>
      </c>
      <c r="I217" s="3" t="e">
        <f t="shared" si="26"/>
        <v>#N/A</v>
      </c>
      <c r="J217" s="3">
        <v>69149.105872790082</v>
      </c>
      <c r="K217" s="3">
        <v>1699.1980000000001</v>
      </c>
      <c r="L217" s="3" t="e">
        <v>#N/A</v>
      </c>
      <c r="M217" s="3" t="e">
        <v>#N/A</v>
      </c>
      <c r="N217" s="3" t="e">
        <v>#N/A</v>
      </c>
      <c r="O217" s="3" t="e">
        <v>#N/A</v>
      </c>
      <c r="P217" s="3">
        <f>E217*(VLOOKUP(B217,Price_data!A$1:B$190,2,FALSE))</f>
        <v>103.77465603172946</v>
      </c>
      <c r="Q217" s="3" t="e">
        <f>G217*(VLOOKUP(B217,Price_data!A$1:B$190,2,FALSE))</f>
        <v>#N/A</v>
      </c>
      <c r="R217" s="3" t="e">
        <f>I217*(VLOOKUP(B217,Price_data!A$1:B$190,2,FALSE))</f>
        <v>#N/A</v>
      </c>
      <c r="S217" s="4" t="str">
        <f>(VLOOKUP(B217,Price_data!A$1:C$190,3,FALSE))</f>
        <v>WW</v>
      </c>
      <c r="T217" s="2" t="str">
        <f>IF(C217="Total", (VLOOKUP(B217,Recommended_fish_intake!A$4:D$122,4,FALSE)), "NA")</f>
        <v>NA</v>
      </c>
      <c r="U217" s="2" t="str">
        <f t="shared" si="27"/>
        <v>NA</v>
      </c>
    </row>
    <row r="218" spans="1:21" ht="14.25" customHeight="1">
      <c r="A218" s="2" t="s">
        <v>18</v>
      </c>
      <c r="B218" s="2">
        <v>1915</v>
      </c>
      <c r="C218" s="2" t="s">
        <v>23</v>
      </c>
      <c r="D218" s="3">
        <f t="shared" si="21"/>
        <v>60.751219264377156</v>
      </c>
      <c r="E218" s="3">
        <f t="shared" si="22"/>
        <v>1.7338710000000002</v>
      </c>
      <c r="F218" s="3" t="e">
        <f t="shared" si="23"/>
        <v>#N/A</v>
      </c>
      <c r="G218" s="3" t="e">
        <f t="shared" si="24"/>
        <v>#N/A</v>
      </c>
      <c r="H218" s="3" t="e">
        <f t="shared" si="25"/>
        <v>#N/A</v>
      </c>
      <c r="I218" s="3" t="e">
        <f t="shared" si="26"/>
        <v>#N/A</v>
      </c>
      <c r="J218" s="3">
        <v>60751.219264377156</v>
      </c>
      <c r="K218" s="3">
        <v>1733.8710000000001</v>
      </c>
      <c r="L218" s="3" t="e">
        <v>#N/A</v>
      </c>
      <c r="M218" s="3" t="e">
        <v>#N/A</v>
      </c>
      <c r="N218" s="3" t="e">
        <v>#N/A</v>
      </c>
      <c r="O218" s="3" t="e">
        <v>#N/A</v>
      </c>
      <c r="P218" s="3">
        <f>E218*(VLOOKUP(B218,Price_data!A$1:B$190,2,FALSE))</f>
        <v>105.89223070436218</v>
      </c>
      <c r="Q218" s="3" t="e">
        <f>G218*(VLOOKUP(B218,Price_data!A$1:B$190,2,FALSE))</f>
        <v>#N/A</v>
      </c>
      <c r="R218" s="3" t="e">
        <f>I218*(VLOOKUP(B218,Price_data!A$1:B$190,2,FALSE))</f>
        <v>#N/A</v>
      </c>
      <c r="S218" s="4" t="str">
        <f>(VLOOKUP(B218,Price_data!A$1:C$190,3,FALSE))</f>
        <v>WW</v>
      </c>
      <c r="T218" s="2" t="str">
        <f>IF(C218="Total", (VLOOKUP(B218,Recommended_fish_intake!A$4:D$122,4,FALSE)), "NA")</f>
        <v>NA</v>
      </c>
      <c r="U218" s="2" t="str">
        <f t="shared" si="27"/>
        <v>NA</v>
      </c>
    </row>
    <row r="219" spans="1:21" ht="14.25" customHeight="1">
      <c r="A219" s="2" t="s">
        <v>18</v>
      </c>
      <c r="B219" s="2">
        <v>1915</v>
      </c>
      <c r="C219" s="2" t="s">
        <v>24</v>
      </c>
      <c r="D219" s="3">
        <f t="shared" si="21"/>
        <v>10.710069091648037</v>
      </c>
      <c r="E219" s="3">
        <f t="shared" si="22"/>
        <v>0.27551400000000004</v>
      </c>
      <c r="F219" s="3" t="e">
        <f t="shared" si="23"/>
        <v>#N/A</v>
      </c>
      <c r="G219" s="3" t="e">
        <f t="shared" si="24"/>
        <v>#N/A</v>
      </c>
      <c r="H219" s="3" t="e">
        <f t="shared" si="25"/>
        <v>#N/A</v>
      </c>
      <c r="I219" s="3" t="e">
        <f t="shared" si="26"/>
        <v>#N/A</v>
      </c>
      <c r="J219" s="3">
        <v>10710.069091648038</v>
      </c>
      <c r="K219" s="3">
        <v>275.51400000000001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>
        <f>E219*(VLOOKUP(B219,Price_data!A$1:B$190,2,FALSE))</f>
        <v>16.826391381066781</v>
      </c>
      <c r="Q219" s="3" t="e">
        <f>G219*(VLOOKUP(B219,Price_data!A$1:B$190,2,FALSE))</f>
        <v>#N/A</v>
      </c>
      <c r="R219" s="3" t="e">
        <f>I219*(VLOOKUP(B219,Price_data!A$1:B$190,2,FALSE))</f>
        <v>#N/A</v>
      </c>
      <c r="S219" s="4" t="str">
        <f>(VLOOKUP(B219,Price_data!A$1:C$190,3,FALSE))</f>
        <v>WW</v>
      </c>
      <c r="T219" s="2" t="str">
        <f>IF(C219="Total", (VLOOKUP(B219,Recommended_fish_intake!A$4:D$122,4,FALSE)), "NA")</f>
        <v>NA</v>
      </c>
      <c r="U219" s="2" t="str">
        <f t="shared" si="27"/>
        <v>NA</v>
      </c>
    </row>
    <row r="220" spans="1:21" ht="14.25" customHeight="1">
      <c r="A220" s="2" t="s">
        <v>18</v>
      </c>
      <c r="B220" s="2">
        <v>1915</v>
      </c>
      <c r="C220" s="2" t="s">
        <v>25</v>
      </c>
      <c r="D220" s="3">
        <f t="shared" si="21"/>
        <v>11.559540743751269</v>
      </c>
      <c r="E220" s="3">
        <f t="shared" si="22"/>
        <v>0.60748400000000002</v>
      </c>
      <c r="F220" s="3" t="e">
        <f t="shared" si="23"/>
        <v>#N/A</v>
      </c>
      <c r="G220" s="3" t="e">
        <f t="shared" si="24"/>
        <v>#N/A</v>
      </c>
      <c r="H220" s="3" t="e">
        <f t="shared" si="25"/>
        <v>#N/A</v>
      </c>
      <c r="I220" s="3" t="e">
        <f t="shared" si="26"/>
        <v>#N/A</v>
      </c>
      <c r="J220" s="3">
        <v>11559.540743751269</v>
      </c>
      <c r="K220" s="3">
        <v>607.48400000000004</v>
      </c>
      <c r="L220" s="3" t="e">
        <v>#N/A</v>
      </c>
      <c r="M220" s="3" t="e">
        <v>#N/A</v>
      </c>
      <c r="N220" s="3" t="e">
        <v>#N/A</v>
      </c>
      <c r="O220" s="3" t="e">
        <v>#N/A</v>
      </c>
      <c r="P220" s="3">
        <f>E220*(VLOOKUP(B220,Price_data!A$1:B$190,2,FALSE))</f>
        <v>37.10070465288868</v>
      </c>
      <c r="Q220" s="3" t="e">
        <f>G220*(VLOOKUP(B220,Price_data!A$1:B$190,2,FALSE))</f>
        <v>#N/A</v>
      </c>
      <c r="R220" s="3" t="e">
        <f>I220*(VLOOKUP(B220,Price_data!A$1:B$190,2,FALSE))</f>
        <v>#N/A</v>
      </c>
      <c r="S220" s="4" t="str">
        <f>(VLOOKUP(B220,Price_data!A$1:C$190,3,FALSE))</f>
        <v>WW</v>
      </c>
      <c r="T220" s="2" t="str">
        <f>IF(C220="Total", (VLOOKUP(B220,Recommended_fish_intake!A$4:D$122,4,FALSE)), "NA")</f>
        <v>NA</v>
      </c>
      <c r="U220" s="2" t="str">
        <f t="shared" si="27"/>
        <v>NA</v>
      </c>
    </row>
    <row r="221" spans="1:21" ht="14.25" customHeight="1">
      <c r="A221" s="2" t="s">
        <v>15</v>
      </c>
      <c r="B221" s="2">
        <v>1915</v>
      </c>
      <c r="C221" s="2" t="s">
        <v>22</v>
      </c>
      <c r="D221" s="3" t="e">
        <f t="shared" si="21"/>
        <v>#N/A</v>
      </c>
      <c r="E221" s="3" t="e">
        <f t="shared" si="22"/>
        <v>#N/A</v>
      </c>
      <c r="F221" s="3">
        <f t="shared" si="23"/>
        <v>7.7486283275756955</v>
      </c>
      <c r="G221" s="3">
        <f t="shared" si="24"/>
        <v>0.281366</v>
      </c>
      <c r="H221" s="3">
        <f t="shared" si="25"/>
        <v>0</v>
      </c>
      <c r="I221" s="3">
        <f t="shared" si="26"/>
        <v>0</v>
      </c>
      <c r="J221" s="3" t="e">
        <v>#N/A</v>
      </c>
      <c r="K221" s="3" t="e">
        <v>#N/A</v>
      </c>
      <c r="L221" s="3">
        <v>7748.6283275756959</v>
      </c>
      <c r="M221" s="3">
        <v>281.36599999999999</v>
      </c>
      <c r="N221" s="3">
        <v>0</v>
      </c>
      <c r="O221" s="3">
        <v>0</v>
      </c>
      <c r="P221" s="3" t="e">
        <f>E221*(VLOOKUP(B221,Price_data!A$1:B$190,2,FALSE))</f>
        <v>#N/A</v>
      </c>
      <c r="Q221" s="3">
        <f>G221*(VLOOKUP(B221,Price_data!A$1:B$190,2,FALSE))</f>
        <v>17.183788981050821</v>
      </c>
      <c r="R221" s="3">
        <f>I221*(VLOOKUP(B221,Price_data!A$1:B$190,2,FALSE))</f>
        <v>0</v>
      </c>
      <c r="S221" s="4" t="str">
        <f>(VLOOKUP(B221,Price_data!A$1:C$190,3,FALSE))</f>
        <v>WW</v>
      </c>
      <c r="T221" s="2" t="str">
        <f>IF(C221="Total", (VLOOKUP(B221,Recommended_fish_intake!A$4:D$122,4,FALSE)), "NA")</f>
        <v>NA</v>
      </c>
      <c r="U221" s="2" t="str">
        <f t="shared" si="27"/>
        <v>NA</v>
      </c>
    </row>
    <row r="222" spans="1:21" ht="14.25" customHeight="1">
      <c r="A222" s="2" t="s">
        <v>15</v>
      </c>
      <c r="B222" s="2">
        <v>1915</v>
      </c>
      <c r="C222" s="2" t="s">
        <v>23</v>
      </c>
      <c r="D222" s="3" t="e">
        <f t="shared" si="21"/>
        <v>#N/A</v>
      </c>
      <c r="E222" s="3" t="e">
        <f t="shared" si="22"/>
        <v>#N/A</v>
      </c>
      <c r="F222" s="3">
        <f t="shared" si="23"/>
        <v>0.70874822190611653</v>
      </c>
      <c r="G222" s="3">
        <f t="shared" si="24"/>
        <v>3.7944000000000006E-2</v>
      </c>
      <c r="H222" s="3" t="e">
        <f t="shared" si="25"/>
        <v>#VALUE!</v>
      </c>
      <c r="I222" s="3" t="e">
        <f t="shared" si="26"/>
        <v>#VALUE!</v>
      </c>
      <c r="J222" s="3" t="e">
        <v>#N/A</v>
      </c>
      <c r="K222" s="3" t="e">
        <v>#N/A</v>
      </c>
      <c r="L222" s="3">
        <v>708.74822190611656</v>
      </c>
      <c r="M222" s="3">
        <v>37.944000000000003</v>
      </c>
      <c r="N222" s="3" t="e">
        <v>#VALUE!</v>
      </c>
      <c r="O222" s="3" t="e">
        <v>#VALUE!</v>
      </c>
      <c r="P222" s="3" t="e">
        <f>E222*(VLOOKUP(B222,Price_data!A$1:B$190,2,FALSE))</f>
        <v>#N/A</v>
      </c>
      <c r="Q222" s="3">
        <f>G222*(VLOOKUP(B222,Price_data!A$1:B$190,2,FALSE))</f>
        <v>2.3173435635328805</v>
      </c>
      <c r="R222" s="3" t="e">
        <f>I222*(VLOOKUP(B222,Price_data!A$1:B$190,2,FALSE))</f>
        <v>#VALUE!</v>
      </c>
      <c r="S222" s="4" t="str">
        <f>(VLOOKUP(B222,Price_data!A$1:C$190,3,FALSE))</f>
        <v>WW</v>
      </c>
      <c r="T222" s="2" t="str">
        <f>IF(C222="Total", (VLOOKUP(B222,Recommended_fish_intake!A$4:D$122,4,FALSE)), "NA")</f>
        <v>NA</v>
      </c>
      <c r="U222" s="2" t="str">
        <f t="shared" si="27"/>
        <v>NA</v>
      </c>
    </row>
    <row r="223" spans="1:21" ht="14.25" customHeight="1">
      <c r="A223" s="2" t="s">
        <v>15</v>
      </c>
      <c r="B223" s="2">
        <v>1915</v>
      </c>
      <c r="C223" s="2" t="s">
        <v>19</v>
      </c>
      <c r="D223" s="3" t="e">
        <f t="shared" si="21"/>
        <v>#N/A</v>
      </c>
      <c r="E223" s="3" t="e">
        <f t="shared" si="22"/>
        <v>#N/A</v>
      </c>
      <c r="F223" s="3">
        <f t="shared" si="23"/>
        <v>51.410231660231659</v>
      </c>
      <c r="G223" s="3">
        <f t="shared" si="24"/>
        <v>0.91959299999999999</v>
      </c>
      <c r="H223" s="3">
        <f t="shared" si="25"/>
        <v>40.23191424507214</v>
      </c>
      <c r="I223" s="3">
        <f t="shared" si="26"/>
        <v>0.42938399999999999</v>
      </c>
      <c r="J223" s="3" t="e">
        <v>#N/A</v>
      </c>
      <c r="K223" s="3" t="e">
        <v>#N/A</v>
      </c>
      <c r="L223" s="3">
        <v>51410.231660231657</v>
      </c>
      <c r="M223" s="3">
        <v>919.59299999999996</v>
      </c>
      <c r="N223" s="3">
        <v>40231.914245072141</v>
      </c>
      <c r="O223" s="3">
        <v>429.38400000000001</v>
      </c>
      <c r="P223" s="3" t="e">
        <f>E223*(VLOOKUP(B223,Price_data!A$1:B$190,2,FALSE))</f>
        <v>#N/A</v>
      </c>
      <c r="Q223" s="3">
        <f>G223*(VLOOKUP(B223,Price_data!A$1:B$190,2,FALSE))</f>
        <v>56.162052488401109</v>
      </c>
      <c r="R223" s="3">
        <f>I223*(VLOOKUP(B223,Price_data!A$1:B$190,2,FALSE))</f>
        <v>26.223651926101681</v>
      </c>
      <c r="S223" s="4" t="str">
        <f>(VLOOKUP(B223,Price_data!A$1:C$190,3,FALSE))</f>
        <v>WW</v>
      </c>
      <c r="T223" s="2" t="str">
        <f>IF(C223="Total", (VLOOKUP(B223,Recommended_fish_intake!A$4:D$122,4,FALSE)), "NA")</f>
        <v>NA</v>
      </c>
      <c r="U223" s="2" t="str">
        <f t="shared" si="27"/>
        <v>NA</v>
      </c>
    </row>
    <row r="224" spans="1:21" ht="14.25" customHeight="1">
      <c r="A224" s="2" t="s">
        <v>15</v>
      </c>
      <c r="B224" s="2">
        <v>1915</v>
      </c>
      <c r="C224" s="2" t="s">
        <v>28</v>
      </c>
      <c r="D224" s="3" t="e">
        <f t="shared" si="21"/>
        <v>#VALUE!</v>
      </c>
      <c r="E224" s="3" t="e">
        <f t="shared" si="22"/>
        <v>#VALUE!</v>
      </c>
      <c r="F224" s="3">
        <f t="shared" si="23"/>
        <v>0.20046738467791098</v>
      </c>
      <c r="G224" s="3">
        <f t="shared" si="24"/>
        <v>3.9780000000000006E-3</v>
      </c>
      <c r="H224" s="3">
        <f t="shared" si="25"/>
        <v>9.2446657183499283</v>
      </c>
      <c r="I224" s="3">
        <f t="shared" si="26"/>
        <v>0.43581500000000001</v>
      </c>
      <c r="J224" s="3" t="e">
        <v>#VALUE!</v>
      </c>
      <c r="K224" s="3" t="e">
        <v>#VALUE!</v>
      </c>
      <c r="L224" s="3">
        <v>200.46738467791099</v>
      </c>
      <c r="M224" s="3">
        <v>3.9780000000000002</v>
      </c>
      <c r="N224" s="3">
        <v>9244.6657183499283</v>
      </c>
      <c r="O224" s="3">
        <v>435.815</v>
      </c>
      <c r="P224" s="3" t="e">
        <f>E224*(VLOOKUP(B224,Price_data!A$1:B$190,2,FALSE))</f>
        <v>#VALUE!</v>
      </c>
      <c r="Q224" s="3">
        <f>G224*(VLOOKUP(B224,Price_data!A$1:B$190,2,FALSE))</f>
        <v>0.24294730908006004</v>
      </c>
      <c r="R224" s="3">
        <f>I224*(VLOOKUP(B224,Price_data!A$1:B$190,2,FALSE))</f>
        <v>26.61641063517505</v>
      </c>
      <c r="S224" s="4" t="str">
        <f>(VLOOKUP(B224,Price_data!A$1:C$190,3,FALSE))</f>
        <v>WW</v>
      </c>
      <c r="T224" s="2" t="str">
        <f>IF(C224="Total", (VLOOKUP(B224,Recommended_fish_intake!A$4:D$122,4,FALSE)), "NA")</f>
        <v>NA</v>
      </c>
      <c r="U224" s="2" t="e">
        <f t="shared" si="27"/>
        <v>#VALUE!</v>
      </c>
    </row>
    <row r="225" spans="1:21" ht="14.25" customHeight="1">
      <c r="A225" s="2" t="s">
        <v>15</v>
      </c>
      <c r="B225" s="2">
        <v>1915</v>
      </c>
      <c r="C225" s="2" t="s">
        <v>29</v>
      </c>
      <c r="D225" s="3" t="e">
        <f t="shared" si="21"/>
        <v>#VALUE!</v>
      </c>
      <c r="E225" s="3" t="e">
        <f t="shared" si="22"/>
        <v>#VALUE!</v>
      </c>
      <c r="F225" s="3">
        <f t="shared" si="23"/>
        <v>3.0837228205649256E-2</v>
      </c>
      <c r="G225" s="3">
        <f t="shared" si="24"/>
        <v>3.9760000000000004E-3</v>
      </c>
      <c r="H225" s="3">
        <f t="shared" si="25"/>
        <v>51.519101808575492</v>
      </c>
      <c r="I225" s="3">
        <f t="shared" si="26"/>
        <v>3.4066729999999996</v>
      </c>
      <c r="J225" s="3" t="e">
        <v>#VALUE!</v>
      </c>
      <c r="K225" s="3" t="e">
        <v>#VALUE!</v>
      </c>
      <c r="L225" s="3">
        <v>30.837228205649257</v>
      </c>
      <c r="M225" s="3">
        <v>3.976</v>
      </c>
      <c r="N225" s="3">
        <v>51519.101808575491</v>
      </c>
      <c r="O225" s="3">
        <v>3406.6729999999998</v>
      </c>
      <c r="P225" s="3" t="e">
        <f>E225*(VLOOKUP(B225,Price_data!A$1:B$190,2,FALSE))</f>
        <v>#VALUE!</v>
      </c>
      <c r="Q225" s="3">
        <f>G225*(VLOOKUP(B225,Price_data!A$1:B$190,2,FALSE))</f>
        <v>0.24282516362552004</v>
      </c>
      <c r="R225" s="3">
        <f>I225*(VLOOKUP(B225,Price_data!A$1:B$190,2,FALSE))</f>
        <v>208.0548110270727</v>
      </c>
      <c r="S225" s="4" t="str">
        <f>(VLOOKUP(B225,Price_data!A$1:C$190,3,FALSE))</f>
        <v>WW</v>
      </c>
      <c r="T225" s="2" t="str">
        <f>IF(C225="Total", (VLOOKUP(B225,Recommended_fish_intake!A$4:D$122,4,FALSE)), "NA")</f>
        <v>NA</v>
      </c>
      <c r="U225" s="2" t="str">
        <f t="shared" si="27"/>
        <v>NA</v>
      </c>
    </row>
    <row r="226" spans="1:21" ht="14.25" customHeight="1">
      <c r="A226" s="2" t="s">
        <v>15</v>
      </c>
      <c r="B226" s="2">
        <v>1915</v>
      </c>
      <c r="C226" s="2" t="s">
        <v>20</v>
      </c>
      <c r="D226" s="3" t="e">
        <f t="shared" si="21"/>
        <v>#N/A</v>
      </c>
      <c r="E226" s="3" t="e">
        <f t="shared" si="22"/>
        <v>#N/A</v>
      </c>
      <c r="F226" s="3">
        <f t="shared" si="23"/>
        <v>3.54739890266206</v>
      </c>
      <c r="G226" s="3">
        <f t="shared" si="24"/>
        <v>0.11411199999999999</v>
      </c>
      <c r="H226" s="3" t="e">
        <f t="shared" si="25"/>
        <v>#VALUE!</v>
      </c>
      <c r="I226" s="3" t="e">
        <f t="shared" si="26"/>
        <v>#VALUE!</v>
      </c>
      <c r="J226" s="3" t="e">
        <v>#N/A</v>
      </c>
      <c r="K226" s="3" t="e">
        <v>#N/A</v>
      </c>
      <c r="L226" s="3">
        <v>3547.3989026620602</v>
      </c>
      <c r="M226" s="3">
        <v>114.11199999999999</v>
      </c>
      <c r="N226" s="3" t="e">
        <v>#VALUE!</v>
      </c>
      <c r="O226" s="3" t="e">
        <v>#VALUE!</v>
      </c>
      <c r="P226" s="3" t="e">
        <f>E226*(VLOOKUP(B226,Price_data!A$1:B$190,2,FALSE))</f>
        <v>#N/A</v>
      </c>
      <c r="Q226" s="3">
        <f>G226*(VLOOKUP(B226,Price_data!A$1:B$190,2,FALSE))</f>
        <v>6.9691310542342393</v>
      </c>
      <c r="R226" s="3" t="e">
        <f>I226*(VLOOKUP(B226,Price_data!A$1:B$190,2,FALSE))</f>
        <v>#VALUE!</v>
      </c>
      <c r="S226" s="4" t="str">
        <f>(VLOOKUP(B226,Price_data!A$1:C$190,3,FALSE))</f>
        <v>WW</v>
      </c>
      <c r="T226" s="2" t="str">
        <f>IF(C226="Total", (VLOOKUP(B226,Recommended_fish_intake!A$4:D$122,4,FALSE)), "NA")</f>
        <v>NA</v>
      </c>
      <c r="U226" s="2" t="str">
        <f t="shared" si="27"/>
        <v>NA</v>
      </c>
    </row>
    <row r="227" spans="1:21" ht="14.25" customHeight="1">
      <c r="A227" s="2" t="s">
        <v>15</v>
      </c>
      <c r="B227" s="2">
        <v>1915</v>
      </c>
      <c r="C227" s="2" t="s">
        <v>25</v>
      </c>
      <c r="D227" s="3" t="e">
        <f t="shared" si="21"/>
        <v>#N/A</v>
      </c>
      <c r="E227" s="3" t="e">
        <f t="shared" si="22"/>
        <v>#N/A</v>
      </c>
      <c r="F227" s="3" t="e">
        <f t="shared" si="23"/>
        <v>#N/A</v>
      </c>
      <c r="G227" s="3" t="e">
        <f t="shared" si="24"/>
        <v>#N/A</v>
      </c>
      <c r="H227" s="3" t="e">
        <f t="shared" si="25"/>
        <v>#N/A</v>
      </c>
      <c r="I227" s="3" t="e">
        <f t="shared" si="26"/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f>E227*(VLOOKUP(B227,Price_data!A$1:B$190,2,FALSE))</f>
        <v>#N/A</v>
      </c>
      <c r="Q227" s="3" t="e">
        <f>G227*(VLOOKUP(B227,Price_data!A$1:B$190,2,FALSE))</f>
        <v>#N/A</v>
      </c>
      <c r="R227" s="3" t="e">
        <f>I227*(VLOOKUP(B227,Price_data!A$1:B$190,2,FALSE))</f>
        <v>#N/A</v>
      </c>
      <c r="S227" s="4" t="str">
        <f>(VLOOKUP(B227,Price_data!A$1:C$190,3,FALSE))</f>
        <v>WW</v>
      </c>
      <c r="T227" s="2" t="str">
        <f>IF(C227="Total", (VLOOKUP(B227,Recommended_fish_intake!A$4:D$122,4,FALSE)), "NA")</f>
        <v>NA</v>
      </c>
      <c r="U227" s="2" t="str">
        <f t="shared" si="27"/>
        <v>NA</v>
      </c>
    </row>
    <row r="228" spans="1:21" ht="14.25" customHeight="1">
      <c r="A228" s="2" t="s">
        <v>15</v>
      </c>
      <c r="B228" s="2">
        <v>1915</v>
      </c>
      <c r="C228" s="2" t="s">
        <v>24</v>
      </c>
      <c r="D228" s="3" t="e">
        <f t="shared" si="21"/>
        <v>#N/A</v>
      </c>
      <c r="E228" s="3" t="e">
        <f t="shared" si="22"/>
        <v>#N/A</v>
      </c>
      <c r="F228" s="3" t="e">
        <f t="shared" si="23"/>
        <v>#N/A</v>
      </c>
      <c r="G228" s="3" t="e">
        <f t="shared" si="24"/>
        <v>#N/A</v>
      </c>
      <c r="H228" s="3" t="e">
        <f t="shared" si="25"/>
        <v>#N/A</v>
      </c>
      <c r="I228" s="3" t="e">
        <f t="shared" si="26"/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 t="e">
        <v>#N/A</v>
      </c>
      <c r="O228" s="3" t="e">
        <v>#N/A</v>
      </c>
      <c r="P228" s="3" t="e">
        <f>E228*(VLOOKUP(B228,Price_data!A$1:B$190,2,FALSE))</f>
        <v>#N/A</v>
      </c>
      <c r="Q228" s="3" t="e">
        <f>G228*(VLOOKUP(B228,Price_data!A$1:B$190,2,FALSE))</f>
        <v>#N/A</v>
      </c>
      <c r="R228" s="3" t="e">
        <f>I228*(VLOOKUP(B228,Price_data!A$1:B$190,2,FALSE))</f>
        <v>#N/A</v>
      </c>
      <c r="S228" s="4" t="str">
        <f>(VLOOKUP(B228,Price_data!A$1:C$190,3,FALSE))</f>
        <v>WW</v>
      </c>
      <c r="T228" s="2" t="str">
        <f>IF(C228="Total", (VLOOKUP(B228,Recommended_fish_intake!A$4:D$122,4,FALSE)), "NA")</f>
        <v>NA</v>
      </c>
      <c r="U228" s="2" t="str">
        <f t="shared" si="27"/>
        <v>NA</v>
      </c>
    </row>
    <row r="229" spans="1:21" ht="14.25" customHeight="1">
      <c r="A229" s="2" t="s">
        <v>15</v>
      </c>
      <c r="B229" s="2">
        <v>1915</v>
      </c>
      <c r="C229" s="2" t="s">
        <v>30</v>
      </c>
      <c r="D229" s="3" t="e">
        <f t="shared" si="21"/>
        <v>#N/A</v>
      </c>
      <c r="E229" s="3" t="e">
        <f t="shared" si="22"/>
        <v>#N/A</v>
      </c>
      <c r="F229" s="3" t="e">
        <f t="shared" si="23"/>
        <v>#VALUE!</v>
      </c>
      <c r="G229" s="3" t="e">
        <f t="shared" si="24"/>
        <v>#VALUE!</v>
      </c>
      <c r="H229" s="3" t="e">
        <f t="shared" si="25"/>
        <v>#VALUE!</v>
      </c>
      <c r="I229" s="3" t="e">
        <f t="shared" si="26"/>
        <v>#VALUE!</v>
      </c>
      <c r="J229" s="3" t="e">
        <v>#N/A</v>
      </c>
      <c r="K229" s="3" t="e">
        <v>#N/A</v>
      </c>
      <c r="L229" s="3" t="e">
        <v>#VALUE!</v>
      </c>
      <c r="M229" s="3" t="e">
        <v>#VALUE!</v>
      </c>
      <c r="N229" s="3" t="e">
        <v>#VALUE!</v>
      </c>
      <c r="O229" s="3" t="e">
        <v>#VALUE!</v>
      </c>
      <c r="P229" s="3" t="e">
        <f>E229*(VLOOKUP(B229,Price_data!A$1:B$190,2,FALSE))</f>
        <v>#N/A</v>
      </c>
      <c r="Q229" s="3" t="e">
        <f>G229*(VLOOKUP(B229,Price_data!A$1:B$190,2,FALSE))</f>
        <v>#VALUE!</v>
      </c>
      <c r="R229" s="3" t="e">
        <f>I229*(VLOOKUP(B229,Price_data!A$1:B$190,2,FALSE))</f>
        <v>#VALUE!</v>
      </c>
      <c r="S229" s="4" t="str">
        <f>(VLOOKUP(B229,Price_data!A$1:C$190,3,FALSE))</f>
        <v>WW</v>
      </c>
      <c r="T229" s="2" t="str">
        <f>IF(C229="Total", (VLOOKUP(B229,Recommended_fish_intake!A$4:D$122,4,FALSE)), "NA")</f>
        <v>NA</v>
      </c>
      <c r="U229" s="2" t="str">
        <f t="shared" si="27"/>
        <v>NA</v>
      </c>
    </row>
    <row r="230" spans="1:21" ht="14.25" customHeight="1">
      <c r="A230" s="2" t="s">
        <v>15</v>
      </c>
      <c r="B230" s="2">
        <v>1916</v>
      </c>
      <c r="C230" s="2" t="s">
        <v>16</v>
      </c>
      <c r="D230" s="3">
        <f t="shared" si="21"/>
        <v>417.71733387522858</v>
      </c>
      <c r="E230" s="3">
        <f t="shared" si="22"/>
        <v>11.253373</v>
      </c>
      <c r="F230" s="3">
        <f t="shared" si="23"/>
        <v>92.95483641536272</v>
      </c>
      <c r="G230" s="3">
        <f t="shared" si="24"/>
        <v>2.3562020000000001</v>
      </c>
      <c r="H230" s="3">
        <f t="shared" si="25"/>
        <v>191.89290794553952</v>
      </c>
      <c r="I230" s="3">
        <f t="shared" si="26"/>
        <v>10.608362</v>
      </c>
      <c r="J230" s="3">
        <v>417717.33387522859</v>
      </c>
      <c r="K230" s="3">
        <v>11253.373</v>
      </c>
      <c r="L230" s="3">
        <v>92954.836415362719</v>
      </c>
      <c r="M230" s="3">
        <v>2356.2020000000002</v>
      </c>
      <c r="N230" s="3">
        <v>191892.90794553951</v>
      </c>
      <c r="O230" s="3">
        <v>10608.361999999999</v>
      </c>
      <c r="P230" s="3">
        <f>E230*(VLOOKUP(B230,Price_data!A$1:B$190,2,FALSE))</f>
        <v>581.53969091154886</v>
      </c>
      <c r="Q230" s="3">
        <f>G230*(VLOOKUP(B230,Price_data!A$1:B$190,2,FALSE))</f>
        <v>121.76126951494217</v>
      </c>
      <c r="R230" s="3">
        <f>I230*(VLOOKUP(B230,Price_data!A$1:B$190,2,FALSE))</f>
        <v>548.20750707879495</v>
      </c>
      <c r="S230" s="4" t="str">
        <f>(VLOOKUP(B230,Price_data!A$1:C$190,3,FALSE))</f>
        <v>WW</v>
      </c>
      <c r="T230" s="2">
        <f>IF(C230="Total", (VLOOKUP(B230,Recommended_fish_intake!A$4:D$122,4,FALSE)), "NA")</f>
        <v>555.42003375627928</v>
      </c>
      <c r="U230" s="2" t="str">
        <f t="shared" si="27"/>
        <v>NA</v>
      </c>
    </row>
    <row r="231" spans="1:21" ht="14.25" customHeight="1">
      <c r="A231" s="2" t="s">
        <v>18</v>
      </c>
      <c r="B231" s="2">
        <v>1916</v>
      </c>
      <c r="C231" s="2" t="s">
        <v>19</v>
      </c>
      <c r="D231" s="3">
        <f t="shared" si="21"/>
        <v>32.790235724446248</v>
      </c>
      <c r="E231" s="3">
        <f t="shared" si="22"/>
        <v>0.70633399999999991</v>
      </c>
      <c r="F231" s="3" t="e">
        <f t="shared" si="23"/>
        <v>#N/A</v>
      </c>
      <c r="G231" s="3" t="e">
        <f t="shared" si="24"/>
        <v>#N/A</v>
      </c>
      <c r="H231" s="3" t="e">
        <f t="shared" si="25"/>
        <v>#N/A</v>
      </c>
      <c r="I231" s="3" t="e">
        <f t="shared" si="26"/>
        <v>#N/A</v>
      </c>
      <c r="J231" s="3">
        <v>32790.235724446247</v>
      </c>
      <c r="K231" s="3">
        <v>706.33399999999995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>
        <f>E231*(VLOOKUP(B231,Price_data!A$1:B$190,2,FALSE))</f>
        <v>36.501167786788713</v>
      </c>
      <c r="Q231" s="3" t="e">
        <f>G231*(VLOOKUP(B231,Price_data!A$1:B$190,2,FALSE))</f>
        <v>#N/A</v>
      </c>
      <c r="R231" s="3" t="e">
        <f>I231*(VLOOKUP(B231,Price_data!A$1:B$190,2,FALSE))</f>
        <v>#N/A</v>
      </c>
      <c r="S231" s="4" t="str">
        <f>(VLOOKUP(B231,Price_data!A$1:C$190,3,FALSE))</f>
        <v>WW</v>
      </c>
      <c r="T231" s="2" t="str">
        <f>IF(C231="Total", (VLOOKUP(B231,Recommended_fish_intake!A$4:D$122,4,FALSE)), "NA")</f>
        <v>NA</v>
      </c>
      <c r="U231" s="2" t="str">
        <f t="shared" si="27"/>
        <v>NA</v>
      </c>
    </row>
    <row r="232" spans="1:21" ht="14.25" customHeight="1">
      <c r="A232" s="2" t="s">
        <v>18</v>
      </c>
      <c r="B232" s="2">
        <v>1916</v>
      </c>
      <c r="C232" s="2" t="s">
        <v>20</v>
      </c>
      <c r="D232" s="3">
        <f t="shared" si="21"/>
        <v>8.2037695590327164</v>
      </c>
      <c r="E232" s="3">
        <f t="shared" si="22"/>
        <v>0.15682400000000002</v>
      </c>
      <c r="F232" s="3" t="e">
        <f t="shared" si="23"/>
        <v>#N/A</v>
      </c>
      <c r="G232" s="3" t="e">
        <f t="shared" si="24"/>
        <v>#N/A</v>
      </c>
      <c r="H232" s="3" t="e">
        <f t="shared" si="25"/>
        <v>#N/A</v>
      </c>
      <c r="I232" s="3" t="e">
        <f t="shared" si="26"/>
        <v>#N/A</v>
      </c>
      <c r="J232" s="3">
        <v>8203.7695590327166</v>
      </c>
      <c r="K232" s="3">
        <v>156.82400000000001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>
        <f>E232*(VLOOKUP(B232,Price_data!A$1:B$190,2,FALSE))</f>
        <v>8.1041817850979214</v>
      </c>
      <c r="Q232" s="3" t="e">
        <f>G232*(VLOOKUP(B232,Price_data!A$1:B$190,2,FALSE))</f>
        <v>#N/A</v>
      </c>
      <c r="R232" s="3" t="e">
        <f>I232*(VLOOKUP(B232,Price_data!A$1:B$190,2,FALSE))</f>
        <v>#N/A</v>
      </c>
      <c r="S232" s="4" t="str">
        <f>(VLOOKUP(B232,Price_data!A$1:C$190,3,FALSE))</f>
        <v>WW</v>
      </c>
      <c r="T232" s="2" t="str">
        <f>IF(C232="Total", (VLOOKUP(B232,Recommended_fish_intake!A$4:D$122,4,FALSE)), "NA")</f>
        <v>NA</v>
      </c>
      <c r="U232" s="2" t="str">
        <f t="shared" si="27"/>
        <v>NA</v>
      </c>
    </row>
    <row r="233" spans="1:21" ht="14.25" customHeight="1">
      <c r="A233" s="2" t="s">
        <v>18</v>
      </c>
      <c r="B233" s="2">
        <v>1916</v>
      </c>
      <c r="C233" s="2" t="s">
        <v>21</v>
      </c>
      <c r="D233" s="3">
        <f t="shared" si="21"/>
        <v>2.4383763462710832</v>
      </c>
      <c r="E233" s="3">
        <f t="shared" si="22"/>
        <v>2.0838000000000002E-2</v>
      </c>
      <c r="F233" s="3" t="e">
        <f t="shared" si="23"/>
        <v>#N/A</v>
      </c>
      <c r="G233" s="3" t="e">
        <f t="shared" si="24"/>
        <v>#N/A</v>
      </c>
      <c r="H233" s="3" t="e">
        <f t="shared" si="25"/>
        <v>#N/A</v>
      </c>
      <c r="I233" s="3" t="e">
        <f t="shared" si="26"/>
        <v>#N/A</v>
      </c>
      <c r="J233" s="3">
        <v>2438.3763462710831</v>
      </c>
      <c r="K233" s="3">
        <v>20.838000000000001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>
        <f>E233*(VLOOKUP(B233,Price_data!A$1:B$190,2,FALSE))</f>
        <v>1.0768437231410402</v>
      </c>
      <c r="Q233" s="3" t="e">
        <f>G233*(VLOOKUP(B233,Price_data!A$1:B$190,2,FALSE))</f>
        <v>#N/A</v>
      </c>
      <c r="R233" s="3" t="e">
        <f>I233*(VLOOKUP(B233,Price_data!A$1:B$190,2,FALSE))</f>
        <v>#N/A</v>
      </c>
      <c r="S233" s="4" t="str">
        <f>(VLOOKUP(B233,Price_data!A$1:C$190,3,FALSE))</f>
        <v>WW</v>
      </c>
      <c r="T233" s="2" t="str">
        <f>IF(C233="Total", (VLOOKUP(B233,Recommended_fish_intake!A$4:D$122,4,FALSE)), "NA")</f>
        <v>NA</v>
      </c>
      <c r="U233" s="2" t="str">
        <f t="shared" si="27"/>
        <v>NA</v>
      </c>
    </row>
    <row r="234" spans="1:21" ht="14.25" customHeight="1">
      <c r="A234" s="2" t="s">
        <v>18</v>
      </c>
      <c r="B234" s="2">
        <v>1916</v>
      </c>
      <c r="C234" s="2" t="s">
        <v>22</v>
      </c>
      <c r="D234" s="3">
        <f t="shared" si="21"/>
        <v>56.124009347693558</v>
      </c>
      <c r="E234" s="3">
        <f t="shared" si="22"/>
        <v>1.890903</v>
      </c>
      <c r="F234" s="3" t="e">
        <f t="shared" si="23"/>
        <v>#N/A</v>
      </c>
      <c r="G234" s="3" t="e">
        <f t="shared" si="24"/>
        <v>#N/A</v>
      </c>
      <c r="H234" s="3" t="e">
        <f t="shared" si="25"/>
        <v>#N/A</v>
      </c>
      <c r="I234" s="3" t="e">
        <f t="shared" si="26"/>
        <v>#N/A</v>
      </c>
      <c r="J234" s="3">
        <v>56124.009347693558</v>
      </c>
      <c r="K234" s="3">
        <v>1890.903</v>
      </c>
      <c r="L234" s="3" t="e">
        <v>#N/A</v>
      </c>
      <c r="M234" s="3" t="e">
        <v>#N/A</v>
      </c>
      <c r="N234" s="3" t="e">
        <v>#N/A</v>
      </c>
      <c r="O234" s="3" t="e">
        <v>#N/A</v>
      </c>
      <c r="P234" s="3">
        <f>E234*(VLOOKUP(B234,Price_data!A$1:B$190,2,FALSE))</f>
        <v>97.716048882741248</v>
      </c>
      <c r="Q234" s="3" t="e">
        <f>G234*(VLOOKUP(B234,Price_data!A$1:B$190,2,FALSE))</f>
        <v>#N/A</v>
      </c>
      <c r="R234" s="3" t="e">
        <f>I234*(VLOOKUP(B234,Price_data!A$1:B$190,2,FALSE))</f>
        <v>#N/A</v>
      </c>
      <c r="S234" s="4" t="str">
        <f>(VLOOKUP(B234,Price_data!A$1:C$190,3,FALSE))</f>
        <v>WW</v>
      </c>
      <c r="T234" s="2" t="str">
        <f>IF(C234="Total", (VLOOKUP(B234,Recommended_fish_intake!A$4:D$122,4,FALSE)), "NA")</f>
        <v>NA</v>
      </c>
      <c r="U234" s="2" t="str">
        <f t="shared" si="27"/>
        <v>NA</v>
      </c>
    </row>
    <row r="235" spans="1:21" ht="14.25" customHeight="1">
      <c r="A235" s="2" t="s">
        <v>18</v>
      </c>
      <c r="B235" s="2">
        <v>1916</v>
      </c>
      <c r="C235" s="2" t="s">
        <v>23</v>
      </c>
      <c r="D235" s="3">
        <f t="shared" si="21"/>
        <v>40.226325950010157</v>
      </c>
      <c r="E235" s="3">
        <f t="shared" si="22"/>
        <v>1.4465129999999999</v>
      </c>
      <c r="F235" s="3" t="e">
        <f t="shared" si="23"/>
        <v>#N/A</v>
      </c>
      <c r="G235" s="3" t="e">
        <f t="shared" si="24"/>
        <v>#N/A</v>
      </c>
      <c r="H235" s="3" t="e">
        <f t="shared" si="25"/>
        <v>#N/A</v>
      </c>
      <c r="I235" s="3" t="e">
        <f t="shared" si="26"/>
        <v>#N/A</v>
      </c>
      <c r="J235" s="3">
        <v>40226.325950010156</v>
      </c>
      <c r="K235" s="3">
        <v>1446.5129999999999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>
        <f>E235*(VLOOKUP(B235,Price_data!A$1:B$190,2,FALSE))</f>
        <v>74.751341035220037</v>
      </c>
      <c r="Q235" s="3" t="e">
        <f>G235*(VLOOKUP(B235,Price_data!A$1:B$190,2,FALSE))</f>
        <v>#N/A</v>
      </c>
      <c r="R235" s="3" t="e">
        <f>I235*(VLOOKUP(B235,Price_data!A$1:B$190,2,FALSE))</f>
        <v>#N/A</v>
      </c>
      <c r="S235" s="4" t="str">
        <f>(VLOOKUP(B235,Price_data!A$1:C$190,3,FALSE))</f>
        <v>WW</v>
      </c>
      <c r="T235" s="2" t="str">
        <f>IF(C235="Total", (VLOOKUP(B235,Recommended_fish_intake!A$4:D$122,4,FALSE)), "NA")</f>
        <v>NA</v>
      </c>
      <c r="U235" s="2" t="str">
        <f t="shared" si="27"/>
        <v>NA</v>
      </c>
    </row>
    <row r="236" spans="1:21" ht="14.25" customHeight="1">
      <c r="A236" s="2" t="s">
        <v>18</v>
      </c>
      <c r="B236" s="2">
        <v>1916</v>
      </c>
      <c r="C236" s="2" t="s">
        <v>24</v>
      </c>
      <c r="D236" s="3">
        <f t="shared" si="21"/>
        <v>7.9914651493598861</v>
      </c>
      <c r="E236" s="3">
        <f t="shared" si="22"/>
        <v>0.25587799999999999</v>
      </c>
      <c r="F236" s="3" t="e">
        <f t="shared" si="23"/>
        <v>#N/A</v>
      </c>
      <c r="G236" s="3" t="e">
        <f t="shared" si="24"/>
        <v>#N/A</v>
      </c>
      <c r="H236" s="3" t="e">
        <f t="shared" si="25"/>
        <v>#N/A</v>
      </c>
      <c r="I236" s="3" t="e">
        <f t="shared" si="26"/>
        <v>#N/A</v>
      </c>
      <c r="J236" s="3">
        <v>7991.4651493598858</v>
      </c>
      <c r="K236" s="3">
        <v>255.87799999999999</v>
      </c>
      <c r="L236" s="3" t="e">
        <v>#N/A</v>
      </c>
      <c r="M236" s="3" t="e">
        <v>#N/A</v>
      </c>
      <c r="N236" s="3" t="e">
        <v>#N/A</v>
      </c>
      <c r="O236" s="3" t="e">
        <v>#N/A</v>
      </c>
      <c r="P236" s="3">
        <f>E236*(VLOOKUP(B236,Price_data!A$1:B$190,2,FALSE))</f>
        <v>13.222987723864239</v>
      </c>
      <c r="Q236" s="3" t="e">
        <f>G236*(VLOOKUP(B236,Price_data!A$1:B$190,2,FALSE))</f>
        <v>#N/A</v>
      </c>
      <c r="R236" s="3" t="e">
        <f>I236*(VLOOKUP(B236,Price_data!A$1:B$190,2,FALSE))</f>
        <v>#N/A</v>
      </c>
      <c r="S236" s="4" t="str">
        <f>(VLOOKUP(B236,Price_data!A$1:C$190,3,FALSE))</f>
        <v>WW</v>
      </c>
      <c r="T236" s="2" t="str">
        <f>IF(C236="Total", (VLOOKUP(B236,Recommended_fish_intake!A$4:D$122,4,FALSE)), "NA")</f>
        <v>NA</v>
      </c>
      <c r="U236" s="2" t="str">
        <f t="shared" si="27"/>
        <v>NA</v>
      </c>
    </row>
    <row r="237" spans="1:21" ht="14.25" customHeight="1">
      <c r="A237" s="2" t="s">
        <v>18</v>
      </c>
      <c r="B237" s="2">
        <v>1916</v>
      </c>
      <c r="C237" s="2" t="s">
        <v>25</v>
      </c>
      <c r="D237" s="3">
        <f t="shared" si="21"/>
        <v>11.502692542166226</v>
      </c>
      <c r="E237" s="3">
        <f t="shared" si="22"/>
        <v>0.73127300000000006</v>
      </c>
      <c r="F237" s="3" t="e">
        <f t="shared" si="23"/>
        <v>#N/A</v>
      </c>
      <c r="G237" s="3" t="e">
        <f t="shared" si="24"/>
        <v>#N/A</v>
      </c>
      <c r="H237" s="3" t="e">
        <f t="shared" si="25"/>
        <v>#N/A</v>
      </c>
      <c r="I237" s="3" t="e">
        <f t="shared" si="26"/>
        <v>#N/A</v>
      </c>
      <c r="J237" s="3">
        <v>11502.692542166225</v>
      </c>
      <c r="K237" s="3">
        <v>731.27300000000002</v>
      </c>
      <c r="L237" s="3" t="e">
        <v>#N/A</v>
      </c>
      <c r="M237" s="3" t="e">
        <v>#N/A</v>
      </c>
      <c r="N237" s="3" t="e">
        <v>#N/A</v>
      </c>
      <c r="O237" s="3" t="e">
        <v>#N/A</v>
      </c>
      <c r="P237" s="3">
        <f>E237*(VLOOKUP(B237,Price_data!A$1:B$190,2,FALSE))</f>
        <v>37.789938571480846</v>
      </c>
      <c r="Q237" s="3" t="e">
        <f>G237*(VLOOKUP(B237,Price_data!A$1:B$190,2,FALSE))</f>
        <v>#N/A</v>
      </c>
      <c r="R237" s="3" t="e">
        <f>I237*(VLOOKUP(B237,Price_data!A$1:B$190,2,FALSE))</f>
        <v>#N/A</v>
      </c>
      <c r="S237" s="4" t="str">
        <f>(VLOOKUP(B237,Price_data!A$1:C$190,3,FALSE))</f>
        <v>WW</v>
      </c>
      <c r="T237" s="2" t="str">
        <f>IF(C237="Total", (VLOOKUP(B237,Recommended_fish_intake!A$4:D$122,4,FALSE)), "NA")</f>
        <v>NA</v>
      </c>
      <c r="U237" s="2" t="str">
        <f t="shared" si="27"/>
        <v>NA</v>
      </c>
    </row>
    <row r="238" spans="1:21" ht="14.25" customHeight="1">
      <c r="A238" s="2" t="s">
        <v>15</v>
      </c>
      <c r="B238" s="2">
        <v>1916</v>
      </c>
      <c r="C238" s="2" t="s">
        <v>22</v>
      </c>
      <c r="D238" s="3" t="e">
        <f t="shared" si="21"/>
        <v>#N/A</v>
      </c>
      <c r="E238" s="3" t="e">
        <f t="shared" si="22"/>
        <v>#N/A</v>
      </c>
      <c r="F238" s="3">
        <f t="shared" si="23"/>
        <v>7.5617252590936799</v>
      </c>
      <c r="G238" s="3">
        <f t="shared" si="24"/>
        <v>0.38509300000000002</v>
      </c>
      <c r="H238" s="3">
        <f t="shared" si="25"/>
        <v>0</v>
      </c>
      <c r="I238" s="3">
        <f t="shared" si="26"/>
        <v>0</v>
      </c>
      <c r="J238" s="3" t="e">
        <v>#N/A</v>
      </c>
      <c r="K238" s="3" t="e">
        <v>#N/A</v>
      </c>
      <c r="L238" s="3">
        <v>7561.7252590936796</v>
      </c>
      <c r="M238" s="3">
        <v>385.09300000000002</v>
      </c>
      <c r="N238" s="3">
        <v>0</v>
      </c>
      <c r="O238" s="3">
        <v>0</v>
      </c>
      <c r="P238" s="3" t="e">
        <f>E238*(VLOOKUP(B238,Price_data!A$1:B$190,2,FALSE))</f>
        <v>#N/A</v>
      </c>
      <c r="Q238" s="3">
        <f>G238*(VLOOKUP(B238,Price_data!A$1:B$190,2,FALSE))</f>
        <v>19.900421339646442</v>
      </c>
      <c r="R238" s="3">
        <f>I238*(VLOOKUP(B238,Price_data!A$1:B$190,2,FALSE))</f>
        <v>0</v>
      </c>
      <c r="S238" s="4" t="str">
        <f>(VLOOKUP(B238,Price_data!A$1:C$190,3,FALSE))</f>
        <v>WW</v>
      </c>
      <c r="T238" s="2" t="str">
        <f>IF(C238="Total", (VLOOKUP(B238,Recommended_fish_intake!A$4:D$122,4,FALSE)), "NA")</f>
        <v>NA</v>
      </c>
      <c r="U238" s="2" t="str">
        <f t="shared" si="27"/>
        <v>NA</v>
      </c>
    </row>
    <row r="239" spans="1:21" ht="14.25" customHeight="1">
      <c r="A239" s="2" t="s">
        <v>15</v>
      </c>
      <c r="B239" s="2">
        <v>1916</v>
      </c>
      <c r="C239" s="2" t="s">
        <v>23</v>
      </c>
      <c r="D239" s="3" t="e">
        <f t="shared" si="21"/>
        <v>#N/A</v>
      </c>
      <c r="E239" s="3" t="e">
        <f t="shared" si="22"/>
        <v>#N/A</v>
      </c>
      <c r="F239" s="3">
        <f t="shared" si="23"/>
        <v>0.54882137776874618</v>
      </c>
      <c r="G239" s="3">
        <f t="shared" si="24"/>
        <v>3.4451999999999997E-2</v>
      </c>
      <c r="H239" s="3" t="e">
        <f t="shared" si="25"/>
        <v>#VALUE!</v>
      </c>
      <c r="I239" s="3" t="e">
        <f t="shared" si="26"/>
        <v>#VALUE!</v>
      </c>
      <c r="J239" s="3" t="e">
        <v>#N/A</v>
      </c>
      <c r="K239" s="3" t="e">
        <v>#N/A</v>
      </c>
      <c r="L239" s="3">
        <v>548.82137776874617</v>
      </c>
      <c r="M239" s="3">
        <v>34.451999999999998</v>
      </c>
      <c r="N239" s="3" t="e">
        <v>#VALUE!</v>
      </c>
      <c r="O239" s="3" t="e">
        <v>#VALUE!</v>
      </c>
      <c r="P239" s="3" t="e">
        <f>E239*(VLOOKUP(B239,Price_data!A$1:B$190,2,FALSE))</f>
        <v>#N/A</v>
      </c>
      <c r="Q239" s="3">
        <f>G239*(VLOOKUP(B239,Price_data!A$1:B$190,2,FALSE))</f>
        <v>1.7803733539521598</v>
      </c>
      <c r="R239" s="3" t="e">
        <f>I239*(VLOOKUP(B239,Price_data!A$1:B$190,2,FALSE))</f>
        <v>#VALUE!</v>
      </c>
      <c r="S239" s="4" t="str">
        <f>(VLOOKUP(B239,Price_data!A$1:C$190,3,FALSE))</f>
        <v>WW</v>
      </c>
      <c r="T239" s="2" t="str">
        <f>IF(C239="Total", (VLOOKUP(B239,Recommended_fish_intake!A$4:D$122,4,FALSE)), "NA")</f>
        <v>NA</v>
      </c>
      <c r="U239" s="2" t="str">
        <f t="shared" si="27"/>
        <v>NA</v>
      </c>
    </row>
    <row r="240" spans="1:21" ht="14.25" customHeight="1">
      <c r="A240" s="2" t="s">
        <v>15</v>
      </c>
      <c r="B240" s="2">
        <v>1916</v>
      </c>
      <c r="C240" s="2" t="s">
        <v>19</v>
      </c>
      <c r="D240" s="3" t="e">
        <f t="shared" si="21"/>
        <v>#N/A</v>
      </c>
      <c r="E240" s="3" t="e">
        <f t="shared" si="22"/>
        <v>#N/A</v>
      </c>
      <c r="F240" s="3">
        <f t="shared" si="23"/>
        <v>78.59987807356228</v>
      </c>
      <c r="G240" s="3">
        <f t="shared" si="24"/>
        <v>1.7170029999999998</v>
      </c>
      <c r="H240" s="3">
        <f t="shared" si="25"/>
        <v>8.7294249136354392</v>
      </c>
      <c r="I240" s="3">
        <f t="shared" si="26"/>
        <v>0.19239400000000001</v>
      </c>
      <c r="J240" s="3" t="e">
        <v>#N/A</v>
      </c>
      <c r="K240" s="3" t="e">
        <v>#N/A</v>
      </c>
      <c r="L240" s="3">
        <v>78599.878073562286</v>
      </c>
      <c r="M240" s="3">
        <v>1717.0029999999999</v>
      </c>
      <c r="N240" s="3">
        <v>8729.4249136354392</v>
      </c>
      <c r="O240" s="3">
        <v>192.39400000000001</v>
      </c>
      <c r="P240" s="3" t="e">
        <f>E240*(VLOOKUP(B240,Price_data!A$1:B$190,2,FALSE))</f>
        <v>#N/A</v>
      </c>
      <c r="Q240" s="3">
        <f>G240*(VLOOKUP(B240,Price_data!A$1:B$190,2,FALSE))</f>
        <v>88.729431959129229</v>
      </c>
      <c r="R240" s="3">
        <f>I240*(VLOOKUP(B240,Price_data!A$1:B$190,2,FALSE))</f>
        <v>9.9423299390535202</v>
      </c>
      <c r="S240" s="4" t="str">
        <f>(VLOOKUP(B240,Price_data!A$1:C$190,3,FALSE))</f>
        <v>WW</v>
      </c>
      <c r="T240" s="2" t="str">
        <f>IF(C240="Total", (VLOOKUP(B240,Recommended_fish_intake!A$4:D$122,4,FALSE)), "NA")</f>
        <v>NA</v>
      </c>
      <c r="U240" s="2" t="str">
        <f t="shared" si="27"/>
        <v>NA</v>
      </c>
    </row>
    <row r="241" spans="1:21" ht="14.25" customHeight="1">
      <c r="A241" s="2" t="s">
        <v>15</v>
      </c>
      <c r="B241" s="2">
        <v>1916</v>
      </c>
      <c r="C241" s="2" t="s">
        <v>28</v>
      </c>
      <c r="D241" s="3" t="e">
        <f t="shared" si="21"/>
        <v>#VALUE!</v>
      </c>
      <c r="E241" s="3" t="e">
        <f t="shared" si="22"/>
        <v>#VALUE!</v>
      </c>
      <c r="F241" s="3">
        <f t="shared" si="23"/>
        <v>0.34769355821987397</v>
      </c>
      <c r="G241" s="3">
        <f t="shared" si="24"/>
        <v>4.3319999999999999E-3</v>
      </c>
      <c r="H241" s="3">
        <f t="shared" si="25"/>
        <v>8.2920138183296075</v>
      </c>
      <c r="I241" s="3">
        <f t="shared" si="26"/>
        <v>0.60279899999999997</v>
      </c>
      <c r="J241" s="3" t="e">
        <v>#VALUE!</v>
      </c>
      <c r="K241" s="3" t="e">
        <v>#VALUE!</v>
      </c>
      <c r="L241" s="3">
        <v>347.69355821987398</v>
      </c>
      <c r="M241" s="3">
        <v>4.3319999999999999</v>
      </c>
      <c r="N241" s="3">
        <v>8292.0138183296076</v>
      </c>
      <c r="O241" s="3">
        <v>602.79899999999998</v>
      </c>
      <c r="P241" s="3" t="e">
        <f>E241*(VLOOKUP(B241,Price_data!A$1:B$190,2,FALSE))</f>
        <v>#VALUE!</v>
      </c>
      <c r="Q241" s="3">
        <f>G241*(VLOOKUP(B241,Price_data!A$1:B$190,2,FALSE))</f>
        <v>0.22386443078255999</v>
      </c>
      <c r="R241" s="3">
        <f>I241*(VLOOKUP(B241,Price_data!A$1:B$190,2,FALSE))</f>
        <v>31.150797555700919</v>
      </c>
      <c r="S241" s="4" t="str">
        <f>(VLOOKUP(B241,Price_data!A$1:C$190,3,FALSE))</f>
        <v>WW</v>
      </c>
      <c r="T241" s="2" t="str">
        <f>IF(C241="Total", (VLOOKUP(B241,Recommended_fish_intake!A$4:D$122,4,FALSE)), "NA")</f>
        <v>NA</v>
      </c>
      <c r="U241" s="2" t="e">
        <f t="shared" si="27"/>
        <v>#VALUE!</v>
      </c>
    </row>
    <row r="242" spans="1:21" ht="14.25" customHeight="1">
      <c r="A242" s="2" t="s">
        <v>15</v>
      </c>
      <c r="B242" s="2">
        <v>1916</v>
      </c>
      <c r="C242" s="2" t="s">
        <v>29</v>
      </c>
      <c r="D242" s="3" t="e">
        <f t="shared" si="21"/>
        <v>#VALUE!</v>
      </c>
      <c r="E242" s="3" t="e">
        <f t="shared" si="22"/>
        <v>#VALUE!</v>
      </c>
      <c r="F242" s="3">
        <f t="shared" si="23"/>
        <v>4.3080674659622023E-2</v>
      </c>
      <c r="G242" s="3">
        <f t="shared" si="24"/>
        <v>6.535E-3</v>
      </c>
      <c r="H242" s="3">
        <f t="shared" si="25"/>
        <v>70.884525502946545</v>
      </c>
      <c r="I242" s="3">
        <f t="shared" si="26"/>
        <v>4.8904860000000001</v>
      </c>
      <c r="J242" s="3" t="e">
        <v>#VALUE!</v>
      </c>
      <c r="K242" s="3" t="e">
        <v>#VALUE!</v>
      </c>
      <c r="L242" s="3">
        <v>43.080674659622026</v>
      </c>
      <c r="M242" s="3">
        <v>6.5350000000000001</v>
      </c>
      <c r="N242" s="3">
        <v>70884.525502946548</v>
      </c>
      <c r="O242" s="3">
        <v>4890.4859999999999</v>
      </c>
      <c r="P242" s="3" t="e">
        <f>E242*(VLOOKUP(B242,Price_data!A$1:B$190,2,FALSE))</f>
        <v>#VALUE!</v>
      </c>
      <c r="Q242" s="3">
        <f>G242*(VLOOKUP(B242,Price_data!A$1:B$190,2,FALSE))</f>
        <v>0.33770869232779999</v>
      </c>
      <c r="R242" s="3">
        <f>I242*(VLOOKUP(B242,Price_data!A$1:B$190,2,FALSE))</f>
        <v>252.72526884581688</v>
      </c>
      <c r="S242" s="4" t="str">
        <f>(VLOOKUP(B242,Price_data!A$1:C$190,3,FALSE))</f>
        <v>WW</v>
      </c>
      <c r="T242" s="2" t="str">
        <f>IF(C242="Total", (VLOOKUP(B242,Recommended_fish_intake!A$4:D$122,4,FALSE)), "NA")</f>
        <v>NA</v>
      </c>
      <c r="U242" s="2" t="str">
        <f t="shared" si="27"/>
        <v>NA</v>
      </c>
    </row>
    <row r="243" spans="1:21" ht="14.25" customHeight="1">
      <c r="A243" s="2" t="s">
        <v>15</v>
      </c>
      <c r="B243" s="2">
        <v>1916</v>
      </c>
      <c r="C243" s="2" t="s">
        <v>20</v>
      </c>
      <c r="D243" s="3" t="e">
        <f t="shared" si="21"/>
        <v>#N/A</v>
      </c>
      <c r="E243" s="3" t="e">
        <f t="shared" si="22"/>
        <v>#N/A</v>
      </c>
      <c r="F243" s="3">
        <f t="shared" si="23"/>
        <v>3.0941373704531596</v>
      </c>
      <c r="G243" s="3">
        <f t="shared" si="24"/>
        <v>7.8951999999999994E-2</v>
      </c>
      <c r="H243" s="3" t="e">
        <f t="shared" si="25"/>
        <v>#VALUE!</v>
      </c>
      <c r="I243" s="3" t="e">
        <f t="shared" si="26"/>
        <v>#VALUE!</v>
      </c>
      <c r="J243" s="3" t="e">
        <v>#N/A</v>
      </c>
      <c r="K243" s="3" t="e">
        <v>#N/A</v>
      </c>
      <c r="L243" s="3">
        <v>3094.1373704531597</v>
      </c>
      <c r="M243" s="3">
        <v>78.951999999999998</v>
      </c>
      <c r="N243" s="3" t="e">
        <v>#VALUE!</v>
      </c>
      <c r="O243" s="3" t="e">
        <v>#VALUE!</v>
      </c>
      <c r="P243" s="3" t="e">
        <f>E243*(VLOOKUP(B243,Price_data!A$1:B$190,2,FALSE))</f>
        <v>#N/A</v>
      </c>
      <c r="Q243" s="3">
        <f>G243*(VLOOKUP(B243,Price_data!A$1:B$190,2,FALSE))</f>
        <v>4.0799964310121597</v>
      </c>
      <c r="R243" s="3" t="e">
        <f>I243*(VLOOKUP(B243,Price_data!A$1:B$190,2,FALSE))</f>
        <v>#VALUE!</v>
      </c>
      <c r="S243" s="4" t="str">
        <f>(VLOOKUP(B243,Price_data!A$1:C$190,3,FALSE))</f>
        <v>WW</v>
      </c>
      <c r="T243" s="2" t="str">
        <f>IF(C243="Total", (VLOOKUP(B243,Recommended_fish_intake!A$4:D$122,4,FALSE)), "NA")</f>
        <v>NA</v>
      </c>
      <c r="U243" s="2" t="str">
        <f t="shared" si="27"/>
        <v>NA</v>
      </c>
    </row>
    <row r="244" spans="1:21" ht="14.25" customHeight="1">
      <c r="A244" s="2" t="s">
        <v>15</v>
      </c>
      <c r="B244" s="2">
        <v>1916</v>
      </c>
      <c r="C244" s="2" t="s">
        <v>25</v>
      </c>
      <c r="D244" s="3" t="e">
        <f t="shared" si="21"/>
        <v>#N/A</v>
      </c>
      <c r="E244" s="3" t="e">
        <f t="shared" si="22"/>
        <v>#N/A</v>
      </c>
      <c r="F244" s="3" t="e">
        <f t="shared" si="23"/>
        <v>#N/A</v>
      </c>
      <c r="G244" s="3" t="e">
        <f t="shared" si="24"/>
        <v>#N/A</v>
      </c>
      <c r="H244" s="3" t="e">
        <f t="shared" si="25"/>
        <v>#N/A</v>
      </c>
      <c r="I244" s="3" t="e">
        <f t="shared" si="26"/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 t="e">
        <v>#N/A</v>
      </c>
      <c r="O244" s="3" t="e">
        <v>#N/A</v>
      </c>
      <c r="P244" s="3" t="e">
        <f>E244*(VLOOKUP(B244,Price_data!A$1:B$190,2,FALSE))</f>
        <v>#N/A</v>
      </c>
      <c r="Q244" s="3" t="e">
        <f>G244*(VLOOKUP(B244,Price_data!A$1:B$190,2,FALSE))</f>
        <v>#N/A</v>
      </c>
      <c r="R244" s="3" t="e">
        <f>I244*(VLOOKUP(B244,Price_data!A$1:B$190,2,FALSE))</f>
        <v>#N/A</v>
      </c>
      <c r="S244" s="4" t="str">
        <f>(VLOOKUP(B244,Price_data!A$1:C$190,3,FALSE))</f>
        <v>WW</v>
      </c>
      <c r="T244" s="2" t="str">
        <f>IF(C244="Total", (VLOOKUP(B244,Recommended_fish_intake!A$4:D$122,4,FALSE)), "NA")</f>
        <v>NA</v>
      </c>
      <c r="U244" s="2" t="str">
        <f t="shared" si="27"/>
        <v>NA</v>
      </c>
    </row>
    <row r="245" spans="1:21" ht="14.25" customHeight="1">
      <c r="A245" s="2" t="s">
        <v>15</v>
      </c>
      <c r="B245" s="2">
        <v>1916</v>
      </c>
      <c r="C245" s="2" t="s">
        <v>24</v>
      </c>
      <c r="D245" s="3" t="e">
        <f t="shared" si="21"/>
        <v>#N/A</v>
      </c>
      <c r="E245" s="3" t="e">
        <f t="shared" si="22"/>
        <v>#N/A</v>
      </c>
      <c r="F245" s="3" t="e">
        <f t="shared" si="23"/>
        <v>#N/A</v>
      </c>
      <c r="G245" s="3" t="e">
        <f t="shared" si="24"/>
        <v>#N/A</v>
      </c>
      <c r="H245" s="3" t="e">
        <f t="shared" si="25"/>
        <v>#N/A</v>
      </c>
      <c r="I245" s="3" t="e">
        <f t="shared" si="26"/>
        <v>#N/A</v>
      </c>
      <c r="J245" s="3" t="e">
        <v>#N/A</v>
      </c>
      <c r="K245" s="3" t="e">
        <v>#N/A</v>
      </c>
      <c r="L245" s="3" t="e">
        <v>#N/A</v>
      </c>
      <c r="M245" s="3" t="e">
        <v>#N/A</v>
      </c>
      <c r="N245" s="3" t="e">
        <v>#N/A</v>
      </c>
      <c r="O245" s="3" t="e">
        <v>#N/A</v>
      </c>
      <c r="P245" s="3" t="e">
        <f>E245*(VLOOKUP(B245,Price_data!A$1:B$190,2,FALSE))</f>
        <v>#N/A</v>
      </c>
      <c r="Q245" s="3" t="e">
        <f>G245*(VLOOKUP(B245,Price_data!A$1:B$190,2,FALSE))</f>
        <v>#N/A</v>
      </c>
      <c r="R245" s="3" t="e">
        <f>I245*(VLOOKUP(B245,Price_data!A$1:B$190,2,FALSE))</f>
        <v>#N/A</v>
      </c>
      <c r="S245" s="4" t="str">
        <f>(VLOOKUP(B245,Price_data!A$1:C$190,3,FALSE))</f>
        <v>WW</v>
      </c>
      <c r="T245" s="2" t="str">
        <f>IF(C245="Total", (VLOOKUP(B245,Recommended_fish_intake!A$4:D$122,4,FALSE)), "NA")</f>
        <v>NA</v>
      </c>
      <c r="U245" s="2" t="str">
        <f t="shared" si="27"/>
        <v>NA</v>
      </c>
    </row>
    <row r="246" spans="1:21" ht="14.25" customHeight="1">
      <c r="A246" s="2" t="s">
        <v>15</v>
      </c>
      <c r="B246" s="2">
        <v>1916</v>
      </c>
      <c r="C246" s="2" t="s">
        <v>30</v>
      </c>
      <c r="D246" s="3" t="e">
        <f t="shared" si="21"/>
        <v>#N/A</v>
      </c>
      <c r="E246" s="3" t="e">
        <f t="shared" si="22"/>
        <v>#N/A</v>
      </c>
      <c r="F246" s="3" t="e">
        <f t="shared" si="23"/>
        <v>#VALUE!</v>
      </c>
      <c r="G246" s="3" t="e">
        <f t="shared" si="24"/>
        <v>#VALUE!</v>
      </c>
      <c r="H246" s="3" t="e">
        <f t="shared" si="25"/>
        <v>#VALUE!</v>
      </c>
      <c r="I246" s="3" t="e">
        <f t="shared" si="26"/>
        <v>#VALUE!</v>
      </c>
      <c r="J246" s="3" t="e">
        <v>#N/A</v>
      </c>
      <c r="K246" s="3" t="e">
        <v>#N/A</v>
      </c>
      <c r="L246" s="3" t="e">
        <v>#VALUE!</v>
      </c>
      <c r="M246" s="3" t="e">
        <v>#VALUE!</v>
      </c>
      <c r="N246" s="3" t="e">
        <v>#VALUE!</v>
      </c>
      <c r="O246" s="3" t="e">
        <v>#VALUE!</v>
      </c>
      <c r="P246" s="3" t="e">
        <f>E246*(VLOOKUP(B246,Price_data!A$1:B$190,2,FALSE))</f>
        <v>#N/A</v>
      </c>
      <c r="Q246" s="3" t="e">
        <f>G246*(VLOOKUP(B246,Price_data!A$1:B$190,2,FALSE))</f>
        <v>#VALUE!</v>
      </c>
      <c r="R246" s="3" t="e">
        <f>I246*(VLOOKUP(B246,Price_data!A$1:B$190,2,FALSE))</f>
        <v>#VALUE!</v>
      </c>
      <c r="S246" s="4" t="str">
        <f>(VLOOKUP(B246,Price_data!A$1:C$190,3,FALSE))</f>
        <v>WW</v>
      </c>
      <c r="T246" s="2" t="str">
        <f>IF(C246="Total", (VLOOKUP(B246,Recommended_fish_intake!A$4:D$122,4,FALSE)), "NA")</f>
        <v>NA</v>
      </c>
      <c r="U246" s="2" t="str">
        <f t="shared" si="27"/>
        <v>NA</v>
      </c>
    </row>
    <row r="247" spans="1:21" ht="14.25" customHeight="1">
      <c r="A247" s="2" t="s">
        <v>15</v>
      </c>
      <c r="B247" s="2">
        <v>1917</v>
      </c>
      <c r="C247" s="2" t="s">
        <v>16</v>
      </c>
      <c r="D247" s="3">
        <f t="shared" si="21"/>
        <v>395.96301564722614</v>
      </c>
      <c r="E247" s="3">
        <f t="shared" si="22"/>
        <v>13.896638000000001</v>
      </c>
      <c r="F247" s="3">
        <f t="shared" si="23"/>
        <v>28.098557203820359</v>
      </c>
      <c r="G247" s="3">
        <f t="shared" si="24"/>
        <v>1.0473699999999999</v>
      </c>
      <c r="H247" s="3">
        <f t="shared" si="25"/>
        <v>169.64336516968095</v>
      </c>
      <c r="I247" s="3">
        <f t="shared" si="26"/>
        <v>9.6826730000000012</v>
      </c>
      <c r="J247" s="3">
        <v>395963.01564722613</v>
      </c>
      <c r="K247" s="3">
        <v>13896.638000000001</v>
      </c>
      <c r="L247" s="3">
        <v>28098.557203820361</v>
      </c>
      <c r="M247" s="3">
        <v>1047.3699999999999</v>
      </c>
      <c r="N247" s="3">
        <v>169643.36516968094</v>
      </c>
      <c r="O247" s="3">
        <v>9682.6730000000007</v>
      </c>
      <c r="P247" s="3">
        <f>E247*(VLOOKUP(B247,Price_data!A$1:B$190,2,FALSE))</f>
        <v>572.74609872514736</v>
      </c>
      <c r="Q247" s="3">
        <f>G247*(VLOOKUP(B247,Price_data!A$1:B$190,2,FALSE))</f>
        <v>43.167065402564091</v>
      </c>
      <c r="R247" s="3">
        <f>I247*(VLOOKUP(B247,Price_data!A$1:B$190,2,FALSE))</f>
        <v>399.06869459946495</v>
      </c>
      <c r="S247" s="4" t="str">
        <f>(VLOOKUP(B247,Price_data!A$1:C$190,3,FALSE))</f>
        <v>WW</v>
      </c>
      <c r="T247" s="2">
        <f>IF(C247="Total", (VLOOKUP(B247,Recommended_fish_intake!A$4:D$122,4,FALSE)), "NA")</f>
        <v>545.44326768446251</v>
      </c>
      <c r="U247" s="2" t="str">
        <f t="shared" si="27"/>
        <v>NA</v>
      </c>
    </row>
    <row r="248" spans="1:21" ht="14.25" customHeight="1">
      <c r="A248" s="2" t="s">
        <v>18</v>
      </c>
      <c r="B248" s="2">
        <v>1917</v>
      </c>
      <c r="C248" s="2" t="s">
        <v>19</v>
      </c>
      <c r="D248" s="3">
        <f t="shared" si="21"/>
        <v>58.028754318227996</v>
      </c>
      <c r="E248" s="3">
        <f t="shared" si="22"/>
        <v>1.3025180000000001</v>
      </c>
      <c r="F248" s="3" t="e">
        <f t="shared" si="23"/>
        <v>#N/A</v>
      </c>
      <c r="G248" s="3" t="e">
        <f t="shared" si="24"/>
        <v>#N/A</v>
      </c>
      <c r="H248" s="3" t="e">
        <f t="shared" si="25"/>
        <v>#N/A</v>
      </c>
      <c r="I248" s="3" t="e">
        <f t="shared" si="26"/>
        <v>#N/A</v>
      </c>
      <c r="J248" s="3">
        <v>58028.754318227999</v>
      </c>
      <c r="K248" s="3">
        <v>1302.518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>
        <f>E248*(VLOOKUP(B248,Price_data!A$1:B$190,2,FALSE))</f>
        <v>53.682919783855738</v>
      </c>
      <c r="Q248" s="3" t="e">
        <f>G248*(VLOOKUP(B248,Price_data!A$1:B$190,2,FALSE))</f>
        <v>#N/A</v>
      </c>
      <c r="R248" s="3" t="e">
        <f>I248*(VLOOKUP(B248,Price_data!A$1:B$190,2,FALSE))</f>
        <v>#N/A</v>
      </c>
      <c r="S248" s="4" t="str">
        <f>(VLOOKUP(B248,Price_data!A$1:C$190,3,FALSE))</f>
        <v>WW</v>
      </c>
      <c r="T248" s="2" t="str">
        <f>IF(C248="Total", (VLOOKUP(B248,Recommended_fish_intake!A$4:D$122,4,FALSE)), "NA")</f>
        <v>NA</v>
      </c>
      <c r="U248" s="2" t="str">
        <f t="shared" si="27"/>
        <v>NA</v>
      </c>
    </row>
    <row r="249" spans="1:21" ht="14.25" customHeight="1">
      <c r="A249" s="2" t="s">
        <v>18</v>
      </c>
      <c r="B249" s="2">
        <v>1917</v>
      </c>
      <c r="C249" s="2" t="s">
        <v>20</v>
      </c>
      <c r="D249" s="3">
        <f t="shared" si="21"/>
        <v>3.4553444421865476</v>
      </c>
      <c r="E249" s="3">
        <f t="shared" si="22"/>
        <v>0.116725</v>
      </c>
      <c r="F249" s="3" t="e">
        <f t="shared" si="23"/>
        <v>#N/A</v>
      </c>
      <c r="G249" s="3" t="e">
        <f t="shared" si="24"/>
        <v>#N/A</v>
      </c>
      <c r="H249" s="3" t="e">
        <f t="shared" si="25"/>
        <v>#N/A</v>
      </c>
      <c r="I249" s="3" t="e">
        <f t="shared" si="26"/>
        <v>#N/A</v>
      </c>
      <c r="J249" s="3">
        <v>3455.3444421865474</v>
      </c>
      <c r="K249" s="3">
        <v>116.72499999999999</v>
      </c>
      <c r="L249" s="3" t="e">
        <v>#N/A</v>
      </c>
      <c r="M249" s="3" t="e">
        <v>#N/A</v>
      </c>
      <c r="N249" s="3" t="e">
        <v>#N/A</v>
      </c>
      <c r="O249" s="3" t="e">
        <v>#N/A</v>
      </c>
      <c r="P249" s="3">
        <f>E249*(VLOOKUP(B249,Price_data!A$1:B$190,2,FALSE))</f>
        <v>4.8107886507292497</v>
      </c>
      <c r="Q249" s="3" t="e">
        <f>G249*(VLOOKUP(B249,Price_data!A$1:B$190,2,FALSE))</f>
        <v>#N/A</v>
      </c>
      <c r="R249" s="3" t="e">
        <f>I249*(VLOOKUP(B249,Price_data!A$1:B$190,2,FALSE))</f>
        <v>#N/A</v>
      </c>
      <c r="S249" s="4" t="str">
        <f>(VLOOKUP(B249,Price_data!A$1:C$190,3,FALSE))</f>
        <v>WW</v>
      </c>
      <c r="T249" s="2" t="str">
        <f>IF(C249="Total", (VLOOKUP(B249,Recommended_fish_intake!A$4:D$122,4,FALSE)), "NA")</f>
        <v>NA</v>
      </c>
      <c r="U249" s="2" t="str">
        <f t="shared" si="27"/>
        <v>NA</v>
      </c>
    </row>
    <row r="250" spans="1:21" ht="14.25" customHeight="1">
      <c r="A250" s="2" t="s">
        <v>18</v>
      </c>
      <c r="B250" s="2">
        <v>1917</v>
      </c>
      <c r="C250" s="2" t="s">
        <v>21</v>
      </c>
      <c r="D250" s="3">
        <f t="shared" si="21"/>
        <v>3.4184616947774837</v>
      </c>
      <c r="E250" s="3">
        <f t="shared" si="22"/>
        <v>3.5200000000000002E-2</v>
      </c>
      <c r="F250" s="3" t="e">
        <f t="shared" si="23"/>
        <v>#N/A</v>
      </c>
      <c r="G250" s="3" t="e">
        <f t="shared" si="24"/>
        <v>#N/A</v>
      </c>
      <c r="H250" s="3" t="e">
        <f t="shared" si="25"/>
        <v>#N/A</v>
      </c>
      <c r="I250" s="3" t="e">
        <f t="shared" si="26"/>
        <v>#N/A</v>
      </c>
      <c r="J250" s="3">
        <v>3418.4616947774839</v>
      </c>
      <c r="K250" s="3">
        <v>35.200000000000003</v>
      </c>
      <c r="L250" s="3" t="e">
        <v>#N/A</v>
      </c>
      <c r="M250" s="3" t="e">
        <v>#N/A</v>
      </c>
      <c r="N250" s="3" t="e">
        <v>#N/A</v>
      </c>
      <c r="O250" s="3" t="e">
        <v>#N/A</v>
      </c>
      <c r="P250" s="3">
        <f>E250*(VLOOKUP(B250,Price_data!A$1:B$190,2,FALSE))</f>
        <v>1.4507582823360001</v>
      </c>
      <c r="Q250" s="3" t="e">
        <f>G250*(VLOOKUP(B250,Price_data!A$1:B$190,2,FALSE))</f>
        <v>#N/A</v>
      </c>
      <c r="R250" s="3" t="e">
        <f>I250*(VLOOKUP(B250,Price_data!A$1:B$190,2,FALSE))</f>
        <v>#N/A</v>
      </c>
      <c r="S250" s="4" t="str">
        <f>(VLOOKUP(B250,Price_data!A$1:C$190,3,FALSE))</f>
        <v>WW</v>
      </c>
      <c r="T250" s="2" t="str">
        <f>IF(C250="Total", (VLOOKUP(B250,Recommended_fish_intake!A$4:D$122,4,FALSE)), "NA")</f>
        <v>NA</v>
      </c>
      <c r="U250" s="2" t="str">
        <f t="shared" si="27"/>
        <v>NA</v>
      </c>
    </row>
    <row r="251" spans="1:21" ht="14.25" customHeight="1">
      <c r="A251" s="2" t="s">
        <v>18</v>
      </c>
      <c r="B251" s="2">
        <v>1917</v>
      </c>
      <c r="C251" s="2" t="s">
        <v>22</v>
      </c>
      <c r="D251" s="3">
        <f t="shared" si="21"/>
        <v>43.771438731965048</v>
      </c>
      <c r="E251" s="3">
        <f t="shared" si="22"/>
        <v>2.2933629999999998</v>
      </c>
      <c r="F251" s="3" t="e">
        <f t="shared" si="23"/>
        <v>#N/A</v>
      </c>
      <c r="G251" s="3" t="e">
        <f t="shared" si="24"/>
        <v>#N/A</v>
      </c>
      <c r="H251" s="3" t="e">
        <f t="shared" si="25"/>
        <v>#N/A</v>
      </c>
      <c r="I251" s="3" t="e">
        <f t="shared" si="26"/>
        <v>#N/A</v>
      </c>
      <c r="J251" s="3">
        <v>43771.438731965049</v>
      </c>
      <c r="K251" s="3">
        <v>2293.3629999999998</v>
      </c>
      <c r="L251" s="3" t="e">
        <v>#N/A</v>
      </c>
      <c r="M251" s="3" t="e">
        <v>#N/A</v>
      </c>
      <c r="N251" s="3" t="e">
        <v>#N/A</v>
      </c>
      <c r="O251" s="3" t="e">
        <v>#N/A</v>
      </c>
      <c r="P251" s="3">
        <f>E251*(VLOOKUP(B251,Price_data!A$1:B$190,2,FALSE))</f>
        <v>94.520322916276584</v>
      </c>
      <c r="Q251" s="3" t="e">
        <f>G251*(VLOOKUP(B251,Price_data!A$1:B$190,2,FALSE))</f>
        <v>#N/A</v>
      </c>
      <c r="R251" s="3" t="e">
        <f>I251*(VLOOKUP(B251,Price_data!A$1:B$190,2,FALSE))</f>
        <v>#N/A</v>
      </c>
      <c r="S251" s="4" t="str">
        <f>(VLOOKUP(B251,Price_data!A$1:C$190,3,FALSE))</f>
        <v>WW</v>
      </c>
      <c r="T251" s="2" t="str">
        <f>IF(C251="Total", (VLOOKUP(B251,Recommended_fish_intake!A$4:D$122,4,FALSE)), "NA")</f>
        <v>NA</v>
      </c>
      <c r="U251" s="2" t="str">
        <f t="shared" si="27"/>
        <v>NA</v>
      </c>
    </row>
    <row r="252" spans="1:21" ht="14.25" customHeight="1">
      <c r="A252" s="2" t="s">
        <v>18</v>
      </c>
      <c r="B252" s="2">
        <v>1917</v>
      </c>
      <c r="C252" s="2" t="s">
        <v>23</v>
      </c>
      <c r="D252" s="3">
        <f t="shared" si="21"/>
        <v>44.657335907335906</v>
      </c>
      <c r="E252" s="3">
        <f t="shared" si="22"/>
        <v>2.345666</v>
      </c>
      <c r="F252" s="3" t="e">
        <f t="shared" si="23"/>
        <v>#N/A</v>
      </c>
      <c r="G252" s="3" t="e">
        <f t="shared" si="24"/>
        <v>#N/A</v>
      </c>
      <c r="H252" s="3" t="e">
        <f t="shared" si="25"/>
        <v>#N/A</v>
      </c>
      <c r="I252" s="3" t="e">
        <f t="shared" si="26"/>
        <v>#N/A</v>
      </c>
      <c r="J252" s="3">
        <v>44657.335907335902</v>
      </c>
      <c r="K252" s="3">
        <v>2345.6660000000002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>
        <f>E252*(VLOOKUP(B252,Price_data!A$1:B$190,2,FALSE))</f>
        <v>96.675976621987374</v>
      </c>
      <c r="Q252" s="3" t="e">
        <f>G252*(VLOOKUP(B252,Price_data!A$1:B$190,2,FALSE))</f>
        <v>#N/A</v>
      </c>
      <c r="R252" s="3" t="e">
        <f>I252*(VLOOKUP(B252,Price_data!A$1:B$190,2,FALSE))</f>
        <v>#N/A</v>
      </c>
      <c r="S252" s="4" t="str">
        <f>(VLOOKUP(B252,Price_data!A$1:C$190,3,FALSE))</f>
        <v>WW</v>
      </c>
      <c r="T252" s="2" t="str">
        <f>IF(C252="Total", (VLOOKUP(B252,Recommended_fish_intake!A$4:D$122,4,FALSE)), "NA")</f>
        <v>NA</v>
      </c>
      <c r="U252" s="2" t="str">
        <f t="shared" si="27"/>
        <v>NA</v>
      </c>
    </row>
    <row r="253" spans="1:21" ht="14.25" customHeight="1">
      <c r="A253" s="2" t="s">
        <v>18</v>
      </c>
      <c r="B253" s="2">
        <v>1917</v>
      </c>
      <c r="C253" s="2" t="s">
        <v>24</v>
      </c>
      <c r="D253" s="3">
        <f t="shared" si="21"/>
        <v>6.9139402560455192</v>
      </c>
      <c r="E253" s="3">
        <f t="shared" si="22"/>
        <v>0.32660199999999995</v>
      </c>
      <c r="F253" s="3" t="e">
        <f t="shared" si="23"/>
        <v>#N/A</v>
      </c>
      <c r="G253" s="3" t="e">
        <f t="shared" si="24"/>
        <v>#N/A</v>
      </c>
      <c r="H253" s="3" t="e">
        <f t="shared" si="25"/>
        <v>#N/A</v>
      </c>
      <c r="I253" s="3" t="e">
        <f t="shared" si="26"/>
        <v>#N/A</v>
      </c>
      <c r="J253" s="3">
        <v>6913.9402560455192</v>
      </c>
      <c r="K253" s="3">
        <v>326.60199999999998</v>
      </c>
      <c r="L253" s="3" t="e">
        <v>#N/A</v>
      </c>
      <c r="M253" s="3" t="e">
        <v>#N/A</v>
      </c>
      <c r="N253" s="3" t="e">
        <v>#N/A</v>
      </c>
      <c r="O253" s="3" t="e">
        <v>#N/A</v>
      </c>
      <c r="P253" s="3">
        <f>E253*(VLOOKUP(B253,Price_data!A$1:B$190,2,FALSE))</f>
        <v>13.460811264985857</v>
      </c>
      <c r="Q253" s="3" t="e">
        <f>G253*(VLOOKUP(B253,Price_data!A$1:B$190,2,FALSE))</f>
        <v>#N/A</v>
      </c>
      <c r="R253" s="3" t="e">
        <f>I253*(VLOOKUP(B253,Price_data!A$1:B$190,2,FALSE))</f>
        <v>#N/A</v>
      </c>
      <c r="S253" s="4" t="str">
        <f>(VLOOKUP(B253,Price_data!A$1:C$190,3,FALSE))</f>
        <v>WW</v>
      </c>
      <c r="T253" s="2" t="str">
        <f>IF(C253="Total", (VLOOKUP(B253,Recommended_fish_intake!A$4:D$122,4,FALSE)), "NA")</f>
        <v>NA</v>
      </c>
      <c r="U253" s="2" t="str">
        <f t="shared" si="27"/>
        <v>NA</v>
      </c>
    </row>
    <row r="254" spans="1:21" ht="14.25" customHeight="1">
      <c r="A254" s="2" t="s">
        <v>18</v>
      </c>
      <c r="B254" s="2">
        <v>1917</v>
      </c>
      <c r="C254" s="2" t="s">
        <v>25</v>
      </c>
      <c r="D254" s="3">
        <f t="shared" si="21"/>
        <v>9.0259601706970116</v>
      </c>
      <c r="E254" s="3">
        <f t="shared" si="22"/>
        <v>0.832569</v>
      </c>
      <c r="F254" s="3" t="e">
        <f t="shared" si="23"/>
        <v>#N/A</v>
      </c>
      <c r="G254" s="3" t="e">
        <f t="shared" si="24"/>
        <v>#N/A</v>
      </c>
      <c r="H254" s="3" t="e">
        <f t="shared" si="25"/>
        <v>#N/A</v>
      </c>
      <c r="I254" s="3" t="e">
        <f t="shared" si="26"/>
        <v>#N/A</v>
      </c>
      <c r="J254" s="3">
        <v>9025.9601706970116</v>
      </c>
      <c r="K254" s="3">
        <v>832.56899999999996</v>
      </c>
      <c r="L254" s="3" t="e">
        <v>#N/A</v>
      </c>
      <c r="M254" s="3" t="e">
        <v>#N/A</v>
      </c>
      <c r="N254" s="3" t="e">
        <v>#N/A</v>
      </c>
      <c r="O254" s="3" t="e">
        <v>#N/A</v>
      </c>
      <c r="P254" s="3">
        <f>E254*(VLOOKUP(B254,Price_data!A$1:B$190,2,FALSE))</f>
        <v>34.314101487676169</v>
      </c>
      <c r="Q254" s="3" t="e">
        <f>G254*(VLOOKUP(B254,Price_data!A$1:B$190,2,FALSE))</f>
        <v>#N/A</v>
      </c>
      <c r="R254" s="3" t="e">
        <f>I254*(VLOOKUP(B254,Price_data!A$1:B$190,2,FALSE))</f>
        <v>#N/A</v>
      </c>
      <c r="S254" s="4" t="str">
        <f>(VLOOKUP(B254,Price_data!A$1:C$190,3,FALSE))</f>
        <v>WW</v>
      </c>
      <c r="T254" s="2" t="str">
        <f>IF(C254="Total", (VLOOKUP(B254,Recommended_fish_intake!A$4:D$122,4,FALSE)), "NA")</f>
        <v>NA</v>
      </c>
      <c r="U254" s="2" t="str">
        <f t="shared" si="27"/>
        <v>NA</v>
      </c>
    </row>
    <row r="255" spans="1:21" ht="14.25" customHeight="1">
      <c r="A255" s="2" t="s">
        <v>15</v>
      </c>
      <c r="B255" s="2">
        <v>1917</v>
      </c>
      <c r="C255" s="2" t="s">
        <v>22</v>
      </c>
      <c r="D255" s="3" t="e">
        <f t="shared" si="21"/>
        <v>#N/A</v>
      </c>
      <c r="E255" s="3" t="e">
        <f t="shared" si="22"/>
        <v>#N/A</v>
      </c>
      <c r="F255" s="3">
        <f t="shared" si="23"/>
        <v>6.2660028449502132</v>
      </c>
      <c r="G255" s="3">
        <f t="shared" si="24"/>
        <v>0.39135000000000003</v>
      </c>
      <c r="H255" s="3">
        <f t="shared" si="25"/>
        <v>0</v>
      </c>
      <c r="I255" s="3">
        <f t="shared" si="26"/>
        <v>0</v>
      </c>
      <c r="J255" s="3" t="e">
        <v>#N/A</v>
      </c>
      <c r="K255" s="3" t="e">
        <v>#N/A</v>
      </c>
      <c r="L255" s="3">
        <v>6266.0028449502133</v>
      </c>
      <c r="M255" s="3">
        <v>391.35</v>
      </c>
      <c r="N255" s="3">
        <v>0</v>
      </c>
      <c r="O255" s="3">
        <v>0</v>
      </c>
      <c r="P255" s="3" t="e">
        <f>E255*(VLOOKUP(B255,Price_data!A$1:B$190,2,FALSE))</f>
        <v>#N/A</v>
      </c>
      <c r="Q255" s="3">
        <f>G255*(VLOOKUP(B255,Price_data!A$1:B$190,2,FALSE))</f>
        <v>16.129382210005499</v>
      </c>
      <c r="R255" s="3">
        <f>I255*(VLOOKUP(B255,Price_data!A$1:B$190,2,FALSE))</f>
        <v>0</v>
      </c>
      <c r="S255" s="4" t="str">
        <f>(VLOOKUP(B255,Price_data!A$1:C$190,3,FALSE))</f>
        <v>WW</v>
      </c>
      <c r="T255" s="2" t="str">
        <f>IF(C255="Total", (VLOOKUP(B255,Recommended_fish_intake!A$4:D$122,4,FALSE)), "NA")</f>
        <v>NA</v>
      </c>
      <c r="U255" s="2" t="str">
        <f t="shared" si="27"/>
        <v>NA</v>
      </c>
    </row>
    <row r="256" spans="1:21" ht="14.25" customHeight="1">
      <c r="A256" s="2" t="s">
        <v>15</v>
      </c>
      <c r="B256" s="2">
        <v>1917</v>
      </c>
      <c r="C256" s="2" t="s">
        <v>23</v>
      </c>
      <c r="D256" s="3" t="e">
        <f t="shared" si="21"/>
        <v>#N/A</v>
      </c>
      <c r="E256" s="3" t="e">
        <f t="shared" si="22"/>
        <v>#N/A</v>
      </c>
      <c r="F256" s="3">
        <f t="shared" si="23"/>
        <v>0.18375330217435479</v>
      </c>
      <c r="G256" s="3">
        <f t="shared" si="24"/>
        <v>1.021E-2</v>
      </c>
      <c r="H256" s="3" t="e">
        <f t="shared" si="25"/>
        <v>#VALUE!</v>
      </c>
      <c r="I256" s="3" t="e">
        <f t="shared" si="26"/>
        <v>#VALUE!</v>
      </c>
      <c r="J256" s="3" t="e">
        <v>#N/A</v>
      </c>
      <c r="K256" s="3" t="e">
        <v>#N/A</v>
      </c>
      <c r="L256" s="3">
        <v>183.75330217435479</v>
      </c>
      <c r="M256" s="3">
        <v>10.210000000000001</v>
      </c>
      <c r="N256" s="3" t="e">
        <v>#VALUE!</v>
      </c>
      <c r="O256" s="3" t="e">
        <v>#VALUE!</v>
      </c>
      <c r="P256" s="3" t="e">
        <f>E256*(VLOOKUP(B256,Price_data!A$1:B$190,2,FALSE))</f>
        <v>#N/A</v>
      </c>
      <c r="Q256" s="3">
        <f>G256*(VLOOKUP(B256,Price_data!A$1:B$190,2,FALSE))</f>
        <v>0.42080233132529998</v>
      </c>
      <c r="R256" s="3" t="e">
        <f>I256*(VLOOKUP(B256,Price_data!A$1:B$190,2,FALSE))</f>
        <v>#VALUE!</v>
      </c>
      <c r="S256" s="4" t="str">
        <f>(VLOOKUP(B256,Price_data!A$1:C$190,3,FALSE))</f>
        <v>WW</v>
      </c>
      <c r="T256" s="2" t="str">
        <f>IF(C256="Total", (VLOOKUP(B256,Recommended_fish_intake!A$4:D$122,4,FALSE)), "NA")</f>
        <v>NA</v>
      </c>
      <c r="U256" s="2" t="str">
        <f t="shared" si="27"/>
        <v>NA</v>
      </c>
    </row>
    <row r="257" spans="1:21" ht="14.25" customHeight="1">
      <c r="A257" s="2" t="s">
        <v>15</v>
      </c>
      <c r="B257" s="2">
        <v>1917</v>
      </c>
      <c r="C257" s="2" t="s">
        <v>19</v>
      </c>
      <c r="D257" s="3" t="e">
        <f t="shared" si="21"/>
        <v>#N/A</v>
      </c>
      <c r="E257" s="3" t="e">
        <f t="shared" si="22"/>
        <v>#N/A</v>
      </c>
      <c r="F257" s="3">
        <f t="shared" si="23"/>
        <v>16.042521845153423</v>
      </c>
      <c r="G257" s="3">
        <f t="shared" si="24"/>
        <v>0.39625199999999999</v>
      </c>
      <c r="H257" s="3">
        <f t="shared" si="25"/>
        <v>11.700010160536475</v>
      </c>
      <c r="I257" s="3">
        <f t="shared" si="26"/>
        <v>0.31056299999999998</v>
      </c>
      <c r="J257" s="3" t="e">
        <v>#N/A</v>
      </c>
      <c r="K257" s="3" t="e">
        <v>#N/A</v>
      </c>
      <c r="L257" s="3">
        <v>16042.521845153424</v>
      </c>
      <c r="M257" s="3">
        <v>396.25200000000001</v>
      </c>
      <c r="N257" s="3">
        <v>11700.010160536476</v>
      </c>
      <c r="O257" s="3">
        <v>310.56299999999999</v>
      </c>
      <c r="P257" s="3" t="e">
        <f>E257*(VLOOKUP(B257,Price_data!A$1:B$190,2,FALSE))</f>
        <v>#N/A</v>
      </c>
      <c r="Q257" s="3">
        <f>G257*(VLOOKUP(B257,Price_data!A$1:B$190,2,FALSE))</f>
        <v>16.33141678671036</v>
      </c>
      <c r="R257" s="3">
        <f>I257*(VLOOKUP(B257,Price_data!A$1:B$190,2,FALSE))</f>
        <v>12.799768307872588</v>
      </c>
      <c r="S257" s="4" t="str">
        <f>(VLOOKUP(B257,Price_data!A$1:C$190,3,FALSE))</f>
        <v>WW</v>
      </c>
      <c r="T257" s="2" t="str">
        <f>IF(C257="Total", (VLOOKUP(B257,Recommended_fish_intake!A$4:D$122,4,FALSE)), "NA")</f>
        <v>NA</v>
      </c>
      <c r="U257" s="2" t="str">
        <f t="shared" si="27"/>
        <v>NA</v>
      </c>
    </row>
    <row r="258" spans="1:21" ht="14.25" customHeight="1">
      <c r="A258" s="2" t="s">
        <v>15</v>
      </c>
      <c r="B258" s="2">
        <v>1917</v>
      </c>
      <c r="C258" s="2" t="s">
        <v>28</v>
      </c>
      <c r="D258" s="3" t="e">
        <f t="shared" ref="D258:D321" si="28">IF(J258="", NA(), J258/1000)</f>
        <v>#VALUE!</v>
      </c>
      <c r="E258" s="3" t="e">
        <f t="shared" ref="E258:E321" si="29">IF(K258="", NA(), K258/1000)</f>
        <v>#VALUE!</v>
      </c>
      <c r="F258" s="3">
        <f t="shared" ref="F258:F321" si="30">IF(L258="", NA(), L258/1000)</f>
        <v>2.1387929282666127E-2</v>
      </c>
      <c r="G258" s="3">
        <f t="shared" ref="G258:G321" si="31">IF(M258="", NA(), M258/1000)</f>
        <v>1.2350000000000002E-3</v>
      </c>
      <c r="H258" s="3">
        <f t="shared" ref="H258:H321" si="32">IF(N258="", NA(), N258/1000)</f>
        <v>2.0715809794757161</v>
      </c>
      <c r="I258" s="3">
        <f t="shared" ref="I258:I321" si="33">IF(O258="", NA(), O258/1000)</f>
        <v>0.292217</v>
      </c>
      <c r="J258" s="3" t="e">
        <v>#VALUE!</v>
      </c>
      <c r="K258" s="3" t="e">
        <v>#VALUE!</v>
      </c>
      <c r="L258" s="3">
        <v>21.387929282666125</v>
      </c>
      <c r="M258" s="3">
        <v>1.2350000000000001</v>
      </c>
      <c r="N258" s="3">
        <v>2071.580979475716</v>
      </c>
      <c r="O258" s="3">
        <v>292.21699999999998</v>
      </c>
      <c r="P258" s="3" t="e">
        <f>E258*(VLOOKUP(B258,Price_data!A$1:B$190,2,FALSE))</f>
        <v>#VALUE!</v>
      </c>
      <c r="Q258" s="3">
        <f>G258*(VLOOKUP(B258,Price_data!A$1:B$190,2,FALSE))</f>
        <v>5.0900184053550006E-2</v>
      </c>
      <c r="R258" s="3">
        <f>I258*(VLOOKUP(B258,Price_data!A$1:B$190,2,FALSE))</f>
        <v>12.043642982652809</v>
      </c>
      <c r="S258" s="4" t="str">
        <f>(VLOOKUP(B258,Price_data!A$1:C$190,3,FALSE))</f>
        <v>WW</v>
      </c>
      <c r="T258" s="2" t="str">
        <f>IF(C258="Total", (VLOOKUP(B258,Recommended_fish_intake!A$4:D$122,4,FALSE)), "NA")</f>
        <v>NA</v>
      </c>
      <c r="U258" s="2" t="e">
        <f t="shared" ref="U258:U321" si="34">IF(C258="Wet fish", D258*0.49, IF(C258="Shellfish", D258*0.28, "NA"))</f>
        <v>#VALUE!</v>
      </c>
    </row>
    <row r="259" spans="1:21" ht="14.25" customHeight="1">
      <c r="A259" s="2" t="s">
        <v>15</v>
      </c>
      <c r="B259" s="2">
        <v>1917</v>
      </c>
      <c r="C259" s="2" t="s">
        <v>29</v>
      </c>
      <c r="D259" s="3" t="e">
        <f t="shared" si="28"/>
        <v>#VALUE!</v>
      </c>
      <c r="E259" s="3" t="e">
        <f t="shared" si="29"/>
        <v>#VALUE!</v>
      </c>
      <c r="F259" s="3">
        <f t="shared" si="30"/>
        <v>2.2657996342206867E-2</v>
      </c>
      <c r="G259" s="3">
        <f t="shared" si="31"/>
        <v>2.941E-3</v>
      </c>
      <c r="H259" s="3">
        <f t="shared" si="32"/>
        <v>32.808118268644584</v>
      </c>
      <c r="I259" s="3">
        <f t="shared" si="33"/>
        <v>3.0188449999999998</v>
      </c>
      <c r="J259" s="3" t="e">
        <v>#VALUE!</v>
      </c>
      <c r="K259" s="3" t="e">
        <v>#VALUE!</v>
      </c>
      <c r="L259" s="3">
        <v>22.657996342206868</v>
      </c>
      <c r="M259" s="3">
        <v>2.9409999999999998</v>
      </c>
      <c r="N259" s="3">
        <v>32808.118268644583</v>
      </c>
      <c r="O259" s="3">
        <v>3018.8449999999998</v>
      </c>
      <c r="P259" s="3" t="e">
        <f>E259*(VLOOKUP(B259,Price_data!A$1:B$190,2,FALSE))</f>
        <v>#VALUE!</v>
      </c>
      <c r="Q259" s="3">
        <f>G259*(VLOOKUP(B259,Price_data!A$1:B$190,2,FALSE))</f>
        <v>0.12121250307813</v>
      </c>
      <c r="R259" s="3">
        <f>I259*(VLOOKUP(B259,Price_data!A$1:B$190,2,FALSE))</f>
        <v>124.42086326246084</v>
      </c>
      <c r="S259" s="4" t="str">
        <f>(VLOOKUP(B259,Price_data!A$1:C$190,3,FALSE))</f>
        <v>WW</v>
      </c>
      <c r="T259" s="2" t="str">
        <f>IF(C259="Total", (VLOOKUP(B259,Recommended_fish_intake!A$4:D$122,4,FALSE)), "NA")</f>
        <v>NA</v>
      </c>
      <c r="U259" s="2" t="str">
        <f t="shared" si="34"/>
        <v>NA</v>
      </c>
    </row>
    <row r="260" spans="1:21" ht="14.25" customHeight="1">
      <c r="A260" s="2" t="s">
        <v>15</v>
      </c>
      <c r="B260" s="2">
        <v>1917</v>
      </c>
      <c r="C260" s="2" t="s">
        <v>20</v>
      </c>
      <c r="D260" s="3" t="e">
        <f t="shared" si="28"/>
        <v>#N/A</v>
      </c>
      <c r="E260" s="3" t="e">
        <f t="shared" si="29"/>
        <v>#N/A</v>
      </c>
      <c r="F260" s="3">
        <f t="shared" si="30"/>
        <v>3.5721398089819139</v>
      </c>
      <c r="G260" s="3">
        <f t="shared" si="31"/>
        <v>0.170734</v>
      </c>
      <c r="H260" s="3" t="e">
        <f t="shared" si="32"/>
        <v>#VALUE!</v>
      </c>
      <c r="I260" s="3" t="e">
        <f t="shared" si="33"/>
        <v>#VALUE!</v>
      </c>
      <c r="J260" s="3" t="e">
        <v>#N/A</v>
      </c>
      <c r="K260" s="3" t="e">
        <v>#N/A</v>
      </c>
      <c r="L260" s="3">
        <v>3572.139808981914</v>
      </c>
      <c r="M260" s="3">
        <v>170.73400000000001</v>
      </c>
      <c r="N260" s="3" t="e">
        <v>#VALUE!</v>
      </c>
      <c r="O260" s="3" t="e">
        <v>#VALUE!</v>
      </c>
      <c r="P260" s="3" t="e">
        <f>E260*(VLOOKUP(B260,Price_data!A$1:B$190,2,FALSE))</f>
        <v>#N/A</v>
      </c>
      <c r="Q260" s="3">
        <f>G260*(VLOOKUP(B260,Price_data!A$1:B$190,2,FALSE))</f>
        <v>7.0367546754646195</v>
      </c>
      <c r="R260" s="3" t="e">
        <f>I260*(VLOOKUP(B260,Price_data!A$1:B$190,2,FALSE))</f>
        <v>#VALUE!</v>
      </c>
      <c r="S260" s="4" t="str">
        <f>(VLOOKUP(B260,Price_data!A$1:C$190,3,FALSE))</f>
        <v>WW</v>
      </c>
      <c r="T260" s="2" t="str">
        <f>IF(C260="Total", (VLOOKUP(B260,Recommended_fish_intake!A$4:D$122,4,FALSE)), "NA")</f>
        <v>NA</v>
      </c>
      <c r="U260" s="2" t="str">
        <f t="shared" si="34"/>
        <v>NA</v>
      </c>
    </row>
    <row r="261" spans="1:21" ht="14.25" customHeight="1">
      <c r="A261" s="2" t="s">
        <v>15</v>
      </c>
      <c r="B261" s="2">
        <v>1917</v>
      </c>
      <c r="C261" s="2" t="s">
        <v>25</v>
      </c>
      <c r="D261" s="3" t="e">
        <f t="shared" si="28"/>
        <v>#N/A</v>
      </c>
      <c r="E261" s="3" t="e">
        <f t="shared" si="29"/>
        <v>#N/A</v>
      </c>
      <c r="F261" s="3" t="e">
        <f t="shared" si="30"/>
        <v>#N/A</v>
      </c>
      <c r="G261" s="3" t="e">
        <f t="shared" si="31"/>
        <v>#N/A</v>
      </c>
      <c r="H261" s="3" t="e">
        <f t="shared" si="32"/>
        <v>#N/A</v>
      </c>
      <c r="I261" s="3" t="e">
        <f t="shared" si="33"/>
        <v>#N/A</v>
      </c>
      <c r="J261" s="3" t="e">
        <v>#N/A</v>
      </c>
      <c r="K261" s="3" t="e">
        <v>#N/A</v>
      </c>
      <c r="L261" s="3" t="e">
        <v>#N/A</v>
      </c>
      <c r="M261" s="3" t="e">
        <v>#N/A</v>
      </c>
      <c r="N261" s="3" t="e">
        <v>#N/A</v>
      </c>
      <c r="O261" s="3" t="e">
        <v>#N/A</v>
      </c>
      <c r="P261" s="3" t="e">
        <f>E261*(VLOOKUP(B261,Price_data!A$1:B$190,2,FALSE))</f>
        <v>#N/A</v>
      </c>
      <c r="Q261" s="3" t="e">
        <f>G261*(VLOOKUP(B261,Price_data!A$1:B$190,2,FALSE))</f>
        <v>#N/A</v>
      </c>
      <c r="R261" s="3" t="e">
        <f>I261*(VLOOKUP(B261,Price_data!A$1:B$190,2,FALSE))</f>
        <v>#N/A</v>
      </c>
      <c r="S261" s="4" t="str">
        <f>(VLOOKUP(B261,Price_data!A$1:C$190,3,FALSE))</f>
        <v>WW</v>
      </c>
      <c r="T261" s="2" t="str">
        <f>IF(C261="Total", (VLOOKUP(B261,Recommended_fish_intake!A$4:D$122,4,FALSE)), "NA")</f>
        <v>NA</v>
      </c>
      <c r="U261" s="2" t="str">
        <f t="shared" si="34"/>
        <v>NA</v>
      </c>
    </row>
    <row r="262" spans="1:21" ht="14.25" customHeight="1">
      <c r="A262" s="2" t="s">
        <v>15</v>
      </c>
      <c r="B262" s="2">
        <v>1917</v>
      </c>
      <c r="C262" s="2" t="s">
        <v>24</v>
      </c>
      <c r="D262" s="3" t="e">
        <f t="shared" si="28"/>
        <v>#N/A</v>
      </c>
      <c r="E262" s="3" t="e">
        <f t="shared" si="29"/>
        <v>#N/A</v>
      </c>
      <c r="F262" s="3" t="e">
        <f t="shared" si="30"/>
        <v>#N/A</v>
      </c>
      <c r="G262" s="3" t="e">
        <f t="shared" si="31"/>
        <v>#N/A</v>
      </c>
      <c r="H262" s="3" t="e">
        <f t="shared" si="32"/>
        <v>#N/A</v>
      </c>
      <c r="I262" s="3" t="e">
        <f t="shared" si="33"/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 t="e">
        <v>#N/A</v>
      </c>
      <c r="O262" s="3" t="e">
        <v>#N/A</v>
      </c>
      <c r="P262" s="3" t="e">
        <f>E262*(VLOOKUP(B262,Price_data!A$1:B$190,2,FALSE))</f>
        <v>#N/A</v>
      </c>
      <c r="Q262" s="3" t="e">
        <f>G262*(VLOOKUP(B262,Price_data!A$1:B$190,2,FALSE))</f>
        <v>#N/A</v>
      </c>
      <c r="R262" s="3" t="e">
        <f>I262*(VLOOKUP(B262,Price_data!A$1:B$190,2,FALSE))</f>
        <v>#N/A</v>
      </c>
      <c r="S262" s="4" t="str">
        <f>(VLOOKUP(B262,Price_data!A$1:C$190,3,FALSE))</f>
        <v>WW</v>
      </c>
      <c r="T262" s="2" t="str">
        <f>IF(C262="Total", (VLOOKUP(B262,Recommended_fish_intake!A$4:D$122,4,FALSE)), "NA")</f>
        <v>NA</v>
      </c>
      <c r="U262" s="2" t="str">
        <f t="shared" si="34"/>
        <v>NA</v>
      </c>
    </row>
    <row r="263" spans="1:21" ht="14.25" customHeight="1">
      <c r="A263" s="2" t="s">
        <v>15</v>
      </c>
      <c r="B263" s="2">
        <v>1917</v>
      </c>
      <c r="C263" s="2" t="s">
        <v>30</v>
      </c>
      <c r="D263" s="3" t="e">
        <f t="shared" si="28"/>
        <v>#N/A</v>
      </c>
      <c r="E263" s="3" t="e">
        <f t="shared" si="29"/>
        <v>#N/A</v>
      </c>
      <c r="F263" s="3" t="e">
        <f t="shared" si="30"/>
        <v>#VALUE!</v>
      </c>
      <c r="G263" s="3" t="e">
        <f t="shared" si="31"/>
        <v>#VALUE!</v>
      </c>
      <c r="H263" s="3" t="e">
        <f t="shared" si="32"/>
        <v>#VALUE!</v>
      </c>
      <c r="I263" s="3" t="e">
        <f t="shared" si="33"/>
        <v>#VALUE!</v>
      </c>
      <c r="J263" s="3" t="e">
        <v>#N/A</v>
      </c>
      <c r="K263" s="3" t="e">
        <v>#N/A</v>
      </c>
      <c r="L263" s="3" t="e">
        <v>#VALUE!</v>
      </c>
      <c r="M263" s="3" t="e">
        <v>#VALUE!</v>
      </c>
      <c r="N263" s="3" t="e">
        <v>#VALUE!</v>
      </c>
      <c r="O263" s="3" t="e">
        <v>#VALUE!</v>
      </c>
      <c r="P263" s="3" t="e">
        <f>E263*(VLOOKUP(B263,Price_data!A$1:B$190,2,FALSE))</f>
        <v>#N/A</v>
      </c>
      <c r="Q263" s="3" t="e">
        <f>G263*(VLOOKUP(B263,Price_data!A$1:B$190,2,FALSE))</f>
        <v>#VALUE!</v>
      </c>
      <c r="R263" s="3" t="e">
        <f>I263*(VLOOKUP(B263,Price_data!A$1:B$190,2,FALSE))</f>
        <v>#VALUE!</v>
      </c>
      <c r="S263" s="4" t="str">
        <f>(VLOOKUP(B263,Price_data!A$1:C$190,3,FALSE))</f>
        <v>WW</v>
      </c>
      <c r="T263" s="2" t="str">
        <f>IF(C263="Total", (VLOOKUP(B263,Recommended_fish_intake!A$4:D$122,4,FALSE)), "NA")</f>
        <v>NA</v>
      </c>
      <c r="U263" s="2" t="str">
        <f t="shared" si="34"/>
        <v>NA</v>
      </c>
    </row>
    <row r="264" spans="1:21" ht="14.25" customHeight="1">
      <c r="A264" s="2" t="s">
        <v>15</v>
      </c>
      <c r="B264" s="2">
        <v>1918</v>
      </c>
      <c r="C264" s="2" t="s">
        <v>16</v>
      </c>
      <c r="D264" s="3">
        <f t="shared" si="28"/>
        <v>444.78835602519814</v>
      </c>
      <c r="E264" s="3">
        <f t="shared" si="29"/>
        <v>21.723134999999999</v>
      </c>
      <c r="F264" s="3">
        <f t="shared" si="30"/>
        <v>19.512954684007315</v>
      </c>
      <c r="G264" s="3">
        <f t="shared" si="31"/>
        <v>0.98296400000000006</v>
      </c>
      <c r="H264" s="3">
        <f t="shared" si="32"/>
        <v>161.66327982117454</v>
      </c>
      <c r="I264" s="3">
        <f t="shared" si="33"/>
        <v>17.741596000000001</v>
      </c>
      <c r="J264" s="3">
        <v>444788.35602519813</v>
      </c>
      <c r="K264" s="3">
        <v>21723.134999999998</v>
      </c>
      <c r="L264" s="3">
        <v>19512.954684007316</v>
      </c>
      <c r="M264" s="3">
        <v>982.96400000000006</v>
      </c>
      <c r="N264" s="3">
        <v>161663.27982117454</v>
      </c>
      <c r="O264" s="3">
        <v>17741.596000000001</v>
      </c>
      <c r="P264" s="3">
        <f>E264*(VLOOKUP(B264,Price_data!A$1:B$190,2,FALSE))</f>
        <v>733.34683884749586</v>
      </c>
      <c r="Q264" s="3">
        <f>G264*(VLOOKUP(B264,Price_data!A$1:B$190,2,FALSE))</f>
        <v>33.183679155927081</v>
      </c>
      <c r="R264" s="3">
        <f>I264*(VLOOKUP(B264,Price_data!A$1:B$190,2,FALSE))</f>
        <v>598.93488406297615</v>
      </c>
      <c r="S264" s="4" t="str">
        <f>(VLOOKUP(B264,Price_data!A$1:C$190,3,FALSE))</f>
        <v>WW</v>
      </c>
      <c r="T264" s="2">
        <f>IF(C264="Total", (VLOOKUP(B264,Recommended_fish_intake!A$4:D$122,4,FALSE)), "NA")</f>
        <v>542.77484955312184</v>
      </c>
      <c r="U264" s="2" t="str">
        <f t="shared" si="34"/>
        <v>NA</v>
      </c>
    </row>
    <row r="265" spans="1:21" ht="14.25" customHeight="1">
      <c r="A265" s="2" t="s">
        <v>18</v>
      </c>
      <c r="B265" s="2">
        <v>1918</v>
      </c>
      <c r="C265" s="2" t="s">
        <v>19</v>
      </c>
      <c r="D265" s="3">
        <f t="shared" si="28"/>
        <v>77.289270473480997</v>
      </c>
      <c r="E265" s="3">
        <f t="shared" si="29"/>
        <v>1.8655039999999998</v>
      </c>
      <c r="F265" s="3" t="e">
        <f t="shared" si="30"/>
        <v>#N/A</v>
      </c>
      <c r="G265" s="3" t="e">
        <f t="shared" si="31"/>
        <v>#N/A</v>
      </c>
      <c r="H265" s="3" t="e">
        <f t="shared" si="32"/>
        <v>#N/A</v>
      </c>
      <c r="I265" s="3" t="e">
        <f t="shared" si="33"/>
        <v>#N/A</v>
      </c>
      <c r="J265" s="3">
        <v>77289.270473480996</v>
      </c>
      <c r="K265" s="3">
        <v>1865.5039999999999</v>
      </c>
      <c r="L265" s="3" t="e">
        <v>#N/A</v>
      </c>
      <c r="M265" s="3" t="e">
        <v>#N/A</v>
      </c>
      <c r="N265" s="3" t="e">
        <v>#N/A</v>
      </c>
      <c r="O265" s="3" t="e">
        <v>#N/A</v>
      </c>
      <c r="P265" s="3">
        <f>E265*(VLOOKUP(B265,Price_data!A$1:B$190,2,FALSE))</f>
        <v>62.977165186210875</v>
      </c>
      <c r="Q265" s="3" t="e">
        <f>G265*(VLOOKUP(B265,Price_data!A$1:B$190,2,FALSE))</f>
        <v>#N/A</v>
      </c>
      <c r="R265" s="3" t="e">
        <f>I265*(VLOOKUP(B265,Price_data!A$1:B$190,2,FALSE))</f>
        <v>#N/A</v>
      </c>
      <c r="S265" s="4" t="str">
        <f>(VLOOKUP(B265,Price_data!A$1:C$190,3,FALSE))</f>
        <v>WW</v>
      </c>
      <c r="T265" s="2" t="str">
        <f>IF(C265="Total", (VLOOKUP(B265,Recommended_fish_intake!A$4:D$122,4,FALSE)), "NA")</f>
        <v>NA</v>
      </c>
      <c r="U265" s="2" t="str">
        <f t="shared" si="34"/>
        <v>NA</v>
      </c>
    </row>
    <row r="266" spans="1:21" ht="14.25" customHeight="1">
      <c r="A266" s="2" t="s">
        <v>18</v>
      </c>
      <c r="B266" s="2">
        <v>1918</v>
      </c>
      <c r="C266" s="2" t="s">
        <v>20</v>
      </c>
      <c r="D266" s="3">
        <f t="shared" si="28"/>
        <v>2.3021235521235521</v>
      </c>
      <c r="E266" s="3">
        <f t="shared" si="29"/>
        <v>9.2626E-2</v>
      </c>
      <c r="F266" s="3" t="e">
        <f t="shared" si="30"/>
        <v>#N/A</v>
      </c>
      <c r="G266" s="3" t="e">
        <f t="shared" si="31"/>
        <v>#N/A</v>
      </c>
      <c r="H266" s="3" t="e">
        <f t="shared" si="32"/>
        <v>#N/A</v>
      </c>
      <c r="I266" s="3" t="e">
        <f t="shared" si="33"/>
        <v>#N/A</v>
      </c>
      <c r="J266" s="3">
        <v>2302.1235521235521</v>
      </c>
      <c r="K266" s="3">
        <v>92.626000000000005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>
        <f>E266*(VLOOKUP(B266,Price_data!A$1:B$190,2,FALSE))</f>
        <v>3.1269420502652201</v>
      </c>
      <c r="Q266" s="3" t="e">
        <f>G266*(VLOOKUP(B266,Price_data!A$1:B$190,2,FALSE))</f>
        <v>#N/A</v>
      </c>
      <c r="R266" s="3" t="e">
        <f>I266*(VLOOKUP(B266,Price_data!A$1:B$190,2,FALSE))</f>
        <v>#N/A</v>
      </c>
      <c r="S266" s="4" t="str">
        <f>(VLOOKUP(B266,Price_data!A$1:C$190,3,FALSE))</f>
        <v>WW</v>
      </c>
      <c r="T266" s="2" t="str">
        <f>IF(C266="Total", (VLOOKUP(B266,Recommended_fish_intake!A$4:D$122,4,FALSE)), "NA")</f>
        <v>NA</v>
      </c>
      <c r="U266" s="2" t="str">
        <f t="shared" si="34"/>
        <v>NA</v>
      </c>
    </row>
    <row r="267" spans="1:21" ht="14.25" customHeight="1">
      <c r="A267" s="2" t="s">
        <v>18</v>
      </c>
      <c r="B267" s="2">
        <v>1918</v>
      </c>
      <c r="C267" s="2" t="s">
        <v>21</v>
      </c>
      <c r="D267" s="3">
        <f t="shared" si="28"/>
        <v>3.7661552529973581</v>
      </c>
      <c r="E267" s="3">
        <f t="shared" si="29"/>
        <v>6.458499999999999E-2</v>
      </c>
      <c r="F267" s="3" t="e">
        <f t="shared" si="30"/>
        <v>#N/A</v>
      </c>
      <c r="G267" s="3" t="e">
        <f t="shared" si="31"/>
        <v>#N/A</v>
      </c>
      <c r="H267" s="3" t="e">
        <f t="shared" si="32"/>
        <v>#N/A</v>
      </c>
      <c r="I267" s="3" t="e">
        <f t="shared" si="33"/>
        <v>#N/A</v>
      </c>
      <c r="J267" s="3">
        <v>3766.1552529973583</v>
      </c>
      <c r="K267" s="3">
        <v>64.584999999999994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>
        <f>E267*(VLOOKUP(B267,Price_data!A$1:B$190,2,FALSE))</f>
        <v>2.1803117085524497</v>
      </c>
      <c r="Q267" s="3" t="e">
        <f>G267*(VLOOKUP(B267,Price_data!A$1:B$190,2,FALSE))</f>
        <v>#N/A</v>
      </c>
      <c r="R267" s="3" t="e">
        <f>I267*(VLOOKUP(B267,Price_data!A$1:B$190,2,FALSE))</f>
        <v>#N/A</v>
      </c>
      <c r="S267" s="4" t="str">
        <f>(VLOOKUP(B267,Price_data!A$1:C$190,3,FALSE))</f>
        <v>WW</v>
      </c>
      <c r="T267" s="2" t="str">
        <f>IF(C267="Total", (VLOOKUP(B267,Recommended_fish_intake!A$4:D$122,4,FALSE)), "NA")</f>
        <v>NA</v>
      </c>
      <c r="U267" s="2" t="str">
        <f t="shared" si="34"/>
        <v>NA</v>
      </c>
    </row>
    <row r="268" spans="1:21" ht="14.25" customHeight="1">
      <c r="A268" s="2" t="s">
        <v>18</v>
      </c>
      <c r="B268" s="2">
        <v>1918</v>
      </c>
      <c r="C268" s="2" t="s">
        <v>22</v>
      </c>
      <c r="D268" s="3">
        <f t="shared" si="28"/>
        <v>32.820463320463318</v>
      </c>
      <c r="E268" s="3">
        <f t="shared" si="29"/>
        <v>2.6247890000000003</v>
      </c>
      <c r="F268" s="3" t="e">
        <f t="shared" si="30"/>
        <v>#N/A</v>
      </c>
      <c r="G268" s="3" t="e">
        <f t="shared" si="31"/>
        <v>#N/A</v>
      </c>
      <c r="H268" s="3" t="e">
        <f t="shared" si="32"/>
        <v>#N/A</v>
      </c>
      <c r="I268" s="3" t="e">
        <f t="shared" si="33"/>
        <v>#N/A</v>
      </c>
      <c r="J268" s="3">
        <v>32820.463320463321</v>
      </c>
      <c r="K268" s="3">
        <v>2624.7890000000002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>
        <f>E268*(VLOOKUP(B268,Price_data!A$1:B$190,2,FALSE))</f>
        <v>88.609711065722337</v>
      </c>
      <c r="Q268" s="3" t="e">
        <f>G268*(VLOOKUP(B268,Price_data!A$1:B$190,2,FALSE))</f>
        <v>#N/A</v>
      </c>
      <c r="R268" s="3" t="e">
        <f>I268*(VLOOKUP(B268,Price_data!A$1:B$190,2,FALSE))</f>
        <v>#N/A</v>
      </c>
      <c r="S268" s="4" t="str">
        <f>(VLOOKUP(B268,Price_data!A$1:C$190,3,FALSE))</f>
        <v>WW</v>
      </c>
      <c r="T268" s="2" t="str">
        <f>IF(C268="Total", (VLOOKUP(B268,Recommended_fish_intake!A$4:D$122,4,FALSE)), "NA")</f>
        <v>NA</v>
      </c>
      <c r="U268" s="2" t="str">
        <f t="shared" si="34"/>
        <v>NA</v>
      </c>
    </row>
    <row r="269" spans="1:21" ht="14.25" customHeight="1">
      <c r="A269" s="2" t="s">
        <v>18</v>
      </c>
      <c r="B269" s="2">
        <v>1918</v>
      </c>
      <c r="C269" s="2" t="s">
        <v>23</v>
      </c>
      <c r="D269" s="3">
        <f t="shared" si="28"/>
        <v>59.009398496240593</v>
      </c>
      <c r="E269" s="3">
        <f t="shared" si="29"/>
        <v>4.1786909999999997</v>
      </c>
      <c r="F269" s="3" t="e">
        <f t="shared" si="30"/>
        <v>#N/A</v>
      </c>
      <c r="G269" s="3" t="e">
        <f t="shared" si="31"/>
        <v>#N/A</v>
      </c>
      <c r="H269" s="3" t="e">
        <f t="shared" si="32"/>
        <v>#N/A</v>
      </c>
      <c r="I269" s="3" t="e">
        <f t="shared" si="33"/>
        <v>#N/A</v>
      </c>
      <c r="J269" s="3">
        <v>59009.398496240596</v>
      </c>
      <c r="K269" s="3">
        <v>4178.6909999999998</v>
      </c>
      <c r="L269" s="3" t="e">
        <v>#N/A</v>
      </c>
      <c r="M269" s="3" t="e">
        <v>#N/A</v>
      </c>
      <c r="N269" s="3" t="e">
        <v>#N/A</v>
      </c>
      <c r="O269" s="3" t="e">
        <v>#N/A</v>
      </c>
      <c r="P269" s="3">
        <f>E269*(VLOOKUP(B269,Price_data!A$1:B$190,2,FALSE))</f>
        <v>141.06756853329327</v>
      </c>
      <c r="Q269" s="3" t="e">
        <f>G269*(VLOOKUP(B269,Price_data!A$1:B$190,2,FALSE))</f>
        <v>#N/A</v>
      </c>
      <c r="R269" s="3" t="e">
        <f>I269*(VLOOKUP(B269,Price_data!A$1:B$190,2,FALSE))</f>
        <v>#N/A</v>
      </c>
      <c r="S269" s="4" t="str">
        <f>(VLOOKUP(B269,Price_data!A$1:C$190,3,FALSE))</f>
        <v>WW</v>
      </c>
      <c r="T269" s="2" t="str">
        <f>IF(C269="Total", (VLOOKUP(B269,Recommended_fish_intake!A$4:D$122,4,FALSE)), "NA")</f>
        <v>NA</v>
      </c>
      <c r="U269" s="2" t="str">
        <f t="shared" si="34"/>
        <v>NA</v>
      </c>
    </row>
    <row r="270" spans="1:21" ht="14.25" customHeight="1">
      <c r="A270" s="2" t="s">
        <v>18</v>
      </c>
      <c r="B270" s="2">
        <v>1918</v>
      </c>
      <c r="C270" s="2" t="s">
        <v>24</v>
      </c>
      <c r="D270" s="3">
        <f t="shared" si="28"/>
        <v>8.870605567973989</v>
      </c>
      <c r="E270" s="3">
        <f t="shared" si="29"/>
        <v>0.58265999999999996</v>
      </c>
      <c r="F270" s="3" t="e">
        <f t="shared" si="30"/>
        <v>#N/A</v>
      </c>
      <c r="G270" s="3" t="e">
        <f t="shared" si="31"/>
        <v>#N/A</v>
      </c>
      <c r="H270" s="3" t="e">
        <f t="shared" si="32"/>
        <v>#N/A</v>
      </c>
      <c r="I270" s="3" t="e">
        <f t="shared" si="33"/>
        <v>#N/A</v>
      </c>
      <c r="J270" s="3">
        <v>8870.6055679739893</v>
      </c>
      <c r="K270" s="3">
        <v>582.66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>
        <f>E270*(VLOOKUP(B270,Price_data!A$1:B$190,2,FALSE))</f>
        <v>19.669898894560198</v>
      </c>
      <c r="Q270" s="3" t="e">
        <f>G270*(VLOOKUP(B270,Price_data!A$1:B$190,2,FALSE))</f>
        <v>#N/A</v>
      </c>
      <c r="R270" s="3" t="e">
        <f>I270*(VLOOKUP(B270,Price_data!A$1:B$190,2,FALSE))</f>
        <v>#N/A</v>
      </c>
      <c r="S270" s="4" t="str">
        <f>(VLOOKUP(B270,Price_data!A$1:C$190,3,FALSE))</f>
        <v>WW</v>
      </c>
      <c r="T270" s="2" t="str">
        <f>IF(C270="Total", (VLOOKUP(B270,Recommended_fish_intake!A$4:D$122,4,FALSE)), "NA")</f>
        <v>NA</v>
      </c>
      <c r="U270" s="2" t="str">
        <f t="shared" si="34"/>
        <v>NA</v>
      </c>
    </row>
    <row r="271" spans="1:21" ht="14.25" customHeight="1">
      <c r="A271" s="2" t="s">
        <v>18</v>
      </c>
      <c r="B271" s="2">
        <v>1918</v>
      </c>
      <c r="C271" s="2" t="s">
        <v>25</v>
      </c>
      <c r="D271" s="3">
        <f t="shared" si="28"/>
        <v>18.926386913229017</v>
      </c>
      <c r="E271" s="3">
        <f t="shared" si="29"/>
        <v>2.286152</v>
      </c>
      <c r="F271" s="3" t="e">
        <f t="shared" si="30"/>
        <v>#N/A</v>
      </c>
      <c r="G271" s="3" t="e">
        <f t="shared" si="31"/>
        <v>#N/A</v>
      </c>
      <c r="H271" s="3" t="e">
        <f t="shared" si="32"/>
        <v>#N/A</v>
      </c>
      <c r="I271" s="3" t="e">
        <f t="shared" si="33"/>
        <v>#N/A</v>
      </c>
      <c r="J271" s="3">
        <v>18926.386913229016</v>
      </c>
      <c r="K271" s="3">
        <v>2286.152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>
        <f>E271*(VLOOKUP(B271,Price_data!A$1:B$190,2,FALSE))</f>
        <v>77.177734352103442</v>
      </c>
      <c r="Q271" s="3" t="e">
        <f>G271*(VLOOKUP(B271,Price_data!A$1:B$190,2,FALSE))</f>
        <v>#N/A</v>
      </c>
      <c r="R271" s="3" t="e">
        <f>I271*(VLOOKUP(B271,Price_data!A$1:B$190,2,FALSE))</f>
        <v>#N/A</v>
      </c>
      <c r="S271" s="4" t="str">
        <f>(VLOOKUP(B271,Price_data!A$1:C$190,3,FALSE))</f>
        <v>WW</v>
      </c>
      <c r="T271" s="2" t="str">
        <f>IF(C271="Total", (VLOOKUP(B271,Recommended_fish_intake!A$4:D$122,4,FALSE)), "NA")</f>
        <v>NA</v>
      </c>
      <c r="U271" s="2" t="str">
        <f t="shared" si="34"/>
        <v>NA</v>
      </c>
    </row>
    <row r="272" spans="1:21" ht="14.25" customHeight="1">
      <c r="A272" s="2" t="s">
        <v>15</v>
      </c>
      <c r="B272" s="2">
        <v>1918</v>
      </c>
      <c r="C272" s="2" t="s">
        <v>22</v>
      </c>
      <c r="D272" s="3" t="e">
        <f t="shared" si="28"/>
        <v>#N/A</v>
      </c>
      <c r="E272" s="3" t="e">
        <f t="shared" si="29"/>
        <v>#N/A</v>
      </c>
      <c r="F272" s="3">
        <f t="shared" si="30"/>
        <v>5.0864153627311515</v>
      </c>
      <c r="G272" s="3">
        <f t="shared" si="31"/>
        <v>0.43784500000000004</v>
      </c>
      <c r="H272" s="3">
        <f t="shared" si="32"/>
        <v>0</v>
      </c>
      <c r="I272" s="3">
        <f t="shared" si="33"/>
        <v>0</v>
      </c>
      <c r="J272" s="3" t="e">
        <v>#N/A</v>
      </c>
      <c r="K272" s="3" t="e">
        <v>#N/A</v>
      </c>
      <c r="L272" s="3">
        <v>5086.4153627311516</v>
      </c>
      <c r="M272" s="3">
        <v>437.84500000000003</v>
      </c>
      <c r="N272" s="3">
        <v>0</v>
      </c>
      <c r="O272" s="3">
        <v>0</v>
      </c>
      <c r="P272" s="3" t="e">
        <f>E272*(VLOOKUP(B272,Price_data!A$1:B$190,2,FALSE))</f>
        <v>#N/A</v>
      </c>
      <c r="Q272" s="3">
        <f>G272*(VLOOKUP(B272,Price_data!A$1:B$190,2,FALSE))</f>
        <v>14.781119145794651</v>
      </c>
      <c r="R272" s="3">
        <f>I272*(VLOOKUP(B272,Price_data!A$1:B$190,2,FALSE))</f>
        <v>0</v>
      </c>
      <c r="S272" s="4" t="str">
        <f>(VLOOKUP(B272,Price_data!A$1:C$190,3,FALSE))</f>
        <v>WW</v>
      </c>
      <c r="T272" s="2" t="str">
        <f>IF(C272="Total", (VLOOKUP(B272,Recommended_fish_intake!A$4:D$122,4,FALSE)), "NA")</f>
        <v>NA</v>
      </c>
      <c r="U272" s="2" t="str">
        <f t="shared" si="34"/>
        <v>NA</v>
      </c>
    </row>
    <row r="273" spans="1:21" ht="14.25" customHeight="1">
      <c r="A273" s="2" t="s">
        <v>15</v>
      </c>
      <c r="B273" s="2">
        <v>1918</v>
      </c>
      <c r="C273" s="2" t="s">
        <v>23</v>
      </c>
      <c r="D273" s="3" t="e">
        <f t="shared" si="28"/>
        <v>#N/A</v>
      </c>
      <c r="E273" s="3" t="e">
        <f t="shared" si="29"/>
        <v>#N/A</v>
      </c>
      <c r="F273" s="3">
        <f t="shared" si="30"/>
        <v>0.14092664092664092</v>
      </c>
      <c r="G273" s="3">
        <f t="shared" si="31"/>
        <v>1.3401E-2</v>
      </c>
      <c r="H273" s="3" t="e">
        <f t="shared" si="32"/>
        <v>#VALUE!</v>
      </c>
      <c r="I273" s="3" t="e">
        <f t="shared" si="33"/>
        <v>#VALUE!</v>
      </c>
      <c r="J273" s="3" t="e">
        <v>#N/A</v>
      </c>
      <c r="K273" s="3" t="e">
        <v>#N/A</v>
      </c>
      <c r="L273" s="3">
        <v>140.92664092664091</v>
      </c>
      <c r="M273" s="3">
        <v>13.401</v>
      </c>
      <c r="N273" s="3" t="e">
        <v>#VALUE!</v>
      </c>
      <c r="O273" s="3" t="e">
        <v>#VALUE!</v>
      </c>
      <c r="P273" s="3" t="e">
        <f>E273*(VLOOKUP(B273,Price_data!A$1:B$190,2,FALSE))</f>
        <v>#N/A</v>
      </c>
      <c r="Q273" s="3">
        <f>G273*(VLOOKUP(B273,Price_data!A$1:B$190,2,FALSE))</f>
        <v>0.45240159799196999</v>
      </c>
      <c r="R273" s="3" t="e">
        <f>I273*(VLOOKUP(B273,Price_data!A$1:B$190,2,FALSE))</f>
        <v>#VALUE!</v>
      </c>
      <c r="S273" s="4" t="str">
        <f>(VLOOKUP(B273,Price_data!A$1:C$190,3,FALSE))</f>
        <v>WW</v>
      </c>
      <c r="T273" s="2" t="str">
        <f>IF(C273="Total", (VLOOKUP(B273,Recommended_fish_intake!A$4:D$122,4,FALSE)), "NA")</f>
        <v>NA</v>
      </c>
      <c r="U273" s="2" t="str">
        <f t="shared" si="34"/>
        <v>NA</v>
      </c>
    </row>
    <row r="274" spans="1:21" ht="14.25" customHeight="1">
      <c r="A274" s="2" t="s">
        <v>15</v>
      </c>
      <c r="B274" s="2">
        <v>1918</v>
      </c>
      <c r="C274" s="2" t="s">
        <v>19</v>
      </c>
      <c r="D274" s="3" t="e">
        <f t="shared" si="28"/>
        <v>#N/A</v>
      </c>
      <c r="E274" s="3" t="e">
        <f t="shared" si="29"/>
        <v>#N/A</v>
      </c>
      <c r="F274" s="3">
        <f t="shared" si="30"/>
        <v>9.0331741515952029</v>
      </c>
      <c r="G274" s="3">
        <f t="shared" si="31"/>
        <v>0.23192400000000002</v>
      </c>
      <c r="H274" s="3">
        <f t="shared" si="32"/>
        <v>29.79739890266206</v>
      </c>
      <c r="I274" s="3">
        <f t="shared" si="33"/>
        <v>0.65050199999999991</v>
      </c>
      <c r="J274" s="3" t="e">
        <v>#N/A</v>
      </c>
      <c r="K274" s="3" t="e">
        <v>#N/A</v>
      </c>
      <c r="L274" s="3">
        <v>9033.1741515952035</v>
      </c>
      <c r="M274" s="3">
        <v>231.92400000000001</v>
      </c>
      <c r="N274" s="3">
        <v>29797.398902662058</v>
      </c>
      <c r="O274" s="3">
        <v>650.50199999999995</v>
      </c>
      <c r="P274" s="3" t="e">
        <f>E274*(VLOOKUP(B274,Price_data!A$1:B$190,2,FALSE))</f>
        <v>#N/A</v>
      </c>
      <c r="Q274" s="3">
        <f>G274*(VLOOKUP(B274,Price_data!A$1:B$190,2,FALSE))</f>
        <v>7.8294745326982804</v>
      </c>
      <c r="R274" s="3">
        <f>I274*(VLOOKUP(B274,Price_data!A$1:B$190,2,FALSE))</f>
        <v>21.960162995072938</v>
      </c>
      <c r="S274" s="4" t="str">
        <f>(VLOOKUP(B274,Price_data!A$1:C$190,3,FALSE))</f>
        <v>WW</v>
      </c>
      <c r="T274" s="2" t="str">
        <f>IF(C274="Total", (VLOOKUP(B274,Recommended_fish_intake!A$4:D$122,4,FALSE)), "NA")</f>
        <v>NA</v>
      </c>
      <c r="U274" s="2" t="str">
        <f t="shared" si="34"/>
        <v>NA</v>
      </c>
    </row>
    <row r="275" spans="1:21" ht="14.25" customHeight="1">
      <c r="A275" s="2" t="s">
        <v>15</v>
      </c>
      <c r="B275" s="2">
        <v>1918</v>
      </c>
      <c r="C275" s="2" t="s">
        <v>28</v>
      </c>
      <c r="D275" s="3" t="e">
        <f t="shared" si="28"/>
        <v>#VALUE!</v>
      </c>
      <c r="E275" s="3" t="e">
        <f t="shared" si="29"/>
        <v>#VALUE!</v>
      </c>
      <c r="F275" s="3">
        <f t="shared" si="30"/>
        <v>3.6577931314773419E-3</v>
      </c>
      <c r="G275" s="3">
        <f t="shared" si="31"/>
        <v>9.5000000000000005E-5</v>
      </c>
      <c r="H275" s="3">
        <f t="shared" si="32"/>
        <v>1.1994513310302783</v>
      </c>
      <c r="I275" s="3">
        <f t="shared" si="33"/>
        <v>0.342553</v>
      </c>
      <c r="J275" s="3" t="e">
        <v>#VALUE!</v>
      </c>
      <c r="K275" s="3" t="e">
        <v>#VALUE!</v>
      </c>
      <c r="L275" s="3">
        <v>3.6577931314773418</v>
      </c>
      <c r="M275" s="3">
        <v>9.5000000000000001E-2</v>
      </c>
      <c r="N275" s="3">
        <v>1199.4513310302784</v>
      </c>
      <c r="O275" s="3">
        <v>342.553</v>
      </c>
      <c r="P275" s="3" t="e">
        <f>E275*(VLOOKUP(B275,Price_data!A$1:B$190,2,FALSE))</f>
        <v>#VALUE!</v>
      </c>
      <c r="Q275" s="3">
        <f>G275*(VLOOKUP(B275,Price_data!A$1:B$190,2,FALSE))</f>
        <v>3.20708542715E-3</v>
      </c>
      <c r="R275" s="3">
        <f>I275*(VLOOKUP(B275,Price_data!A$1:B$190,2,FALSE))</f>
        <v>11.564176150805409</v>
      </c>
      <c r="S275" s="4" t="str">
        <f>(VLOOKUP(B275,Price_data!A$1:C$190,3,FALSE))</f>
        <v>WW</v>
      </c>
      <c r="T275" s="2" t="str">
        <f>IF(C275="Total", (VLOOKUP(B275,Recommended_fish_intake!A$4:D$122,4,FALSE)), "NA")</f>
        <v>NA</v>
      </c>
      <c r="U275" s="2" t="e">
        <f t="shared" si="34"/>
        <v>#VALUE!</v>
      </c>
    </row>
    <row r="276" spans="1:21" ht="14.25" customHeight="1">
      <c r="A276" s="2" t="s">
        <v>15</v>
      </c>
      <c r="B276" s="2">
        <v>1918</v>
      </c>
      <c r="C276" s="2" t="s">
        <v>29</v>
      </c>
      <c r="D276" s="3" t="e">
        <f t="shared" si="28"/>
        <v>#VALUE!</v>
      </c>
      <c r="E276" s="3" t="e">
        <f t="shared" si="29"/>
        <v>#VALUE!</v>
      </c>
      <c r="F276" s="3">
        <f t="shared" si="30"/>
        <v>0</v>
      </c>
      <c r="G276" s="3">
        <f t="shared" si="31"/>
        <v>0</v>
      </c>
      <c r="H276" s="3">
        <f t="shared" si="32"/>
        <v>45.182534037797197</v>
      </c>
      <c r="I276" s="3">
        <f t="shared" si="33"/>
        <v>5.3302299999999994</v>
      </c>
      <c r="J276" s="3" t="e">
        <v>#VALUE!</v>
      </c>
      <c r="K276" s="3" t="e">
        <v>#VALUE!</v>
      </c>
      <c r="L276" s="3">
        <v>0</v>
      </c>
      <c r="M276" s="3">
        <v>0</v>
      </c>
      <c r="N276" s="3">
        <v>45182.534037797195</v>
      </c>
      <c r="O276" s="3">
        <v>5330.23</v>
      </c>
      <c r="P276" s="3" t="e">
        <f>E276*(VLOOKUP(B276,Price_data!A$1:B$190,2,FALSE))</f>
        <v>#VALUE!</v>
      </c>
      <c r="Q276" s="3">
        <f>G276*(VLOOKUP(B276,Price_data!A$1:B$190,2,FALSE))</f>
        <v>0</v>
      </c>
      <c r="R276" s="3">
        <f>I276*(VLOOKUP(B276,Price_data!A$1:B$190,2,FALSE))</f>
        <v>179.94213638271307</v>
      </c>
      <c r="S276" s="4" t="str">
        <f>(VLOOKUP(B276,Price_data!A$1:C$190,3,FALSE))</f>
        <v>WW</v>
      </c>
      <c r="T276" s="2" t="str">
        <f>IF(C276="Total", (VLOOKUP(B276,Recommended_fish_intake!A$4:D$122,4,FALSE)), "NA")</f>
        <v>NA</v>
      </c>
      <c r="U276" s="2" t="str">
        <f t="shared" si="34"/>
        <v>NA</v>
      </c>
    </row>
    <row r="277" spans="1:21" ht="14.25" customHeight="1">
      <c r="A277" s="2" t="s">
        <v>15</v>
      </c>
      <c r="B277" s="2">
        <v>1918</v>
      </c>
      <c r="C277" s="2" t="s">
        <v>20</v>
      </c>
      <c r="D277" s="3" t="e">
        <f t="shared" si="28"/>
        <v>#N/A</v>
      </c>
      <c r="E277" s="3" t="e">
        <f t="shared" si="29"/>
        <v>#N/A</v>
      </c>
      <c r="F277" s="3">
        <f t="shared" si="30"/>
        <v>4.7343527738264575</v>
      </c>
      <c r="G277" s="3">
        <f t="shared" si="31"/>
        <v>0.28970800000000002</v>
      </c>
      <c r="H277" s="3" t="e">
        <f t="shared" si="32"/>
        <v>#VALUE!</v>
      </c>
      <c r="I277" s="3" t="e">
        <f t="shared" si="33"/>
        <v>#VALUE!</v>
      </c>
      <c r="J277" s="3" t="e">
        <v>#N/A</v>
      </c>
      <c r="K277" s="3" t="e">
        <v>#N/A</v>
      </c>
      <c r="L277" s="3">
        <v>4734.3527738264575</v>
      </c>
      <c r="M277" s="3">
        <v>289.70800000000003</v>
      </c>
      <c r="N277" s="3" t="e">
        <v>#VALUE!</v>
      </c>
      <c r="O277" s="3" t="e">
        <v>#VALUE!</v>
      </c>
      <c r="P277" s="3" t="e">
        <f>E277*(VLOOKUP(B277,Price_data!A$1:B$190,2,FALSE))</f>
        <v>#N/A</v>
      </c>
      <c r="Q277" s="3">
        <f>G277*(VLOOKUP(B277,Price_data!A$1:B$190,2,FALSE))</f>
        <v>9.7801926834607613</v>
      </c>
      <c r="R277" s="3" t="e">
        <f>I277*(VLOOKUP(B277,Price_data!A$1:B$190,2,FALSE))</f>
        <v>#VALUE!</v>
      </c>
      <c r="S277" s="4" t="str">
        <f>(VLOOKUP(B277,Price_data!A$1:C$190,3,FALSE))</f>
        <v>WW</v>
      </c>
      <c r="T277" s="2" t="str">
        <f>IF(C277="Total", (VLOOKUP(B277,Recommended_fish_intake!A$4:D$122,4,FALSE)), "NA")</f>
        <v>NA</v>
      </c>
      <c r="U277" s="2" t="str">
        <f t="shared" si="34"/>
        <v>NA</v>
      </c>
    </row>
    <row r="278" spans="1:21" ht="14.25" customHeight="1">
      <c r="A278" s="2" t="s">
        <v>15</v>
      </c>
      <c r="B278" s="2">
        <v>1918</v>
      </c>
      <c r="C278" s="2" t="s">
        <v>25</v>
      </c>
      <c r="D278" s="3" t="e">
        <f t="shared" si="28"/>
        <v>#N/A</v>
      </c>
      <c r="E278" s="3" t="e">
        <f t="shared" si="29"/>
        <v>#N/A</v>
      </c>
      <c r="F278" s="3" t="e">
        <f t="shared" si="30"/>
        <v>#N/A</v>
      </c>
      <c r="G278" s="3" t="e">
        <f t="shared" si="31"/>
        <v>#N/A</v>
      </c>
      <c r="H278" s="3" t="e">
        <f t="shared" si="32"/>
        <v>#N/A</v>
      </c>
      <c r="I278" s="3" t="e">
        <f t="shared" si="33"/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 t="e">
        <v>#N/A</v>
      </c>
      <c r="O278" s="3" t="e">
        <v>#N/A</v>
      </c>
      <c r="P278" s="3" t="e">
        <f>E278*(VLOOKUP(B278,Price_data!A$1:B$190,2,FALSE))</f>
        <v>#N/A</v>
      </c>
      <c r="Q278" s="3" t="e">
        <f>G278*(VLOOKUP(B278,Price_data!A$1:B$190,2,FALSE))</f>
        <v>#N/A</v>
      </c>
      <c r="R278" s="3" t="e">
        <f>I278*(VLOOKUP(B278,Price_data!A$1:B$190,2,FALSE))</f>
        <v>#N/A</v>
      </c>
      <c r="S278" s="4" t="str">
        <f>(VLOOKUP(B278,Price_data!A$1:C$190,3,FALSE))</f>
        <v>WW</v>
      </c>
      <c r="T278" s="2" t="str">
        <f>IF(C278="Total", (VLOOKUP(B278,Recommended_fish_intake!A$4:D$122,4,FALSE)), "NA")</f>
        <v>NA</v>
      </c>
      <c r="U278" s="2" t="str">
        <f t="shared" si="34"/>
        <v>NA</v>
      </c>
    </row>
    <row r="279" spans="1:21" ht="14.25" customHeight="1">
      <c r="A279" s="2" t="s">
        <v>15</v>
      </c>
      <c r="B279" s="2">
        <v>1918</v>
      </c>
      <c r="C279" s="2" t="s">
        <v>24</v>
      </c>
      <c r="D279" s="3" t="e">
        <f t="shared" si="28"/>
        <v>#N/A</v>
      </c>
      <c r="E279" s="3" t="e">
        <f t="shared" si="29"/>
        <v>#N/A</v>
      </c>
      <c r="F279" s="3" t="e">
        <f t="shared" si="30"/>
        <v>#N/A</v>
      </c>
      <c r="G279" s="3" t="e">
        <f t="shared" si="31"/>
        <v>#N/A</v>
      </c>
      <c r="H279" s="3" t="e">
        <f t="shared" si="32"/>
        <v>#N/A</v>
      </c>
      <c r="I279" s="3" t="e">
        <f t="shared" si="33"/>
        <v>#N/A</v>
      </c>
      <c r="J279" s="3" t="e">
        <v>#N/A</v>
      </c>
      <c r="K279" s="3" t="e">
        <v>#N/A</v>
      </c>
      <c r="L279" s="3" t="e">
        <v>#N/A</v>
      </c>
      <c r="M279" s="3" t="e">
        <v>#N/A</v>
      </c>
      <c r="N279" s="3" t="e">
        <v>#N/A</v>
      </c>
      <c r="O279" s="3" t="e">
        <v>#N/A</v>
      </c>
      <c r="P279" s="3" t="e">
        <f>E279*(VLOOKUP(B279,Price_data!A$1:B$190,2,FALSE))</f>
        <v>#N/A</v>
      </c>
      <c r="Q279" s="3" t="e">
        <f>G279*(VLOOKUP(B279,Price_data!A$1:B$190,2,FALSE))</f>
        <v>#N/A</v>
      </c>
      <c r="R279" s="3" t="e">
        <f>I279*(VLOOKUP(B279,Price_data!A$1:B$190,2,FALSE))</f>
        <v>#N/A</v>
      </c>
      <c r="S279" s="4" t="str">
        <f>(VLOOKUP(B279,Price_data!A$1:C$190,3,FALSE))</f>
        <v>WW</v>
      </c>
      <c r="T279" s="2" t="str">
        <f>IF(C279="Total", (VLOOKUP(B279,Recommended_fish_intake!A$4:D$122,4,FALSE)), "NA")</f>
        <v>NA</v>
      </c>
      <c r="U279" s="2" t="str">
        <f t="shared" si="34"/>
        <v>NA</v>
      </c>
    </row>
    <row r="280" spans="1:21" ht="14.25" customHeight="1">
      <c r="A280" s="2" t="s">
        <v>15</v>
      </c>
      <c r="B280" s="2">
        <v>1918</v>
      </c>
      <c r="C280" s="2" t="s">
        <v>30</v>
      </c>
      <c r="D280" s="3" t="e">
        <f t="shared" si="28"/>
        <v>#N/A</v>
      </c>
      <c r="E280" s="3" t="e">
        <f t="shared" si="29"/>
        <v>#N/A</v>
      </c>
      <c r="F280" s="3" t="e">
        <f t="shared" si="30"/>
        <v>#VALUE!</v>
      </c>
      <c r="G280" s="3" t="e">
        <f t="shared" si="31"/>
        <v>#VALUE!</v>
      </c>
      <c r="H280" s="3" t="e">
        <f t="shared" si="32"/>
        <v>#VALUE!</v>
      </c>
      <c r="I280" s="3" t="e">
        <f t="shared" si="33"/>
        <v>#VALUE!</v>
      </c>
      <c r="J280" s="3" t="e">
        <v>#N/A</v>
      </c>
      <c r="K280" s="3" t="e">
        <v>#N/A</v>
      </c>
      <c r="L280" s="3" t="e">
        <v>#VALUE!</v>
      </c>
      <c r="M280" s="3" t="e">
        <v>#VALUE!</v>
      </c>
      <c r="N280" s="3" t="e">
        <v>#VALUE!</v>
      </c>
      <c r="O280" s="3" t="e">
        <v>#VALUE!</v>
      </c>
      <c r="P280" s="3" t="e">
        <f>E280*(VLOOKUP(B280,Price_data!A$1:B$190,2,FALSE))</f>
        <v>#N/A</v>
      </c>
      <c r="Q280" s="3" t="e">
        <f>G280*(VLOOKUP(B280,Price_data!A$1:B$190,2,FALSE))</f>
        <v>#VALUE!</v>
      </c>
      <c r="R280" s="3" t="e">
        <f>I280*(VLOOKUP(B280,Price_data!A$1:B$190,2,FALSE))</f>
        <v>#VALUE!</v>
      </c>
      <c r="S280" s="4" t="str">
        <f>(VLOOKUP(B280,Price_data!A$1:C$190,3,FALSE))</f>
        <v>WW</v>
      </c>
      <c r="T280" s="2" t="str">
        <f>IF(C280="Total", (VLOOKUP(B280,Recommended_fish_intake!A$4:D$122,4,FALSE)), "NA")</f>
        <v>NA</v>
      </c>
      <c r="U280" s="2" t="str">
        <f t="shared" si="34"/>
        <v>NA</v>
      </c>
    </row>
    <row r="281" spans="1:21" ht="14.25" customHeight="1">
      <c r="A281" s="2" t="s">
        <v>15</v>
      </c>
      <c r="B281" s="2">
        <v>1919</v>
      </c>
      <c r="C281" s="2" t="s">
        <v>16</v>
      </c>
      <c r="D281" s="3">
        <f t="shared" si="28"/>
        <v>867.91566754724647</v>
      </c>
      <c r="E281" s="3">
        <f t="shared" si="29"/>
        <v>25.968727999999999</v>
      </c>
      <c r="F281" s="3">
        <f t="shared" si="30"/>
        <v>138.04323308270676</v>
      </c>
      <c r="G281" s="3">
        <f t="shared" si="31"/>
        <v>4.6900339999999998</v>
      </c>
      <c r="H281" s="3">
        <f t="shared" si="32"/>
        <v>149.76407234301971</v>
      </c>
      <c r="I281" s="3">
        <f t="shared" si="33"/>
        <v>14.347821</v>
      </c>
      <c r="J281" s="3">
        <v>867915.66754724644</v>
      </c>
      <c r="K281" s="3">
        <v>25968.727999999999</v>
      </c>
      <c r="L281" s="3">
        <v>138043.23308270675</v>
      </c>
      <c r="M281" s="3">
        <v>4690.0339999999997</v>
      </c>
      <c r="N281" s="3">
        <v>149764.07234301971</v>
      </c>
      <c r="O281" s="3">
        <v>14347.821</v>
      </c>
      <c r="P281" s="3">
        <f>E281*(VLOOKUP(B281,Price_data!A$1:B$190,2,FALSE))</f>
        <v>796.61148275085748</v>
      </c>
      <c r="Q281" s="3">
        <f>G281*(VLOOKUP(B281,Price_data!A$1:B$190,2,FALSE))</f>
        <v>143.87054070926905</v>
      </c>
      <c r="R281" s="3">
        <f>I281*(VLOOKUP(B281,Price_data!A$1:B$190,2,FALSE))</f>
        <v>440.13087437528293</v>
      </c>
      <c r="S281" s="4" t="str">
        <f>(VLOOKUP(B281,Price_data!A$1:C$190,3,FALSE))</f>
        <v>Open access</v>
      </c>
      <c r="T281" s="2">
        <f>IF(C281="Total", (VLOOKUP(B281,Recommended_fish_intake!A$4:D$122,4,FALSE)), "NA")</f>
        <v>586.81750345287924</v>
      </c>
      <c r="U281" s="2" t="str">
        <f t="shared" si="34"/>
        <v>NA</v>
      </c>
    </row>
    <row r="282" spans="1:21" ht="14.25" customHeight="1">
      <c r="A282" s="2" t="s">
        <v>15</v>
      </c>
      <c r="B282" s="2">
        <v>1919</v>
      </c>
      <c r="C282" s="2" t="s">
        <v>22</v>
      </c>
      <c r="D282" s="3">
        <f t="shared" si="28"/>
        <v>111.814163787848</v>
      </c>
      <c r="E282" s="3" t="e">
        <f t="shared" si="29"/>
        <v>#N/A</v>
      </c>
      <c r="F282" s="3">
        <f t="shared" si="30"/>
        <v>7.5151900020321074</v>
      </c>
      <c r="G282" s="3">
        <f t="shared" si="31"/>
        <v>0.75635699999999995</v>
      </c>
      <c r="H282" s="3">
        <f t="shared" si="32"/>
        <v>0</v>
      </c>
      <c r="I282" s="3">
        <f t="shared" si="33"/>
        <v>0</v>
      </c>
      <c r="J282" s="3">
        <v>111814.163787848</v>
      </c>
      <c r="K282" s="3" t="e">
        <v>#N/A</v>
      </c>
      <c r="L282" s="3">
        <v>7515.1900020321073</v>
      </c>
      <c r="M282" s="3">
        <v>756.35699999999997</v>
      </c>
      <c r="N282" s="3">
        <v>0</v>
      </c>
      <c r="O282" s="3">
        <v>0</v>
      </c>
      <c r="P282" s="3" t="e">
        <f>E282*(VLOOKUP(B282,Price_data!A$1:B$190,2,FALSE))</f>
        <v>#N/A</v>
      </c>
      <c r="Q282" s="3">
        <f>G282*(VLOOKUP(B282,Price_data!A$1:B$190,2,FALSE))</f>
        <v>23.20185537231513</v>
      </c>
      <c r="R282" s="3">
        <f>I282*(VLOOKUP(B282,Price_data!A$1:B$190,2,FALSE))</f>
        <v>0</v>
      </c>
      <c r="S282" s="4" t="str">
        <f>(VLOOKUP(B282,Price_data!A$1:C$190,3,FALSE))</f>
        <v>Open access</v>
      </c>
      <c r="T282" s="2" t="str">
        <f>IF(C282="Total", (VLOOKUP(B282,Recommended_fish_intake!A$4:D$122,4,FALSE)), "NA")</f>
        <v>NA</v>
      </c>
      <c r="U282" s="2" t="str">
        <f t="shared" si="34"/>
        <v>NA</v>
      </c>
    </row>
    <row r="283" spans="1:21" ht="14.25" customHeight="1">
      <c r="A283" s="2" t="s">
        <v>15</v>
      </c>
      <c r="B283" s="2">
        <v>1919</v>
      </c>
      <c r="C283" s="2" t="s">
        <v>23</v>
      </c>
      <c r="D283" s="3">
        <f t="shared" si="28"/>
        <v>154.19447266815686</v>
      </c>
      <c r="E283" s="3" t="e">
        <f t="shared" si="29"/>
        <v>#N/A</v>
      </c>
      <c r="F283" s="3">
        <f t="shared" si="30"/>
        <v>0.86638894533631372</v>
      </c>
      <c r="G283" s="3">
        <f t="shared" si="31"/>
        <v>7.3874999999999996E-2</v>
      </c>
      <c r="H283" s="3" t="e">
        <f t="shared" si="32"/>
        <v>#VALUE!</v>
      </c>
      <c r="I283" s="3" t="e">
        <f t="shared" si="33"/>
        <v>#VALUE!</v>
      </c>
      <c r="J283" s="3">
        <v>154194.47266815687</v>
      </c>
      <c r="K283" s="3" t="e">
        <v>#N/A</v>
      </c>
      <c r="L283" s="3">
        <v>866.38894533631367</v>
      </c>
      <c r="M283" s="3">
        <v>73.875</v>
      </c>
      <c r="N283" s="3" t="e">
        <v>#VALUE!</v>
      </c>
      <c r="O283" s="3" t="e">
        <v>#VALUE!</v>
      </c>
      <c r="P283" s="3" t="e">
        <f>E283*(VLOOKUP(B283,Price_data!A$1:B$190,2,FALSE))</f>
        <v>#N/A</v>
      </c>
      <c r="Q283" s="3">
        <f>G283*(VLOOKUP(B283,Price_data!A$1:B$190,2,FALSE))</f>
        <v>2.26617465777375</v>
      </c>
      <c r="R283" s="3" t="e">
        <f>I283*(VLOOKUP(B283,Price_data!A$1:B$190,2,FALSE))</f>
        <v>#VALUE!</v>
      </c>
      <c r="S283" s="4" t="str">
        <f>(VLOOKUP(B283,Price_data!A$1:C$190,3,FALSE))</f>
        <v>Open access</v>
      </c>
      <c r="T283" s="2" t="str">
        <f>IF(C283="Total", (VLOOKUP(B283,Recommended_fish_intake!A$4:D$122,4,FALSE)), "NA")</f>
        <v>NA</v>
      </c>
      <c r="U283" s="2" t="str">
        <f t="shared" si="34"/>
        <v>NA</v>
      </c>
    </row>
    <row r="284" spans="1:21" ht="14.25" customHeight="1">
      <c r="A284" s="2" t="s">
        <v>15</v>
      </c>
      <c r="B284" s="2">
        <v>1919</v>
      </c>
      <c r="C284" s="2" t="s">
        <v>19</v>
      </c>
      <c r="D284" s="3">
        <f t="shared" si="28"/>
        <v>370.24542775858566</v>
      </c>
      <c r="E284" s="3" t="e">
        <f t="shared" si="29"/>
        <v>#N/A</v>
      </c>
      <c r="F284" s="3">
        <f t="shared" si="30"/>
        <v>118.00741719162771</v>
      </c>
      <c r="G284" s="3">
        <f t="shared" si="31"/>
        <v>3.1260340000000002</v>
      </c>
      <c r="H284" s="3">
        <f t="shared" si="32"/>
        <v>24.653474903474905</v>
      </c>
      <c r="I284" s="3">
        <f t="shared" si="33"/>
        <v>0.64284699999999995</v>
      </c>
      <c r="J284" s="3">
        <v>370245.42775858566</v>
      </c>
      <c r="K284" s="3" t="e">
        <v>#N/A</v>
      </c>
      <c r="L284" s="3">
        <v>118007.41719162771</v>
      </c>
      <c r="M284" s="3">
        <v>3126.0340000000001</v>
      </c>
      <c r="N284" s="3">
        <v>24653.474903474904</v>
      </c>
      <c r="O284" s="3">
        <v>642.84699999999998</v>
      </c>
      <c r="P284" s="3" t="e">
        <f>E284*(VLOOKUP(B284,Price_data!A$1:B$190,2,FALSE))</f>
        <v>#N/A</v>
      </c>
      <c r="Q284" s="3">
        <f>G284*(VLOOKUP(B284,Price_data!A$1:B$190,2,FALSE))</f>
        <v>95.893590932509071</v>
      </c>
      <c r="R284" s="3">
        <f>I284*(VLOOKUP(B284,Price_data!A$1:B$190,2,FALSE))</f>
        <v>19.719845417609228</v>
      </c>
      <c r="S284" s="4" t="str">
        <f>(VLOOKUP(B284,Price_data!A$1:C$190,3,FALSE))</f>
        <v>Open access</v>
      </c>
      <c r="T284" s="2" t="str">
        <f>IF(C284="Total", (VLOOKUP(B284,Recommended_fish_intake!A$4:D$122,4,FALSE)), "NA")</f>
        <v>NA</v>
      </c>
      <c r="U284" s="2" t="str">
        <f t="shared" si="34"/>
        <v>NA</v>
      </c>
    </row>
    <row r="285" spans="1:21" ht="14.25" customHeight="1">
      <c r="A285" s="2" t="s">
        <v>15</v>
      </c>
      <c r="B285" s="2">
        <v>1919</v>
      </c>
      <c r="C285" s="2" t="s">
        <v>28</v>
      </c>
      <c r="D285" s="3" t="e">
        <f t="shared" si="28"/>
        <v>#VALUE!</v>
      </c>
      <c r="E285" s="3" t="e">
        <f t="shared" si="29"/>
        <v>#VALUE!</v>
      </c>
      <c r="F285" s="3">
        <f t="shared" si="30"/>
        <v>0.37314570209307052</v>
      </c>
      <c r="G285" s="3">
        <f t="shared" si="31"/>
        <v>1.3413999999999999E-2</v>
      </c>
      <c r="H285" s="3">
        <f t="shared" si="32"/>
        <v>5.6368116236537293</v>
      </c>
      <c r="I285" s="3">
        <f t="shared" si="33"/>
        <v>0.72492699999999999</v>
      </c>
      <c r="J285" s="3" t="e">
        <v>#VALUE!</v>
      </c>
      <c r="K285" s="3" t="e">
        <v>#VALUE!</v>
      </c>
      <c r="L285" s="3">
        <v>373.1457020930705</v>
      </c>
      <c r="M285" s="3">
        <v>13.414</v>
      </c>
      <c r="N285" s="3">
        <v>5636.8116236537289</v>
      </c>
      <c r="O285" s="3">
        <v>724.92700000000002</v>
      </c>
      <c r="P285" s="3" t="e">
        <f>E285*(VLOOKUP(B285,Price_data!A$1:B$190,2,FALSE))</f>
        <v>#VALUE!</v>
      </c>
      <c r="Q285" s="3">
        <f>G285*(VLOOKUP(B285,Price_data!A$1:B$190,2,FALSE))</f>
        <v>0.41148516899325999</v>
      </c>
      <c r="R285" s="3">
        <f>I285*(VLOOKUP(B285,Price_data!A$1:B$190,2,FALSE))</f>
        <v>22.237715006916432</v>
      </c>
      <c r="S285" s="4" t="str">
        <f>(VLOOKUP(B285,Price_data!A$1:C$190,3,FALSE))</f>
        <v>Open access</v>
      </c>
      <c r="T285" s="2" t="str">
        <f>IF(C285="Total", (VLOOKUP(B285,Recommended_fish_intake!A$4:D$122,4,FALSE)), "NA")</f>
        <v>NA</v>
      </c>
      <c r="U285" s="2" t="e">
        <f t="shared" si="34"/>
        <v>#VALUE!</v>
      </c>
    </row>
    <row r="286" spans="1:21" ht="14.25" customHeight="1">
      <c r="A286" s="2" t="s">
        <v>15</v>
      </c>
      <c r="B286" s="2">
        <v>1919</v>
      </c>
      <c r="C286" s="2" t="s">
        <v>29</v>
      </c>
      <c r="D286" s="3" t="e">
        <f t="shared" si="28"/>
        <v>#VALUE!</v>
      </c>
      <c r="E286" s="3" t="e">
        <f t="shared" si="29"/>
        <v>#VALUE!</v>
      </c>
      <c r="F286" s="3">
        <f t="shared" si="30"/>
        <v>3.5409469619995929E-2</v>
      </c>
      <c r="G286" s="3">
        <f t="shared" si="31"/>
        <v>9.3390000000000001E-3</v>
      </c>
      <c r="H286" s="3">
        <f t="shared" si="32"/>
        <v>57.896870554765286</v>
      </c>
      <c r="I286" s="3">
        <f t="shared" si="33"/>
        <v>8.1502540000000003</v>
      </c>
      <c r="J286" s="3" t="e">
        <v>#VALUE!</v>
      </c>
      <c r="K286" s="3" t="e">
        <v>#VALUE!</v>
      </c>
      <c r="L286" s="3">
        <v>35.409469619995932</v>
      </c>
      <c r="M286" s="3">
        <v>9.3390000000000004</v>
      </c>
      <c r="N286" s="3">
        <v>57896.870554765286</v>
      </c>
      <c r="O286" s="3">
        <v>8150.2539999999999</v>
      </c>
      <c r="P286" s="3" t="e">
        <f>E286*(VLOOKUP(B286,Price_data!A$1:B$190,2,FALSE))</f>
        <v>#VALUE!</v>
      </c>
      <c r="Q286" s="3">
        <f>G286*(VLOOKUP(B286,Price_data!A$1:B$190,2,FALSE))</f>
        <v>0.28648128770151005</v>
      </c>
      <c r="R286" s="3">
        <f>I286*(VLOOKUP(B286,Price_data!A$1:B$190,2,FALSE))</f>
        <v>250.01555423646889</v>
      </c>
      <c r="S286" s="4" t="str">
        <f>(VLOOKUP(B286,Price_data!A$1:C$190,3,FALSE))</f>
        <v>Open access</v>
      </c>
      <c r="T286" s="2" t="str">
        <f>IF(C286="Total", (VLOOKUP(B286,Recommended_fish_intake!A$4:D$122,4,FALSE)), "NA")</f>
        <v>NA</v>
      </c>
      <c r="U286" s="2" t="str">
        <f t="shared" si="34"/>
        <v>NA</v>
      </c>
    </row>
    <row r="287" spans="1:21" ht="14.25" customHeight="1">
      <c r="A287" s="2" t="s">
        <v>15</v>
      </c>
      <c r="B287" s="2">
        <v>1919</v>
      </c>
      <c r="C287" s="2" t="s">
        <v>20</v>
      </c>
      <c r="D287" s="3">
        <f t="shared" si="28"/>
        <v>13.440408453566349</v>
      </c>
      <c r="E287" s="3" t="e">
        <f t="shared" si="29"/>
        <v>#N/A</v>
      </c>
      <c r="F287" s="3">
        <f t="shared" si="30"/>
        <v>6.9249136354399505</v>
      </c>
      <c r="G287" s="3">
        <f t="shared" si="31"/>
        <v>0.37751699999999999</v>
      </c>
      <c r="H287" s="3" t="e">
        <f t="shared" si="32"/>
        <v>#VALUE!</v>
      </c>
      <c r="I287" s="3" t="e">
        <f t="shared" si="33"/>
        <v>#VALUE!</v>
      </c>
      <c r="J287" s="3">
        <v>13440.408453566348</v>
      </c>
      <c r="K287" s="3" t="e">
        <v>#N/A</v>
      </c>
      <c r="L287" s="3">
        <v>6924.9136354399507</v>
      </c>
      <c r="M287" s="3">
        <v>377.517</v>
      </c>
      <c r="N287" s="3" t="e">
        <v>#VALUE!</v>
      </c>
      <c r="O287" s="3" t="e">
        <v>#VALUE!</v>
      </c>
      <c r="P287" s="3" t="e">
        <f>E287*(VLOOKUP(B287,Price_data!A$1:B$190,2,FALSE))</f>
        <v>#N/A</v>
      </c>
      <c r="Q287" s="3">
        <f>G287*(VLOOKUP(B287,Price_data!A$1:B$190,2,FALSE))</f>
        <v>11.58063564505953</v>
      </c>
      <c r="R287" s="3" t="e">
        <f>I287*(VLOOKUP(B287,Price_data!A$1:B$190,2,FALSE))</f>
        <v>#VALUE!</v>
      </c>
      <c r="S287" s="4" t="str">
        <f>(VLOOKUP(B287,Price_data!A$1:C$190,3,FALSE))</f>
        <v>Open access</v>
      </c>
      <c r="T287" s="2" t="str">
        <f>IF(C287="Total", (VLOOKUP(B287,Recommended_fish_intake!A$4:D$122,4,FALSE)), "NA")</f>
        <v>NA</v>
      </c>
      <c r="U287" s="2" t="str">
        <f t="shared" si="34"/>
        <v>NA</v>
      </c>
    </row>
    <row r="288" spans="1:21" ht="14.25" customHeight="1">
      <c r="A288" s="2" t="s">
        <v>15</v>
      </c>
      <c r="B288" s="2">
        <v>1919</v>
      </c>
      <c r="C288" s="2" t="s">
        <v>25</v>
      </c>
      <c r="D288" s="3">
        <f t="shared" si="28"/>
        <v>37.40342410079252</v>
      </c>
      <c r="E288" s="3" t="e">
        <f t="shared" si="29"/>
        <v>#N/A</v>
      </c>
      <c r="F288" s="3" t="e">
        <f t="shared" si="30"/>
        <v>#N/A</v>
      </c>
      <c r="G288" s="3" t="e">
        <f t="shared" si="31"/>
        <v>#N/A</v>
      </c>
      <c r="H288" s="3" t="e">
        <f t="shared" si="32"/>
        <v>#N/A</v>
      </c>
      <c r="I288" s="3" t="e">
        <f t="shared" si="33"/>
        <v>#N/A</v>
      </c>
      <c r="J288" s="3">
        <v>37403.424100792523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f>E288*(VLOOKUP(B288,Price_data!A$1:B$190,2,FALSE))</f>
        <v>#N/A</v>
      </c>
      <c r="Q288" s="3" t="e">
        <f>G288*(VLOOKUP(B288,Price_data!A$1:B$190,2,FALSE))</f>
        <v>#N/A</v>
      </c>
      <c r="R288" s="3" t="e">
        <f>I288*(VLOOKUP(B288,Price_data!A$1:B$190,2,FALSE))</f>
        <v>#N/A</v>
      </c>
      <c r="S288" s="4" t="str">
        <f>(VLOOKUP(B288,Price_data!A$1:C$190,3,FALSE))</f>
        <v>Open access</v>
      </c>
      <c r="T288" s="2" t="str">
        <f>IF(C288="Total", (VLOOKUP(B288,Recommended_fish_intake!A$4:D$122,4,FALSE)), "NA")</f>
        <v>NA</v>
      </c>
      <c r="U288" s="2" t="str">
        <f t="shared" si="34"/>
        <v>NA</v>
      </c>
    </row>
    <row r="289" spans="1:21" ht="14.25" customHeight="1">
      <c r="A289" s="2" t="s">
        <v>15</v>
      </c>
      <c r="B289" s="2">
        <v>1919</v>
      </c>
      <c r="C289" s="2" t="s">
        <v>24</v>
      </c>
      <c r="D289" s="3">
        <f t="shared" si="28"/>
        <v>18.534342613289979</v>
      </c>
      <c r="E289" s="3" t="e">
        <f t="shared" si="29"/>
        <v>#N/A</v>
      </c>
      <c r="F289" s="3" t="e">
        <f t="shared" si="30"/>
        <v>#N/A</v>
      </c>
      <c r="G289" s="3" t="e">
        <f t="shared" si="31"/>
        <v>#N/A</v>
      </c>
      <c r="H289" s="3" t="e">
        <f t="shared" si="32"/>
        <v>#N/A</v>
      </c>
      <c r="I289" s="3" t="e">
        <f t="shared" si="33"/>
        <v>#N/A</v>
      </c>
      <c r="J289" s="3">
        <v>18534.34261328998</v>
      </c>
      <c r="K289" s="3" t="e">
        <v>#N/A</v>
      </c>
      <c r="L289" s="3" t="e">
        <v>#N/A</v>
      </c>
      <c r="M289" s="3" t="e">
        <v>#N/A</v>
      </c>
      <c r="N289" s="3" t="e">
        <v>#N/A</v>
      </c>
      <c r="O289" s="3" t="e">
        <v>#N/A</v>
      </c>
      <c r="P289" s="3" t="e">
        <f>E289*(VLOOKUP(B289,Price_data!A$1:B$190,2,FALSE))</f>
        <v>#N/A</v>
      </c>
      <c r="Q289" s="3" t="e">
        <f>G289*(VLOOKUP(B289,Price_data!A$1:B$190,2,FALSE))</f>
        <v>#N/A</v>
      </c>
      <c r="R289" s="3" t="e">
        <f>I289*(VLOOKUP(B289,Price_data!A$1:B$190,2,FALSE))</f>
        <v>#N/A</v>
      </c>
      <c r="S289" s="4" t="str">
        <f>(VLOOKUP(B289,Price_data!A$1:C$190,3,FALSE))</f>
        <v>Open access</v>
      </c>
      <c r="T289" s="2" t="str">
        <f>IF(C289="Total", (VLOOKUP(B289,Recommended_fish_intake!A$4:D$122,4,FALSE)), "NA")</f>
        <v>NA</v>
      </c>
      <c r="U289" s="2" t="str">
        <f t="shared" si="34"/>
        <v>NA</v>
      </c>
    </row>
    <row r="290" spans="1:21" ht="14.25" customHeight="1">
      <c r="A290" s="2" t="s">
        <v>15</v>
      </c>
      <c r="B290" s="2">
        <v>1919</v>
      </c>
      <c r="C290" s="2" t="s">
        <v>30</v>
      </c>
      <c r="D290" s="3" t="e">
        <f t="shared" si="28"/>
        <v>#N/A</v>
      </c>
      <c r="E290" s="3" t="e">
        <f t="shared" si="29"/>
        <v>#N/A</v>
      </c>
      <c r="F290" s="3" t="e">
        <f t="shared" si="30"/>
        <v>#VALUE!</v>
      </c>
      <c r="G290" s="3" t="e">
        <f t="shared" si="31"/>
        <v>#VALUE!</v>
      </c>
      <c r="H290" s="3" t="e">
        <f t="shared" si="32"/>
        <v>#VALUE!</v>
      </c>
      <c r="I290" s="3" t="e">
        <f t="shared" si="33"/>
        <v>#VALUE!</v>
      </c>
      <c r="J290" s="3" t="e">
        <v>#N/A</v>
      </c>
      <c r="K290" s="3" t="e">
        <v>#N/A</v>
      </c>
      <c r="L290" s="3" t="e">
        <v>#VALUE!</v>
      </c>
      <c r="M290" s="3" t="e">
        <v>#VALUE!</v>
      </c>
      <c r="N290" s="3" t="e">
        <v>#VALUE!</v>
      </c>
      <c r="O290" s="3" t="e">
        <v>#VALUE!</v>
      </c>
      <c r="P290" s="3" t="e">
        <f>E290*(VLOOKUP(B290,Price_data!A$1:B$190,2,FALSE))</f>
        <v>#N/A</v>
      </c>
      <c r="Q290" s="3" t="e">
        <f>G290*(VLOOKUP(B290,Price_data!A$1:B$190,2,FALSE))</f>
        <v>#VALUE!</v>
      </c>
      <c r="R290" s="3" t="e">
        <f>I290*(VLOOKUP(B290,Price_data!A$1:B$190,2,FALSE))</f>
        <v>#VALUE!</v>
      </c>
      <c r="S290" s="4" t="str">
        <f>(VLOOKUP(B290,Price_data!A$1:C$190,3,FALSE))</f>
        <v>Open access</v>
      </c>
      <c r="T290" s="2" t="str">
        <f>IF(C290="Total", (VLOOKUP(B290,Recommended_fish_intake!A$4:D$122,4,FALSE)), "NA")</f>
        <v>NA</v>
      </c>
      <c r="U290" s="2" t="str">
        <f t="shared" si="34"/>
        <v>NA</v>
      </c>
    </row>
    <row r="291" spans="1:21" ht="14.25" customHeight="1">
      <c r="A291" s="2" t="s">
        <v>15</v>
      </c>
      <c r="B291" s="2">
        <v>1920</v>
      </c>
      <c r="C291" s="2" t="s">
        <v>16</v>
      </c>
      <c r="D291" s="3">
        <f t="shared" si="28"/>
        <v>1096.4360902255639</v>
      </c>
      <c r="E291" s="3">
        <f t="shared" si="29"/>
        <v>29.042148000000001</v>
      </c>
      <c r="F291" s="3">
        <f t="shared" si="30"/>
        <v>202.01026214184108</v>
      </c>
      <c r="G291" s="3">
        <f t="shared" si="31"/>
        <v>7.1211980000000006</v>
      </c>
      <c r="H291" s="3">
        <f t="shared" si="32"/>
        <v>139.00965250965251</v>
      </c>
      <c r="I291" s="3">
        <f t="shared" si="33"/>
        <v>12.893970999999999</v>
      </c>
      <c r="J291" s="3">
        <v>1096436.0902255639</v>
      </c>
      <c r="K291" s="3">
        <v>29042.148000000001</v>
      </c>
      <c r="L291" s="3">
        <v>202010.26214184109</v>
      </c>
      <c r="M291" s="3">
        <v>7121.1980000000003</v>
      </c>
      <c r="N291" s="3">
        <v>139009.65250965251</v>
      </c>
      <c r="O291" s="3">
        <v>12893.971</v>
      </c>
      <c r="P291" s="3">
        <f>E291*(VLOOKUP(B291,Price_data!A$1:B$190,2,FALSE))</f>
        <v>771.16660172379261</v>
      </c>
      <c r="Q291" s="3">
        <f>G291*(VLOOKUP(B291,Price_data!A$1:B$190,2,FALSE))</f>
        <v>189.09173184649666</v>
      </c>
      <c r="R291" s="3">
        <f>I291*(VLOOKUP(B291,Price_data!A$1:B$190,2,FALSE))</f>
        <v>342.37824966648924</v>
      </c>
      <c r="S291" s="4" t="str">
        <f>(VLOOKUP(B291,Price_data!A$1:C$190,3,FALSE))</f>
        <v>Open access</v>
      </c>
      <c r="T291" s="2">
        <f>IF(C291="Total", (VLOOKUP(B291,Recommended_fish_intake!A$4:D$122,4,FALSE)), "NA")</f>
        <v>595.92575640683697</v>
      </c>
      <c r="U291" s="2" t="str">
        <f t="shared" si="34"/>
        <v>NA</v>
      </c>
    </row>
    <row r="292" spans="1:21" ht="14.25" customHeight="1">
      <c r="A292" s="2" t="s">
        <v>15</v>
      </c>
      <c r="B292" s="2">
        <v>1920</v>
      </c>
      <c r="C292" s="2" t="s">
        <v>22</v>
      </c>
      <c r="D292" s="3">
        <f t="shared" si="28"/>
        <v>175.51016053647632</v>
      </c>
      <c r="E292" s="3" t="e">
        <f t="shared" si="29"/>
        <v>#N/A</v>
      </c>
      <c r="F292" s="3">
        <f t="shared" si="30"/>
        <v>9.4143974801869543</v>
      </c>
      <c r="G292" s="3">
        <f t="shared" si="31"/>
        <v>0.80786800000000003</v>
      </c>
      <c r="H292" s="3" t="e">
        <f t="shared" si="32"/>
        <v>#VALUE!</v>
      </c>
      <c r="I292" s="3" t="e">
        <f t="shared" si="33"/>
        <v>#VALUE!</v>
      </c>
      <c r="J292" s="3">
        <v>175510.16053647632</v>
      </c>
      <c r="K292" s="3" t="e">
        <v>#N/A</v>
      </c>
      <c r="L292" s="3">
        <v>9414.3974801869535</v>
      </c>
      <c r="M292" s="3">
        <v>807.86800000000005</v>
      </c>
      <c r="N292" s="3" t="e">
        <v>#VALUE!</v>
      </c>
      <c r="O292" s="3" t="e">
        <v>#VALUE!</v>
      </c>
      <c r="P292" s="3" t="e">
        <f>E292*(VLOOKUP(B292,Price_data!A$1:B$190,2,FALSE))</f>
        <v>#N/A</v>
      </c>
      <c r="Q292" s="3">
        <f>G292*(VLOOKUP(B292,Price_data!A$1:B$190,2,FALSE))</f>
        <v>21.451609577962241</v>
      </c>
      <c r="R292" s="3" t="e">
        <f>I292*(VLOOKUP(B292,Price_data!A$1:B$190,2,FALSE))</f>
        <v>#VALUE!</v>
      </c>
      <c r="S292" s="4" t="str">
        <f>(VLOOKUP(B292,Price_data!A$1:C$190,3,FALSE))</f>
        <v>Open access</v>
      </c>
      <c r="T292" s="2" t="str">
        <f>IF(C292="Total", (VLOOKUP(B292,Recommended_fish_intake!A$4:D$122,4,FALSE)), "NA")</f>
        <v>NA</v>
      </c>
      <c r="U292" s="2" t="str">
        <f t="shared" si="34"/>
        <v>NA</v>
      </c>
    </row>
    <row r="293" spans="1:21" ht="14.25" customHeight="1">
      <c r="A293" s="2" t="s">
        <v>15</v>
      </c>
      <c r="B293" s="2">
        <v>1920</v>
      </c>
      <c r="C293" s="2" t="s">
        <v>23</v>
      </c>
      <c r="D293" s="3">
        <f t="shared" si="28"/>
        <v>199.72886608412924</v>
      </c>
      <c r="E293" s="3" t="e">
        <f t="shared" si="29"/>
        <v>#N/A</v>
      </c>
      <c r="F293" s="3">
        <f t="shared" si="30"/>
        <v>1.442084942084942</v>
      </c>
      <c r="G293" s="3">
        <f t="shared" si="31"/>
        <v>9.6007999999999996E-2</v>
      </c>
      <c r="H293" s="3" t="e">
        <f t="shared" si="32"/>
        <v>#VALUE!</v>
      </c>
      <c r="I293" s="3" t="e">
        <f t="shared" si="33"/>
        <v>#VALUE!</v>
      </c>
      <c r="J293" s="3">
        <v>199728.86608412923</v>
      </c>
      <c r="K293" s="3" t="e">
        <v>#N/A</v>
      </c>
      <c r="L293" s="3">
        <v>1442.084942084942</v>
      </c>
      <c r="M293" s="3">
        <v>96.007999999999996</v>
      </c>
      <c r="N293" s="3" t="e">
        <v>#VALUE!</v>
      </c>
      <c r="O293" s="3" t="e">
        <v>#VALUE!</v>
      </c>
      <c r="P293" s="3" t="e">
        <f>E293*(VLOOKUP(B293,Price_data!A$1:B$190,2,FALSE))</f>
        <v>#N/A</v>
      </c>
      <c r="Q293" s="3">
        <f>G293*(VLOOKUP(B293,Price_data!A$1:B$190,2,FALSE))</f>
        <v>2.5493349561574399</v>
      </c>
      <c r="R293" s="3" t="e">
        <f>I293*(VLOOKUP(B293,Price_data!A$1:B$190,2,FALSE))</f>
        <v>#VALUE!</v>
      </c>
      <c r="S293" s="4" t="str">
        <f>(VLOOKUP(B293,Price_data!A$1:C$190,3,FALSE))</f>
        <v>Open access</v>
      </c>
      <c r="T293" s="2" t="str">
        <f>IF(C293="Total", (VLOOKUP(B293,Recommended_fish_intake!A$4:D$122,4,FALSE)), "NA")</f>
        <v>NA</v>
      </c>
      <c r="U293" s="2" t="str">
        <f t="shared" si="34"/>
        <v>NA</v>
      </c>
    </row>
    <row r="294" spans="1:21" ht="14.25" customHeight="1">
      <c r="A294" s="2" t="s">
        <v>15</v>
      </c>
      <c r="B294" s="2">
        <v>1920</v>
      </c>
      <c r="C294" s="2" t="s">
        <v>19</v>
      </c>
      <c r="D294" s="3">
        <f t="shared" si="28"/>
        <v>395.83931111562691</v>
      </c>
      <c r="E294" s="3" t="e">
        <f t="shared" si="29"/>
        <v>#N/A</v>
      </c>
      <c r="F294" s="3">
        <f t="shared" si="30"/>
        <v>174.23790896159318</v>
      </c>
      <c r="G294" s="3">
        <f t="shared" si="31"/>
        <v>5.2572600000000005</v>
      </c>
      <c r="H294" s="3">
        <f t="shared" si="32"/>
        <v>29.829506197927252</v>
      </c>
      <c r="I294" s="3">
        <f t="shared" si="33"/>
        <v>0.35884199999999999</v>
      </c>
      <c r="J294" s="3">
        <v>395839.31111562689</v>
      </c>
      <c r="K294" s="3" t="e">
        <v>#N/A</v>
      </c>
      <c r="L294" s="3">
        <v>174237.90896159317</v>
      </c>
      <c r="M294" s="3">
        <v>5257.26</v>
      </c>
      <c r="N294" s="3">
        <v>29829.50619792725</v>
      </c>
      <c r="O294" s="3">
        <v>358.84199999999998</v>
      </c>
      <c r="P294" s="3" t="e">
        <f>E294*(VLOOKUP(B294,Price_data!A$1:B$190,2,FALSE))</f>
        <v>#N/A</v>
      </c>
      <c r="Q294" s="3">
        <f>G294*(VLOOKUP(B294,Price_data!A$1:B$190,2,FALSE))</f>
        <v>139.59791571127681</v>
      </c>
      <c r="R294" s="3">
        <f>I294*(VLOOKUP(B294,Price_data!A$1:B$190,2,FALSE))</f>
        <v>9.5284606942905601</v>
      </c>
      <c r="S294" s="4" t="str">
        <f>(VLOOKUP(B294,Price_data!A$1:C$190,3,FALSE))</f>
        <v>Open access</v>
      </c>
      <c r="T294" s="2" t="str">
        <f>IF(C294="Total", (VLOOKUP(B294,Recommended_fish_intake!A$4:D$122,4,FALSE)), "NA")</f>
        <v>NA</v>
      </c>
      <c r="U294" s="2" t="str">
        <f t="shared" si="34"/>
        <v>NA</v>
      </c>
    </row>
    <row r="295" spans="1:21" ht="14.25" customHeight="1">
      <c r="A295" s="2" t="s">
        <v>15</v>
      </c>
      <c r="B295" s="2">
        <v>1920</v>
      </c>
      <c r="C295" s="2" t="s">
        <v>28</v>
      </c>
      <c r="D295" s="3" t="e">
        <f t="shared" si="28"/>
        <v>#VALUE!</v>
      </c>
      <c r="E295" s="3" t="e">
        <f t="shared" si="29"/>
        <v>#VALUE!</v>
      </c>
      <c r="F295" s="3">
        <f t="shared" si="30"/>
        <v>0.15113798008534848</v>
      </c>
      <c r="G295" s="3">
        <f t="shared" si="31"/>
        <v>1.3963E-2</v>
      </c>
      <c r="H295" s="3">
        <f t="shared" si="32"/>
        <v>9.0184413737045315</v>
      </c>
      <c r="I295" s="3">
        <f t="shared" si="33"/>
        <v>0.73190700000000009</v>
      </c>
      <c r="J295" s="3" t="e">
        <v>#VALUE!</v>
      </c>
      <c r="K295" s="3" t="e">
        <v>#VALUE!</v>
      </c>
      <c r="L295" s="3">
        <v>151.13798008534849</v>
      </c>
      <c r="M295" s="3">
        <v>13.962999999999999</v>
      </c>
      <c r="N295" s="3">
        <v>9018.4413737045306</v>
      </c>
      <c r="O295" s="3">
        <v>731.90700000000004</v>
      </c>
      <c r="P295" s="3" t="e">
        <f>E295*(VLOOKUP(B295,Price_data!A$1:B$190,2,FALSE))</f>
        <v>#VALUE!</v>
      </c>
      <c r="Q295" s="3">
        <f>G295*(VLOOKUP(B295,Price_data!A$1:B$190,2,FALSE))</f>
        <v>0.37076456121183998</v>
      </c>
      <c r="R295" s="3">
        <f>I295*(VLOOKUP(B295,Price_data!A$1:B$190,2,FALSE))</f>
        <v>19.434589823309761</v>
      </c>
      <c r="S295" s="4" t="str">
        <f>(VLOOKUP(B295,Price_data!A$1:C$190,3,FALSE))</f>
        <v>Open access</v>
      </c>
      <c r="T295" s="2" t="str">
        <f>IF(C295="Total", (VLOOKUP(B295,Recommended_fish_intake!A$4:D$122,4,FALSE)), "NA")</f>
        <v>NA</v>
      </c>
      <c r="U295" s="2" t="e">
        <f t="shared" si="34"/>
        <v>#VALUE!</v>
      </c>
    </row>
    <row r="296" spans="1:21" ht="14.25" customHeight="1">
      <c r="A296" s="2" t="s">
        <v>15</v>
      </c>
      <c r="B296" s="2">
        <v>1920</v>
      </c>
      <c r="C296" s="2" t="s">
        <v>29</v>
      </c>
      <c r="D296" s="3" t="e">
        <f t="shared" si="28"/>
        <v>#VALUE!</v>
      </c>
      <c r="E296" s="3" t="e">
        <f t="shared" si="29"/>
        <v>#VALUE!</v>
      </c>
      <c r="F296" s="3">
        <f t="shared" si="30"/>
        <v>8.1538305222515747E-2</v>
      </c>
      <c r="G296" s="3">
        <f t="shared" si="31"/>
        <v>2.4966000000000002E-2</v>
      </c>
      <c r="H296" s="3">
        <f t="shared" si="32"/>
        <v>43.17943507417192</v>
      </c>
      <c r="I296" s="3">
        <f t="shared" si="33"/>
        <v>7.4880089999999999</v>
      </c>
      <c r="J296" s="3" t="e">
        <v>#VALUE!</v>
      </c>
      <c r="K296" s="3" t="e">
        <v>#VALUE!</v>
      </c>
      <c r="L296" s="3">
        <v>81.538305222515746</v>
      </c>
      <c r="M296" s="3">
        <v>24.966000000000001</v>
      </c>
      <c r="N296" s="3">
        <v>43179.435074171917</v>
      </c>
      <c r="O296" s="3">
        <v>7488.009</v>
      </c>
      <c r="P296" s="3" t="e">
        <f>E296*(VLOOKUP(B296,Price_data!A$1:B$190,2,FALSE))</f>
        <v>#VALUE!</v>
      </c>
      <c r="Q296" s="3">
        <f>G296*(VLOOKUP(B296,Price_data!A$1:B$190,2,FALSE))</f>
        <v>0.66293117777088006</v>
      </c>
      <c r="R296" s="3">
        <f>I296*(VLOOKUP(B296,Price_data!A$1:B$190,2,FALSE))</f>
        <v>198.83179626407713</v>
      </c>
      <c r="S296" s="4" t="str">
        <f>(VLOOKUP(B296,Price_data!A$1:C$190,3,FALSE))</f>
        <v>Open access</v>
      </c>
      <c r="T296" s="2" t="str">
        <f>IF(C296="Total", (VLOOKUP(B296,Recommended_fish_intake!A$4:D$122,4,FALSE)), "NA")</f>
        <v>NA</v>
      </c>
      <c r="U296" s="2" t="str">
        <f t="shared" si="34"/>
        <v>NA</v>
      </c>
    </row>
    <row r="297" spans="1:21" ht="14.25" customHeight="1">
      <c r="A297" s="2" t="s">
        <v>15</v>
      </c>
      <c r="B297" s="2">
        <v>1920</v>
      </c>
      <c r="C297" s="2" t="s">
        <v>20</v>
      </c>
      <c r="D297" s="3">
        <f t="shared" si="28"/>
        <v>20.190764072343018</v>
      </c>
      <c r="E297" s="3" t="e">
        <f t="shared" si="29"/>
        <v>#N/A</v>
      </c>
      <c r="F297" s="3">
        <f t="shared" si="30"/>
        <v>5.9918207681365576</v>
      </c>
      <c r="G297" s="3">
        <f t="shared" si="31"/>
        <v>0.25892999999999999</v>
      </c>
      <c r="H297" s="3" t="e">
        <f t="shared" si="32"/>
        <v>#VALUE!</v>
      </c>
      <c r="I297" s="3" t="e">
        <f t="shared" si="33"/>
        <v>#VALUE!</v>
      </c>
      <c r="J297" s="3">
        <v>20190.76407234302</v>
      </c>
      <c r="K297" s="3" t="e">
        <v>#N/A</v>
      </c>
      <c r="L297" s="3">
        <v>5991.8207681365575</v>
      </c>
      <c r="M297" s="3">
        <v>258.93</v>
      </c>
      <c r="N297" s="3" t="e">
        <v>#VALUE!</v>
      </c>
      <c r="O297" s="3" t="e">
        <v>#VALUE!</v>
      </c>
      <c r="P297" s="3" t="e">
        <f>E297*(VLOOKUP(B297,Price_data!A$1:B$190,2,FALSE))</f>
        <v>#N/A</v>
      </c>
      <c r="Q297" s="3">
        <f>G297*(VLOOKUP(B297,Price_data!A$1:B$190,2,FALSE))</f>
        <v>6.8754614219423997</v>
      </c>
      <c r="R297" s="3" t="e">
        <f>I297*(VLOOKUP(B297,Price_data!A$1:B$190,2,FALSE))</f>
        <v>#VALUE!</v>
      </c>
      <c r="S297" s="4" t="str">
        <f>(VLOOKUP(B297,Price_data!A$1:C$190,3,FALSE))</f>
        <v>Open access</v>
      </c>
      <c r="T297" s="2" t="str">
        <f>IF(C297="Total", (VLOOKUP(B297,Recommended_fish_intake!A$4:D$122,4,FALSE)), "NA")</f>
        <v>NA</v>
      </c>
      <c r="U297" s="2" t="str">
        <f t="shared" si="34"/>
        <v>NA</v>
      </c>
    </row>
    <row r="298" spans="1:21" ht="14.25" customHeight="1">
      <c r="A298" s="2" t="s">
        <v>15</v>
      </c>
      <c r="B298" s="2">
        <v>1920</v>
      </c>
      <c r="C298" s="2" t="s">
        <v>25</v>
      </c>
      <c r="D298" s="3">
        <f t="shared" si="28"/>
        <v>50.846321885795568</v>
      </c>
      <c r="E298" s="3" t="e">
        <f t="shared" si="29"/>
        <v>#N/A</v>
      </c>
      <c r="F298" s="3" t="e">
        <f t="shared" si="30"/>
        <v>#N/A</v>
      </c>
      <c r="G298" s="3" t="e">
        <f t="shared" si="31"/>
        <v>#N/A</v>
      </c>
      <c r="H298" s="3" t="e">
        <f t="shared" si="32"/>
        <v>#N/A</v>
      </c>
      <c r="I298" s="3" t="e">
        <f t="shared" si="33"/>
        <v>#N/A</v>
      </c>
      <c r="J298" s="3">
        <v>50846.321885795565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f>E298*(VLOOKUP(B298,Price_data!A$1:B$190,2,FALSE))</f>
        <v>#N/A</v>
      </c>
      <c r="Q298" s="3" t="e">
        <f>G298*(VLOOKUP(B298,Price_data!A$1:B$190,2,FALSE))</f>
        <v>#N/A</v>
      </c>
      <c r="R298" s="3" t="e">
        <f>I298*(VLOOKUP(B298,Price_data!A$1:B$190,2,FALSE))</f>
        <v>#N/A</v>
      </c>
      <c r="S298" s="4" t="str">
        <f>(VLOOKUP(B298,Price_data!A$1:C$190,3,FALSE))</f>
        <v>Open access</v>
      </c>
      <c r="T298" s="2" t="str">
        <f>IF(C298="Total", (VLOOKUP(B298,Recommended_fish_intake!A$4:D$122,4,FALSE)), "NA")</f>
        <v>NA</v>
      </c>
      <c r="U298" s="2" t="str">
        <f t="shared" si="34"/>
        <v>NA</v>
      </c>
    </row>
    <row r="299" spans="1:21" ht="14.25" customHeight="1">
      <c r="A299" s="2" t="s">
        <v>15</v>
      </c>
      <c r="B299" s="2">
        <v>1920</v>
      </c>
      <c r="C299" s="2" t="s">
        <v>24</v>
      </c>
      <c r="D299" s="3">
        <f t="shared" si="28"/>
        <v>28.940103637472056</v>
      </c>
      <c r="E299" s="3" t="e">
        <f t="shared" si="29"/>
        <v>#N/A</v>
      </c>
      <c r="F299" s="3" t="e">
        <f t="shared" si="30"/>
        <v>#N/A</v>
      </c>
      <c r="G299" s="3" t="e">
        <f t="shared" si="31"/>
        <v>#N/A</v>
      </c>
      <c r="H299" s="3" t="e">
        <f t="shared" si="32"/>
        <v>#N/A</v>
      </c>
      <c r="I299" s="3" t="e">
        <f t="shared" si="33"/>
        <v>#N/A</v>
      </c>
      <c r="J299" s="3">
        <v>28940.103637472057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f>E299*(VLOOKUP(B299,Price_data!A$1:B$190,2,FALSE))</f>
        <v>#N/A</v>
      </c>
      <c r="Q299" s="3" t="e">
        <f>G299*(VLOOKUP(B299,Price_data!A$1:B$190,2,FALSE))</f>
        <v>#N/A</v>
      </c>
      <c r="R299" s="3" t="e">
        <f>I299*(VLOOKUP(B299,Price_data!A$1:B$190,2,FALSE))</f>
        <v>#N/A</v>
      </c>
      <c r="S299" s="4" t="str">
        <f>(VLOOKUP(B299,Price_data!A$1:C$190,3,FALSE))</f>
        <v>Open access</v>
      </c>
      <c r="T299" s="2" t="str">
        <f>IF(C299="Total", (VLOOKUP(B299,Recommended_fish_intake!A$4:D$122,4,FALSE)), "NA")</f>
        <v>NA</v>
      </c>
      <c r="U299" s="2" t="str">
        <f t="shared" si="34"/>
        <v>NA</v>
      </c>
    </row>
    <row r="300" spans="1:21" ht="14.25" customHeight="1">
      <c r="A300" s="2" t="s">
        <v>15</v>
      </c>
      <c r="B300" s="2">
        <v>1920</v>
      </c>
      <c r="C300" s="2" t="s">
        <v>30</v>
      </c>
      <c r="D300" s="3" t="e">
        <f t="shared" si="28"/>
        <v>#N/A</v>
      </c>
      <c r="E300" s="3" t="e">
        <f t="shared" si="29"/>
        <v>#N/A</v>
      </c>
      <c r="F300" s="3" t="e">
        <f t="shared" si="30"/>
        <v>#VALUE!</v>
      </c>
      <c r="G300" s="3" t="e">
        <f t="shared" si="31"/>
        <v>#VALUE!</v>
      </c>
      <c r="H300" s="3" t="e">
        <f t="shared" si="32"/>
        <v>#VALUE!</v>
      </c>
      <c r="I300" s="3" t="e">
        <f t="shared" si="33"/>
        <v>#VALUE!</v>
      </c>
      <c r="J300" s="3" t="e">
        <v>#N/A</v>
      </c>
      <c r="K300" s="3" t="e">
        <v>#N/A</v>
      </c>
      <c r="L300" s="3" t="e">
        <v>#VALUE!</v>
      </c>
      <c r="M300" s="3" t="e">
        <v>#VALUE!</v>
      </c>
      <c r="N300" s="3" t="e">
        <v>#VALUE!</v>
      </c>
      <c r="O300" s="3" t="e">
        <v>#VALUE!</v>
      </c>
      <c r="P300" s="3" t="e">
        <f>E300*(VLOOKUP(B300,Price_data!A$1:B$190,2,FALSE))</f>
        <v>#N/A</v>
      </c>
      <c r="Q300" s="3" t="e">
        <f>G300*(VLOOKUP(B300,Price_data!A$1:B$190,2,FALSE))</f>
        <v>#VALUE!</v>
      </c>
      <c r="R300" s="3" t="e">
        <f>I300*(VLOOKUP(B300,Price_data!A$1:B$190,2,FALSE))</f>
        <v>#VALUE!</v>
      </c>
      <c r="S300" s="4" t="str">
        <f>(VLOOKUP(B300,Price_data!A$1:C$190,3,FALSE))</f>
        <v>Open access</v>
      </c>
      <c r="T300" s="2" t="str">
        <f>IF(C300="Total", (VLOOKUP(B300,Recommended_fish_intake!A$4:D$122,4,FALSE)), "NA")</f>
        <v>NA</v>
      </c>
      <c r="U300" s="2" t="str">
        <f t="shared" si="34"/>
        <v>NA</v>
      </c>
    </row>
    <row r="301" spans="1:21" ht="14.25" customHeight="1">
      <c r="A301" s="2" t="s">
        <v>15</v>
      </c>
      <c r="B301" s="2">
        <v>1921</v>
      </c>
      <c r="C301" s="2" t="s">
        <v>16</v>
      </c>
      <c r="D301" s="3">
        <f t="shared" si="28"/>
        <v>856.091597236334</v>
      </c>
      <c r="E301" s="3">
        <f t="shared" si="29"/>
        <v>21.981128999999999</v>
      </c>
      <c r="F301" s="3">
        <f t="shared" si="30"/>
        <v>292.95006096321885</v>
      </c>
      <c r="G301" s="3">
        <f t="shared" si="31"/>
        <v>6.0717479999999995</v>
      </c>
      <c r="H301" s="3">
        <f t="shared" si="32"/>
        <v>143.47038203617151</v>
      </c>
      <c r="I301" s="3">
        <f t="shared" si="33"/>
        <v>9.5171299999999999</v>
      </c>
      <c r="J301" s="3">
        <v>856091.597236334</v>
      </c>
      <c r="K301" s="3">
        <v>21981.129000000001</v>
      </c>
      <c r="L301" s="3">
        <v>292950.06096321886</v>
      </c>
      <c r="M301" s="3">
        <v>6071.7479999999996</v>
      </c>
      <c r="N301" s="3">
        <v>143470.3820361715</v>
      </c>
      <c r="O301" s="3">
        <v>9517.1299999999992</v>
      </c>
      <c r="P301" s="3">
        <f>E301*(VLOOKUP(B301,Price_data!A$1:B$190,2,FALSE))</f>
        <v>639.26071259986929</v>
      </c>
      <c r="Q301" s="3">
        <f>G301*(VLOOKUP(B301,Price_data!A$1:B$190,2,FALSE))</f>
        <v>176.58009983048782</v>
      </c>
      <c r="R301" s="3">
        <f>I301*(VLOOKUP(B301,Price_data!A$1:B$190,2,FALSE))</f>
        <v>276.77956422100038</v>
      </c>
      <c r="S301" s="4" t="str">
        <f>(VLOOKUP(B301,Price_data!A$1:C$190,3,FALSE))</f>
        <v>Open access</v>
      </c>
      <c r="T301" s="2">
        <f>IF(C301="Total", (VLOOKUP(B301,Recommended_fish_intake!A$4:D$122,4,FALSE)), "NA")</f>
        <v>599.82293065364036</v>
      </c>
      <c r="U301" s="2" t="str">
        <f t="shared" si="34"/>
        <v>NA</v>
      </c>
    </row>
    <row r="302" spans="1:21" ht="14.25" customHeight="1">
      <c r="A302" s="2" t="s">
        <v>15</v>
      </c>
      <c r="B302" s="2">
        <v>1921</v>
      </c>
      <c r="C302" s="2" t="s">
        <v>22</v>
      </c>
      <c r="D302" s="3">
        <f t="shared" si="28"/>
        <v>139.91515952042266</v>
      </c>
      <c r="E302" s="3" t="e">
        <f t="shared" si="29"/>
        <v>#N/A</v>
      </c>
      <c r="F302" s="3" t="e">
        <f t="shared" si="30"/>
        <v>#N/A</v>
      </c>
      <c r="G302" s="3" t="e">
        <f t="shared" si="31"/>
        <v>#N/A</v>
      </c>
      <c r="H302" s="3" t="e">
        <f t="shared" si="32"/>
        <v>#N/A</v>
      </c>
      <c r="I302" s="3" t="e">
        <f t="shared" si="33"/>
        <v>#N/A</v>
      </c>
      <c r="J302" s="3">
        <v>139915.15952042266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f>E302*(VLOOKUP(B302,Price_data!A$1:B$190,2,FALSE))</f>
        <v>#N/A</v>
      </c>
      <c r="Q302" s="3" t="e">
        <f>G302*(VLOOKUP(B302,Price_data!A$1:B$190,2,FALSE))</f>
        <v>#N/A</v>
      </c>
      <c r="R302" s="3" t="e">
        <f>I302*(VLOOKUP(B302,Price_data!A$1:B$190,2,FALSE))</f>
        <v>#N/A</v>
      </c>
      <c r="S302" s="4" t="str">
        <f>(VLOOKUP(B302,Price_data!A$1:C$190,3,FALSE))</f>
        <v>Open access</v>
      </c>
      <c r="T302" s="2" t="str">
        <f>IF(C302="Total", (VLOOKUP(B302,Recommended_fish_intake!A$4:D$122,4,FALSE)), "NA")</f>
        <v>NA</v>
      </c>
      <c r="U302" s="2" t="str">
        <f t="shared" si="34"/>
        <v>NA</v>
      </c>
    </row>
    <row r="303" spans="1:21" ht="14.25" customHeight="1">
      <c r="A303" s="2" t="s">
        <v>15</v>
      </c>
      <c r="B303" s="2">
        <v>1921</v>
      </c>
      <c r="C303" s="2" t="s">
        <v>23</v>
      </c>
      <c r="D303" s="3">
        <f t="shared" si="28"/>
        <v>159.19680959154641</v>
      </c>
      <c r="E303" s="3" t="e">
        <f t="shared" si="29"/>
        <v>#N/A</v>
      </c>
      <c r="F303" s="3" t="e">
        <f t="shared" si="30"/>
        <v>#N/A</v>
      </c>
      <c r="G303" s="3" t="e">
        <f t="shared" si="31"/>
        <v>#N/A</v>
      </c>
      <c r="H303" s="3" t="e">
        <f t="shared" si="32"/>
        <v>#N/A</v>
      </c>
      <c r="I303" s="3" t="e">
        <f t="shared" si="33"/>
        <v>#N/A</v>
      </c>
      <c r="J303" s="3">
        <v>159196.80959154642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f>E303*(VLOOKUP(B303,Price_data!A$1:B$190,2,FALSE))</f>
        <v>#N/A</v>
      </c>
      <c r="Q303" s="3" t="e">
        <f>G303*(VLOOKUP(B303,Price_data!A$1:B$190,2,FALSE))</f>
        <v>#N/A</v>
      </c>
      <c r="R303" s="3" t="e">
        <f>I303*(VLOOKUP(B303,Price_data!A$1:B$190,2,FALSE))</f>
        <v>#N/A</v>
      </c>
      <c r="S303" s="4" t="str">
        <f>(VLOOKUP(B303,Price_data!A$1:C$190,3,FALSE))</f>
        <v>Open access</v>
      </c>
      <c r="T303" s="2" t="str">
        <f>IF(C303="Total", (VLOOKUP(B303,Recommended_fish_intake!A$4:D$122,4,FALSE)), "NA")</f>
        <v>NA</v>
      </c>
      <c r="U303" s="2" t="str">
        <f t="shared" si="34"/>
        <v>NA</v>
      </c>
    </row>
    <row r="304" spans="1:21" ht="14.25" customHeight="1">
      <c r="A304" s="2" t="s">
        <v>15</v>
      </c>
      <c r="B304" s="2">
        <v>1921</v>
      </c>
      <c r="C304" s="2" t="s">
        <v>19</v>
      </c>
      <c r="D304" s="3">
        <f t="shared" si="28"/>
        <v>269.1435683804105</v>
      </c>
      <c r="E304" s="3" t="e">
        <f t="shared" si="29"/>
        <v>#N/A</v>
      </c>
      <c r="F304" s="3" t="e">
        <f t="shared" si="30"/>
        <v>#N/A</v>
      </c>
      <c r="G304" s="3" t="e">
        <f t="shared" si="31"/>
        <v>#N/A</v>
      </c>
      <c r="H304" s="3" t="e">
        <f t="shared" si="32"/>
        <v>#N/A</v>
      </c>
      <c r="I304" s="3" t="e">
        <f t="shared" si="33"/>
        <v>#N/A</v>
      </c>
      <c r="J304" s="3">
        <v>269143.56838041049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f>E304*(VLOOKUP(B304,Price_data!A$1:B$190,2,FALSE))</f>
        <v>#N/A</v>
      </c>
      <c r="Q304" s="3" t="e">
        <f>G304*(VLOOKUP(B304,Price_data!A$1:B$190,2,FALSE))</f>
        <v>#N/A</v>
      </c>
      <c r="R304" s="3" t="e">
        <f>I304*(VLOOKUP(B304,Price_data!A$1:B$190,2,FALSE))</f>
        <v>#N/A</v>
      </c>
      <c r="S304" s="4" t="str">
        <f>(VLOOKUP(B304,Price_data!A$1:C$190,3,FALSE))</f>
        <v>Open access</v>
      </c>
      <c r="T304" s="2" t="str">
        <f>IF(C304="Total", (VLOOKUP(B304,Recommended_fish_intake!A$4:D$122,4,FALSE)), "NA")</f>
        <v>NA</v>
      </c>
      <c r="U304" s="2" t="str">
        <f t="shared" si="34"/>
        <v>NA</v>
      </c>
    </row>
    <row r="305" spans="1:21" ht="14.25" customHeight="1">
      <c r="A305" s="2" t="s">
        <v>15</v>
      </c>
      <c r="B305" s="2">
        <v>1921</v>
      </c>
      <c r="C305" s="2" t="s">
        <v>28</v>
      </c>
      <c r="D305" s="3" t="e">
        <f t="shared" si="28"/>
        <v>#VALUE!</v>
      </c>
      <c r="E305" s="3" t="e">
        <f t="shared" si="29"/>
        <v>#VALUE!</v>
      </c>
      <c r="F305" s="3" t="e">
        <f t="shared" si="30"/>
        <v>#N/A</v>
      </c>
      <c r="G305" s="3" t="e">
        <f t="shared" si="31"/>
        <v>#N/A</v>
      </c>
      <c r="H305" s="3" t="e">
        <f t="shared" si="32"/>
        <v>#N/A</v>
      </c>
      <c r="I305" s="3" t="e">
        <f t="shared" si="33"/>
        <v>#N/A</v>
      </c>
      <c r="J305" s="3" t="e">
        <v>#VALUE!</v>
      </c>
      <c r="K305" s="3" t="e">
        <v>#VALUE!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f>E305*(VLOOKUP(B305,Price_data!A$1:B$190,2,FALSE))</f>
        <v>#VALUE!</v>
      </c>
      <c r="Q305" s="3" t="e">
        <f>G305*(VLOOKUP(B305,Price_data!A$1:B$190,2,FALSE))</f>
        <v>#N/A</v>
      </c>
      <c r="R305" s="3" t="e">
        <f>I305*(VLOOKUP(B305,Price_data!A$1:B$190,2,FALSE))</f>
        <v>#N/A</v>
      </c>
      <c r="S305" s="4" t="str">
        <f>(VLOOKUP(B305,Price_data!A$1:C$190,3,FALSE))</f>
        <v>Open access</v>
      </c>
      <c r="T305" s="2" t="str">
        <f>IF(C305="Total", (VLOOKUP(B305,Recommended_fish_intake!A$4:D$122,4,FALSE)), "NA")</f>
        <v>NA</v>
      </c>
      <c r="U305" s="2" t="e">
        <f t="shared" si="34"/>
        <v>#VALUE!</v>
      </c>
    </row>
    <row r="306" spans="1:21" ht="14.25" customHeight="1">
      <c r="A306" s="2" t="s">
        <v>15</v>
      </c>
      <c r="B306" s="2">
        <v>1921</v>
      </c>
      <c r="C306" s="2" t="s">
        <v>29</v>
      </c>
      <c r="D306" s="3" t="e">
        <f t="shared" si="28"/>
        <v>#VALUE!</v>
      </c>
      <c r="E306" s="3" t="e">
        <f t="shared" si="29"/>
        <v>#VALUE!</v>
      </c>
      <c r="F306" s="3" t="e">
        <f t="shared" si="30"/>
        <v>#N/A</v>
      </c>
      <c r="G306" s="3" t="e">
        <f t="shared" si="31"/>
        <v>#N/A</v>
      </c>
      <c r="H306" s="3" t="e">
        <f t="shared" si="32"/>
        <v>#N/A</v>
      </c>
      <c r="I306" s="3" t="e">
        <f t="shared" si="33"/>
        <v>#N/A</v>
      </c>
      <c r="J306" s="3" t="e">
        <v>#VALUE!</v>
      </c>
      <c r="K306" s="3" t="e">
        <v>#VALUE!</v>
      </c>
      <c r="L306" s="3" t="e">
        <v>#N/A</v>
      </c>
      <c r="M306" s="3" t="e">
        <v>#N/A</v>
      </c>
      <c r="N306" s="3" t="e">
        <v>#N/A</v>
      </c>
      <c r="O306" s="3" t="e">
        <v>#N/A</v>
      </c>
      <c r="P306" s="3" t="e">
        <f>E306*(VLOOKUP(B306,Price_data!A$1:B$190,2,FALSE))</f>
        <v>#VALUE!</v>
      </c>
      <c r="Q306" s="3" t="e">
        <f>G306*(VLOOKUP(B306,Price_data!A$1:B$190,2,FALSE))</f>
        <v>#N/A</v>
      </c>
      <c r="R306" s="3" t="e">
        <f>I306*(VLOOKUP(B306,Price_data!A$1:B$190,2,FALSE))</f>
        <v>#N/A</v>
      </c>
      <c r="S306" s="4" t="str">
        <f>(VLOOKUP(B306,Price_data!A$1:C$190,3,FALSE))</f>
        <v>Open access</v>
      </c>
      <c r="T306" s="2" t="str">
        <f>IF(C306="Total", (VLOOKUP(B306,Recommended_fish_intake!A$4:D$122,4,FALSE)), "NA")</f>
        <v>NA</v>
      </c>
      <c r="U306" s="2" t="str">
        <f t="shared" si="34"/>
        <v>NA</v>
      </c>
    </row>
    <row r="307" spans="1:21" ht="14.25" customHeight="1">
      <c r="A307" s="2" t="s">
        <v>15</v>
      </c>
      <c r="B307" s="2">
        <v>1921</v>
      </c>
      <c r="C307" s="2" t="s">
        <v>20</v>
      </c>
      <c r="D307" s="3">
        <f t="shared" si="28"/>
        <v>17.721804511278194</v>
      </c>
      <c r="E307" s="3" t="e">
        <f t="shared" si="29"/>
        <v>#N/A</v>
      </c>
      <c r="F307" s="3" t="e">
        <f t="shared" si="30"/>
        <v>#N/A</v>
      </c>
      <c r="G307" s="3" t="e">
        <f t="shared" si="31"/>
        <v>#N/A</v>
      </c>
      <c r="H307" s="3" t="e">
        <f t="shared" si="32"/>
        <v>#N/A</v>
      </c>
      <c r="I307" s="3" t="e">
        <f t="shared" si="33"/>
        <v>#N/A</v>
      </c>
      <c r="J307" s="3">
        <v>17721.804511278195</v>
      </c>
      <c r="K307" s="3" t="e">
        <v>#N/A</v>
      </c>
      <c r="L307" s="3" t="e">
        <v>#N/A</v>
      </c>
      <c r="M307" s="3" t="e">
        <v>#N/A</v>
      </c>
      <c r="N307" s="3" t="e">
        <v>#N/A</v>
      </c>
      <c r="O307" s="3" t="e">
        <v>#N/A</v>
      </c>
      <c r="P307" s="3" t="e">
        <f>E307*(VLOOKUP(B307,Price_data!A$1:B$190,2,FALSE))</f>
        <v>#N/A</v>
      </c>
      <c r="Q307" s="3" t="e">
        <f>G307*(VLOOKUP(B307,Price_data!A$1:B$190,2,FALSE))</f>
        <v>#N/A</v>
      </c>
      <c r="R307" s="3" t="e">
        <f>I307*(VLOOKUP(B307,Price_data!A$1:B$190,2,FALSE))</f>
        <v>#N/A</v>
      </c>
      <c r="S307" s="4" t="str">
        <f>(VLOOKUP(B307,Price_data!A$1:C$190,3,FALSE))</f>
        <v>Open access</v>
      </c>
      <c r="T307" s="2" t="str">
        <f>IF(C307="Total", (VLOOKUP(B307,Recommended_fish_intake!A$4:D$122,4,FALSE)), "NA")</f>
        <v>NA</v>
      </c>
      <c r="U307" s="2" t="str">
        <f t="shared" si="34"/>
        <v>NA</v>
      </c>
    </row>
    <row r="308" spans="1:21" ht="14.25" customHeight="1">
      <c r="A308" s="2" t="s">
        <v>15</v>
      </c>
      <c r="B308" s="2">
        <v>1921</v>
      </c>
      <c r="C308" s="2" t="s">
        <v>25</v>
      </c>
      <c r="D308" s="3">
        <f t="shared" si="28"/>
        <v>37.845864661654133</v>
      </c>
      <c r="E308" s="3" t="e">
        <f t="shared" si="29"/>
        <v>#N/A</v>
      </c>
      <c r="F308" s="3" t="e">
        <f t="shared" si="30"/>
        <v>#N/A</v>
      </c>
      <c r="G308" s="3" t="e">
        <f t="shared" si="31"/>
        <v>#N/A</v>
      </c>
      <c r="H308" s="3" t="e">
        <f t="shared" si="32"/>
        <v>#N/A</v>
      </c>
      <c r="I308" s="3" t="e">
        <f t="shared" si="33"/>
        <v>#N/A</v>
      </c>
      <c r="J308" s="3">
        <v>37845.86466165413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f>E308*(VLOOKUP(B308,Price_data!A$1:B$190,2,FALSE))</f>
        <v>#N/A</v>
      </c>
      <c r="Q308" s="3" t="e">
        <f>G308*(VLOOKUP(B308,Price_data!A$1:B$190,2,FALSE))</f>
        <v>#N/A</v>
      </c>
      <c r="R308" s="3" t="e">
        <f>I308*(VLOOKUP(B308,Price_data!A$1:B$190,2,FALSE))</f>
        <v>#N/A</v>
      </c>
      <c r="S308" s="4" t="str">
        <f>(VLOOKUP(B308,Price_data!A$1:C$190,3,FALSE))</f>
        <v>Open access</v>
      </c>
      <c r="T308" s="2" t="str">
        <f>IF(C308="Total", (VLOOKUP(B308,Recommended_fish_intake!A$4:D$122,4,FALSE)), "NA")</f>
        <v>NA</v>
      </c>
      <c r="U308" s="2" t="str">
        <f t="shared" si="34"/>
        <v>NA</v>
      </c>
    </row>
    <row r="309" spans="1:21" ht="14.25" customHeight="1">
      <c r="A309" s="2" t="s">
        <v>15</v>
      </c>
      <c r="B309" s="2">
        <v>1921</v>
      </c>
      <c r="C309" s="2" t="s">
        <v>24</v>
      </c>
      <c r="D309" s="3">
        <f t="shared" si="28"/>
        <v>28.546382849014424</v>
      </c>
      <c r="E309" s="3" t="e">
        <f t="shared" si="29"/>
        <v>#N/A</v>
      </c>
      <c r="F309" s="3" t="e">
        <f t="shared" si="30"/>
        <v>#N/A</v>
      </c>
      <c r="G309" s="3" t="e">
        <f t="shared" si="31"/>
        <v>#N/A</v>
      </c>
      <c r="H309" s="3" t="e">
        <f t="shared" si="32"/>
        <v>#N/A</v>
      </c>
      <c r="I309" s="3" t="e">
        <f t="shared" si="33"/>
        <v>#N/A</v>
      </c>
      <c r="J309" s="3">
        <v>28546.382849014426</v>
      </c>
      <c r="K309" s="3" t="e">
        <v>#N/A</v>
      </c>
      <c r="L309" s="3" t="e">
        <v>#N/A</v>
      </c>
      <c r="M309" s="3" t="e">
        <v>#N/A</v>
      </c>
      <c r="N309" s="3" t="e">
        <v>#N/A</v>
      </c>
      <c r="O309" s="3" t="e">
        <v>#N/A</v>
      </c>
      <c r="P309" s="3" t="e">
        <f>E309*(VLOOKUP(B309,Price_data!A$1:B$190,2,FALSE))</f>
        <v>#N/A</v>
      </c>
      <c r="Q309" s="3" t="e">
        <f>G309*(VLOOKUP(B309,Price_data!A$1:B$190,2,FALSE))</f>
        <v>#N/A</v>
      </c>
      <c r="R309" s="3" t="e">
        <f>I309*(VLOOKUP(B309,Price_data!A$1:B$190,2,FALSE))</f>
        <v>#N/A</v>
      </c>
      <c r="S309" s="4" t="str">
        <f>(VLOOKUP(B309,Price_data!A$1:C$190,3,FALSE))</f>
        <v>Open access</v>
      </c>
      <c r="T309" s="2" t="str">
        <f>IF(C309="Total", (VLOOKUP(B309,Recommended_fish_intake!A$4:D$122,4,FALSE)), "NA")</f>
        <v>NA</v>
      </c>
      <c r="U309" s="2" t="str">
        <f t="shared" si="34"/>
        <v>NA</v>
      </c>
    </row>
    <row r="310" spans="1:21" ht="14.25" customHeight="1">
      <c r="A310" s="2" t="s">
        <v>15</v>
      </c>
      <c r="B310" s="2">
        <v>1921</v>
      </c>
      <c r="C310" s="2" t="s">
        <v>30</v>
      </c>
      <c r="D310" s="3" t="e">
        <f t="shared" si="28"/>
        <v>#N/A</v>
      </c>
      <c r="E310" s="3" t="e">
        <f t="shared" si="29"/>
        <v>#N/A</v>
      </c>
      <c r="F310" s="3" t="e">
        <f t="shared" si="30"/>
        <v>#N/A</v>
      </c>
      <c r="G310" s="3" t="e">
        <f t="shared" si="31"/>
        <v>#N/A</v>
      </c>
      <c r="H310" s="3" t="e">
        <f t="shared" si="32"/>
        <v>#N/A</v>
      </c>
      <c r="I310" s="3" t="e">
        <f t="shared" si="33"/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 t="e">
        <v>#N/A</v>
      </c>
      <c r="O310" s="3" t="e">
        <v>#N/A</v>
      </c>
      <c r="P310" s="3" t="e">
        <f>E310*(VLOOKUP(B310,Price_data!A$1:B$190,2,FALSE))</f>
        <v>#N/A</v>
      </c>
      <c r="Q310" s="3" t="e">
        <f>G310*(VLOOKUP(B310,Price_data!A$1:B$190,2,FALSE))</f>
        <v>#N/A</v>
      </c>
      <c r="R310" s="3" t="e">
        <f>I310*(VLOOKUP(B310,Price_data!A$1:B$190,2,FALSE))</f>
        <v>#N/A</v>
      </c>
      <c r="S310" s="4" t="str">
        <f>(VLOOKUP(B310,Price_data!A$1:C$190,3,FALSE))</f>
        <v>Open access</v>
      </c>
      <c r="T310" s="2" t="str">
        <f>IF(C310="Total", (VLOOKUP(B310,Recommended_fish_intake!A$4:D$122,4,FALSE)), "NA")</f>
        <v>NA</v>
      </c>
      <c r="U310" s="2" t="str">
        <f t="shared" si="34"/>
        <v>NA</v>
      </c>
    </row>
    <row r="311" spans="1:21" ht="14.25" customHeight="1">
      <c r="A311" s="2" t="s">
        <v>15</v>
      </c>
      <c r="B311" s="2">
        <v>1922</v>
      </c>
      <c r="C311" s="2" t="s">
        <v>16</v>
      </c>
      <c r="D311" s="3">
        <f t="shared" si="28"/>
        <v>901.73674049989836</v>
      </c>
      <c r="E311" s="3">
        <f t="shared" si="29"/>
        <v>18.368682</v>
      </c>
      <c r="F311" s="3">
        <f t="shared" si="30"/>
        <v>221.12477138792926</v>
      </c>
      <c r="G311" s="3">
        <f t="shared" si="31"/>
        <v>4.343845</v>
      </c>
      <c r="H311" s="3">
        <f t="shared" si="32"/>
        <v>151.96677504572241</v>
      </c>
      <c r="I311" s="3">
        <f t="shared" si="33"/>
        <v>8.9268709999999984</v>
      </c>
      <c r="J311" s="3">
        <v>901736.74049989833</v>
      </c>
      <c r="K311" s="3">
        <v>18368.682000000001</v>
      </c>
      <c r="L311" s="3">
        <v>221124.77138792927</v>
      </c>
      <c r="M311" s="3">
        <v>4343.8450000000003</v>
      </c>
      <c r="N311" s="3">
        <v>151966.7750457224</v>
      </c>
      <c r="O311" s="3">
        <v>8926.8709999999992</v>
      </c>
      <c r="P311" s="3">
        <f>E311*(VLOOKUP(B311,Price_data!A$1:B$190,2,FALSE))</f>
        <v>620.1045511384475</v>
      </c>
      <c r="Q311" s="3">
        <f>G311*(VLOOKUP(B311,Price_data!A$1:B$190,2,FALSE))</f>
        <v>146.64296839261465</v>
      </c>
      <c r="R311" s="3">
        <f>I311*(VLOOKUP(B311,Price_data!A$1:B$190,2,FALSE))</f>
        <v>301.36039888576784</v>
      </c>
      <c r="S311" s="4" t="str">
        <f>(VLOOKUP(B311,Price_data!A$1:C$190,3,FALSE))</f>
        <v>Open access</v>
      </c>
      <c r="T311" s="2">
        <f>IF(C311="Total", (VLOOKUP(B311,Recommended_fish_intake!A$4:D$122,4,FALSE)), "NA")</f>
        <v>580.73136175518221</v>
      </c>
      <c r="U311" s="2" t="str">
        <f t="shared" si="34"/>
        <v>NA</v>
      </c>
    </row>
    <row r="312" spans="1:21" ht="14.25" customHeight="1">
      <c r="A312" s="2" t="s">
        <v>15</v>
      </c>
      <c r="B312" s="2">
        <v>1922</v>
      </c>
      <c r="C312" s="2" t="s">
        <v>22</v>
      </c>
      <c r="D312" s="3">
        <f t="shared" si="28"/>
        <v>157.00055882950619</v>
      </c>
      <c r="E312" s="3" t="e">
        <f t="shared" si="29"/>
        <v>#N/A</v>
      </c>
      <c r="F312" s="3" t="e">
        <f t="shared" si="30"/>
        <v>#N/A</v>
      </c>
      <c r="G312" s="3" t="e">
        <f t="shared" si="31"/>
        <v>#N/A</v>
      </c>
      <c r="H312" s="3" t="e">
        <f t="shared" si="32"/>
        <v>#N/A</v>
      </c>
      <c r="I312" s="3" t="e">
        <f t="shared" si="33"/>
        <v>#N/A</v>
      </c>
      <c r="J312" s="3">
        <v>157000.55882950619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f>E312*(VLOOKUP(B312,Price_data!A$1:B$190,2,FALSE))</f>
        <v>#N/A</v>
      </c>
      <c r="Q312" s="3" t="e">
        <f>G312*(VLOOKUP(B312,Price_data!A$1:B$190,2,FALSE))</f>
        <v>#N/A</v>
      </c>
      <c r="R312" s="3" t="e">
        <f>I312*(VLOOKUP(B312,Price_data!A$1:B$190,2,FALSE))</f>
        <v>#N/A</v>
      </c>
      <c r="S312" s="4" t="str">
        <f>(VLOOKUP(B312,Price_data!A$1:C$190,3,FALSE))</f>
        <v>Open access</v>
      </c>
      <c r="T312" s="2" t="str">
        <f>IF(C312="Total", (VLOOKUP(B312,Recommended_fish_intake!A$4:D$122,4,FALSE)), "NA")</f>
        <v>NA</v>
      </c>
      <c r="U312" s="2" t="str">
        <f t="shared" si="34"/>
        <v>NA</v>
      </c>
    </row>
    <row r="313" spans="1:21" ht="14.25" customHeight="1">
      <c r="A313" s="2" t="s">
        <v>15</v>
      </c>
      <c r="B313" s="2">
        <v>1922</v>
      </c>
      <c r="C313" s="2" t="s">
        <v>23</v>
      </c>
      <c r="D313" s="3">
        <f t="shared" si="28"/>
        <v>172.70067059540742</v>
      </c>
      <c r="E313" s="3" t="e">
        <f t="shared" si="29"/>
        <v>#N/A</v>
      </c>
      <c r="F313" s="3" t="e">
        <f t="shared" si="30"/>
        <v>#N/A</v>
      </c>
      <c r="G313" s="3" t="e">
        <f t="shared" si="31"/>
        <v>#N/A</v>
      </c>
      <c r="H313" s="3" t="e">
        <f t="shared" si="32"/>
        <v>#N/A</v>
      </c>
      <c r="I313" s="3" t="e">
        <f t="shared" si="33"/>
        <v>#N/A</v>
      </c>
      <c r="J313" s="3">
        <v>172700.67059540743</v>
      </c>
      <c r="K313" s="3" t="e">
        <v>#N/A</v>
      </c>
      <c r="L313" s="3" t="e">
        <v>#N/A</v>
      </c>
      <c r="M313" s="3" t="e">
        <v>#N/A</v>
      </c>
      <c r="N313" s="3" t="e">
        <v>#N/A</v>
      </c>
      <c r="O313" s="3" t="e">
        <v>#N/A</v>
      </c>
      <c r="P313" s="3" t="e">
        <f>E313*(VLOOKUP(B313,Price_data!A$1:B$190,2,FALSE))</f>
        <v>#N/A</v>
      </c>
      <c r="Q313" s="3" t="e">
        <f>G313*(VLOOKUP(B313,Price_data!A$1:B$190,2,FALSE))</f>
        <v>#N/A</v>
      </c>
      <c r="R313" s="3" t="e">
        <f>I313*(VLOOKUP(B313,Price_data!A$1:B$190,2,FALSE))</f>
        <v>#N/A</v>
      </c>
      <c r="S313" s="4" t="str">
        <f>(VLOOKUP(B313,Price_data!A$1:C$190,3,FALSE))</f>
        <v>Open access</v>
      </c>
      <c r="T313" s="2" t="str">
        <f>IF(C313="Total", (VLOOKUP(B313,Recommended_fish_intake!A$4:D$122,4,FALSE)), "NA")</f>
        <v>NA</v>
      </c>
      <c r="U313" s="2" t="str">
        <f t="shared" si="34"/>
        <v>NA</v>
      </c>
    </row>
    <row r="314" spans="1:21" ht="14.25" customHeight="1">
      <c r="A314" s="2" t="s">
        <v>15</v>
      </c>
      <c r="B314" s="2">
        <v>1922</v>
      </c>
      <c r="C314" s="2" t="s">
        <v>19</v>
      </c>
      <c r="D314" s="3">
        <f t="shared" si="28"/>
        <v>273.47464946149154</v>
      </c>
      <c r="E314" s="3" t="e">
        <f t="shared" si="29"/>
        <v>#N/A</v>
      </c>
      <c r="F314" s="3" t="e">
        <f t="shared" si="30"/>
        <v>#N/A</v>
      </c>
      <c r="G314" s="3" t="e">
        <f t="shared" si="31"/>
        <v>#N/A</v>
      </c>
      <c r="H314" s="3" t="e">
        <f t="shared" si="32"/>
        <v>#N/A</v>
      </c>
      <c r="I314" s="3" t="e">
        <f t="shared" si="33"/>
        <v>#N/A</v>
      </c>
      <c r="J314" s="3">
        <v>273474.64946149156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f>E314*(VLOOKUP(B314,Price_data!A$1:B$190,2,FALSE))</f>
        <v>#N/A</v>
      </c>
      <c r="Q314" s="3" t="e">
        <f>G314*(VLOOKUP(B314,Price_data!A$1:B$190,2,FALSE))</f>
        <v>#N/A</v>
      </c>
      <c r="R314" s="3" t="e">
        <f>I314*(VLOOKUP(B314,Price_data!A$1:B$190,2,FALSE))</f>
        <v>#N/A</v>
      </c>
      <c r="S314" s="4" t="str">
        <f>(VLOOKUP(B314,Price_data!A$1:C$190,3,FALSE))</f>
        <v>Open access</v>
      </c>
      <c r="T314" s="2" t="str">
        <f>IF(C314="Total", (VLOOKUP(B314,Recommended_fish_intake!A$4:D$122,4,FALSE)), "NA")</f>
        <v>NA</v>
      </c>
      <c r="U314" s="2" t="str">
        <f t="shared" si="34"/>
        <v>NA</v>
      </c>
    </row>
    <row r="315" spans="1:21" ht="14.25" customHeight="1">
      <c r="A315" s="2" t="s">
        <v>15</v>
      </c>
      <c r="B315" s="2">
        <v>1922</v>
      </c>
      <c r="C315" s="2" t="s">
        <v>28</v>
      </c>
      <c r="D315" s="3" t="e">
        <f t="shared" si="28"/>
        <v>#VALUE!</v>
      </c>
      <c r="E315" s="3" t="e">
        <f t="shared" si="29"/>
        <v>#VALUE!</v>
      </c>
      <c r="F315" s="3" t="e">
        <f t="shared" si="30"/>
        <v>#N/A</v>
      </c>
      <c r="G315" s="3" t="e">
        <f t="shared" si="31"/>
        <v>#N/A</v>
      </c>
      <c r="H315" s="3" t="e">
        <f t="shared" si="32"/>
        <v>#N/A</v>
      </c>
      <c r="I315" s="3" t="e">
        <f t="shared" si="33"/>
        <v>#N/A</v>
      </c>
      <c r="J315" s="3" t="e">
        <v>#VALUE!</v>
      </c>
      <c r="K315" s="3" t="e">
        <v>#VALUE!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f>E315*(VLOOKUP(B315,Price_data!A$1:B$190,2,FALSE))</f>
        <v>#VALUE!</v>
      </c>
      <c r="Q315" s="3" t="e">
        <f>G315*(VLOOKUP(B315,Price_data!A$1:B$190,2,FALSE))</f>
        <v>#N/A</v>
      </c>
      <c r="R315" s="3" t="e">
        <f>I315*(VLOOKUP(B315,Price_data!A$1:B$190,2,FALSE))</f>
        <v>#N/A</v>
      </c>
      <c r="S315" s="4" t="str">
        <f>(VLOOKUP(B315,Price_data!A$1:C$190,3,FALSE))</f>
        <v>Open access</v>
      </c>
      <c r="T315" s="2" t="str">
        <f>IF(C315="Total", (VLOOKUP(B315,Recommended_fish_intake!A$4:D$122,4,FALSE)), "NA")</f>
        <v>NA</v>
      </c>
      <c r="U315" s="2" t="e">
        <f t="shared" si="34"/>
        <v>#VALUE!</v>
      </c>
    </row>
    <row r="316" spans="1:21" ht="14.25" customHeight="1">
      <c r="A316" s="2" t="s">
        <v>15</v>
      </c>
      <c r="B316" s="2">
        <v>1922</v>
      </c>
      <c r="C316" s="2" t="s">
        <v>29</v>
      </c>
      <c r="D316" s="3" t="e">
        <f t="shared" si="28"/>
        <v>#VALUE!</v>
      </c>
      <c r="E316" s="3" t="e">
        <f t="shared" si="29"/>
        <v>#VALUE!</v>
      </c>
      <c r="F316" s="3" t="e">
        <f t="shared" si="30"/>
        <v>#N/A</v>
      </c>
      <c r="G316" s="3" t="e">
        <f t="shared" si="31"/>
        <v>#N/A</v>
      </c>
      <c r="H316" s="3" t="e">
        <f t="shared" si="32"/>
        <v>#N/A</v>
      </c>
      <c r="I316" s="3" t="e">
        <f t="shared" si="33"/>
        <v>#N/A</v>
      </c>
      <c r="J316" s="3" t="e">
        <v>#VALUE!</v>
      </c>
      <c r="K316" s="3" t="e">
        <v>#VALUE!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f>E316*(VLOOKUP(B316,Price_data!A$1:B$190,2,FALSE))</f>
        <v>#VALUE!</v>
      </c>
      <c r="Q316" s="3" t="e">
        <f>G316*(VLOOKUP(B316,Price_data!A$1:B$190,2,FALSE))</f>
        <v>#N/A</v>
      </c>
      <c r="R316" s="3" t="e">
        <f>I316*(VLOOKUP(B316,Price_data!A$1:B$190,2,FALSE))</f>
        <v>#N/A</v>
      </c>
      <c r="S316" s="4" t="str">
        <f>(VLOOKUP(B316,Price_data!A$1:C$190,3,FALSE))</f>
        <v>Open access</v>
      </c>
      <c r="T316" s="2" t="str">
        <f>IF(C316="Total", (VLOOKUP(B316,Recommended_fish_intake!A$4:D$122,4,FALSE)), "NA")</f>
        <v>NA</v>
      </c>
      <c r="U316" s="2" t="str">
        <f t="shared" si="34"/>
        <v>NA</v>
      </c>
    </row>
    <row r="317" spans="1:21" ht="14.25" customHeight="1">
      <c r="A317" s="2" t="s">
        <v>15</v>
      </c>
      <c r="B317" s="2">
        <v>1922</v>
      </c>
      <c r="C317" s="2" t="s">
        <v>20</v>
      </c>
      <c r="D317" s="3">
        <f t="shared" si="28"/>
        <v>15.875939849624059</v>
      </c>
      <c r="E317" s="3" t="e">
        <f t="shared" si="29"/>
        <v>#N/A</v>
      </c>
      <c r="F317" s="3" t="e">
        <f t="shared" si="30"/>
        <v>#N/A</v>
      </c>
      <c r="G317" s="3" t="e">
        <f t="shared" si="31"/>
        <v>#N/A</v>
      </c>
      <c r="H317" s="3" t="e">
        <f t="shared" si="32"/>
        <v>#N/A</v>
      </c>
      <c r="I317" s="3" t="e">
        <f t="shared" si="33"/>
        <v>#N/A</v>
      </c>
      <c r="J317" s="3">
        <v>15875.939849624059</v>
      </c>
      <c r="K317" s="3" t="e">
        <v>#N/A</v>
      </c>
      <c r="L317" s="3" t="e">
        <v>#N/A</v>
      </c>
      <c r="M317" s="3" t="e">
        <v>#N/A</v>
      </c>
      <c r="N317" s="3" t="e">
        <v>#N/A</v>
      </c>
      <c r="O317" s="3" t="e">
        <v>#N/A</v>
      </c>
      <c r="P317" s="3" t="e">
        <f>E317*(VLOOKUP(B317,Price_data!A$1:B$190,2,FALSE))</f>
        <v>#N/A</v>
      </c>
      <c r="Q317" s="3" t="e">
        <f>G317*(VLOOKUP(B317,Price_data!A$1:B$190,2,FALSE))</f>
        <v>#N/A</v>
      </c>
      <c r="R317" s="3" t="e">
        <f>I317*(VLOOKUP(B317,Price_data!A$1:B$190,2,FALSE))</f>
        <v>#N/A</v>
      </c>
      <c r="S317" s="4" t="str">
        <f>(VLOOKUP(B317,Price_data!A$1:C$190,3,FALSE))</f>
        <v>Open access</v>
      </c>
      <c r="T317" s="2" t="str">
        <f>IF(C317="Total", (VLOOKUP(B317,Recommended_fish_intake!A$4:D$122,4,FALSE)), "NA")</f>
        <v>NA</v>
      </c>
      <c r="U317" s="2" t="str">
        <f t="shared" si="34"/>
        <v>NA</v>
      </c>
    </row>
    <row r="318" spans="1:21" ht="14.25" customHeight="1">
      <c r="A318" s="2" t="s">
        <v>15</v>
      </c>
      <c r="B318" s="2">
        <v>1922</v>
      </c>
      <c r="C318" s="2" t="s">
        <v>25</v>
      </c>
      <c r="D318" s="3">
        <f t="shared" si="28"/>
        <v>42.354348709611862</v>
      </c>
      <c r="E318" s="3" t="e">
        <f t="shared" si="29"/>
        <v>#N/A</v>
      </c>
      <c r="F318" s="3" t="e">
        <f t="shared" si="30"/>
        <v>#N/A</v>
      </c>
      <c r="G318" s="3" t="e">
        <f t="shared" si="31"/>
        <v>#N/A</v>
      </c>
      <c r="H318" s="3" t="e">
        <f t="shared" si="32"/>
        <v>#N/A</v>
      </c>
      <c r="I318" s="3" t="e">
        <f t="shared" si="33"/>
        <v>#N/A</v>
      </c>
      <c r="J318" s="3">
        <v>42354.348709611862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f>E318*(VLOOKUP(B318,Price_data!A$1:B$190,2,FALSE))</f>
        <v>#N/A</v>
      </c>
      <c r="Q318" s="3" t="e">
        <f>G318*(VLOOKUP(B318,Price_data!A$1:B$190,2,FALSE))</f>
        <v>#N/A</v>
      </c>
      <c r="R318" s="3" t="e">
        <f>I318*(VLOOKUP(B318,Price_data!A$1:B$190,2,FALSE))</f>
        <v>#N/A</v>
      </c>
      <c r="S318" s="4" t="str">
        <f>(VLOOKUP(B318,Price_data!A$1:C$190,3,FALSE))</f>
        <v>Open access</v>
      </c>
      <c r="T318" s="2" t="str">
        <f>IF(C318="Total", (VLOOKUP(B318,Recommended_fish_intake!A$4:D$122,4,FALSE)), "NA")</f>
        <v>NA</v>
      </c>
      <c r="U318" s="2" t="str">
        <f t="shared" si="34"/>
        <v>NA</v>
      </c>
    </row>
    <row r="319" spans="1:21" ht="14.25" customHeight="1">
      <c r="A319" s="2" t="s">
        <v>15</v>
      </c>
      <c r="B319" s="2">
        <v>1922</v>
      </c>
      <c r="C319" s="2" t="s">
        <v>24</v>
      </c>
      <c r="D319" s="3">
        <f t="shared" si="28"/>
        <v>24.422576712050397</v>
      </c>
      <c r="E319" s="3" t="e">
        <f t="shared" si="29"/>
        <v>#N/A</v>
      </c>
      <c r="F319" s="3" t="e">
        <f t="shared" si="30"/>
        <v>#N/A</v>
      </c>
      <c r="G319" s="3" t="e">
        <f t="shared" si="31"/>
        <v>#N/A</v>
      </c>
      <c r="H319" s="3" t="e">
        <f t="shared" si="32"/>
        <v>#N/A</v>
      </c>
      <c r="I319" s="3" t="e">
        <f t="shared" si="33"/>
        <v>#N/A</v>
      </c>
      <c r="J319" s="3">
        <v>24422.576712050395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f>E319*(VLOOKUP(B319,Price_data!A$1:B$190,2,FALSE))</f>
        <v>#N/A</v>
      </c>
      <c r="Q319" s="3" t="e">
        <f>G319*(VLOOKUP(B319,Price_data!A$1:B$190,2,FALSE))</f>
        <v>#N/A</v>
      </c>
      <c r="R319" s="3" t="e">
        <f>I319*(VLOOKUP(B319,Price_data!A$1:B$190,2,FALSE))</f>
        <v>#N/A</v>
      </c>
      <c r="S319" s="4" t="str">
        <f>(VLOOKUP(B319,Price_data!A$1:C$190,3,FALSE))</f>
        <v>Open access</v>
      </c>
      <c r="T319" s="2" t="str">
        <f>IF(C319="Total", (VLOOKUP(B319,Recommended_fish_intake!A$4:D$122,4,FALSE)), "NA")</f>
        <v>NA</v>
      </c>
      <c r="U319" s="2" t="str">
        <f t="shared" si="34"/>
        <v>NA</v>
      </c>
    </row>
    <row r="320" spans="1:21" ht="14.25" customHeight="1">
      <c r="A320" s="2" t="s">
        <v>15</v>
      </c>
      <c r="B320" s="2">
        <v>1922</v>
      </c>
      <c r="C320" s="2" t="s">
        <v>30</v>
      </c>
      <c r="D320" s="3" t="e">
        <f t="shared" si="28"/>
        <v>#N/A</v>
      </c>
      <c r="E320" s="3" t="e">
        <f t="shared" si="29"/>
        <v>#N/A</v>
      </c>
      <c r="F320" s="3" t="e">
        <f t="shared" si="30"/>
        <v>#N/A</v>
      </c>
      <c r="G320" s="3" t="e">
        <f t="shared" si="31"/>
        <v>#N/A</v>
      </c>
      <c r="H320" s="3" t="e">
        <f t="shared" si="32"/>
        <v>#N/A</v>
      </c>
      <c r="I320" s="3" t="e">
        <f t="shared" si="33"/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f>E320*(VLOOKUP(B320,Price_data!A$1:B$190,2,FALSE))</f>
        <v>#N/A</v>
      </c>
      <c r="Q320" s="3" t="e">
        <f>G320*(VLOOKUP(B320,Price_data!A$1:B$190,2,FALSE))</f>
        <v>#N/A</v>
      </c>
      <c r="R320" s="3" t="e">
        <f>I320*(VLOOKUP(B320,Price_data!A$1:B$190,2,FALSE))</f>
        <v>#N/A</v>
      </c>
      <c r="S320" s="4" t="str">
        <f>(VLOOKUP(B320,Price_data!A$1:C$190,3,FALSE))</f>
        <v>Open access</v>
      </c>
      <c r="T320" s="2" t="str">
        <f>IF(C320="Total", (VLOOKUP(B320,Recommended_fish_intake!A$4:D$122,4,FALSE)), "NA")</f>
        <v>NA</v>
      </c>
      <c r="U320" s="2" t="str">
        <f t="shared" si="34"/>
        <v>NA</v>
      </c>
    </row>
    <row r="321" spans="1:21" ht="14.25" customHeight="1">
      <c r="A321" s="2" t="s">
        <v>15</v>
      </c>
      <c r="B321" s="2">
        <v>1923</v>
      </c>
      <c r="C321" s="2" t="s">
        <v>16</v>
      </c>
      <c r="D321" s="3">
        <f t="shared" si="28"/>
        <v>860.179993903678</v>
      </c>
      <c r="E321" s="3">
        <f t="shared" si="29"/>
        <v>17.808367999999998</v>
      </c>
      <c r="F321" s="3">
        <f t="shared" si="30"/>
        <v>270.13076610445029</v>
      </c>
      <c r="G321" s="3">
        <f t="shared" si="31"/>
        <v>4.5089899999999998</v>
      </c>
      <c r="H321" s="3">
        <f t="shared" si="32"/>
        <v>191.45234708392601</v>
      </c>
      <c r="I321" s="3">
        <f t="shared" si="33"/>
        <v>8.2601270000000007</v>
      </c>
      <c r="J321" s="3">
        <v>860179.99390367803</v>
      </c>
      <c r="K321" s="3">
        <v>17808.367999999999</v>
      </c>
      <c r="L321" s="3">
        <v>270130.76610445027</v>
      </c>
      <c r="M321" s="3">
        <v>4508.99</v>
      </c>
      <c r="N321" s="3">
        <v>191452.34708392603</v>
      </c>
      <c r="O321" s="3">
        <v>8260.1270000000004</v>
      </c>
      <c r="P321" s="3">
        <f>E321*(VLOOKUP(B321,Price_data!A$1:B$190,2,FALSE))</f>
        <v>639.76800120071789</v>
      </c>
      <c r="Q321" s="3">
        <f>G321*(VLOOKUP(B321,Price_data!A$1:B$190,2,FALSE))</f>
        <v>161.98606855687311</v>
      </c>
      <c r="R321" s="3">
        <f>I321*(VLOOKUP(B321,Price_data!A$1:B$190,2,FALSE))</f>
        <v>296.74616677137868</v>
      </c>
      <c r="S321" s="4" t="str">
        <f>(VLOOKUP(B321,Price_data!A$1:C$190,3,FALSE))</f>
        <v>Open access</v>
      </c>
      <c r="T321" s="2">
        <f>IF(C321="Total", (VLOOKUP(B321,Recommended_fish_intake!A$4:D$122,4,FALSE)), "NA")</f>
        <v>583.76526278227357</v>
      </c>
      <c r="U321" s="2" t="str">
        <f t="shared" si="34"/>
        <v>NA</v>
      </c>
    </row>
    <row r="322" spans="1:21" ht="14.25" customHeight="1">
      <c r="A322" s="2" t="s">
        <v>15</v>
      </c>
      <c r="B322" s="2">
        <v>1923</v>
      </c>
      <c r="C322" s="2" t="s">
        <v>22</v>
      </c>
      <c r="D322" s="3">
        <f t="shared" ref="D322:D385" si="35">IF(J322="", NA(), J322/1000)</f>
        <v>130.19731761837025</v>
      </c>
      <c r="E322" s="3" t="e">
        <f t="shared" ref="E322:E385" si="36">IF(K322="", NA(), K322/1000)</f>
        <v>#N/A</v>
      </c>
      <c r="F322" s="3" t="e">
        <f t="shared" ref="F322:F385" si="37">IF(L322="", NA(), L322/1000)</f>
        <v>#N/A</v>
      </c>
      <c r="G322" s="3" t="e">
        <f t="shared" ref="G322:G385" si="38">IF(M322="", NA(), M322/1000)</f>
        <v>#N/A</v>
      </c>
      <c r="H322" s="3" t="e">
        <f t="shared" ref="H322:H385" si="39">IF(N322="", NA(), N322/1000)</f>
        <v>#N/A</v>
      </c>
      <c r="I322" s="3" t="e">
        <f t="shared" ref="I322:I385" si="40">IF(O322="", NA(), O322/1000)</f>
        <v>#N/A</v>
      </c>
      <c r="J322" s="3">
        <v>130197.31761837025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f>E322*(VLOOKUP(B322,Price_data!A$1:B$190,2,FALSE))</f>
        <v>#N/A</v>
      </c>
      <c r="Q322" s="3" t="e">
        <f>G322*(VLOOKUP(B322,Price_data!A$1:B$190,2,FALSE))</f>
        <v>#N/A</v>
      </c>
      <c r="R322" s="3" t="e">
        <f>I322*(VLOOKUP(B322,Price_data!A$1:B$190,2,FALSE))</f>
        <v>#N/A</v>
      </c>
      <c r="S322" s="4" t="str">
        <f>(VLOOKUP(B322,Price_data!A$1:C$190,3,FALSE))</f>
        <v>Open access</v>
      </c>
      <c r="T322" s="2" t="str">
        <f>IF(C322="Total", (VLOOKUP(B322,Recommended_fish_intake!A$4:D$122,4,FALSE)), "NA")</f>
        <v>NA</v>
      </c>
      <c r="U322" s="2" t="str">
        <f t="shared" ref="U322:U385" si="41">IF(C322="Wet fish", D322*0.49, IF(C322="Shellfish", D322*0.28, "NA"))</f>
        <v>NA</v>
      </c>
    </row>
    <row r="323" spans="1:21" ht="14.25" customHeight="1">
      <c r="A323" s="2" t="s">
        <v>15</v>
      </c>
      <c r="B323" s="2">
        <v>1923</v>
      </c>
      <c r="C323" s="2" t="s">
        <v>23</v>
      </c>
      <c r="D323" s="3">
        <f t="shared" si="35"/>
        <v>141.06035358666938</v>
      </c>
      <c r="E323" s="3" t="e">
        <f t="shared" si="36"/>
        <v>#N/A</v>
      </c>
      <c r="F323" s="3" t="e">
        <f t="shared" si="37"/>
        <v>#N/A</v>
      </c>
      <c r="G323" s="3" t="e">
        <f t="shared" si="38"/>
        <v>#N/A</v>
      </c>
      <c r="H323" s="3" t="e">
        <f t="shared" si="39"/>
        <v>#N/A</v>
      </c>
      <c r="I323" s="3" t="e">
        <f t="shared" si="40"/>
        <v>#N/A</v>
      </c>
      <c r="J323" s="3">
        <v>141060.35358666937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f>E323*(VLOOKUP(B323,Price_data!A$1:B$190,2,FALSE))</f>
        <v>#N/A</v>
      </c>
      <c r="Q323" s="3" t="e">
        <f>G323*(VLOOKUP(B323,Price_data!A$1:B$190,2,FALSE))</f>
        <v>#N/A</v>
      </c>
      <c r="R323" s="3" t="e">
        <f>I323*(VLOOKUP(B323,Price_data!A$1:B$190,2,FALSE))</f>
        <v>#N/A</v>
      </c>
      <c r="S323" s="4" t="str">
        <f>(VLOOKUP(B323,Price_data!A$1:C$190,3,FALSE))</f>
        <v>Open access</v>
      </c>
      <c r="T323" s="2" t="str">
        <f>IF(C323="Total", (VLOOKUP(B323,Recommended_fish_intake!A$4:D$122,4,FALSE)), "NA")</f>
        <v>NA</v>
      </c>
      <c r="U323" s="2" t="str">
        <f t="shared" si="41"/>
        <v>NA</v>
      </c>
    </row>
    <row r="324" spans="1:21" ht="14.25" customHeight="1">
      <c r="A324" s="2" t="s">
        <v>15</v>
      </c>
      <c r="B324" s="2">
        <v>1923</v>
      </c>
      <c r="C324" s="2" t="s">
        <v>19</v>
      </c>
      <c r="D324" s="3">
        <f t="shared" si="35"/>
        <v>319.43405811826864</v>
      </c>
      <c r="E324" s="3" t="e">
        <f t="shared" si="36"/>
        <v>#N/A</v>
      </c>
      <c r="F324" s="3" t="e">
        <f t="shared" si="37"/>
        <v>#N/A</v>
      </c>
      <c r="G324" s="3" t="e">
        <f t="shared" si="38"/>
        <v>#N/A</v>
      </c>
      <c r="H324" s="3" t="e">
        <f t="shared" si="39"/>
        <v>#N/A</v>
      </c>
      <c r="I324" s="3" t="e">
        <f t="shared" si="40"/>
        <v>#N/A</v>
      </c>
      <c r="J324" s="3">
        <v>319434.05811826861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f>E324*(VLOOKUP(B324,Price_data!A$1:B$190,2,FALSE))</f>
        <v>#N/A</v>
      </c>
      <c r="Q324" s="3" t="e">
        <f>G324*(VLOOKUP(B324,Price_data!A$1:B$190,2,FALSE))</f>
        <v>#N/A</v>
      </c>
      <c r="R324" s="3" t="e">
        <f>I324*(VLOOKUP(B324,Price_data!A$1:B$190,2,FALSE))</f>
        <v>#N/A</v>
      </c>
      <c r="S324" s="4" t="str">
        <f>(VLOOKUP(B324,Price_data!A$1:C$190,3,FALSE))</f>
        <v>Open access</v>
      </c>
      <c r="T324" s="2" t="str">
        <f>IF(C324="Total", (VLOOKUP(B324,Recommended_fish_intake!A$4:D$122,4,FALSE)), "NA")</f>
        <v>NA</v>
      </c>
      <c r="U324" s="2" t="str">
        <f t="shared" si="41"/>
        <v>NA</v>
      </c>
    </row>
    <row r="325" spans="1:21" ht="14.25" customHeight="1">
      <c r="A325" s="2" t="s">
        <v>15</v>
      </c>
      <c r="B325" s="2">
        <v>1923</v>
      </c>
      <c r="C325" s="2" t="s">
        <v>28</v>
      </c>
      <c r="D325" s="3" t="e">
        <f t="shared" si="35"/>
        <v>#VALUE!</v>
      </c>
      <c r="E325" s="3" t="e">
        <f t="shared" si="36"/>
        <v>#VALUE!</v>
      </c>
      <c r="F325" s="3" t="e">
        <f t="shared" si="37"/>
        <v>#N/A</v>
      </c>
      <c r="G325" s="3" t="e">
        <f t="shared" si="38"/>
        <v>#N/A</v>
      </c>
      <c r="H325" s="3" t="e">
        <f t="shared" si="39"/>
        <v>#N/A</v>
      </c>
      <c r="I325" s="3" t="e">
        <f t="shared" si="40"/>
        <v>#N/A</v>
      </c>
      <c r="J325" s="3" t="e">
        <v>#VALUE!</v>
      </c>
      <c r="K325" s="3" t="e">
        <v>#VALUE!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f>E325*(VLOOKUP(B325,Price_data!A$1:B$190,2,FALSE))</f>
        <v>#VALUE!</v>
      </c>
      <c r="Q325" s="3" t="e">
        <f>G325*(VLOOKUP(B325,Price_data!A$1:B$190,2,FALSE))</f>
        <v>#N/A</v>
      </c>
      <c r="R325" s="3" t="e">
        <f>I325*(VLOOKUP(B325,Price_data!A$1:B$190,2,FALSE))</f>
        <v>#N/A</v>
      </c>
      <c r="S325" s="4" t="str">
        <f>(VLOOKUP(B325,Price_data!A$1:C$190,3,FALSE))</f>
        <v>Open access</v>
      </c>
      <c r="T325" s="2" t="str">
        <f>IF(C325="Total", (VLOOKUP(B325,Recommended_fish_intake!A$4:D$122,4,FALSE)), "NA")</f>
        <v>NA</v>
      </c>
      <c r="U325" s="2" t="e">
        <f t="shared" si="41"/>
        <v>#VALUE!</v>
      </c>
    </row>
    <row r="326" spans="1:21" ht="14.25" customHeight="1">
      <c r="A326" s="2" t="s">
        <v>15</v>
      </c>
      <c r="B326" s="2">
        <v>1923</v>
      </c>
      <c r="C326" s="2" t="s">
        <v>29</v>
      </c>
      <c r="D326" s="3" t="e">
        <f t="shared" si="35"/>
        <v>#VALUE!</v>
      </c>
      <c r="E326" s="3" t="e">
        <f t="shared" si="36"/>
        <v>#VALUE!</v>
      </c>
      <c r="F326" s="3" t="e">
        <f t="shared" si="37"/>
        <v>#N/A</v>
      </c>
      <c r="G326" s="3" t="e">
        <f t="shared" si="38"/>
        <v>#N/A</v>
      </c>
      <c r="H326" s="3" t="e">
        <f t="shared" si="39"/>
        <v>#N/A</v>
      </c>
      <c r="I326" s="3" t="e">
        <f t="shared" si="40"/>
        <v>#N/A</v>
      </c>
      <c r="J326" s="3" t="e">
        <v>#VALUE!</v>
      </c>
      <c r="K326" s="3" t="e">
        <v>#VALUE!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f>E326*(VLOOKUP(B326,Price_data!A$1:B$190,2,FALSE))</f>
        <v>#VALUE!</v>
      </c>
      <c r="Q326" s="3" t="e">
        <f>G326*(VLOOKUP(B326,Price_data!A$1:B$190,2,FALSE))</f>
        <v>#N/A</v>
      </c>
      <c r="R326" s="3" t="e">
        <f>I326*(VLOOKUP(B326,Price_data!A$1:B$190,2,FALSE))</f>
        <v>#N/A</v>
      </c>
      <c r="S326" s="4" t="str">
        <f>(VLOOKUP(B326,Price_data!A$1:C$190,3,FALSE))</f>
        <v>Open access</v>
      </c>
      <c r="T326" s="2" t="str">
        <f>IF(C326="Total", (VLOOKUP(B326,Recommended_fish_intake!A$4:D$122,4,FALSE)), "NA")</f>
        <v>NA</v>
      </c>
      <c r="U326" s="2" t="str">
        <f t="shared" si="41"/>
        <v>NA</v>
      </c>
    </row>
    <row r="327" spans="1:21" ht="14.25" customHeight="1">
      <c r="A327" s="2" t="s">
        <v>15</v>
      </c>
      <c r="B327" s="2">
        <v>1923</v>
      </c>
      <c r="C327" s="2" t="s">
        <v>20</v>
      </c>
      <c r="D327" s="3">
        <f t="shared" si="35"/>
        <v>13.297754521438732</v>
      </c>
      <c r="E327" s="3" t="e">
        <f t="shared" si="36"/>
        <v>#N/A</v>
      </c>
      <c r="F327" s="3" t="e">
        <f t="shared" si="37"/>
        <v>#N/A</v>
      </c>
      <c r="G327" s="3" t="e">
        <f t="shared" si="38"/>
        <v>#N/A</v>
      </c>
      <c r="H327" s="3" t="e">
        <f t="shared" si="39"/>
        <v>#N/A</v>
      </c>
      <c r="I327" s="3" t="e">
        <f t="shared" si="40"/>
        <v>#N/A</v>
      </c>
      <c r="J327" s="3">
        <v>13297.754521438732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f>E327*(VLOOKUP(B327,Price_data!A$1:B$190,2,FALSE))</f>
        <v>#N/A</v>
      </c>
      <c r="Q327" s="3" t="e">
        <f>G327*(VLOOKUP(B327,Price_data!A$1:B$190,2,FALSE))</f>
        <v>#N/A</v>
      </c>
      <c r="R327" s="3" t="e">
        <f>I327*(VLOOKUP(B327,Price_data!A$1:B$190,2,FALSE))</f>
        <v>#N/A</v>
      </c>
      <c r="S327" s="4" t="str">
        <f>(VLOOKUP(B327,Price_data!A$1:C$190,3,FALSE))</f>
        <v>Open access</v>
      </c>
      <c r="T327" s="2" t="str">
        <f>IF(C327="Total", (VLOOKUP(B327,Recommended_fish_intake!A$4:D$122,4,FALSE)), "NA")</f>
        <v>NA</v>
      </c>
      <c r="U327" s="2" t="str">
        <f t="shared" si="41"/>
        <v>NA</v>
      </c>
    </row>
    <row r="328" spans="1:21" ht="14.25" customHeight="1">
      <c r="A328" s="2" t="s">
        <v>15</v>
      </c>
      <c r="B328" s="2">
        <v>1923</v>
      </c>
      <c r="C328" s="2" t="s">
        <v>25</v>
      </c>
      <c r="D328" s="3">
        <f t="shared" si="35"/>
        <v>37.979323308270672</v>
      </c>
      <c r="E328" s="3" t="e">
        <f t="shared" si="36"/>
        <v>#N/A</v>
      </c>
      <c r="F328" s="3" t="e">
        <f t="shared" si="37"/>
        <v>#N/A</v>
      </c>
      <c r="G328" s="3" t="e">
        <f t="shared" si="38"/>
        <v>#N/A</v>
      </c>
      <c r="H328" s="3" t="e">
        <f t="shared" si="39"/>
        <v>#N/A</v>
      </c>
      <c r="I328" s="3" t="e">
        <f t="shared" si="40"/>
        <v>#N/A</v>
      </c>
      <c r="J328" s="3">
        <v>37979.323308270672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f>E328*(VLOOKUP(B328,Price_data!A$1:B$190,2,FALSE))</f>
        <v>#N/A</v>
      </c>
      <c r="Q328" s="3" t="e">
        <f>G328*(VLOOKUP(B328,Price_data!A$1:B$190,2,FALSE))</f>
        <v>#N/A</v>
      </c>
      <c r="R328" s="3" t="e">
        <f>I328*(VLOOKUP(B328,Price_data!A$1:B$190,2,FALSE))</f>
        <v>#N/A</v>
      </c>
      <c r="S328" s="4" t="str">
        <f>(VLOOKUP(B328,Price_data!A$1:C$190,3,FALSE))</f>
        <v>Open access</v>
      </c>
      <c r="T328" s="2" t="str">
        <f>IF(C328="Total", (VLOOKUP(B328,Recommended_fish_intake!A$4:D$122,4,FALSE)), "NA")</f>
        <v>NA</v>
      </c>
      <c r="U328" s="2" t="str">
        <f t="shared" si="41"/>
        <v>NA</v>
      </c>
    </row>
    <row r="329" spans="1:21" ht="14.25" customHeight="1">
      <c r="A329" s="2" t="s">
        <v>15</v>
      </c>
      <c r="B329" s="2">
        <v>1923</v>
      </c>
      <c r="C329" s="2" t="s">
        <v>24</v>
      </c>
      <c r="D329" s="3">
        <f t="shared" si="35"/>
        <v>23.954429993903677</v>
      </c>
      <c r="E329" s="3" t="e">
        <f t="shared" si="36"/>
        <v>#N/A</v>
      </c>
      <c r="F329" s="3" t="e">
        <f t="shared" si="37"/>
        <v>#N/A</v>
      </c>
      <c r="G329" s="3" t="e">
        <f t="shared" si="38"/>
        <v>#N/A</v>
      </c>
      <c r="H329" s="3" t="e">
        <f t="shared" si="39"/>
        <v>#N/A</v>
      </c>
      <c r="I329" s="3" t="e">
        <f t="shared" si="40"/>
        <v>#N/A</v>
      </c>
      <c r="J329" s="3">
        <v>23954.429993903675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f>E329*(VLOOKUP(B329,Price_data!A$1:B$190,2,FALSE))</f>
        <v>#N/A</v>
      </c>
      <c r="Q329" s="3" t="e">
        <f>G329*(VLOOKUP(B329,Price_data!A$1:B$190,2,FALSE))</f>
        <v>#N/A</v>
      </c>
      <c r="R329" s="3" t="e">
        <f>I329*(VLOOKUP(B329,Price_data!A$1:B$190,2,FALSE))</f>
        <v>#N/A</v>
      </c>
      <c r="S329" s="4" t="str">
        <f>(VLOOKUP(B329,Price_data!A$1:C$190,3,FALSE))</f>
        <v>Open access</v>
      </c>
      <c r="T329" s="2" t="str">
        <f>IF(C329="Total", (VLOOKUP(B329,Recommended_fish_intake!A$4:D$122,4,FALSE)), "NA")</f>
        <v>NA</v>
      </c>
      <c r="U329" s="2" t="str">
        <f t="shared" si="41"/>
        <v>NA</v>
      </c>
    </row>
    <row r="330" spans="1:21" ht="14.25" customHeight="1">
      <c r="A330" s="2" t="s">
        <v>15</v>
      </c>
      <c r="B330" s="2">
        <v>1923</v>
      </c>
      <c r="C330" s="2" t="s">
        <v>30</v>
      </c>
      <c r="D330" s="3" t="e">
        <f t="shared" si="35"/>
        <v>#N/A</v>
      </c>
      <c r="E330" s="3" t="e">
        <f t="shared" si="36"/>
        <v>#N/A</v>
      </c>
      <c r="F330" s="3" t="e">
        <f t="shared" si="37"/>
        <v>#N/A</v>
      </c>
      <c r="G330" s="3" t="e">
        <f t="shared" si="38"/>
        <v>#N/A</v>
      </c>
      <c r="H330" s="3" t="e">
        <f t="shared" si="39"/>
        <v>#N/A</v>
      </c>
      <c r="I330" s="3" t="e">
        <f t="shared" si="40"/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f>E330*(VLOOKUP(B330,Price_data!A$1:B$190,2,FALSE))</f>
        <v>#N/A</v>
      </c>
      <c r="Q330" s="3" t="e">
        <f>G330*(VLOOKUP(B330,Price_data!A$1:B$190,2,FALSE))</f>
        <v>#N/A</v>
      </c>
      <c r="R330" s="3" t="e">
        <f>I330*(VLOOKUP(B330,Price_data!A$1:B$190,2,FALSE))</f>
        <v>#N/A</v>
      </c>
      <c r="S330" s="4" t="str">
        <f>(VLOOKUP(B330,Price_data!A$1:C$190,3,FALSE))</f>
        <v>Open access</v>
      </c>
      <c r="T330" s="2" t="str">
        <f>IF(C330="Total", (VLOOKUP(B330,Recommended_fish_intake!A$4:D$122,4,FALSE)), "NA")</f>
        <v>NA</v>
      </c>
      <c r="U330" s="2" t="str">
        <f t="shared" si="41"/>
        <v>NA</v>
      </c>
    </row>
    <row r="331" spans="1:21" ht="14.25" customHeight="1">
      <c r="A331" s="2" t="s">
        <v>15</v>
      </c>
      <c r="B331" s="2">
        <v>1924</v>
      </c>
      <c r="C331" s="2" t="s">
        <v>16</v>
      </c>
      <c r="D331" s="3">
        <f t="shared" si="35"/>
        <v>1050.8223938223939</v>
      </c>
      <c r="E331" s="3">
        <f t="shared" si="36"/>
        <v>20.349651000000001</v>
      </c>
      <c r="F331" s="3">
        <f t="shared" si="37"/>
        <v>413.67689494005282</v>
      </c>
      <c r="G331" s="3">
        <f t="shared" si="38"/>
        <v>8.4382429999999999</v>
      </c>
      <c r="H331" s="3">
        <f t="shared" si="39"/>
        <v>213.46494614915667</v>
      </c>
      <c r="I331" s="3">
        <f t="shared" si="40"/>
        <v>11.065598</v>
      </c>
      <c r="J331" s="3">
        <v>1050822.3938223938</v>
      </c>
      <c r="K331" s="3">
        <v>20349.651000000002</v>
      </c>
      <c r="L331" s="3">
        <v>413676.89494005282</v>
      </c>
      <c r="M331" s="3">
        <v>8438.2430000000004</v>
      </c>
      <c r="N331" s="3">
        <v>213464.94614915666</v>
      </c>
      <c r="O331" s="3">
        <v>11065.598</v>
      </c>
      <c r="P331" s="3">
        <f>E331*(VLOOKUP(B331,Price_data!A$1:B$190,2,FALSE))</f>
        <v>734.99438396993014</v>
      </c>
      <c r="Q331" s="3">
        <f>G331*(VLOOKUP(B331,Price_data!A$1:B$190,2,FALSE))</f>
        <v>304.77481975359552</v>
      </c>
      <c r="R331" s="3">
        <f>I331*(VLOOKUP(B331,Price_data!A$1:B$190,2,FALSE))</f>
        <v>399.67036217323283</v>
      </c>
      <c r="S331" s="4" t="str">
        <f>(VLOOKUP(B331,Price_data!A$1:C$190,3,FALSE))</f>
        <v>Open access</v>
      </c>
      <c r="T331" s="2">
        <f>IF(C331="Total", (VLOOKUP(B331,Recommended_fish_intake!A$4:D$122,4,FALSE)), "NA")</f>
        <v>587.98993066326204</v>
      </c>
      <c r="U331" s="2" t="str">
        <f t="shared" si="41"/>
        <v>NA</v>
      </c>
    </row>
    <row r="332" spans="1:21" ht="14.25" customHeight="1">
      <c r="A332" s="2" t="s">
        <v>15</v>
      </c>
      <c r="B332" s="2">
        <v>1924</v>
      </c>
      <c r="C332" s="2" t="s">
        <v>22</v>
      </c>
      <c r="D332" s="3">
        <f t="shared" si="35"/>
        <v>159.63858971753709</v>
      </c>
      <c r="E332" s="3" t="e">
        <f t="shared" si="36"/>
        <v>#N/A</v>
      </c>
      <c r="F332" s="3" t="e">
        <f t="shared" si="37"/>
        <v>#N/A</v>
      </c>
      <c r="G332" s="3" t="e">
        <f t="shared" si="38"/>
        <v>#N/A</v>
      </c>
      <c r="H332" s="3" t="e">
        <f t="shared" si="39"/>
        <v>#N/A</v>
      </c>
      <c r="I332" s="3" t="e">
        <f t="shared" si="40"/>
        <v>#N/A</v>
      </c>
      <c r="J332" s="3">
        <v>159638.58971753708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f>E332*(VLOOKUP(B332,Price_data!A$1:B$190,2,FALSE))</f>
        <v>#N/A</v>
      </c>
      <c r="Q332" s="3" t="e">
        <f>G332*(VLOOKUP(B332,Price_data!A$1:B$190,2,FALSE))</f>
        <v>#N/A</v>
      </c>
      <c r="R332" s="3" t="e">
        <f>I332*(VLOOKUP(B332,Price_data!A$1:B$190,2,FALSE))</f>
        <v>#N/A</v>
      </c>
      <c r="S332" s="4" t="str">
        <f>(VLOOKUP(B332,Price_data!A$1:C$190,3,FALSE))</f>
        <v>Open access</v>
      </c>
      <c r="T332" s="2" t="str">
        <f>IF(C332="Total", (VLOOKUP(B332,Recommended_fish_intake!A$4:D$122,4,FALSE)), "NA")</f>
        <v>NA</v>
      </c>
      <c r="U332" s="2" t="str">
        <f t="shared" si="41"/>
        <v>NA</v>
      </c>
    </row>
    <row r="333" spans="1:21" ht="14.25" customHeight="1">
      <c r="A333" s="2" t="s">
        <v>15</v>
      </c>
      <c r="B333" s="2">
        <v>1924</v>
      </c>
      <c r="C333" s="2" t="s">
        <v>23</v>
      </c>
      <c r="D333" s="3">
        <f t="shared" si="35"/>
        <v>128.56258890469417</v>
      </c>
      <c r="E333" s="3" t="e">
        <f t="shared" si="36"/>
        <v>#N/A</v>
      </c>
      <c r="F333" s="3" t="e">
        <f t="shared" si="37"/>
        <v>#N/A</v>
      </c>
      <c r="G333" s="3" t="e">
        <f t="shared" si="38"/>
        <v>#N/A</v>
      </c>
      <c r="H333" s="3" t="e">
        <f t="shared" si="39"/>
        <v>#N/A</v>
      </c>
      <c r="I333" s="3" t="e">
        <f t="shared" si="40"/>
        <v>#N/A</v>
      </c>
      <c r="J333" s="3">
        <v>128562.58890469416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f>E333*(VLOOKUP(B333,Price_data!A$1:B$190,2,FALSE))</f>
        <v>#N/A</v>
      </c>
      <c r="Q333" s="3" t="e">
        <f>G333*(VLOOKUP(B333,Price_data!A$1:B$190,2,FALSE))</f>
        <v>#N/A</v>
      </c>
      <c r="R333" s="3" t="e">
        <f>I333*(VLOOKUP(B333,Price_data!A$1:B$190,2,FALSE))</f>
        <v>#N/A</v>
      </c>
      <c r="S333" s="4" t="str">
        <f>(VLOOKUP(B333,Price_data!A$1:C$190,3,FALSE))</f>
        <v>Open access</v>
      </c>
      <c r="T333" s="2" t="str">
        <f>IF(C333="Total", (VLOOKUP(B333,Recommended_fish_intake!A$4:D$122,4,FALSE)), "NA")</f>
        <v>NA</v>
      </c>
      <c r="U333" s="2" t="str">
        <f t="shared" si="41"/>
        <v>NA</v>
      </c>
    </row>
    <row r="334" spans="1:21" ht="14.25" customHeight="1">
      <c r="A334" s="2" t="s">
        <v>15</v>
      </c>
      <c r="B334" s="2">
        <v>1924</v>
      </c>
      <c r="C334" s="2" t="s">
        <v>19</v>
      </c>
      <c r="D334" s="3">
        <f t="shared" si="35"/>
        <v>468.80776264986793</v>
      </c>
      <c r="E334" s="3" t="e">
        <f t="shared" si="36"/>
        <v>#N/A</v>
      </c>
      <c r="F334" s="3" t="e">
        <f t="shared" si="37"/>
        <v>#N/A</v>
      </c>
      <c r="G334" s="3" t="e">
        <f t="shared" si="38"/>
        <v>#N/A</v>
      </c>
      <c r="H334" s="3" t="e">
        <f t="shared" si="39"/>
        <v>#N/A</v>
      </c>
      <c r="I334" s="3" t="e">
        <f t="shared" si="40"/>
        <v>#N/A</v>
      </c>
      <c r="J334" s="3">
        <v>468807.76264986792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f>E334*(VLOOKUP(B334,Price_data!A$1:B$190,2,FALSE))</f>
        <v>#N/A</v>
      </c>
      <c r="Q334" s="3" t="e">
        <f>G334*(VLOOKUP(B334,Price_data!A$1:B$190,2,FALSE))</f>
        <v>#N/A</v>
      </c>
      <c r="R334" s="3" t="e">
        <f>I334*(VLOOKUP(B334,Price_data!A$1:B$190,2,FALSE))</f>
        <v>#N/A</v>
      </c>
      <c r="S334" s="4" t="str">
        <f>(VLOOKUP(B334,Price_data!A$1:C$190,3,FALSE))</f>
        <v>Open access</v>
      </c>
      <c r="T334" s="2" t="str">
        <f>IF(C334="Total", (VLOOKUP(B334,Recommended_fish_intake!A$4:D$122,4,FALSE)), "NA")</f>
        <v>NA</v>
      </c>
      <c r="U334" s="2" t="str">
        <f t="shared" si="41"/>
        <v>NA</v>
      </c>
    </row>
    <row r="335" spans="1:21" ht="14.25" customHeight="1">
      <c r="A335" s="2" t="s">
        <v>15</v>
      </c>
      <c r="B335" s="2">
        <v>1924</v>
      </c>
      <c r="C335" s="2" t="s">
        <v>28</v>
      </c>
      <c r="D335" s="3" t="e">
        <f t="shared" si="35"/>
        <v>#VALUE!</v>
      </c>
      <c r="E335" s="3" t="e">
        <f t="shared" si="36"/>
        <v>#VALUE!</v>
      </c>
      <c r="F335" s="3" t="e">
        <f t="shared" si="37"/>
        <v>#N/A</v>
      </c>
      <c r="G335" s="3" t="e">
        <f t="shared" si="38"/>
        <v>#N/A</v>
      </c>
      <c r="H335" s="3" t="e">
        <f t="shared" si="39"/>
        <v>#N/A</v>
      </c>
      <c r="I335" s="3" t="e">
        <f t="shared" si="40"/>
        <v>#N/A</v>
      </c>
      <c r="J335" s="3" t="e">
        <v>#VALUE!</v>
      </c>
      <c r="K335" s="3" t="e">
        <v>#VALUE!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f>E335*(VLOOKUP(B335,Price_data!A$1:B$190,2,FALSE))</f>
        <v>#VALUE!</v>
      </c>
      <c r="Q335" s="3" t="e">
        <f>G335*(VLOOKUP(B335,Price_data!A$1:B$190,2,FALSE))</f>
        <v>#N/A</v>
      </c>
      <c r="R335" s="3" t="e">
        <f>I335*(VLOOKUP(B335,Price_data!A$1:B$190,2,FALSE))</f>
        <v>#N/A</v>
      </c>
      <c r="S335" s="4" t="str">
        <f>(VLOOKUP(B335,Price_data!A$1:C$190,3,FALSE))</f>
        <v>Open access</v>
      </c>
      <c r="T335" s="2" t="str">
        <f>IF(C335="Total", (VLOOKUP(B335,Recommended_fish_intake!A$4:D$122,4,FALSE)), "NA")</f>
        <v>NA</v>
      </c>
      <c r="U335" s="2" t="e">
        <f t="shared" si="41"/>
        <v>#VALUE!</v>
      </c>
    </row>
    <row r="336" spans="1:21" ht="14.25" customHeight="1">
      <c r="A336" s="2" t="s">
        <v>15</v>
      </c>
      <c r="B336" s="2">
        <v>1924</v>
      </c>
      <c r="C336" s="2" t="s">
        <v>29</v>
      </c>
      <c r="D336" s="3" t="e">
        <f t="shared" si="35"/>
        <v>#VALUE!</v>
      </c>
      <c r="E336" s="3" t="e">
        <f t="shared" si="36"/>
        <v>#VALUE!</v>
      </c>
      <c r="F336" s="3" t="e">
        <f t="shared" si="37"/>
        <v>#N/A</v>
      </c>
      <c r="G336" s="3" t="e">
        <f t="shared" si="38"/>
        <v>#N/A</v>
      </c>
      <c r="H336" s="3" t="e">
        <f t="shared" si="39"/>
        <v>#N/A</v>
      </c>
      <c r="I336" s="3" t="e">
        <f t="shared" si="40"/>
        <v>#N/A</v>
      </c>
      <c r="J336" s="3" t="e">
        <v>#VALUE!</v>
      </c>
      <c r="K336" s="3" t="e">
        <v>#VALUE!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f>E336*(VLOOKUP(B336,Price_data!A$1:B$190,2,FALSE))</f>
        <v>#VALUE!</v>
      </c>
      <c r="Q336" s="3" t="e">
        <f>G336*(VLOOKUP(B336,Price_data!A$1:B$190,2,FALSE))</f>
        <v>#N/A</v>
      </c>
      <c r="R336" s="3" t="e">
        <f>I336*(VLOOKUP(B336,Price_data!A$1:B$190,2,FALSE))</f>
        <v>#N/A</v>
      </c>
      <c r="S336" s="4" t="str">
        <f>(VLOOKUP(B336,Price_data!A$1:C$190,3,FALSE))</f>
        <v>Open access</v>
      </c>
      <c r="T336" s="2" t="str">
        <f>IF(C336="Total", (VLOOKUP(B336,Recommended_fish_intake!A$4:D$122,4,FALSE)), "NA")</f>
        <v>NA</v>
      </c>
      <c r="U336" s="2" t="str">
        <f t="shared" si="41"/>
        <v>NA</v>
      </c>
    </row>
    <row r="337" spans="1:21" ht="14.25" customHeight="1">
      <c r="A337" s="2" t="s">
        <v>15</v>
      </c>
      <c r="B337" s="2">
        <v>1924</v>
      </c>
      <c r="C337" s="2" t="s">
        <v>20</v>
      </c>
      <c r="D337" s="3">
        <f t="shared" si="35"/>
        <v>12.451127819548873</v>
      </c>
      <c r="E337" s="3" t="e">
        <f t="shared" si="36"/>
        <v>#N/A</v>
      </c>
      <c r="F337" s="3" t="e">
        <f t="shared" si="37"/>
        <v>#N/A</v>
      </c>
      <c r="G337" s="3" t="e">
        <f t="shared" si="38"/>
        <v>#N/A</v>
      </c>
      <c r="H337" s="3" t="e">
        <f t="shared" si="39"/>
        <v>#N/A</v>
      </c>
      <c r="I337" s="3" t="e">
        <f t="shared" si="40"/>
        <v>#N/A</v>
      </c>
      <c r="J337" s="3">
        <v>12451.127819548872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f>E337*(VLOOKUP(B337,Price_data!A$1:B$190,2,FALSE))</f>
        <v>#N/A</v>
      </c>
      <c r="Q337" s="3" t="e">
        <f>G337*(VLOOKUP(B337,Price_data!A$1:B$190,2,FALSE))</f>
        <v>#N/A</v>
      </c>
      <c r="R337" s="3" t="e">
        <f>I337*(VLOOKUP(B337,Price_data!A$1:B$190,2,FALSE))</f>
        <v>#N/A</v>
      </c>
      <c r="S337" s="4" t="str">
        <f>(VLOOKUP(B337,Price_data!A$1:C$190,3,FALSE))</f>
        <v>Open access</v>
      </c>
      <c r="T337" s="2" t="str">
        <f>IF(C337="Total", (VLOOKUP(B337,Recommended_fish_intake!A$4:D$122,4,FALSE)), "NA")</f>
        <v>NA</v>
      </c>
      <c r="U337" s="2" t="str">
        <f t="shared" si="41"/>
        <v>NA</v>
      </c>
    </row>
    <row r="338" spans="1:21" ht="14.25" customHeight="1">
      <c r="A338" s="2" t="s">
        <v>15</v>
      </c>
      <c r="B338" s="2">
        <v>1924</v>
      </c>
      <c r="C338" s="2" t="s">
        <v>25</v>
      </c>
      <c r="D338" s="3">
        <f t="shared" si="35"/>
        <v>36.548770575086358</v>
      </c>
      <c r="E338" s="3" t="e">
        <f t="shared" si="36"/>
        <v>#N/A</v>
      </c>
      <c r="F338" s="3" t="e">
        <f t="shared" si="37"/>
        <v>#N/A</v>
      </c>
      <c r="G338" s="3" t="e">
        <f t="shared" si="38"/>
        <v>#N/A</v>
      </c>
      <c r="H338" s="3" t="e">
        <f t="shared" si="39"/>
        <v>#N/A</v>
      </c>
      <c r="I338" s="3" t="e">
        <f t="shared" si="40"/>
        <v>#N/A</v>
      </c>
      <c r="J338" s="3">
        <v>36548.770575086361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f>E338*(VLOOKUP(B338,Price_data!A$1:B$190,2,FALSE))</f>
        <v>#N/A</v>
      </c>
      <c r="Q338" s="3" t="e">
        <f>G338*(VLOOKUP(B338,Price_data!A$1:B$190,2,FALSE))</f>
        <v>#N/A</v>
      </c>
      <c r="R338" s="3" t="e">
        <f>I338*(VLOOKUP(B338,Price_data!A$1:B$190,2,FALSE))</f>
        <v>#N/A</v>
      </c>
      <c r="S338" s="4" t="str">
        <f>(VLOOKUP(B338,Price_data!A$1:C$190,3,FALSE))</f>
        <v>Open access</v>
      </c>
      <c r="T338" s="2" t="str">
        <f>IF(C338="Total", (VLOOKUP(B338,Recommended_fish_intake!A$4:D$122,4,FALSE)), "NA")</f>
        <v>NA</v>
      </c>
      <c r="U338" s="2" t="str">
        <f t="shared" si="41"/>
        <v>NA</v>
      </c>
    </row>
    <row r="339" spans="1:21" ht="14.25" customHeight="1">
      <c r="A339" s="2" t="s">
        <v>15</v>
      </c>
      <c r="B339" s="2">
        <v>1924</v>
      </c>
      <c r="C339" s="2" t="s">
        <v>24</v>
      </c>
      <c r="D339" s="3">
        <f t="shared" si="35"/>
        <v>26.262802275960169</v>
      </c>
      <c r="E339" s="3" t="e">
        <f t="shared" si="36"/>
        <v>#N/A</v>
      </c>
      <c r="F339" s="3" t="e">
        <f t="shared" si="37"/>
        <v>#N/A</v>
      </c>
      <c r="G339" s="3" t="e">
        <f t="shared" si="38"/>
        <v>#N/A</v>
      </c>
      <c r="H339" s="3" t="e">
        <f t="shared" si="39"/>
        <v>#N/A</v>
      </c>
      <c r="I339" s="3" t="e">
        <f t="shared" si="40"/>
        <v>#N/A</v>
      </c>
      <c r="J339" s="3">
        <v>26262.80227596017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f>E339*(VLOOKUP(B339,Price_data!A$1:B$190,2,FALSE))</f>
        <v>#N/A</v>
      </c>
      <c r="Q339" s="3" t="e">
        <f>G339*(VLOOKUP(B339,Price_data!A$1:B$190,2,FALSE))</f>
        <v>#N/A</v>
      </c>
      <c r="R339" s="3" t="e">
        <f>I339*(VLOOKUP(B339,Price_data!A$1:B$190,2,FALSE))</f>
        <v>#N/A</v>
      </c>
      <c r="S339" s="4" t="str">
        <f>(VLOOKUP(B339,Price_data!A$1:C$190,3,FALSE))</f>
        <v>Open access</v>
      </c>
      <c r="T339" s="2" t="str">
        <f>IF(C339="Total", (VLOOKUP(B339,Recommended_fish_intake!A$4:D$122,4,FALSE)), "NA")</f>
        <v>NA</v>
      </c>
      <c r="U339" s="2" t="str">
        <f t="shared" si="41"/>
        <v>NA</v>
      </c>
    </row>
    <row r="340" spans="1:21" ht="14.25" customHeight="1">
      <c r="A340" s="2" t="s">
        <v>15</v>
      </c>
      <c r="B340" s="2">
        <v>1924</v>
      </c>
      <c r="C340" s="2" t="s">
        <v>30</v>
      </c>
      <c r="D340" s="3" t="e">
        <f t="shared" si="35"/>
        <v>#N/A</v>
      </c>
      <c r="E340" s="3" t="e">
        <f t="shared" si="36"/>
        <v>#N/A</v>
      </c>
      <c r="F340" s="3" t="e">
        <f t="shared" si="37"/>
        <v>#N/A</v>
      </c>
      <c r="G340" s="3" t="e">
        <f t="shared" si="38"/>
        <v>#N/A</v>
      </c>
      <c r="H340" s="3" t="e">
        <f t="shared" si="39"/>
        <v>#N/A</v>
      </c>
      <c r="I340" s="3" t="e">
        <f t="shared" si="40"/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f>E340*(VLOOKUP(B340,Price_data!A$1:B$190,2,FALSE))</f>
        <v>#N/A</v>
      </c>
      <c r="Q340" s="3" t="e">
        <f>G340*(VLOOKUP(B340,Price_data!A$1:B$190,2,FALSE))</f>
        <v>#N/A</v>
      </c>
      <c r="R340" s="3" t="e">
        <f>I340*(VLOOKUP(B340,Price_data!A$1:B$190,2,FALSE))</f>
        <v>#N/A</v>
      </c>
      <c r="S340" s="4" t="str">
        <f>(VLOOKUP(B340,Price_data!A$1:C$190,3,FALSE))</f>
        <v>Open access</v>
      </c>
      <c r="T340" s="2" t="str">
        <f>IF(C340="Total", (VLOOKUP(B340,Recommended_fish_intake!A$4:D$122,4,FALSE)), "NA")</f>
        <v>NA</v>
      </c>
      <c r="U340" s="2" t="str">
        <f t="shared" si="41"/>
        <v>NA</v>
      </c>
    </row>
    <row r="341" spans="1:21" ht="14.25" customHeight="1">
      <c r="A341" s="2" t="s">
        <v>15</v>
      </c>
      <c r="B341" s="2">
        <v>1925</v>
      </c>
      <c r="C341" s="2" t="s">
        <v>16</v>
      </c>
      <c r="D341" s="3">
        <f t="shared" si="35"/>
        <v>978.01056695793534</v>
      </c>
      <c r="E341" s="3">
        <f t="shared" si="36"/>
        <v>19.264478</v>
      </c>
      <c r="F341" s="3">
        <f t="shared" si="37"/>
        <v>343.28053241211137</v>
      </c>
      <c r="G341" s="3">
        <f t="shared" si="38"/>
        <v>7.5246199999999996</v>
      </c>
      <c r="H341" s="3">
        <f t="shared" si="39"/>
        <v>225.26966063808166</v>
      </c>
      <c r="I341" s="3">
        <f t="shared" si="40"/>
        <v>10.768471</v>
      </c>
      <c r="J341" s="3">
        <v>978010.56695793534</v>
      </c>
      <c r="K341" s="3">
        <v>19264.477999999999</v>
      </c>
      <c r="L341" s="3">
        <v>343280.53241211135</v>
      </c>
      <c r="M341" s="3">
        <v>7524.62</v>
      </c>
      <c r="N341" s="3">
        <v>225269.66063808167</v>
      </c>
      <c r="O341" s="3">
        <v>10768.471</v>
      </c>
      <c r="P341" s="3">
        <f>E341*(VLOOKUP(B341,Price_data!A$1:B$190,2,FALSE))</f>
        <v>695.79980217411446</v>
      </c>
      <c r="Q341" s="3">
        <f>G341*(VLOOKUP(B341,Price_data!A$1:B$190,2,FALSE))</f>
        <v>271.77632881801338</v>
      </c>
      <c r="R341" s="3">
        <f>I341*(VLOOKUP(B341,Price_data!A$1:B$190,2,FALSE))</f>
        <v>388.93864611943746</v>
      </c>
      <c r="S341" s="4" t="str">
        <f>(VLOOKUP(B341,Price_data!A$1:C$190,3,FALSE))</f>
        <v>Open access</v>
      </c>
      <c r="T341" s="2">
        <f>IF(C341="Total", (VLOOKUP(B341,Recommended_fish_intake!A$4:D$122,4,FALSE)), "NA")</f>
        <v>590.01253134798958</v>
      </c>
      <c r="U341" s="2" t="str">
        <f t="shared" si="41"/>
        <v>NA</v>
      </c>
    </row>
    <row r="342" spans="1:21" ht="14.25" customHeight="1">
      <c r="A342" s="2" t="s">
        <v>15</v>
      </c>
      <c r="B342" s="2">
        <v>1925</v>
      </c>
      <c r="C342" s="2" t="s">
        <v>22</v>
      </c>
      <c r="D342" s="3">
        <f t="shared" si="35"/>
        <v>167.40738671001827</v>
      </c>
      <c r="E342" s="3" t="e">
        <f t="shared" si="36"/>
        <v>#N/A</v>
      </c>
      <c r="F342" s="3">
        <f t="shared" si="37"/>
        <v>24.230390164600689</v>
      </c>
      <c r="G342" s="3">
        <f t="shared" si="38"/>
        <v>1.2029860000000001</v>
      </c>
      <c r="H342" s="3">
        <f t="shared" si="39"/>
        <v>53.07147937411095</v>
      </c>
      <c r="I342" s="3">
        <f t="shared" si="40"/>
        <v>0.85285100000000003</v>
      </c>
      <c r="J342" s="3">
        <v>167407.38671001827</v>
      </c>
      <c r="K342" s="3" t="e">
        <v>#N/A</v>
      </c>
      <c r="L342" s="3">
        <v>24230.390164600689</v>
      </c>
      <c r="M342" s="3">
        <v>1202.9860000000001</v>
      </c>
      <c r="N342" s="3">
        <v>53071.479374110953</v>
      </c>
      <c r="O342" s="3">
        <v>852.851</v>
      </c>
      <c r="P342" s="3" t="e">
        <f>E342*(VLOOKUP(B342,Price_data!A$1:B$190,2,FALSE))</f>
        <v>#N/A</v>
      </c>
      <c r="Q342" s="3">
        <f>G342*(VLOOKUP(B342,Price_data!A$1:B$190,2,FALSE))</f>
        <v>43.44978466679602</v>
      </c>
      <c r="R342" s="3">
        <f>I342*(VLOOKUP(B342,Price_data!A$1:B$190,2,FALSE))</f>
        <v>30.803510849554069</v>
      </c>
      <c r="S342" s="4" t="str">
        <f>(VLOOKUP(B342,Price_data!A$1:C$190,3,FALSE))</f>
        <v>Open access</v>
      </c>
      <c r="T342" s="2" t="str">
        <f>IF(C342="Total", (VLOOKUP(B342,Recommended_fish_intake!A$4:D$122,4,FALSE)), "NA")</f>
        <v>NA</v>
      </c>
      <c r="U342" s="2" t="str">
        <f t="shared" si="41"/>
        <v>NA</v>
      </c>
    </row>
    <row r="343" spans="1:21" ht="14.25" customHeight="1">
      <c r="A343" s="2" t="s">
        <v>15</v>
      </c>
      <c r="B343" s="2">
        <v>1925</v>
      </c>
      <c r="C343" s="2" t="s">
        <v>23</v>
      </c>
      <c r="D343" s="3">
        <f t="shared" si="35"/>
        <v>161.88132493395651</v>
      </c>
      <c r="E343" s="3" t="e">
        <f t="shared" si="36"/>
        <v>#N/A</v>
      </c>
      <c r="F343" s="3">
        <f t="shared" si="37"/>
        <v>1.4974598658809184</v>
      </c>
      <c r="G343" s="3">
        <f t="shared" si="38"/>
        <v>6.8237999999999993E-2</v>
      </c>
      <c r="H343" s="3">
        <f t="shared" si="39"/>
        <v>9.8711643974801859</v>
      </c>
      <c r="I343" s="3">
        <f t="shared" si="40"/>
        <v>0.26186599999999999</v>
      </c>
      <c r="J343" s="3">
        <v>161881.32493395649</v>
      </c>
      <c r="K343" s="3" t="e">
        <v>#N/A</v>
      </c>
      <c r="L343" s="3">
        <v>1497.4598658809184</v>
      </c>
      <c r="M343" s="3">
        <v>68.238</v>
      </c>
      <c r="N343" s="3">
        <v>9871.1643974801864</v>
      </c>
      <c r="O343" s="3">
        <v>261.86599999999999</v>
      </c>
      <c r="P343" s="3" t="e">
        <f>E343*(VLOOKUP(B343,Price_data!A$1:B$190,2,FALSE))</f>
        <v>#N/A</v>
      </c>
      <c r="Q343" s="3">
        <f>G343*(VLOOKUP(B343,Price_data!A$1:B$190,2,FALSE))</f>
        <v>2.4646391612976597</v>
      </c>
      <c r="R343" s="3">
        <f>I343*(VLOOKUP(B343,Price_data!A$1:B$190,2,FALSE))</f>
        <v>9.4581493978776194</v>
      </c>
      <c r="S343" s="4" t="str">
        <f>(VLOOKUP(B343,Price_data!A$1:C$190,3,FALSE))</f>
        <v>Open access</v>
      </c>
      <c r="T343" s="2" t="str">
        <f>IF(C343="Total", (VLOOKUP(B343,Recommended_fish_intake!A$4:D$122,4,FALSE)), "NA")</f>
        <v>NA</v>
      </c>
      <c r="U343" s="2" t="str">
        <f t="shared" si="41"/>
        <v>NA</v>
      </c>
    </row>
    <row r="344" spans="1:21" ht="14.25" customHeight="1">
      <c r="A344" s="2" t="s">
        <v>15</v>
      </c>
      <c r="B344" s="2">
        <v>1925</v>
      </c>
      <c r="C344" s="2" t="s">
        <v>19</v>
      </c>
      <c r="D344" s="3">
        <f t="shared" si="35"/>
        <v>360.76452956716111</v>
      </c>
      <c r="E344" s="3" t="e">
        <f t="shared" si="36"/>
        <v>#N/A</v>
      </c>
      <c r="F344" s="3">
        <f t="shared" si="37"/>
        <v>293.33976833976834</v>
      </c>
      <c r="G344" s="3">
        <f t="shared" si="38"/>
        <v>5.2820529999999994</v>
      </c>
      <c r="H344" s="3">
        <f t="shared" si="39"/>
        <v>39.979272505588291</v>
      </c>
      <c r="I344" s="3">
        <f t="shared" si="40"/>
        <v>0.584592</v>
      </c>
      <c r="J344" s="3">
        <v>360764.52956716111</v>
      </c>
      <c r="K344" s="3" t="e">
        <v>#N/A</v>
      </c>
      <c r="L344" s="3">
        <v>293339.76833976834</v>
      </c>
      <c r="M344" s="3">
        <v>5282.0529999999999</v>
      </c>
      <c r="N344" s="3">
        <v>39979.272505588291</v>
      </c>
      <c r="O344" s="3">
        <v>584.59199999999998</v>
      </c>
      <c r="P344" s="3" t="e">
        <f>E344*(VLOOKUP(B344,Price_data!A$1:B$190,2,FALSE))</f>
        <v>#N/A</v>
      </c>
      <c r="Q344" s="3">
        <f>G344*(VLOOKUP(B344,Price_data!A$1:B$190,2,FALSE))</f>
        <v>190.77866695755719</v>
      </c>
      <c r="R344" s="3">
        <f>I344*(VLOOKUP(B344,Price_data!A$1:B$190,2,FALSE))</f>
        <v>21.114457290385438</v>
      </c>
      <c r="S344" s="4" t="str">
        <f>(VLOOKUP(B344,Price_data!A$1:C$190,3,FALSE))</f>
        <v>Open access</v>
      </c>
      <c r="T344" s="2" t="str">
        <f>IF(C344="Total", (VLOOKUP(B344,Recommended_fish_intake!A$4:D$122,4,FALSE)), "NA")</f>
        <v>NA</v>
      </c>
      <c r="U344" s="2" t="str">
        <f t="shared" si="41"/>
        <v>NA</v>
      </c>
    </row>
    <row r="345" spans="1:21" ht="14.25" customHeight="1">
      <c r="A345" s="2" t="s">
        <v>15</v>
      </c>
      <c r="B345" s="2">
        <v>1925</v>
      </c>
      <c r="C345" s="2" t="s">
        <v>28</v>
      </c>
      <c r="D345" s="3" t="e">
        <f t="shared" si="35"/>
        <v>#VALUE!</v>
      </c>
      <c r="E345" s="3" t="e">
        <f t="shared" si="36"/>
        <v>#VALUE!</v>
      </c>
      <c r="F345" s="3">
        <f t="shared" si="37"/>
        <v>0.2948587685429791</v>
      </c>
      <c r="G345" s="3">
        <f t="shared" si="38"/>
        <v>2.5354999999999999E-2</v>
      </c>
      <c r="H345" s="3">
        <f t="shared" si="39"/>
        <v>13.350487705750863</v>
      </c>
      <c r="I345" s="3">
        <f t="shared" si="40"/>
        <v>0.84922299999999995</v>
      </c>
      <c r="J345" s="3" t="e">
        <v>#VALUE!</v>
      </c>
      <c r="K345" s="3" t="e">
        <v>#VALUE!</v>
      </c>
      <c r="L345" s="3">
        <v>294.85876854297908</v>
      </c>
      <c r="M345" s="3">
        <v>25.355</v>
      </c>
      <c r="N345" s="3">
        <v>13350.487705750864</v>
      </c>
      <c r="O345" s="3">
        <v>849.22299999999996</v>
      </c>
      <c r="P345" s="3" t="e">
        <f>E345*(VLOOKUP(B345,Price_data!A$1:B$190,2,FALSE))</f>
        <v>#VALUE!</v>
      </c>
      <c r="Q345" s="3">
        <f>G345*(VLOOKUP(B345,Price_data!A$1:B$190,2,FALSE))</f>
        <v>0.9157789784973499</v>
      </c>
      <c r="R345" s="3">
        <f>I345*(VLOOKUP(B345,Price_data!A$1:B$190,2,FALSE))</f>
        <v>30.672473731274106</v>
      </c>
      <c r="S345" s="4" t="str">
        <f>(VLOOKUP(B345,Price_data!A$1:C$190,3,FALSE))</f>
        <v>Open access</v>
      </c>
      <c r="T345" s="2" t="str">
        <f>IF(C345="Total", (VLOOKUP(B345,Recommended_fish_intake!A$4:D$122,4,FALSE)), "NA")</f>
        <v>NA</v>
      </c>
      <c r="U345" s="2" t="e">
        <f t="shared" si="41"/>
        <v>#VALUE!</v>
      </c>
    </row>
    <row r="346" spans="1:21" ht="14.25" customHeight="1">
      <c r="A346" s="2" t="s">
        <v>15</v>
      </c>
      <c r="B346" s="2">
        <v>1925</v>
      </c>
      <c r="C346" s="2" t="s">
        <v>29</v>
      </c>
      <c r="D346" s="3" t="e">
        <f t="shared" si="35"/>
        <v>#VALUE!</v>
      </c>
      <c r="E346" s="3" t="e">
        <f t="shared" si="36"/>
        <v>#VALUE!</v>
      </c>
      <c r="F346" s="3">
        <f t="shared" si="37"/>
        <v>0.18263564316195893</v>
      </c>
      <c r="G346" s="3">
        <f t="shared" si="38"/>
        <v>4.3798999999999998E-2</v>
      </c>
      <c r="H346" s="3">
        <f t="shared" si="39"/>
        <v>40.001270067059536</v>
      </c>
      <c r="I346" s="3">
        <f t="shared" si="40"/>
        <v>4.5958829999999997</v>
      </c>
      <c r="J346" s="3" t="e">
        <v>#VALUE!</v>
      </c>
      <c r="K346" s="3" t="e">
        <v>#VALUE!</v>
      </c>
      <c r="L346" s="3">
        <v>182.63564316195894</v>
      </c>
      <c r="M346" s="3">
        <v>43.798999999999999</v>
      </c>
      <c r="N346" s="3">
        <v>40001.270067059537</v>
      </c>
      <c r="O346" s="3">
        <v>4595.8829999999998</v>
      </c>
      <c r="P346" s="3" t="e">
        <f>E346*(VLOOKUP(B346,Price_data!A$1:B$190,2,FALSE))</f>
        <v>#VALUE!</v>
      </c>
      <c r="Q346" s="3">
        <f>G346*(VLOOKUP(B346,Price_data!A$1:B$190,2,FALSE))</f>
        <v>1.5819445268864298</v>
      </c>
      <c r="R346" s="3">
        <f>I346*(VLOOKUP(B346,Price_data!A$1:B$190,2,FALSE))</f>
        <v>165.99538706501031</v>
      </c>
      <c r="S346" s="4" t="str">
        <f>(VLOOKUP(B346,Price_data!A$1:C$190,3,FALSE))</f>
        <v>Open access</v>
      </c>
      <c r="T346" s="2" t="str">
        <f>IF(C346="Total", (VLOOKUP(B346,Recommended_fish_intake!A$4:D$122,4,FALSE)), "NA")</f>
        <v>NA</v>
      </c>
      <c r="U346" s="2" t="str">
        <f t="shared" si="41"/>
        <v>NA</v>
      </c>
    </row>
    <row r="347" spans="1:21" ht="14.25" customHeight="1">
      <c r="A347" s="2" t="s">
        <v>15</v>
      </c>
      <c r="B347" s="2">
        <v>1925</v>
      </c>
      <c r="C347" s="2" t="s">
        <v>20</v>
      </c>
      <c r="D347" s="3">
        <f t="shared" si="35"/>
        <v>11.665007112375534</v>
      </c>
      <c r="E347" s="3" t="e">
        <f t="shared" si="36"/>
        <v>#N/A</v>
      </c>
      <c r="F347" s="3">
        <f t="shared" si="37"/>
        <v>1.9910587279008329</v>
      </c>
      <c r="G347" s="3">
        <f t="shared" si="38"/>
        <v>5.6786000000000003E-2</v>
      </c>
      <c r="H347" s="3">
        <f t="shared" si="39"/>
        <v>2.5435887014834382</v>
      </c>
      <c r="I347" s="3">
        <f t="shared" si="40"/>
        <v>5.8805999999999997E-2</v>
      </c>
      <c r="J347" s="3">
        <v>11665.007112375533</v>
      </c>
      <c r="K347" s="3" t="e">
        <v>#N/A</v>
      </c>
      <c r="L347" s="3">
        <v>1991.058727900833</v>
      </c>
      <c r="M347" s="3">
        <v>56.786000000000001</v>
      </c>
      <c r="N347" s="3">
        <v>2543.5887014834384</v>
      </c>
      <c r="O347" s="3">
        <v>58.805999999999997</v>
      </c>
      <c r="P347" s="3" t="e">
        <f>E347*(VLOOKUP(B347,Price_data!A$1:B$190,2,FALSE))</f>
        <v>#N/A</v>
      </c>
      <c r="Q347" s="3">
        <f>G347*(VLOOKUP(B347,Price_data!A$1:B$190,2,FALSE))</f>
        <v>2.0510126236620199</v>
      </c>
      <c r="R347" s="3">
        <f>I347*(VLOOKUP(B347,Price_data!A$1:B$190,2,FALSE))</f>
        <v>2.1239715483934196</v>
      </c>
      <c r="S347" s="4" t="str">
        <f>(VLOOKUP(B347,Price_data!A$1:C$190,3,FALSE))</f>
        <v>Open access</v>
      </c>
      <c r="T347" s="2" t="str">
        <f>IF(C347="Total", (VLOOKUP(B347,Recommended_fish_intake!A$4:D$122,4,FALSE)), "NA")</f>
        <v>NA</v>
      </c>
      <c r="U347" s="2" t="str">
        <f t="shared" si="41"/>
        <v>NA</v>
      </c>
    </row>
    <row r="348" spans="1:21" ht="14.25" customHeight="1">
      <c r="A348" s="2" t="s">
        <v>15</v>
      </c>
      <c r="B348" s="2">
        <v>1925</v>
      </c>
      <c r="C348" s="2" t="s">
        <v>25</v>
      </c>
      <c r="D348" s="3">
        <f t="shared" si="35"/>
        <v>37.367811420442997</v>
      </c>
      <c r="E348" s="3" t="e">
        <f t="shared" si="36"/>
        <v>#N/A</v>
      </c>
      <c r="F348" s="3" t="e">
        <f t="shared" si="37"/>
        <v>#N/A</v>
      </c>
      <c r="G348" s="3" t="e">
        <f t="shared" si="38"/>
        <v>#N/A</v>
      </c>
      <c r="H348" s="3" t="e">
        <f t="shared" si="39"/>
        <v>#N/A</v>
      </c>
      <c r="I348" s="3" t="e">
        <f t="shared" si="40"/>
        <v>#N/A</v>
      </c>
      <c r="J348" s="3">
        <v>37367.811420442995</v>
      </c>
      <c r="K348" s="3" t="e">
        <v>#N/A</v>
      </c>
      <c r="L348" s="3" t="e">
        <v>#N/A</v>
      </c>
      <c r="M348" s="3" t="e">
        <v>#N/A</v>
      </c>
      <c r="N348" s="3" t="e">
        <v>#N/A</v>
      </c>
      <c r="O348" s="3" t="e">
        <v>#N/A</v>
      </c>
      <c r="P348" s="3" t="e">
        <f>E348*(VLOOKUP(B348,Price_data!A$1:B$190,2,FALSE))</f>
        <v>#N/A</v>
      </c>
      <c r="Q348" s="3" t="e">
        <f>G348*(VLOOKUP(B348,Price_data!A$1:B$190,2,FALSE))</f>
        <v>#N/A</v>
      </c>
      <c r="R348" s="3" t="e">
        <f>I348*(VLOOKUP(B348,Price_data!A$1:B$190,2,FALSE))</f>
        <v>#N/A</v>
      </c>
      <c r="S348" s="4" t="str">
        <f>(VLOOKUP(B348,Price_data!A$1:C$190,3,FALSE))</f>
        <v>Open access</v>
      </c>
      <c r="T348" s="2" t="str">
        <f>IF(C348="Total", (VLOOKUP(B348,Recommended_fish_intake!A$4:D$122,4,FALSE)), "NA")</f>
        <v>NA</v>
      </c>
      <c r="U348" s="2" t="str">
        <f t="shared" si="41"/>
        <v>NA</v>
      </c>
    </row>
    <row r="349" spans="1:21" ht="14.25" customHeight="1">
      <c r="A349" s="2" t="s">
        <v>15</v>
      </c>
      <c r="B349" s="2">
        <v>1925</v>
      </c>
      <c r="C349" s="2" t="s">
        <v>24</v>
      </c>
      <c r="D349" s="3">
        <f t="shared" si="35"/>
        <v>21.952296281243648</v>
      </c>
      <c r="E349" s="3" t="e">
        <f t="shared" si="36"/>
        <v>#N/A</v>
      </c>
      <c r="F349" s="3" t="e">
        <f t="shared" si="37"/>
        <v>#N/A</v>
      </c>
      <c r="G349" s="3" t="e">
        <f t="shared" si="38"/>
        <v>#N/A</v>
      </c>
      <c r="H349" s="3" t="e">
        <f t="shared" si="39"/>
        <v>#N/A</v>
      </c>
      <c r="I349" s="3" t="e">
        <f t="shared" si="40"/>
        <v>#N/A</v>
      </c>
      <c r="J349" s="3">
        <v>21952.296281243649</v>
      </c>
      <c r="K349" s="3" t="e">
        <v>#N/A</v>
      </c>
      <c r="L349" s="3" t="e">
        <v>#N/A</v>
      </c>
      <c r="M349" s="3" t="e">
        <v>#N/A</v>
      </c>
      <c r="N349" s="3" t="e">
        <v>#N/A</v>
      </c>
      <c r="O349" s="3" t="e">
        <v>#N/A</v>
      </c>
      <c r="P349" s="3" t="e">
        <f>E349*(VLOOKUP(B349,Price_data!A$1:B$190,2,FALSE))</f>
        <v>#N/A</v>
      </c>
      <c r="Q349" s="3" t="e">
        <f>G349*(VLOOKUP(B349,Price_data!A$1:B$190,2,FALSE))</f>
        <v>#N/A</v>
      </c>
      <c r="R349" s="3" t="e">
        <f>I349*(VLOOKUP(B349,Price_data!A$1:B$190,2,FALSE))</f>
        <v>#N/A</v>
      </c>
      <c r="S349" s="4" t="str">
        <f>(VLOOKUP(B349,Price_data!A$1:C$190,3,FALSE))</f>
        <v>Open access</v>
      </c>
      <c r="T349" s="2" t="str">
        <f>IF(C349="Total", (VLOOKUP(B349,Recommended_fish_intake!A$4:D$122,4,FALSE)), "NA")</f>
        <v>NA</v>
      </c>
      <c r="U349" s="2" t="str">
        <f t="shared" si="41"/>
        <v>NA</v>
      </c>
    </row>
    <row r="350" spans="1:21" ht="14.25" customHeight="1">
      <c r="A350" s="2" t="s">
        <v>15</v>
      </c>
      <c r="B350" s="2">
        <v>1925</v>
      </c>
      <c r="C350" s="2" t="s">
        <v>30</v>
      </c>
      <c r="D350" s="3" t="e">
        <f t="shared" si="35"/>
        <v>#N/A</v>
      </c>
      <c r="E350" s="3" t="e">
        <f t="shared" si="36"/>
        <v>#N/A</v>
      </c>
      <c r="F350" s="3" t="e">
        <f t="shared" si="37"/>
        <v>#VALUE!</v>
      </c>
      <c r="G350" s="3" t="e">
        <f t="shared" si="38"/>
        <v>#VALUE!</v>
      </c>
      <c r="H350" s="3" t="e">
        <f t="shared" si="39"/>
        <v>#VALUE!</v>
      </c>
      <c r="I350" s="3" t="e">
        <f t="shared" si="40"/>
        <v>#VALUE!</v>
      </c>
      <c r="J350" s="3" t="e">
        <v>#N/A</v>
      </c>
      <c r="K350" s="3" t="e">
        <v>#N/A</v>
      </c>
      <c r="L350" s="3" t="e">
        <v>#VALUE!</v>
      </c>
      <c r="M350" s="3" t="e">
        <v>#VALUE!</v>
      </c>
      <c r="N350" s="3" t="e">
        <v>#VALUE!</v>
      </c>
      <c r="O350" s="3" t="e">
        <v>#VALUE!</v>
      </c>
      <c r="P350" s="3" t="e">
        <f>E350*(VLOOKUP(B350,Price_data!A$1:B$190,2,FALSE))</f>
        <v>#N/A</v>
      </c>
      <c r="Q350" s="3" t="e">
        <f>G350*(VLOOKUP(B350,Price_data!A$1:B$190,2,FALSE))</f>
        <v>#VALUE!</v>
      </c>
      <c r="R350" s="3" t="e">
        <f>I350*(VLOOKUP(B350,Price_data!A$1:B$190,2,FALSE))</f>
        <v>#VALUE!</v>
      </c>
      <c r="S350" s="4" t="str">
        <f>(VLOOKUP(B350,Price_data!A$1:C$190,3,FALSE))</f>
        <v>Open access</v>
      </c>
      <c r="T350" s="2" t="str">
        <f>IF(C350="Total", (VLOOKUP(B350,Recommended_fish_intake!A$4:D$122,4,FALSE)), "NA")</f>
        <v>NA</v>
      </c>
      <c r="U350" s="2" t="str">
        <f t="shared" si="41"/>
        <v>NA</v>
      </c>
    </row>
    <row r="351" spans="1:21" ht="14.25" customHeight="1">
      <c r="A351" s="2" t="s">
        <v>15</v>
      </c>
      <c r="B351" s="2">
        <v>1926</v>
      </c>
      <c r="C351" s="2" t="s">
        <v>16</v>
      </c>
      <c r="D351" s="3">
        <f t="shared" si="35"/>
        <v>963.4700772200772</v>
      </c>
      <c r="E351" s="3">
        <f t="shared" si="36"/>
        <v>17.649678999999999</v>
      </c>
      <c r="F351" s="3">
        <f t="shared" si="37"/>
        <v>369.58021743548056</v>
      </c>
      <c r="G351" s="3">
        <f t="shared" si="38"/>
        <v>7.3734330000000003</v>
      </c>
      <c r="H351" s="3">
        <f t="shared" si="39"/>
        <v>244.12507620402354</v>
      </c>
      <c r="I351" s="3">
        <f t="shared" si="40"/>
        <v>11.246176</v>
      </c>
      <c r="J351" s="3">
        <v>963470.07722007716</v>
      </c>
      <c r="K351" s="3">
        <v>17649.679</v>
      </c>
      <c r="L351" s="3">
        <v>369580.21743548056</v>
      </c>
      <c r="M351" s="3">
        <v>7373.433</v>
      </c>
      <c r="N351" s="3">
        <v>244125.07620402356</v>
      </c>
      <c r="O351" s="3">
        <v>11246.175999999999</v>
      </c>
      <c r="P351" s="3">
        <f>E351*(VLOOKUP(B351,Price_data!A$1:B$190,2,FALSE))</f>
        <v>640.92185681366323</v>
      </c>
      <c r="Q351" s="3">
        <f>G351*(VLOOKUP(B351,Price_data!A$1:B$190,2,FALSE))</f>
        <v>267.75525886057983</v>
      </c>
      <c r="R351" s="3">
        <f>I351*(VLOOKUP(B351,Price_data!A$1:B$190,2,FALSE))</f>
        <v>408.38816411183774</v>
      </c>
      <c r="S351" s="4" t="str">
        <f>(VLOOKUP(B351,Price_data!A$1:C$190,3,FALSE))</f>
        <v>Open access</v>
      </c>
      <c r="T351" s="2">
        <f>IF(C351="Total", (VLOOKUP(B351,Recommended_fish_intake!A$4:D$122,4,FALSE)), "NA")</f>
        <v>592.339046125241</v>
      </c>
      <c r="U351" s="2" t="str">
        <f t="shared" si="41"/>
        <v>NA</v>
      </c>
    </row>
    <row r="352" spans="1:21" ht="14.25" customHeight="1">
      <c r="A352" s="2" t="s">
        <v>15</v>
      </c>
      <c r="B352" s="2">
        <v>1926</v>
      </c>
      <c r="C352" s="2" t="s">
        <v>22</v>
      </c>
      <c r="D352" s="3">
        <f t="shared" si="35"/>
        <v>169.25863645600487</v>
      </c>
      <c r="E352" s="3" t="e">
        <f t="shared" si="36"/>
        <v>#N/A</v>
      </c>
      <c r="F352" s="3" t="e">
        <f t="shared" si="37"/>
        <v>#N/A</v>
      </c>
      <c r="G352" s="3" t="e">
        <f t="shared" si="38"/>
        <v>#N/A</v>
      </c>
      <c r="H352" s="3" t="e">
        <f t="shared" si="39"/>
        <v>#N/A</v>
      </c>
      <c r="I352" s="3" t="e">
        <f t="shared" si="40"/>
        <v>#N/A</v>
      </c>
      <c r="J352" s="3">
        <v>169258.63645600487</v>
      </c>
      <c r="K352" s="3" t="e">
        <v>#N/A</v>
      </c>
      <c r="L352" s="3" t="e">
        <v>#N/A</v>
      </c>
      <c r="M352" s="3" t="e">
        <v>#N/A</v>
      </c>
      <c r="N352" s="3" t="e">
        <v>#N/A</v>
      </c>
      <c r="O352" s="3" t="e">
        <v>#N/A</v>
      </c>
      <c r="P352" s="3" t="e">
        <f>E352*(VLOOKUP(B352,Price_data!A$1:B$190,2,FALSE))</f>
        <v>#N/A</v>
      </c>
      <c r="Q352" s="3" t="e">
        <f>G352*(VLOOKUP(B352,Price_data!A$1:B$190,2,FALSE))</f>
        <v>#N/A</v>
      </c>
      <c r="R352" s="3" t="e">
        <f>I352*(VLOOKUP(B352,Price_data!A$1:B$190,2,FALSE))</f>
        <v>#N/A</v>
      </c>
      <c r="S352" s="4" t="str">
        <f>(VLOOKUP(B352,Price_data!A$1:C$190,3,FALSE))</f>
        <v>Open access</v>
      </c>
      <c r="T352" s="2" t="str">
        <f>IF(C352="Total", (VLOOKUP(B352,Recommended_fish_intake!A$4:D$122,4,FALSE)), "NA")</f>
        <v>NA</v>
      </c>
      <c r="U352" s="2" t="str">
        <f t="shared" si="41"/>
        <v>NA</v>
      </c>
    </row>
    <row r="353" spans="1:21" ht="14.25" customHeight="1">
      <c r="A353" s="2" t="s">
        <v>15</v>
      </c>
      <c r="B353" s="2">
        <v>1926</v>
      </c>
      <c r="C353" s="2" t="s">
        <v>23</v>
      </c>
      <c r="D353" s="3">
        <f t="shared" si="35"/>
        <v>147.90266206055679</v>
      </c>
      <c r="E353" s="3" t="e">
        <f t="shared" si="36"/>
        <v>#N/A</v>
      </c>
      <c r="F353" s="3" t="e">
        <f t="shared" si="37"/>
        <v>#N/A</v>
      </c>
      <c r="G353" s="3" t="e">
        <f t="shared" si="38"/>
        <v>#N/A</v>
      </c>
      <c r="H353" s="3" t="e">
        <f t="shared" si="39"/>
        <v>#N/A</v>
      </c>
      <c r="I353" s="3" t="e">
        <f t="shared" si="40"/>
        <v>#N/A</v>
      </c>
      <c r="J353" s="3">
        <v>147902.66206055679</v>
      </c>
      <c r="K353" s="3" t="e">
        <v>#N/A</v>
      </c>
      <c r="L353" s="3" t="e">
        <v>#N/A</v>
      </c>
      <c r="M353" s="3" t="e">
        <v>#N/A</v>
      </c>
      <c r="N353" s="3" t="e">
        <v>#N/A</v>
      </c>
      <c r="O353" s="3" t="e">
        <v>#N/A</v>
      </c>
      <c r="P353" s="3" t="e">
        <f>E353*(VLOOKUP(B353,Price_data!A$1:B$190,2,FALSE))</f>
        <v>#N/A</v>
      </c>
      <c r="Q353" s="3" t="e">
        <f>G353*(VLOOKUP(B353,Price_data!A$1:B$190,2,FALSE))</f>
        <v>#N/A</v>
      </c>
      <c r="R353" s="3" t="e">
        <f>I353*(VLOOKUP(B353,Price_data!A$1:B$190,2,FALSE))</f>
        <v>#N/A</v>
      </c>
      <c r="S353" s="4" t="str">
        <f>(VLOOKUP(B353,Price_data!A$1:C$190,3,FALSE))</f>
        <v>Open access</v>
      </c>
      <c r="T353" s="2" t="str">
        <f>IF(C353="Total", (VLOOKUP(B353,Recommended_fish_intake!A$4:D$122,4,FALSE)), "NA")</f>
        <v>NA</v>
      </c>
      <c r="U353" s="2" t="str">
        <f t="shared" si="41"/>
        <v>NA</v>
      </c>
    </row>
    <row r="354" spans="1:21" ht="14.25" customHeight="1">
      <c r="A354" s="2" t="s">
        <v>15</v>
      </c>
      <c r="B354" s="2">
        <v>1926</v>
      </c>
      <c r="C354" s="2" t="s">
        <v>19</v>
      </c>
      <c r="D354" s="3">
        <f t="shared" si="35"/>
        <v>387.46215200162567</v>
      </c>
      <c r="E354" s="3" t="e">
        <f t="shared" si="36"/>
        <v>#N/A</v>
      </c>
      <c r="F354" s="3" t="e">
        <f t="shared" si="37"/>
        <v>#N/A</v>
      </c>
      <c r="G354" s="3" t="e">
        <f t="shared" si="38"/>
        <v>#N/A</v>
      </c>
      <c r="H354" s="3" t="e">
        <f t="shared" si="39"/>
        <v>#N/A</v>
      </c>
      <c r="I354" s="3" t="e">
        <f t="shared" si="40"/>
        <v>#N/A</v>
      </c>
      <c r="J354" s="3">
        <v>387462.15200162568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f>E354*(VLOOKUP(B354,Price_data!A$1:B$190,2,FALSE))</f>
        <v>#N/A</v>
      </c>
      <c r="Q354" s="3" t="e">
        <f>G354*(VLOOKUP(B354,Price_data!A$1:B$190,2,FALSE))</f>
        <v>#N/A</v>
      </c>
      <c r="R354" s="3" t="e">
        <f>I354*(VLOOKUP(B354,Price_data!A$1:B$190,2,FALSE))</f>
        <v>#N/A</v>
      </c>
      <c r="S354" s="4" t="str">
        <f>(VLOOKUP(B354,Price_data!A$1:C$190,3,FALSE))</f>
        <v>Open access</v>
      </c>
      <c r="T354" s="2" t="str">
        <f>IF(C354="Total", (VLOOKUP(B354,Recommended_fish_intake!A$4:D$122,4,FALSE)), "NA")</f>
        <v>NA</v>
      </c>
      <c r="U354" s="2" t="str">
        <f t="shared" si="41"/>
        <v>NA</v>
      </c>
    </row>
    <row r="355" spans="1:21" ht="14.25" customHeight="1">
      <c r="A355" s="2" t="s">
        <v>15</v>
      </c>
      <c r="B355" s="2">
        <v>1926</v>
      </c>
      <c r="C355" s="2" t="s">
        <v>28</v>
      </c>
      <c r="D355" s="3" t="e">
        <f t="shared" si="35"/>
        <v>#VALUE!</v>
      </c>
      <c r="E355" s="3" t="e">
        <f t="shared" si="36"/>
        <v>#VALUE!</v>
      </c>
      <c r="F355" s="3" t="e">
        <f t="shared" si="37"/>
        <v>#N/A</v>
      </c>
      <c r="G355" s="3" t="e">
        <f t="shared" si="38"/>
        <v>#N/A</v>
      </c>
      <c r="H355" s="3" t="e">
        <f t="shared" si="39"/>
        <v>#N/A</v>
      </c>
      <c r="I355" s="3" t="e">
        <f t="shared" si="40"/>
        <v>#N/A</v>
      </c>
      <c r="J355" s="3" t="e">
        <v>#VALUE!</v>
      </c>
      <c r="K355" s="3" t="e">
        <v>#VALUE!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f>E355*(VLOOKUP(B355,Price_data!A$1:B$190,2,FALSE))</f>
        <v>#VALUE!</v>
      </c>
      <c r="Q355" s="3" t="e">
        <f>G355*(VLOOKUP(B355,Price_data!A$1:B$190,2,FALSE))</f>
        <v>#N/A</v>
      </c>
      <c r="R355" s="3" t="e">
        <f>I355*(VLOOKUP(B355,Price_data!A$1:B$190,2,FALSE))</f>
        <v>#N/A</v>
      </c>
      <c r="S355" s="4" t="str">
        <f>(VLOOKUP(B355,Price_data!A$1:C$190,3,FALSE))</f>
        <v>Open access</v>
      </c>
      <c r="T355" s="2" t="str">
        <f>IF(C355="Total", (VLOOKUP(B355,Recommended_fish_intake!A$4:D$122,4,FALSE)), "NA")</f>
        <v>NA</v>
      </c>
      <c r="U355" s="2" t="e">
        <f t="shared" si="41"/>
        <v>#VALUE!</v>
      </c>
    </row>
    <row r="356" spans="1:21" ht="14.25" customHeight="1">
      <c r="A356" s="2" t="s">
        <v>15</v>
      </c>
      <c r="B356" s="2">
        <v>1926</v>
      </c>
      <c r="C356" s="2" t="s">
        <v>29</v>
      </c>
      <c r="D356" s="3" t="e">
        <f t="shared" si="35"/>
        <v>#VALUE!</v>
      </c>
      <c r="E356" s="3" t="e">
        <f t="shared" si="36"/>
        <v>#VALUE!</v>
      </c>
      <c r="F356" s="3" t="e">
        <f t="shared" si="37"/>
        <v>#N/A</v>
      </c>
      <c r="G356" s="3" t="e">
        <f t="shared" si="38"/>
        <v>#N/A</v>
      </c>
      <c r="H356" s="3" t="e">
        <f t="shared" si="39"/>
        <v>#N/A</v>
      </c>
      <c r="I356" s="3" t="e">
        <f t="shared" si="40"/>
        <v>#N/A</v>
      </c>
      <c r="J356" s="3" t="e">
        <v>#VALUE!</v>
      </c>
      <c r="K356" s="3" t="e">
        <v>#VALUE!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f>E356*(VLOOKUP(B356,Price_data!A$1:B$190,2,FALSE))</f>
        <v>#VALUE!</v>
      </c>
      <c r="Q356" s="3" t="e">
        <f>G356*(VLOOKUP(B356,Price_data!A$1:B$190,2,FALSE))</f>
        <v>#N/A</v>
      </c>
      <c r="R356" s="3" t="e">
        <f>I356*(VLOOKUP(B356,Price_data!A$1:B$190,2,FALSE))</f>
        <v>#N/A</v>
      </c>
      <c r="S356" s="4" t="str">
        <f>(VLOOKUP(B356,Price_data!A$1:C$190,3,FALSE))</f>
        <v>Open access</v>
      </c>
      <c r="T356" s="2" t="str">
        <f>IF(C356="Total", (VLOOKUP(B356,Recommended_fish_intake!A$4:D$122,4,FALSE)), "NA")</f>
        <v>NA</v>
      </c>
      <c r="U356" s="2" t="str">
        <f t="shared" si="41"/>
        <v>NA</v>
      </c>
    </row>
    <row r="357" spans="1:21" ht="14.25" customHeight="1">
      <c r="A357" s="2" t="s">
        <v>15</v>
      </c>
      <c r="B357" s="2">
        <v>1926</v>
      </c>
      <c r="C357" s="2" t="s">
        <v>20</v>
      </c>
      <c r="D357" s="3">
        <f t="shared" si="35"/>
        <v>10.092968908758381</v>
      </c>
      <c r="E357" s="3" t="e">
        <f t="shared" si="36"/>
        <v>#N/A</v>
      </c>
      <c r="F357" s="3" t="e">
        <f t="shared" si="37"/>
        <v>#N/A</v>
      </c>
      <c r="G357" s="3" t="e">
        <f t="shared" si="38"/>
        <v>#N/A</v>
      </c>
      <c r="H357" s="3" t="e">
        <f t="shared" si="39"/>
        <v>#N/A</v>
      </c>
      <c r="I357" s="3" t="e">
        <f t="shared" si="40"/>
        <v>#N/A</v>
      </c>
      <c r="J357" s="3">
        <v>10092.968908758381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f>E357*(VLOOKUP(B357,Price_data!A$1:B$190,2,FALSE))</f>
        <v>#N/A</v>
      </c>
      <c r="Q357" s="3" t="e">
        <f>G357*(VLOOKUP(B357,Price_data!A$1:B$190,2,FALSE))</f>
        <v>#N/A</v>
      </c>
      <c r="R357" s="3" t="e">
        <f>I357*(VLOOKUP(B357,Price_data!A$1:B$190,2,FALSE))</f>
        <v>#N/A</v>
      </c>
      <c r="S357" s="4" t="str">
        <f>(VLOOKUP(B357,Price_data!A$1:C$190,3,FALSE))</f>
        <v>Open access</v>
      </c>
      <c r="T357" s="2" t="str">
        <f>IF(C357="Total", (VLOOKUP(B357,Recommended_fish_intake!A$4:D$122,4,FALSE)), "NA")</f>
        <v>NA</v>
      </c>
      <c r="U357" s="2" t="str">
        <f t="shared" si="41"/>
        <v>NA</v>
      </c>
    </row>
    <row r="358" spans="1:21" ht="14.25" customHeight="1">
      <c r="A358" s="2" t="s">
        <v>15</v>
      </c>
      <c r="B358" s="2">
        <v>1926</v>
      </c>
      <c r="C358" s="2" t="s">
        <v>25</v>
      </c>
      <c r="D358" s="3">
        <f t="shared" si="35"/>
        <v>31.981406218248321</v>
      </c>
      <c r="E358" s="3" t="e">
        <f t="shared" si="36"/>
        <v>#N/A</v>
      </c>
      <c r="F358" s="3" t="e">
        <f t="shared" si="37"/>
        <v>#N/A</v>
      </c>
      <c r="G358" s="3" t="e">
        <f t="shared" si="38"/>
        <v>#N/A</v>
      </c>
      <c r="H358" s="3" t="e">
        <f t="shared" si="39"/>
        <v>#N/A</v>
      </c>
      <c r="I358" s="3" t="e">
        <f t="shared" si="40"/>
        <v>#N/A</v>
      </c>
      <c r="J358" s="3">
        <v>31981.406218248321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f>E358*(VLOOKUP(B358,Price_data!A$1:B$190,2,FALSE))</f>
        <v>#N/A</v>
      </c>
      <c r="Q358" s="3" t="e">
        <f>G358*(VLOOKUP(B358,Price_data!A$1:B$190,2,FALSE))</f>
        <v>#N/A</v>
      </c>
      <c r="R358" s="3" t="e">
        <f>I358*(VLOOKUP(B358,Price_data!A$1:B$190,2,FALSE))</f>
        <v>#N/A</v>
      </c>
      <c r="S358" s="4" t="str">
        <f>(VLOOKUP(B358,Price_data!A$1:C$190,3,FALSE))</f>
        <v>Open access</v>
      </c>
      <c r="T358" s="2" t="str">
        <f>IF(C358="Total", (VLOOKUP(B358,Recommended_fish_intake!A$4:D$122,4,FALSE)), "NA")</f>
        <v>NA</v>
      </c>
      <c r="U358" s="2" t="str">
        <f t="shared" si="41"/>
        <v>NA</v>
      </c>
    </row>
    <row r="359" spans="1:21" ht="14.25" customHeight="1">
      <c r="A359" s="2" t="s">
        <v>15</v>
      </c>
      <c r="B359" s="2">
        <v>1926</v>
      </c>
      <c r="C359" s="2" t="s">
        <v>24</v>
      </c>
      <c r="D359" s="3">
        <f t="shared" si="35"/>
        <v>22.227646819752081</v>
      </c>
      <c r="E359" s="3" t="e">
        <f t="shared" si="36"/>
        <v>#N/A</v>
      </c>
      <c r="F359" s="3" t="e">
        <f t="shared" si="37"/>
        <v>#N/A</v>
      </c>
      <c r="G359" s="3" t="e">
        <f t="shared" si="38"/>
        <v>#N/A</v>
      </c>
      <c r="H359" s="3" t="e">
        <f t="shared" si="39"/>
        <v>#N/A</v>
      </c>
      <c r="I359" s="3" t="e">
        <f t="shared" si="40"/>
        <v>#N/A</v>
      </c>
      <c r="J359" s="3">
        <v>22227.646819752081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f>E359*(VLOOKUP(B359,Price_data!A$1:B$190,2,FALSE))</f>
        <v>#N/A</v>
      </c>
      <c r="Q359" s="3" t="e">
        <f>G359*(VLOOKUP(B359,Price_data!A$1:B$190,2,FALSE))</f>
        <v>#N/A</v>
      </c>
      <c r="R359" s="3" t="e">
        <f>I359*(VLOOKUP(B359,Price_data!A$1:B$190,2,FALSE))</f>
        <v>#N/A</v>
      </c>
      <c r="S359" s="4" t="str">
        <f>(VLOOKUP(B359,Price_data!A$1:C$190,3,FALSE))</f>
        <v>Open access</v>
      </c>
      <c r="T359" s="2" t="str">
        <f>IF(C359="Total", (VLOOKUP(B359,Recommended_fish_intake!A$4:D$122,4,FALSE)), "NA")</f>
        <v>NA</v>
      </c>
      <c r="U359" s="2" t="str">
        <f t="shared" si="41"/>
        <v>NA</v>
      </c>
    </row>
    <row r="360" spans="1:21" ht="14.25" customHeight="1">
      <c r="A360" s="2" t="s">
        <v>15</v>
      </c>
      <c r="B360" s="2">
        <v>1926</v>
      </c>
      <c r="C360" s="2" t="s">
        <v>30</v>
      </c>
      <c r="D360" s="3" t="e">
        <f t="shared" si="35"/>
        <v>#N/A</v>
      </c>
      <c r="E360" s="3" t="e">
        <f t="shared" si="36"/>
        <v>#N/A</v>
      </c>
      <c r="F360" s="3" t="e">
        <f t="shared" si="37"/>
        <v>#N/A</v>
      </c>
      <c r="G360" s="3" t="e">
        <f t="shared" si="38"/>
        <v>#N/A</v>
      </c>
      <c r="H360" s="3" t="e">
        <f t="shared" si="39"/>
        <v>#N/A</v>
      </c>
      <c r="I360" s="3" t="e">
        <f t="shared" si="40"/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f>E360*(VLOOKUP(B360,Price_data!A$1:B$190,2,FALSE))</f>
        <v>#N/A</v>
      </c>
      <c r="Q360" s="3" t="e">
        <f>G360*(VLOOKUP(B360,Price_data!A$1:B$190,2,FALSE))</f>
        <v>#N/A</v>
      </c>
      <c r="R360" s="3" t="e">
        <f>I360*(VLOOKUP(B360,Price_data!A$1:B$190,2,FALSE))</f>
        <v>#N/A</v>
      </c>
      <c r="S360" s="4" t="str">
        <f>(VLOOKUP(B360,Price_data!A$1:C$190,3,FALSE))</f>
        <v>Open access</v>
      </c>
      <c r="T360" s="2" t="str">
        <f>IF(C360="Total", (VLOOKUP(B360,Recommended_fish_intake!A$4:D$122,4,FALSE)), "NA")</f>
        <v>NA</v>
      </c>
      <c r="U360" s="2" t="str">
        <f t="shared" si="41"/>
        <v>NA</v>
      </c>
    </row>
    <row r="361" spans="1:21" ht="14.25" customHeight="1">
      <c r="A361" s="2" t="s">
        <v>15</v>
      </c>
      <c r="B361" s="2">
        <v>1927</v>
      </c>
      <c r="C361" s="2" t="s">
        <v>16</v>
      </c>
      <c r="D361" s="3">
        <f t="shared" si="35"/>
        <v>1016.0319548872179</v>
      </c>
      <c r="E361" s="3">
        <f t="shared" si="36"/>
        <v>17.598946999999999</v>
      </c>
      <c r="F361" s="3">
        <f t="shared" si="37"/>
        <v>390.16460069091647</v>
      </c>
      <c r="G361" s="3">
        <f t="shared" si="38"/>
        <v>7.0019819999999999</v>
      </c>
      <c r="H361" s="3">
        <f t="shared" si="39"/>
        <v>245.93085754927858</v>
      </c>
      <c r="I361" s="3">
        <f t="shared" si="40"/>
        <v>11.576893999999999</v>
      </c>
      <c r="J361" s="3">
        <v>1016031.954887218</v>
      </c>
      <c r="K361" s="3">
        <v>17598.947</v>
      </c>
      <c r="L361" s="3">
        <v>390164.60069091647</v>
      </c>
      <c r="M361" s="3">
        <v>7001.982</v>
      </c>
      <c r="N361" s="3">
        <v>245930.85754927859</v>
      </c>
      <c r="O361" s="3">
        <v>11576.894</v>
      </c>
      <c r="P361" s="3">
        <f>E361*(VLOOKUP(B361,Price_data!A$1:B$190,2,FALSE))</f>
        <v>656.83181077200231</v>
      </c>
      <c r="Q361" s="3">
        <f>G361*(VLOOKUP(B361,Price_data!A$1:B$190,2,FALSE))</f>
        <v>261.32952818444005</v>
      </c>
      <c r="R361" s="3">
        <f>I361*(VLOOKUP(B361,Price_data!A$1:B$190,2,FALSE))</f>
        <v>432.07541048538468</v>
      </c>
      <c r="S361" s="4" t="str">
        <f>(VLOOKUP(B361,Price_data!A$1:C$190,3,FALSE))</f>
        <v>Open access</v>
      </c>
      <c r="T361" s="2">
        <f>IF(C361="Total", (VLOOKUP(B361,Recommended_fish_intake!A$4:D$122,4,FALSE)), "NA")</f>
        <v>595.14763153201307</v>
      </c>
      <c r="U361" s="2" t="str">
        <f t="shared" si="41"/>
        <v>NA</v>
      </c>
    </row>
    <row r="362" spans="1:21" ht="14.25" customHeight="1">
      <c r="A362" s="2" t="s">
        <v>15</v>
      </c>
      <c r="B362" s="2">
        <v>1927</v>
      </c>
      <c r="C362" s="2" t="s">
        <v>22</v>
      </c>
      <c r="D362" s="3">
        <f t="shared" si="35"/>
        <v>184.11740499898391</v>
      </c>
      <c r="E362" s="3" t="e">
        <f t="shared" si="36"/>
        <v>#N/A</v>
      </c>
      <c r="F362" s="3" t="e">
        <f t="shared" si="37"/>
        <v>#N/A</v>
      </c>
      <c r="G362" s="3" t="e">
        <f t="shared" si="38"/>
        <v>#N/A</v>
      </c>
      <c r="H362" s="3" t="e">
        <f t="shared" si="39"/>
        <v>#N/A</v>
      </c>
      <c r="I362" s="3" t="e">
        <f t="shared" si="40"/>
        <v>#N/A</v>
      </c>
      <c r="J362" s="3">
        <v>184117.40499898393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f>E362*(VLOOKUP(B362,Price_data!A$1:B$190,2,FALSE))</f>
        <v>#N/A</v>
      </c>
      <c r="Q362" s="3" t="e">
        <f>G362*(VLOOKUP(B362,Price_data!A$1:B$190,2,FALSE))</f>
        <v>#N/A</v>
      </c>
      <c r="R362" s="3" t="e">
        <f>I362*(VLOOKUP(B362,Price_data!A$1:B$190,2,FALSE))</f>
        <v>#N/A</v>
      </c>
      <c r="S362" s="4" t="str">
        <f>(VLOOKUP(B362,Price_data!A$1:C$190,3,FALSE))</f>
        <v>Open access</v>
      </c>
      <c r="T362" s="2" t="str">
        <f>IF(C362="Total", (VLOOKUP(B362,Recommended_fish_intake!A$4:D$122,4,FALSE)), "NA")</f>
        <v>NA</v>
      </c>
      <c r="U362" s="2" t="str">
        <f t="shared" si="41"/>
        <v>NA</v>
      </c>
    </row>
    <row r="363" spans="1:21" ht="14.25" customHeight="1">
      <c r="A363" s="2" t="s">
        <v>15</v>
      </c>
      <c r="B363" s="2">
        <v>1927</v>
      </c>
      <c r="C363" s="2" t="s">
        <v>23</v>
      </c>
      <c r="D363" s="3">
        <f t="shared" si="35"/>
        <v>150.5760516155253</v>
      </c>
      <c r="E363" s="3" t="e">
        <f t="shared" si="36"/>
        <v>#N/A</v>
      </c>
      <c r="F363" s="3" t="e">
        <f t="shared" si="37"/>
        <v>#N/A</v>
      </c>
      <c r="G363" s="3" t="e">
        <f t="shared" si="38"/>
        <v>#N/A</v>
      </c>
      <c r="H363" s="3" t="e">
        <f t="shared" si="39"/>
        <v>#N/A</v>
      </c>
      <c r="I363" s="3" t="e">
        <f t="shared" si="40"/>
        <v>#N/A</v>
      </c>
      <c r="J363" s="3">
        <v>150576.0516155253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f>E363*(VLOOKUP(B363,Price_data!A$1:B$190,2,FALSE))</f>
        <v>#N/A</v>
      </c>
      <c r="Q363" s="3" t="e">
        <f>G363*(VLOOKUP(B363,Price_data!A$1:B$190,2,FALSE))</f>
        <v>#N/A</v>
      </c>
      <c r="R363" s="3" t="e">
        <f>I363*(VLOOKUP(B363,Price_data!A$1:B$190,2,FALSE))</f>
        <v>#N/A</v>
      </c>
      <c r="S363" s="4" t="str">
        <f>(VLOOKUP(B363,Price_data!A$1:C$190,3,FALSE))</f>
        <v>Open access</v>
      </c>
      <c r="T363" s="2" t="str">
        <f>IF(C363="Total", (VLOOKUP(B363,Recommended_fish_intake!A$4:D$122,4,FALSE)), "NA")</f>
        <v>NA</v>
      </c>
      <c r="U363" s="2" t="str">
        <f t="shared" si="41"/>
        <v>NA</v>
      </c>
    </row>
    <row r="364" spans="1:21" ht="14.25" customHeight="1">
      <c r="A364" s="2" t="s">
        <v>15</v>
      </c>
      <c r="B364" s="2">
        <v>1927</v>
      </c>
      <c r="C364" s="2" t="s">
        <v>19</v>
      </c>
      <c r="D364" s="3">
        <f t="shared" si="35"/>
        <v>391.63823409876039</v>
      </c>
      <c r="E364" s="3" t="e">
        <f t="shared" si="36"/>
        <v>#N/A</v>
      </c>
      <c r="F364" s="3" t="e">
        <f t="shared" si="37"/>
        <v>#N/A</v>
      </c>
      <c r="G364" s="3" t="e">
        <f t="shared" si="38"/>
        <v>#N/A</v>
      </c>
      <c r="H364" s="3" t="e">
        <f t="shared" si="39"/>
        <v>#N/A</v>
      </c>
      <c r="I364" s="3" t="e">
        <f t="shared" si="40"/>
        <v>#N/A</v>
      </c>
      <c r="J364" s="3">
        <v>391638.23409876041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f>E364*(VLOOKUP(B364,Price_data!A$1:B$190,2,FALSE))</f>
        <v>#N/A</v>
      </c>
      <c r="Q364" s="3" t="e">
        <f>G364*(VLOOKUP(B364,Price_data!A$1:B$190,2,FALSE))</f>
        <v>#N/A</v>
      </c>
      <c r="R364" s="3" t="e">
        <f>I364*(VLOOKUP(B364,Price_data!A$1:B$190,2,FALSE))</f>
        <v>#N/A</v>
      </c>
      <c r="S364" s="4" t="str">
        <f>(VLOOKUP(B364,Price_data!A$1:C$190,3,FALSE))</f>
        <v>Open access</v>
      </c>
      <c r="T364" s="2" t="str">
        <f>IF(C364="Total", (VLOOKUP(B364,Recommended_fish_intake!A$4:D$122,4,FALSE)), "NA")</f>
        <v>NA</v>
      </c>
      <c r="U364" s="2" t="str">
        <f t="shared" si="41"/>
        <v>NA</v>
      </c>
    </row>
    <row r="365" spans="1:21" ht="14.25" customHeight="1">
      <c r="A365" s="2" t="s">
        <v>15</v>
      </c>
      <c r="B365" s="2">
        <v>1927</v>
      </c>
      <c r="C365" s="2" t="s">
        <v>28</v>
      </c>
      <c r="D365" s="3" t="e">
        <f t="shared" si="35"/>
        <v>#VALUE!</v>
      </c>
      <c r="E365" s="3" t="e">
        <f t="shared" si="36"/>
        <v>#VALUE!</v>
      </c>
      <c r="F365" s="3" t="e">
        <f t="shared" si="37"/>
        <v>#N/A</v>
      </c>
      <c r="G365" s="3" t="e">
        <f t="shared" si="38"/>
        <v>#N/A</v>
      </c>
      <c r="H365" s="3" t="e">
        <f t="shared" si="39"/>
        <v>#N/A</v>
      </c>
      <c r="I365" s="3" t="e">
        <f t="shared" si="40"/>
        <v>#N/A</v>
      </c>
      <c r="J365" s="3" t="e">
        <v>#VALUE!</v>
      </c>
      <c r="K365" s="3" t="e">
        <v>#VALUE!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f>E365*(VLOOKUP(B365,Price_data!A$1:B$190,2,FALSE))</f>
        <v>#VALUE!</v>
      </c>
      <c r="Q365" s="3" t="e">
        <f>G365*(VLOOKUP(B365,Price_data!A$1:B$190,2,FALSE))</f>
        <v>#N/A</v>
      </c>
      <c r="R365" s="3" t="e">
        <f>I365*(VLOOKUP(B365,Price_data!A$1:B$190,2,FALSE))</f>
        <v>#N/A</v>
      </c>
      <c r="S365" s="4" t="str">
        <f>(VLOOKUP(B365,Price_data!A$1:C$190,3,FALSE))</f>
        <v>Open access</v>
      </c>
      <c r="T365" s="2" t="str">
        <f>IF(C365="Total", (VLOOKUP(B365,Recommended_fish_intake!A$4:D$122,4,FALSE)), "NA")</f>
        <v>NA</v>
      </c>
      <c r="U365" s="2" t="e">
        <f t="shared" si="41"/>
        <v>#VALUE!</v>
      </c>
    </row>
    <row r="366" spans="1:21" ht="14.25" customHeight="1">
      <c r="A366" s="2" t="s">
        <v>15</v>
      </c>
      <c r="B366" s="2">
        <v>1927</v>
      </c>
      <c r="C366" s="2" t="s">
        <v>29</v>
      </c>
      <c r="D366" s="3" t="e">
        <f t="shared" si="35"/>
        <v>#VALUE!</v>
      </c>
      <c r="E366" s="3" t="e">
        <f t="shared" si="36"/>
        <v>#VALUE!</v>
      </c>
      <c r="F366" s="3" t="e">
        <f t="shared" si="37"/>
        <v>#N/A</v>
      </c>
      <c r="G366" s="3" t="e">
        <f t="shared" si="38"/>
        <v>#N/A</v>
      </c>
      <c r="H366" s="3" t="e">
        <f t="shared" si="39"/>
        <v>#N/A</v>
      </c>
      <c r="I366" s="3" t="e">
        <f t="shared" si="40"/>
        <v>#N/A</v>
      </c>
      <c r="J366" s="3" t="e">
        <v>#VALUE!</v>
      </c>
      <c r="K366" s="3" t="e">
        <v>#VALUE!</v>
      </c>
      <c r="L366" s="3" t="e">
        <v>#N/A</v>
      </c>
      <c r="M366" s="3" t="e">
        <v>#N/A</v>
      </c>
      <c r="N366" s="3" t="e">
        <v>#N/A</v>
      </c>
      <c r="O366" s="3" t="e">
        <v>#N/A</v>
      </c>
      <c r="P366" s="3" t="e">
        <f>E366*(VLOOKUP(B366,Price_data!A$1:B$190,2,FALSE))</f>
        <v>#VALUE!</v>
      </c>
      <c r="Q366" s="3" t="e">
        <f>G366*(VLOOKUP(B366,Price_data!A$1:B$190,2,FALSE))</f>
        <v>#N/A</v>
      </c>
      <c r="R366" s="3" t="e">
        <f>I366*(VLOOKUP(B366,Price_data!A$1:B$190,2,FALSE))</f>
        <v>#N/A</v>
      </c>
      <c r="S366" s="4" t="str">
        <f>(VLOOKUP(B366,Price_data!A$1:C$190,3,FALSE))</f>
        <v>Open access</v>
      </c>
      <c r="T366" s="2" t="str">
        <f>IF(C366="Total", (VLOOKUP(B366,Recommended_fish_intake!A$4:D$122,4,FALSE)), "NA")</f>
        <v>NA</v>
      </c>
      <c r="U366" s="2" t="str">
        <f t="shared" si="41"/>
        <v>NA</v>
      </c>
    </row>
    <row r="367" spans="1:21" ht="14.25" customHeight="1">
      <c r="A367" s="2" t="s">
        <v>15</v>
      </c>
      <c r="B367" s="2">
        <v>1927</v>
      </c>
      <c r="C367" s="2" t="s">
        <v>20</v>
      </c>
      <c r="D367" s="3">
        <f t="shared" si="35"/>
        <v>9.4581893923999178</v>
      </c>
      <c r="E367" s="3" t="e">
        <f t="shared" si="36"/>
        <v>#N/A</v>
      </c>
      <c r="F367" s="3" t="e">
        <f t="shared" si="37"/>
        <v>#N/A</v>
      </c>
      <c r="G367" s="3" t="e">
        <f t="shared" si="38"/>
        <v>#N/A</v>
      </c>
      <c r="H367" s="3" t="e">
        <f t="shared" si="39"/>
        <v>#N/A</v>
      </c>
      <c r="I367" s="3" t="e">
        <f t="shared" si="40"/>
        <v>#N/A</v>
      </c>
      <c r="J367" s="3">
        <v>9458.1893923999178</v>
      </c>
      <c r="K367" s="3" t="e">
        <v>#N/A</v>
      </c>
      <c r="L367" s="3" t="e">
        <v>#N/A</v>
      </c>
      <c r="M367" s="3" t="e">
        <v>#N/A</v>
      </c>
      <c r="N367" s="3" t="e">
        <v>#N/A</v>
      </c>
      <c r="O367" s="3" t="e">
        <v>#N/A</v>
      </c>
      <c r="P367" s="3" t="e">
        <f>E367*(VLOOKUP(B367,Price_data!A$1:B$190,2,FALSE))</f>
        <v>#N/A</v>
      </c>
      <c r="Q367" s="3" t="e">
        <f>G367*(VLOOKUP(B367,Price_data!A$1:B$190,2,FALSE))</f>
        <v>#N/A</v>
      </c>
      <c r="R367" s="3" t="e">
        <f>I367*(VLOOKUP(B367,Price_data!A$1:B$190,2,FALSE))</f>
        <v>#N/A</v>
      </c>
      <c r="S367" s="4" t="str">
        <f>(VLOOKUP(B367,Price_data!A$1:C$190,3,FALSE))</f>
        <v>Open access</v>
      </c>
      <c r="T367" s="2" t="str">
        <f>IF(C367="Total", (VLOOKUP(B367,Recommended_fish_intake!A$4:D$122,4,FALSE)), "NA")</f>
        <v>NA</v>
      </c>
      <c r="U367" s="2" t="str">
        <f t="shared" si="41"/>
        <v>NA</v>
      </c>
    </row>
    <row r="368" spans="1:21" ht="14.25" customHeight="1">
      <c r="A368" s="2" t="s">
        <v>15</v>
      </c>
      <c r="B368" s="2">
        <v>1927</v>
      </c>
      <c r="C368" s="2" t="s">
        <v>25</v>
      </c>
      <c r="D368" s="3">
        <f t="shared" si="35"/>
        <v>35.707224141434665</v>
      </c>
      <c r="E368" s="3" t="e">
        <f t="shared" si="36"/>
        <v>#N/A</v>
      </c>
      <c r="F368" s="3" t="e">
        <f t="shared" si="37"/>
        <v>#N/A</v>
      </c>
      <c r="G368" s="3" t="e">
        <f t="shared" si="38"/>
        <v>#N/A</v>
      </c>
      <c r="H368" s="3" t="e">
        <f t="shared" si="39"/>
        <v>#N/A</v>
      </c>
      <c r="I368" s="3" t="e">
        <f t="shared" si="40"/>
        <v>#N/A</v>
      </c>
      <c r="J368" s="3">
        <v>35707.224141434664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f>E368*(VLOOKUP(B368,Price_data!A$1:B$190,2,FALSE))</f>
        <v>#N/A</v>
      </c>
      <c r="Q368" s="3" t="e">
        <f>G368*(VLOOKUP(B368,Price_data!A$1:B$190,2,FALSE))</f>
        <v>#N/A</v>
      </c>
      <c r="R368" s="3" t="e">
        <f>I368*(VLOOKUP(B368,Price_data!A$1:B$190,2,FALSE))</f>
        <v>#N/A</v>
      </c>
      <c r="S368" s="4" t="str">
        <f>(VLOOKUP(B368,Price_data!A$1:C$190,3,FALSE))</f>
        <v>Open access</v>
      </c>
      <c r="T368" s="2" t="str">
        <f>IF(C368="Total", (VLOOKUP(B368,Recommended_fish_intake!A$4:D$122,4,FALSE)), "NA")</f>
        <v>NA</v>
      </c>
      <c r="U368" s="2" t="str">
        <f t="shared" si="41"/>
        <v>NA</v>
      </c>
    </row>
    <row r="369" spans="1:21" ht="14.25" customHeight="1">
      <c r="A369" s="2" t="s">
        <v>15</v>
      </c>
      <c r="B369" s="2">
        <v>1927</v>
      </c>
      <c r="C369" s="2" t="s">
        <v>24</v>
      </c>
      <c r="D369" s="3">
        <f t="shared" si="35"/>
        <v>25.5779821174558</v>
      </c>
      <c r="E369" s="3" t="e">
        <f t="shared" si="36"/>
        <v>#N/A</v>
      </c>
      <c r="F369" s="3" t="e">
        <f t="shared" si="37"/>
        <v>#N/A</v>
      </c>
      <c r="G369" s="3" t="e">
        <f t="shared" si="38"/>
        <v>#N/A</v>
      </c>
      <c r="H369" s="3" t="e">
        <f t="shared" si="39"/>
        <v>#N/A</v>
      </c>
      <c r="I369" s="3" t="e">
        <f t="shared" si="40"/>
        <v>#N/A</v>
      </c>
      <c r="J369" s="3">
        <v>25577.982117455802</v>
      </c>
      <c r="K369" s="3" t="e">
        <v>#N/A</v>
      </c>
      <c r="L369" s="3" t="e">
        <v>#N/A</v>
      </c>
      <c r="M369" s="3" t="e">
        <v>#N/A</v>
      </c>
      <c r="N369" s="3" t="e">
        <v>#N/A</v>
      </c>
      <c r="O369" s="3" t="e">
        <v>#N/A</v>
      </c>
      <c r="P369" s="3" t="e">
        <f>E369*(VLOOKUP(B369,Price_data!A$1:B$190,2,FALSE))</f>
        <v>#N/A</v>
      </c>
      <c r="Q369" s="3" t="e">
        <f>G369*(VLOOKUP(B369,Price_data!A$1:B$190,2,FALSE))</f>
        <v>#N/A</v>
      </c>
      <c r="R369" s="3" t="e">
        <f>I369*(VLOOKUP(B369,Price_data!A$1:B$190,2,FALSE))</f>
        <v>#N/A</v>
      </c>
      <c r="S369" s="4" t="str">
        <f>(VLOOKUP(B369,Price_data!A$1:C$190,3,FALSE))</f>
        <v>Open access</v>
      </c>
      <c r="T369" s="2" t="str">
        <f>IF(C369="Total", (VLOOKUP(B369,Recommended_fish_intake!A$4:D$122,4,FALSE)), "NA")</f>
        <v>NA</v>
      </c>
      <c r="U369" s="2" t="str">
        <f t="shared" si="41"/>
        <v>NA</v>
      </c>
    </row>
    <row r="370" spans="1:21" ht="14.25" customHeight="1">
      <c r="A370" s="2" t="s">
        <v>15</v>
      </c>
      <c r="B370" s="2">
        <v>1927</v>
      </c>
      <c r="C370" s="2" t="s">
        <v>30</v>
      </c>
      <c r="D370" s="3" t="e">
        <f t="shared" si="35"/>
        <v>#N/A</v>
      </c>
      <c r="E370" s="3" t="e">
        <f t="shared" si="36"/>
        <v>#N/A</v>
      </c>
      <c r="F370" s="3" t="e">
        <f t="shared" si="37"/>
        <v>#N/A</v>
      </c>
      <c r="G370" s="3" t="e">
        <f t="shared" si="38"/>
        <v>#N/A</v>
      </c>
      <c r="H370" s="3" t="e">
        <f t="shared" si="39"/>
        <v>#N/A</v>
      </c>
      <c r="I370" s="3" t="e">
        <f t="shared" si="40"/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 t="e">
        <v>#N/A</v>
      </c>
      <c r="O370" s="3" t="e">
        <v>#N/A</v>
      </c>
      <c r="P370" s="3" t="e">
        <f>E370*(VLOOKUP(B370,Price_data!A$1:B$190,2,FALSE))</f>
        <v>#N/A</v>
      </c>
      <c r="Q370" s="3" t="e">
        <f>G370*(VLOOKUP(B370,Price_data!A$1:B$190,2,FALSE))</f>
        <v>#N/A</v>
      </c>
      <c r="R370" s="3" t="e">
        <f>I370*(VLOOKUP(B370,Price_data!A$1:B$190,2,FALSE))</f>
        <v>#N/A</v>
      </c>
      <c r="S370" s="4" t="str">
        <f>(VLOOKUP(B370,Price_data!A$1:C$190,3,FALSE))</f>
        <v>Open access</v>
      </c>
      <c r="T370" s="2" t="str">
        <f>IF(C370="Total", (VLOOKUP(B370,Recommended_fish_intake!A$4:D$122,4,FALSE)), "NA")</f>
        <v>NA</v>
      </c>
      <c r="U370" s="2" t="str">
        <f t="shared" si="41"/>
        <v>NA</v>
      </c>
    </row>
    <row r="371" spans="1:21" ht="14.25" customHeight="1">
      <c r="A371" s="2" t="s">
        <v>15</v>
      </c>
      <c r="B371" s="2">
        <v>1928</v>
      </c>
      <c r="C371" s="2" t="s">
        <v>16</v>
      </c>
      <c r="D371" s="3">
        <f t="shared" si="35"/>
        <v>1018.4614915667546</v>
      </c>
      <c r="E371" s="3">
        <f t="shared" si="36"/>
        <v>18.369216000000002</v>
      </c>
      <c r="F371" s="3">
        <f t="shared" si="37"/>
        <v>391.20168664905503</v>
      </c>
      <c r="G371" s="3">
        <f t="shared" si="38"/>
        <v>7.5441729999999998</v>
      </c>
      <c r="H371" s="3">
        <f t="shared" si="39"/>
        <v>277.7845966267019</v>
      </c>
      <c r="I371" s="3">
        <f t="shared" si="40"/>
        <v>13.589049999999999</v>
      </c>
      <c r="J371" s="3">
        <v>1018461.4915667546</v>
      </c>
      <c r="K371" s="3">
        <v>18369.216</v>
      </c>
      <c r="L371" s="3">
        <v>391201.68664905505</v>
      </c>
      <c r="M371" s="3">
        <v>7544.1729999999998</v>
      </c>
      <c r="N371" s="3">
        <v>277784.59662670188</v>
      </c>
      <c r="O371" s="3">
        <v>13589.05</v>
      </c>
      <c r="P371" s="3">
        <f>E371*(VLOOKUP(B371,Price_data!A$1:B$190,2,FALSE))</f>
        <v>685.57996155917954</v>
      </c>
      <c r="Q371" s="3">
        <f>G371*(VLOOKUP(B371,Price_data!A$1:B$190,2,FALSE))</f>
        <v>281.56530117212407</v>
      </c>
      <c r="R371" s="3">
        <f>I371*(VLOOKUP(B371,Price_data!A$1:B$190,2,FALSE))</f>
        <v>507.17354385869095</v>
      </c>
      <c r="S371" s="4" t="str">
        <f>(VLOOKUP(B371,Price_data!A$1:C$190,3,FALSE))</f>
        <v>Open access</v>
      </c>
      <c r="T371" s="2">
        <f>IF(C371="Total", (VLOOKUP(B371,Recommended_fish_intake!A$4:D$122,4,FALSE)), "NA")</f>
        <v>597.63920310089384</v>
      </c>
      <c r="U371" s="2" t="str">
        <f t="shared" si="41"/>
        <v>NA</v>
      </c>
    </row>
    <row r="372" spans="1:21" ht="14.25" customHeight="1">
      <c r="A372" s="2" t="s">
        <v>15</v>
      </c>
      <c r="B372" s="2">
        <v>1928</v>
      </c>
      <c r="C372" s="2" t="s">
        <v>22</v>
      </c>
      <c r="D372" s="3">
        <f t="shared" si="35"/>
        <v>167.84667750457223</v>
      </c>
      <c r="E372" s="3" t="e">
        <f t="shared" si="36"/>
        <v>#N/A</v>
      </c>
      <c r="F372" s="3" t="e">
        <f t="shared" si="37"/>
        <v>#N/A</v>
      </c>
      <c r="G372" s="3" t="e">
        <f t="shared" si="38"/>
        <v>#N/A</v>
      </c>
      <c r="H372" s="3" t="e">
        <f t="shared" si="39"/>
        <v>#N/A</v>
      </c>
      <c r="I372" s="3" t="e">
        <f t="shared" si="40"/>
        <v>#N/A</v>
      </c>
      <c r="J372" s="3">
        <v>167846.67750457223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f>E372*(VLOOKUP(B372,Price_data!A$1:B$190,2,FALSE))</f>
        <v>#N/A</v>
      </c>
      <c r="Q372" s="3" t="e">
        <f>G372*(VLOOKUP(B372,Price_data!A$1:B$190,2,FALSE))</f>
        <v>#N/A</v>
      </c>
      <c r="R372" s="3" t="e">
        <f>I372*(VLOOKUP(B372,Price_data!A$1:B$190,2,FALSE))</f>
        <v>#N/A</v>
      </c>
      <c r="S372" s="4" t="str">
        <f>(VLOOKUP(B372,Price_data!A$1:C$190,3,FALSE))</f>
        <v>Open access</v>
      </c>
      <c r="T372" s="2" t="str">
        <f>IF(C372="Total", (VLOOKUP(B372,Recommended_fish_intake!A$4:D$122,4,FALSE)), "NA")</f>
        <v>NA</v>
      </c>
      <c r="U372" s="2" t="str">
        <f t="shared" si="41"/>
        <v>NA</v>
      </c>
    </row>
    <row r="373" spans="1:21" ht="14.25" customHeight="1">
      <c r="A373" s="2" t="s">
        <v>15</v>
      </c>
      <c r="B373" s="2">
        <v>1928</v>
      </c>
      <c r="C373" s="2" t="s">
        <v>23</v>
      </c>
      <c r="D373" s="3">
        <f t="shared" si="35"/>
        <v>151.09550904287744</v>
      </c>
      <c r="E373" s="3" t="e">
        <f t="shared" si="36"/>
        <v>#N/A</v>
      </c>
      <c r="F373" s="3" t="e">
        <f t="shared" si="37"/>
        <v>#N/A</v>
      </c>
      <c r="G373" s="3" t="e">
        <f t="shared" si="38"/>
        <v>#N/A</v>
      </c>
      <c r="H373" s="3" t="e">
        <f t="shared" si="39"/>
        <v>#N/A</v>
      </c>
      <c r="I373" s="3" t="e">
        <f t="shared" si="40"/>
        <v>#N/A</v>
      </c>
      <c r="J373" s="3">
        <v>151095.50904287744</v>
      </c>
      <c r="K373" s="3" t="e">
        <v>#N/A</v>
      </c>
      <c r="L373" s="3" t="e">
        <v>#N/A</v>
      </c>
      <c r="M373" s="3" t="e">
        <v>#N/A</v>
      </c>
      <c r="N373" s="3" t="e">
        <v>#N/A</v>
      </c>
      <c r="O373" s="3" t="e">
        <v>#N/A</v>
      </c>
      <c r="P373" s="3" t="e">
        <f>E373*(VLOOKUP(B373,Price_data!A$1:B$190,2,FALSE))</f>
        <v>#N/A</v>
      </c>
      <c r="Q373" s="3" t="e">
        <f>G373*(VLOOKUP(B373,Price_data!A$1:B$190,2,FALSE))</f>
        <v>#N/A</v>
      </c>
      <c r="R373" s="3" t="e">
        <f>I373*(VLOOKUP(B373,Price_data!A$1:B$190,2,FALSE))</f>
        <v>#N/A</v>
      </c>
      <c r="S373" s="4" t="str">
        <f>(VLOOKUP(B373,Price_data!A$1:C$190,3,FALSE))</f>
        <v>Open access</v>
      </c>
      <c r="T373" s="2" t="str">
        <f>IF(C373="Total", (VLOOKUP(B373,Recommended_fish_intake!A$4:D$122,4,FALSE)), "NA")</f>
        <v>NA</v>
      </c>
      <c r="U373" s="2" t="str">
        <f t="shared" si="41"/>
        <v>NA</v>
      </c>
    </row>
    <row r="374" spans="1:21" ht="14.25" customHeight="1">
      <c r="A374" s="2" t="s">
        <v>15</v>
      </c>
      <c r="B374" s="2">
        <v>1928</v>
      </c>
      <c r="C374" s="2" t="s">
        <v>19</v>
      </c>
      <c r="D374" s="3">
        <f t="shared" si="35"/>
        <v>414.53210729526518</v>
      </c>
      <c r="E374" s="3" t="e">
        <f t="shared" si="36"/>
        <v>#N/A</v>
      </c>
      <c r="F374" s="3" t="e">
        <f t="shared" si="37"/>
        <v>#N/A</v>
      </c>
      <c r="G374" s="3" t="e">
        <f t="shared" si="38"/>
        <v>#N/A</v>
      </c>
      <c r="H374" s="3" t="e">
        <f t="shared" si="39"/>
        <v>#N/A</v>
      </c>
      <c r="I374" s="3" t="e">
        <f t="shared" si="40"/>
        <v>#N/A</v>
      </c>
      <c r="J374" s="3">
        <v>414532.10729526519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f>E374*(VLOOKUP(B374,Price_data!A$1:B$190,2,FALSE))</f>
        <v>#N/A</v>
      </c>
      <c r="Q374" s="3" t="e">
        <f>G374*(VLOOKUP(B374,Price_data!A$1:B$190,2,FALSE))</f>
        <v>#N/A</v>
      </c>
      <c r="R374" s="3" t="e">
        <f>I374*(VLOOKUP(B374,Price_data!A$1:B$190,2,FALSE))</f>
        <v>#N/A</v>
      </c>
      <c r="S374" s="4" t="str">
        <f>(VLOOKUP(B374,Price_data!A$1:C$190,3,FALSE))</f>
        <v>Open access</v>
      </c>
      <c r="T374" s="2" t="str">
        <f>IF(C374="Total", (VLOOKUP(B374,Recommended_fish_intake!A$4:D$122,4,FALSE)), "NA")</f>
        <v>NA</v>
      </c>
      <c r="U374" s="2" t="str">
        <f t="shared" si="41"/>
        <v>NA</v>
      </c>
    </row>
    <row r="375" spans="1:21" ht="14.25" customHeight="1">
      <c r="A375" s="2" t="s">
        <v>15</v>
      </c>
      <c r="B375" s="2">
        <v>1928</v>
      </c>
      <c r="C375" s="2" t="s">
        <v>28</v>
      </c>
      <c r="D375" s="3" t="e">
        <f t="shared" si="35"/>
        <v>#VALUE!</v>
      </c>
      <c r="E375" s="3" t="e">
        <f t="shared" si="36"/>
        <v>#VALUE!</v>
      </c>
      <c r="F375" s="3" t="e">
        <f t="shared" si="37"/>
        <v>#N/A</v>
      </c>
      <c r="G375" s="3" t="e">
        <f t="shared" si="38"/>
        <v>#N/A</v>
      </c>
      <c r="H375" s="3" t="e">
        <f t="shared" si="39"/>
        <v>#N/A</v>
      </c>
      <c r="I375" s="3" t="e">
        <f t="shared" si="40"/>
        <v>#N/A</v>
      </c>
      <c r="J375" s="3" t="e">
        <v>#VALUE!</v>
      </c>
      <c r="K375" s="3" t="e">
        <v>#VALUE!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f>E375*(VLOOKUP(B375,Price_data!A$1:B$190,2,FALSE))</f>
        <v>#VALUE!</v>
      </c>
      <c r="Q375" s="3" t="e">
        <f>G375*(VLOOKUP(B375,Price_data!A$1:B$190,2,FALSE))</f>
        <v>#N/A</v>
      </c>
      <c r="R375" s="3" t="e">
        <f>I375*(VLOOKUP(B375,Price_data!A$1:B$190,2,FALSE))</f>
        <v>#N/A</v>
      </c>
      <c r="S375" s="4" t="str">
        <f>(VLOOKUP(B375,Price_data!A$1:C$190,3,FALSE))</f>
        <v>Open access</v>
      </c>
      <c r="T375" s="2" t="str">
        <f>IF(C375="Total", (VLOOKUP(B375,Recommended_fish_intake!A$4:D$122,4,FALSE)), "NA")</f>
        <v>NA</v>
      </c>
      <c r="U375" s="2" t="e">
        <f t="shared" si="41"/>
        <v>#VALUE!</v>
      </c>
    </row>
    <row r="376" spans="1:21" ht="14.25" customHeight="1">
      <c r="A376" s="2" t="s">
        <v>15</v>
      </c>
      <c r="B376" s="2">
        <v>1928</v>
      </c>
      <c r="C376" s="2" t="s">
        <v>29</v>
      </c>
      <c r="D376" s="3" t="e">
        <f t="shared" si="35"/>
        <v>#VALUE!</v>
      </c>
      <c r="E376" s="3" t="e">
        <f t="shared" si="36"/>
        <v>#VALUE!</v>
      </c>
      <c r="F376" s="3" t="e">
        <f t="shared" si="37"/>
        <v>#N/A</v>
      </c>
      <c r="G376" s="3" t="e">
        <f t="shared" si="38"/>
        <v>#N/A</v>
      </c>
      <c r="H376" s="3" t="e">
        <f t="shared" si="39"/>
        <v>#N/A</v>
      </c>
      <c r="I376" s="3" t="e">
        <f t="shared" si="40"/>
        <v>#N/A</v>
      </c>
      <c r="J376" s="3" t="e">
        <v>#VALUE!</v>
      </c>
      <c r="K376" s="3" t="e">
        <v>#VALUE!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f>E376*(VLOOKUP(B376,Price_data!A$1:B$190,2,FALSE))</f>
        <v>#VALUE!</v>
      </c>
      <c r="Q376" s="3" t="e">
        <f>G376*(VLOOKUP(B376,Price_data!A$1:B$190,2,FALSE))</f>
        <v>#N/A</v>
      </c>
      <c r="R376" s="3" t="e">
        <f>I376*(VLOOKUP(B376,Price_data!A$1:B$190,2,FALSE))</f>
        <v>#N/A</v>
      </c>
      <c r="S376" s="4" t="str">
        <f>(VLOOKUP(B376,Price_data!A$1:C$190,3,FALSE))</f>
        <v>Open access</v>
      </c>
      <c r="T376" s="2" t="str">
        <f>IF(C376="Total", (VLOOKUP(B376,Recommended_fish_intake!A$4:D$122,4,FALSE)), "NA")</f>
        <v>NA</v>
      </c>
      <c r="U376" s="2" t="str">
        <f t="shared" si="41"/>
        <v>NA</v>
      </c>
    </row>
    <row r="377" spans="1:21" ht="14.25" customHeight="1">
      <c r="A377" s="2" t="s">
        <v>15</v>
      </c>
      <c r="B377" s="2">
        <v>1928</v>
      </c>
      <c r="C377" s="2" t="s">
        <v>20</v>
      </c>
      <c r="D377" s="3">
        <f t="shared" si="35"/>
        <v>8.7379597642755531</v>
      </c>
      <c r="E377" s="3" t="e">
        <f t="shared" si="36"/>
        <v>#N/A</v>
      </c>
      <c r="F377" s="3" t="e">
        <f t="shared" si="37"/>
        <v>#N/A</v>
      </c>
      <c r="G377" s="3" t="e">
        <f t="shared" si="38"/>
        <v>#N/A</v>
      </c>
      <c r="H377" s="3" t="e">
        <f t="shared" si="39"/>
        <v>#N/A</v>
      </c>
      <c r="I377" s="3" t="e">
        <f t="shared" si="40"/>
        <v>#N/A</v>
      </c>
      <c r="J377" s="3">
        <v>8737.9597642755525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f>E377*(VLOOKUP(B377,Price_data!A$1:B$190,2,FALSE))</f>
        <v>#N/A</v>
      </c>
      <c r="Q377" s="3" t="e">
        <f>G377*(VLOOKUP(B377,Price_data!A$1:B$190,2,FALSE))</f>
        <v>#N/A</v>
      </c>
      <c r="R377" s="3" t="e">
        <f>I377*(VLOOKUP(B377,Price_data!A$1:B$190,2,FALSE))</f>
        <v>#N/A</v>
      </c>
      <c r="S377" s="4" t="str">
        <f>(VLOOKUP(B377,Price_data!A$1:C$190,3,FALSE))</f>
        <v>Open access</v>
      </c>
      <c r="T377" s="2" t="str">
        <f>IF(C377="Total", (VLOOKUP(B377,Recommended_fish_intake!A$4:D$122,4,FALSE)), "NA")</f>
        <v>NA</v>
      </c>
      <c r="U377" s="2" t="str">
        <f t="shared" si="41"/>
        <v>NA</v>
      </c>
    </row>
    <row r="378" spans="1:21" ht="14.25" customHeight="1">
      <c r="A378" s="2" t="s">
        <v>15</v>
      </c>
      <c r="B378" s="2">
        <v>1928</v>
      </c>
      <c r="C378" s="2" t="s">
        <v>25</v>
      </c>
      <c r="D378" s="3">
        <f t="shared" si="35"/>
        <v>32.893212761633812</v>
      </c>
      <c r="E378" s="3" t="e">
        <f t="shared" si="36"/>
        <v>#N/A</v>
      </c>
      <c r="F378" s="3" t="e">
        <f t="shared" si="37"/>
        <v>#N/A</v>
      </c>
      <c r="G378" s="3" t="e">
        <f t="shared" si="38"/>
        <v>#N/A</v>
      </c>
      <c r="H378" s="3" t="e">
        <f t="shared" si="39"/>
        <v>#N/A</v>
      </c>
      <c r="I378" s="3" t="e">
        <f t="shared" si="40"/>
        <v>#N/A</v>
      </c>
      <c r="J378" s="3">
        <v>32893.212761633811</v>
      </c>
      <c r="K378" s="3" t="e">
        <v>#N/A</v>
      </c>
      <c r="L378" s="3" t="e">
        <v>#N/A</v>
      </c>
      <c r="M378" s="3" t="e">
        <v>#N/A</v>
      </c>
      <c r="N378" s="3" t="e">
        <v>#N/A</v>
      </c>
      <c r="O378" s="3" t="e">
        <v>#N/A</v>
      </c>
      <c r="P378" s="3" t="e">
        <f>E378*(VLOOKUP(B378,Price_data!A$1:B$190,2,FALSE))</f>
        <v>#N/A</v>
      </c>
      <c r="Q378" s="3" t="e">
        <f>G378*(VLOOKUP(B378,Price_data!A$1:B$190,2,FALSE))</f>
        <v>#N/A</v>
      </c>
      <c r="R378" s="3" t="e">
        <f>I378*(VLOOKUP(B378,Price_data!A$1:B$190,2,FALSE))</f>
        <v>#N/A</v>
      </c>
      <c r="S378" s="4" t="str">
        <f>(VLOOKUP(B378,Price_data!A$1:C$190,3,FALSE))</f>
        <v>Open access</v>
      </c>
      <c r="T378" s="2" t="str">
        <f>IF(C378="Total", (VLOOKUP(B378,Recommended_fish_intake!A$4:D$122,4,FALSE)), "NA")</f>
        <v>NA</v>
      </c>
      <c r="U378" s="2" t="str">
        <f t="shared" si="41"/>
        <v>NA</v>
      </c>
    </row>
    <row r="379" spans="1:21" ht="14.25" customHeight="1">
      <c r="A379" s="2" t="s">
        <v>15</v>
      </c>
      <c r="B379" s="2">
        <v>1928</v>
      </c>
      <c r="C379" s="2" t="s">
        <v>24</v>
      </c>
      <c r="D379" s="3">
        <f t="shared" si="35"/>
        <v>25.891383865068075</v>
      </c>
      <c r="E379" s="3" t="e">
        <f t="shared" si="36"/>
        <v>#N/A</v>
      </c>
      <c r="F379" s="3" t="e">
        <f t="shared" si="37"/>
        <v>#N/A</v>
      </c>
      <c r="G379" s="3" t="e">
        <f t="shared" si="38"/>
        <v>#N/A</v>
      </c>
      <c r="H379" s="3" t="e">
        <f t="shared" si="39"/>
        <v>#N/A</v>
      </c>
      <c r="I379" s="3" t="e">
        <f t="shared" si="40"/>
        <v>#N/A</v>
      </c>
      <c r="J379" s="3">
        <v>25891.383865068074</v>
      </c>
      <c r="K379" s="3" t="e">
        <v>#N/A</v>
      </c>
      <c r="L379" s="3" t="e">
        <v>#N/A</v>
      </c>
      <c r="M379" s="3" t="e">
        <v>#N/A</v>
      </c>
      <c r="N379" s="3" t="e">
        <v>#N/A</v>
      </c>
      <c r="O379" s="3" t="e">
        <v>#N/A</v>
      </c>
      <c r="P379" s="3" t="e">
        <f>E379*(VLOOKUP(B379,Price_data!A$1:B$190,2,FALSE))</f>
        <v>#N/A</v>
      </c>
      <c r="Q379" s="3" t="e">
        <f>G379*(VLOOKUP(B379,Price_data!A$1:B$190,2,FALSE))</f>
        <v>#N/A</v>
      </c>
      <c r="R379" s="3" t="e">
        <f>I379*(VLOOKUP(B379,Price_data!A$1:B$190,2,FALSE))</f>
        <v>#N/A</v>
      </c>
      <c r="S379" s="4" t="str">
        <f>(VLOOKUP(B379,Price_data!A$1:C$190,3,FALSE))</f>
        <v>Open access</v>
      </c>
      <c r="T379" s="2" t="str">
        <f>IF(C379="Total", (VLOOKUP(B379,Recommended_fish_intake!A$4:D$122,4,FALSE)), "NA")</f>
        <v>NA</v>
      </c>
      <c r="U379" s="2" t="str">
        <f t="shared" si="41"/>
        <v>NA</v>
      </c>
    </row>
    <row r="380" spans="1:21" ht="14.25" customHeight="1">
      <c r="A380" s="2" t="s">
        <v>15</v>
      </c>
      <c r="B380" s="2">
        <v>1928</v>
      </c>
      <c r="C380" s="2" t="s">
        <v>30</v>
      </c>
      <c r="D380" s="3" t="e">
        <f t="shared" si="35"/>
        <v>#N/A</v>
      </c>
      <c r="E380" s="3" t="e">
        <f t="shared" si="36"/>
        <v>#N/A</v>
      </c>
      <c r="F380" s="3" t="e">
        <f t="shared" si="37"/>
        <v>#N/A</v>
      </c>
      <c r="G380" s="3" t="e">
        <f t="shared" si="38"/>
        <v>#N/A</v>
      </c>
      <c r="H380" s="3" t="e">
        <f t="shared" si="39"/>
        <v>#N/A</v>
      </c>
      <c r="I380" s="3" t="e">
        <f t="shared" si="40"/>
        <v>#N/A</v>
      </c>
      <c r="J380" s="3" t="e">
        <v>#N/A</v>
      </c>
      <c r="K380" s="3" t="e">
        <v>#N/A</v>
      </c>
      <c r="L380" s="3" t="e">
        <v>#N/A</v>
      </c>
      <c r="M380" s="3" t="e">
        <v>#N/A</v>
      </c>
      <c r="N380" s="3" t="e">
        <v>#N/A</v>
      </c>
      <c r="O380" s="3" t="e">
        <v>#N/A</v>
      </c>
      <c r="P380" s="3" t="e">
        <f>E380*(VLOOKUP(B380,Price_data!A$1:B$190,2,FALSE))</f>
        <v>#N/A</v>
      </c>
      <c r="Q380" s="3" t="e">
        <f>G380*(VLOOKUP(B380,Price_data!A$1:B$190,2,FALSE))</f>
        <v>#N/A</v>
      </c>
      <c r="R380" s="3" t="e">
        <f>I380*(VLOOKUP(B380,Price_data!A$1:B$190,2,FALSE))</f>
        <v>#N/A</v>
      </c>
      <c r="S380" s="4" t="str">
        <f>(VLOOKUP(B380,Price_data!A$1:C$190,3,FALSE))</f>
        <v>Open access</v>
      </c>
      <c r="T380" s="2" t="str">
        <f>IF(C380="Total", (VLOOKUP(B380,Recommended_fish_intake!A$4:D$122,4,FALSE)), "NA")</f>
        <v>NA</v>
      </c>
      <c r="U380" s="2" t="str">
        <f t="shared" si="41"/>
        <v>NA</v>
      </c>
    </row>
    <row r="381" spans="1:21" ht="14.25" customHeight="1">
      <c r="A381" s="2" t="s">
        <v>15</v>
      </c>
      <c r="B381" s="2">
        <v>1929</v>
      </c>
      <c r="C381" s="2" t="s">
        <v>16</v>
      </c>
      <c r="D381" s="3">
        <f t="shared" si="35"/>
        <v>1069.9721601300548</v>
      </c>
      <c r="E381" s="3">
        <f t="shared" si="36"/>
        <v>19.601624000000001</v>
      </c>
      <c r="F381" s="3">
        <f t="shared" si="37"/>
        <v>420.6102926234505</v>
      </c>
      <c r="G381" s="3">
        <f t="shared" si="38"/>
        <v>7.9051940000000007</v>
      </c>
      <c r="H381" s="3">
        <f t="shared" si="39"/>
        <v>266.95620808778705</v>
      </c>
      <c r="I381" s="3">
        <f t="shared" si="40"/>
        <v>13.298628000000001</v>
      </c>
      <c r="J381" s="3">
        <v>1069972.1601300549</v>
      </c>
      <c r="K381" s="3">
        <v>19601.624</v>
      </c>
      <c r="L381" s="3">
        <v>420610.29262345051</v>
      </c>
      <c r="M381" s="3">
        <v>7905.1940000000004</v>
      </c>
      <c r="N381" s="3">
        <v>266956.20808778703</v>
      </c>
      <c r="O381" s="3">
        <v>13298.628000000001</v>
      </c>
      <c r="P381" s="3">
        <f>E381*(VLOOKUP(B381,Price_data!A$1:B$190,2,FALSE))</f>
        <v>739.79612370260077</v>
      </c>
      <c r="Q381" s="3">
        <f>G381*(VLOOKUP(B381,Price_data!A$1:B$190,2,FALSE))</f>
        <v>298.35445666731783</v>
      </c>
      <c r="R381" s="3">
        <f>I381*(VLOOKUP(B381,Price_data!A$1:B$190,2,FALSE))</f>
        <v>501.91113986080285</v>
      </c>
      <c r="S381" s="4" t="str">
        <f>(VLOOKUP(B381,Price_data!A$1:C$190,3,FALSE))</f>
        <v>Open access</v>
      </c>
      <c r="T381" s="2">
        <f>IF(C381="Total", (VLOOKUP(B381,Recommended_fish_intake!A$4:D$122,4,FALSE)), "NA")</f>
        <v>599.06445539686752</v>
      </c>
      <c r="U381" s="2" t="str">
        <f t="shared" si="41"/>
        <v>NA</v>
      </c>
    </row>
    <row r="382" spans="1:21" ht="14.25" customHeight="1">
      <c r="A382" s="2" t="s">
        <v>15</v>
      </c>
      <c r="B382" s="2">
        <v>1929</v>
      </c>
      <c r="C382" s="2" t="s">
        <v>22</v>
      </c>
      <c r="D382" s="3">
        <f t="shared" si="35"/>
        <v>183.44127209916681</v>
      </c>
      <c r="E382" s="3" t="e">
        <f t="shared" si="36"/>
        <v>#N/A</v>
      </c>
      <c r="F382" s="3" t="e">
        <f t="shared" si="37"/>
        <v>#N/A</v>
      </c>
      <c r="G382" s="3" t="e">
        <f t="shared" si="38"/>
        <v>#N/A</v>
      </c>
      <c r="H382" s="3" t="e">
        <f t="shared" si="39"/>
        <v>#N/A</v>
      </c>
      <c r="I382" s="3" t="e">
        <f t="shared" si="40"/>
        <v>#N/A</v>
      </c>
      <c r="J382" s="3">
        <v>183441.27209916682</v>
      </c>
      <c r="K382" s="3" t="e">
        <v>#N/A</v>
      </c>
      <c r="L382" s="3" t="e">
        <v>#N/A</v>
      </c>
      <c r="M382" s="3" t="e">
        <v>#N/A</v>
      </c>
      <c r="N382" s="3" t="e">
        <v>#N/A</v>
      </c>
      <c r="O382" s="3" t="e">
        <v>#N/A</v>
      </c>
      <c r="P382" s="3" t="e">
        <f>E382*(VLOOKUP(B382,Price_data!A$1:B$190,2,FALSE))</f>
        <v>#N/A</v>
      </c>
      <c r="Q382" s="3" t="e">
        <f>G382*(VLOOKUP(B382,Price_data!A$1:B$190,2,FALSE))</f>
        <v>#N/A</v>
      </c>
      <c r="R382" s="3" t="e">
        <f>I382*(VLOOKUP(B382,Price_data!A$1:B$190,2,FALSE))</f>
        <v>#N/A</v>
      </c>
      <c r="S382" s="4" t="str">
        <f>(VLOOKUP(B382,Price_data!A$1:C$190,3,FALSE))</f>
        <v>Open access</v>
      </c>
      <c r="T382" s="2" t="str">
        <f>IF(C382="Total", (VLOOKUP(B382,Recommended_fish_intake!A$4:D$122,4,FALSE)), "NA")</f>
        <v>NA</v>
      </c>
      <c r="U382" s="2" t="str">
        <f t="shared" si="41"/>
        <v>NA</v>
      </c>
    </row>
    <row r="383" spans="1:21" ht="14.25" customHeight="1">
      <c r="A383" s="2" t="s">
        <v>15</v>
      </c>
      <c r="B383" s="2">
        <v>1929</v>
      </c>
      <c r="C383" s="2" t="s">
        <v>23</v>
      </c>
      <c r="D383" s="3">
        <f t="shared" si="35"/>
        <v>156.40423694371063</v>
      </c>
      <c r="E383" s="3" t="e">
        <f t="shared" si="36"/>
        <v>#N/A</v>
      </c>
      <c r="F383" s="3" t="e">
        <f t="shared" si="37"/>
        <v>#N/A</v>
      </c>
      <c r="G383" s="3" t="e">
        <f t="shared" si="38"/>
        <v>#N/A</v>
      </c>
      <c r="H383" s="3" t="e">
        <f t="shared" si="39"/>
        <v>#N/A</v>
      </c>
      <c r="I383" s="3" t="e">
        <f t="shared" si="40"/>
        <v>#N/A</v>
      </c>
      <c r="J383" s="3">
        <v>156404.23694371062</v>
      </c>
      <c r="K383" s="3" t="e">
        <v>#N/A</v>
      </c>
      <c r="L383" s="3" t="e">
        <v>#N/A</v>
      </c>
      <c r="M383" s="3" t="e">
        <v>#N/A</v>
      </c>
      <c r="N383" s="3" t="e">
        <v>#N/A</v>
      </c>
      <c r="O383" s="3" t="e">
        <v>#N/A</v>
      </c>
      <c r="P383" s="3" t="e">
        <f>E383*(VLOOKUP(B383,Price_data!A$1:B$190,2,FALSE))</f>
        <v>#N/A</v>
      </c>
      <c r="Q383" s="3" t="e">
        <f>G383*(VLOOKUP(B383,Price_data!A$1:B$190,2,FALSE))</f>
        <v>#N/A</v>
      </c>
      <c r="R383" s="3" t="e">
        <f>I383*(VLOOKUP(B383,Price_data!A$1:B$190,2,FALSE))</f>
        <v>#N/A</v>
      </c>
      <c r="S383" s="4" t="str">
        <f>(VLOOKUP(B383,Price_data!A$1:C$190,3,FALSE))</f>
        <v>Open access</v>
      </c>
      <c r="T383" s="2" t="str">
        <f>IF(C383="Total", (VLOOKUP(B383,Recommended_fish_intake!A$4:D$122,4,FALSE)), "NA")</f>
        <v>NA</v>
      </c>
      <c r="U383" s="2" t="str">
        <f t="shared" si="41"/>
        <v>NA</v>
      </c>
    </row>
    <row r="384" spans="1:21" ht="14.25" customHeight="1">
      <c r="A384" s="2" t="s">
        <v>15</v>
      </c>
      <c r="B384" s="2">
        <v>1929</v>
      </c>
      <c r="C384" s="2" t="s">
        <v>19</v>
      </c>
      <c r="D384" s="3">
        <f t="shared" si="35"/>
        <v>419.84540743751268</v>
      </c>
      <c r="E384" s="3" t="e">
        <f t="shared" si="36"/>
        <v>#N/A</v>
      </c>
      <c r="F384" s="3" t="e">
        <f t="shared" si="37"/>
        <v>#N/A</v>
      </c>
      <c r="G384" s="3" t="e">
        <f t="shared" si="38"/>
        <v>#N/A</v>
      </c>
      <c r="H384" s="3" t="e">
        <f t="shared" si="39"/>
        <v>#N/A</v>
      </c>
      <c r="I384" s="3" t="e">
        <f t="shared" si="40"/>
        <v>#N/A</v>
      </c>
      <c r="J384" s="3">
        <v>419845.40743751265</v>
      </c>
      <c r="K384" s="3" t="e">
        <v>#N/A</v>
      </c>
      <c r="L384" s="3" t="e">
        <v>#N/A</v>
      </c>
      <c r="M384" s="3" t="e">
        <v>#N/A</v>
      </c>
      <c r="N384" s="3" t="e">
        <v>#N/A</v>
      </c>
      <c r="O384" s="3" t="e">
        <v>#N/A</v>
      </c>
      <c r="P384" s="3" t="e">
        <f>E384*(VLOOKUP(B384,Price_data!A$1:B$190,2,FALSE))</f>
        <v>#N/A</v>
      </c>
      <c r="Q384" s="3" t="e">
        <f>G384*(VLOOKUP(B384,Price_data!A$1:B$190,2,FALSE))</f>
        <v>#N/A</v>
      </c>
      <c r="R384" s="3" t="e">
        <f>I384*(VLOOKUP(B384,Price_data!A$1:B$190,2,FALSE))</f>
        <v>#N/A</v>
      </c>
      <c r="S384" s="4" t="str">
        <f>(VLOOKUP(B384,Price_data!A$1:C$190,3,FALSE))</f>
        <v>Open access</v>
      </c>
      <c r="T384" s="2" t="str">
        <f>IF(C384="Total", (VLOOKUP(B384,Recommended_fish_intake!A$4:D$122,4,FALSE)), "NA")</f>
        <v>NA</v>
      </c>
      <c r="U384" s="2" t="str">
        <f t="shared" si="41"/>
        <v>NA</v>
      </c>
    </row>
    <row r="385" spans="1:21" ht="14.25" customHeight="1">
      <c r="A385" s="2" t="s">
        <v>15</v>
      </c>
      <c r="B385" s="2">
        <v>1929</v>
      </c>
      <c r="C385" s="2" t="s">
        <v>28</v>
      </c>
      <c r="D385" s="3" t="e">
        <f t="shared" si="35"/>
        <v>#VALUE!</v>
      </c>
      <c r="E385" s="3" t="e">
        <f t="shared" si="36"/>
        <v>#VALUE!</v>
      </c>
      <c r="F385" s="3" t="e">
        <f t="shared" si="37"/>
        <v>#N/A</v>
      </c>
      <c r="G385" s="3" t="e">
        <f t="shared" si="38"/>
        <v>#N/A</v>
      </c>
      <c r="H385" s="3" t="e">
        <f t="shared" si="39"/>
        <v>#N/A</v>
      </c>
      <c r="I385" s="3" t="e">
        <f t="shared" si="40"/>
        <v>#N/A</v>
      </c>
      <c r="J385" s="3" t="e">
        <v>#VALUE!</v>
      </c>
      <c r="K385" s="3" t="e">
        <v>#VALUE!</v>
      </c>
      <c r="L385" s="3" t="e">
        <v>#N/A</v>
      </c>
      <c r="M385" s="3" t="e">
        <v>#N/A</v>
      </c>
      <c r="N385" s="3" t="e">
        <v>#N/A</v>
      </c>
      <c r="O385" s="3" t="e">
        <v>#N/A</v>
      </c>
      <c r="P385" s="3" t="e">
        <f>E385*(VLOOKUP(B385,Price_data!A$1:B$190,2,FALSE))</f>
        <v>#VALUE!</v>
      </c>
      <c r="Q385" s="3" t="e">
        <f>G385*(VLOOKUP(B385,Price_data!A$1:B$190,2,FALSE))</f>
        <v>#N/A</v>
      </c>
      <c r="R385" s="3" t="e">
        <f>I385*(VLOOKUP(B385,Price_data!A$1:B$190,2,FALSE))</f>
        <v>#N/A</v>
      </c>
      <c r="S385" s="4" t="str">
        <f>(VLOOKUP(B385,Price_data!A$1:C$190,3,FALSE))</f>
        <v>Open access</v>
      </c>
      <c r="T385" s="2" t="str">
        <f>IF(C385="Total", (VLOOKUP(B385,Recommended_fish_intake!A$4:D$122,4,FALSE)), "NA")</f>
        <v>NA</v>
      </c>
      <c r="U385" s="2" t="e">
        <f t="shared" si="41"/>
        <v>#VALUE!</v>
      </c>
    </row>
    <row r="386" spans="1:21" ht="14.25" customHeight="1">
      <c r="A386" s="2" t="s">
        <v>15</v>
      </c>
      <c r="B386" s="2">
        <v>1929</v>
      </c>
      <c r="C386" s="2" t="s">
        <v>29</v>
      </c>
      <c r="D386" s="3" t="e">
        <f t="shared" ref="D386:D449" si="42">IF(J386="", NA(), J386/1000)</f>
        <v>#VALUE!</v>
      </c>
      <c r="E386" s="3" t="e">
        <f t="shared" ref="E386:E449" si="43">IF(K386="", NA(), K386/1000)</f>
        <v>#VALUE!</v>
      </c>
      <c r="F386" s="3" t="e">
        <f t="shared" ref="F386:F449" si="44">IF(L386="", NA(), L386/1000)</f>
        <v>#N/A</v>
      </c>
      <c r="G386" s="3" t="e">
        <f t="shared" ref="G386:G449" si="45">IF(M386="", NA(), M386/1000)</f>
        <v>#N/A</v>
      </c>
      <c r="H386" s="3" t="e">
        <f t="shared" ref="H386:H449" si="46">IF(N386="", NA(), N386/1000)</f>
        <v>#N/A</v>
      </c>
      <c r="I386" s="3" t="e">
        <f t="shared" ref="I386:I449" si="47">IF(O386="", NA(), O386/1000)</f>
        <v>#N/A</v>
      </c>
      <c r="J386" s="3" t="e">
        <v>#VALUE!</v>
      </c>
      <c r="K386" s="3" t="e">
        <v>#VALUE!</v>
      </c>
      <c r="L386" s="3" t="e">
        <v>#N/A</v>
      </c>
      <c r="M386" s="3" t="e">
        <v>#N/A</v>
      </c>
      <c r="N386" s="3" t="e">
        <v>#N/A</v>
      </c>
      <c r="O386" s="3" t="e">
        <v>#N/A</v>
      </c>
      <c r="P386" s="3" t="e">
        <f>E386*(VLOOKUP(B386,Price_data!A$1:B$190,2,FALSE))</f>
        <v>#VALUE!</v>
      </c>
      <c r="Q386" s="3" t="e">
        <f>G386*(VLOOKUP(B386,Price_data!A$1:B$190,2,FALSE))</f>
        <v>#N/A</v>
      </c>
      <c r="R386" s="3" t="e">
        <f>I386*(VLOOKUP(B386,Price_data!A$1:B$190,2,FALSE))</f>
        <v>#N/A</v>
      </c>
      <c r="S386" s="4" t="str">
        <f>(VLOOKUP(B386,Price_data!A$1:C$190,3,FALSE))</f>
        <v>Open access</v>
      </c>
      <c r="T386" s="2" t="str">
        <f>IF(C386="Total", (VLOOKUP(B386,Recommended_fish_intake!A$4:D$122,4,FALSE)), "NA")</f>
        <v>NA</v>
      </c>
      <c r="U386" s="2" t="str">
        <f t="shared" ref="U386:U449" si="48">IF(C386="Wet fish", D386*0.49, IF(C386="Shellfish", D386*0.28, "NA"))</f>
        <v>NA</v>
      </c>
    </row>
    <row r="387" spans="1:21" ht="14.25" customHeight="1">
      <c r="A387" s="2" t="s">
        <v>15</v>
      </c>
      <c r="B387" s="2">
        <v>1929</v>
      </c>
      <c r="C387" s="2" t="s">
        <v>20</v>
      </c>
      <c r="D387" s="3">
        <f t="shared" si="42"/>
        <v>9.6024690103637464</v>
      </c>
      <c r="E387" s="3" t="e">
        <f t="shared" si="43"/>
        <v>#N/A</v>
      </c>
      <c r="F387" s="3" t="e">
        <f t="shared" si="44"/>
        <v>#N/A</v>
      </c>
      <c r="G387" s="3" t="e">
        <f t="shared" si="45"/>
        <v>#N/A</v>
      </c>
      <c r="H387" s="3" t="e">
        <f t="shared" si="46"/>
        <v>#N/A</v>
      </c>
      <c r="I387" s="3" t="e">
        <f t="shared" si="47"/>
        <v>#N/A</v>
      </c>
      <c r="J387" s="3">
        <v>9602.4690103637458</v>
      </c>
      <c r="K387" s="3" t="e">
        <v>#N/A</v>
      </c>
      <c r="L387" s="3" t="e">
        <v>#N/A</v>
      </c>
      <c r="M387" s="3" t="e">
        <v>#N/A</v>
      </c>
      <c r="N387" s="3" t="e">
        <v>#N/A</v>
      </c>
      <c r="O387" s="3" t="e">
        <v>#N/A</v>
      </c>
      <c r="P387" s="3" t="e">
        <f>E387*(VLOOKUP(B387,Price_data!A$1:B$190,2,FALSE))</f>
        <v>#N/A</v>
      </c>
      <c r="Q387" s="3" t="e">
        <f>G387*(VLOOKUP(B387,Price_data!A$1:B$190,2,FALSE))</f>
        <v>#N/A</v>
      </c>
      <c r="R387" s="3" t="e">
        <f>I387*(VLOOKUP(B387,Price_data!A$1:B$190,2,FALSE))</f>
        <v>#N/A</v>
      </c>
      <c r="S387" s="4" t="str">
        <f>(VLOOKUP(B387,Price_data!A$1:C$190,3,FALSE))</f>
        <v>Open access</v>
      </c>
      <c r="T387" s="2" t="str">
        <f>IF(C387="Total", (VLOOKUP(B387,Recommended_fish_intake!A$4:D$122,4,FALSE)), "NA")</f>
        <v>NA</v>
      </c>
      <c r="U387" s="2" t="str">
        <f t="shared" si="48"/>
        <v>NA</v>
      </c>
    </row>
    <row r="388" spans="1:21" ht="14.25" customHeight="1">
      <c r="A388" s="2" t="s">
        <v>15</v>
      </c>
      <c r="B388" s="2">
        <v>1929</v>
      </c>
      <c r="C388" s="2" t="s">
        <v>25</v>
      </c>
      <c r="D388" s="3">
        <f t="shared" si="42"/>
        <v>35.154084535663479</v>
      </c>
      <c r="E388" s="3" t="e">
        <f t="shared" si="43"/>
        <v>#N/A</v>
      </c>
      <c r="F388" s="3" t="e">
        <f t="shared" si="44"/>
        <v>#N/A</v>
      </c>
      <c r="G388" s="3" t="e">
        <f t="shared" si="45"/>
        <v>#N/A</v>
      </c>
      <c r="H388" s="3" t="e">
        <f t="shared" si="46"/>
        <v>#N/A</v>
      </c>
      <c r="I388" s="3" t="e">
        <f t="shared" si="47"/>
        <v>#N/A</v>
      </c>
      <c r="J388" s="3">
        <v>35154.084535663482</v>
      </c>
      <c r="K388" s="3" t="e">
        <v>#N/A</v>
      </c>
      <c r="L388" s="3" t="e">
        <v>#N/A</v>
      </c>
      <c r="M388" s="3" t="e">
        <v>#N/A</v>
      </c>
      <c r="N388" s="3" t="e">
        <v>#N/A</v>
      </c>
      <c r="O388" s="3" t="e">
        <v>#N/A</v>
      </c>
      <c r="P388" s="3" t="e">
        <f>E388*(VLOOKUP(B388,Price_data!A$1:B$190,2,FALSE))</f>
        <v>#N/A</v>
      </c>
      <c r="Q388" s="3" t="e">
        <f>G388*(VLOOKUP(B388,Price_data!A$1:B$190,2,FALSE))</f>
        <v>#N/A</v>
      </c>
      <c r="R388" s="3" t="e">
        <f>I388*(VLOOKUP(B388,Price_data!A$1:B$190,2,FALSE))</f>
        <v>#N/A</v>
      </c>
      <c r="S388" s="4" t="str">
        <f>(VLOOKUP(B388,Price_data!A$1:C$190,3,FALSE))</f>
        <v>Open access</v>
      </c>
      <c r="T388" s="2" t="str">
        <f>IF(C388="Total", (VLOOKUP(B388,Recommended_fish_intake!A$4:D$122,4,FALSE)), "NA")</f>
        <v>NA</v>
      </c>
      <c r="U388" s="2" t="str">
        <f t="shared" si="48"/>
        <v>NA</v>
      </c>
    </row>
    <row r="389" spans="1:21" ht="14.25" customHeight="1">
      <c r="A389" s="2" t="s">
        <v>15</v>
      </c>
      <c r="B389" s="2">
        <v>1929</v>
      </c>
      <c r="C389" s="2" t="s">
        <v>24</v>
      </c>
      <c r="D389" s="3">
        <f t="shared" si="42"/>
        <v>30.436953871164395</v>
      </c>
      <c r="E389" s="3" t="e">
        <f t="shared" si="43"/>
        <v>#N/A</v>
      </c>
      <c r="F389" s="3" t="e">
        <f t="shared" si="44"/>
        <v>#N/A</v>
      </c>
      <c r="G389" s="3" t="e">
        <f t="shared" si="45"/>
        <v>#N/A</v>
      </c>
      <c r="H389" s="3" t="e">
        <f t="shared" si="46"/>
        <v>#N/A</v>
      </c>
      <c r="I389" s="3" t="e">
        <f t="shared" si="47"/>
        <v>#N/A</v>
      </c>
      <c r="J389" s="3">
        <v>30436.953871164395</v>
      </c>
      <c r="K389" s="3" t="e">
        <v>#N/A</v>
      </c>
      <c r="L389" s="3" t="e">
        <v>#N/A</v>
      </c>
      <c r="M389" s="3" t="e">
        <v>#N/A</v>
      </c>
      <c r="N389" s="3" t="e">
        <v>#N/A</v>
      </c>
      <c r="O389" s="3" t="e">
        <v>#N/A</v>
      </c>
      <c r="P389" s="3" t="e">
        <f>E389*(VLOOKUP(B389,Price_data!A$1:B$190,2,FALSE))</f>
        <v>#N/A</v>
      </c>
      <c r="Q389" s="3" t="e">
        <f>G389*(VLOOKUP(B389,Price_data!A$1:B$190,2,FALSE))</f>
        <v>#N/A</v>
      </c>
      <c r="R389" s="3" t="e">
        <f>I389*(VLOOKUP(B389,Price_data!A$1:B$190,2,FALSE))</f>
        <v>#N/A</v>
      </c>
      <c r="S389" s="4" t="str">
        <f>(VLOOKUP(B389,Price_data!A$1:C$190,3,FALSE))</f>
        <v>Open access</v>
      </c>
      <c r="T389" s="2" t="str">
        <f>IF(C389="Total", (VLOOKUP(B389,Recommended_fish_intake!A$4:D$122,4,FALSE)), "NA")</f>
        <v>NA</v>
      </c>
      <c r="U389" s="2" t="str">
        <f t="shared" si="48"/>
        <v>NA</v>
      </c>
    </row>
    <row r="390" spans="1:21" ht="14.25" customHeight="1">
      <c r="A390" s="2" t="s">
        <v>15</v>
      </c>
      <c r="B390" s="2">
        <v>1929</v>
      </c>
      <c r="C390" s="2" t="s">
        <v>30</v>
      </c>
      <c r="D390" s="3" t="e">
        <f t="shared" si="42"/>
        <v>#N/A</v>
      </c>
      <c r="E390" s="3" t="e">
        <f t="shared" si="43"/>
        <v>#N/A</v>
      </c>
      <c r="F390" s="3" t="e">
        <f t="shared" si="44"/>
        <v>#N/A</v>
      </c>
      <c r="G390" s="3" t="e">
        <f t="shared" si="45"/>
        <v>#N/A</v>
      </c>
      <c r="H390" s="3" t="e">
        <f t="shared" si="46"/>
        <v>#N/A</v>
      </c>
      <c r="I390" s="3" t="e">
        <f t="shared" si="47"/>
        <v>#N/A</v>
      </c>
      <c r="J390" s="3" t="e">
        <v>#N/A</v>
      </c>
      <c r="K390" s="3" t="e">
        <v>#N/A</v>
      </c>
      <c r="L390" s="3" t="e">
        <v>#N/A</v>
      </c>
      <c r="M390" s="3" t="e">
        <v>#N/A</v>
      </c>
      <c r="N390" s="3" t="e">
        <v>#N/A</v>
      </c>
      <c r="O390" s="3" t="e">
        <v>#N/A</v>
      </c>
      <c r="P390" s="3" t="e">
        <f>E390*(VLOOKUP(B390,Price_data!A$1:B$190,2,FALSE))</f>
        <v>#N/A</v>
      </c>
      <c r="Q390" s="3" t="e">
        <f>G390*(VLOOKUP(B390,Price_data!A$1:B$190,2,FALSE))</f>
        <v>#N/A</v>
      </c>
      <c r="R390" s="3" t="e">
        <f>I390*(VLOOKUP(B390,Price_data!A$1:B$190,2,FALSE))</f>
        <v>#N/A</v>
      </c>
      <c r="S390" s="4" t="str">
        <f>(VLOOKUP(B390,Price_data!A$1:C$190,3,FALSE))</f>
        <v>Open access</v>
      </c>
      <c r="T390" s="2" t="str">
        <f>IF(C390="Total", (VLOOKUP(B390,Recommended_fish_intake!A$4:D$122,4,FALSE)), "NA")</f>
        <v>NA</v>
      </c>
      <c r="U390" s="2" t="str">
        <f t="shared" si="48"/>
        <v>NA</v>
      </c>
    </row>
    <row r="391" spans="1:21" ht="14.25" customHeight="1">
      <c r="A391" s="2" t="s">
        <v>15</v>
      </c>
      <c r="B391" s="2">
        <v>1930</v>
      </c>
      <c r="C391" s="2" t="s">
        <v>16</v>
      </c>
      <c r="D391" s="3">
        <f t="shared" si="42"/>
        <v>1111.4286222312537</v>
      </c>
      <c r="E391" s="3">
        <f t="shared" si="43"/>
        <v>18.809889999999999</v>
      </c>
      <c r="F391" s="3">
        <f t="shared" si="44"/>
        <v>364.44172932330827</v>
      </c>
      <c r="G391" s="3">
        <f t="shared" si="45"/>
        <v>7.0399729999999998</v>
      </c>
      <c r="H391" s="3">
        <f t="shared" si="46"/>
        <v>266.52931314773423</v>
      </c>
      <c r="I391" s="3">
        <f t="shared" si="47"/>
        <v>12.806057000000001</v>
      </c>
      <c r="J391" s="3">
        <v>1111428.6222312537</v>
      </c>
      <c r="K391" s="3">
        <v>18809.89</v>
      </c>
      <c r="L391" s="3">
        <v>364441.72932330827</v>
      </c>
      <c r="M391" s="3">
        <v>7039.973</v>
      </c>
      <c r="N391" s="3">
        <v>266529.31314773421</v>
      </c>
      <c r="O391" s="3">
        <v>12806.057000000001</v>
      </c>
      <c r="P391" s="3">
        <f>E391*(VLOOKUP(B391,Price_data!A$1:B$190,2,FALSE))</f>
        <v>730.43260701070653</v>
      </c>
      <c r="Q391" s="3">
        <f>G391*(VLOOKUP(B391,Price_data!A$1:B$190,2,FALSE))</f>
        <v>273.37883590361162</v>
      </c>
      <c r="R391" s="3">
        <f>I391*(VLOOKUP(B391,Price_data!A$1:B$190,2,FALSE))</f>
        <v>497.28954289672663</v>
      </c>
      <c r="S391" s="4" t="str">
        <f>(VLOOKUP(B391,Price_data!A$1:C$190,3,FALSE))</f>
        <v>Open access</v>
      </c>
      <c r="T391" s="2">
        <f>IF(C391="Total", (VLOOKUP(B391,Recommended_fish_intake!A$4:D$122,4,FALSE)), "NA")</f>
        <v>601.13290519038105</v>
      </c>
      <c r="U391" s="2" t="str">
        <f t="shared" si="48"/>
        <v>NA</v>
      </c>
    </row>
    <row r="392" spans="1:21" ht="14.25" customHeight="1">
      <c r="A392" s="2" t="s">
        <v>15</v>
      </c>
      <c r="B392" s="2">
        <v>1930</v>
      </c>
      <c r="C392" s="2" t="s">
        <v>22</v>
      </c>
      <c r="D392" s="3">
        <f t="shared" si="42"/>
        <v>249.22678317415159</v>
      </c>
      <c r="E392" s="3" t="e">
        <f t="shared" si="43"/>
        <v>#N/A</v>
      </c>
      <c r="F392" s="3">
        <f t="shared" si="44"/>
        <v>19.494614915667544</v>
      </c>
      <c r="G392" s="3">
        <f t="shared" si="45"/>
        <v>0.80619299999999994</v>
      </c>
      <c r="H392" s="3">
        <f t="shared" si="46"/>
        <v>54.499491973176184</v>
      </c>
      <c r="I392" s="3">
        <f t="shared" si="47"/>
        <v>0.80458299999999994</v>
      </c>
      <c r="J392" s="3">
        <v>249226.78317415158</v>
      </c>
      <c r="K392" s="3" t="e">
        <v>#N/A</v>
      </c>
      <c r="L392" s="3">
        <v>19494.614915667546</v>
      </c>
      <c r="M392" s="3">
        <v>806.19299999999998</v>
      </c>
      <c r="N392" s="3">
        <v>54499.491973176184</v>
      </c>
      <c r="O392" s="3">
        <v>804.58299999999997</v>
      </c>
      <c r="P392" s="3" t="e">
        <f>E392*(VLOOKUP(B392,Price_data!A$1:B$190,2,FALSE))</f>
        <v>#N/A</v>
      </c>
      <c r="Q392" s="3">
        <f>G392*(VLOOKUP(B392,Price_data!A$1:B$190,2,FALSE))</f>
        <v>31.306384819038417</v>
      </c>
      <c r="R392" s="3">
        <f>I392*(VLOOKUP(B392,Price_data!A$1:B$190,2,FALSE))</f>
        <v>31.243864703435015</v>
      </c>
      <c r="S392" s="4" t="str">
        <f>(VLOOKUP(B392,Price_data!A$1:C$190,3,FALSE))</f>
        <v>Open access</v>
      </c>
      <c r="T392" s="2" t="str">
        <f>IF(C392="Total", (VLOOKUP(B392,Recommended_fish_intake!A$4:D$122,4,FALSE)), "NA")</f>
        <v>NA</v>
      </c>
      <c r="U392" s="2" t="str">
        <f t="shared" si="48"/>
        <v>NA</v>
      </c>
    </row>
    <row r="393" spans="1:21" ht="14.25" customHeight="1">
      <c r="A393" s="2" t="s">
        <v>15</v>
      </c>
      <c r="B393" s="2">
        <v>1930</v>
      </c>
      <c r="C393" s="2" t="s">
        <v>23</v>
      </c>
      <c r="D393" s="3">
        <f t="shared" si="42"/>
        <v>179.90052834789677</v>
      </c>
      <c r="E393" s="3" t="e">
        <f t="shared" si="43"/>
        <v>#N/A</v>
      </c>
      <c r="F393" s="3">
        <f t="shared" si="44"/>
        <v>1.3336720178825443</v>
      </c>
      <c r="G393" s="3">
        <f t="shared" si="45"/>
        <v>6.5983E-2</v>
      </c>
      <c r="H393" s="3">
        <f t="shared" si="46"/>
        <v>18.034901442796176</v>
      </c>
      <c r="I393" s="3">
        <f t="shared" si="47"/>
        <v>0.40041199999999999</v>
      </c>
      <c r="J393" s="3">
        <v>179900.52834789676</v>
      </c>
      <c r="K393" s="3" t="e">
        <v>#N/A</v>
      </c>
      <c r="L393" s="3">
        <v>1333.6720178825442</v>
      </c>
      <c r="M393" s="3">
        <v>65.983000000000004</v>
      </c>
      <c r="N393" s="3">
        <v>18034.901442796177</v>
      </c>
      <c r="O393" s="3">
        <v>400.41199999999998</v>
      </c>
      <c r="P393" s="3" t="e">
        <f>E393*(VLOOKUP(B393,Price_data!A$1:B$190,2,FALSE))</f>
        <v>#N/A</v>
      </c>
      <c r="Q393" s="3">
        <f>G393*(VLOOKUP(B393,Price_data!A$1:B$190,2,FALSE))</f>
        <v>2.5622762657510201</v>
      </c>
      <c r="R393" s="3">
        <f>I393*(VLOOKUP(B393,Price_data!A$1:B$190,2,FALSE))</f>
        <v>15.54894691241528</v>
      </c>
      <c r="S393" s="4" t="str">
        <f>(VLOOKUP(B393,Price_data!A$1:C$190,3,FALSE))</f>
        <v>Open access</v>
      </c>
      <c r="T393" s="2" t="str">
        <f>IF(C393="Total", (VLOOKUP(B393,Recommended_fish_intake!A$4:D$122,4,FALSE)), "NA")</f>
        <v>NA</v>
      </c>
      <c r="U393" s="2" t="str">
        <f t="shared" si="48"/>
        <v>NA</v>
      </c>
    </row>
    <row r="394" spans="1:21" ht="14.25" customHeight="1">
      <c r="A394" s="2" t="s">
        <v>15</v>
      </c>
      <c r="B394" s="2">
        <v>1930</v>
      </c>
      <c r="C394" s="2" t="s">
        <v>19</v>
      </c>
      <c r="D394" s="3">
        <f t="shared" si="42"/>
        <v>375.81274131274131</v>
      </c>
      <c r="E394" s="3" t="e">
        <f t="shared" si="43"/>
        <v>#N/A</v>
      </c>
      <c r="F394" s="3">
        <f t="shared" si="44"/>
        <v>313.49654541759804</v>
      </c>
      <c r="G394" s="3">
        <f t="shared" si="45"/>
        <v>4.9990320000000006</v>
      </c>
      <c r="H394" s="3">
        <f t="shared" si="46"/>
        <v>40.095255029465555</v>
      </c>
      <c r="I394" s="3">
        <f t="shared" si="47"/>
        <v>0.43207600000000002</v>
      </c>
      <c r="J394" s="3">
        <v>375812.7413127413</v>
      </c>
      <c r="K394" s="3" t="e">
        <v>#N/A</v>
      </c>
      <c r="L394" s="3">
        <v>313496.54541759804</v>
      </c>
      <c r="M394" s="3">
        <v>4999.0320000000002</v>
      </c>
      <c r="N394" s="3">
        <v>40095.255029465552</v>
      </c>
      <c r="O394" s="3">
        <v>432.07600000000002</v>
      </c>
      <c r="P394" s="3" t="e">
        <f>E394*(VLOOKUP(B394,Price_data!A$1:B$190,2,FALSE))</f>
        <v>#N/A</v>
      </c>
      <c r="Q394" s="3">
        <f>G394*(VLOOKUP(B394,Price_data!A$1:B$190,2,FALSE))</f>
        <v>194.12425996589809</v>
      </c>
      <c r="R394" s="3">
        <f>I394*(VLOOKUP(B394,Price_data!A$1:B$190,2,FALSE))</f>
        <v>16.778535074195439</v>
      </c>
      <c r="S394" s="4" t="str">
        <f>(VLOOKUP(B394,Price_data!A$1:C$190,3,FALSE))</f>
        <v>Open access</v>
      </c>
      <c r="T394" s="2" t="str">
        <f>IF(C394="Total", (VLOOKUP(B394,Recommended_fish_intake!A$4:D$122,4,FALSE)), "NA")</f>
        <v>NA</v>
      </c>
      <c r="U394" s="2" t="str">
        <f t="shared" si="48"/>
        <v>NA</v>
      </c>
    </row>
    <row r="395" spans="1:21" ht="14.25" customHeight="1">
      <c r="A395" s="2" t="s">
        <v>15</v>
      </c>
      <c r="B395" s="2">
        <v>1930</v>
      </c>
      <c r="C395" s="2" t="s">
        <v>28</v>
      </c>
      <c r="D395" s="3" t="e">
        <f t="shared" si="42"/>
        <v>#VALUE!</v>
      </c>
      <c r="E395" s="3" t="e">
        <f t="shared" si="43"/>
        <v>#VALUE!</v>
      </c>
      <c r="F395" s="3">
        <f t="shared" si="44"/>
        <v>0.15281446860394229</v>
      </c>
      <c r="G395" s="3">
        <f t="shared" si="45"/>
        <v>1.6381E-2</v>
      </c>
      <c r="H395" s="3">
        <f t="shared" si="46"/>
        <v>14.675015240804715</v>
      </c>
      <c r="I395" s="3">
        <f t="shared" si="47"/>
        <v>1.257862</v>
      </c>
      <c r="J395" s="3" t="e">
        <v>#VALUE!</v>
      </c>
      <c r="K395" s="3" t="e">
        <v>#VALUE!</v>
      </c>
      <c r="L395" s="3">
        <v>152.81446860394229</v>
      </c>
      <c r="M395" s="3">
        <v>16.381</v>
      </c>
      <c r="N395" s="3">
        <v>14675.015240804714</v>
      </c>
      <c r="O395" s="3">
        <v>1257.8620000000001</v>
      </c>
      <c r="P395" s="3" t="e">
        <f>E395*(VLOOKUP(B395,Price_data!A$1:B$190,2,FALSE))</f>
        <v>#VALUE!</v>
      </c>
      <c r="Q395" s="3">
        <f>G395*(VLOOKUP(B395,Price_data!A$1:B$190,2,FALSE))</f>
        <v>0.63611305198713997</v>
      </c>
      <c r="R395" s="3">
        <f>I395*(VLOOKUP(B395,Price_data!A$1:B$190,2,FALSE))</f>
        <v>48.84576251746828</v>
      </c>
      <c r="S395" s="4" t="str">
        <f>(VLOOKUP(B395,Price_data!A$1:C$190,3,FALSE))</f>
        <v>Open access</v>
      </c>
      <c r="T395" s="2" t="str">
        <f>IF(C395="Total", (VLOOKUP(B395,Recommended_fish_intake!A$4:D$122,4,FALSE)), "NA")</f>
        <v>NA</v>
      </c>
      <c r="U395" s="2" t="e">
        <f t="shared" si="48"/>
        <v>#VALUE!</v>
      </c>
    </row>
    <row r="396" spans="1:21" ht="14.25" customHeight="1">
      <c r="A396" s="2" t="s">
        <v>15</v>
      </c>
      <c r="B396" s="2">
        <v>1930</v>
      </c>
      <c r="C396" s="2" t="s">
        <v>29</v>
      </c>
      <c r="D396" s="3" t="e">
        <f t="shared" si="42"/>
        <v>#VALUE!</v>
      </c>
      <c r="E396" s="3" t="e">
        <f t="shared" si="43"/>
        <v>#VALUE!</v>
      </c>
      <c r="F396" s="3">
        <f t="shared" si="44"/>
        <v>0.16302580776264985</v>
      </c>
      <c r="G396" s="3">
        <f t="shared" si="45"/>
        <v>4.1667999999999997E-2</v>
      </c>
      <c r="H396" s="3">
        <f t="shared" si="46"/>
        <v>54.213472871367607</v>
      </c>
      <c r="I396" s="3">
        <f t="shared" si="47"/>
        <v>5.3626959999999997</v>
      </c>
      <c r="J396" s="3" t="e">
        <v>#VALUE!</v>
      </c>
      <c r="K396" s="3" t="e">
        <v>#VALUE!</v>
      </c>
      <c r="L396" s="3">
        <v>163.02580776264986</v>
      </c>
      <c r="M396" s="3">
        <v>41.667999999999999</v>
      </c>
      <c r="N396" s="3">
        <v>54213.472871367609</v>
      </c>
      <c r="O396" s="3">
        <v>5362.6959999999999</v>
      </c>
      <c r="P396" s="3" t="e">
        <f>E396*(VLOOKUP(B396,Price_data!A$1:B$190,2,FALSE))</f>
        <v>#VALUE!</v>
      </c>
      <c r="Q396" s="3">
        <f>G396*(VLOOKUP(B396,Price_data!A$1:B$190,2,FALSE))</f>
        <v>1.6180671906599198</v>
      </c>
      <c r="R396" s="3">
        <f>I396*(VLOOKUP(B396,Price_data!A$1:B$190,2,FALSE))</f>
        <v>208.24619494775823</v>
      </c>
      <c r="S396" s="4" t="str">
        <f>(VLOOKUP(B396,Price_data!A$1:C$190,3,FALSE))</f>
        <v>Open access</v>
      </c>
      <c r="T396" s="2" t="str">
        <f>IF(C396="Total", (VLOOKUP(B396,Recommended_fish_intake!A$4:D$122,4,FALSE)), "NA")</f>
        <v>NA</v>
      </c>
      <c r="U396" s="2" t="str">
        <f t="shared" si="48"/>
        <v>NA</v>
      </c>
    </row>
    <row r="397" spans="1:21" ht="14.25" customHeight="1">
      <c r="A397" s="2" t="s">
        <v>15</v>
      </c>
      <c r="B397" s="2">
        <v>1930</v>
      </c>
      <c r="C397" s="2" t="s">
        <v>20</v>
      </c>
      <c r="D397" s="3">
        <f t="shared" si="42"/>
        <v>8.7977545214387316</v>
      </c>
      <c r="E397" s="3" t="e">
        <f t="shared" si="43"/>
        <v>#N/A</v>
      </c>
      <c r="F397" s="3">
        <f t="shared" si="44"/>
        <v>0.72952651900020316</v>
      </c>
      <c r="G397" s="3">
        <f t="shared" si="45"/>
        <v>1.5308E-2</v>
      </c>
      <c r="H397" s="3">
        <f t="shared" si="46"/>
        <v>1.9118573460678723</v>
      </c>
      <c r="I397" s="3">
        <f t="shared" si="47"/>
        <v>3.8516000000000002E-2</v>
      </c>
      <c r="J397" s="3">
        <v>8797.7545214387319</v>
      </c>
      <c r="K397" s="3" t="e">
        <v>#N/A</v>
      </c>
      <c r="L397" s="3">
        <v>729.52651900020317</v>
      </c>
      <c r="M397" s="3">
        <v>15.308</v>
      </c>
      <c r="N397" s="3">
        <v>1911.8573460678722</v>
      </c>
      <c r="O397" s="3">
        <v>38.515999999999998</v>
      </c>
      <c r="P397" s="3" t="e">
        <f>E397*(VLOOKUP(B397,Price_data!A$1:B$190,2,FALSE))</f>
        <v>#N/A</v>
      </c>
      <c r="Q397" s="3">
        <f>G397*(VLOOKUP(B397,Price_data!A$1:B$190,2,FALSE))</f>
        <v>0.59444591904152</v>
      </c>
      <c r="R397" s="3">
        <f>I397*(VLOOKUP(B397,Price_data!A$1:B$190,2,FALSE))</f>
        <v>1.4956675606090399</v>
      </c>
      <c r="S397" s="4" t="str">
        <f>(VLOOKUP(B397,Price_data!A$1:C$190,3,FALSE))</f>
        <v>Open access</v>
      </c>
      <c r="T397" s="2" t="str">
        <f>IF(C397="Total", (VLOOKUP(B397,Recommended_fish_intake!A$4:D$122,4,FALSE)), "NA")</f>
        <v>NA</v>
      </c>
      <c r="U397" s="2" t="str">
        <f t="shared" si="48"/>
        <v>NA</v>
      </c>
    </row>
    <row r="398" spans="1:21" ht="14.25" customHeight="1">
      <c r="A398" s="2" t="s">
        <v>15</v>
      </c>
      <c r="B398" s="2">
        <v>1930</v>
      </c>
      <c r="C398" s="2" t="s">
        <v>25</v>
      </c>
      <c r="D398" s="3">
        <f t="shared" si="42"/>
        <v>35.865220483641536</v>
      </c>
      <c r="E398" s="3" t="e">
        <f t="shared" si="43"/>
        <v>#N/A</v>
      </c>
      <c r="F398" s="3" t="e">
        <f t="shared" si="44"/>
        <v>#N/A</v>
      </c>
      <c r="G398" s="3" t="e">
        <f t="shared" si="45"/>
        <v>#N/A</v>
      </c>
      <c r="H398" s="3" t="e">
        <f t="shared" si="46"/>
        <v>#N/A</v>
      </c>
      <c r="I398" s="3" t="e">
        <f t="shared" si="47"/>
        <v>#N/A</v>
      </c>
      <c r="J398" s="3">
        <v>35865.220483641533</v>
      </c>
      <c r="K398" s="3" t="e">
        <v>#N/A</v>
      </c>
      <c r="L398" s="3" t="e">
        <v>#N/A</v>
      </c>
      <c r="M398" s="3" t="e">
        <v>#N/A</v>
      </c>
      <c r="N398" s="3" t="e">
        <v>#N/A</v>
      </c>
      <c r="O398" s="3" t="e">
        <v>#N/A</v>
      </c>
      <c r="P398" s="3" t="e">
        <f>E398*(VLOOKUP(B398,Price_data!A$1:B$190,2,FALSE))</f>
        <v>#N/A</v>
      </c>
      <c r="Q398" s="3" t="e">
        <f>G398*(VLOOKUP(B398,Price_data!A$1:B$190,2,FALSE))</f>
        <v>#N/A</v>
      </c>
      <c r="R398" s="3" t="e">
        <f>I398*(VLOOKUP(B398,Price_data!A$1:B$190,2,FALSE))</f>
        <v>#N/A</v>
      </c>
      <c r="S398" s="4" t="str">
        <f>(VLOOKUP(B398,Price_data!A$1:C$190,3,FALSE))</f>
        <v>Open access</v>
      </c>
      <c r="T398" s="2" t="str">
        <f>IF(C398="Total", (VLOOKUP(B398,Recommended_fish_intake!A$4:D$122,4,FALSE)), "NA")</f>
        <v>NA</v>
      </c>
      <c r="U398" s="2" t="str">
        <f t="shared" si="48"/>
        <v>NA</v>
      </c>
    </row>
    <row r="399" spans="1:21" ht="14.25" customHeight="1">
      <c r="A399" s="2" t="s">
        <v>15</v>
      </c>
      <c r="B399" s="2">
        <v>1930</v>
      </c>
      <c r="C399" s="2" t="s">
        <v>24</v>
      </c>
      <c r="D399" s="3">
        <f t="shared" si="42"/>
        <v>28.082198740093474</v>
      </c>
      <c r="E399" s="3" t="e">
        <f t="shared" si="43"/>
        <v>#N/A</v>
      </c>
      <c r="F399" s="3" t="e">
        <f t="shared" si="44"/>
        <v>#N/A</v>
      </c>
      <c r="G399" s="3" t="e">
        <f t="shared" si="45"/>
        <v>#N/A</v>
      </c>
      <c r="H399" s="3" t="e">
        <f t="shared" si="46"/>
        <v>#N/A</v>
      </c>
      <c r="I399" s="3" t="e">
        <f t="shared" si="47"/>
        <v>#N/A</v>
      </c>
      <c r="J399" s="3">
        <v>28082.198740093474</v>
      </c>
      <c r="K399" s="3" t="e">
        <v>#N/A</v>
      </c>
      <c r="L399" s="3" t="e">
        <v>#N/A</v>
      </c>
      <c r="M399" s="3" t="e">
        <v>#N/A</v>
      </c>
      <c r="N399" s="3" t="e">
        <v>#N/A</v>
      </c>
      <c r="O399" s="3" t="e">
        <v>#N/A</v>
      </c>
      <c r="P399" s="3" t="e">
        <f>E399*(VLOOKUP(B399,Price_data!A$1:B$190,2,FALSE))</f>
        <v>#N/A</v>
      </c>
      <c r="Q399" s="3" t="e">
        <f>G399*(VLOOKUP(B399,Price_data!A$1:B$190,2,FALSE))</f>
        <v>#N/A</v>
      </c>
      <c r="R399" s="3" t="e">
        <f>I399*(VLOOKUP(B399,Price_data!A$1:B$190,2,FALSE))</f>
        <v>#N/A</v>
      </c>
      <c r="S399" s="4" t="str">
        <f>(VLOOKUP(B399,Price_data!A$1:C$190,3,FALSE))</f>
        <v>Open access</v>
      </c>
      <c r="T399" s="2" t="str">
        <f>IF(C399="Total", (VLOOKUP(B399,Recommended_fish_intake!A$4:D$122,4,FALSE)), "NA")</f>
        <v>NA</v>
      </c>
      <c r="U399" s="2" t="str">
        <f t="shared" si="48"/>
        <v>NA</v>
      </c>
    </row>
    <row r="400" spans="1:21" ht="14.25" customHeight="1">
      <c r="A400" s="2" t="s">
        <v>15</v>
      </c>
      <c r="B400" s="2">
        <v>1930</v>
      </c>
      <c r="C400" s="2" t="s">
        <v>30</v>
      </c>
      <c r="D400" s="3" t="e">
        <f t="shared" si="42"/>
        <v>#N/A</v>
      </c>
      <c r="E400" s="3" t="e">
        <f t="shared" si="43"/>
        <v>#N/A</v>
      </c>
      <c r="F400" s="3" t="e">
        <f t="shared" si="44"/>
        <v>#VALUE!</v>
      </c>
      <c r="G400" s="3" t="e">
        <f t="shared" si="45"/>
        <v>#VALUE!</v>
      </c>
      <c r="H400" s="3" t="e">
        <f t="shared" si="46"/>
        <v>#VALUE!</v>
      </c>
      <c r="I400" s="3" t="e">
        <f t="shared" si="47"/>
        <v>#VALUE!</v>
      </c>
      <c r="J400" s="3" t="e">
        <v>#N/A</v>
      </c>
      <c r="K400" s="3" t="e">
        <v>#N/A</v>
      </c>
      <c r="L400" s="3" t="e">
        <v>#VALUE!</v>
      </c>
      <c r="M400" s="3" t="e">
        <v>#VALUE!</v>
      </c>
      <c r="N400" s="3" t="e">
        <v>#VALUE!</v>
      </c>
      <c r="O400" s="3" t="e">
        <v>#VALUE!</v>
      </c>
      <c r="P400" s="3" t="e">
        <f>E400*(VLOOKUP(B400,Price_data!A$1:B$190,2,FALSE))</f>
        <v>#N/A</v>
      </c>
      <c r="Q400" s="3" t="e">
        <f>G400*(VLOOKUP(B400,Price_data!A$1:B$190,2,FALSE))</f>
        <v>#VALUE!</v>
      </c>
      <c r="R400" s="3" t="e">
        <f>I400*(VLOOKUP(B400,Price_data!A$1:B$190,2,FALSE))</f>
        <v>#VALUE!</v>
      </c>
      <c r="S400" s="4" t="str">
        <f>(VLOOKUP(B400,Price_data!A$1:C$190,3,FALSE))</f>
        <v>Open access</v>
      </c>
      <c r="T400" s="2" t="str">
        <f>IF(C400="Total", (VLOOKUP(B400,Recommended_fish_intake!A$4:D$122,4,FALSE)), "NA")</f>
        <v>NA</v>
      </c>
      <c r="U400" s="2" t="str">
        <f t="shared" si="48"/>
        <v>NA</v>
      </c>
    </row>
    <row r="401" spans="1:21" ht="14.25" customHeight="1">
      <c r="A401" s="2" t="s">
        <v>15</v>
      </c>
      <c r="B401" s="2">
        <v>1931</v>
      </c>
      <c r="C401" s="2" t="s">
        <v>16</v>
      </c>
      <c r="D401" s="3">
        <f t="shared" si="42"/>
        <v>1005.3586669376142</v>
      </c>
      <c r="E401" s="3">
        <f t="shared" si="43"/>
        <v>16.314288000000001</v>
      </c>
      <c r="F401" s="3">
        <f t="shared" si="44"/>
        <v>276.57889656573866</v>
      </c>
      <c r="G401" s="3">
        <f t="shared" si="45"/>
        <v>5.1025529999999995</v>
      </c>
      <c r="H401" s="3">
        <f t="shared" si="46"/>
        <v>232.1066856330014</v>
      </c>
      <c r="I401" s="3">
        <f t="shared" si="47"/>
        <v>11.061688</v>
      </c>
      <c r="J401" s="3">
        <v>1005358.6669376142</v>
      </c>
      <c r="K401" s="3">
        <v>16314.288</v>
      </c>
      <c r="L401" s="3">
        <v>276578.89656573866</v>
      </c>
      <c r="M401" s="3">
        <v>5102.5529999999999</v>
      </c>
      <c r="N401" s="3">
        <v>232106.68563300141</v>
      </c>
      <c r="O401" s="3">
        <v>11061.688</v>
      </c>
      <c r="P401" s="3">
        <f>E401*(VLOOKUP(B401,Price_data!A$1:B$190,2,FALSE))</f>
        <v>660.23726981458185</v>
      </c>
      <c r="Q401" s="3">
        <f>G401*(VLOOKUP(B401,Price_data!A$1:B$190,2,FALSE))</f>
        <v>206.49970515441453</v>
      </c>
      <c r="R401" s="3">
        <f>I401*(VLOOKUP(B401,Price_data!A$1:B$190,2,FALSE))</f>
        <v>447.66518064782974</v>
      </c>
      <c r="S401" s="4" t="str">
        <f>(VLOOKUP(B401,Price_data!A$1:C$190,3,FALSE))</f>
        <v>Open access</v>
      </c>
      <c r="T401" s="2">
        <f>IF(C401="Total", (VLOOKUP(B401,Recommended_fish_intake!A$4:D$122,4,FALSE)), "NA")</f>
        <v>603.552428159741</v>
      </c>
      <c r="U401" s="2" t="str">
        <f t="shared" si="48"/>
        <v>NA</v>
      </c>
    </row>
    <row r="402" spans="1:21" ht="14.25" customHeight="1">
      <c r="A402" s="2" t="s">
        <v>15</v>
      </c>
      <c r="B402" s="2">
        <v>1931</v>
      </c>
      <c r="C402" s="2" t="s">
        <v>22</v>
      </c>
      <c r="D402" s="3">
        <f t="shared" si="42"/>
        <v>263.07041251778088</v>
      </c>
      <c r="E402" s="3" t="e">
        <f t="shared" si="43"/>
        <v>#N/A</v>
      </c>
      <c r="F402" s="3" t="e">
        <f t="shared" si="44"/>
        <v>#N/A</v>
      </c>
      <c r="G402" s="3" t="e">
        <f t="shared" si="45"/>
        <v>#N/A</v>
      </c>
      <c r="H402" s="3" t="e">
        <f t="shared" si="46"/>
        <v>#N/A</v>
      </c>
      <c r="I402" s="3" t="e">
        <f t="shared" si="47"/>
        <v>#N/A</v>
      </c>
      <c r="J402" s="3">
        <v>263070.4125177809</v>
      </c>
      <c r="K402" s="3" t="e">
        <v>#N/A</v>
      </c>
      <c r="L402" s="3" t="e">
        <v>#N/A</v>
      </c>
      <c r="M402" s="3" t="e">
        <v>#N/A</v>
      </c>
      <c r="N402" s="3" t="e">
        <v>#N/A</v>
      </c>
      <c r="O402" s="3" t="e">
        <v>#N/A</v>
      </c>
      <c r="P402" s="3" t="e">
        <f>E402*(VLOOKUP(B402,Price_data!A$1:B$190,2,FALSE))</f>
        <v>#N/A</v>
      </c>
      <c r="Q402" s="3" t="e">
        <f>G402*(VLOOKUP(B402,Price_data!A$1:B$190,2,FALSE))</f>
        <v>#N/A</v>
      </c>
      <c r="R402" s="3" t="e">
        <f>I402*(VLOOKUP(B402,Price_data!A$1:B$190,2,FALSE))</f>
        <v>#N/A</v>
      </c>
      <c r="S402" s="4" t="str">
        <f>(VLOOKUP(B402,Price_data!A$1:C$190,3,FALSE))</f>
        <v>Open access</v>
      </c>
      <c r="T402" s="2" t="str">
        <f>IF(C402="Total", (VLOOKUP(B402,Recommended_fish_intake!A$4:D$122,4,FALSE)), "NA")</f>
        <v>NA</v>
      </c>
      <c r="U402" s="2" t="str">
        <f t="shared" si="48"/>
        <v>NA</v>
      </c>
    </row>
    <row r="403" spans="1:21" ht="14.25" customHeight="1">
      <c r="A403" s="2" t="s">
        <v>15</v>
      </c>
      <c r="B403" s="2">
        <v>1931</v>
      </c>
      <c r="C403" s="2" t="s">
        <v>23</v>
      </c>
      <c r="D403" s="3">
        <f t="shared" si="42"/>
        <v>156.64250152408047</v>
      </c>
      <c r="E403" s="3" t="e">
        <f t="shared" si="43"/>
        <v>#N/A</v>
      </c>
      <c r="F403" s="3" t="e">
        <f t="shared" si="44"/>
        <v>#N/A</v>
      </c>
      <c r="G403" s="3" t="e">
        <f t="shared" si="45"/>
        <v>#N/A</v>
      </c>
      <c r="H403" s="3" t="e">
        <f t="shared" si="46"/>
        <v>#N/A</v>
      </c>
      <c r="I403" s="3" t="e">
        <f t="shared" si="47"/>
        <v>#N/A</v>
      </c>
      <c r="J403" s="3">
        <v>156642.50152408046</v>
      </c>
      <c r="K403" s="3" t="e">
        <v>#N/A</v>
      </c>
      <c r="L403" s="3" t="e">
        <v>#N/A</v>
      </c>
      <c r="M403" s="3" t="e">
        <v>#N/A</v>
      </c>
      <c r="N403" s="3" t="e">
        <v>#N/A</v>
      </c>
      <c r="O403" s="3" t="e">
        <v>#N/A</v>
      </c>
      <c r="P403" s="3" t="e">
        <f>E403*(VLOOKUP(B403,Price_data!A$1:B$190,2,FALSE))</f>
        <v>#N/A</v>
      </c>
      <c r="Q403" s="3" t="e">
        <f>G403*(VLOOKUP(B403,Price_data!A$1:B$190,2,FALSE))</f>
        <v>#N/A</v>
      </c>
      <c r="R403" s="3" t="e">
        <f>I403*(VLOOKUP(B403,Price_data!A$1:B$190,2,FALSE))</f>
        <v>#N/A</v>
      </c>
      <c r="S403" s="4" t="str">
        <f>(VLOOKUP(B403,Price_data!A$1:C$190,3,FALSE))</f>
        <v>Open access</v>
      </c>
      <c r="T403" s="2" t="str">
        <f>IF(C403="Total", (VLOOKUP(B403,Recommended_fish_intake!A$4:D$122,4,FALSE)), "NA")</f>
        <v>NA</v>
      </c>
      <c r="U403" s="2" t="str">
        <f t="shared" si="48"/>
        <v>NA</v>
      </c>
    </row>
    <row r="404" spans="1:21" ht="14.25" customHeight="1">
      <c r="A404" s="2" t="s">
        <v>15</v>
      </c>
      <c r="B404" s="2">
        <v>1931</v>
      </c>
      <c r="C404" s="2" t="s">
        <v>19</v>
      </c>
      <c r="D404" s="3">
        <f t="shared" si="42"/>
        <v>280.71017069701281</v>
      </c>
      <c r="E404" s="3" t="e">
        <f t="shared" si="43"/>
        <v>#N/A</v>
      </c>
      <c r="F404" s="3" t="e">
        <f t="shared" si="44"/>
        <v>#N/A</v>
      </c>
      <c r="G404" s="3" t="e">
        <f t="shared" si="45"/>
        <v>#N/A</v>
      </c>
      <c r="H404" s="3" t="e">
        <f t="shared" si="46"/>
        <v>#N/A</v>
      </c>
      <c r="I404" s="3" t="e">
        <f t="shared" si="47"/>
        <v>#N/A</v>
      </c>
      <c r="J404" s="3">
        <v>280710.1706970128</v>
      </c>
      <c r="K404" s="3" t="e">
        <v>#N/A</v>
      </c>
      <c r="L404" s="3" t="e">
        <v>#N/A</v>
      </c>
      <c r="M404" s="3" t="e">
        <v>#N/A</v>
      </c>
      <c r="N404" s="3" t="e">
        <v>#N/A</v>
      </c>
      <c r="O404" s="3" t="e">
        <v>#N/A</v>
      </c>
      <c r="P404" s="3" t="e">
        <f>E404*(VLOOKUP(B404,Price_data!A$1:B$190,2,FALSE))</f>
        <v>#N/A</v>
      </c>
      <c r="Q404" s="3" t="e">
        <f>G404*(VLOOKUP(B404,Price_data!A$1:B$190,2,FALSE))</f>
        <v>#N/A</v>
      </c>
      <c r="R404" s="3" t="e">
        <f>I404*(VLOOKUP(B404,Price_data!A$1:B$190,2,FALSE))</f>
        <v>#N/A</v>
      </c>
      <c r="S404" s="4" t="str">
        <f>(VLOOKUP(B404,Price_data!A$1:C$190,3,FALSE))</f>
        <v>Open access</v>
      </c>
      <c r="T404" s="2" t="str">
        <f>IF(C404="Total", (VLOOKUP(B404,Recommended_fish_intake!A$4:D$122,4,FALSE)), "NA")</f>
        <v>NA</v>
      </c>
      <c r="U404" s="2" t="str">
        <f t="shared" si="48"/>
        <v>NA</v>
      </c>
    </row>
    <row r="405" spans="1:21" ht="14.25" customHeight="1">
      <c r="A405" s="2" t="s">
        <v>15</v>
      </c>
      <c r="B405" s="2">
        <v>1931</v>
      </c>
      <c r="C405" s="2" t="s">
        <v>28</v>
      </c>
      <c r="D405" s="3" t="e">
        <f t="shared" si="42"/>
        <v>#VALUE!</v>
      </c>
      <c r="E405" s="3" t="e">
        <f t="shared" si="43"/>
        <v>#VALUE!</v>
      </c>
      <c r="F405" s="3" t="e">
        <f t="shared" si="44"/>
        <v>#N/A</v>
      </c>
      <c r="G405" s="3" t="e">
        <f t="shared" si="45"/>
        <v>#N/A</v>
      </c>
      <c r="H405" s="3" t="e">
        <f t="shared" si="46"/>
        <v>#N/A</v>
      </c>
      <c r="I405" s="3" t="e">
        <f t="shared" si="47"/>
        <v>#N/A</v>
      </c>
      <c r="J405" s="3" t="e">
        <v>#VALUE!</v>
      </c>
      <c r="K405" s="3" t="e">
        <v>#VALUE!</v>
      </c>
      <c r="L405" s="3" t="e">
        <v>#N/A</v>
      </c>
      <c r="M405" s="3" t="e">
        <v>#N/A</v>
      </c>
      <c r="N405" s="3" t="e">
        <v>#N/A</v>
      </c>
      <c r="O405" s="3" t="e">
        <v>#N/A</v>
      </c>
      <c r="P405" s="3" t="e">
        <f>E405*(VLOOKUP(B405,Price_data!A$1:B$190,2,FALSE))</f>
        <v>#VALUE!</v>
      </c>
      <c r="Q405" s="3" t="e">
        <f>G405*(VLOOKUP(B405,Price_data!A$1:B$190,2,FALSE))</f>
        <v>#N/A</v>
      </c>
      <c r="R405" s="3" t="e">
        <f>I405*(VLOOKUP(B405,Price_data!A$1:B$190,2,FALSE))</f>
        <v>#N/A</v>
      </c>
      <c r="S405" s="4" t="str">
        <f>(VLOOKUP(B405,Price_data!A$1:C$190,3,FALSE))</f>
        <v>Open access</v>
      </c>
      <c r="T405" s="2" t="str">
        <f>IF(C405="Total", (VLOOKUP(B405,Recommended_fish_intake!A$4:D$122,4,FALSE)), "NA")</f>
        <v>NA</v>
      </c>
      <c r="U405" s="2" t="e">
        <f t="shared" si="48"/>
        <v>#VALUE!</v>
      </c>
    </row>
    <row r="406" spans="1:21" ht="14.25" customHeight="1">
      <c r="A406" s="2" t="s">
        <v>15</v>
      </c>
      <c r="B406" s="2">
        <v>1931</v>
      </c>
      <c r="C406" s="2" t="s">
        <v>29</v>
      </c>
      <c r="D406" s="3" t="e">
        <f t="shared" si="42"/>
        <v>#VALUE!</v>
      </c>
      <c r="E406" s="3" t="e">
        <f t="shared" si="43"/>
        <v>#VALUE!</v>
      </c>
      <c r="F406" s="3" t="e">
        <f t="shared" si="44"/>
        <v>#N/A</v>
      </c>
      <c r="G406" s="3" t="e">
        <f t="shared" si="45"/>
        <v>#N/A</v>
      </c>
      <c r="H406" s="3" t="e">
        <f t="shared" si="46"/>
        <v>#N/A</v>
      </c>
      <c r="I406" s="3" t="e">
        <f t="shared" si="47"/>
        <v>#N/A</v>
      </c>
      <c r="J406" s="3" t="e">
        <v>#VALUE!</v>
      </c>
      <c r="K406" s="3" t="e">
        <v>#VALUE!</v>
      </c>
      <c r="L406" s="3" t="e">
        <v>#N/A</v>
      </c>
      <c r="M406" s="3" t="e">
        <v>#N/A</v>
      </c>
      <c r="N406" s="3" t="e">
        <v>#N/A</v>
      </c>
      <c r="O406" s="3" t="e">
        <v>#N/A</v>
      </c>
      <c r="P406" s="3" t="e">
        <f>E406*(VLOOKUP(B406,Price_data!A$1:B$190,2,FALSE))</f>
        <v>#VALUE!</v>
      </c>
      <c r="Q406" s="3" t="e">
        <f>G406*(VLOOKUP(B406,Price_data!A$1:B$190,2,FALSE))</f>
        <v>#N/A</v>
      </c>
      <c r="R406" s="3" t="e">
        <f>I406*(VLOOKUP(B406,Price_data!A$1:B$190,2,FALSE))</f>
        <v>#N/A</v>
      </c>
      <c r="S406" s="4" t="str">
        <f>(VLOOKUP(B406,Price_data!A$1:C$190,3,FALSE))</f>
        <v>Open access</v>
      </c>
      <c r="T406" s="2" t="str">
        <f>IF(C406="Total", (VLOOKUP(B406,Recommended_fish_intake!A$4:D$122,4,FALSE)), "NA")</f>
        <v>NA</v>
      </c>
      <c r="U406" s="2" t="str">
        <f t="shared" si="48"/>
        <v>NA</v>
      </c>
    </row>
    <row r="407" spans="1:21" ht="14.25" customHeight="1">
      <c r="A407" s="2" t="s">
        <v>15</v>
      </c>
      <c r="B407" s="2">
        <v>1931</v>
      </c>
      <c r="C407" s="2" t="s">
        <v>20</v>
      </c>
      <c r="D407" s="3">
        <f t="shared" si="42"/>
        <v>10.329455395244867</v>
      </c>
      <c r="E407" s="3" t="e">
        <f t="shared" si="43"/>
        <v>#N/A</v>
      </c>
      <c r="F407" s="3" t="e">
        <f t="shared" si="44"/>
        <v>#N/A</v>
      </c>
      <c r="G407" s="3" t="e">
        <f t="shared" si="45"/>
        <v>#N/A</v>
      </c>
      <c r="H407" s="3" t="e">
        <f t="shared" si="46"/>
        <v>#N/A</v>
      </c>
      <c r="I407" s="3" t="e">
        <f t="shared" si="47"/>
        <v>#N/A</v>
      </c>
      <c r="J407" s="3">
        <v>10329.455395244868</v>
      </c>
      <c r="K407" s="3" t="e">
        <v>#N/A</v>
      </c>
      <c r="L407" s="3" t="e">
        <v>#N/A</v>
      </c>
      <c r="M407" s="3" t="e">
        <v>#N/A</v>
      </c>
      <c r="N407" s="3" t="e">
        <v>#N/A</v>
      </c>
      <c r="O407" s="3" t="e">
        <v>#N/A</v>
      </c>
      <c r="P407" s="3" t="e">
        <f>E407*(VLOOKUP(B407,Price_data!A$1:B$190,2,FALSE))</f>
        <v>#N/A</v>
      </c>
      <c r="Q407" s="3" t="e">
        <f>G407*(VLOOKUP(B407,Price_data!A$1:B$190,2,FALSE))</f>
        <v>#N/A</v>
      </c>
      <c r="R407" s="3" t="e">
        <f>I407*(VLOOKUP(B407,Price_data!A$1:B$190,2,FALSE))</f>
        <v>#N/A</v>
      </c>
      <c r="S407" s="4" t="str">
        <f>(VLOOKUP(B407,Price_data!A$1:C$190,3,FALSE))</f>
        <v>Open access</v>
      </c>
      <c r="T407" s="2" t="str">
        <f>IF(C407="Total", (VLOOKUP(B407,Recommended_fish_intake!A$4:D$122,4,FALSE)), "NA")</f>
        <v>NA</v>
      </c>
      <c r="U407" s="2" t="str">
        <f t="shared" si="48"/>
        <v>NA</v>
      </c>
    </row>
    <row r="408" spans="1:21" ht="14.25" customHeight="1">
      <c r="A408" s="2" t="s">
        <v>15</v>
      </c>
      <c r="B408" s="2">
        <v>1931</v>
      </c>
      <c r="C408" s="2" t="s">
        <v>25</v>
      </c>
      <c r="D408" s="3">
        <f t="shared" si="42"/>
        <v>33.379953261532208</v>
      </c>
      <c r="E408" s="3" t="e">
        <f t="shared" si="43"/>
        <v>#N/A</v>
      </c>
      <c r="F408" s="3" t="e">
        <f t="shared" si="44"/>
        <v>#N/A</v>
      </c>
      <c r="G408" s="3" t="e">
        <f t="shared" si="45"/>
        <v>#N/A</v>
      </c>
      <c r="H408" s="3" t="e">
        <f t="shared" si="46"/>
        <v>#N/A</v>
      </c>
      <c r="I408" s="3" t="e">
        <f t="shared" si="47"/>
        <v>#N/A</v>
      </c>
      <c r="J408" s="3">
        <v>33379.95326153221</v>
      </c>
      <c r="K408" s="3" t="e">
        <v>#N/A</v>
      </c>
      <c r="L408" s="3" t="e">
        <v>#N/A</v>
      </c>
      <c r="M408" s="3" t="e">
        <v>#N/A</v>
      </c>
      <c r="N408" s="3" t="e">
        <v>#N/A</v>
      </c>
      <c r="O408" s="3" t="e">
        <v>#N/A</v>
      </c>
      <c r="P408" s="3" t="e">
        <f>E408*(VLOOKUP(B408,Price_data!A$1:B$190,2,FALSE))</f>
        <v>#N/A</v>
      </c>
      <c r="Q408" s="3" t="e">
        <f>G408*(VLOOKUP(B408,Price_data!A$1:B$190,2,FALSE))</f>
        <v>#N/A</v>
      </c>
      <c r="R408" s="3" t="e">
        <f>I408*(VLOOKUP(B408,Price_data!A$1:B$190,2,FALSE))</f>
        <v>#N/A</v>
      </c>
      <c r="S408" s="4" t="str">
        <f>(VLOOKUP(B408,Price_data!A$1:C$190,3,FALSE))</f>
        <v>Open access</v>
      </c>
      <c r="T408" s="2" t="str">
        <f>IF(C408="Total", (VLOOKUP(B408,Recommended_fish_intake!A$4:D$122,4,FALSE)), "NA")</f>
        <v>NA</v>
      </c>
      <c r="U408" s="2" t="str">
        <f t="shared" si="48"/>
        <v>NA</v>
      </c>
    </row>
    <row r="409" spans="1:21" ht="14.25" customHeight="1">
      <c r="A409" s="2" t="s">
        <v>15</v>
      </c>
      <c r="B409" s="2">
        <v>1931</v>
      </c>
      <c r="C409" s="2" t="s">
        <v>24</v>
      </c>
      <c r="D409" s="3">
        <f t="shared" si="42"/>
        <v>31.337990245884981</v>
      </c>
      <c r="E409" s="3" t="e">
        <f t="shared" si="43"/>
        <v>#N/A</v>
      </c>
      <c r="F409" s="3" t="e">
        <f t="shared" si="44"/>
        <v>#N/A</v>
      </c>
      <c r="G409" s="3" t="e">
        <f t="shared" si="45"/>
        <v>#N/A</v>
      </c>
      <c r="H409" s="3" t="e">
        <f t="shared" si="46"/>
        <v>#N/A</v>
      </c>
      <c r="I409" s="3" t="e">
        <f t="shared" si="47"/>
        <v>#N/A</v>
      </c>
      <c r="J409" s="3">
        <v>31337.990245884983</v>
      </c>
      <c r="K409" s="3" t="e">
        <v>#N/A</v>
      </c>
      <c r="L409" s="3" t="e">
        <v>#N/A</v>
      </c>
      <c r="M409" s="3" t="e">
        <v>#N/A</v>
      </c>
      <c r="N409" s="3" t="e">
        <v>#N/A</v>
      </c>
      <c r="O409" s="3" t="e">
        <v>#N/A</v>
      </c>
      <c r="P409" s="3" t="e">
        <f>E409*(VLOOKUP(B409,Price_data!A$1:B$190,2,FALSE))</f>
        <v>#N/A</v>
      </c>
      <c r="Q409" s="3" t="e">
        <f>G409*(VLOOKUP(B409,Price_data!A$1:B$190,2,FALSE))</f>
        <v>#N/A</v>
      </c>
      <c r="R409" s="3" t="e">
        <f>I409*(VLOOKUP(B409,Price_data!A$1:B$190,2,FALSE))</f>
        <v>#N/A</v>
      </c>
      <c r="S409" s="4" t="str">
        <f>(VLOOKUP(B409,Price_data!A$1:C$190,3,FALSE))</f>
        <v>Open access</v>
      </c>
      <c r="T409" s="2" t="str">
        <f>IF(C409="Total", (VLOOKUP(B409,Recommended_fish_intake!A$4:D$122,4,FALSE)), "NA")</f>
        <v>NA</v>
      </c>
      <c r="U409" s="2" t="str">
        <f t="shared" si="48"/>
        <v>NA</v>
      </c>
    </row>
    <row r="410" spans="1:21" ht="14.25" customHeight="1">
      <c r="A410" s="2" t="s">
        <v>15</v>
      </c>
      <c r="B410" s="2">
        <v>1931</v>
      </c>
      <c r="C410" s="2" t="s">
        <v>30</v>
      </c>
      <c r="D410" s="3" t="e">
        <f t="shared" si="42"/>
        <v>#N/A</v>
      </c>
      <c r="E410" s="3" t="e">
        <f t="shared" si="43"/>
        <v>#N/A</v>
      </c>
      <c r="F410" s="3" t="e">
        <f t="shared" si="44"/>
        <v>#N/A</v>
      </c>
      <c r="G410" s="3" t="e">
        <f t="shared" si="45"/>
        <v>#N/A</v>
      </c>
      <c r="H410" s="3" t="e">
        <f t="shared" si="46"/>
        <v>#N/A</v>
      </c>
      <c r="I410" s="3" t="e">
        <f t="shared" si="47"/>
        <v>#N/A</v>
      </c>
      <c r="J410" s="3" t="e">
        <v>#N/A</v>
      </c>
      <c r="K410" s="3" t="e">
        <v>#N/A</v>
      </c>
      <c r="L410" s="3" t="e">
        <v>#N/A</v>
      </c>
      <c r="M410" s="3" t="e">
        <v>#N/A</v>
      </c>
      <c r="N410" s="3" t="e">
        <v>#N/A</v>
      </c>
      <c r="O410" s="3" t="e">
        <v>#N/A</v>
      </c>
      <c r="P410" s="3" t="e">
        <f>E410*(VLOOKUP(B410,Price_data!A$1:B$190,2,FALSE))</f>
        <v>#N/A</v>
      </c>
      <c r="Q410" s="3" t="e">
        <f>G410*(VLOOKUP(B410,Price_data!A$1:B$190,2,FALSE))</f>
        <v>#N/A</v>
      </c>
      <c r="R410" s="3" t="e">
        <f>I410*(VLOOKUP(B410,Price_data!A$1:B$190,2,FALSE))</f>
        <v>#N/A</v>
      </c>
      <c r="S410" s="4" t="str">
        <f>(VLOOKUP(B410,Price_data!A$1:C$190,3,FALSE))</f>
        <v>Open access</v>
      </c>
      <c r="T410" s="2" t="str">
        <f>IF(C410="Total", (VLOOKUP(B410,Recommended_fish_intake!A$4:D$122,4,FALSE)), "NA")</f>
        <v>NA</v>
      </c>
      <c r="U410" s="2" t="str">
        <f t="shared" si="48"/>
        <v>NA</v>
      </c>
    </row>
    <row r="411" spans="1:21" ht="14.25" customHeight="1">
      <c r="A411" s="2" t="s">
        <v>15</v>
      </c>
      <c r="B411" s="2">
        <v>1932</v>
      </c>
      <c r="C411" s="2" t="s">
        <v>16</v>
      </c>
      <c r="D411" s="3">
        <f t="shared" si="42"/>
        <v>991.00990652306439</v>
      </c>
      <c r="E411" s="3">
        <f t="shared" si="43"/>
        <v>15.470281000000002</v>
      </c>
      <c r="F411" s="3">
        <f t="shared" si="44"/>
        <v>262.23506401137979</v>
      </c>
      <c r="G411" s="3">
        <f t="shared" si="45"/>
        <v>4.5568459999999993</v>
      </c>
      <c r="H411" s="3">
        <f t="shared" si="46"/>
        <v>210.27423287949603</v>
      </c>
      <c r="I411" s="3">
        <f t="shared" si="47"/>
        <v>8.9772970000000001</v>
      </c>
      <c r="J411" s="3">
        <v>991009.90652306436</v>
      </c>
      <c r="K411" s="3">
        <v>15470.281000000001</v>
      </c>
      <c r="L411" s="3">
        <v>262235.06401137979</v>
      </c>
      <c r="M411" s="3">
        <v>4556.8459999999995</v>
      </c>
      <c r="N411" s="3">
        <v>210274.23287949603</v>
      </c>
      <c r="O411" s="3">
        <v>8977.2970000000005</v>
      </c>
      <c r="P411" s="3">
        <f>E411*(VLOOKUP(B411,Price_data!A$1:B$190,2,FALSE))</f>
        <v>641.53918365315985</v>
      </c>
      <c r="Q411" s="3">
        <f>G411*(VLOOKUP(B411,Price_data!A$1:B$190,2,FALSE))</f>
        <v>188.96846559368674</v>
      </c>
      <c r="R411" s="3">
        <f>I411*(VLOOKUP(B411,Price_data!A$1:B$190,2,FALSE))</f>
        <v>372.28074840993258</v>
      </c>
      <c r="S411" s="4" t="str">
        <f>(VLOOKUP(B411,Price_data!A$1:C$190,3,FALSE))</f>
        <v>Open access</v>
      </c>
      <c r="T411" s="2">
        <f>IF(C411="Total", (VLOOKUP(B411,Recommended_fish_intake!A$4:D$122,4,FALSE)), "NA")</f>
        <v>606.97670159878123</v>
      </c>
      <c r="U411" s="2" t="str">
        <f t="shared" si="48"/>
        <v>NA</v>
      </c>
    </row>
    <row r="412" spans="1:21" ht="14.25" customHeight="1">
      <c r="A412" s="2" t="s">
        <v>15</v>
      </c>
      <c r="B412" s="2">
        <v>1932</v>
      </c>
      <c r="C412" s="2" t="s">
        <v>22</v>
      </c>
      <c r="D412" s="3">
        <f t="shared" si="42"/>
        <v>281.51640926640925</v>
      </c>
      <c r="E412" s="3" t="e">
        <f t="shared" si="43"/>
        <v>#N/A</v>
      </c>
      <c r="F412" s="3" t="e">
        <f t="shared" si="44"/>
        <v>#N/A</v>
      </c>
      <c r="G412" s="3" t="e">
        <f t="shared" si="45"/>
        <v>#N/A</v>
      </c>
      <c r="H412" s="3" t="e">
        <f t="shared" si="46"/>
        <v>#N/A</v>
      </c>
      <c r="I412" s="3" t="e">
        <f t="shared" si="47"/>
        <v>#N/A</v>
      </c>
      <c r="J412" s="3">
        <v>281516.40926640923</v>
      </c>
      <c r="K412" s="3" t="e">
        <v>#N/A</v>
      </c>
      <c r="L412" s="3" t="e">
        <v>#N/A</v>
      </c>
      <c r="M412" s="3" t="e">
        <v>#N/A</v>
      </c>
      <c r="N412" s="3" t="e">
        <v>#N/A</v>
      </c>
      <c r="O412" s="3" t="e">
        <v>#N/A</v>
      </c>
      <c r="P412" s="3" t="e">
        <f>E412*(VLOOKUP(B412,Price_data!A$1:B$190,2,FALSE))</f>
        <v>#N/A</v>
      </c>
      <c r="Q412" s="3" t="e">
        <f>G412*(VLOOKUP(B412,Price_data!A$1:B$190,2,FALSE))</f>
        <v>#N/A</v>
      </c>
      <c r="R412" s="3" t="e">
        <f>I412*(VLOOKUP(B412,Price_data!A$1:B$190,2,FALSE))</f>
        <v>#N/A</v>
      </c>
      <c r="S412" s="4" t="str">
        <f>(VLOOKUP(B412,Price_data!A$1:C$190,3,FALSE))</f>
        <v>Open access</v>
      </c>
      <c r="T412" s="2" t="str">
        <f>IF(C412="Total", (VLOOKUP(B412,Recommended_fish_intake!A$4:D$122,4,FALSE)), "NA")</f>
        <v>NA</v>
      </c>
      <c r="U412" s="2" t="str">
        <f t="shared" si="48"/>
        <v>NA</v>
      </c>
    </row>
    <row r="413" spans="1:21" ht="14.25" customHeight="1">
      <c r="A413" s="2" t="s">
        <v>15</v>
      </c>
      <c r="B413" s="2">
        <v>1932</v>
      </c>
      <c r="C413" s="2" t="s">
        <v>23</v>
      </c>
      <c r="D413" s="3">
        <f t="shared" si="42"/>
        <v>145.3591749644381</v>
      </c>
      <c r="E413" s="3" t="e">
        <f t="shared" si="43"/>
        <v>#N/A</v>
      </c>
      <c r="F413" s="3" t="e">
        <f t="shared" si="44"/>
        <v>#N/A</v>
      </c>
      <c r="G413" s="3" t="e">
        <f t="shared" si="45"/>
        <v>#N/A</v>
      </c>
      <c r="H413" s="3" t="e">
        <f t="shared" si="46"/>
        <v>#N/A</v>
      </c>
      <c r="I413" s="3" t="e">
        <f t="shared" si="47"/>
        <v>#N/A</v>
      </c>
      <c r="J413" s="3">
        <v>145359.17496443811</v>
      </c>
      <c r="K413" s="3" t="e">
        <v>#N/A</v>
      </c>
      <c r="L413" s="3" t="e">
        <v>#N/A</v>
      </c>
      <c r="M413" s="3" t="e">
        <v>#N/A</v>
      </c>
      <c r="N413" s="3" t="e">
        <v>#N/A</v>
      </c>
      <c r="O413" s="3" t="e">
        <v>#N/A</v>
      </c>
      <c r="P413" s="3" t="e">
        <f>E413*(VLOOKUP(B413,Price_data!A$1:B$190,2,FALSE))</f>
        <v>#N/A</v>
      </c>
      <c r="Q413" s="3" t="e">
        <f>G413*(VLOOKUP(B413,Price_data!A$1:B$190,2,FALSE))</f>
        <v>#N/A</v>
      </c>
      <c r="R413" s="3" t="e">
        <f>I413*(VLOOKUP(B413,Price_data!A$1:B$190,2,FALSE))</f>
        <v>#N/A</v>
      </c>
      <c r="S413" s="4" t="str">
        <f>(VLOOKUP(B413,Price_data!A$1:C$190,3,FALSE))</f>
        <v>Open access</v>
      </c>
      <c r="T413" s="2" t="str">
        <f>IF(C413="Total", (VLOOKUP(B413,Recommended_fish_intake!A$4:D$122,4,FALSE)), "NA")</f>
        <v>NA</v>
      </c>
      <c r="U413" s="2" t="str">
        <f t="shared" si="48"/>
        <v>NA</v>
      </c>
    </row>
    <row r="414" spans="1:21" ht="14.25" customHeight="1">
      <c r="A414" s="2" t="s">
        <v>15</v>
      </c>
      <c r="B414" s="2">
        <v>1932</v>
      </c>
      <c r="C414" s="2" t="s">
        <v>19</v>
      </c>
      <c r="D414" s="3">
        <f t="shared" si="42"/>
        <v>264.629394432026</v>
      </c>
      <c r="E414" s="3" t="e">
        <f t="shared" si="43"/>
        <v>#N/A</v>
      </c>
      <c r="F414" s="3" t="e">
        <f t="shared" si="44"/>
        <v>#N/A</v>
      </c>
      <c r="G414" s="3" t="e">
        <f t="shared" si="45"/>
        <v>#N/A</v>
      </c>
      <c r="H414" s="3" t="e">
        <f t="shared" si="46"/>
        <v>#N/A</v>
      </c>
      <c r="I414" s="3" t="e">
        <f t="shared" si="47"/>
        <v>#N/A</v>
      </c>
      <c r="J414" s="3">
        <v>264629.39443202602</v>
      </c>
      <c r="K414" s="3" t="e">
        <v>#N/A</v>
      </c>
      <c r="L414" s="3" t="e">
        <v>#N/A</v>
      </c>
      <c r="M414" s="3" t="e">
        <v>#N/A</v>
      </c>
      <c r="N414" s="3" t="e">
        <v>#N/A</v>
      </c>
      <c r="O414" s="3" t="e">
        <v>#N/A</v>
      </c>
      <c r="P414" s="3" t="e">
        <f>E414*(VLOOKUP(B414,Price_data!A$1:B$190,2,FALSE))</f>
        <v>#N/A</v>
      </c>
      <c r="Q414" s="3" t="e">
        <f>G414*(VLOOKUP(B414,Price_data!A$1:B$190,2,FALSE))</f>
        <v>#N/A</v>
      </c>
      <c r="R414" s="3" t="e">
        <f>I414*(VLOOKUP(B414,Price_data!A$1:B$190,2,FALSE))</f>
        <v>#N/A</v>
      </c>
      <c r="S414" s="4" t="str">
        <f>(VLOOKUP(B414,Price_data!A$1:C$190,3,FALSE))</f>
        <v>Open access</v>
      </c>
      <c r="T414" s="2" t="str">
        <f>IF(C414="Total", (VLOOKUP(B414,Recommended_fish_intake!A$4:D$122,4,FALSE)), "NA")</f>
        <v>NA</v>
      </c>
      <c r="U414" s="2" t="str">
        <f t="shared" si="48"/>
        <v>NA</v>
      </c>
    </row>
    <row r="415" spans="1:21" ht="14.25" customHeight="1">
      <c r="A415" s="2" t="s">
        <v>15</v>
      </c>
      <c r="B415" s="2">
        <v>1932</v>
      </c>
      <c r="C415" s="2" t="s">
        <v>28</v>
      </c>
      <c r="D415" s="3" t="e">
        <f t="shared" si="42"/>
        <v>#VALUE!</v>
      </c>
      <c r="E415" s="3" t="e">
        <f t="shared" si="43"/>
        <v>#VALUE!</v>
      </c>
      <c r="F415" s="3" t="e">
        <f t="shared" si="44"/>
        <v>#N/A</v>
      </c>
      <c r="G415" s="3" t="e">
        <f t="shared" si="45"/>
        <v>#N/A</v>
      </c>
      <c r="H415" s="3" t="e">
        <f t="shared" si="46"/>
        <v>#N/A</v>
      </c>
      <c r="I415" s="3" t="e">
        <f t="shared" si="47"/>
        <v>#N/A</v>
      </c>
      <c r="J415" s="3" t="e">
        <v>#VALUE!</v>
      </c>
      <c r="K415" s="3" t="e">
        <v>#VALUE!</v>
      </c>
      <c r="L415" s="3" t="e">
        <v>#N/A</v>
      </c>
      <c r="M415" s="3" t="e">
        <v>#N/A</v>
      </c>
      <c r="N415" s="3" t="e">
        <v>#N/A</v>
      </c>
      <c r="O415" s="3" t="e">
        <v>#N/A</v>
      </c>
      <c r="P415" s="3" t="e">
        <f>E415*(VLOOKUP(B415,Price_data!A$1:B$190,2,FALSE))</f>
        <v>#VALUE!</v>
      </c>
      <c r="Q415" s="3" t="e">
        <f>G415*(VLOOKUP(B415,Price_data!A$1:B$190,2,FALSE))</f>
        <v>#N/A</v>
      </c>
      <c r="R415" s="3" t="e">
        <f>I415*(VLOOKUP(B415,Price_data!A$1:B$190,2,FALSE))</f>
        <v>#N/A</v>
      </c>
      <c r="S415" s="4" t="str">
        <f>(VLOOKUP(B415,Price_data!A$1:C$190,3,FALSE))</f>
        <v>Open access</v>
      </c>
      <c r="T415" s="2" t="str">
        <f>IF(C415="Total", (VLOOKUP(B415,Recommended_fish_intake!A$4:D$122,4,FALSE)), "NA")</f>
        <v>NA</v>
      </c>
      <c r="U415" s="2" t="e">
        <f t="shared" si="48"/>
        <v>#VALUE!</v>
      </c>
    </row>
    <row r="416" spans="1:21" ht="14.25" customHeight="1">
      <c r="A416" s="2" t="s">
        <v>15</v>
      </c>
      <c r="B416" s="2">
        <v>1932</v>
      </c>
      <c r="C416" s="2" t="s">
        <v>29</v>
      </c>
      <c r="D416" s="3" t="e">
        <f t="shared" si="42"/>
        <v>#VALUE!</v>
      </c>
      <c r="E416" s="3" t="e">
        <f t="shared" si="43"/>
        <v>#VALUE!</v>
      </c>
      <c r="F416" s="3" t="e">
        <f t="shared" si="44"/>
        <v>#N/A</v>
      </c>
      <c r="G416" s="3" t="e">
        <f t="shared" si="45"/>
        <v>#N/A</v>
      </c>
      <c r="H416" s="3" t="e">
        <f t="shared" si="46"/>
        <v>#N/A</v>
      </c>
      <c r="I416" s="3" t="e">
        <f t="shared" si="47"/>
        <v>#N/A</v>
      </c>
      <c r="J416" s="3" t="e">
        <v>#VALUE!</v>
      </c>
      <c r="K416" s="3" t="e">
        <v>#VALUE!</v>
      </c>
      <c r="L416" s="3" t="e">
        <v>#N/A</v>
      </c>
      <c r="M416" s="3" t="e">
        <v>#N/A</v>
      </c>
      <c r="N416" s="3" t="e">
        <v>#N/A</v>
      </c>
      <c r="O416" s="3" t="e">
        <v>#N/A</v>
      </c>
      <c r="P416" s="3" t="e">
        <f>E416*(VLOOKUP(B416,Price_data!A$1:B$190,2,FALSE))</f>
        <v>#VALUE!</v>
      </c>
      <c r="Q416" s="3" t="e">
        <f>G416*(VLOOKUP(B416,Price_data!A$1:B$190,2,FALSE))</f>
        <v>#N/A</v>
      </c>
      <c r="R416" s="3" t="e">
        <f>I416*(VLOOKUP(B416,Price_data!A$1:B$190,2,FALSE))</f>
        <v>#N/A</v>
      </c>
      <c r="S416" s="4" t="str">
        <f>(VLOOKUP(B416,Price_data!A$1:C$190,3,FALSE))</f>
        <v>Open access</v>
      </c>
      <c r="T416" s="2" t="str">
        <f>IF(C416="Total", (VLOOKUP(B416,Recommended_fish_intake!A$4:D$122,4,FALSE)), "NA")</f>
        <v>NA</v>
      </c>
      <c r="U416" s="2" t="str">
        <f t="shared" si="48"/>
        <v>NA</v>
      </c>
    </row>
    <row r="417" spans="1:21" ht="14.25" customHeight="1">
      <c r="A417" s="2" t="s">
        <v>15</v>
      </c>
      <c r="B417" s="2">
        <v>1932</v>
      </c>
      <c r="C417" s="2" t="s">
        <v>20</v>
      </c>
      <c r="D417" s="3">
        <f t="shared" si="42"/>
        <v>9.4687563503352976</v>
      </c>
      <c r="E417" s="3" t="e">
        <f t="shared" si="43"/>
        <v>#N/A</v>
      </c>
      <c r="F417" s="3" t="e">
        <f t="shared" si="44"/>
        <v>#N/A</v>
      </c>
      <c r="G417" s="3" t="e">
        <f t="shared" si="45"/>
        <v>#N/A</v>
      </c>
      <c r="H417" s="3" t="e">
        <f t="shared" si="46"/>
        <v>#N/A</v>
      </c>
      <c r="I417" s="3" t="e">
        <f t="shared" si="47"/>
        <v>#N/A</v>
      </c>
      <c r="J417" s="3">
        <v>9468.7563503352976</v>
      </c>
      <c r="K417" s="3" t="e">
        <v>#N/A</v>
      </c>
      <c r="L417" s="3" t="e">
        <v>#N/A</v>
      </c>
      <c r="M417" s="3" t="e">
        <v>#N/A</v>
      </c>
      <c r="N417" s="3" t="e">
        <v>#N/A</v>
      </c>
      <c r="O417" s="3" t="e">
        <v>#N/A</v>
      </c>
      <c r="P417" s="3" t="e">
        <f>E417*(VLOOKUP(B417,Price_data!A$1:B$190,2,FALSE))</f>
        <v>#N/A</v>
      </c>
      <c r="Q417" s="3" t="e">
        <f>G417*(VLOOKUP(B417,Price_data!A$1:B$190,2,FALSE))</f>
        <v>#N/A</v>
      </c>
      <c r="R417" s="3" t="e">
        <f>I417*(VLOOKUP(B417,Price_data!A$1:B$190,2,FALSE))</f>
        <v>#N/A</v>
      </c>
      <c r="S417" s="4" t="str">
        <f>(VLOOKUP(B417,Price_data!A$1:C$190,3,FALSE))</f>
        <v>Open access</v>
      </c>
      <c r="T417" s="2" t="str">
        <f>IF(C417="Total", (VLOOKUP(B417,Recommended_fish_intake!A$4:D$122,4,FALSE)), "NA")</f>
        <v>NA</v>
      </c>
      <c r="U417" s="2" t="str">
        <f t="shared" si="48"/>
        <v>NA</v>
      </c>
    </row>
    <row r="418" spans="1:21" ht="14.25" customHeight="1">
      <c r="A418" s="2" t="s">
        <v>15</v>
      </c>
      <c r="B418" s="2">
        <v>1932</v>
      </c>
      <c r="C418" s="2" t="s">
        <v>25</v>
      </c>
      <c r="D418" s="3">
        <f t="shared" si="42"/>
        <v>29.528957528957527</v>
      </c>
      <c r="E418" s="3" t="e">
        <f t="shared" si="43"/>
        <v>#N/A</v>
      </c>
      <c r="F418" s="3" t="e">
        <f t="shared" si="44"/>
        <v>#N/A</v>
      </c>
      <c r="G418" s="3" t="e">
        <f t="shared" si="45"/>
        <v>#N/A</v>
      </c>
      <c r="H418" s="3" t="e">
        <f t="shared" si="46"/>
        <v>#N/A</v>
      </c>
      <c r="I418" s="3" t="e">
        <f t="shared" si="47"/>
        <v>#N/A</v>
      </c>
      <c r="J418" s="3">
        <v>29528.957528957526</v>
      </c>
      <c r="K418" s="3" t="e">
        <v>#N/A</v>
      </c>
      <c r="L418" s="3" t="e">
        <v>#N/A</v>
      </c>
      <c r="M418" s="3" t="e">
        <v>#N/A</v>
      </c>
      <c r="N418" s="3" t="e">
        <v>#N/A</v>
      </c>
      <c r="O418" s="3" t="e">
        <v>#N/A</v>
      </c>
      <c r="P418" s="3" t="e">
        <f>E418*(VLOOKUP(B418,Price_data!A$1:B$190,2,FALSE))</f>
        <v>#N/A</v>
      </c>
      <c r="Q418" s="3" t="e">
        <f>G418*(VLOOKUP(B418,Price_data!A$1:B$190,2,FALSE))</f>
        <v>#N/A</v>
      </c>
      <c r="R418" s="3" t="e">
        <f>I418*(VLOOKUP(B418,Price_data!A$1:B$190,2,FALSE))</f>
        <v>#N/A</v>
      </c>
      <c r="S418" s="4" t="str">
        <f>(VLOOKUP(B418,Price_data!A$1:C$190,3,FALSE))</f>
        <v>Open access</v>
      </c>
      <c r="T418" s="2" t="str">
        <f>IF(C418="Total", (VLOOKUP(B418,Recommended_fish_intake!A$4:D$122,4,FALSE)), "NA")</f>
        <v>NA</v>
      </c>
      <c r="U418" s="2" t="str">
        <f t="shared" si="48"/>
        <v>NA</v>
      </c>
    </row>
    <row r="419" spans="1:21" ht="14.25" customHeight="1">
      <c r="A419" s="2" t="s">
        <v>15</v>
      </c>
      <c r="B419" s="2">
        <v>1932</v>
      </c>
      <c r="C419" s="2" t="s">
        <v>24</v>
      </c>
      <c r="D419" s="3">
        <f t="shared" si="42"/>
        <v>35.086212152001622</v>
      </c>
      <c r="E419" s="3" t="e">
        <f t="shared" si="43"/>
        <v>#N/A</v>
      </c>
      <c r="F419" s="3" t="e">
        <f t="shared" si="44"/>
        <v>#N/A</v>
      </c>
      <c r="G419" s="3" t="e">
        <f t="shared" si="45"/>
        <v>#N/A</v>
      </c>
      <c r="H419" s="3" t="e">
        <f t="shared" si="46"/>
        <v>#N/A</v>
      </c>
      <c r="I419" s="3" t="e">
        <f t="shared" si="47"/>
        <v>#N/A</v>
      </c>
      <c r="J419" s="3">
        <v>35086.212152001623</v>
      </c>
      <c r="K419" s="3" t="e">
        <v>#N/A</v>
      </c>
      <c r="L419" s="3" t="e">
        <v>#N/A</v>
      </c>
      <c r="M419" s="3" t="e">
        <v>#N/A</v>
      </c>
      <c r="N419" s="3" t="e">
        <v>#N/A</v>
      </c>
      <c r="O419" s="3" t="e">
        <v>#N/A</v>
      </c>
      <c r="P419" s="3" t="e">
        <f>E419*(VLOOKUP(B419,Price_data!A$1:B$190,2,FALSE))</f>
        <v>#N/A</v>
      </c>
      <c r="Q419" s="3" t="e">
        <f>G419*(VLOOKUP(B419,Price_data!A$1:B$190,2,FALSE))</f>
        <v>#N/A</v>
      </c>
      <c r="R419" s="3" t="e">
        <f>I419*(VLOOKUP(B419,Price_data!A$1:B$190,2,FALSE))</f>
        <v>#N/A</v>
      </c>
      <c r="S419" s="4" t="str">
        <f>(VLOOKUP(B419,Price_data!A$1:C$190,3,FALSE))</f>
        <v>Open access</v>
      </c>
      <c r="T419" s="2" t="str">
        <f>IF(C419="Total", (VLOOKUP(B419,Recommended_fish_intake!A$4:D$122,4,FALSE)), "NA")</f>
        <v>NA</v>
      </c>
      <c r="U419" s="2" t="str">
        <f t="shared" si="48"/>
        <v>NA</v>
      </c>
    </row>
    <row r="420" spans="1:21" ht="14.25" customHeight="1">
      <c r="A420" s="2" t="s">
        <v>15</v>
      </c>
      <c r="B420" s="2">
        <v>1932</v>
      </c>
      <c r="C420" s="2" t="s">
        <v>30</v>
      </c>
      <c r="D420" s="3" t="e">
        <f t="shared" si="42"/>
        <v>#N/A</v>
      </c>
      <c r="E420" s="3" t="e">
        <f t="shared" si="43"/>
        <v>#N/A</v>
      </c>
      <c r="F420" s="3" t="e">
        <f t="shared" si="44"/>
        <v>#N/A</v>
      </c>
      <c r="G420" s="3" t="e">
        <f t="shared" si="45"/>
        <v>#N/A</v>
      </c>
      <c r="H420" s="3" t="e">
        <f t="shared" si="46"/>
        <v>#N/A</v>
      </c>
      <c r="I420" s="3" t="e">
        <f t="shared" si="47"/>
        <v>#N/A</v>
      </c>
      <c r="J420" s="3" t="e">
        <v>#N/A</v>
      </c>
      <c r="K420" s="3" t="e">
        <v>#N/A</v>
      </c>
      <c r="L420" s="3" t="e">
        <v>#N/A</v>
      </c>
      <c r="M420" s="3" t="e">
        <v>#N/A</v>
      </c>
      <c r="N420" s="3" t="e">
        <v>#N/A</v>
      </c>
      <c r="O420" s="3" t="e">
        <v>#N/A</v>
      </c>
      <c r="P420" s="3" t="e">
        <f>E420*(VLOOKUP(B420,Price_data!A$1:B$190,2,FALSE))</f>
        <v>#N/A</v>
      </c>
      <c r="Q420" s="3" t="e">
        <f>G420*(VLOOKUP(B420,Price_data!A$1:B$190,2,FALSE))</f>
        <v>#N/A</v>
      </c>
      <c r="R420" s="3" t="e">
        <f>I420*(VLOOKUP(B420,Price_data!A$1:B$190,2,FALSE))</f>
        <v>#N/A</v>
      </c>
      <c r="S420" s="4" t="str">
        <f>(VLOOKUP(B420,Price_data!A$1:C$190,3,FALSE))</f>
        <v>Open access</v>
      </c>
      <c r="T420" s="2" t="str">
        <f>IF(C420="Total", (VLOOKUP(B420,Recommended_fish_intake!A$4:D$122,4,FALSE)), "NA")</f>
        <v>NA</v>
      </c>
      <c r="U420" s="2" t="str">
        <f t="shared" si="48"/>
        <v>NA</v>
      </c>
    </row>
    <row r="421" spans="1:21" ht="14.25" customHeight="1">
      <c r="A421" s="2" t="s">
        <v>15</v>
      </c>
      <c r="B421" s="2">
        <v>1933</v>
      </c>
      <c r="C421" s="2" t="s">
        <v>16</v>
      </c>
      <c r="D421" s="3">
        <f t="shared" si="42"/>
        <v>949.58875228612067</v>
      </c>
      <c r="E421" s="3">
        <f t="shared" si="43"/>
        <v>15.169147000000001</v>
      </c>
      <c r="F421" s="3">
        <f t="shared" si="44"/>
        <v>202.03495224547854</v>
      </c>
      <c r="G421" s="3">
        <f t="shared" si="45"/>
        <v>3.7389600000000001</v>
      </c>
      <c r="H421" s="3">
        <f t="shared" si="46"/>
        <v>186.51742532005687</v>
      </c>
      <c r="I421" s="3">
        <f t="shared" si="47"/>
        <v>7.4230049999999999</v>
      </c>
      <c r="J421" s="3">
        <v>949588.75228612067</v>
      </c>
      <c r="K421" s="3">
        <v>15169.147000000001</v>
      </c>
      <c r="L421" s="3">
        <v>202034.95224547855</v>
      </c>
      <c r="M421" s="3">
        <v>3738.96</v>
      </c>
      <c r="N421" s="3">
        <v>186517.42532005688</v>
      </c>
      <c r="O421" s="3">
        <v>7423.0050000000001</v>
      </c>
      <c r="P421" s="3">
        <f>E421*(VLOOKUP(B421,Price_data!A$1:B$190,2,FALSE))</f>
        <v>644.97676925159908</v>
      </c>
      <c r="Q421" s="3">
        <f>G421*(VLOOKUP(B421,Price_data!A$1:B$190,2,FALSE))</f>
        <v>158.9767929047664</v>
      </c>
      <c r="R421" s="3">
        <f>I421*(VLOOKUP(B421,Price_data!A$1:B$190,2,FALSE))</f>
        <v>315.61865561975674</v>
      </c>
      <c r="S421" s="4" t="str">
        <f>(VLOOKUP(B421,Price_data!A$1:C$190,3,FALSE))</f>
        <v>Open access</v>
      </c>
      <c r="T421" s="2">
        <f>IF(C421="Total", (VLOOKUP(B421,Recommended_fish_intake!A$4:D$122,4,FALSE)), "NA")</f>
        <v>609.40015449175144</v>
      </c>
      <c r="U421" s="2" t="str">
        <f t="shared" si="48"/>
        <v>NA</v>
      </c>
    </row>
    <row r="422" spans="1:21" ht="14.25" customHeight="1">
      <c r="A422" s="2" t="s">
        <v>15</v>
      </c>
      <c r="B422" s="2">
        <v>1933</v>
      </c>
      <c r="C422" s="2" t="s">
        <v>22</v>
      </c>
      <c r="D422" s="3">
        <f t="shared" si="42"/>
        <v>281.127667140825</v>
      </c>
      <c r="E422" s="3" t="e">
        <f t="shared" si="43"/>
        <v>#N/A</v>
      </c>
      <c r="F422" s="3" t="e">
        <f t="shared" si="44"/>
        <v>#N/A</v>
      </c>
      <c r="G422" s="3" t="e">
        <f t="shared" si="45"/>
        <v>#N/A</v>
      </c>
      <c r="H422" s="3" t="e">
        <f t="shared" si="46"/>
        <v>#N/A</v>
      </c>
      <c r="I422" s="3" t="e">
        <f t="shared" si="47"/>
        <v>#N/A</v>
      </c>
      <c r="J422" s="3">
        <v>281127.66714082501</v>
      </c>
      <c r="K422" s="3" t="e">
        <v>#N/A</v>
      </c>
      <c r="L422" s="3" t="e">
        <v>#N/A</v>
      </c>
      <c r="M422" s="3" t="e">
        <v>#N/A</v>
      </c>
      <c r="N422" s="3" t="e">
        <v>#N/A</v>
      </c>
      <c r="O422" s="3" t="e">
        <v>#N/A</v>
      </c>
      <c r="P422" s="3" t="e">
        <f>E422*(VLOOKUP(B422,Price_data!A$1:B$190,2,FALSE))</f>
        <v>#N/A</v>
      </c>
      <c r="Q422" s="3" t="e">
        <f>G422*(VLOOKUP(B422,Price_data!A$1:B$190,2,FALSE))</f>
        <v>#N/A</v>
      </c>
      <c r="R422" s="3" t="e">
        <f>I422*(VLOOKUP(B422,Price_data!A$1:B$190,2,FALSE))</f>
        <v>#N/A</v>
      </c>
      <c r="S422" s="4" t="str">
        <f>(VLOOKUP(B422,Price_data!A$1:C$190,3,FALSE))</f>
        <v>Open access</v>
      </c>
      <c r="T422" s="2" t="str">
        <f>IF(C422="Total", (VLOOKUP(B422,Recommended_fish_intake!A$4:D$122,4,FALSE)), "NA")</f>
        <v>NA</v>
      </c>
      <c r="U422" s="2" t="str">
        <f t="shared" si="48"/>
        <v>NA</v>
      </c>
    </row>
    <row r="423" spans="1:21" ht="14.25" customHeight="1">
      <c r="A423" s="2" t="s">
        <v>15</v>
      </c>
      <c r="B423" s="2">
        <v>1933</v>
      </c>
      <c r="C423" s="2" t="s">
        <v>23</v>
      </c>
      <c r="D423" s="3">
        <f t="shared" si="42"/>
        <v>140.38833570412518</v>
      </c>
      <c r="E423" s="3" t="e">
        <f t="shared" si="43"/>
        <v>#N/A</v>
      </c>
      <c r="F423" s="3" t="e">
        <f t="shared" si="44"/>
        <v>#N/A</v>
      </c>
      <c r="G423" s="3" t="e">
        <f t="shared" si="45"/>
        <v>#N/A</v>
      </c>
      <c r="H423" s="3" t="e">
        <f t="shared" si="46"/>
        <v>#N/A</v>
      </c>
      <c r="I423" s="3" t="e">
        <f t="shared" si="47"/>
        <v>#N/A</v>
      </c>
      <c r="J423" s="3">
        <v>140388.33570412517</v>
      </c>
      <c r="K423" s="3" t="e">
        <v>#N/A</v>
      </c>
      <c r="L423" s="3" t="e">
        <v>#N/A</v>
      </c>
      <c r="M423" s="3" t="e">
        <v>#N/A</v>
      </c>
      <c r="N423" s="3" t="e">
        <v>#N/A</v>
      </c>
      <c r="O423" s="3" t="e">
        <v>#N/A</v>
      </c>
      <c r="P423" s="3" t="e">
        <f>E423*(VLOOKUP(B423,Price_data!A$1:B$190,2,FALSE))</f>
        <v>#N/A</v>
      </c>
      <c r="Q423" s="3" t="e">
        <f>G423*(VLOOKUP(B423,Price_data!A$1:B$190,2,FALSE))</f>
        <v>#N/A</v>
      </c>
      <c r="R423" s="3" t="e">
        <f>I423*(VLOOKUP(B423,Price_data!A$1:B$190,2,FALSE))</f>
        <v>#N/A</v>
      </c>
      <c r="S423" s="4" t="str">
        <f>(VLOOKUP(B423,Price_data!A$1:C$190,3,FALSE))</f>
        <v>Open access</v>
      </c>
      <c r="T423" s="2" t="str">
        <f>IF(C423="Total", (VLOOKUP(B423,Recommended_fish_intake!A$4:D$122,4,FALSE)), "NA")</f>
        <v>NA</v>
      </c>
      <c r="U423" s="2" t="str">
        <f t="shared" si="48"/>
        <v>NA</v>
      </c>
    </row>
    <row r="424" spans="1:21" ht="14.25" customHeight="1">
      <c r="A424" s="2" t="s">
        <v>15</v>
      </c>
      <c r="B424" s="2">
        <v>1933</v>
      </c>
      <c r="C424" s="2" t="s">
        <v>19</v>
      </c>
      <c r="D424" s="3">
        <f t="shared" si="42"/>
        <v>238.14829302987198</v>
      </c>
      <c r="E424" s="3" t="e">
        <f t="shared" si="43"/>
        <v>#N/A</v>
      </c>
      <c r="F424" s="3" t="e">
        <f t="shared" si="44"/>
        <v>#N/A</v>
      </c>
      <c r="G424" s="3" t="e">
        <f t="shared" si="45"/>
        <v>#N/A</v>
      </c>
      <c r="H424" s="3" t="e">
        <f t="shared" si="46"/>
        <v>#N/A</v>
      </c>
      <c r="I424" s="3" t="e">
        <f t="shared" si="47"/>
        <v>#N/A</v>
      </c>
      <c r="J424" s="3">
        <v>238148.29302987197</v>
      </c>
      <c r="K424" s="3" t="e">
        <v>#N/A</v>
      </c>
      <c r="L424" s="3" t="e">
        <v>#N/A</v>
      </c>
      <c r="M424" s="3" t="e">
        <v>#N/A</v>
      </c>
      <c r="N424" s="3" t="e">
        <v>#N/A</v>
      </c>
      <c r="O424" s="3" t="e">
        <v>#N/A</v>
      </c>
      <c r="P424" s="3" t="e">
        <f>E424*(VLOOKUP(B424,Price_data!A$1:B$190,2,FALSE))</f>
        <v>#N/A</v>
      </c>
      <c r="Q424" s="3" t="e">
        <f>G424*(VLOOKUP(B424,Price_data!A$1:B$190,2,FALSE))</f>
        <v>#N/A</v>
      </c>
      <c r="R424" s="3" t="e">
        <f>I424*(VLOOKUP(B424,Price_data!A$1:B$190,2,FALSE))</f>
        <v>#N/A</v>
      </c>
      <c r="S424" s="4" t="str">
        <f>(VLOOKUP(B424,Price_data!A$1:C$190,3,FALSE))</f>
        <v>Open access</v>
      </c>
      <c r="T424" s="2" t="str">
        <f>IF(C424="Total", (VLOOKUP(B424,Recommended_fish_intake!A$4:D$122,4,FALSE)), "NA")</f>
        <v>NA</v>
      </c>
      <c r="U424" s="2" t="str">
        <f t="shared" si="48"/>
        <v>NA</v>
      </c>
    </row>
    <row r="425" spans="1:21" ht="14.25" customHeight="1">
      <c r="A425" s="2" t="s">
        <v>15</v>
      </c>
      <c r="B425" s="2">
        <v>1933</v>
      </c>
      <c r="C425" s="2" t="s">
        <v>28</v>
      </c>
      <c r="D425" s="3" t="e">
        <f t="shared" si="42"/>
        <v>#VALUE!</v>
      </c>
      <c r="E425" s="3" t="e">
        <f t="shared" si="43"/>
        <v>#VALUE!</v>
      </c>
      <c r="F425" s="3" t="e">
        <f t="shared" si="44"/>
        <v>#N/A</v>
      </c>
      <c r="G425" s="3" t="e">
        <f t="shared" si="45"/>
        <v>#N/A</v>
      </c>
      <c r="H425" s="3" t="e">
        <f t="shared" si="46"/>
        <v>#N/A</v>
      </c>
      <c r="I425" s="3" t="e">
        <f t="shared" si="47"/>
        <v>#N/A</v>
      </c>
      <c r="J425" s="3" t="e">
        <v>#VALUE!</v>
      </c>
      <c r="K425" s="3" t="e">
        <v>#VALUE!</v>
      </c>
      <c r="L425" s="3" t="e">
        <v>#N/A</v>
      </c>
      <c r="M425" s="3" t="e">
        <v>#N/A</v>
      </c>
      <c r="N425" s="3" t="e">
        <v>#N/A</v>
      </c>
      <c r="O425" s="3" t="e">
        <v>#N/A</v>
      </c>
      <c r="P425" s="3" t="e">
        <f>E425*(VLOOKUP(B425,Price_data!A$1:B$190,2,FALSE))</f>
        <v>#VALUE!</v>
      </c>
      <c r="Q425" s="3" t="e">
        <f>G425*(VLOOKUP(B425,Price_data!A$1:B$190,2,FALSE))</f>
        <v>#N/A</v>
      </c>
      <c r="R425" s="3" t="e">
        <f>I425*(VLOOKUP(B425,Price_data!A$1:B$190,2,FALSE))</f>
        <v>#N/A</v>
      </c>
      <c r="S425" s="4" t="str">
        <f>(VLOOKUP(B425,Price_data!A$1:C$190,3,FALSE))</f>
        <v>Open access</v>
      </c>
      <c r="T425" s="2" t="str">
        <f>IF(C425="Total", (VLOOKUP(B425,Recommended_fish_intake!A$4:D$122,4,FALSE)), "NA")</f>
        <v>NA</v>
      </c>
      <c r="U425" s="2" t="e">
        <f t="shared" si="48"/>
        <v>#VALUE!</v>
      </c>
    </row>
    <row r="426" spans="1:21" ht="14.25" customHeight="1">
      <c r="A426" s="2" t="s">
        <v>15</v>
      </c>
      <c r="B426" s="2">
        <v>1933</v>
      </c>
      <c r="C426" s="2" t="s">
        <v>29</v>
      </c>
      <c r="D426" s="3" t="e">
        <f t="shared" si="42"/>
        <v>#VALUE!</v>
      </c>
      <c r="E426" s="3" t="e">
        <f t="shared" si="43"/>
        <v>#VALUE!</v>
      </c>
      <c r="F426" s="3" t="e">
        <f t="shared" si="44"/>
        <v>#N/A</v>
      </c>
      <c r="G426" s="3" t="e">
        <f t="shared" si="45"/>
        <v>#N/A</v>
      </c>
      <c r="H426" s="3" t="e">
        <f t="shared" si="46"/>
        <v>#N/A</v>
      </c>
      <c r="I426" s="3" t="e">
        <f t="shared" si="47"/>
        <v>#N/A</v>
      </c>
      <c r="J426" s="3" t="e">
        <v>#VALUE!</v>
      </c>
      <c r="K426" s="3" t="e">
        <v>#VALUE!</v>
      </c>
      <c r="L426" s="3" t="e">
        <v>#N/A</v>
      </c>
      <c r="M426" s="3" t="e">
        <v>#N/A</v>
      </c>
      <c r="N426" s="3" t="e">
        <v>#N/A</v>
      </c>
      <c r="O426" s="3" t="e">
        <v>#N/A</v>
      </c>
      <c r="P426" s="3" t="e">
        <f>E426*(VLOOKUP(B426,Price_data!A$1:B$190,2,FALSE))</f>
        <v>#VALUE!</v>
      </c>
      <c r="Q426" s="3" t="e">
        <f>G426*(VLOOKUP(B426,Price_data!A$1:B$190,2,FALSE))</f>
        <v>#N/A</v>
      </c>
      <c r="R426" s="3" t="e">
        <f>I426*(VLOOKUP(B426,Price_data!A$1:B$190,2,FALSE))</f>
        <v>#N/A</v>
      </c>
      <c r="S426" s="4" t="str">
        <f>(VLOOKUP(B426,Price_data!A$1:C$190,3,FALSE))</f>
        <v>Open access</v>
      </c>
      <c r="T426" s="2" t="str">
        <f>IF(C426="Total", (VLOOKUP(B426,Recommended_fish_intake!A$4:D$122,4,FALSE)), "NA")</f>
        <v>NA</v>
      </c>
      <c r="U426" s="2" t="str">
        <f t="shared" si="48"/>
        <v>NA</v>
      </c>
    </row>
    <row r="427" spans="1:21" ht="14.25" customHeight="1">
      <c r="A427" s="2" t="s">
        <v>15</v>
      </c>
      <c r="B427" s="2">
        <v>1933</v>
      </c>
      <c r="C427" s="2" t="s">
        <v>20</v>
      </c>
      <c r="D427" s="3">
        <f t="shared" si="42"/>
        <v>10.991160333265595</v>
      </c>
      <c r="E427" s="3" t="e">
        <f t="shared" si="43"/>
        <v>#N/A</v>
      </c>
      <c r="F427" s="3" t="e">
        <f t="shared" si="44"/>
        <v>#N/A</v>
      </c>
      <c r="G427" s="3" t="e">
        <f t="shared" si="45"/>
        <v>#N/A</v>
      </c>
      <c r="H427" s="3" t="e">
        <f t="shared" si="46"/>
        <v>#N/A</v>
      </c>
      <c r="I427" s="3" t="e">
        <f t="shared" si="47"/>
        <v>#N/A</v>
      </c>
      <c r="J427" s="3">
        <v>10991.160333265596</v>
      </c>
      <c r="K427" s="3" t="e">
        <v>#N/A</v>
      </c>
      <c r="L427" s="3" t="e">
        <v>#N/A</v>
      </c>
      <c r="M427" s="3" t="e">
        <v>#N/A</v>
      </c>
      <c r="N427" s="3" t="e">
        <v>#N/A</v>
      </c>
      <c r="O427" s="3" t="e">
        <v>#N/A</v>
      </c>
      <c r="P427" s="3" t="e">
        <f>E427*(VLOOKUP(B427,Price_data!A$1:B$190,2,FALSE))</f>
        <v>#N/A</v>
      </c>
      <c r="Q427" s="3" t="e">
        <f>G427*(VLOOKUP(B427,Price_data!A$1:B$190,2,FALSE))</f>
        <v>#N/A</v>
      </c>
      <c r="R427" s="3" t="e">
        <f>I427*(VLOOKUP(B427,Price_data!A$1:B$190,2,FALSE))</f>
        <v>#N/A</v>
      </c>
      <c r="S427" s="4" t="str">
        <f>(VLOOKUP(B427,Price_data!A$1:C$190,3,FALSE))</f>
        <v>Open access</v>
      </c>
      <c r="T427" s="2" t="str">
        <f>IF(C427="Total", (VLOOKUP(B427,Recommended_fish_intake!A$4:D$122,4,FALSE)), "NA")</f>
        <v>NA</v>
      </c>
      <c r="U427" s="2" t="str">
        <f t="shared" si="48"/>
        <v>NA</v>
      </c>
    </row>
    <row r="428" spans="1:21" ht="14.25" customHeight="1">
      <c r="A428" s="2" t="s">
        <v>15</v>
      </c>
      <c r="B428" s="2">
        <v>1933</v>
      </c>
      <c r="C428" s="2" t="s">
        <v>25</v>
      </c>
      <c r="D428" s="3">
        <f t="shared" si="42"/>
        <v>30.844899410688882</v>
      </c>
      <c r="E428" s="3" t="e">
        <f t="shared" si="43"/>
        <v>#N/A</v>
      </c>
      <c r="F428" s="3" t="e">
        <f t="shared" si="44"/>
        <v>#N/A</v>
      </c>
      <c r="G428" s="3" t="e">
        <f t="shared" si="45"/>
        <v>#N/A</v>
      </c>
      <c r="H428" s="3" t="e">
        <f t="shared" si="46"/>
        <v>#N/A</v>
      </c>
      <c r="I428" s="3" t="e">
        <f t="shared" si="47"/>
        <v>#N/A</v>
      </c>
      <c r="J428" s="3">
        <v>30844.899410688882</v>
      </c>
      <c r="K428" s="3" t="e">
        <v>#N/A</v>
      </c>
      <c r="L428" s="3" t="e">
        <v>#N/A</v>
      </c>
      <c r="M428" s="3" t="e">
        <v>#N/A</v>
      </c>
      <c r="N428" s="3" t="e">
        <v>#N/A</v>
      </c>
      <c r="O428" s="3" t="e">
        <v>#N/A</v>
      </c>
      <c r="P428" s="3" t="e">
        <f>E428*(VLOOKUP(B428,Price_data!A$1:B$190,2,FALSE))</f>
        <v>#N/A</v>
      </c>
      <c r="Q428" s="3" t="e">
        <f>G428*(VLOOKUP(B428,Price_data!A$1:B$190,2,FALSE))</f>
        <v>#N/A</v>
      </c>
      <c r="R428" s="3" t="e">
        <f>I428*(VLOOKUP(B428,Price_data!A$1:B$190,2,FALSE))</f>
        <v>#N/A</v>
      </c>
      <c r="S428" s="4" t="str">
        <f>(VLOOKUP(B428,Price_data!A$1:C$190,3,FALSE))</f>
        <v>Open access</v>
      </c>
      <c r="T428" s="2" t="str">
        <f>IF(C428="Total", (VLOOKUP(B428,Recommended_fish_intake!A$4:D$122,4,FALSE)), "NA")</f>
        <v>NA</v>
      </c>
      <c r="U428" s="2" t="str">
        <f t="shared" si="48"/>
        <v>NA</v>
      </c>
    </row>
    <row r="429" spans="1:21" ht="14.25" customHeight="1">
      <c r="A429" s="2" t="s">
        <v>15</v>
      </c>
      <c r="B429" s="2">
        <v>1933</v>
      </c>
      <c r="C429" s="2" t="s">
        <v>24</v>
      </c>
      <c r="D429" s="3">
        <f t="shared" si="42"/>
        <v>29.809947165210321</v>
      </c>
      <c r="E429" s="3" t="e">
        <f t="shared" si="43"/>
        <v>#N/A</v>
      </c>
      <c r="F429" s="3" t="e">
        <f t="shared" si="44"/>
        <v>#N/A</v>
      </c>
      <c r="G429" s="3" t="e">
        <f t="shared" si="45"/>
        <v>#N/A</v>
      </c>
      <c r="H429" s="3" t="e">
        <f t="shared" si="46"/>
        <v>#N/A</v>
      </c>
      <c r="I429" s="3" t="e">
        <f t="shared" si="47"/>
        <v>#N/A</v>
      </c>
      <c r="J429" s="3">
        <v>29809.94716521032</v>
      </c>
      <c r="K429" s="3" t="e">
        <v>#N/A</v>
      </c>
      <c r="L429" s="3" t="e">
        <v>#N/A</v>
      </c>
      <c r="M429" s="3" t="e">
        <v>#N/A</v>
      </c>
      <c r="N429" s="3" t="e">
        <v>#N/A</v>
      </c>
      <c r="O429" s="3" t="e">
        <v>#N/A</v>
      </c>
      <c r="P429" s="3" t="e">
        <f>E429*(VLOOKUP(B429,Price_data!A$1:B$190,2,FALSE))</f>
        <v>#N/A</v>
      </c>
      <c r="Q429" s="3" t="e">
        <f>G429*(VLOOKUP(B429,Price_data!A$1:B$190,2,FALSE))</f>
        <v>#N/A</v>
      </c>
      <c r="R429" s="3" t="e">
        <f>I429*(VLOOKUP(B429,Price_data!A$1:B$190,2,FALSE))</f>
        <v>#N/A</v>
      </c>
      <c r="S429" s="4" t="str">
        <f>(VLOOKUP(B429,Price_data!A$1:C$190,3,FALSE))</f>
        <v>Open access</v>
      </c>
      <c r="T429" s="2" t="str">
        <f>IF(C429="Total", (VLOOKUP(B429,Recommended_fish_intake!A$4:D$122,4,FALSE)), "NA")</f>
        <v>NA</v>
      </c>
      <c r="U429" s="2" t="str">
        <f t="shared" si="48"/>
        <v>NA</v>
      </c>
    </row>
    <row r="430" spans="1:21" ht="14.25" customHeight="1">
      <c r="A430" s="2" t="s">
        <v>15</v>
      </c>
      <c r="B430" s="2">
        <v>1933</v>
      </c>
      <c r="C430" s="2" t="s">
        <v>30</v>
      </c>
      <c r="D430" s="3" t="e">
        <f t="shared" si="42"/>
        <v>#N/A</v>
      </c>
      <c r="E430" s="3" t="e">
        <f t="shared" si="43"/>
        <v>#N/A</v>
      </c>
      <c r="F430" s="3" t="e">
        <f t="shared" si="44"/>
        <v>#N/A</v>
      </c>
      <c r="G430" s="3" t="e">
        <f t="shared" si="45"/>
        <v>#N/A</v>
      </c>
      <c r="H430" s="3" t="e">
        <f t="shared" si="46"/>
        <v>#N/A</v>
      </c>
      <c r="I430" s="3" t="e">
        <f t="shared" si="47"/>
        <v>#N/A</v>
      </c>
      <c r="J430" s="3" t="e">
        <v>#N/A</v>
      </c>
      <c r="K430" s="3" t="e">
        <v>#N/A</v>
      </c>
      <c r="L430" s="3" t="e">
        <v>#N/A</v>
      </c>
      <c r="M430" s="3" t="e">
        <v>#N/A</v>
      </c>
      <c r="N430" s="3" t="e">
        <v>#N/A</v>
      </c>
      <c r="O430" s="3" t="e">
        <v>#N/A</v>
      </c>
      <c r="P430" s="3" t="e">
        <f>E430*(VLOOKUP(B430,Price_data!A$1:B$190,2,FALSE))</f>
        <v>#N/A</v>
      </c>
      <c r="Q430" s="3" t="e">
        <f>G430*(VLOOKUP(B430,Price_data!A$1:B$190,2,FALSE))</f>
        <v>#N/A</v>
      </c>
      <c r="R430" s="3" t="e">
        <f>I430*(VLOOKUP(B430,Price_data!A$1:B$190,2,FALSE))</f>
        <v>#N/A</v>
      </c>
      <c r="S430" s="4" t="str">
        <f>(VLOOKUP(B430,Price_data!A$1:C$190,3,FALSE))</f>
        <v>Open access</v>
      </c>
      <c r="T430" s="2" t="str">
        <f>IF(C430="Total", (VLOOKUP(B430,Recommended_fish_intake!A$4:D$122,4,FALSE)), "NA")</f>
        <v>NA</v>
      </c>
      <c r="U430" s="2" t="str">
        <f t="shared" si="48"/>
        <v>NA</v>
      </c>
    </row>
    <row r="431" spans="1:21" ht="14.25" customHeight="1">
      <c r="A431" s="2" t="s">
        <v>15</v>
      </c>
      <c r="B431" s="2">
        <v>1934</v>
      </c>
      <c r="C431" s="2" t="s">
        <v>16</v>
      </c>
      <c r="D431" s="3">
        <f t="shared" si="42"/>
        <v>946.37370453159917</v>
      </c>
      <c r="E431" s="3">
        <f t="shared" si="43"/>
        <v>15.993774</v>
      </c>
      <c r="F431" s="3">
        <f t="shared" si="44"/>
        <v>214.52159114001216</v>
      </c>
      <c r="G431" s="3">
        <f t="shared" si="45"/>
        <v>3.5931449999999998</v>
      </c>
      <c r="H431" s="3">
        <f t="shared" si="46"/>
        <v>189.0212355212355</v>
      </c>
      <c r="I431" s="3">
        <f t="shared" si="47"/>
        <v>9.4117289999999993</v>
      </c>
      <c r="J431" s="3">
        <v>946373.70453159919</v>
      </c>
      <c r="K431" s="3">
        <v>15993.773999999999</v>
      </c>
      <c r="L431" s="3">
        <v>214521.59114001217</v>
      </c>
      <c r="M431" s="3">
        <v>3593.145</v>
      </c>
      <c r="N431" s="3">
        <v>189021.2355212355</v>
      </c>
      <c r="O431" s="3">
        <v>9411.7289999999994</v>
      </c>
      <c r="P431" s="3">
        <f>E431*(VLOOKUP(B431,Price_data!A$1:B$190,2,FALSE))</f>
        <v>680.03907422482121</v>
      </c>
      <c r="Q431" s="3">
        <f>G431*(VLOOKUP(B431,Price_data!A$1:B$190,2,FALSE))</f>
        <v>152.7768867657843</v>
      </c>
      <c r="R431" s="3">
        <f>I431*(VLOOKUP(B431,Price_data!A$1:B$190,2,FALSE))</f>
        <v>400.17718619851087</v>
      </c>
      <c r="S431" s="4" t="str">
        <f>(VLOOKUP(B431,Price_data!A$1:C$190,3,FALSE))</f>
        <v>Open access</v>
      </c>
      <c r="T431" s="2">
        <f>IF(C431="Total", (VLOOKUP(B431,Recommended_fish_intake!A$4:D$122,4,FALSE)), "NA")</f>
        <v>611.31271731539266</v>
      </c>
      <c r="U431" s="2" t="str">
        <f t="shared" si="48"/>
        <v>NA</v>
      </c>
    </row>
    <row r="432" spans="1:21" ht="14.25" customHeight="1">
      <c r="A432" s="2" t="s">
        <v>15</v>
      </c>
      <c r="B432" s="2">
        <v>1934</v>
      </c>
      <c r="C432" s="2" t="s">
        <v>22</v>
      </c>
      <c r="D432" s="3">
        <f t="shared" si="42"/>
        <v>281.91246697825642</v>
      </c>
      <c r="E432" s="3" t="e">
        <f t="shared" si="43"/>
        <v>#N/A</v>
      </c>
      <c r="F432" s="3" t="e">
        <f t="shared" si="44"/>
        <v>#N/A</v>
      </c>
      <c r="G432" s="3" t="e">
        <f t="shared" si="45"/>
        <v>#N/A</v>
      </c>
      <c r="H432" s="3" t="e">
        <f t="shared" si="46"/>
        <v>#N/A</v>
      </c>
      <c r="I432" s="3" t="e">
        <f t="shared" si="47"/>
        <v>#N/A</v>
      </c>
      <c r="J432" s="3">
        <v>281912.46697825642</v>
      </c>
      <c r="K432" s="3" t="e">
        <v>#N/A</v>
      </c>
      <c r="L432" s="3" t="e">
        <v>#N/A</v>
      </c>
      <c r="M432" s="3" t="e">
        <v>#N/A</v>
      </c>
      <c r="N432" s="3" t="e">
        <v>#N/A</v>
      </c>
      <c r="O432" s="3" t="e">
        <v>#N/A</v>
      </c>
      <c r="P432" s="3" t="e">
        <f>E432*(VLOOKUP(B432,Price_data!A$1:B$190,2,FALSE))</f>
        <v>#N/A</v>
      </c>
      <c r="Q432" s="3" t="e">
        <f>G432*(VLOOKUP(B432,Price_data!A$1:B$190,2,FALSE))</f>
        <v>#N/A</v>
      </c>
      <c r="R432" s="3" t="e">
        <f>I432*(VLOOKUP(B432,Price_data!A$1:B$190,2,FALSE))</f>
        <v>#N/A</v>
      </c>
      <c r="S432" s="4" t="str">
        <f>(VLOOKUP(B432,Price_data!A$1:C$190,3,FALSE))</f>
        <v>Open access</v>
      </c>
      <c r="T432" s="2" t="str">
        <f>IF(C432="Total", (VLOOKUP(B432,Recommended_fish_intake!A$4:D$122,4,FALSE)), "NA")</f>
        <v>NA</v>
      </c>
      <c r="U432" s="2" t="str">
        <f t="shared" si="48"/>
        <v>NA</v>
      </c>
    </row>
    <row r="433" spans="1:21" ht="14.25" customHeight="1">
      <c r="A433" s="2" t="s">
        <v>15</v>
      </c>
      <c r="B433" s="2">
        <v>1934</v>
      </c>
      <c r="C433" s="2" t="s">
        <v>23</v>
      </c>
      <c r="D433" s="3">
        <f t="shared" si="42"/>
        <v>117.20529363950416</v>
      </c>
      <c r="E433" s="3" t="e">
        <f t="shared" si="43"/>
        <v>#N/A</v>
      </c>
      <c r="F433" s="3" t="e">
        <f t="shared" si="44"/>
        <v>#N/A</v>
      </c>
      <c r="G433" s="3" t="e">
        <f t="shared" si="45"/>
        <v>#N/A</v>
      </c>
      <c r="H433" s="3" t="e">
        <f t="shared" si="46"/>
        <v>#N/A</v>
      </c>
      <c r="I433" s="3" t="e">
        <f t="shared" si="47"/>
        <v>#N/A</v>
      </c>
      <c r="J433" s="3">
        <v>117205.29363950416</v>
      </c>
      <c r="K433" s="3" t="e">
        <v>#N/A</v>
      </c>
      <c r="L433" s="3" t="e">
        <v>#N/A</v>
      </c>
      <c r="M433" s="3" t="e">
        <v>#N/A</v>
      </c>
      <c r="N433" s="3" t="e">
        <v>#N/A</v>
      </c>
      <c r="O433" s="3" t="e">
        <v>#N/A</v>
      </c>
      <c r="P433" s="3" t="e">
        <f>E433*(VLOOKUP(B433,Price_data!A$1:B$190,2,FALSE))</f>
        <v>#N/A</v>
      </c>
      <c r="Q433" s="3" t="e">
        <f>G433*(VLOOKUP(B433,Price_data!A$1:B$190,2,FALSE))</f>
        <v>#N/A</v>
      </c>
      <c r="R433" s="3" t="e">
        <f>I433*(VLOOKUP(B433,Price_data!A$1:B$190,2,FALSE))</f>
        <v>#N/A</v>
      </c>
      <c r="S433" s="4" t="str">
        <f>(VLOOKUP(B433,Price_data!A$1:C$190,3,FALSE))</f>
        <v>Open access</v>
      </c>
      <c r="T433" s="2" t="str">
        <f>IF(C433="Total", (VLOOKUP(B433,Recommended_fish_intake!A$4:D$122,4,FALSE)), "NA")</f>
        <v>NA</v>
      </c>
      <c r="U433" s="2" t="str">
        <f t="shared" si="48"/>
        <v>NA</v>
      </c>
    </row>
    <row r="434" spans="1:21" ht="14.25" customHeight="1">
      <c r="A434" s="2" t="s">
        <v>15</v>
      </c>
      <c r="B434" s="2">
        <v>1934</v>
      </c>
      <c r="C434" s="2" t="s">
        <v>19</v>
      </c>
      <c r="D434" s="3">
        <f t="shared" si="42"/>
        <v>243.18807153017679</v>
      </c>
      <c r="E434" s="3" t="e">
        <f t="shared" si="43"/>
        <v>#N/A</v>
      </c>
      <c r="F434" s="3" t="e">
        <f t="shared" si="44"/>
        <v>#N/A</v>
      </c>
      <c r="G434" s="3" t="e">
        <f t="shared" si="45"/>
        <v>#N/A</v>
      </c>
      <c r="H434" s="3" t="e">
        <f t="shared" si="46"/>
        <v>#N/A</v>
      </c>
      <c r="I434" s="3" t="e">
        <f t="shared" si="47"/>
        <v>#N/A</v>
      </c>
      <c r="J434" s="3">
        <v>243188.07153017679</v>
      </c>
      <c r="K434" s="3" t="e">
        <v>#N/A</v>
      </c>
      <c r="L434" s="3" t="e">
        <v>#N/A</v>
      </c>
      <c r="M434" s="3" t="e">
        <v>#N/A</v>
      </c>
      <c r="N434" s="3" t="e">
        <v>#N/A</v>
      </c>
      <c r="O434" s="3" t="e">
        <v>#N/A</v>
      </c>
      <c r="P434" s="3" t="e">
        <f>E434*(VLOOKUP(B434,Price_data!A$1:B$190,2,FALSE))</f>
        <v>#N/A</v>
      </c>
      <c r="Q434" s="3" t="e">
        <f>G434*(VLOOKUP(B434,Price_data!A$1:B$190,2,FALSE))</f>
        <v>#N/A</v>
      </c>
      <c r="R434" s="3" t="e">
        <f>I434*(VLOOKUP(B434,Price_data!A$1:B$190,2,FALSE))</f>
        <v>#N/A</v>
      </c>
      <c r="S434" s="4" t="str">
        <f>(VLOOKUP(B434,Price_data!A$1:C$190,3,FALSE))</f>
        <v>Open access</v>
      </c>
      <c r="T434" s="2" t="str">
        <f>IF(C434="Total", (VLOOKUP(B434,Recommended_fish_intake!A$4:D$122,4,FALSE)), "NA")</f>
        <v>NA</v>
      </c>
      <c r="U434" s="2" t="str">
        <f t="shared" si="48"/>
        <v>NA</v>
      </c>
    </row>
    <row r="435" spans="1:21" ht="14.25" customHeight="1">
      <c r="A435" s="2" t="s">
        <v>15</v>
      </c>
      <c r="B435" s="2">
        <v>1934</v>
      </c>
      <c r="C435" s="2" t="s">
        <v>28</v>
      </c>
      <c r="D435" s="3" t="e">
        <f t="shared" si="42"/>
        <v>#VALUE!</v>
      </c>
      <c r="E435" s="3" t="e">
        <f t="shared" si="43"/>
        <v>#VALUE!</v>
      </c>
      <c r="F435" s="3" t="e">
        <f t="shared" si="44"/>
        <v>#N/A</v>
      </c>
      <c r="G435" s="3" t="e">
        <f t="shared" si="45"/>
        <v>#N/A</v>
      </c>
      <c r="H435" s="3" t="e">
        <f t="shared" si="46"/>
        <v>#N/A</v>
      </c>
      <c r="I435" s="3" t="e">
        <f t="shared" si="47"/>
        <v>#N/A</v>
      </c>
      <c r="J435" s="3" t="e">
        <v>#VALUE!</v>
      </c>
      <c r="K435" s="3" t="e">
        <v>#VALUE!</v>
      </c>
      <c r="L435" s="3" t="e">
        <v>#N/A</v>
      </c>
      <c r="M435" s="3" t="e">
        <v>#N/A</v>
      </c>
      <c r="N435" s="3" t="e">
        <v>#N/A</v>
      </c>
      <c r="O435" s="3" t="e">
        <v>#N/A</v>
      </c>
      <c r="P435" s="3" t="e">
        <f>E435*(VLOOKUP(B435,Price_data!A$1:B$190,2,FALSE))</f>
        <v>#VALUE!</v>
      </c>
      <c r="Q435" s="3" t="e">
        <f>G435*(VLOOKUP(B435,Price_data!A$1:B$190,2,FALSE))</f>
        <v>#N/A</v>
      </c>
      <c r="R435" s="3" t="e">
        <f>I435*(VLOOKUP(B435,Price_data!A$1:B$190,2,FALSE))</f>
        <v>#N/A</v>
      </c>
      <c r="S435" s="4" t="str">
        <f>(VLOOKUP(B435,Price_data!A$1:C$190,3,FALSE))</f>
        <v>Open access</v>
      </c>
      <c r="T435" s="2" t="str">
        <f>IF(C435="Total", (VLOOKUP(B435,Recommended_fish_intake!A$4:D$122,4,FALSE)), "NA")</f>
        <v>NA</v>
      </c>
      <c r="U435" s="2" t="e">
        <f t="shared" si="48"/>
        <v>#VALUE!</v>
      </c>
    </row>
    <row r="436" spans="1:21" ht="14.25" customHeight="1">
      <c r="A436" s="2" t="s">
        <v>15</v>
      </c>
      <c r="B436" s="2">
        <v>1934</v>
      </c>
      <c r="C436" s="2" t="s">
        <v>29</v>
      </c>
      <c r="D436" s="3" t="e">
        <f t="shared" si="42"/>
        <v>#VALUE!</v>
      </c>
      <c r="E436" s="3" t="e">
        <f t="shared" si="43"/>
        <v>#VALUE!</v>
      </c>
      <c r="F436" s="3" t="e">
        <f t="shared" si="44"/>
        <v>#N/A</v>
      </c>
      <c r="G436" s="3" t="e">
        <f t="shared" si="45"/>
        <v>#N/A</v>
      </c>
      <c r="H436" s="3" t="e">
        <f t="shared" si="46"/>
        <v>#N/A</v>
      </c>
      <c r="I436" s="3" t="e">
        <f t="shared" si="47"/>
        <v>#N/A</v>
      </c>
      <c r="J436" s="3" t="e">
        <v>#VALUE!</v>
      </c>
      <c r="K436" s="3" t="e">
        <v>#VALUE!</v>
      </c>
      <c r="L436" s="3" t="e">
        <v>#N/A</v>
      </c>
      <c r="M436" s="3" t="e">
        <v>#N/A</v>
      </c>
      <c r="N436" s="3" t="e">
        <v>#N/A</v>
      </c>
      <c r="O436" s="3" t="e">
        <v>#N/A</v>
      </c>
      <c r="P436" s="3" t="e">
        <f>E436*(VLOOKUP(B436,Price_data!A$1:B$190,2,FALSE))</f>
        <v>#VALUE!</v>
      </c>
      <c r="Q436" s="3" t="e">
        <f>G436*(VLOOKUP(B436,Price_data!A$1:B$190,2,FALSE))</f>
        <v>#N/A</v>
      </c>
      <c r="R436" s="3" t="e">
        <f>I436*(VLOOKUP(B436,Price_data!A$1:B$190,2,FALSE))</f>
        <v>#N/A</v>
      </c>
      <c r="S436" s="4" t="str">
        <f>(VLOOKUP(B436,Price_data!A$1:C$190,3,FALSE))</f>
        <v>Open access</v>
      </c>
      <c r="T436" s="2" t="str">
        <f>IF(C436="Total", (VLOOKUP(B436,Recommended_fish_intake!A$4:D$122,4,FALSE)), "NA")</f>
        <v>NA</v>
      </c>
      <c r="U436" s="2" t="str">
        <f t="shared" si="48"/>
        <v>NA</v>
      </c>
    </row>
    <row r="437" spans="1:21" ht="14.25" customHeight="1">
      <c r="A437" s="2" t="s">
        <v>15</v>
      </c>
      <c r="B437" s="2">
        <v>1934</v>
      </c>
      <c r="C437" s="2" t="s">
        <v>20</v>
      </c>
      <c r="D437" s="3">
        <f t="shared" si="42"/>
        <v>11.1346779109937</v>
      </c>
      <c r="E437" s="3" t="e">
        <f t="shared" si="43"/>
        <v>#N/A</v>
      </c>
      <c r="F437" s="3" t="e">
        <f t="shared" si="44"/>
        <v>#N/A</v>
      </c>
      <c r="G437" s="3" t="e">
        <f t="shared" si="45"/>
        <v>#N/A</v>
      </c>
      <c r="H437" s="3" t="e">
        <f t="shared" si="46"/>
        <v>#N/A</v>
      </c>
      <c r="I437" s="3" t="e">
        <f t="shared" si="47"/>
        <v>#N/A</v>
      </c>
      <c r="J437" s="3">
        <v>11134.6779109937</v>
      </c>
      <c r="K437" s="3" t="e">
        <v>#N/A</v>
      </c>
      <c r="L437" s="3" t="e">
        <v>#N/A</v>
      </c>
      <c r="M437" s="3" t="e">
        <v>#N/A</v>
      </c>
      <c r="N437" s="3" t="e">
        <v>#N/A</v>
      </c>
      <c r="O437" s="3" t="e">
        <v>#N/A</v>
      </c>
      <c r="P437" s="3" t="e">
        <f>E437*(VLOOKUP(B437,Price_data!A$1:B$190,2,FALSE))</f>
        <v>#N/A</v>
      </c>
      <c r="Q437" s="3" t="e">
        <f>G437*(VLOOKUP(B437,Price_data!A$1:B$190,2,FALSE))</f>
        <v>#N/A</v>
      </c>
      <c r="R437" s="3" t="e">
        <f>I437*(VLOOKUP(B437,Price_data!A$1:B$190,2,FALSE))</f>
        <v>#N/A</v>
      </c>
      <c r="S437" s="4" t="str">
        <f>(VLOOKUP(B437,Price_data!A$1:C$190,3,FALSE))</f>
        <v>Open access</v>
      </c>
      <c r="T437" s="2" t="str">
        <f>IF(C437="Total", (VLOOKUP(B437,Recommended_fish_intake!A$4:D$122,4,FALSE)), "NA")</f>
        <v>NA</v>
      </c>
      <c r="U437" s="2" t="str">
        <f t="shared" si="48"/>
        <v>NA</v>
      </c>
    </row>
    <row r="438" spans="1:21" ht="14.25" customHeight="1">
      <c r="A438" s="2" t="s">
        <v>15</v>
      </c>
      <c r="B438" s="2">
        <v>1934</v>
      </c>
      <c r="C438" s="2" t="s">
        <v>25</v>
      </c>
      <c r="D438" s="3">
        <f t="shared" si="42"/>
        <v>32.230796586059746</v>
      </c>
      <c r="E438" s="3" t="e">
        <f t="shared" si="43"/>
        <v>#N/A</v>
      </c>
      <c r="F438" s="3" t="e">
        <f t="shared" si="44"/>
        <v>#N/A</v>
      </c>
      <c r="G438" s="3" t="e">
        <f t="shared" si="45"/>
        <v>#N/A</v>
      </c>
      <c r="H438" s="3" t="e">
        <f t="shared" si="46"/>
        <v>#N/A</v>
      </c>
      <c r="I438" s="3" t="e">
        <f t="shared" si="47"/>
        <v>#N/A</v>
      </c>
      <c r="J438" s="3">
        <v>32230.796586059743</v>
      </c>
      <c r="K438" s="3" t="e">
        <v>#N/A</v>
      </c>
      <c r="L438" s="3" t="e">
        <v>#N/A</v>
      </c>
      <c r="M438" s="3" t="e">
        <v>#N/A</v>
      </c>
      <c r="N438" s="3" t="e">
        <v>#N/A</v>
      </c>
      <c r="O438" s="3" t="e">
        <v>#N/A</v>
      </c>
      <c r="P438" s="3" t="e">
        <f>E438*(VLOOKUP(B438,Price_data!A$1:B$190,2,FALSE))</f>
        <v>#N/A</v>
      </c>
      <c r="Q438" s="3" t="e">
        <f>G438*(VLOOKUP(B438,Price_data!A$1:B$190,2,FALSE))</f>
        <v>#N/A</v>
      </c>
      <c r="R438" s="3" t="e">
        <f>I438*(VLOOKUP(B438,Price_data!A$1:B$190,2,FALSE))</f>
        <v>#N/A</v>
      </c>
      <c r="S438" s="4" t="str">
        <f>(VLOOKUP(B438,Price_data!A$1:C$190,3,FALSE))</f>
        <v>Open access</v>
      </c>
      <c r="T438" s="2" t="str">
        <f>IF(C438="Total", (VLOOKUP(B438,Recommended_fish_intake!A$4:D$122,4,FALSE)), "NA")</f>
        <v>NA</v>
      </c>
      <c r="U438" s="2" t="str">
        <f t="shared" si="48"/>
        <v>NA</v>
      </c>
    </row>
    <row r="439" spans="1:21" ht="14.25" customHeight="1">
      <c r="A439" s="2" t="s">
        <v>15</v>
      </c>
      <c r="B439" s="2">
        <v>1934</v>
      </c>
      <c r="C439" s="2" t="s">
        <v>24</v>
      </c>
      <c r="D439" s="3">
        <f t="shared" si="42"/>
        <v>31.475157488315382</v>
      </c>
      <c r="E439" s="3" t="e">
        <f t="shared" si="43"/>
        <v>#N/A</v>
      </c>
      <c r="F439" s="3" t="e">
        <f t="shared" si="44"/>
        <v>#N/A</v>
      </c>
      <c r="G439" s="3" t="e">
        <f t="shared" si="45"/>
        <v>#N/A</v>
      </c>
      <c r="H439" s="3" t="e">
        <f t="shared" si="46"/>
        <v>#N/A</v>
      </c>
      <c r="I439" s="3" t="e">
        <f t="shared" si="47"/>
        <v>#N/A</v>
      </c>
      <c r="J439" s="3">
        <v>31475.157488315381</v>
      </c>
      <c r="K439" s="3" t="e">
        <v>#N/A</v>
      </c>
      <c r="L439" s="3" t="e">
        <v>#N/A</v>
      </c>
      <c r="M439" s="3" t="e">
        <v>#N/A</v>
      </c>
      <c r="N439" s="3" t="e">
        <v>#N/A</v>
      </c>
      <c r="O439" s="3" t="e">
        <v>#N/A</v>
      </c>
      <c r="P439" s="3" t="e">
        <f>E439*(VLOOKUP(B439,Price_data!A$1:B$190,2,FALSE))</f>
        <v>#N/A</v>
      </c>
      <c r="Q439" s="3" t="e">
        <f>G439*(VLOOKUP(B439,Price_data!A$1:B$190,2,FALSE))</f>
        <v>#N/A</v>
      </c>
      <c r="R439" s="3" t="e">
        <f>I439*(VLOOKUP(B439,Price_data!A$1:B$190,2,FALSE))</f>
        <v>#N/A</v>
      </c>
      <c r="S439" s="4" t="str">
        <f>(VLOOKUP(B439,Price_data!A$1:C$190,3,FALSE))</f>
        <v>Open access</v>
      </c>
      <c r="T439" s="2" t="str">
        <f>IF(C439="Total", (VLOOKUP(B439,Recommended_fish_intake!A$4:D$122,4,FALSE)), "NA")</f>
        <v>NA</v>
      </c>
      <c r="U439" s="2" t="str">
        <f t="shared" si="48"/>
        <v>NA</v>
      </c>
    </row>
    <row r="440" spans="1:21" ht="14.25" customHeight="1">
      <c r="A440" s="2" t="s">
        <v>15</v>
      </c>
      <c r="B440" s="2">
        <v>1934</v>
      </c>
      <c r="C440" s="2" t="s">
        <v>30</v>
      </c>
      <c r="D440" s="3" t="e">
        <f t="shared" si="42"/>
        <v>#N/A</v>
      </c>
      <c r="E440" s="3" t="e">
        <f t="shared" si="43"/>
        <v>#N/A</v>
      </c>
      <c r="F440" s="3" t="e">
        <f t="shared" si="44"/>
        <v>#N/A</v>
      </c>
      <c r="G440" s="3" t="e">
        <f t="shared" si="45"/>
        <v>#N/A</v>
      </c>
      <c r="H440" s="3" t="e">
        <f t="shared" si="46"/>
        <v>#N/A</v>
      </c>
      <c r="I440" s="3" t="e">
        <f t="shared" si="47"/>
        <v>#N/A</v>
      </c>
      <c r="J440" s="3" t="e">
        <v>#N/A</v>
      </c>
      <c r="K440" s="3" t="e">
        <v>#N/A</v>
      </c>
      <c r="L440" s="3" t="e">
        <v>#N/A</v>
      </c>
      <c r="M440" s="3" t="e">
        <v>#N/A</v>
      </c>
      <c r="N440" s="3" t="e">
        <v>#N/A</v>
      </c>
      <c r="O440" s="3" t="e">
        <v>#N/A</v>
      </c>
      <c r="P440" s="3" t="e">
        <f>E440*(VLOOKUP(B440,Price_data!A$1:B$190,2,FALSE))</f>
        <v>#N/A</v>
      </c>
      <c r="Q440" s="3" t="e">
        <f>G440*(VLOOKUP(B440,Price_data!A$1:B$190,2,FALSE))</f>
        <v>#N/A</v>
      </c>
      <c r="R440" s="3" t="e">
        <f>I440*(VLOOKUP(B440,Price_data!A$1:B$190,2,FALSE))</f>
        <v>#N/A</v>
      </c>
      <c r="S440" s="4" t="str">
        <f>(VLOOKUP(B440,Price_data!A$1:C$190,3,FALSE))</f>
        <v>Open access</v>
      </c>
      <c r="T440" s="2" t="str">
        <f>IF(C440="Total", (VLOOKUP(B440,Recommended_fish_intake!A$4:D$122,4,FALSE)), "NA")</f>
        <v>NA</v>
      </c>
      <c r="U440" s="2" t="str">
        <f t="shared" si="48"/>
        <v>NA</v>
      </c>
    </row>
    <row r="441" spans="1:21" ht="14.25" customHeight="1">
      <c r="A441" s="2" t="s">
        <v>15</v>
      </c>
      <c r="B441" s="2">
        <v>1935</v>
      </c>
      <c r="C441" s="2" t="s">
        <v>16</v>
      </c>
      <c r="D441" s="3">
        <f t="shared" si="42"/>
        <v>1008.6288864052021</v>
      </c>
      <c r="E441" s="3">
        <f t="shared" si="43"/>
        <v>16.302727999999998</v>
      </c>
      <c r="F441" s="3">
        <f t="shared" si="44"/>
        <v>233.08595813858972</v>
      </c>
      <c r="G441" s="3">
        <f t="shared" si="45"/>
        <v>3.7509259999999998</v>
      </c>
      <c r="H441" s="3">
        <f t="shared" si="46"/>
        <v>197.42994310099573</v>
      </c>
      <c r="I441" s="3">
        <f t="shared" si="47"/>
        <v>9.2017419999999994</v>
      </c>
      <c r="J441" s="3">
        <v>1008628.8864052021</v>
      </c>
      <c r="K441" s="3">
        <v>16302.727999999999</v>
      </c>
      <c r="L441" s="3">
        <v>233085.95813858972</v>
      </c>
      <c r="M441" s="3">
        <v>3750.9259999999999</v>
      </c>
      <c r="N441" s="3">
        <v>197429.94310099573</v>
      </c>
      <c r="O441" s="3">
        <v>9201.7420000000002</v>
      </c>
      <c r="P441" s="3">
        <f>E441*(VLOOKUP(B441,Price_data!A$1:B$190,2,FALSE))</f>
        <v>688.81589126831625</v>
      </c>
      <c r="Q441" s="3">
        <f>G441*(VLOOKUP(B441,Price_data!A$1:B$190,2,FALSE))</f>
        <v>158.48252119347757</v>
      </c>
      <c r="R441" s="3">
        <f>I441*(VLOOKUP(B441,Price_data!A$1:B$190,2,FALSE))</f>
        <v>388.78806767499884</v>
      </c>
      <c r="S441" s="4" t="str">
        <f>(VLOOKUP(B441,Price_data!A$1:C$190,3,FALSE))</f>
        <v>Open access</v>
      </c>
      <c r="T441" s="2">
        <f>IF(C441="Total", (VLOOKUP(B441,Recommended_fish_intake!A$4:D$122,4,FALSE)), "NA")</f>
        <v>613.96541575229253</v>
      </c>
      <c r="U441" s="2" t="str">
        <f t="shared" si="48"/>
        <v>NA</v>
      </c>
    </row>
    <row r="442" spans="1:21" ht="14.25" customHeight="1">
      <c r="A442" s="2" t="s">
        <v>15</v>
      </c>
      <c r="B442" s="2">
        <v>1935</v>
      </c>
      <c r="C442" s="2" t="s">
        <v>22</v>
      </c>
      <c r="D442" s="3">
        <f t="shared" si="42"/>
        <v>309.74344645397275</v>
      </c>
      <c r="E442" s="3" t="e">
        <f t="shared" si="43"/>
        <v>#N/A</v>
      </c>
      <c r="F442" s="3">
        <f t="shared" si="44"/>
        <v>12.804816094289778</v>
      </c>
      <c r="G442" s="3">
        <f t="shared" si="45"/>
        <v>0.37615899999999997</v>
      </c>
      <c r="H442" s="3">
        <f t="shared" si="46"/>
        <v>24.613035968299126</v>
      </c>
      <c r="I442" s="3">
        <f t="shared" si="47"/>
        <v>0.29656099999999996</v>
      </c>
      <c r="J442" s="3">
        <v>309743.44645397278</v>
      </c>
      <c r="K442" s="3" t="e">
        <v>#N/A</v>
      </c>
      <c r="L442" s="3">
        <v>12804.816094289778</v>
      </c>
      <c r="M442" s="3">
        <v>376.15899999999999</v>
      </c>
      <c r="N442" s="3">
        <v>24613.035968299126</v>
      </c>
      <c r="O442" s="3">
        <v>296.56099999999998</v>
      </c>
      <c r="P442" s="3" t="e">
        <f>E442*(VLOOKUP(B442,Price_data!A$1:B$190,2,FALSE))</f>
        <v>#N/A</v>
      </c>
      <c r="Q442" s="3">
        <f>G442*(VLOOKUP(B442,Price_data!A$1:B$190,2,FALSE))</f>
        <v>15.89330919608047</v>
      </c>
      <c r="R442" s="3">
        <f>I442*(VLOOKUP(B442,Price_data!A$1:B$190,2,FALSE))</f>
        <v>12.53016854175713</v>
      </c>
      <c r="S442" s="4" t="str">
        <f>(VLOOKUP(B442,Price_data!A$1:C$190,3,FALSE))</f>
        <v>Open access</v>
      </c>
      <c r="T442" s="2" t="str">
        <f>IF(C442="Total", (VLOOKUP(B442,Recommended_fish_intake!A$4:D$122,4,FALSE)), "NA")</f>
        <v>NA</v>
      </c>
      <c r="U442" s="2" t="str">
        <f t="shared" si="48"/>
        <v>NA</v>
      </c>
    </row>
    <row r="443" spans="1:21" ht="14.25" customHeight="1">
      <c r="A443" s="2" t="s">
        <v>15</v>
      </c>
      <c r="B443" s="2">
        <v>1935</v>
      </c>
      <c r="C443" s="2" t="s">
        <v>23</v>
      </c>
      <c r="D443" s="3">
        <f t="shared" si="42"/>
        <v>112.13061369640316</v>
      </c>
      <c r="E443" s="3" t="e">
        <f t="shared" si="43"/>
        <v>#N/A</v>
      </c>
      <c r="F443" s="3">
        <f t="shared" si="44"/>
        <v>0.75208290997764671</v>
      </c>
      <c r="G443" s="3">
        <f t="shared" si="45"/>
        <v>3.4085000000000004E-2</v>
      </c>
      <c r="H443" s="3">
        <f t="shared" si="46"/>
        <v>7.8723836618573459</v>
      </c>
      <c r="I443" s="3">
        <f t="shared" si="47"/>
        <v>0.15165799999999999</v>
      </c>
      <c r="J443" s="3">
        <v>112130.61369640316</v>
      </c>
      <c r="K443" s="3" t="e">
        <v>#N/A</v>
      </c>
      <c r="L443" s="3">
        <v>752.08290997764675</v>
      </c>
      <c r="M443" s="3">
        <v>34.085000000000001</v>
      </c>
      <c r="N443" s="3">
        <v>7872.3836618573459</v>
      </c>
      <c r="O443" s="3">
        <v>151.65799999999999</v>
      </c>
      <c r="P443" s="3" t="e">
        <f>E443*(VLOOKUP(B443,Price_data!A$1:B$190,2,FALSE))</f>
        <v>#N/A</v>
      </c>
      <c r="Q443" s="3">
        <f>G443*(VLOOKUP(B443,Price_data!A$1:B$190,2,FALSE))</f>
        <v>1.4401448428680503</v>
      </c>
      <c r="R443" s="3">
        <f>I443*(VLOOKUP(B443,Price_data!A$1:B$190,2,FALSE))</f>
        <v>6.4077889564231398</v>
      </c>
      <c r="S443" s="4" t="str">
        <f>(VLOOKUP(B443,Price_data!A$1:C$190,3,FALSE))</f>
        <v>Open access</v>
      </c>
      <c r="T443" s="2" t="str">
        <f>IF(C443="Total", (VLOOKUP(B443,Recommended_fish_intake!A$4:D$122,4,FALSE)), "NA")</f>
        <v>NA</v>
      </c>
      <c r="U443" s="2" t="str">
        <f t="shared" si="48"/>
        <v>NA</v>
      </c>
    </row>
    <row r="444" spans="1:21" ht="14.25" customHeight="1">
      <c r="A444" s="2" t="s">
        <v>15</v>
      </c>
      <c r="B444" s="2">
        <v>1935</v>
      </c>
      <c r="C444" s="2" t="s">
        <v>19</v>
      </c>
      <c r="D444" s="3">
        <f t="shared" si="42"/>
        <v>288.57117455801665</v>
      </c>
      <c r="E444" s="3" t="e">
        <f t="shared" si="43"/>
        <v>#N/A</v>
      </c>
      <c r="F444" s="3">
        <f t="shared" si="44"/>
        <v>195.26204023572444</v>
      </c>
      <c r="G444" s="3">
        <f t="shared" si="45"/>
        <v>2.5531380000000001</v>
      </c>
      <c r="H444" s="3">
        <f t="shared" si="46"/>
        <v>28.675218451534239</v>
      </c>
      <c r="I444" s="3">
        <f t="shared" si="47"/>
        <v>0.248803</v>
      </c>
      <c r="J444" s="3">
        <v>288571.17455801665</v>
      </c>
      <c r="K444" s="3" t="e">
        <v>#N/A</v>
      </c>
      <c r="L444" s="3">
        <v>195262.04023572445</v>
      </c>
      <c r="M444" s="3">
        <v>2553.1379999999999</v>
      </c>
      <c r="N444" s="3">
        <v>28675.218451534238</v>
      </c>
      <c r="O444" s="3">
        <v>248.803</v>
      </c>
      <c r="P444" s="3" t="e">
        <f>E444*(VLOOKUP(B444,Price_data!A$1:B$190,2,FALSE))</f>
        <v>#N/A</v>
      </c>
      <c r="Q444" s="3">
        <f>G444*(VLOOKUP(B444,Price_data!A$1:B$190,2,FALSE))</f>
        <v>107.87409487547156</v>
      </c>
      <c r="R444" s="3">
        <f>I444*(VLOOKUP(B444,Price_data!A$1:B$190,2,FALSE))</f>
        <v>10.512317950420991</v>
      </c>
      <c r="S444" s="4" t="str">
        <f>(VLOOKUP(B444,Price_data!A$1:C$190,3,FALSE))</f>
        <v>Open access</v>
      </c>
      <c r="T444" s="2" t="str">
        <f>IF(C444="Total", (VLOOKUP(B444,Recommended_fish_intake!A$4:D$122,4,FALSE)), "NA")</f>
        <v>NA</v>
      </c>
      <c r="U444" s="2" t="str">
        <f t="shared" si="48"/>
        <v>NA</v>
      </c>
    </row>
    <row r="445" spans="1:21" ht="14.25" customHeight="1">
      <c r="A445" s="2" t="s">
        <v>15</v>
      </c>
      <c r="B445" s="2">
        <v>1935</v>
      </c>
      <c r="C445" s="2" t="s">
        <v>28</v>
      </c>
      <c r="D445" s="3" t="e">
        <f t="shared" si="42"/>
        <v>#VALUE!</v>
      </c>
      <c r="E445" s="3" t="e">
        <f t="shared" si="43"/>
        <v>#VALUE!</v>
      </c>
      <c r="F445" s="3">
        <f t="shared" si="44"/>
        <v>0.52286120707173334</v>
      </c>
      <c r="G445" s="3">
        <f t="shared" si="45"/>
        <v>1.9469999999999998E-2</v>
      </c>
      <c r="H445" s="3">
        <f t="shared" si="46"/>
        <v>14.170188985978459</v>
      </c>
      <c r="I445" s="3">
        <f t="shared" si="47"/>
        <v>1.164784</v>
      </c>
      <c r="J445" s="3" t="e">
        <v>#VALUE!</v>
      </c>
      <c r="K445" s="3" t="e">
        <v>#VALUE!</v>
      </c>
      <c r="L445" s="3">
        <v>522.86120707173336</v>
      </c>
      <c r="M445" s="3">
        <v>19.47</v>
      </c>
      <c r="N445" s="3">
        <v>14170.188985978459</v>
      </c>
      <c r="O445" s="3">
        <v>1164.7840000000001</v>
      </c>
      <c r="P445" s="3" t="e">
        <f>E445*(VLOOKUP(B445,Price_data!A$1:B$190,2,FALSE))</f>
        <v>#VALUE!</v>
      </c>
      <c r="Q445" s="3">
        <f>G445*(VLOOKUP(B445,Price_data!A$1:B$190,2,FALSE))</f>
        <v>0.82263811326509995</v>
      </c>
      <c r="R445" s="3">
        <f>I445*(VLOOKUP(B445,Price_data!A$1:B$190,2,FALSE))</f>
        <v>49.213955424826722</v>
      </c>
      <c r="S445" s="4" t="str">
        <f>(VLOOKUP(B445,Price_data!A$1:C$190,3,FALSE))</f>
        <v>Open access</v>
      </c>
      <c r="T445" s="2" t="str">
        <f>IF(C445="Total", (VLOOKUP(B445,Recommended_fish_intake!A$4:D$122,4,FALSE)), "NA")</f>
        <v>NA</v>
      </c>
      <c r="U445" s="2" t="e">
        <f t="shared" si="48"/>
        <v>#VALUE!</v>
      </c>
    </row>
    <row r="446" spans="1:21" ht="14.25" customHeight="1">
      <c r="A446" s="2" t="s">
        <v>15</v>
      </c>
      <c r="B446" s="2">
        <v>1935</v>
      </c>
      <c r="C446" s="2" t="s">
        <v>29</v>
      </c>
      <c r="D446" s="3" t="e">
        <f t="shared" si="42"/>
        <v>#VALUE!</v>
      </c>
      <c r="E446" s="3" t="e">
        <f t="shared" si="43"/>
        <v>#VALUE!</v>
      </c>
      <c r="F446" s="3">
        <f t="shared" si="44"/>
        <v>0.20468400731558625</v>
      </c>
      <c r="G446" s="3">
        <f t="shared" si="45"/>
        <v>4.1377000000000004E-2</v>
      </c>
      <c r="H446" s="3">
        <f t="shared" si="46"/>
        <v>54.68014631172526</v>
      </c>
      <c r="I446" s="3">
        <f t="shared" si="47"/>
        <v>4.1889520000000005</v>
      </c>
      <c r="J446" s="3" t="e">
        <v>#VALUE!</v>
      </c>
      <c r="K446" s="3" t="e">
        <v>#VALUE!</v>
      </c>
      <c r="L446" s="3">
        <v>204.68400731558626</v>
      </c>
      <c r="M446" s="3">
        <v>41.377000000000002</v>
      </c>
      <c r="N446" s="3">
        <v>54680.146311725257</v>
      </c>
      <c r="O446" s="3">
        <v>4188.9520000000002</v>
      </c>
      <c r="P446" s="3" t="e">
        <f>E446*(VLOOKUP(B446,Price_data!A$1:B$190,2,FALSE))</f>
        <v>#VALUE!</v>
      </c>
      <c r="Q446" s="3">
        <f>G446*(VLOOKUP(B446,Price_data!A$1:B$190,2,FALSE))</f>
        <v>1.7482433082984103</v>
      </c>
      <c r="R446" s="3">
        <f>I446*(VLOOKUP(B446,Price_data!A$1:B$190,2,FALSE))</f>
        <v>176.98980841489819</v>
      </c>
      <c r="S446" s="4" t="str">
        <f>(VLOOKUP(B446,Price_data!A$1:C$190,3,FALSE))</f>
        <v>Open access</v>
      </c>
      <c r="T446" s="2" t="str">
        <f>IF(C446="Total", (VLOOKUP(B446,Recommended_fish_intake!A$4:D$122,4,FALSE)), "NA")</f>
        <v>NA</v>
      </c>
      <c r="U446" s="2" t="str">
        <f t="shared" si="48"/>
        <v>NA</v>
      </c>
    </row>
    <row r="447" spans="1:21" ht="14.25" customHeight="1">
      <c r="A447" s="2" t="s">
        <v>15</v>
      </c>
      <c r="B447" s="2">
        <v>1935</v>
      </c>
      <c r="C447" s="2" t="s">
        <v>20</v>
      </c>
      <c r="D447" s="3">
        <f t="shared" si="42"/>
        <v>11.617811420442999</v>
      </c>
      <c r="E447" s="3" t="e">
        <f t="shared" si="43"/>
        <v>#N/A</v>
      </c>
      <c r="F447" s="3">
        <f t="shared" si="44"/>
        <v>0.25203210729526515</v>
      </c>
      <c r="G447" s="3">
        <f t="shared" si="45"/>
        <v>6.4689999999999999E-3</v>
      </c>
      <c r="H447" s="3">
        <f t="shared" si="46"/>
        <v>0.58966673440357642</v>
      </c>
      <c r="I447" s="3">
        <f t="shared" si="47"/>
        <v>8.7680000000000015E-3</v>
      </c>
      <c r="J447" s="3">
        <v>11617.811420442998</v>
      </c>
      <c r="K447" s="3" t="e">
        <v>#N/A</v>
      </c>
      <c r="L447" s="3">
        <v>252.03210729526518</v>
      </c>
      <c r="M447" s="3">
        <v>6.4690000000000003</v>
      </c>
      <c r="N447" s="3">
        <v>589.66673440357647</v>
      </c>
      <c r="O447" s="3">
        <v>8.7680000000000007</v>
      </c>
      <c r="P447" s="3" t="e">
        <f>E447*(VLOOKUP(B447,Price_data!A$1:B$190,2,FALSE))</f>
        <v>#N/A</v>
      </c>
      <c r="Q447" s="3">
        <f>G447*(VLOOKUP(B447,Price_data!A$1:B$190,2,FALSE))</f>
        <v>0.27332542140277</v>
      </c>
      <c r="R447" s="3">
        <f>I447*(VLOOKUP(B447,Price_data!A$1:B$190,2,FALSE))</f>
        <v>0.37046178618944009</v>
      </c>
      <c r="S447" s="4" t="str">
        <f>(VLOOKUP(B447,Price_data!A$1:C$190,3,FALSE))</f>
        <v>Open access</v>
      </c>
      <c r="T447" s="2" t="str">
        <f>IF(C447="Total", (VLOOKUP(B447,Recommended_fish_intake!A$4:D$122,4,FALSE)), "NA")</f>
        <v>NA</v>
      </c>
      <c r="U447" s="2" t="str">
        <f t="shared" si="48"/>
        <v>NA</v>
      </c>
    </row>
    <row r="448" spans="1:21" ht="14.25" customHeight="1">
      <c r="A448" s="2" t="s">
        <v>15</v>
      </c>
      <c r="B448" s="2">
        <v>1935</v>
      </c>
      <c r="C448" s="2" t="s">
        <v>25</v>
      </c>
      <c r="D448" s="3">
        <f t="shared" si="42"/>
        <v>29.676590123958544</v>
      </c>
      <c r="E448" s="3" t="e">
        <f t="shared" si="43"/>
        <v>#N/A</v>
      </c>
      <c r="F448" s="3" t="e">
        <f t="shared" si="44"/>
        <v>#N/A</v>
      </c>
      <c r="G448" s="3" t="e">
        <f t="shared" si="45"/>
        <v>#N/A</v>
      </c>
      <c r="H448" s="3" t="e">
        <f t="shared" si="46"/>
        <v>#N/A</v>
      </c>
      <c r="I448" s="3" t="e">
        <f t="shared" si="47"/>
        <v>#N/A</v>
      </c>
      <c r="J448" s="3">
        <v>29676.590123958544</v>
      </c>
      <c r="K448" s="3" t="e">
        <v>#N/A</v>
      </c>
      <c r="L448" s="3" t="e">
        <v>#N/A</v>
      </c>
      <c r="M448" s="3" t="e">
        <v>#N/A</v>
      </c>
      <c r="N448" s="3" t="e">
        <v>#N/A</v>
      </c>
      <c r="O448" s="3" t="e">
        <v>#N/A</v>
      </c>
      <c r="P448" s="3" t="e">
        <f>E448*(VLOOKUP(B448,Price_data!A$1:B$190,2,FALSE))</f>
        <v>#N/A</v>
      </c>
      <c r="Q448" s="3" t="e">
        <f>G448*(VLOOKUP(B448,Price_data!A$1:B$190,2,FALSE))</f>
        <v>#N/A</v>
      </c>
      <c r="R448" s="3" t="e">
        <f>I448*(VLOOKUP(B448,Price_data!A$1:B$190,2,FALSE))</f>
        <v>#N/A</v>
      </c>
      <c r="S448" s="4" t="str">
        <f>(VLOOKUP(B448,Price_data!A$1:C$190,3,FALSE))</f>
        <v>Open access</v>
      </c>
      <c r="T448" s="2" t="str">
        <f>IF(C448="Total", (VLOOKUP(B448,Recommended_fish_intake!A$4:D$122,4,FALSE)), "NA")</f>
        <v>NA</v>
      </c>
      <c r="U448" s="2" t="str">
        <f t="shared" si="48"/>
        <v>NA</v>
      </c>
    </row>
    <row r="449" spans="1:21" ht="14.25" customHeight="1">
      <c r="A449" s="2" t="s">
        <v>15</v>
      </c>
      <c r="B449" s="2">
        <v>1935</v>
      </c>
      <c r="C449" s="2" t="s">
        <v>24</v>
      </c>
      <c r="D449" s="3">
        <f t="shared" si="42"/>
        <v>34.719619995935787</v>
      </c>
      <c r="E449" s="3" t="e">
        <f t="shared" si="43"/>
        <v>#N/A</v>
      </c>
      <c r="F449" s="3" t="e">
        <f t="shared" si="44"/>
        <v>#N/A</v>
      </c>
      <c r="G449" s="3" t="e">
        <f t="shared" si="45"/>
        <v>#N/A</v>
      </c>
      <c r="H449" s="3" t="e">
        <f t="shared" si="46"/>
        <v>#N/A</v>
      </c>
      <c r="I449" s="3" t="e">
        <f t="shared" si="47"/>
        <v>#N/A</v>
      </c>
      <c r="J449" s="3">
        <v>34719.619995935784</v>
      </c>
      <c r="K449" s="3" t="e">
        <v>#N/A</v>
      </c>
      <c r="L449" s="3" t="e">
        <v>#N/A</v>
      </c>
      <c r="M449" s="3" t="e">
        <v>#N/A</v>
      </c>
      <c r="N449" s="3" t="e">
        <v>#N/A</v>
      </c>
      <c r="O449" s="3" t="e">
        <v>#N/A</v>
      </c>
      <c r="P449" s="3" t="e">
        <f>E449*(VLOOKUP(B449,Price_data!A$1:B$190,2,FALSE))</f>
        <v>#N/A</v>
      </c>
      <c r="Q449" s="3" t="e">
        <f>G449*(VLOOKUP(B449,Price_data!A$1:B$190,2,FALSE))</f>
        <v>#N/A</v>
      </c>
      <c r="R449" s="3" t="e">
        <f>I449*(VLOOKUP(B449,Price_data!A$1:B$190,2,FALSE))</f>
        <v>#N/A</v>
      </c>
      <c r="S449" s="4" t="str">
        <f>(VLOOKUP(B449,Price_data!A$1:C$190,3,FALSE))</f>
        <v>Open access</v>
      </c>
      <c r="T449" s="2" t="str">
        <f>IF(C449="Total", (VLOOKUP(B449,Recommended_fish_intake!A$4:D$122,4,FALSE)), "NA")</f>
        <v>NA</v>
      </c>
      <c r="U449" s="2" t="str">
        <f t="shared" si="48"/>
        <v>NA</v>
      </c>
    </row>
    <row r="450" spans="1:21" ht="14.25" customHeight="1">
      <c r="A450" s="2" t="s">
        <v>15</v>
      </c>
      <c r="B450" s="2">
        <v>1935</v>
      </c>
      <c r="C450" s="2" t="s">
        <v>30</v>
      </c>
      <c r="D450" s="3" t="e">
        <f t="shared" ref="D450:D513" si="49">IF(J450="", NA(), J450/1000)</f>
        <v>#N/A</v>
      </c>
      <c r="E450" s="3" t="e">
        <f t="shared" ref="E450:E513" si="50">IF(K450="", NA(), K450/1000)</f>
        <v>#N/A</v>
      </c>
      <c r="F450" s="3" t="e">
        <f t="shared" ref="F450:F513" si="51">IF(L450="", NA(), L450/1000)</f>
        <v>#VALUE!</v>
      </c>
      <c r="G450" s="3" t="e">
        <f t="shared" ref="G450:G513" si="52">IF(M450="", NA(), M450/1000)</f>
        <v>#VALUE!</v>
      </c>
      <c r="H450" s="3">
        <f t="shared" ref="H450:H513" si="53">IF(N450="", NA(), N450/1000)</f>
        <v>1.640367811420443</v>
      </c>
      <c r="I450" s="3">
        <f t="shared" ref="I450:I513" si="54">IF(O450="", NA(), O450/1000)</f>
        <v>7.7148999999999995E-2</v>
      </c>
      <c r="J450" s="3" t="e">
        <v>#N/A</v>
      </c>
      <c r="K450" s="3" t="e">
        <v>#N/A</v>
      </c>
      <c r="L450" s="3" t="e">
        <v>#VALUE!</v>
      </c>
      <c r="M450" s="3" t="e">
        <v>#VALUE!</v>
      </c>
      <c r="N450" s="3">
        <v>1640.3678114204429</v>
      </c>
      <c r="O450" s="3">
        <v>77.149000000000001</v>
      </c>
      <c r="P450" s="3" t="e">
        <f>E450*(VLOOKUP(B450,Price_data!A$1:B$190,2,FALSE))</f>
        <v>#N/A</v>
      </c>
      <c r="Q450" s="3" t="e">
        <f>G450*(VLOOKUP(B450,Price_data!A$1:B$190,2,FALSE))</f>
        <v>#VALUE!</v>
      </c>
      <c r="R450" s="3">
        <f>I450*(VLOOKUP(B450,Price_data!A$1:B$190,2,FALSE))</f>
        <v>3.2596665536871701</v>
      </c>
      <c r="S450" s="4" t="str">
        <f>(VLOOKUP(B450,Price_data!A$1:C$190,3,FALSE))</f>
        <v>Open access</v>
      </c>
      <c r="T450" s="2" t="str">
        <f>IF(C450="Total", (VLOOKUP(B450,Recommended_fish_intake!A$4:D$122,4,FALSE)), "NA")</f>
        <v>NA</v>
      </c>
      <c r="U450" s="2" t="str">
        <f t="shared" ref="U450:U513" si="55">IF(C450="Wet fish", D450*0.49, IF(C450="Shellfish", D450*0.28, "NA"))</f>
        <v>NA</v>
      </c>
    </row>
    <row r="451" spans="1:21" ht="14.25" customHeight="1">
      <c r="A451" s="2" t="s">
        <v>15</v>
      </c>
      <c r="B451" s="2">
        <v>1936</v>
      </c>
      <c r="C451" s="2" t="s">
        <v>16</v>
      </c>
      <c r="D451" s="3">
        <f t="shared" si="49"/>
        <v>1060.631934566145</v>
      </c>
      <c r="E451" s="3">
        <f t="shared" si="50"/>
        <v>17.252929999999999</v>
      </c>
      <c r="F451" s="3">
        <f t="shared" si="51"/>
        <v>230.89549888234097</v>
      </c>
      <c r="G451" s="3">
        <f t="shared" si="52"/>
        <v>3.9548030000000001</v>
      </c>
      <c r="H451" s="3">
        <f t="shared" si="53"/>
        <v>183.84114001219262</v>
      </c>
      <c r="I451" s="3">
        <f t="shared" si="54"/>
        <v>9.391966</v>
      </c>
      <c r="J451" s="3">
        <v>1060631.9345661451</v>
      </c>
      <c r="K451" s="3">
        <v>17252.93</v>
      </c>
      <c r="L451" s="3">
        <v>230895.49888234097</v>
      </c>
      <c r="M451" s="3">
        <v>3954.8029999999999</v>
      </c>
      <c r="N451" s="3">
        <v>183841.14001219263</v>
      </c>
      <c r="O451" s="3">
        <v>9391.9660000000003</v>
      </c>
      <c r="P451" s="3">
        <f>E451*(VLOOKUP(B451,Price_data!A$1:B$190,2,FALSE))</f>
        <v>724.40739837499996</v>
      </c>
      <c r="Q451" s="3">
        <f>G451*(VLOOKUP(B451,Price_data!A$1:B$190,2,FALSE))</f>
        <v>166.0522909625</v>
      </c>
      <c r="R451" s="3">
        <f>I451*(VLOOKUP(B451,Price_data!A$1:B$190,2,FALSE))</f>
        <v>394.34517242499999</v>
      </c>
      <c r="S451" s="4" t="str">
        <f>(VLOOKUP(B451,Price_data!A$1:C$190,3,FALSE))</f>
        <v>Open access</v>
      </c>
      <c r="T451" s="2">
        <f>IF(C451="Total", (VLOOKUP(B451,Recommended_fish_intake!A$4:D$122,4,FALSE)), "NA")</f>
        <v>616.75304156647667</v>
      </c>
      <c r="U451" s="2" t="str">
        <f t="shared" si="55"/>
        <v>NA</v>
      </c>
    </row>
    <row r="452" spans="1:21" ht="14.25" customHeight="1">
      <c r="A452" s="2" t="s">
        <v>15</v>
      </c>
      <c r="B452" s="2">
        <v>1936</v>
      </c>
      <c r="C452" s="2" t="s">
        <v>22</v>
      </c>
      <c r="D452" s="3">
        <f t="shared" si="49"/>
        <v>360.29638284901444</v>
      </c>
      <c r="E452" s="3" t="e">
        <f t="shared" si="50"/>
        <v>#N/A</v>
      </c>
      <c r="F452" s="3" t="e">
        <f t="shared" si="51"/>
        <v>#N/A</v>
      </c>
      <c r="G452" s="3" t="e">
        <f t="shared" si="52"/>
        <v>#N/A</v>
      </c>
      <c r="H452" s="3" t="e">
        <f t="shared" si="53"/>
        <v>#N/A</v>
      </c>
      <c r="I452" s="3" t="e">
        <f t="shared" si="54"/>
        <v>#N/A</v>
      </c>
      <c r="J452" s="3">
        <v>360296.38284901442</v>
      </c>
      <c r="K452" s="3" t="e">
        <v>#N/A</v>
      </c>
      <c r="L452" s="3" t="e">
        <v>#N/A</v>
      </c>
      <c r="M452" s="3" t="e">
        <v>#N/A</v>
      </c>
      <c r="N452" s="3" t="e">
        <v>#N/A</v>
      </c>
      <c r="O452" s="3" t="e">
        <v>#N/A</v>
      </c>
      <c r="P452" s="3" t="e">
        <f>E452*(VLOOKUP(B452,Price_data!A$1:B$190,2,FALSE))</f>
        <v>#N/A</v>
      </c>
      <c r="Q452" s="3" t="e">
        <f>G452*(VLOOKUP(B452,Price_data!A$1:B$190,2,FALSE))</f>
        <v>#N/A</v>
      </c>
      <c r="R452" s="3" t="e">
        <f>I452*(VLOOKUP(B452,Price_data!A$1:B$190,2,FALSE))</f>
        <v>#N/A</v>
      </c>
      <c r="S452" s="4" t="str">
        <f>(VLOOKUP(B452,Price_data!A$1:C$190,3,FALSE))</f>
        <v>Open access</v>
      </c>
      <c r="T452" s="2" t="str">
        <f>IF(C452="Total", (VLOOKUP(B452,Recommended_fish_intake!A$4:D$122,4,FALSE)), "NA")</f>
        <v>NA</v>
      </c>
      <c r="U452" s="2" t="str">
        <f t="shared" si="55"/>
        <v>NA</v>
      </c>
    </row>
    <row r="453" spans="1:21" ht="14.25" customHeight="1">
      <c r="A453" s="2" t="s">
        <v>15</v>
      </c>
      <c r="B453" s="2">
        <v>1936</v>
      </c>
      <c r="C453" s="2" t="s">
        <v>23</v>
      </c>
      <c r="D453" s="3">
        <f t="shared" si="49"/>
        <v>117.86847185531396</v>
      </c>
      <c r="E453" s="3" t="e">
        <f t="shared" si="50"/>
        <v>#N/A</v>
      </c>
      <c r="F453" s="3" t="e">
        <f t="shared" si="51"/>
        <v>#N/A</v>
      </c>
      <c r="G453" s="3" t="e">
        <f t="shared" si="52"/>
        <v>#N/A</v>
      </c>
      <c r="H453" s="3" t="e">
        <f t="shared" si="53"/>
        <v>#N/A</v>
      </c>
      <c r="I453" s="3" t="e">
        <f t="shared" si="54"/>
        <v>#N/A</v>
      </c>
      <c r="J453" s="3">
        <v>117868.47185531395</v>
      </c>
      <c r="K453" s="3" t="e">
        <v>#N/A</v>
      </c>
      <c r="L453" s="3" t="e">
        <v>#N/A</v>
      </c>
      <c r="M453" s="3" t="e">
        <v>#N/A</v>
      </c>
      <c r="N453" s="3" t="e">
        <v>#N/A</v>
      </c>
      <c r="O453" s="3" t="e">
        <v>#N/A</v>
      </c>
      <c r="P453" s="3" t="e">
        <f>E453*(VLOOKUP(B453,Price_data!A$1:B$190,2,FALSE))</f>
        <v>#N/A</v>
      </c>
      <c r="Q453" s="3" t="e">
        <f>G453*(VLOOKUP(B453,Price_data!A$1:B$190,2,FALSE))</f>
        <v>#N/A</v>
      </c>
      <c r="R453" s="3" t="e">
        <f>I453*(VLOOKUP(B453,Price_data!A$1:B$190,2,FALSE))</f>
        <v>#N/A</v>
      </c>
      <c r="S453" s="4" t="str">
        <f>(VLOOKUP(B453,Price_data!A$1:C$190,3,FALSE))</f>
        <v>Open access</v>
      </c>
      <c r="T453" s="2" t="str">
        <f>IF(C453="Total", (VLOOKUP(B453,Recommended_fish_intake!A$4:D$122,4,FALSE)), "NA")</f>
        <v>NA</v>
      </c>
      <c r="U453" s="2" t="str">
        <f t="shared" si="55"/>
        <v>NA</v>
      </c>
    </row>
    <row r="454" spans="1:21" ht="14.25" customHeight="1">
      <c r="A454" s="2" t="s">
        <v>15</v>
      </c>
      <c r="B454" s="2">
        <v>1936</v>
      </c>
      <c r="C454" s="2" t="s">
        <v>19</v>
      </c>
      <c r="D454" s="3">
        <f t="shared" si="49"/>
        <v>282.35384068278807</v>
      </c>
      <c r="E454" s="3" t="e">
        <f t="shared" si="50"/>
        <v>#N/A</v>
      </c>
      <c r="F454" s="3" t="e">
        <f t="shared" si="51"/>
        <v>#N/A</v>
      </c>
      <c r="G454" s="3" t="e">
        <f t="shared" si="52"/>
        <v>#N/A</v>
      </c>
      <c r="H454" s="3" t="e">
        <f t="shared" si="53"/>
        <v>#N/A</v>
      </c>
      <c r="I454" s="3" t="e">
        <f t="shared" si="54"/>
        <v>#N/A</v>
      </c>
      <c r="J454" s="3">
        <v>282353.84068278805</v>
      </c>
      <c r="K454" s="3" t="e">
        <v>#N/A</v>
      </c>
      <c r="L454" s="3" t="e">
        <v>#N/A</v>
      </c>
      <c r="M454" s="3" t="e">
        <v>#N/A</v>
      </c>
      <c r="N454" s="3" t="e">
        <v>#N/A</v>
      </c>
      <c r="O454" s="3" t="e">
        <v>#N/A</v>
      </c>
      <c r="P454" s="3" t="e">
        <f>E454*(VLOOKUP(B454,Price_data!A$1:B$190,2,FALSE))</f>
        <v>#N/A</v>
      </c>
      <c r="Q454" s="3" t="e">
        <f>G454*(VLOOKUP(B454,Price_data!A$1:B$190,2,FALSE))</f>
        <v>#N/A</v>
      </c>
      <c r="R454" s="3" t="e">
        <f>I454*(VLOOKUP(B454,Price_data!A$1:B$190,2,FALSE))</f>
        <v>#N/A</v>
      </c>
      <c r="S454" s="4" t="str">
        <f>(VLOOKUP(B454,Price_data!A$1:C$190,3,FALSE))</f>
        <v>Open access</v>
      </c>
      <c r="T454" s="2" t="str">
        <f>IF(C454="Total", (VLOOKUP(B454,Recommended_fish_intake!A$4:D$122,4,FALSE)), "NA")</f>
        <v>NA</v>
      </c>
      <c r="U454" s="2" t="str">
        <f t="shared" si="55"/>
        <v>NA</v>
      </c>
    </row>
    <row r="455" spans="1:21" ht="14.25" customHeight="1">
      <c r="A455" s="2" t="s">
        <v>15</v>
      </c>
      <c r="B455" s="2">
        <v>1936</v>
      </c>
      <c r="C455" s="2" t="s">
        <v>28</v>
      </c>
      <c r="D455" s="3" t="e">
        <f t="shared" si="49"/>
        <v>#VALUE!</v>
      </c>
      <c r="E455" s="3" t="e">
        <f t="shared" si="50"/>
        <v>#VALUE!</v>
      </c>
      <c r="F455" s="3" t="e">
        <f t="shared" si="51"/>
        <v>#N/A</v>
      </c>
      <c r="G455" s="3" t="e">
        <f t="shared" si="52"/>
        <v>#N/A</v>
      </c>
      <c r="H455" s="3" t="e">
        <f t="shared" si="53"/>
        <v>#N/A</v>
      </c>
      <c r="I455" s="3" t="e">
        <f t="shared" si="54"/>
        <v>#N/A</v>
      </c>
      <c r="J455" s="3" t="e">
        <v>#VALUE!</v>
      </c>
      <c r="K455" s="3" t="e">
        <v>#VALUE!</v>
      </c>
      <c r="L455" s="3" t="e">
        <v>#N/A</v>
      </c>
      <c r="M455" s="3" t="e">
        <v>#N/A</v>
      </c>
      <c r="N455" s="3" t="e">
        <v>#N/A</v>
      </c>
      <c r="O455" s="3" t="e">
        <v>#N/A</v>
      </c>
      <c r="P455" s="3" t="e">
        <f>E455*(VLOOKUP(B455,Price_data!A$1:B$190,2,FALSE))</f>
        <v>#VALUE!</v>
      </c>
      <c r="Q455" s="3" t="e">
        <f>G455*(VLOOKUP(B455,Price_data!A$1:B$190,2,FALSE))</f>
        <v>#N/A</v>
      </c>
      <c r="R455" s="3" t="e">
        <f>I455*(VLOOKUP(B455,Price_data!A$1:B$190,2,FALSE))</f>
        <v>#N/A</v>
      </c>
      <c r="S455" s="4" t="str">
        <f>(VLOOKUP(B455,Price_data!A$1:C$190,3,FALSE))</f>
        <v>Open access</v>
      </c>
      <c r="T455" s="2" t="str">
        <f>IF(C455="Total", (VLOOKUP(B455,Recommended_fish_intake!A$4:D$122,4,FALSE)), "NA")</f>
        <v>NA</v>
      </c>
      <c r="U455" s="2" t="e">
        <f t="shared" si="55"/>
        <v>#VALUE!</v>
      </c>
    </row>
    <row r="456" spans="1:21" ht="14.25" customHeight="1">
      <c r="A456" s="2" t="s">
        <v>15</v>
      </c>
      <c r="B456" s="2">
        <v>1936</v>
      </c>
      <c r="C456" s="2" t="s">
        <v>29</v>
      </c>
      <c r="D456" s="3" t="e">
        <f t="shared" si="49"/>
        <v>#VALUE!</v>
      </c>
      <c r="E456" s="3" t="e">
        <f t="shared" si="50"/>
        <v>#VALUE!</v>
      </c>
      <c r="F456" s="3" t="e">
        <f t="shared" si="51"/>
        <v>#N/A</v>
      </c>
      <c r="G456" s="3" t="e">
        <f t="shared" si="52"/>
        <v>#N/A</v>
      </c>
      <c r="H456" s="3" t="e">
        <f t="shared" si="53"/>
        <v>#N/A</v>
      </c>
      <c r="I456" s="3" t="e">
        <f t="shared" si="54"/>
        <v>#N/A</v>
      </c>
      <c r="J456" s="3" t="e">
        <v>#VALUE!</v>
      </c>
      <c r="K456" s="3" t="e">
        <v>#VALUE!</v>
      </c>
      <c r="L456" s="3" t="e">
        <v>#N/A</v>
      </c>
      <c r="M456" s="3" t="e">
        <v>#N/A</v>
      </c>
      <c r="N456" s="3" t="e">
        <v>#N/A</v>
      </c>
      <c r="O456" s="3" t="e">
        <v>#N/A</v>
      </c>
      <c r="P456" s="3" t="e">
        <f>E456*(VLOOKUP(B456,Price_data!A$1:B$190,2,FALSE))</f>
        <v>#VALUE!</v>
      </c>
      <c r="Q456" s="3" t="e">
        <f>G456*(VLOOKUP(B456,Price_data!A$1:B$190,2,FALSE))</f>
        <v>#N/A</v>
      </c>
      <c r="R456" s="3" t="e">
        <f>I456*(VLOOKUP(B456,Price_data!A$1:B$190,2,FALSE))</f>
        <v>#N/A</v>
      </c>
      <c r="S456" s="4" t="str">
        <f>(VLOOKUP(B456,Price_data!A$1:C$190,3,FALSE))</f>
        <v>Open access</v>
      </c>
      <c r="T456" s="2" t="str">
        <f>IF(C456="Total", (VLOOKUP(B456,Recommended_fish_intake!A$4:D$122,4,FALSE)), "NA")</f>
        <v>NA</v>
      </c>
      <c r="U456" s="2" t="str">
        <f t="shared" si="55"/>
        <v>NA</v>
      </c>
    </row>
    <row r="457" spans="1:21" ht="14.25" customHeight="1">
      <c r="A457" s="2" t="s">
        <v>15</v>
      </c>
      <c r="B457" s="2">
        <v>1936</v>
      </c>
      <c r="C457" s="2" t="s">
        <v>20</v>
      </c>
      <c r="D457" s="3">
        <f t="shared" si="49"/>
        <v>12.635439951229424</v>
      </c>
      <c r="E457" s="3" t="e">
        <f t="shared" si="50"/>
        <v>#N/A</v>
      </c>
      <c r="F457" s="3" t="e">
        <f t="shared" si="51"/>
        <v>#N/A</v>
      </c>
      <c r="G457" s="3" t="e">
        <f t="shared" si="52"/>
        <v>#N/A</v>
      </c>
      <c r="H457" s="3" t="e">
        <f t="shared" si="53"/>
        <v>#N/A</v>
      </c>
      <c r="I457" s="3" t="e">
        <f t="shared" si="54"/>
        <v>#N/A</v>
      </c>
      <c r="J457" s="3">
        <v>12635.439951229424</v>
      </c>
      <c r="K457" s="3" t="e">
        <v>#N/A</v>
      </c>
      <c r="L457" s="3" t="e">
        <v>#N/A</v>
      </c>
      <c r="M457" s="3" t="e">
        <v>#N/A</v>
      </c>
      <c r="N457" s="3" t="e">
        <v>#N/A</v>
      </c>
      <c r="O457" s="3" t="e">
        <v>#N/A</v>
      </c>
      <c r="P457" s="3" t="e">
        <f>E457*(VLOOKUP(B457,Price_data!A$1:B$190,2,FALSE))</f>
        <v>#N/A</v>
      </c>
      <c r="Q457" s="3" t="e">
        <f>G457*(VLOOKUP(B457,Price_data!A$1:B$190,2,FALSE))</f>
        <v>#N/A</v>
      </c>
      <c r="R457" s="3" t="e">
        <f>I457*(VLOOKUP(B457,Price_data!A$1:B$190,2,FALSE))</f>
        <v>#N/A</v>
      </c>
      <c r="S457" s="4" t="str">
        <f>(VLOOKUP(B457,Price_data!A$1:C$190,3,FALSE))</f>
        <v>Open access</v>
      </c>
      <c r="T457" s="2" t="str">
        <f>IF(C457="Total", (VLOOKUP(B457,Recommended_fish_intake!A$4:D$122,4,FALSE)), "NA")</f>
        <v>NA</v>
      </c>
      <c r="U457" s="2" t="str">
        <f t="shared" si="55"/>
        <v>NA</v>
      </c>
    </row>
    <row r="458" spans="1:21" ht="14.25" customHeight="1">
      <c r="A458" s="2" t="s">
        <v>15</v>
      </c>
      <c r="B458" s="2">
        <v>1936</v>
      </c>
      <c r="C458" s="2" t="s">
        <v>25</v>
      </c>
      <c r="D458" s="3">
        <f t="shared" si="49"/>
        <v>31.572495427758586</v>
      </c>
      <c r="E458" s="3" t="e">
        <f t="shared" si="50"/>
        <v>#N/A</v>
      </c>
      <c r="F458" s="3" t="e">
        <f t="shared" si="51"/>
        <v>#N/A</v>
      </c>
      <c r="G458" s="3" t="e">
        <f t="shared" si="52"/>
        <v>#N/A</v>
      </c>
      <c r="H458" s="3" t="e">
        <f t="shared" si="53"/>
        <v>#N/A</v>
      </c>
      <c r="I458" s="3" t="e">
        <f t="shared" si="54"/>
        <v>#N/A</v>
      </c>
      <c r="J458" s="3">
        <v>31572.495427758586</v>
      </c>
      <c r="K458" s="3" t="e">
        <v>#N/A</v>
      </c>
      <c r="L458" s="3" t="e">
        <v>#N/A</v>
      </c>
      <c r="M458" s="3" t="e">
        <v>#N/A</v>
      </c>
      <c r="N458" s="3" t="e">
        <v>#N/A</v>
      </c>
      <c r="O458" s="3" t="e">
        <v>#N/A</v>
      </c>
      <c r="P458" s="3" t="e">
        <f>E458*(VLOOKUP(B458,Price_data!A$1:B$190,2,FALSE))</f>
        <v>#N/A</v>
      </c>
      <c r="Q458" s="3" t="e">
        <f>G458*(VLOOKUP(B458,Price_data!A$1:B$190,2,FALSE))</f>
        <v>#N/A</v>
      </c>
      <c r="R458" s="3" t="e">
        <f>I458*(VLOOKUP(B458,Price_data!A$1:B$190,2,FALSE))</f>
        <v>#N/A</v>
      </c>
      <c r="S458" s="4" t="str">
        <f>(VLOOKUP(B458,Price_data!A$1:C$190,3,FALSE))</f>
        <v>Open access</v>
      </c>
      <c r="T458" s="2" t="str">
        <f>IF(C458="Total", (VLOOKUP(B458,Recommended_fish_intake!A$4:D$122,4,FALSE)), "NA")</f>
        <v>NA</v>
      </c>
      <c r="U458" s="2" t="str">
        <f t="shared" si="55"/>
        <v>NA</v>
      </c>
    </row>
    <row r="459" spans="1:21" ht="14.25" customHeight="1">
      <c r="A459" s="2" t="s">
        <v>15</v>
      </c>
      <c r="B459" s="2">
        <v>1936</v>
      </c>
      <c r="C459" s="2" t="s">
        <v>24</v>
      </c>
      <c r="D459" s="3">
        <f t="shared" si="49"/>
        <v>29.0387116439748</v>
      </c>
      <c r="E459" s="3" t="e">
        <f t="shared" si="50"/>
        <v>#N/A</v>
      </c>
      <c r="F459" s="3" t="e">
        <f t="shared" si="51"/>
        <v>#N/A</v>
      </c>
      <c r="G459" s="3" t="e">
        <f t="shared" si="52"/>
        <v>#N/A</v>
      </c>
      <c r="H459" s="3" t="e">
        <f t="shared" si="53"/>
        <v>#N/A</v>
      </c>
      <c r="I459" s="3" t="e">
        <f t="shared" si="54"/>
        <v>#N/A</v>
      </c>
      <c r="J459" s="3">
        <v>29038.711643974799</v>
      </c>
      <c r="K459" s="3" t="e">
        <v>#N/A</v>
      </c>
      <c r="L459" s="3" t="e">
        <v>#N/A</v>
      </c>
      <c r="M459" s="3" t="e">
        <v>#N/A</v>
      </c>
      <c r="N459" s="3" t="e">
        <v>#N/A</v>
      </c>
      <c r="O459" s="3" t="e">
        <v>#N/A</v>
      </c>
      <c r="P459" s="3" t="e">
        <f>E459*(VLOOKUP(B459,Price_data!A$1:B$190,2,FALSE))</f>
        <v>#N/A</v>
      </c>
      <c r="Q459" s="3" t="e">
        <f>G459*(VLOOKUP(B459,Price_data!A$1:B$190,2,FALSE))</f>
        <v>#N/A</v>
      </c>
      <c r="R459" s="3" t="e">
        <f>I459*(VLOOKUP(B459,Price_data!A$1:B$190,2,FALSE))</f>
        <v>#N/A</v>
      </c>
      <c r="S459" s="4" t="str">
        <f>(VLOOKUP(B459,Price_data!A$1:C$190,3,FALSE))</f>
        <v>Open access</v>
      </c>
      <c r="T459" s="2" t="str">
        <f>IF(C459="Total", (VLOOKUP(B459,Recommended_fish_intake!A$4:D$122,4,FALSE)), "NA")</f>
        <v>NA</v>
      </c>
      <c r="U459" s="2" t="str">
        <f t="shared" si="55"/>
        <v>NA</v>
      </c>
    </row>
    <row r="460" spans="1:21" ht="14.25" customHeight="1">
      <c r="A460" s="2" t="s">
        <v>15</v>
      </c>
      <c r="B460" s="2">
        <v>1936</v>
      </c>
      <c r="C460" s="2" t="s">
        <v>30</v>
      </c>
      <c r="D460" s="3" t="e">
        <f t="shared" si="49"/>
        <v>#N/A</v>
      </c>
      <c r="E460" s="3" t="e">
        <f t="shared" si="50"/>
        <v>#N/A</v>
      </c>
      <c r="F460" s="3" t="e">
        <f t="shared" si="51"/>
        <v>#N/A</v>
      </c>
      <c r="G460" s="3" t="e">
        <f t="shared" si="52"/>
        <v>#N/A</v>
      </c>
      <c r="H460" s="3" t="e">
        <f t="shared" si="53"/>
        <v>#N/A</v>
      </c>
      <c r="I460" s="3" t="e">
        <f t="shared" si="54"/>
        <v>#N/A</v>
      </c>
      <c r="J460" s="3" t="e">
        <v>#N/A</v>
      </c>
      <c r="K460" s="3" t="e">
        <v>#N/A</v>
      </c>
      <c r="L460" s="3" t="e">
        <v>#N/A</v>
      </c>
      <c r="M460" s="3" t="e">
        <v>#N/A</v>
      </c>
      <c r="N460" s="3" t="e">
        <v>#N/A</v>
      </c>
      <c r="O460" s="3" t="e">
        <v>#N/A</v>
      </c>
      <c r="P460" s="3" t="e">
        <f>E460*(VLOOKUP(B460,Price_data!A$1:B$190,2,FALSE))</f>
        <v>#N/A</v>
      </c>
      <c r="Q460" s="3" t="e">
        <f>G460*(VLOOKUP(B460,Price_data!A$1:B$190,2,FALSE))</f>
        <v>#N/A</v>
      </c>
      <c r="R460" s="3" t="e">
        <f>I460*(VLOOKUP(B460,Price_data!A$1:B$190,2,FALSE))</f>
        <v>#N/A</v>
      </c>
      <c r="S460" s="4" t="str">
        <f>(VLOOKUP(B460,Price_data!A$1:C$190,3,FALSE))</f>
        <v>Open access</v>
      </c>
      <c r="T460" s="2" t="str">
        <f>IF(C460="Total", (VLOOKUP(B460,Recommended_fish_intake!A$4:D$122,4,FALSE)), "NA")</f>
        <v>NA</v>
      </c>
      <c r="U460" s="2" t="str">
        <f t="shared" si="55"/>
        <v>NA</v>
      </c>
    </row>
    <row r="461" spans="1:21" ht="14.25" customHeight="1">
      <c r="A461" s="2" t="s">
        <v>15</v>
      </c>
      <c r="B461" s="2">
        <v>1937</v>
      </c>
      <c r="C461" s="2" t="s">
        <v>16</v>
      </c>
      <c r="D461" s="3">
        <f t="shared" si="49"/>
        <v>1104.2663584637269</v>
      </c>
      <c r="E461" s="3">
        <f t="shared" si="50"/>
        <v>15.889165</v>
      </c>
      <c r="F461" s="3">
        <f t="shared" si="51"/>
        <v>204.16988416988417</v>
      </c>
      <c r="G461" s="3">
        <f t="shared" si="52"/>
        <v>3.7351990000000002</v>
      </c>
      <c r="H461" s="3">
        <f t="shared" si="53"/>
        <v>187.41780125990653</v>
      </c>
      <c r="I461" s="3">
        <f t="shared" si="54"/>
        <v>10.185932000000001</v>
      </c>
      <c r="J461" s="3">
        <v>1104266.3584637269</v>
      </c>
      <c r="K461" s="3">
        <v>15889.165000000001</v>
      </c>
      <c r="L461" s="3">
        <v>204169.88416988417</v>
      </c>
      <c r="M461" s="3">
        <v>3735.1990000000001</v>
      </c>
      <c r="N461" s="3">
        <v>187417.80125990653</v>
      </c>
      <c r="O461" s="3">
        <v>10185.932000000001</v>
      </c>
      <c r="P461" s="3">
        <f>E461*(VLOOKUP(B461,Price_data!A$1:B$190,2,FALSE))</f>
        <v>643.0325932234008</v>
      </c>
      <c r="Q461" s="3">
        <f>G461*(VLOOKUP(B461,Price_data!A$1:B$190,2,FALSE))</f>
        <v>151.1630535132245</v>
      </c>
      <c r="R461" s="3">
        <f>I461*(VLOOKUP(B461,Price_data!A$1:B$190,2,FALSE))</f>
        <v>412.22344083891267</v>
      </c>
      <c r="S461" s="4" t="str">
        <f>(VLOOKUP(B461,Price_data!A$1:C$190,3,FALSE))</f>
        <v>Open access</v>
      </c>
      <c r="T461" s="2">
        <f>IF(C461="Total", (VLOOKUP(B461,Recommended_fish_intake!A$4:D$122,4,FALSE)), "NA")</f>
        <v>619.46861878113998</v>
      </c>
      <c r="U461" s="2" t="str">
        <f t="shared" si="55"/>
        <v>NA</v>
      </c>
    </row>
    <row r="462" spans="1:21" ht="14.25" customHeight="1">
      <c r="A462" s="2" t="s">
        <v>15</v>
      </c>
      <c r="B462" s="2">
        <v>1937</v>
      </c>
      <c r="C462" s="2" t="s">
        <v>22</v>
      </c>
      <c r="D462" s="3">
        <f t="shared" si="49"/>
        <v>381.55623856939644</v>
      </c>
      <c r="E462" s="3" t="e">
        <f t="shared" si="50"/>
        <v>#N/A</v>
      </c>
      <c r="F462" s="3" t="e">
        <f t="shared" si="51"/>
        <v>#N/A</v>
      </c>
      <c r="G462" s="3" t="e">
        <f t="shared" si="52"/>
        <v>#N/A</v>
      </c>
      <c r="H462" s="3" t="e">
        <f t="shared" si="53"/>
        <v>#N/A</v>
      </c>
      <c r="I462" s="3" t="e">
        <f t="shared" si="54"/>
        <v>#N/A</v>
      </c>
      <c r="J462" s="3">
        <v>381556.23856939643</v>
      </c>
      <c r="K462" s="3" t="e">
        <v>#N/A</v>
      </c>
      <c r="L462" s="3" t="e">
        <v>#N/A</v>
      </c>
      <c r="M462" s="3" t="e">
        <v>#N/A</v>
      </c>
      <c r="N462" s="3" t="e">
        <v>#N/A</v>
      </c>
      <c r="O462" s="3" t="e">
        <v>#N/A</v>
      </c>
      <c r="P462" s="3" t="e">
        <f>E462*(VLOOKUP(B462,Price_data!A$1:B$190,2,FALSE))</f>
        <v>#N/A</v>
      </c>
      <c r="Q462" s="3" t="e">
        <f>G462*(VLOOKUP(B462,Price_data!A$1:B$190,2,FALSE))</f>
        <v>#N/A</v>
      </c>
      <c r="R462" s="3" t="e">
        <f>I462*(VLOOKUP(B462,Price_data!A$1:B$190,2,FALSE))</f>
        <v>#N/A</v>
      </c>
      <c r="S462" s="4" t="str">
        <f>(VLOOKUP(B462,Price_data!A$1:C$190,3,FALSE))</f>
        <v>Open access</v>
      </c>
      <c r="T462" s="2" t="str">
        <f>IF(C462="Total", (VLOOKUP(B462,Recommended_fish_intake!A$4:D$122,4,FALSE)), "NA")</f>
        <v>NA</v>
      </c>
      <c r="U462" s="2" t="str">
        <f t="shared" si="55"/>
        <v>NA</v>
      </c>
    </row>
    <row r="463" spans="1:21" ht="14.25" customHeight="1">
      <c r="A463" s="2" t="s">
        <v>15</v>
      </c>
      <c r="B463" s="2">
        <v>1937</v>
      </c>
      <c r="C463" s="2" t="s">
        <v>23</v>
      </c>
      <c r="D463" s="3">
        <f t="shared" si="49"/>
        <v>151.25685836212151</v>
      </c>
      <c r="E463" s="3" t="e">
        <f t="shared" si="50"/>
        <v>#N/A</v>
      </c>
      <c r="F463" s="3" t="e">
        <f t="shared" si="51"/>
        <v>#N/A</v>
      </c>
      <c r="G463" s="3" t="e">
        <f t="shared" si="52"/>
        <v>#N/A</v>
      </c>
      <c r="H463" s="3" t="e">
        <f t="shared" si="53"/>
        <v>#N/A</v>
      </c>
      <c r="I463" s="3" t="e">
        <f t="shared" si="54"/>
        <v>#N/A</v>
      </c>
      <c r="J463" s="3">
        <v>151256.85836212151</v>
      </c>
      <c r="K463" s="3" t="e">
        <v>#N/A</v>
      </c>
      <c r="L463" s="3" t="e">
        <v>#N/A</v>
      </c>
      <c r="M463" s="3" t="e">
        <v>#N/A</v>
      </c>
      <c r="N463" s="3" t="e">
        <v>#N/A</v>
      </c>
      <c r="O463" s="3" t="e">
        <v>#N/A</v>
      </c>
      <c r="P463" s="3" t="e">
        <f>E463*(VLOOKUP(B463,Price_data!A$1:B$190,2,FALSE))</f>
        <v>#N/A</v>
      </c>
      <c r="Q463" s="3" t="e">
        <f>G463*(VLOOKUP(B463,Price_data!A$1:B$190,2,FALSE))</f>
        <v>#N/A</v>
      </c>
      <c r="R463" s="3" t="e">
        <f>I463*(VLOOKUP(B463,Price_data!A$1:B$190,2,FALSE))</f>
        <v>#N/A</v>
      </c>
      <c r="S463" s="4" t="str">
        <f>(VLOOKUP(B463,Price_data!A$1:C$190,3,FALSE))</f>
        <v>Open access</v>
      </c>
      <c r="T463" s="2" t="str">
        <f>IF(C463="Total", (VLOOKUP(B463,Recommended_fish_intake!A$4:D$122,4,FALSE)), "NA")</f>
        <v>NA</v>
      </c>
      <c r="U463" s="2" t="str">
        <f t="shared" si="55"/>
        <v>NA</v>
      </c>
    </row>
    <row r="464" spans="1:21" ht="14.25" customHeight="1">
      <c r="A464" s="2" t="s">
        <v>15</v>
      </c>
      <c r="B464" s="2">
        <v>1937</v>
      </c>
      <c r="C464" s="2" t="s">
        <v>19</v>
      </c>
      <c r="D464" s="3">
        <f t="shared" si="49"/>
        <v>280.21103434261329</v>
      </c>
      <c r="E464" s="3" t="e">
        <f t="shared" si="50"/>
        <v>#N/A</v>
      </c>
      <c r="F464" s="3" t="e">
        <f t="shared" si="51"/>
        <v>#N/A</v>
      </c>
      <c r="G464" s="3" t="e">
        <f t="shared" si="52"/>
        <v>#N/A</v>
      </c>
      <c r="H464" s="3" t="e">
        <f t="shared" si="53"/>
        <v>#N/A</v>
      </c>
      <c r="I464" s="3" t="e">
        <f t="shared" si="54"/>
        <v>#N/A</v>
      </c>
      <c r="J464" s="3">
        <v>280211.0343426133</v>
      </c>
      <c r="K464" s="3" t="e">
        <v>#N/A</v>
      </c>
      <c r="L464" s="3" t="e">
        <v>#N/A</v>
      </c>
      <c r="M464" s="3" t="e">
        <v>#N/A</v>
      </c>
      <c r="N464" s="3" t="e">
        <v>#N/A</v>
      </c>
      <c r="O464" s="3" t="e">
        <v>#N/A</v>
      </c>
      <c r="P464" s="3" t="e">
        <f>E464*(VLOOKUP(B464,Price_data!A$1:B$190,2,FALSE))</f>
        <v>#N/A</v>
      </c>
      <c r="Q464" s="3" t="e">
        <f>G464*(VLOOKUP(B464,Price_data!A$1:B$190,2,FALSE))</f>
        <v>#N/A</v>
      </c>
      <c r="R464" s="3" t="e">
        <f>I464*(VLOOKUP(B464,Price_data!A$1:B$190,2,FALSE))</f>
        <v>#N/A</v>
      </c>
      <c r="S464" s="4" t="str">
        <f>(VLOOKUP(B464,Price_data!A$1:C$190,3,FALSE))</f>
        <v>Open access</v>
      </c>
      <c r="T464" s="2" t="str">
        <f>IF(C464="Total", (VLOOKUP(B464,Recommended_fish_intake!A$4:D$122,4,FALSE)), "NA")</f>
        <v>NA</v>
      </c>
      <c r="U464" s="2" t="str">
        <f t="shared" si="55"/>
        <v>NA</v>
      </c>
    </row>
    <row r="465" spans="1:21" ht="14.25" customHeight="1">
      <c r="A465" s="2" t="s">
        <v>15</v>
      </c>
      <c r="B465" s="2">
        <v>1937</v>
      </c>
      <c r="C465" s="2" t="s">
        <v>28</v>
      </c>
      <c r="D465" s="3" t="e">
        <f t="shared" si="49"/>
        <v>#VALUE!</v>
      </c>
      <c r="E465" s="3" t="e">
        <f t="shared" si="50"/>
        <v>#VALUE!</v>
      </c>
      <c r="F465" s="3" t="e">
        <f t="shared" si="51"/>
        <v>#N/A</v>
      </c>
      <c r="G465" s="3" t="e">
        <f t="shared" si="52"/>
        <v>#N/A</v>
      </c>
      <c r="H465" s="3" t="e">
        <f t="shared" si="53"/>
        <v>#N/A</v>
      </c>
      <c r="I465" s="3" t="e">
        <f t="shared" si="54"/>
        <v>#N/A</v>
      </c>
      <c r="J465" s="3" t="e">
        <v>#VALUE!</v>
      </c>
      <c r="K465" s="3" t="e">
        <v>#VALUE!</v>
      </c>
      <c r="L465" s="3" t="e">
        <v>#N/A</v>
      </c>
      <c r="M465" s="3" t="e">
        <v>#N/A</v>
      </c>
      <c r="N465" s="3" t="e">
        <v>#N/A</v>
      </c>
      <c r="O465" s="3" t="e">
        <v>#N/A</v>
      </c>
      <c r="P465" s="3" t="e">
        <f>E465*(VLOOKUP(B465,Price_data!A$1:B$190,2,FALSE))</f>
        <v>#VALUE!</v>
      </c>
      <c r="Q465" s="3" t="e">
        <f>G465*(VLOOKUP(B465,Price_data!A$1:B$190,2,FALSE))</f>
        <v>#N/A</v>
      </c>
      <c r="R465" s="3" t="e">
        <f>I465*(VLOOKUP(B465,Price_data!A$1:B$190,2,FALSE))</f>
        <v>#N/A</v>
      </c>
      <c r="S465" s="4" t="str">
        <f>(VLOOKUP(B465,Price_data!A$1:C$190,3,FALSE))</f>
        <v>Open access</v>
      </c>
      <c r="T465" s="2" t="str">
        <f>IF(C465="Total", (VLOOKUP(B465,Recommended_fish_intake!A$4:D$122,4,FALSE)), "NA")</f>
        <v>NA</v>
      </c>
      <c r="U465" s="2" t="e">
        <f t="shared" si="55"/>
        <v>#VALUE!</v>
      </c>
    </row>
    <row r="466" spans="1:21" ht="14.25" customHeight="1">
      <c r="A466" s="2" t="s">
        <v>15</v>
      </c>
      <c r="B466" s="2">
        <v>1937</v>
      </c>
      <c r="C466" s="2" t="s">
        <v>29</v>
      </c>
      <c r="D466" s="3" t="e">
        <f t="shared" si="49"/>
        <v>#VALUE!</v>
      </c>
      <c r="E466" s="3" t="e">
        <f t="shared" si="50"/>
        <v>#VALUE!</v>
      </c>
      <c r="F466" s="3" t="e">
        <f t="shared" si="51"/>
        <v>#N/A</v>
      </c>
      <c r="G466" s="3" t="e">
        <f t="shared" si="52"/>
        <v>#N/A</v>
      </c>
      <c r="H466" s="3" t="e">
        <f t="shared" si="53"/>
        <v>#N/A</v>
      </c>
      <c r="I466" s="3" t="e">
        <f t="shared" si="54"/>
        <v>#N/A</v>
      </c>
      <c r="J466" s="3" t="e">
        <v>#VALUE!</v>
      </c>
      <c r="K466" s="3" t="e">
        <v>#VALUE!</v>
      </c>
      <c r="L466" s="3" t="e">
        <v>#N/A</v>
      </c>
      <c r="M466" s="3" t="e">
        <v>#N/A</v>
      </c>
      <c r="N466" s="3" t="e">
        <v>#N/A</v>
      </c>
      <c r="O466" s="3" t="e">
        <v>#N/A</v>
      </c>
      <c r="P466" s="3" t="e">
        <f>E466*(VLOOKUP(B466,Price_data!A$1:B$190,2,FALSE))</f>
        <v>#VALUE!</v>
      </c>
      <c r="Q466" s="3" t="e">
        <f>G466*(VLOOKUP(B466,Price_data!A$1:B$190,2,FALSE))</f>
        <v>#N/A</v>
      </c>
      <c r="R466" s="3" t="e">
        <f>I466*(VLOOKUP(B466,Price_data!A$1:B$190,2,FALSE))</f>
        <v>#N/A</v>
      </c>
      <c r="S466" s="4" t="str">
        <f>(VLOOKUP(B466,Price_data!A$1:C$190,3,FALSE))</f>
        <v>Open access</v>
      </c>
      <c r="T466" s="2" t="str">
        <f>IF(C466="Total", (VLOOKUP(B466,Recommended_fish_intake!A$4:D$122,4,FALSE)), "NA")</f>
        <v>NA</v>
      </c>
      <c r="U466" s="2" t="str">
        <f t="shared" si="55"/>
        <v>NA</v>
      </c>
    </row>
    <row r="467" spans="1:21" ht="14.25" customHeight="1">
      <c r="A467" s="2" t="s">
        <v>15</v>
      </c>
      <c r="B467" s="2">
        <v>1937</v>
      </c>
      <c r="C467" s="2" t="s">
        <v>20</v>
      </c>
      <c r="D467" s="3">
        <f t="shared" si="49"/>
        <v>9.1082605161552532</v>
      </c>
      <c r="E467" s="3" t="e">
        <f t="shared" si="50"/>
        <v>#N/A</v>
      </c>
      <c r="F467" s="3" t="e">
        <f t="shared" si="51"/>
        <v>#N/A</v>
      </c>
      <c r="G467" s="3" t="e">
        <f t="shared" si="52"/>
        <v>#N/A</v>
      </c>
      <c r="H467" s="3" t="e">
        <f t="shared" si="53"/>
        <v>#N/A</v>
      </c>
      <c r="I467" s="3" t="e">
        <f t="shared" si="54"/>
        <v>#N/A</v>
      </c>
      <c r="J467" s="3">
        <v>9108.2605161552528</v>
      </c>
      <c r="K467" s="3" t="e">
        <v>#N/A</v>
      </c>
      <c r="L467" s="3" t="e">
        <v>#N/A</v>
      </c>
      <c r="M467" s="3" t="e">
        <v>#N/A</v>
      </c>
      <c r="N467" s="3" t="e">
        <v>#N/A</v>
      </c>
      <c r="O467" s="3" t="e">
        <v>#N/A</v>
      </c>
      <c r="P467" s="3" t="e">
        <f>E467*(VLOOKUP(B467,Price_data!A$1:B$190,2,FALSE))</f>
        <v>#N/A</v>
      </c>
      <c r="Q467" s="3" t="e">
        <f>G467*(VLOOKUP(B467,Price_data!A$1:B$190,2,FALSE))</f>
        <v>#N/A</v>
      </c>
      <c r="R467" s="3" t="e">
        <f>I467*(VLOOKUP(B467,Price_data!A$1:B$190,2,FALSE))</f>
        <v>#N/A</v>
      </c>
      <c r="S467" s="4" t="str">
        <f>(VLOOKUP(B467,Price_data!A$1:C$190,3,FALSE))</f>
        <v>Open access</v>
      </c>
      <c r="T467" s="2" t="str">
        <f>IF(C467="Total", (VLOOKUP(B467,Recommended_fish_intake!A$4:D$122,4,FALSE)), "NA")</f>
        <v>NA</v>
      </c>
      <c r="U467" s="2" t="str">
        <f t="shared" si="55"/>
        <v>NA</v>
      </c>
    </row>
    <row r="468" spans="1:21" ht="14.25" customHeight="1">
      <c r="A468" s="2" t="s">
        <v>15</v>
      </c>
      <c r="B468" s="2">
        <v>1937</v>
      </c>
      <c r="C468" s="2" t="s">
        <v>25</v>
      </c>
      <c r="D468" s="3">
        <f t="shared" si="49"/>
        <v>30.206208087787033</v>
      </c>
      <c r="E468" s="3" t="e">
        <f t="shared" si="50"/>
        <v>#N/A</v>
      </c>
      <c r="F468" s="3" t="e">
        <f t="shared" si="51"/>
        <v>#N/A</v>
      </c>
      <c r="G468" s="3" t="e">
        <f t="shared" si="52"/>
        <v>#N/A</v>
      </c>
      <c r="H468" s="3" t="e">
        <f t="shared" si="53"/>
        <v>#N/A</v>
      </c>
      <c r="I468" s="3" t="e">
        <f t="shared" si="54"/>
        <v>#N/A</v>
      </c>
      <c r="J468" s="3">
        <v>30206.208087787032</v>
      </c>
      <c r="K468" s="3" t="e">
        <v>#N/A</v>
      </c>
      <c r="L468" s="3" t="e">
        <v>#N/A</v>
      </c>
      <c r="M468" s="3" t="e">
        <v>#N/A</v>
      </c>
      <c r="N468" s="3" t="e">
        <v>#N/A</v>
      </c>
      <c r="O468" s="3" t="e">
        <v>#N/A</v>
      </c>
      <c r="P468" s="3" t="e">
        <f>E468*(VLOOKUP(B468,Price_data!A$1:B$190,2,FALSE))</f>
        <v>#N/A</v>
      </c>
      <c r="Q468" s="3" t="e">
        <f>G468*(VLOOKUP(B468,Price_data!A$1:B$190,2,FALSE))</f>
        <v>#N/A</v>
      </c>
      <c r="R468" s="3" t="e">
        <f>I468*(VLOOKUP(B468,Price_data!A$1:B$190,2,FALSE))</f>
        <v>#N/A</v>
      </c>
      <c r="S468" s="4" t="str">
        <f>(VLOOKUP(B468,Price_data!A$1:C$190,3,FALSE))</f>
        <v>Open access</v>
      </c>
      <c r="T468" s="2" t="str">
        <f>IF(C468="Total", (VLOOKUP(B468,Recommended_fish_intake!A$4:D$122,4,FALSE)), "NA")</f>
        <v>NA</v>
      </c>
      <c r="U468" s="2" t="str">
        <f t="shared" si="55"/>
        <v>NA</v>
      </c>
    </row>
    <row r="469" spans="1:21" ht="14.25" customHeight="1">
      <c r="A469" s="2" t="s">
        <v>15</v>
      </c>
      <c r="B469" s="2">
        <v>1937</v>
      </c>
      <c r="C469" s="2" t="s">
        <v>24</v>
      </c>
      <c r="D469" s="3">
        <f t="shared" si="49"/>
        <v>24.760160536476324</v>
      </c>
      <c r="E469" s="3" t="e">
        <f t="shared" si="50"/>
        <v>#N/A</v>
      </c>
      <c r="F469" s="3" t="e">
        <f t="shared" si="51"/>
        <v>#N/A</v>
      </c>
      <c r="G469" s="3" t="e">
        <f t="shared" si="52"/>
        <v>#N/A</v>
      </c>
      <c r="H469" s="3" t="e">
        <f t="shared" si="53"/>
        <v>#N/A</v>
      </c>
      <c r="I469" s="3" t="e">
        <f t="shared" si="54"/>
        <v>#N/A</v>
      </c>
      <c r="J469" s="3">
        <v>24760.160536476324</v>
      </c>
      <c r="K469" s="3" t="e">
        <v>#N/A</v>
      </c>
      <c r="L469" s="3" t="e">
        <v>#N/A</v>
      </c>
      <c r="M469" s="3" t="e">
        <v>#N/A</v>
      </c>
      <c r="N469" s="3" t="e">
        <v>#N/A</v>
      </c>
      <c r="O469" s="3" t="e">
        <v>#N/A</v>
      </c>
      <c r="P469" s="3" t="e">
        <f>E469*(VLOOKUP(B469,Price_data!A$1:B$190,2,FALSE))</f>
        <v>#N/A</v>
      </c>
      <c r="Q469" s="3" t="e">
        <f>G469*(VLOOKUP(B469,Price_data!A$1:B$190,2,FALSE))</f>
        <v>#N/A</v>
      </c>
      <c r="R469" s="3" t="e">
        <f>I469*(VLOOKUP(B469,Price_data!A$1:B$190,2,FALSE))</f>
        <v>#N/A</v>
      </c>
      <c r="S469" s="4" t="str">
        <f>(VLOOKUP(B469,Price_data!A$1:C$190,3,FALSE))</f>
        <v>Open access</v>
      </c>
      <c r="T469" s="2" t="str">
        <f>IF(C469="Total", (VLOOKUP(B469,Recommended_fish_intake!A$4:D$122,4,FALSE)), "NA")</f>
        <v>NA</v>
      </c>
      <c r="U469" s="2" t="str">
        <f t="shared" si="55"/>
        <v>NA</v>
      </c>
    </row>
    <row r="470" spans="1:21" ht="14.25" customHeight="1">
      <c r="A470" s="2" t="s">
        <v>15</v>
      </c>
      <c r="B470" s="2">
        <v>1937</v>
      </c>
      <c r="C470" s="2" t="s">
        <v>30</v>
      </c>
      <c r="D470" s="3" t="e">
        <f t="shared" si="49"/>
        <v>#N/A</v>
      </c>
      <c r="E470" s="3" t="e">
        <f t="shared" si="50"/>
        <v>#N/A</v>
      </c>
      <c r="F470" s="3" t="e">
        <f t="shared" si="51"/>
        <v>#N/A</v>
      </c>
      <c r="G470" s="3" t="e">
        <f t="shared" si="52"/>
        <v>#N/A</v>
      </c>
      <c r="H470" s="3" t="e">
        <f t="shared" si="53"/>
        <v>#N/A</v>
      </c>
      <c r="I470" s="3" t="e">
        <f t="shared" si="54"/>
        <v>#N/A</v>
      </c>
      <c r="J470" s="3" t="e">
        <v>#N/A</v>
      </c>
      <c r="K470" s="3" t="e">
        <v>#N/A</v>
      </c>
      <c r="L470" s="3" t="e">
        <v>#N/A</v>
      </c>
      <c r="M470" s="3" t="e">
        <v>#N/A</v>
      </c>
      <c r="N470" s="3" t="e">
        <v>#N/A</v>
      </c>
      <c r="O470" s="3" t="e">
        <v>#N/A</v>
      </c>
      <c r="P470" s="3" t="e">
        <f>E470*(VLOOKUP(B470,Price_data!A$1:B$190,2,FALSE))</f>
        <v>#N/A</v>
      </c>
      <c r="Q470" s="3" t="e">
        <f>G470*(VLOOKUP(B470,Price_data!A$1:B$190,2,FALSE))</f>
        <v>#N/A</v>
      </c>
      <c r="R470" s="3" t="e">
        <f>I470*(VLOOKUP(B470,Price_data!A$1:B$190,2,FALSE))</f>
        <v>#N/A</v>
      </c>
      <c r="S470" s="4" t="str">
        <f>(VLOOKUP(B470,Price_data!A$1:C$190,3,FALSE))</f>
        <v>Open access</v>
      </c>
      <c r="T470" s="2" t="str">
        <f>IF(C470="Total", (VLOOKUP(B470,Recommended_fish_intake!A$4:D$122,4,FALSE)), "NA")</f>
        <v>NA</v>
      </c>
      <c r="U470" s="2" t="str">
        <f t="shared" si="55"/>
        <v>NA</v>
      </c>
    </row>
    <row r="471" spans="1:21" ht="14.25" customHeight="1">
      <c r="A471" s="2" t="s">
        <v>15</v>
      </c>
      <c r="B471" s="2">
        <v>1938</v>
      </c>
      <c r="C471" s="2" t="s">
        <v>16</v>
      </c>
      <c r="D471" s="3">
        <f t="shared" si="49"/>
        <v>1062.4494005283477</v>
      </c>
      <c r="E471" s="3">
        <f t="shared" si="50"/>
        <v>16.548369999999998</v>
      </c>
      <c r="F471" s="3">
        <f t="shared" si="51"/>
        <v>222.59637268847794</v>
      </c>
      <c r="G471" s="3">
        <f t="shared" si="52"/>
        <v>3.8702620000000003</v>
      </c>
      <c r="H471" s="3">
        <f t="shared" si="53"/>
        <v>188.87578744157693</v>
      </c>
      <c r="I471" s="3">
        <f t="shared" si="54"/>
        <v>10.137118000000001</v>
      </c>
      <c r="J471" s="3">
        <v>1062449.4005283478</v>
      </c>
      <c r="K471" s="3">
        <v>16548.37</v>
      </c>
      <c r="L471" s="3">
        <v>222596.37268847795</v>
      </c>
      <c r="M471" s="3">
        <v>3870.2620000000002</v>
      </c>
      <c r="N471" s="3">
        <v>188875.78744157692</v>
      </c>
      <c r="O471" s="3">
        <v>10137.118</v>
      </c>
      <c r="P471" s="3">
        <f>E471*(VLOOKUP(B471,Price_data!A$1:B$190,2,FALSE))</f>
        <v>661.73779562675873</v>
      </c>
      <c r="Q471" s="3">
        <f>G471*(VLOOKUP(B471,Price_data!A$1:B$190,2,FALSE))</f>
        <v>154.76440545975288</v>
      </c>
      <c r="R471" s="3">
        <f>I471*(VLOOKUP(B471,Price_data!A$1:B$190,2,FALSE))</f>
        <v>405.36404004311834</v>
      </c>
      <c r="S471" s="4" t="str">
        <f>(VLOOKUP(B471,Price_data!A$1:C$190,3,FALSE))</f>
        <v>Open access</v>
      </c>
      <c r="T471" s="2">
        <f>IF(C471="Total", (VLOOKUP(B471,Recommended_fish_intake!A$4:D$122,4,FALSE)), "NA")</f>
        <v>622.16061645414209</v>
      </c>
      <c r="U471" s="2" t="str">
        <f t="shared" si="55"/>
        <v>NA</v>
      </c>
    </row>
    <row r="472" spans="1:21" ht="14.25" customHeight="1">
      <c r="A472" s="2" t="s">
        <v>15</v>
      </c>
      <c r="B472" s="2">
        <v>1938</v>
      </c>
      <c r="C472" s="2" t="s">
        <v>22</v>
      </c>
      <c r="D472" s="3">
        <f t="shared" si="49"/>
        <v>355.32142857142856</v>
      </c>
      <c r="E472" s="3" t="e">
        <f t="shared" si="50"/>
        <v>#N/A</v>
      </c>
      <c r="F472" s="3" t="e">
        <f t="shared" si="51"/>
        <v>#N/A</v>
      </c>
      <c r="G472" s="3" t="e">
        <f t="shared" si="52"/>
        <v>#N/A</v>
      </c>
      <c r="H472" s="3" t="e">
        <f t="shared" si="53"/>
        <v>#N/A</v>
      </c>
      <c r="I472" s="3" t="e">
        <f t="shared" si="54"/>
        <v>#N/A</v>
      </c>
      <c r="J472" s="3">
        <v>355321.42857142858</v>
      </c>
      <c r="K472" s="3" t="e">
        <v>#N/A</v>
      </c>
      <c r="L472" s="3" t="e">
        <v>#N/A</v>
      </c>
      <c r="M472" s="3" t="e">
        <v>#N/A</v>
      </c>
      <c r="N472" s="3" t="e">
        <v>#N/A</v>
      </c>
      <c r="O472" s="3" t="e">
        <v>#N/A</v>
      </c>
      <c r="P472" s="3" t="e">
        <f>E472*(VLOOKUP(B472,Price_data!A$1:B$190,2,FALSE))</f>
        <v>#N/A</v>
      </c>
      <c r="Q472" s="3" t="e">
        <f>G472*(VLOOKUP(B472,Price_data!A$1:B$190,2,FALSE))</f>
        <v>#N/A</v>
      </c>
      <c r="R472" s="3" t="e">
        <f>I472*(VLOOKUP(B472,Price_data!A$1:B$190,2,FALSE))</f>
        <v>#N/A</v>
      </c>
      <c r="S472" s="4" t="str">
        <f>(VLOOKUP(B472,Price_data!A$1:C$190,3,FALSE))</f>
        <v>Open access</v>
      </c>
      <c r="T472" s="2" t="str">
        <f>IF(C472="Total", (VLOOKUP(B472,Recommended_fish_intake!A$4:D$122,4,FALSE)), "NA")</f>
        <v>NA</v>
      </c>
      <c r="U472" s="2" t="str">
        <f t="shared" si="55"/>
        <v>NA</v>
      </c>
    </row>
    <row r="473" spans="1:21" ht="14.25" customHeight="1">
      <c r="A473" s="2" t="s">
        <v>15</v>
      </c>
      <c r="B473" s="2">
        <v>1938</v>
      </c>
      <c r="C473" s="2" t="s">
        <v>23</v>
      </c>
      <c r="D473" s="3">
        <f t="shared" si="49"/>
        <v>145.21260922576712</v>
      </c>
      <c r="E473" s="3" t="e">
        <f t="shared" si="50"/>
        <v>#N/A</v>
      </c>
      <c r="F473" s="3" t="e">
        <f t="shared" si="51"/>
        <v>#N/A</v>
      </c>
      <c r="G473" s="3" t="e">
        <f t="shared" si="52"/>
        <v>#N/A</v>
      </c>
      <c r="H473" s="3" t="e">
        <f t="shared" si="53"/>
        <v>#N/A</v>
      </c>
      <c r="I473" s="3" t="e">
        <f t="shared" si="54"/>
        <v>#N/A</v>
      </c>
      <c r="J473" s="3">
        <v>145212.60922576711</v>
      </c>
      <c r="K473" s="3" t="e">
        <v>#N/A</v>
      </c>
      <c r="L473" s="3" t="e">
        <v>#N/A</v>
      </c>
      <c r="M473" s="3" t="e">
        <v>#N/A</v>
      </c>
      <c r="N473" s="3" t="e">
        <v>#N/A</v>
      </c>
      <c r="O473" s="3" t="e">
        <v>#N/A</v>
      </c>
      <c r="P473" s="3" t="e">
        <f>E473*(VLOOKUP(B473,Price_data!A$1:B$190,2,FALSE))</f>
        <v>#N/A</v>
      </c>
      <c r="Q473" s="3" t="e">
        <f>G473*(VLOOKUP(B473,Price_data!A$1:B$190,2,FALSE))</f>
        <v>#N/A</v>
      </c>
      <c r="R473" s="3" t="e">
        <f>I473*(VLOOKUP(B473,Price_data!A$1:B$190,2,FALSE))</f>
        <v>#N/A</v>
      </c>
      <c r="S473" s="4" t="str">
        <f>(VLOOKUP(B473,Price_data!A$1:C$190,3,FALSE))</f>
        <v>Open access</v>
      </c>
      <c r="T473" s="2" t="str">
        <f>IF(C473="Total", (VLOOKUP(B473,Recommended_fish_intake!A$4:D$122,4,FALSE)), "NA")</f>
        <v>NA</v>
      </c>
      <c r="U473" s="2" t="str">
        <f t="shared" si="55"/>
        <v>NA</v>
      </c>
    </row>
    <row r="474" spans="1:21" ht="14.25" customHeight="1">
      <c r="A474" s="2" t="s">
        <v>15</v>
      </c>
      <c r="B474" s="2">
        <v>1938</v>
      </c>
      <c r="C474" s="2" t="s">
        <v>19</v>
      </c>
      <c r="D474" s="3">
        <f t="shared" si="49"/>
        <v>273.68431213168054</v>
      </c>
      <c r="E474" s="3" t="e">
        <f t="shared" si="50"/>
        <v>#N/A</v>
      </c>
      <c r="F474" s="3" t="e">
        <f t="shared" si="51"/>
        <v>#N/A</v>
      </c>
      <c r="G474" s="3" t="e">
        <f t="shared" si="52"/>
        <v>#N/A</v>
      </c>
      <c r="H474" s="3" t="e">
        <f t="shared" si="53"/>
        <v>#N/A</v>
      </c>
      <c r="I474" s="3" t="e">
        <f t="shared" si="54"/>
        <v>#N/A</v>
      </c>
      <c r="J474" s="3">
        <v>273684.31213168055</v>
      </c>
      <c r="K474" s="3" t="e">
        <v>#N/A</v>
      </c>
      <c r="L474" s="3" t="e">
        <v>#N/A</v>
      </c>
      <c r="M474" s="3" t="e">
        <v>#N/A</v>
      </c>
      <c r="N474" s="3" t="e">
        <v>#N/A</v>
      </c>
      <c r="O474" s="3" t="e">
        <v>#N/A</v>
      </c>
      <c r="P474" s="3" t="e">
        <f>E474*(VLOOKUP(B474,Price_data!A$1:B$190,2,FALSE))</f>
        <v>#N/A</v>
      </c>
      <c r="Q474" s="3" t="e">
        <f>G474*(VLOOKUP(B474,Price_data!A$1:B$190,2,FALSE))</f>
        <v>#N/A</v>
      </c>
      <c r="R474" s="3" t="e">
        <f>I474*(VLOOKUP(B474,Price_data!A$1:B$190,2,FALSE))</f>
        <v>#N/A</v>
      </c>
      <c r="S474" s="4" t="str">
        <f>(VLOOKUP(B474,Price_data!A$1:C$190,3,FALSE))</f>
        <v>Open access</v>
      </c>
      <c r="T474" s="2" t="str">
        <f>IF(C474="Total", (VLOOKUP(B474,Recommended_fish_intake!A$4:D$122,4,FALSE)), "NA")</f>
        <v>NA</v>
      </c>
      <c r="U474" s="2" t="str">
        <f t="shared" si="55"/>
        <v>NA</v>
      </c>
    </row>
    <row r="475" spans="1:21" ht="14.25" customHeight="1">
      <c r="A475" s="2" t="s">
        <v>15</v>
      </c>
      <c r="B475" s="2">
        <v>1938</v>
      </c>
      <c r="C475" s="2" t="s">
        <v>28</v>
      </c>
      <c r="D475" s="3" t="e">
        <f t="shared" si="49"/>
        <v>#VALUE!</v>
      </c>
      <c r="E475" s="3" t="e">
        <f t="shared" si="50"/>
        <v>#VALUE!</v>
      </c>
      <c r="F475" s="3" t="e">
        <f t="shared" si="51"/>
        <v>#N/A</v>
      </c>
      <c r="G475" s="3" t="e">
        <f t="shared" si="52"/>
        <v>#N/A</v>
      </c>
      <c r="H475" s="3" t="e">
        <f t="shared" si="53"/>
        <v>#N/A</v>
      </c>
      <c r="I475" s="3" t="e">
        <f t="shared" si="54"/>
        <v>#N/A</v>
      </c>
      <c r="J475" s="3" t="e">
        <v>#VALUE!</v>
      </c>
      <c r="K475" s="3" t="e">
        <v>#VALUE!</v>
      </c>
      <c r="L475" s="3" t="e">
        <v>#N/A</v>
      </c>
      <c r="M475" s="3" t="e">
        <v>#N/A</v>
      </c>
      <c r="N475" s="3" t="e">
        <v>#N/A</v>
      </c>
      <c r="O475" s="3" t="e">
        <v>#N/A</v>
      </c>
      <c r="P475" s="3" t="e">
        <f>E475*(VLOOKUP(B475,Price_data!A$1:B$190,2,FALSE))</f>
        <v>#VALUE!</v>
      </c>
      <c r="Q475" s="3" t="e">
        <f>G475*(VLOOKUP(B475,Price_data!A$1:B$190,2,FALSE))</f>
        <v>#N/A</v>
      </c>
      <c r="R475" s="3" t="e">
        <f>I475*(VLOOKUP(B475,Price_data!A$1:B$190,2,FALSE))</f>
        <v>#N/A</v>
      </c>
      <c r="S475" s="4" t="str">
        <f>(VLOOKUP(B475,Price_data!A$1:C$190,3,FALSE))</f>
        <v>Open access</v>
      </c>
      <c r="T475" s="2" t="str">
        <f>IF(C475="Total", (VLOOKUP(B475,Recommended_fish_intake!A$4:D$122,4,FALSE)), "NA")</f>
        <v>NA</v>
      </c>
      <c r="U475" s="2" t="e">
        <f t="shared" si="55"/>
        <v>#VALUE!</v>
      </c>
    </row>
    <row r="476" spans="1:21" ht="14.25" customHeight="1">
      <c r="A476" s="2" t="s">
        <v>15</v>
      </c>
      <c r="B476" s="2">
        <v>1938</v>
      </c>
      <c r="C476" s="2" t="s">
        <v>29</v>
      </c>
      <c r="D476" s="3" t="e">
        <f t="shared" si="49"/>
        <v>#VALUE!</v>
      </c>
      <c r="E476" s="3" t="e">
        <f t="shared" si="50"/>
        <v>#VALUE!</v>
      </c>
      <c r="F476" s="3" t="e">
        <f t="shared" si="51"/>
        <v>#N/A</v>
      </c>
      <c r="G476" s="3" t="e">
        <f t="shared" si="52"/>
        <v>#N/A</v>
      </c>
      <c r="H476" s="3" t="e">
        <f t="shared" si="53"/>
        <v>#N/A</v>
      </c>
      <c r="I476" s="3" t="e">
        <f t="shared" si="54"/>
        <v>#N/A</v>
      </c>
      <c r="J476" s="3" t="e">
        <v>#VALUE!</v>
      </c>
      <c r="K476" s="3" t="e">
        <v>#VALUE!</v>
      </c>
      <c r="L476" s="3" t="e">
        <v>#N/A</v>
      </c>
      <c r="M476" s="3" t="e">
        <v>#N/A</v>
      </c>
      <c r="N476" s="3" t="e">
        <v>#N/A</v>
      </c>
      <c r="O476" s="3" t="e">
        <v>#N/A</v>
      </c>
      <c r="P476" s="3" t="e">
        <f>E476*(VLOOKUP(B476,Price_data!A$1:B$190,2,FALSE))</f>
        <v>#VALUE!</v>
      </c>
      <c r="Q476" s="3" t="e">
        <f>G476*(VLOOKUP(B476,Price_data!A$1:B$190,2,FALSE))</f>
        <v>#N/A</v>
      </c>
      <c r="R476" s="3" t="e">
        <f>I476*(VLOOKUP(B476,Price_data!A$1:B$190,2,FALSE))</f>
        <v>#N/A</v>
      </c>
      <c r="S476" s="4" t="str">
        <f>(VLOOKUP(B476,Price_data!A$1:C$190,3,FALSE))</f>
        <v>Open access</v>
      </c>
      <c r="T476" s="2" t="str">
        <f>IF(C476="Total", (VLOOKUP(B476,Recommended_fish_intake!A$4:D$122,4,FALSE)), "NA")</f>
        <v>NA</v>
      </c>
      <c r="U476" s="2" t="str">
        <f t="shared" si="55"/>
        <v>NA</v>
      </c>
    </row>
    <row r="477" spans="1:21" ht="14.25" customHeight="1">
      <c r="A477" s="2" t="s">
        <v>15</v>
      </c>
      <c r="B477" s="2">
        <v>1938</v>
      </c>
      <c r="C477" s="2" t="s">
        <v>20</v>
      </c>
      <c r="D477" s="3">
        <f t="shared" si="49"/>
        <v>10.218705547652915</v>
      </c>
      <c r="E477" s="3" t="e">
        <f t="shared" si="50"/>
        <v>#N/A</v>
      </c>
      <c r="F477" s="3" t="e">
        <f t="shared" si="51"/>
        <v>#N/A</v>
      </c>
      <c r="G477" s="3" t="e">
        <f t="shared" si="52"/>
        <v>#N/A</v>
      </c>
      <c r="H477" s="3" t="e">
        <f t="shared" si="53"/>
        <v>#N/A</v>
      </c>
      <c r="I477" s="3" t="e">
        <f t="shared" si="54"/>
        <v>#N/A</v>
      </c>
      <c r="J477" s="3">
        <v>10218.705547652915</v>
      </c>
      <c r="K477" s="3" t="e">
        <v>#N/A</v>
      </c>
      <c r="L477" s="3" t="e">
        <v>#N/A</v>
      </c>
      <c r="M477" s="3" t="e">
        <v>#N/A</v>
      </c>
      <c r="N477" s="3" t="e">
        <v>#N/A</v>
      </c>
      <c r="O477" s="3" t="e">
        <v>#N/A</v>
      </c>
      <c r="P477" s="3" t="e">
        <f>E477*(VLOOKUP(B477,Price_data!A$1:B$190,2,FALSE))</f>
        <v>#N/A</v>
      </c>
      <c r="Q477" s="3" t="e">
        <f>G477*(VLOOKUP(B477,Price_data!A$1:B$190,2,FALSE))</f>
        <v>#N/A</v>
      </c>
      <c r="R477" s="3" t="e">
        <f>I477*(VLOOKUP(B477,Price_data!A$1:B$190,2,FALSE))</f>
        <v>#N/A</v>
      </c>
      <c r="S477" s="4" t="str">
        <f>(VLOOKUP(B477,Price_data!A$1:C$190,3,FALSE))</f>
        <v>Open access</v>
      </c>
      <c r="T477" s="2" t="str">
        <f>IF(C477="Total", (VLOOKUP(B477,Recommended_fish_intake!A$4:D$122,4,FALSE)), "NA")</f>
        <v>NA</v>
      </c>
      <c r="U477" s="2" t="str">
        <f t="shared" si="55"/>
        <v>NA</v>
      </c>
    </row>
    <row r="478" spans="1:21" ht="14.25" customHeight="1">
      <c r="A478" s="2" t="s">
        <v>15</v>
      </c>
      <c r="B478" s="2">
        <v>1938</v>
      </c>
      <c r="C478" s="2" t="s">
        <v>25</v>
      </c>
      <c r="D478" s="3">
        <f t="shared" si="49"/>
        <v>27.018238162975006</v>
      </c>
      <c r="E478" s="3" t="e">
        <f t="shared" si="50"/>
        <v>#N/A</v>
      </c>
      <c r="F478" s="3" t="e">
        <f t="shared" si="51"/>
        <v>#N/A</v>
      </c>
      <c r="G478" s="3" t="e">
        <f t="shared" si="52"/>
        <v>#N/A</v>
      </c>
      <c r="H478" s="3" t="e">
        <f t="shared" si="53"/>
        <v>#N/A</v>
      </c>
      <c r="I478" s="3" t="e">
        <f t="shared" si="54"/>
        <v>#N/A</v>
      </c>
      <c r="J478" s="3">
        <v>27018.238162975005</v>
      </c>
      <c r="K478" s="3" t="e">
        <v>#N/A</v>
      </c>
      <c r="L478" s="3" t="e">
        <v>#N/A</v>
      </c>
      <c r="M478" s="3" t="e">
        <v>#N/A</v>
      </c>
      <c r="N478" s="3" t="e">
        <v>#N/A</v>
      </c>
      <c r="O478" s="3" t="e">
        <v>#N/A</v>
      </c>
      <c r="P478" s="3" t="e">
        <f>E478*(VLOOKUP(B478,Price_data!A$1:B$190,2,FALSE))</f>
        <v>#N/A</v>
      </c>
      <c r="Q478" s="3" t="e">
        <f>G478*(VLOOKUP(B478,Price_data!A$1:B$190,2,FALSE))</f>
        <v>#N/A</v>
      </c>
      <c r="R478" s="3" t="e">
        <f>I478*(VLOOKUP(B478,Price_data!A$1:B$190,2,FALSE))</f>
        <v>#N/A</v>
      </c>
      <c r="S478" s="4" t="str">
        <f>(VLOOKUP(B478,Price_data!A$1:C$190,3,FALSE))</f>
        <v>Open access</v>
      </c>
      <c r="T478" s="2" t="str">
        <f>IF(C478="Total", (VLOOKUP(B478,Recommended_fish_intake!A$4:D$122,4,FALSE)), "NA")</f>
        <v>NA</v>
      </c>
      <c r="U478" s="2" t="str">
        <f t="shared" si="55"/>
        <v>NA</v>
      </c>
    </row>
    <row r="479" spans="1:21" ht="14.25" customHeight="1">
      <c r="A479" s="2" t="s">
        <v>15</v>
      </c>
      <c r="B479" s="2">
        <v>1938</v>
      </c>
      <c r="C479" s="2" t="s">
        <v>24</v>
      </c>
      <c r="D479" s="3">
        <f t="shared" si="49"/>
        <v>29.980034545824019</v>
      </c>
      <c r="E479" s="3" t="e">
        <f t="shared" si="50"/>
        <v>#N/A</v>
      </c>
      <c r="F479" s="3" t="e">
        <f t="shared" si="51"/>
        <v>#N/A</v>
      </c>
      <c r="G479" s="3" t="e">
        <f t="shared" si="52"/>
        <v>#N/A</v>
      </c>
      <c r="H479" s="3" t="e">
        <f t="shared" si="53"/>
        <v>#N/A</v>
      </c>
      <c r="I479" s="3" t="e">
        <f t="shared" si="54"/>
        <v>#N/A</v>
      </c>
      <c r="J479" s="3">
        <v>29980.034545824019</v>
      </c>
      <c r="K479" s="3" t="e">
        <v>#N/A</v>
      </c>
      <c r="L479" s="3" t="e">
        <v>#N/A</v>
      </c>
      <c r="M479" s="3" t="e">
        <v>#N/A</v>
      </c>
      <c r="N479" s="3" t="e">
        <v>#N/A</v>
      </c>
      <c r="O479" s="3" t="e">
        <v>#N/A</v>
      </c>
      <c r="P479" s="3" t="e">
        <f>E479*(VLOOKUP(B479,Price_data!A$1:B$190,2,FALSE))</f>
        <v>#N/A</v>
      </c>
      <c r="Q479" s="3" t="e">
        <f>G479*(VLOOKUP(B479,Price_data!A$1:B$190,2,FALSE))</f>
        <v>#N/A</v>
      </c>
      <c r="R479" s="3" t="e">
        <f>I479*(VLOOKUP(B479,Price_data!A$1:B$190,2,FALSE))</f>
        <v>#N/A</v>
      </c>
      <c r="S479" s="4" t="str">
        <f>(VLOOKUP(B479,Price_data!A$1:C$190,3,FALSE))</f>
        <v>Open access</v>
      </c>
      <c r="T479" s="2" t="str">
        <f>IF(C479="Total", (VLOOKUP(B479,Recommended_fish_intake!A$4:D$122,4,FALSE)), "NA")</f>
        <v>NA</v>
      </c>
      <c r="U479" s="2" t="str">
        <f t="shared" si="55"/>
        <v>NA</v>
      </c>
    </row>
    <row r="480" spans="1:21" ht="14.25" customHeight="1">
      <c r="A480" s="2" t="s">
        <v>15</v>
      </c>
      <c r="B480" s="2">
        <v>1938</v>
      </c>
      <c r="C480" s="2" t="s">
        <v>30</v>
      </c>
      <c r="D480" s="3" t="e">
        <f t="shared" si="49"/>
        <v>#N/A</v>
      </c>
      <c r="E480" s="3" t="e">
        <f t="shared" si="50"/>
        <v>#N/A</v>
      </c>
      <c r="F480" s="3" t="e">
        <f t="shared" si="51"/>
        <v>#N/A</v>
      </c>
      <c r="G480" s="3" t="e">
        <f t="shared" si="52"/>
        <v>#N/A</v>
      </c>
      <c r="H480" s="3" t="e">
        <f t="shared" si="53"/>
        <v>#N/A</v>
      </c>
      <c r="I480" s="3" t="e">
        <f t="shared" si="54"/>
        <v>#N/A</v>
      </c>
      <c r="J480" s="3" t="e">
        <v>#N/A</v>
      </c>
      <c r="K480" s="3" t="e">
        <v>#N/A</v>
      </c>
      <c r="L480" s="3" t="e">
        <v>#N/A</v>
      </c>
      <c r="M480" s="3" t="e">
        <v>#N/A</v>
      </c>
      <c r="N480" s="3" t="e">
        <v>#N/A</v>
      </c>
      <c r="O480" s="3" t="e">
        <v>#N/A</v>
      </c>
      <c r="P480" s="3" t="e">
        <f>E480*(VLOOKUP(B480,Price_data!A$1:B$190,2,FALSE))</f>
        <v>#N/A</v>
      </c>
      <c r="Q480" s="3" t="e">
        <f>G480*(VLOOKUP(B480,Price_data!A$1:B$190,2,FALSE))</f>
        <v>#N/A</v>
      </c>
      <c r="R480" s="3" t="e">
        <f>I480*(VLOOKUP(B480,Price_data!A$1:B$190,2,FALSE))</f>
        <v>#N/A</v>
      </c>
      <c r="S480" s="4" t="str">
        <f>(VLOOKUP(B480,Price_data!A$1:C$190,3,FALSE))</f>
        <v>Open access</v>
      </c>
      <c r="T480" s="2" t="str">
        <f>IF(C480="Total", (VLOOKUP(B480,Recommended_fish_intake!A$4:D$122,4,FALSE)), "NA")</f>
        <v>NA</v>
      </c>
      <c r="U480" s="2" t="str">
        <f t="shared" si="55"/>
        <v>NA</v>
      </c>
    </row>
    <row r="481" spans="1:21" ht="14.25" customHeight="1">
      <c r="A481" s="2" t="s">
        <v>15</v>
      </c>
      <c r="B481" s="2">
        <v>1939</v>
      </c>
      <c r="C481" s="2" t="s">
        <v>16</v>
      </c>
      <c r="D481" s="3">
        <f t="shared" si="49"/>
        <v>797.22332859174969</v>
      </c>
      <c r="E481" s="3">
        <f t="shared" si="50"/>
        <v>14.944289000000001</v>
      </c>
      <c r="F481" s="3">
        <f t="shared" si="51"/>
        <v>102.81792318634425</v>
      </c>
      <c r="G481" s="3">
        <f t="shared" si="52"/>
        <v>2.2275149999999999</v>
      </c>
      <c r="H481" s="3">
        <f t="shared" si="53"/>
        <v>203.39610851452957</v>
      </c>
      <c r="I481" s="3">
        <f t="shared" si="54"/>
        <v>11.783863999999999</v>
      </c>
      <c r="J481" s="3">
        <v>797223.32859174965</v>
      </c>
      <c r="K481" s="3">
        <v>14944.289000000001</v>
      </c>
      <c r="L481" s="3">
        <v>102817.92318634424</v>
      </c>
      <c r="M481" s="3">
        <v>2227.5149999999999</v>
      </c>
      <c r="N481" s="3">
        <v>203396.10851452957</v>
      </c>
      <c r="O481" s="3">
        <v>11783.864</v>
      </c>
      <c r="P481" s="3">
        <f>E481*(VLOOKUP(B481,Price_data!A$1:B$190,2,FALSE))</f>
        <v>580.32215893827265</v>
      </c>
      <c r="Q481" s="3">
        <f>G481*(VLOOKUP(B481,Price_data!A$1:B$190,2,FALSE))</f>
        <v>86.499686526899097</v>
      </c>
      <c r="R481" s="3">
        <f>I481*(VLOOKUP(B481,Price_data!A$1:B$190,2,FALSE))</f>
        <v>457.59536617064811</v>
      </c>
      <c r="S481" s="4" t="str">
        <f>(VLOOKUP(B481,Price_data!A$1:C$190,3,FALSE))</f>
        <v>WW</v>
      </c>
      <c r="T481" s="2">
        <f>IF(C481="Total", (VLOOKUP(B481,Recommended_fish_intake!A$4:D$122,4,FALSE)), "NA")</f>
        <v>622.86276280583502</v>
      </c>
      <c r="U481" s="2" t="str">
        <f t="shared" si="55"/>
        <v>NA</v>
      </c>
    </row>
    <row r="482" spans="1:21" ht="14.25" customHeight="1">
      <c r="A482" s="2" t="s">
        <v>15</v>
      </c>
      <c r="B482" s="2">
        <v>1939</v>
      </c>
      <c r="C482" s="2" t="s">
        <v>22</v>
      </c>
      <c r="D482" s="3">
        <f t="shared" si="49"/>
        <v>264.67140825035563</v>
      </c>
      <c r="E482" s="3" t="e">
        <f t="shared" si="50"/>
        <v>#N/A</v>
      </c>
      <c r="F482" s="3" t="e">
        <f t="shared" si="51"/>
        <v>#N/A</v>
      </c>
      <c r="G482" s="3" t="e">
        <f t="shared" si="52"/>
        <v>#N/A</v>
      </c>
      <c r="H482" s="3" t="e">
        <f t="shared" si="53"/>
        <v>#N/A</v>
      </c>
      <c r="I482" s="3" t="e">
        <f t="shared" si="54"/>
        <v>#N/A</v>
      </c>
      <c r="J482" s="3">
        <v>264671.40825035563</v>
      </c>
      <c r="K482" s="3" t="e">
        <v>#N/A</v>
      </c>
      <c r="L482" s="3" t="e">
        <v>#N/A</v>
      </c>
      <c r="M482" s="3" t="e">
        <v>#N/A</v>
      </c>
      <c r="N482" s="3" t="e">
        <v>#N/A</v>
      </c>
      <c r="O482" s="3" t="e">
        <v>#N/A</v>
      </c>
      <c r="P482" s="3" t="e">
        <f>E482*(VLOOKUP(B482,Price_data!A$1:B$190,2,FALSE))</f>
        <v>#N/A</v>
      </c>
      <c r="Q482" s="3" t="e">
        <f>G482*(VLOOKUP(B482,Price_data!A$1:B$190,2,FALSE))</f>
        <v>#N/A</v>
      </c>
      <c r="R482" s="3" t="e">
        <f>I482*(VLOOKUP(B482,Price_data!A$1:B$190,2,FALSE))</f>
        <v>#N/A</v>
      </c>
      <c r="S482" s="4" t="str">
        <f>(VLOOKUP(B482,Price_data!A$1:C$190,3,FALSE))</f>
        <v>WW</v>
      </c>
      <c r="T482" s="2" t="str">
        <f>IF(C482="Total", (VLOOKUP(B482,Recommended_fish_intake!A$4:D$122,4,FALSE)), "NA")</f>
        <v>NA</v>
      </c>
      <c r="U482" s="2" t="str">
        <f t="shared" si="55"/>
        <v>NA</v>
      </c>
    </row>
    <row r="483" spans="1:21" ht="14.25" customHeight="1">
      <c r="A483" s="2" t="s">
        <v>15</v>
      </c>
      <c r="B483" s="2">
        <v>1939</v>
      </c>
      <c r="C483" s="2" t="s">
        <v>23</v>
      </c>
      <c r="D483" s="3">
        <f t="shared" si="49"/>
        <v>114.03606990449096</v>
      </c>
      <c r="E483" s="3" t="e">
        <f t="shared" si="50"/>
        <v>#N/A</v>
      </c>
      <c r="F483" s="3" t="e">
        <f t="shared" si="51"/>
        <v>#N/A</v>
      </c>
      <c r="G483" s="3" t="e">
        <f t="shared" si="52"/>
        <v>#N/A</v>
      </c>
      <c r="H483" s="3" t="e">
        <f t="shared" si="53"/>
        <v>#N/A</v>
      </c>
      <c r="I483" s="3" t="e">
        <f t="shared" si="54"/>
        <v>#N/A</v>
      </c>
      <c r="J483" s="3">
        <v>114036.06990449096</v>
      </c>
      <c r="K483" s="3" t="e">
        <v>#N/A</v>
      </c>
      <c r="L483" s="3" t="e">
        <v>#N/A</v>
      </c>
      <c r="M483" s="3" t="e">
        <v>#N/A</v>
      </c>
      <c r="N483" s="3" t="e">
        <v>#N/A</v>
      </c>
      <c r="O483" s="3" t="e">
        <v>#N/A</v>
      </c>
      <c r="P483" s="3" t="e">
        <f>E483*(VLOOKUP(B483,Price_data!A$1:B$190,2,FALSE))</f>
        <v>#N/A</v>
      </c>
      <c r="Q483" s="3" t="e">
        <f>G483*(VLOOKUP(B483,Price_data!A$1:B$190,2,FALSE))</f>
        <v>#N/A</v>
      </c>
      <c r="R483" s="3" t="e">
        <f>I483*(VLOOKUP(B483,Price_data!A$1:B$190,2,FALSE))</f>
        <v>#N/A</v>
      </c>
      <c r="S483" s="4" t="str">
        <f>(VLOOKUP(B483,Price_data!A$1:C$190,3,FALSE))</f>
        <v>WW</v>
      </c>
      <c r="T483" s="2" t="str">
        <f>IF(C483="Total", (VLOOKUP(B483,Recommended_fish_intake!A$4:D$122,4,FALSE)), "NA")</f>
        <v>NA</v>
      </c>
      <c r="U483" s="2" t="str">
        <f t="shared" si="55"/>
        <v>NA</v>
      </c>
    </row>
    <row r="484" spans="1:21" ht="14.25" customHeight="1">
      <c r="A484" s="2" t="s">
        <v>15</v>
      </c>
      <c r="B484" s="2">
        <v>1939</v>
      </c>
      <c r="C484" s="2" t="s">
        <v>19</v>
      </c>
      <c r="D484" s="3">
        <f t="shared" si="49"/>
        <v>159.55131070920544</v>
      </c>
      <c r="E484" s="3" t="e">
        <f t="shared" si="50"/>
        <v>#N/A</v>
      </c>
      <c r="F484" s="3" t="e">
        <f t="shared" si="51"/>
        <v>#N/A</v>
      </c>
      <c r="G484" s="3" t="e">
        <f t="shared" si="52"/>
        <v>#N/A</v>
      </c>
      <c r="H484" s="3" t="e">
        <f t="shared" si="53"/>
        <v>#N/A</v>
      </c>
      <c r="I484" s="3" t="e">
        <f t="shared" si="54"/>
        <v>#N/A</v>
      </c>
      <c r="J484" s="3">
        <v>159551.31070920543</v>
      </c>
      <c r="K484" s="3" t="e">
        <v>#N/A</v>
      </c>
      <c r="L484" s="3" t="e">
        <v>#N/A</v>
      </c>
      <c r="M484" s="3" t="e">
        <v>#N/A</v>
      </c>
      <c r="N484" s="3" t="e">
        <v>#N/A</v>
      </c>
      <c r="O484" s="3" t="e">
        <v>#N/A</v>
      </c>
      <c r="P484" s="3" t="e">
        <f>E484*(VLOOKUP(B484,Price_data!A$1:B$190,2,FALSE))</f>
        <v>#N/A</v>
      </c>
      <c r="Q484" s="3" t="e">
        <f>G484*(VLOOKUP(B484,Price_data!A$1:B$190,2,FALSE))</f>
        <v>#N/A</v>
      </c>
      <c r="R484" s="3" t="e">
        <f>I484*(VLOOKUP(B484,Price_data!A$1:B$190,2,FALSE))</f>
        <v>#N/A</v>
      </c>
      <c r="S484" s="4" t="str">
        <f>(VLOOKUP(B484,Price_data!A$1:C$190,3,FALSE))</f>
        <v>WW</v>
      </c>
      <c r="T484" s="2" t="str">
        <f>IF(C484="Total", (VLOOKUP(B484,Recommended_fish_intake!A$4:D$122,4,FALSE)), "NA")</f>
        <v>NA</v>
      </c>
      <c r="U484" s="2" t="str">
        <f t="shared" si="55"/>
        <v>NA</v>
      </c>
    </row>
    <row r="485" spans="1:21" ht="14.25" customHeight="1">
      <c r="A485" s="2" t="s">
        <v>15</v>
      </c>
      <c r="B485" s="2">
        <v>1939</v>
      </c>
      <c r="C485" s="2" t="s">
        <v>28</v>
      </c>
      <c r="D485" s="3" t="e">
        <f t="shared" si="49"/>
        <v>#VALUE!</v>
      </c>
      <c r="E485" s="3" t="e">
        <f t="shared" si="50"/>
        <v>#VALUE!</v>
      </c>
      <c r="F485" s="3">
        <f t="shared" si="51"/>
        <v>0.20351554562080879</v>
      </c>
      <c r="G485" s="3">
        <f t="shared" si="52"/>
        <v>6.0739999999999995E-3</v>
      </c>
      <c r="H485" s="3">
        <f t="shared" si="53"/>
        <v>11.774588498272708</v>
      </c>
      <c r="I485" s="3">
        <f t="shared" si="54"/>
        <v>1.114393</v>
      </c>
      <c r="J485" s="3" t="e">
        <v>#VALUE!</v>
      </c>
      <c r="K485" s="3" t="e">
        <v>#VALUE!</v>
      </c>
      <c r="L485" s="3">
        <v>203.51554562080878</v>
      </c>
      <c r="M485" s="3">
        <v>6.0739999999999998</v>
      </c>
      <c r="N485" s="3">
        <v>11774.588498272708</v>
      </c>
      <c r="O485" s="3">
        <v>1114.393</v>
      </c>
      <c r="P485" s="3" t="e">
        <f>E485*(VLOOKUP(B485,Price_data!A$1:B$190,2,FALSE))</f>
        <v>#VALUE!</v>
      </c>
      <c r="Q485" s="3">
        <f>G485*(VLOOKUP(B485,Price_data!A$1:B$190,2,FALSE))</f>
        <v>0.23586781501555998</v>
      </c>
      <c r="R485" s="3">
        <f>I485*(VLOOKUP(B485,Price_data!A$1:B$190,2,FALSE))</f>
        <v>43.27452123454642</v>
      </c>
      <c r="S485" s="4" t="str">
        <f>(VLOOKUP(B485,Price_data!A$1:C$190,3,FALSE))</f>
        <v>WW</v>
      </c>
      <c r="T485" s="2" t="str">
        <f>IF(C485="Total", (VLOOKUP(B485,Recommended_fish_intake!A$4:D$122,4,FALSE)), "NA")</f>
        <v>NA</v>
      </c>
      <c r="U485" s="2" t="e">
        <f t="shared" si="55"/>
        <v>#VALUE!</v>
      </c>
    </row>
    <row r="486" spans="1:21" ht="14.25" customHeight="1">
      <c r="A486" s="2" t="s">
        <v>15</v>
      </c>
      <c r="B486" s="2">
        <v>1939</v>
      </c>
      <c r="C486" s="2" t="s">
        <v>29</v>
      </c>
      <c r="D486" s="3" t="e">
        <f t="shared" si="49"/>
        <v>#VALUE!</v>
      </c>
      <c r="E486" s="3" t="e">
        <f t="shared" si="50"/>
        <v>#VALUE!</v>
      </c>
      <c r="F486" s="3" t="e">
        <f t="shared" si="51"/>
        <v>#N/A</v>
      </c>
      <c r="G486" s="3" t="e">
        <f t="shared" si="52"/>
        <v>#N/A</v>
      </c>
      <c r="H486" s="3" t="e">
        <f t="shared" si="53"/>
        <v>#N/A</v>
      </c>
      <c r="I486" s="3" t="e">
        <f t="shared" si="54"/>
        <v>#N/A</v>
      </c>
      <c r="J486" s="3" t="e">
        <v>#VALUE!</v>
      </c>
      <c r="K486" s="3" t="e">
        <v>#VALUE!</v>
      </c>
      <c r="L486" s="3" t="e">
        <v>#N/A</v>
      </c>
      <c r="M486" s="3" t="e">
        <v>#N/A</v>
      </c>
      <c r="N486" s="3" t="e">
        <v>#N/A</v>
      </c>
      <c r="O486" s="3" t="e">
        <v>#N/A</v>
      </c>
      <c r="P486" s="3" t="e">
        <f>E486*(VLOOKUP(B486,Price_data!A$1:B$190,2,FALSE))</f>
        <v>#VALUE!</v>
      </c>
      <c r="Q486" s="3" t="e">
        <f>G486*(VLOOKUP(B486,Price_data!A$1:B$190,2,FALSE))</f>
        <v>#N/A</v>
      </c>
      <c r="R486" s="3" t="e">
        <f>I486*(VLOOKUP(B486,Price_data!A$1:B$190,2,FALSE))</f>
        <v>#N/A</v>
      </c>
      <c r="S486" s="4" t="str">
        <f>(VLOOKUP(B486,Price_data!A$1:C$190,3,FALSE))</f>
        <v>WW</v>
      </c>
      <c r="T486" s="2" t="str">
        <f>IF(C486="Total", (VLOOKUP(B486,Recommended_fish_intake!A$4:D$122,4,FALSE)), "NA")</f>
        <v>NA</v>
      </c>
      <c r="U486" s="2" t="str">
        <f t="shared" si="55"/>
        <v>NA</v>
      </c>
    </row>
    <row r="487" spans="1:21" ht="14.25" customHeight="1">
      <c r="A487" s="2" t="s">
        <v>15</v>
      </c>
      <c r="B487" s="2">
        <v>1939</v>
      </c>
      <c r="C487" s="2" t="s">
        <v>20</v>
      </c>
      <c r="D487" s="3">
        <f t="shared" si="49"/>
        <v>6.7520321072952649</v>
      </c>
      <c r="E487" s="3" t="e">
        <f t="shared" si="50"/>
        <v>#N/A</v>
      </c>
      <c r="F487" s="3" t="e">
        <f t="shared" si="51"/>
        <v>#N/A</v>
      </c>
      <c r="G487" s="3" t="e">
        <f t="shared" si="52"/>
        <v>#N/A</v>
      </c>
      <c r="H487" s="3" t="e">
        <f t="shared" si="53"/>
        <v>#N/A</v>
      </c>
      <c r="I487" s="3" t="e">
        <f t="shared" si="54"/>
        <v>#N/A</v>
      </c>
      <c r="J487" s="3">
        <v>6752.0321072952647</v>
      </c>
      <c r="K487" s="3" t="e">
        <v>#N/A</v>
      </c>
      <c r="L487" s="3" t="e">
        <v>#N/A</v>
      </c>
      <c r="M487" s="3" t="e">
        <v>#N/A</v>
      </c>
      <c r="N487" s="3" t="e">
        <v>#N/A</v>
      </c>
      <c r="O487" s="3" t="e">
        <v>#N/A</v>
      </c>
      <c r="P487" s="3" t="e">
        <f>E487*(VLOOKUP(B487,Price_data!A$1:B$190,2,FALSE))</f>
        <v>#N/A</v>
      </c>
      <c r="Q487" s="3" t="e">
        <f>G487*(VLOOKUP(B487,Price_data!A$1:B$190,2,FALSE))</f>
        <v>#N/A</v>
      </c>
      <c r="R487" s="3" t="e">
        <f>I487*(VLOOKUP(B487,Price_data!A$1:B$190,2,FALSE))</f>
        <v>#N/A</v>
      </c>
      <c r="S487" s="4" t="str">
        <f>(VLOOKUP(B487,Price_data!A$1:C$190,3,FALSE))</f>
        <v>WW</v>
      </c>
      <c r="T487" s="2" t="str">
        <f>IF(C487="Total", (VLOOKUP(B487,Recommended_fish_intake!A$4:D$122,4,FALSE)), "NA")</f>
        <v>NA</v>
      </c>
      <c r="U487" s="2" t="str">
        <f t="shared" si="55"/>
        <v>NA</v>
      </c>
    </row>
    <row r="488" spans="1:21" ht="14.25" customHeight="1">
      <c r="A488" s="2" t="s">
        <v>15</v>
      </c>
      <c r="B488" s="2">
        <v>1939</v>
      </c>
      <c r="C488" s="2" t="s">
        <v>25</v>
      </c>
      <c r="D488" s="3">
        <f t="shared" si="49"/>
        <v>22.86633814265393</v>
      </c>
      <c r="E488" s="3" t="e">
        <f t="shared" si="50"/>
        <v>#N/A</v>
      </c>
      <c r="F488" s="3" t="e">
        <f t="shared" si="51"/>
        <v>#N/A</v>
      </c>
      <c r="G488" s="3" t="e">
        <f t="shared" si="52"/>
        <v>#N/A</v>
      </c>
      <c r="H488" s="3" t="e">
        <f t="shared" si="53"/>
        <v>#N/A</v>
      </c>
      <c r="I488" s="3" t="e">
        <f t="shared" si="54"/>
        <v>#N/A</v>
      </c>
      <c r="J488" s="3">
        <v>22866.338142653931</v>
      </c>
      <c r="K488" s="3" t="e">
        <v>#N/A</v>
      </c>
      <c r="L488" s="3" t="e">
        <v>#N/A</v>
      </c>
      <c r="M488" s="3" t="e">
        <v>#N/A</v>
      </c>
      <c r="N488" s="3" t="e">
        <v>#N/A</v>
      </c>
      <c r="O488" s="3" t="e">
        <v>#N/A</v>
      </c>
      <c r="P488" s="3" t="e">
        <f>E488*(VLOOKUP(B488,Price_data!A$1:B$190,2,FALSE))</f>
        <v>#N/A</v>
      </c>
      <c r="Q488" s="3" t="e">
        <f>G488*(VLOOKUP(B488,Price_data!A$1:B$190,2,FALSE))</f>
        <v>#N/A</v>
      </c>
      <c r="R488" s="3" t="e">
        <f>I488*(VLOOKUP(B488,Price_data!A$1:B$190,2,FALSE))</f>
        <v>#N/A</v>
      </c>
      <c r="S488" s="4" t="str">
        <f>(VLOOKUP(B488,Price_data!A$1:C$190,3,FALSE))</f>
        <v>WW</v>
      </c>
      <c r="T488" s="2" t="str">
        <f>IF(C488="Total", (VLOOKUP(B488,Recommended_fish_intake!A$4:D$122,4,FALSE)), "NA")</f>
        <v>NA</v>
      </c>
      <c r="U488" s="2" t="str">
        <f t="shared" si="55"/>
        <v>NA</v>
      </c>
    </row>
    <row r="489" spans="1:21" ht="14.25" customHeight="1">
      <c r="A489" s="2" t="s">
        <v>15</v>
      </c>
      <c r="B489" s="2">
        <v>1939</v>
      </c>
      <c r="C489" s="2" t="s">
        <v>24</v>
      </c>
      <c r="D489" s="3">
        <f t="shared" si="49"/>
        <v>32.141485470432833</v>
      </c>
      <c r="E489" s="3" t="e">
        <f t="shared" si="50"/>
        <v>#N/A</v>
      </c>
      <c r="F489" s="3" t="e">
        <f t="shared" si="51"/>
        <v>#N/A</v>
      </c>
      <c r="G489" s="3" t="e">
        <f t="shared" si="52"/>
        <v>#N/A</v>
      </c>
      <c r="H489" s="3" t="e">
        <f t="shared" si="53"/>
        <v>#N/A</v>
      </c>
      <c r="I489" s="3" t="e">
        <f t="shared" si="54"/>
        <v>#N/A</v>
      </c>
      <c r="J489" s="3">
        <v>32141.485470432835</v>
      </c>
      <c r="K489" s="3" t="e">
        <v>#N/A</v>
      </c>
      <c r="L489" s="3" t="e">
        <v>#N/A</v>
      </c>
      <c r="M489" s="3" t="e">
        <v>#N/A</v>
      </c>
      <c r="N489" s="3" t="e">
        <v>#N/A</v>
      </c>
      <c r="O489" s="3" t="e">
        <v>#N/A</v>
      </c>
      <c r="P489" s="3" t="e">
        <f>E489*(VLOOKUP(B489,Price_data!A$1:B$190,2,FALSE))</f>
        <v>#N/A</v>
      </c>
      <c r="Q489" s="3" t="e">
        <f>G489*(VLOOKUP(B489,Price_data!A$1:B$190,2,FALSE))</f>
        <v>#N/A</v>
      </c>
      <c r="R489" s="3" t="e">
        <f>I489*(VLOOKUP(B489,Price_data!A$1:B$190,2,FALSE))</f>
        <v>#N/A</v>
      </c>
      <c r="S489" s="4" t="str">
        <f>(VLOOKUP(B489,Price_data!A$1:C$190,3,FALSE))</f>
        <v>WW</v>
      </c>
      <c r="T489" s="2" t="str">
        <f>IF(C489="Total", (VLOOKUP(B489,Recommended_fish_intake!A$4:D$122,4,FALSE)), "NA")</f>
        <v>NA</v>
      </c>
      <c r="U489" s="2" t="str">
        <f t="shared" si="55"/>
        <v>NA</v>
      </c>
    </row>
    <row r="490" spans="1:21" ht="14.25" customHeight="1">
      <c r="A490" s="2" t="s">
        <v>15</v>
      </c>
      <c r="B490" s="2">
        <v>1939</v>
      </c>
      <c r="C490" s="2" t="s">
        <v>30</v>
      </c>
      <c r="D490" s="3" t="e">
        <f t="shared" si="49"/>
        <v>#N/A</v>
      </c>
      <c r="E490" s="3" t="e">
        <f t="shared" si="50"/>
        <v>#N/A</v>
      </c>
      <c r="F490" s="3" t="e">
        <f t="shared" si="51"/>
        <v>#N/A</v>
      </c>
      <c r="G490" s="3" t="e">
        <f t="shared" si="52"/>
        <v>#N/A</v>
      </c>
      <c r="H490" s="3" t="e">
        <f t="shared" si="53"/>
        <v>#N/A</v>
      </c>
      <c r="I490" s="3" t="e">
        <f t="shared" si="54"/>
        <v>#N/A</v>
      </c>
      <c r="J490" s="3" t="e">
        <v>#N/A</v>
      </c>
      <c r="K490" s="3" t="e">
        <v>#N/A</v>
      </c>
      <c r="L490" s="3" t="e">
        <v>#N/A</v>
      </c>
      <c r="M490" s="3" t="e">
        <v>#N/A</v>
      </c>
      <c r="N490" s="3" t="e">
        <v>#N/A</v>
      </c>
      <c r="O490" s="3" t="e">
        <v>#N/A</v>
      </c>
      <c r="P490" s="3" t="e">
        <f>E490*(VLOOKUP(B490,Price_data!A$1:B$190,2,FALSE))</f>
        <v>#N/A</v>
      </c>
      <c r="Q490" s="3" t="e">
        <f>G490*(VLOOKUP(B490,Price_data!A$1:B$190,2,FALSE))</f>
        <v>#N/A</v>
      </c>
      <c r="R490" s="3" t="e">
        <f>I490*(VLOOKUP(B490,Price_data!A$1:B$190,2,FALSE))</f>
        <v>#N/A</v>
      </c>
      <c r="S490" s="4" t="str">
        <f>(VLOOKUP(B490,Price_data!A$1:C$190,3,FALSE))</f>
        <v>WW</v>
      </c>
      <c r="T490" s="2" t="str">
        <f>IF(C490="Total", (VLOOKUP(B490,Recommended_fish_intake!A$4:D$122,4,FALSE)), "NA")</f>
        <v>NA</v>
      </c>
      <c r="U490" s="2" t="str">
        <f t="shared" si="55"/>
        <v>NA</v>
      </c>
    </row>
    <row r="491" spans="1:21" ht="14.25" customHeight="1">
      <c r="A491" s="2" t="s">
        <v>15</v>
      </c>
      <c r="B491" s="2">
        <v>1940</v>
      </c>
      <c r="C491" s="2" t="s">
        <v>16</v>
      </c>
      <c r="D491" s="3">
        <f t="shared" si="49"/>
        <v>318.56340174761226</v>
      </c>
      <c r="E491" s="3">
        <f t="shared" si="50"/>
        <v>13.574915000000001</v>
      </c>
      <c r="F491" s="3">
        <f t="shared" si="51"/>
        <v>24.789676894940051</v>
      </c>
      <c r="G491" s="3">
        <f t="shared" si="52"/>
        <v>0.94171400000000005</v>
      </c>
      <c r="H491" s="3">
        <f t="shared" si="53"/>
        <v>279.50762040235725</v>
      </c>
      <c r="I491" s="3">
        <f t="shared" si="54"/>
        <v>16.285288000000001</v>
      </c>
      <c r="J491" s="3">
        <v>318563.40174761228</v>
      </c>
      <c r="K491" s="3">
        <v>13574.915000000001</v>
      </c>
      <c r="L491" s="3">
        <v>24789.67689494005</v>
      </c>
      <c r="M491" s="3">
        <v>941.71400000000006</v>
      </c>
      <c r="N491" s="3">
        <v>279507.62040235725</v>
      </c>
      <c r="O491" s="3">
        <v>16285.288</v>
      </c>
      <c r="P491" s="3">
        <f>E491*(VLOOKUP(B491,Price_data!A$1:B$190,2,FALSE))</f>
        <v>451.46672753931216</v>
      </c>
      <c r="Q491" s="3">
        <f>G491*(VLOOKUP(B491,Price_data!A$1:B$190,2,FALSE))</f>
        <v>31.318983423318365</v>
      </c>
      <c r="R491" s="3">
        <f>I491*(VLOOKUP(B491,Price_data!A$1:B$190,2,FALSE))</f>
        <v>541.60675631451318</v>
      </c>
      <c r="S491" s="4" t="str">
        <f>(VLOOKUP(B491,Price_data!A$1:C$190,3,FALSE))</f>
        <v>WW</v>
      </c>
      <c r="T491" s="2">
        <f>IF(C491="Total", (VLOOKUP(B491,Recommended_fish_intake!A$4:D$122,4,FALSE)), "NA")</f>
        <v>602.97079946542817</v>
      </c>
      <c r="U491" s="2" t="str">
        <f t="shared" si="55"/>
        <v>NA</v>
      </c>
    </row>
    <row r="492" spans="1:21" ht="14.25" customHeight="1">
      <c r="A492" s="2" t="s">
        <v>15</v>
      </c>
      <c r="B492" s="2">
        <v>1940</v>
      </c>
      <c r="C492" s="2" t="s">
        <v>22</v>
      </c>
      <c r="D492" s="3">
        <f t="shared" si="49"/>
        <v>63.935836212151997</v>
      </c>
      <c r="E492" s="3" t="e">
        <f t="shared" si="50"/>
        <v>#N/A</v>
      </c>
      <c r="F492" s="3">
        <f t="shared" si="51"/>
        <v>3.2484759195285511</v>
      </c>
      <c r="G492" s="3">
        <f t="shared" si="52"/>
        <v>0.14376800000000001</v>
      </c>
      <c r="H492" s="3">
        <f t="shared" si="53"/>
        <v>92.804409672830715</v>
      </c>
      <c r="I492" s="3">
        <f t="shared" si="54"/>
        <v>3.3508850000000003</v>
      </c>
      <c r="J492" s="3">
        <v>63935.836212151997</v>
      </c>
      <c r="K492" s="3" t="e">
        <v>#N/A</v>
      </c>
      <c r="L492" s="3">
        <v>3248.475919528551</v>
      </c>
      <c r="M492" s="3">
        <v>143.768</v>
      </c>
      <c r="N492" s="3">
        <v>92804.40967283072</v>
      </c>
      <c r="O492" s="3">
        <v>3350.8850000000002</v>
      </c>
      <c r="P492" s="3" t="e">
        <f>E492*(VLOOKUP(B492,Price_data!A$1:B$190,2,FALSE))</f>
        <v>#N/A</v>
      </c>
      <c r="Q492" s="3">
        <f>G492*(VLOOKUP(B492,Price_data!A$1:B$190,2,FALSE))</f>
        <v>4.781353583788321</v>
      </c>
      <c r="R492" s="3">
        <f>I492*(VLOOKUP(B492,Price_data!A$1:B$190,2,FALSE))</f>
        <v>111.44180905077992</v>
      </c>
      <c r="S492" s="4" t="str">
        <f>(VLOOKUP(B492,Price_data!A$1:C$190,3,FALSE))</f>
        <v>WW</v>
      </c>
      <c r="T492" s="2" t="str">
        <f>IF(C492="Total", (VLOOKUP(B492,Recommended_fish_intake!A$4:D$122,4,FALSE)), "NA")</f>
        <v>NA</v>
      </c>
      <c r="U492" s="2" t="str">
        <f t="shared" si="55"/>
        <v>NA</v>
      </c>
    </row>
    <row r="493" spans="1:21" ht="14.25" customHeight="1">
      <c r="A493" s="2" t="s">
        <v>15</v>
      </c>
      <c r="B493" s="2">
        <v>1940</v>
      </c>
      <c r="C493" s="2" t="s">
        <v>23</v>
      </c>
      <c r="D493" s="3">
        <f t="shared" si="49"/>
        <v>49.933753302174352</v>
      </c>
      <c r="E493" s="3" t="e">
        <f t="shared" si="50"/>
        <v>#N/A</v>
      </c>
      <c r="F493" s="3">
        <f t="shared" si="51"/>
        <v>0.28921967079861816</v>
      </c>
      <c r="G493" s="3">
        <f t="shared" si="52"/>
        <v>1.54E-2</v>
      </c>
      <c r="H493" s="3">
        <f t="shared" si="53"/>
        <v>20.566602316602314</v>
      </c>
      <c r="I493" s="3">
        <f t="shared" si="54"/>
        <v>0.84048800000000001</v>
      </c>
      <c r="J493" s="3">
        <v>49933.753302174351</v>
      </c>
      <c r="K493" s="3" t="e">
        <v>#N/A</v>
      </c>
      <c r="L493" s="3">
        <v>289.21967079861815</v>
      </c>
      <c r="M493" s="3">
        <v>15.4</v>
      </c>
      <c r="N493" s="3">
        <v>20566.602316602315</v>
      </c>
      <c r="O493" s="3">
        <v>840.48800000000006</v>
      </c>
      <c r="P493" s="3" t="e">
        <f>E493*(VLOOKUP(B493,Price_data!A$1:B$190,2,FALSE))</f>
        <v>#N/A</v>
      </c>
      <c r="Q493" s="3">
        <f>G493*(VLOOKUP(B493,Price_data!A$1:B$190,2,FALSE))</f>
        <v>0.512164356396</v>
      </c>
      <c r="R493" s="3">
        <f>I493*(VLOOKUP(B493,Price_data!A$1:B$190,2,FALSE))</f>
        <v>27.952467245361124</v>
      </c>
      <c r="S493" s="4" t="str">
        <f>(VLOOKUP(B493,Price_data!A$1:C$190,3,FALSE))</f>
        <v>WW</v>
      </c>
      <c r="T493" s="2" t="str">
        <f>IF(C493="Total", (VLOOKUP(B493,Recommended_fish_intake!A$4:D$122,4,FALSE)), "NA")</f>
        <v>NA</v>
      </c>
      <c r="U493" s="2" t="str">
        <f t="shared" si="55"/>
        <v>NA</v>
      </c>
    </row>
    <row r="494" spans="1:21" ht="14.25" customHeight="1">
      <c r="A494" s="2" t="s">
        <v>15</v>
      </c>
      <c r="B494" s="2">
        <v>1940</v>
      </c>
      <c r="C494" s="2" t="s">
        <v>19</v>
      </c>
      <c r="D494" s="3">
        <f t="shared" si="49"/>
        <v>68.061318837634616</v>
      </c>
      <c r="E494" s="3" t="e">
        <f t="shared" si="50"/>
        <v>#N/A</v>
      </c>
      <c r="F494" s="3">
        <f t="shared" si="51"/>
        <v>16.722718959561064</v>
      </c>
      <c r="G494" s="3">
        <f t="shared" si="52"/>
        <v>0.48511399999999999</v>
      </c>
      <c r="H494" s="3">
        <f t="shared" si="53"/>
        <v>14.909672830725462</v>
      </c>
      <c r="I494" s="3">
        <f t="shared" si="54"/>
        <v>0.58367100000000005</v>
      </c>
      <c r="J494" s="3">
        <v>68061.318837634622</v>
      </c>
      <c r="K494" s="3" t="e">
        <v>#N/A</v>
      </c>
      <c r="L494" s="3">
        <v>16722.718959561065</v>
      </c>
      <c r="M494" s="3">
        <v>485.11399999999998</v>
      </c>
      <c r="N494" s="3">
        <v>14909.672830725462</v>
      </c>
      <c r="O494" s="3">
        <v>583.67100000000005</v>
      </c>
      <c r="P494" s="3" t="e">
        <f>E494*(VLOOKUP(B494,Price_data!A$1:B$190,2,FALSE))</f>
        <v>#N/A</v>
      </c>
      <c r="Q494" s="3">
        <f>G494*(VLOOKUP(B494,Price_data!A$1:B$190,2,FALSE))</f>
        <v>16.133642830434361</v>
      </c>
      <c r="R494" s="3">
        <f>I494*(VLOOKUP(B494,Price_data!A$1:B$190,2,FALSE))</f>
        <v>19.411394939091544</v>
      </c>
      <c r="S494" s="4" t="str">
        <f>(VLOOKUP(B494,Price_data!A$1:C$190,3,FALSE))</f>
        <v>WW</v>
      </c>
      <c r="T494" s="2" t="str">
        <f>IF(C494="Total", (VLOOKUP(B494,Recommended_fish_intake!A$4:D$122,4,FALSE)), "NA")</f>
        <v>NA</v>
      </c>
      <c r="U494" s="2" t="str">
        <f t="shared" si="55"/>
        <v>NA</v>
      </c>
    </row>
    <row r="495" spans="1:21" ht="14.25" customHeight="1">
      <c r="A495" s="2" t="s">
        <v>15</v>
      </c>
      <c r="B495" s="2">
        <v>1940</v>
      </c>
      <c r="C495" s="2" t="s">
        <v>28</v>
      </c>
      <c r="D495" s="3" t="e">
        <f t="shared" si="49"/>
        <v>#VALUE!</v>
      </c>
      <c r="E495" s="3" t="e">
        <f t="shared" si="50"/>
        <v>#VALUE!</v>
      </c>
      <c r="F495" s="3">
        <f t="shared" si="51"/>
        <v>4.6230440967283071E-2</v>
      </c>
      <c r="G495" s="3">
        <f t="shared" si="52"/>
        <v>1.0989999999999999E-3</v>
      </c>
      <c r="H495" s="3">
        <f t="shared" si="53"/>
        <v>4.0080776264986788</v>
      </c>
      <c r="I495" s="3">
        <f t="shared" si="54"/>
        <v>0.138436</v>
      </c>
      <c r="J495" s="3" t="e">
        <v>#VALUE!</v>
      </c>
      <c r="K495" s="3" t="e">
        <v>#VALUE!</v>
      </c>
      <c r="L495" s="3">
        <v>46.230440967283073</v>
      </c>
      <c r="M495" s="3">
        <v>1.099</v>
      </c>
      <c r="N495" s="3">
        <v>4008.0776264986789</v>
      </c>
      <c r="O495" s="3">
        <v>138.43600000000001</v>
      </c>
      <c r="P495" s="3" t="e">
        <f>E495*(VLOOKUP(B495,Price_data!A$1:B$190,2,FALSE))</f>
        <v>#VALUE!</v>
      </c>
      <c r="Q495" s="3">
        <f>G495*(VLOOKUP(B495,Price_data!A$1:B$190,2,FALSE))</f>
        <v>3.6549910888259998E-2</v>
      </c>
      <c r="R495" s="3">
        <f>I495*(VLOOKUP(B495,Price_data!A$1:B$190,2,FALSE))</f>
        <v>4.6040249897426406</v>
      </c>
      <c r="S495" s="4" t="str">
        <f>(VLOOKUP(B495,Price_data!A$1:C$190,3,FALSE))</f>
        <v>WW</v>
      </c>
      <c r="T495" s="2" t="str">
        <f>IF(C495="Total", (VLOOKUP(B495,Recommended_fish_intake!A$4:D$122,4,FALSE)), "NA")</f>
        <v>NA</v>
      </c>
      <c r="U495" s="2" t="e">
        <f t="shared" si="55"/>
        <v>#VALUE!</v>
      </c>
    </row>
    <row r="496" spans="1:21" ht="14.25" customHeight="1">
      <c r="A496" s="2" t="s">
        <v>15</v>
      </c>
      <c r="B496" s="2">
        <v>1940</v>
      </c>
      <c r="C496" s="2" t="s">
        <v>29</v>
      </c>
      <c r="D496" s="3" t="e">
        <f t="shared" si="49"/>
        <v>#VALUE!</v>
      </c>
      <c r="E496" s="3" t="e">
        <f t="shared" si="50"/>
        <v>#VALUE!</v>
      </c>
      <c r="F496" s="3">
        <f t="shared" si="51"/>
        <v>2.2099166836008939E-2</v>
      </c>
      <c r="G496" s="3">
        <f t="shared" si="52"/>
        <v>5.3739999999999994E-3</v>
      </c>
      <c r="H496" s="3">
        <f t="shared" si="53"/>
        <v>57.12736232473074</v>
      </c>
      <c r="I496" s="3">
        <f t="shared" si="54"/>
        <v>5.8271440000000005</v>
      </c>
      <c r="J496" s="3" t="e">
        <v>#VALUE!</v>
      </c>
      <c r="K496" s="3" t="e">
        <v>#VALUE!</v>
      </c>
      <c r="L496" s="3">
        <v>22.099166836008941</v>
      </c>
      <c r="M496" s="3">
        <v>5.3739999999999997</v>
      </c>
      <c r="N496" s="3">
        <v>57127.362324730741</v>
      </c>
      <c r="O496" s="3">
        <v>5827.1440000000002</v>
      </c>
      <c r="P496" s="3" t="e">
        <f>E496*(VLOOKUP(B496,Price_data!A$1:B$190,2,FALSE))</f>
        <v>#VALUE!</v>
      </c>
      <c r="Q496" s="3">
        <f>G496*(VLOOKUP(B496,Price_data!A$1:B$190,2,FALSE))</f>
        <v>0.17872540592676001</v>
      </c>
      <c r="R496" s="3">
        <f>I496*(VLOOKUP(B496,Price_data!A$1:B$190,2,FALSE))</f>
        <v>193.79580885628658</v>
      </c>
      <c r="S496" s="4" t="str">
        <f>(VLOOKUP(B496,Price_data!A$1:C$190,3,FALSE))</f>
        <v>WW</v>
      </c>
      <c r="T496" s="2" t="str">
        <f>IF(C496="Total", (VLOOKUP(B496,Recommended_fish_intake!A$4:D$122,4,FALSE)), "NA")</f>
        <v>NA</v>
      </c>
      <c r="U496" s="2" t="str">
        <f t="shared" si="55"/>
        <v>NA</v>
      </c>
    </row>
    <row r="497" spans="1:21" ht="14.25" customHeight="1">
      <c r="A497" s="2" t="s">
        <v>15</v>
      </c>
      <c r="B497" s="2">
        <v>1940</v>
      </c>
      <c r="C497" s="2" t="s">
        <v>20</v>
      </c>
      <c r="D497" s="3">
        <f t="shared" si="49"/>
        <v>6.3523674049989838</v>
      </c>
      <c r="E497" s="3" t="e">
        <f t="shared" si="50"/>
        <v>#N/A</v>
      </c>
      <c r="F497" s="3" t="e">
        <f t="shared" si="51"/>
        <v>#VALUE!</v>
      </c>
      <c r="G497" s="3" t="e">
        <f t="shared" si="52"/>
        <v>#VALUE!</v>
      </c>
      <c r="H497" s="3" t="e">
        <f t="shared" si="53"/>
        <v>#VALUE!</v>
      </c>
      <c r="I497" s="3" t="e">
        <f t="shared" si="54"/>
        <v>#VALUE!</v>
      </c>
      <c r="J497" s="3">
        <v>6352.3674049989841</v>
      </c>
      <c r="K497" s="3" t="e">
        <v>#N/A</v>
      </c>
      <c r="L497" s="3" t="e">
        <v>#VALUE!</v>
      </c>
      <c r="M497" s="3" t="e">
        <v>#VALUE!</v>
      </c>
      <c r="N497" s="3" t="e">
        <v>#VALUE!</v>
      </c>
      <c r="O497" s="3" t="e">
        <v>#VALUE!</v>
      </c>
      <c r="P497" s="3" t="e">
        <f>E497*(VLOOKUP(B497,Price_data!A$1:B$190,2,FALSE))</f>
        <v>#N/A</v>
      </c>
      <c r="Q497" s="3" t="e">
        <f>G497*(VLOOKUP(B497,Price_data!A$1:B$190,2,FALSE))</f>
        <v>#VALUE!</v>
      </c>
      <c r="R497" s="3" t="e">
        <f>I497*(VLOOKUP(B497,Price_data!A$1:B$190,2,FALSE))</f>
        <v>#VALUE!</v>
      </c>
      <c r="S497" s="4" t="str">
        <f>(VLOOKUP(B497,Price_data!A$1:C$190,3,FALSE))</f>
        <v>WW</v>
      </c>
      <c r="T497" s="2" t="str">
        <f>IF(C497="Total", (VLOOKUP(B497,Recommended_fish_intake!A$4:D$122,4,FALSE)), "NA")</f>
        <v>NA</v>
      </c>
      <c r="U497" s="2" t="str">
        <f t="shared" si="55"/>
        <v>NA</v>
      </c>
    </row>
    <row r="498" spans="1:21" ht="14.25" customHeight="1">
      <c r="A498" s="2" t="s">
        <v>15</v>
      </c>
      <c r="B498" s="2">
        <v>1940</v>
      </c>
      <c r="C498" s="2" t="s">
        <v>25</v>
      </c>
      <c r="D498" s="3">
        <f t="shared" si="49"/>
        <v>9.1031294452347087</v>
      </c>
      <c r="E498" s="3" t="e">
        <f t="shared" si="50"/>
        <v>#N/A</v>
      </c>
      <c r="F498" s="3" t="e">
        <f t="shared" si="51"/>
        <v>#N/A</v>
      </c>
      <c r="G498" s="3" t="e">
        <f t="shared" si="52"/>
        <v>#N/A</v>
      </c>
      <c r="H498" s="3" t="e">
        <f t="shared" si="53"/>
        <v>#N/A</v>
      </c>
      <c r="I498" s="3" t="e">
        <f t="shared" si="54"/>
        <v>#N/A</v>
      </c>
      <c r="J498" s="3">
        <v>9103.1294452347083</v>
      </c>
      <c r="K498" s="3" t="e">
        <v>#N/A</v>
      </c>
      <c r="L498" s="3" t="e">
        <v>#N/A</v>
      </c>
      <c r="M498" s="3" t="e">
        <v>#N/A</v>
      </c>
      <c r="N498" s="3" t="e">
        <v>#N/A</v>
      </c>
      <c r="O498" s="3" t="e">
        <v>#N/A</v>
      </c>
      <c r="P498" s="3" t="e">
        <f>E498*(VLOOKUP(B498,Price_data!A$1:B$190,2,FALSE))</f>
        <v>#N/A</v>
      </c>
      <c r="Q498" s="3" t="e">
        <f>G498*(VLOOKUP(B498,Price_data!A$1:B$190,2,FALSE))</f>
        <v>#N/A</v>
      </c>
      <c r="R498" s="3" t="e">
        <f>I498*(VLOOKUP(B498,Price_data!A$1:B$190,2,FALSE))</f>
        <v>#N/A</v>
      </c>
      <c r="S498" s="4" t="str">
        <f>(VLOOKUP(B498,Price_data!A$1:C$190,3,FALSE))</f>
        <v>WW</v>
      </c>
      <c r="T498" s="2" t="str">
        <f>IF(C498="Total", (VLOOKUP(B498,Recommended_fish_intake!A$4:D$122,4,FALSE)), "NA")</f>
        <v>NA</v>
      </c>
      <c r="U498" s="2" t="str">
        <f t="shared" si="55"/>
        <v>NA</v>
      </c>
    </row>
    <row r="499" spans="1:21" ht="14.25" customHeight="1">
      <c r="A499" s="2" t="s">
        <v>15</v>
      </c>
      <c r="B499" s="2">
        <v>1940</v>
      </c>
      <c r="C499" s="2" t="s">
        <v>24</v>
      </c>
      <c r="D499" s="3">
        <f t="shared" si="49"/>
        <v>20.69574273521642</v>
      </c>
      <c r="E499" s="3" t="e">
        <f t="shared" si="50"/>
        <v>#N/A</v>
      </c>
      <c r="F499" s="3" t="e">
        <f t="shared" si="51"/>
        <v>#N/A</v>
      </c>
      <c r="G499" s="3" t="e">
        <f t="shared" si="52"/>
        <v>#N/A</v>
      </c>
      <c r="H499" s="3" t="e">
        <f t="shared" si="53"/>
        <v>#N/A</v>
      </c>
      <c r="I499" s="3" t="e">
        <f t="shared" si="54"/>
        <v>#N/A</v>
      </c>
      <c r="J499" s="3">
        <v>20695.74273521642</v>
      </c>
      <c r="K499" s="3" t="e">
        <v>#N/A</v>
      </c>
      <c r="L499" s="3" t="e">
        <v>#N/A</v>
      </c>
      <c r="M499" s="3" t="e">
        <v>#N/A</v>
      </c>
      <c r="N499" s="3" t="e">
        <v>#N/A</v>
      </c>
      <c r="O499" s="3" t="e">
        <v>#N/A</v>
      </c>
      <c r="P499" s="3" t="e">
        <f>E499*(VLOOKUP(B499,Price_data!A$1:B$190,2,FALSE))</f>
        <v>#N/A</v>
      </c>
      <c r="Q499" s="3" t="e">
        <f>G499*(VLOOKUP(B499,Price_data!A$1:B$190,2,FALSE))</f>
        <v>#N/A</v>
      </c>
      <c r="R499" s="3" t="e">
        <f>I499*(VLOOKUP(B499,Price_data!A$1:B$190,2,FALSE))</f>
        <v>#N/A</v>
      </c>
      <c r="S499" s="4" t="str">
        <f>(VLOOKUP(B499,Price_data!A$1:C$190,3,FALSE))</f>
        <v>WW</v>
      </c>
      <c r="T499" s="2" t="str">
        <f>IF(C499="Total", (VLOOKUP(B499,Recommended_fish_intake!A$4:D$122,4,FALSE)), "NA")</f>
        <v>NA</v>
      </c>
      <c r="U499" s="2" t="str">
        <f t="shared" si="55"/>
        <v>NA</v>
      </c>
    </row>
    <row r="500" spans="1:21" ht="14.25" customHeight="1">
      <c r="A500" s="2" t="s">
        <v>15</v>
      </c>
      <c r="B500" s="2">
        <v>1940</v>
      </c>
      <c r="C500" s="2" t="s">
        <v>30</v>
      </c>
      <c r="D500" s="3" t="e">
        <f t="shared" si="49"/>
        <v>#N/A</v>
      </c>
      <c r="E500" s="3" t="e">
        <f t="shared" si="50"/>
        <v>#N/A</v>
      </c>
      <c r="F500" s="3" t="e">
        <f t="shared" si="51"/>
        <v>#VALUE!</v>
      </c>
      <c r="G500" s="3" t="e">
        <f t="shared" si="52"/>
        <v>#VALUE!</v>
      </c>
      <c r="H500" s="3">
        <f t="shared" si="53"/>
        <v>0.17242430400325137</v>
      </c>
      <c r="I500" s="3">
        <f t="shared" si="54"/>
        <v>1.2447E-2</v>
      </c>
      <c r="J500" s="3" t="e">
        <v>#N/A</v>
      </c>
      <c r="K500" s="3" t="e">
        <v>#N/A</v>
      </c>
      <c r="L500" s="3" t="e">
        <v>#VALUE!</v>
      </c>
      <c r="M500" s="3" t="e">
        <v>#VALUE!</v>
      </c>
      <c r="N500" s="3">
        <v>172.42430400325136</v>
      </c>
      <c r="O500" s="3">
        <v>12.446999999999999</v>
      </c>
      <c r="P500" s="3" t="e">
        <f>E500*(VLOOKUP(B500,Price_data!A$1:B$190,2,FALSE))</f>
        <v>#N/A</v>
      </c>
      <c r="Q500" s="3" t="e">
        <f>G500*(VLOOKUP(B500,Price_data!A$1:B$190,2,FALSE))</f>
        <v>#VALUE!</v>
      </c>
      <c r="R500" s="3">
        <f>I500*(VLOOKUP(B500,Price_data!A$1:B$190,2,FALSE))</f>
        <v>0.41395517818578004</v>
      </c>
      <c r="S500" s="4" t="str">
        <f>(VLOOKUP(B500,Price_data!A$1:C$190,3,FALSE))</f>
        <v>WW</v>
      </c>
      <c r="T500" s="2" t="str">
        <f>IF(C500="Total", (VLOOKUP(B500,Recommended_fish_intake!A$4:D$122,4,FALSE)), "NA")</f>
        <v>NA</v>
      </c>
      <c r="U500" s="2" t="str">
        <f t="shared" si="55"/>
        <v>NA</v>
      </c>
    </row>
    <row r="501" spans="1:21" ht="14.25" customHeight="1">
      <c r="A501" s="2" t="s">
        <v>15</v>
      </c>
      <c r="B501" s="2">
        <v>1941</v>
      </c>
      <c r="C501" s="2" t="s">
        <v>16</v>
      </c>
      <c r="D501" s="3">
        <f t="shared" si="49"/>
        <v>249.32869335500914</v>
      </c>
      <c r="E501" s="3">
        <f t="shared" si="50"/>
        <v>17.200678</v>
      </c>
      <c r="F501" s="3">
        <f t="shared" si="51"/>
        <v>0.98572444625076194</v>
      </c>
      <c r="G501" s="3">
        <f t="shared" si="52"/>
        <v>8.9549000000000004E-2</v>
      </c>
      <c r="H501" s="3">
        <f t="shared" si="53"/>
        <v>262.57600081284289</v>
      </c>
      <c r="I501" s="3">
        <f t="shared" si="54"/>
        <v>19.135960999999998</v>
      </c>
      <c r="J501" s="3">
        <v>249328.69335500913</v>
      </c>
      <c r="K501" s="3">
        <v>17200.678</v>
      </c>
      <c r="L501" s="3">
        <v>985.72444625076196</v>
      </c>
      <c r="M501" s="3">
        <v>89.549000000000007</v>
      </c>
      <c r="N501" s="3">
        <v>262576.00081284292</v>
      </c>
      <c r="O501" s="3">
        <v>19135.960999999999</v>
      </c>
      <c r="P501" s="3">
        <f>E501*(VLOOKUP(B501,Price_data!A$1:B$190,2,FALSE))</f>
        <v>515.86676254242957</v>
      </c>
      <c r="Q501" s="3">
        <f>G501*(VLOOKUP(B501,Price_data!A$1:B$190,2,FALSE))</f>
        <v>2.6856704554850701</v>
      </c>
      <c r="R501" s="3">
        <f>I501*(VLOOKUP(B501,Price_data!A$1:B$190,2,FALSE))</f>
        <v>573.90797323269419</v>
      </c>
      <c r="S501" s="4" t="str">
        <f>(VLOOKUP(B501,Price_data!A$1:C$190,3,FALSE))</f>
        <v>WW</v>
      </c>
      <c r="T501" s="2">
        <f>IF(C501="Total", (VLOOKUP(B501,Recommended_fish_intake!A$4:D$122,4,FALSE)), "NA")</f>
        <v>587.79081453367746</v>
      </c>
      <c r="U501" s="2" t="str">
        <f t="shared" si="55"/>
        <v>NA</v>
      </c>
    </row>
    <row r="502" spans="1:21" ht="14.25" customHeight="1">
      <c r="A502" s="2" t="s">
        <v>15</v>
      </c>
      <c r="B502" s="2">
        <v>1941</v>
      </c>
      <c r="C502" s="2" t="s">
        <v>22</v>
      </c>
      <c r="D502" s="3">
        <f t="shared" si="49"/>
        <v>43.869995935785411</v>
      </c>
      <c r="E502" s="3" t="e">
        <f t="shared" si="50"/>
        <v>#N/A</v>
      </c>
      <c r="F502" s="3" t="e">
        <f t="shared" si="51"/>
        <v>#N/A</v>
      </c>
      <c r="G502" s="3" t="e">
        <f t="shared" si="52"/>
        <v>#N/A</v>
      </c>
      <c r="H502" s="3" t="e">
        <f t="shared" si="53"/>
        <v>#N/A</v>
      </c>
      <c r="I502" s="3" t="e">
        <f t="shared" si="54"/>
        <v>#N/A</v>
      </c>
      <c r="J502" s="3">
        <v>43869.99593578541</v>
      </c>
      <c r="K502" s="3" t="e">
        <v>#N/A</v>
      </c>
      <c r="L502" s="3" t="e">
        <v>#N/A</v>
      </c>
      <c r="M502" s="3" t="e">
        <v>#N/A</v>
      </c>
      <c r="N502" s="3" t="e">
        <v>#N/A</v>
      </c>
      <c r="O502" s="3" t="e">
        <v>#N/A</v>
      </c>
      <c r="P502" s="3" t="e">
        <f>E502*(VLOOKUP(B502,Price_data!A$1:B$190,2,FALSE))</f>
        <v>#N/A</v>
      </c>
      <c r="Q502" s="3" t="e">
        <f>G502*(VLOOKUP(B502,Price_data!A$1:B$190,2,FALSE))</f>
        <v>#N/A</v>
      </c>
      <c r="R502" s="3" t="e">
        <f>I502*(VLOOKUP(B502,Price_data!A$1:B$190,2,FALSE))</f>
        <v>#N/A</v>
      </c>
      <c r="S502" s="4" t="str">
        <f>(VLOOKUP(B502,Price_data!A$1:C$190,3,FALSE))</f>
        <v>WW</v>
      </c>
      <c r="T502" s="2" t="str">
        <f>IF(C502="Total", (VLOOKUP(B502,Recommended_fish_intake!A$4:D$122,4,FALSE)), "NA")</f>
        <v>NA</v>
      </c>
      <c r="U502" s="2" t="str">
        <f t="shared" si="55"/>
        <v>NA</v>
      </c>
    </row>
    <row r="503" spans="1:21" ht="14.25" customHeight="1">
      <c r="A503" s="2" t="s">
        <v>15</v>
      </c>
      <c r="B503" s="2">
        <v>1941</v>
      </c>
      <c r="C503" s="2" t="s">
        <v>23</v>
      </c>
      <c r="D503" s="3">
        <f t="shared" si="49"/>
        <v>36.261583011583014</v>
      </c>
      <c r="E503" s="3" t="e">
        <f t="shared" si="50"/>
        <v>#N/A</v>
      </c>
      <c r="F503" s="3" t="e">
        <f t="shared" si="51"/>
        <v>#N/A</v>
      </c>
      <c r="G503" s="3" t="e">
        <f t="shared" si="52"/>
        <v>#N/A</v>
      </c>
      <c r="H503" s="3" t="e">
        <f t="shared" si="53"/>
        <v>#N/A</v>
      </c>
      <c r="I503" s="3" t="e">
        <f t="shared" si="54"/>
        <v>#N/A</v>
      </c>
      <c r="J503" s="3">
        <v>36261.58301158301</v>
      </c>
      <c r="K503" s="3" t="e">
        <v>#N/A</v>
      </c>
      <c r="L503" s="3" t="e">
        <v>#N/A</v>
      </c>
      <c r="M503" s="3" t="e">
        <v>#N/A</v>
      </c>
      <c r="N503" s="3" t="e">
        <v>#N/A</v>
      </c>
      <c r="O503" s="3" t="e">
        <v>#N/A</v>
      </c>
      <c r="P503" s="3" t="e">
        <f>E503*(VLOOKUP(B503,Price_data!A$1:B$190,2,FALSE))</f>
        <v>#N/A</v>
      </c>
      <c r="Q503" s="3" t="e">
        <f>G503*(VLOOKUP(B503,Price_data!A$1:B$190,2,FALSE))</f>
        <v>#N/A</v>
      </c>
      <c r="R503" s="3" t="e">
        <f>I503*(VLOOKUP(B503,Price_data!A$1:B$190,2,FALSE))</f>
        <v>#N/A</v>
      </c>
      <c r="S503" s="4" t="str">
        <f>(VLOOKUP(B503,Price_data!A$1:C$190,3,FALSE))</f>
        <v>WW</v>
      </c>
      <c r="T503" s="2" t="str">
        <f>IF(C503="Total", (VLOOKUP(B503,Recommended_fish_intake!A$4:D$122,4,FALSE)), "NA")</f>
        <v>NA</v>
      </c>
      <c r="U503" s="2" t="str">
        <f t="shared" si="55"/>
        <v>NA</v>
      </c>
    </row>
    <row r="504" spans="1:21" ht="14.25" customHeight="1">
      <c r="A504" s="2" t="s">
        <v>15</v>
      </c>
      <c r="B504" s="2">
        <v>1941</v>
      </c>
      <c r="C504" s="2" t="s">
        <v>19</v>
      </c>
      <c r="D504" s="3">
        <f t="shared" si="49"/>
        <v>53.790489737858159</v>
      </c>
      <c r="E504" s="3" t="e">
        <f t="shared" si="50"/>
        <v>#N/A</v>
      </c>
      <c r="F504" s="3" t="e">
        <f t="shared" si="51"/>
        <v>#N/A</v>
      </c>
      <c r="G504" s="3" t="e">
        <f t="shared" si="52"/>
        <v>#N/A</v>
      </c>
      <c r="H504" s="3" t="e">
        <f t="shared" si="53"/>
        <v>#N/A</v>
      </c>
      <c r="I504" s="3" t="e">
        <f t="shared" si="54"/>
        <v>#N/A</v>
      </c>
      <c r="J504" s="3">
        <v>53790.489737858159</v>
      </c>
      <c r="K504" s="3" t="e">
        <v>#N/A</v>
      </c>
      <c r="L504" s="3" t="e">
        <v>#N/A</v>
      </c>
      <c r="M504" s="3" t="e">
        <v>#N/A</v>
      </c>
      <c r="N504" s="3" t="e">
        <v>#N/A</v>
      </c>
      <c r="O504" s="3" t="e">
        <v>#N/A</v>
      </c>
      <c r="P504" s="3" t="e">
        <f>E504*(VLOOKUP(B504,Price_data!A$1:B$190,2,FALSE))</f>
        <v>#N/A</v>
      </c>
      <c r="Q504" s="3" t="e">
        <f>G504*(VLOOKUP(B504,Price_data!A$1:B$190,2,FALSE))</f>
        <v>#N/A</v>
      </c>
      <c r="R504" s="3" t="e">
        <f>I504*(VLOOKUP(B504,Price_data!A$1:B$190,2,FALSE))</f>
        <v>#N/A</v>
      </c>
      <c r="S504" s="4" t="str">
        <f>(VLOOKUP(B504,Price_data!A$1:C$190,3,FALSE))</f>
        <v>WW</v>
      </c>
      <c r="T504" s="2" t="str">
        <f>IF(C504="Total", (VLOOKUP(B504,Recommended_fish_intake!A$4:D$122,4,FALSE)), "NA")</f>
        <v>NA</v>
      </c>
      <c r="U504" s="2" t="str">
        <f t="shared" si="55"/>
        <v>NA</v>
      </c>
    </row>
    <row r="505" spans="1:21" ht="14.25" customHeight="1">
      <c r="A505" s="2" t="s">
        <v>15</v>
      </c>
      <c r="B505" s="2">
        <v>1941</v>
      </c>
      <c r="C505" s="2" t="s">
        <v>28</v>
      </c>
      <c r="D505" s="3" t="e">
        <f t="shared" si="49"/>
        <v>#VALUE!</v>
      </c>
      <c r="E505" s="3" t="e">
        <f t="shared" si="50"/>
        <v>#VALUE!</v>
      </c>
      <c r="F505" s="3" t="e">
        <f t="shared" si="51"/>
        <v>#N/A</v>
      </c>
      <c r="G505" s="3" t="e">
        <f t="shared" si="52"/>
        <v>#N/A</v>
      </c>
      <c r="H505" s="3" t="e">
        <f t="shared" si="53"/>
        <v>#N/A</v>
      </c>
      <c r="I505" s="3" t="e">
        <f t="shared" si="54"/>
        <v>#N/A</v>
      </c>
      <c r="J505" s="3" t="e">
        <v>#VALUE!</v>
      </c>
      <c r="K505" s="3" t="e">
        <v>#VALUE!</v>
      </c>
      <c r="L505" s="3" t="e">
        <v>#N/A</v>
      </c>
      <c r="M505" s="3" t="e">
        <v>#N/A</v>
      </c>
      <c r="N505" s="3" t="e">
        <v>#N/A</v>
      </c>
      <c r="O505" s="3" t="e">
        <v>#N/A</v>
      </c>
      <c r="P505" s="3" t="e">
        <f>E505*(VLOOKUP(B505,Price_data!A$1:B$190,2,FALSE))</f>
        <v>#VALUE!</v>
      </c>
      <c r="Q505" s="3" t="e">
        <f>G505*(VLOOKUP(B505,Price_data!A$1:B$190,2,FALSE))</f>
        <v>#N/A</v>
      </c>
      <c r="R505" s="3" t="e">
        <f>I505*(VLOOKUP(B505,Price_data!A$1:B$190,2,FALSE))</f>
        <v>#N/A</v>
      </c>
      <c r="S505" s="4" t="str">
        <f>(VLOOKUP(B505,Price_data!A$1:C$190,3,FALSE))</f>
        <v>WW</v>
      </c>
      <c r="T505" s="2" t="str">
        <f>IF(C505="Total", (VLOOKUP(B505,Recommended_fish_intake!A$4:D$122,4,FALSE)), "NA")</f>
        <v>NA</v>
      </c>
      <c r="U505" s="2" t="e">
        <f t="shared" si="55"/>
        <v>#VALUE!</v>
      </c>
    </row>
    <row r="506" spans="1:21" ht="14.25" customHeight="1">
      <c r="A506" s="2" t="s">
        <v>15</v>
      </c>
      <c r="B506" s="2">
        <v>1941</v>
      </c>
      <c r="C506" s="2" t="s">
        <v>29</v>
      </c>
      <c r="D506" s="3" t="e">
        <f t="shared" si="49"/>
        <v>#VALUE!</v>
      </c>
      <c r="E506" s="3" t="e">
        <f t="shared" si="50"/>
        <v>#VALUE!</v>
      </c>
      <c r="F506" s="3" t="e">
        <f t="shared" si="51"/>
        <v>#N/A</v>
      </c>
      <c r="G506" s="3" t="e">
        <f t="shared" si="52"/>
        <v>#N/A</v>
      </c>
      <c r="H506" s="3" t="e">
        <f t="shared" si="53"/>
        <v>#N/A</v>
      </c>
      <c r="I506" s="3" t="e">
        <f t="shared" si="54"/>
        <v>#N/A</v>
      </c>
      <c r="J506" s="3" t="e">
        <v>#VALUE!</v>
      </c>
      <c r="K506" s="3" t="e">
        <v>#VALUE!</v>
      </c>
      <c r="L506" s="3" t="e">
        <v>#N/A</v>
      </c>
      <c r="M506" s="3" t="e">
        <v>#N/A</v>
      </c>
      <c r="N506" s="3" t="e">
        <v>#N/A</v>
      </c>
      <c r="O506" s="3" t="e">
        <v>#N/A</v>
      </c>
      <c r="P506" s="3" t="e">
        <f>E506*(VLOOKUP(B506,Price_data!A$1:B$190,2,FALSE))</f>
        <v>#VALUE!</v>
      </c>
      <c r="Q506" s="3" t="e">
        <f>G506*(VLOOKUP(B506,Price_data!A$1:B$190,2,FALSE))</f>
        <v>#N/A</v>
      </c>
      <c r="R506" s="3" t="e">
        <f>I506*(VLOOKUP(B506,Price_data!A$1:B$190,2,FALSE))</f>
        <v>#N/A</v>
      </c>
      <c r="S506" s="4" t="str">
        <f>(VLOOKUP(B506,Price_data!A$1:C$190,3,FALSE))</f>
        <v>WW</v>
      </c>
      <c r="T506" s="2" t="str">
        <f>IF(C506="Total", (VLOOKUP(B506,Recommended_fish_intake!A$4:D$122,4,FALSE)), "NA")</f>
        <v>NA</v>
      </c>
      <c r="U506" s="2" t="str">
        <f t="shared" si="55"/>
        <v>NA</v>
      </c>
    </row>
    <row r="507" spans="1:21" ht="14.25" customHeight="1">
      <c r="A507" s="2" t="s">
        <v>15</v>
      </c>
      <c r="B507" s="2">
        <v>1941</v>
      </c>
      <c r="C507" s="2" t="s">
        <v>20</v>
      </c>
      <c r="D507" s="3">
        <f t="shared" si="49"/>
        <v>3.6921865474497055</v>
      </c>
      <c r="E507" s="3" t="e">
        <f t="shared" si="50"/>
        <v>#N/A</v>
      </c>
      <c r="F507" s="3" t="e">
        <f t="shared" si="51"/>
        <v>#N/A</v>
      </c>
      <c r="G507" s="3" t="e">
        <f t="shared" si="52"/>
        <v>#N/A</v>
      </c>
      <c r="H507" s="3" t="e">
        <f t="shared" si="53"/>
        <v>#N/A</v>
      </c>
      <c r="I507" s="3" t="e">
        <f t="shared" si="54"/>
        <v>#N/A</v>
      </c>
      <c r="J507" s="3">
        <v>3692.1865474497054</v>
      </c>
      <c r="K507" s="3" t="e">
        <v>#N/A</v>
      </c>
      <c r="L507" s="3" t="e">
        <v>#N/A</v>
      </c>
      <c r="M507" s="3" t="e">
        <v>#N/A</v>
      </c>
      <c r="N507" s="3" t="e">
        <v>#N/A</v>
      </c>
      <c r="O507" s="3" t="e">
        <v>#N/A</v>
      </c>
      <c r="P507" s="3" t="e">
        <f>E507*(VLOOKUP(B507,Price_data!A$1:B$190,2,FALSE))</f>
        <v>#N/A</v>
      </c>
      <c r="Q507" s="3" t="e">
        <f>G507*(VLOOKUP(B507,Price_data!A$1:B$190,2,FALSE))</f>
        <v>#N/A</v>
      </c>
      <c r="R507" s="3" t="e">
        <f>I507*(VLOOKUP(B507,Price_data!A$1:B$190,2,FALSE))</f>
        <v>#N/A</v>
      </c>
      <c r="S507" s="4" t="str">
        <f>(VLOOKUP(B507,Price_data!A$1:C$190,3,FALSE))</f>
        <v>WW</v>
      </c>
      <c r="T507" s="2" t="str">
        <f>IF(C507="Total", (VLOOKUP(B507,Recommended_fish_intake!A$4:D$122,4,FALSE)), "NA")</f>
        <v>NA</v>
      </c>
      <c r="U507" s="2" t="str">
        <f t="shared" si="55"/>
        <v>NA</v>
      </c>
    </row>
    <row r="508" spans="1:21" ht="14.25" customHeight="1">
      <c r="A508" s="2" t="s">
        <v>15</v>
      </c>
      <c r="B508" s="2">
        <v>1941</v>
      </c>
      <c r="C508" s="2" t="s">
        <v>25</v>
      </c>
      <c r="D508" s="3">
        <f t="shared" si="49"/>
        <v>8.0964742938427143</v>
      </c>
      <c r="E508" s="3" t="e">
        <f t="shared" si="50"/>
        <v>#N/A</v>
      </c>
      <c r="F508" s="3" t="e">
        <f t="shared" si="51"/>
        <v>#N/A</v>
      </c>
      <c r="G508" s="3" t="e">
        <f t="shared" si="52"/>
        <v>#N/A</v>
      </c>
      <c r="H508" s="3" t="e">
        <f t="shared" si="53"/>
        <v>#N/A</v>
      </c>
      <c r="I508" s="3" t="e">
        <f t="shared" si="54"/>
        <v>#N/A</v>
      </c>
      <c r="J508" s="3">
        <v>8096.4742938427144</v>
      </c>
      <c r="K508" s="3" t="e">
        <v>#N/A</v>
      </c>
      <c r="L508" s="3" t="e">
        <v>#N/A</v>
      </c>
      <c r="M508" s="3" t="e">
        <v>#N/A</v>
      </c>
      <c r="N508" s="3" t="e">
        <v>#N/A</v>
      </c>
      <c r="O508" s="3" t="e">
        <v>#N/A</v>
      </c>
      <c r="P508" s="3" t="e">
        <f>E508*(VLOOKUP(B508,Price_data!A$1:B$190,2,FALSE))</f>
        <v>#N/A</v>
      </c>
      <c r="Q508" s="3" t="e">
        <f>G508*(VLOOKUP(B508,Price_data!A$1:B$190,2,FALSE))</f>
        <v>#N/A</v>
      </c>
      <c r="R508" s="3" t="e">
        <f>I508*(VLOOKUP(B508,Price_data!A$1:B$190,2,FALSE))</f>
        <v>#N/A</v>
      </c>
      <c r="S508" s="4" t="str">
        <f>(VLOOKUP(B508,Price_data!A$1:C$190,3,FALSE))</f>
        <v>WW</v>
      </c>
      <c r="T508" s="2" t="str">
        <f>IF(C508="Total", (VLOOKUP(B508,Recommended_fish_intake!A$4:D$122,4,FALSE)), "NA")</f>
        <v>NA</v>
      </c>
      <c r="U508" s="2" t="str">
        <f t="shared" si="55"/>
        <v>NA</v>
      </c>
    </row>
    <row r="509" spans="1:21" ht="14.25" customHeight="1">
      <c r="A509" s="2" t="s">
        <v>15</v>
      </c>
      <c r="B509" s="2">
        <v>1941</v>
      </c>
      <c r="C509" s="2" t="s">
        <v>24</v>
      </c>
      <c r="D509" s="3">
        <f t="shared" si="49"/>
        <v>20.056238569396463</v>
      </c>
      <c r="E509" s="3" t="e">
        <f t="shared" si="50"/>
        <v>#N/A</v>
      </c>
      <c r="F509" s="3" t="e">
        <f t="shared" si="51"/>
        <v>#N/A</v>
      </c>
      <c r="G509" s="3" t="e">
        <f t="shared" si="52"/>
        <v>#N/A</v>
      </c>
      <c r="H509" s="3" t="e">
        <f t="shared" si="53"/>
        <v>#N/A</v>
      </c>
      <c r="I509" s="3" t="e">
        <f t="shared" si="54"/>
        <v>#N/A</v>
      </c>
      <c r="J509" s="3">
        <v>20056.238569396464</v>
      </c>
      <c r="K509" s="3" t="e">
        <v>#N/A</v>
      </c>
      <c r="L509" s="3" t="e">
        <v>#N/A</v>
      </c>
      <c r="M509" s="3" t="e">
        <v>#N/A</v>
      </c>
      <c r="N509" s="3" t="e">
        <v>#N/A</v>
      </c>
      <c r="O509" s="3" t="e">
        <v>#N/A</v>
      </c>
      <c r="P509" s="3" t="e">
        <f>E509*(VLOOKUP(B509,Price_data!A$1:B$190,2,FALSE))</f>
        <v>#N/A</v>
      </c>
      <c r="Q509" s="3" t="e">
        <f>G509*(VLOOKUP(B509,Price_data!A$1:B$190,2,FALSE))</f>
        <v>#N/A</v>
      </c>
      <c r="R509" s="3" t="e">
        <f>I509*(VLOOKUP(B509,Price_data!A$1:B$190,2,FALSE))</f>
        <v>#N/A</v>
      </c>
      <c r="S509" s="4" t="str">
        <f>(VLOOKUP(B509,Price_data!A$1:C$190,3,FALSE))</f>
        <v>WW</v>
      </c>
      <c r="T509" s="2" t="str">
        <f>IF(C509="Total", (VLOOKUP(B509,Recommended_fish_intake!A$4:D$122,4,FALSE)), "NA")</f>
        <v>NA</v>
      </c>
      <c r="U509" s="2" t="str">
        <f t="shared" si="55"/>
        <v>NA</v>
      </c>
    </row>
    <row r="510" spans="1:21" ht="14.25" customHeight="1">
      <c r="A510" s="2" t="s">
        <v>15</v>
      </c>
      <c r="B510" s="2">
        <v>1941</v>
      </c>
      <c r="C510" s="2" t="s">
        <v>30</v>
      </c>
      <c r="D510" s="3" t="e">
        <f t="shared" si="49"/>
        <v>#N/A</v>
      </c>
      <c r="E510" s="3" t="e">
        <f t="shared" si="50"/>
        <v>#N/A</v>
      </c>
      <c r="F510" s="3" t="e">
        <f t="shared" si="51"/>
        <v>#N/A</v>
      </c>
      <c r="G510" s="3" t="e">
        <f t="shared" si="52"/>
        <v>#N/A</v>
      </c>
      <c r="H510" s="3" t="e">
        <f t="shared" si="53"/>
        <v>#N/A</v>
      </c>
      <c r="I510" s="3" t="e">
        <f t="shared" si="54"/>
        <v>#N/A</v>
      </c>
      <c r="J510" s="3" t="e">
        <v>#N/A</v>
      </c>
      <c r="K510" s="3" t="e">
        <v>#N/A</v>
      </c>
      <c r="L510" s="3" t="e">
        <v>#N/A</v>
      </c>
      <c r="M510" s="3" t="e">
        <v>#N/A</v>
      </c>
      <c r="N510" s="3" t="e">
        <v>#N/A</v>
      </c>
      <c r="O510" s="3" t="e">
        <v>#N/A</v>
      </c>
      <c r="P510" s="3" t="e">
        <f>E510*(VLOOKUP(B510,Price_data!A$1:B$190,2,FALSE))</f>
        <v>#N/A</v>
      </c>
      <c r="Q510" s="3" t="e">
        <f>G510*(VLOOKUP(B510,Price_data!A$1:B$190,2,FALSE))</f>
        <v>#N/A</v>
      </c>
      <c r="R510" s="3" t="e">
        <f>I510*(VLOOKUP(B510,Price_data!A$1:B$190,2,FALSE))</f>
        <v>#N/A</v>
      </c>
      <c r="S510" s="4" t="str">
        <f>(VLOOKUP(B510,Price_data!A$1:C$190,3,FALSE))</f>
        <v>WW</v>
      </c>
      <c r="T510" s="2" t="str">
        <f>IF(C510="Total", (VLOOKUP(B510,Recommended_fish_intake!A$4:D$122,4,FALSE)), "NA")</f>
        <v>NA</v>
      </c>
      <c r="U510" s="2" t="str">
        <f t="shared" si="55"/>
        <v>NA</v>
      </c>
    </row>
    <row r="511" spans="1:21" ht="14.25" customHeight="1">
      <c r="A511" s="2" t="s">
        <v>15</v>
      </c>
      <c r="B511" s="2">
        <v>1942</v>
      </c>
      <c r="C511" s="2" t="s">
        <v>16</v>
      </c>
      <c r="D511" s="3">
        <f t="shared" si="49"/>
        <v>309.58407843934157</v>
      </c>
      <c r="E511" s="3">
        <f t="shared" si="50"/>
        <v>15.956327</v>
      </c>
      <c r="F511" s="3">
        <f t="shared" si="51"/>
        <v>4.0716825848404792</v>
      </c>
      <c r="G511" s="3">
        <f t="shared" si="52"/>
        <v>0.30772300000000002</v>
      </c>
      <c r="H511" s="3">
        <f t="shared" si="53"/>
        <v>315.77443609022555</v>
      </c>
      <c r="I511" s="3">
        <f t="shared" si="54"/>
        <v>23.646065999999998</v>
      </c>
      <c r="J511" s="3">
        <v>309584.07843934157</v>
      </c>
      <c r="K511" s="3">
        <v>15956.326999999999</v>
      </c>
      <c r="L511" s="3">
        <v>4071.6825848404792</v>
      </c>
      <c r="M511" s="3">
        <v>307.72300000000001</v>
      </c>
      <c r="N511" s="3">
        <v>315774.43609022553</v>
      </c>
      <c r="O511" s="3">
        <v>23646.065999999999</v>
      </c>
      <c r="P511" s="3">
        <f>E511*(VLOOKUP(B511,Price_data!A$1:B$190,2,FALSE))</f>
        <v>446.64418666152108</v>
      </c>
      <c r="Q511" s="3">
        <f>G511*(VLOOKUP(B511,Price_data!A$1:B$190,2,FALSE))</f>
        <v>8.6136796426924107</v>
      </c>
      <c r="R511" s="3">
        <f>I511*(VLOOKUP(B511,Price_data!A$1:B$190,2,FALSE))</f>
        <v>661.89279752882021</v>
      </c>
      <c r="S511" s="4" t="str">
        <f>(VLOOKUP(B511,Price_data!A$1:C$190,3,FALSE))</f>
        <v>WW</v>
      </c>
      <c r="T511" s="2">
        <f>IF(C511="Total", (VLOOKUP(B511,Recommended_fish_intake!A$4:D$122,4,FALSE)), "NA")</f>
        <v>580.62001391955926</v>
      </c>
      <c r="U511" s="2" t="str">
        <f t="shared" si="55"/>
        <v>NA</v>
      </c>
    </row>
    <row r="512" spans="1:21" ht="14.25" customHeight="1">
      <c r="A512" s="2" t="s">
        <v>15</v>
      </c>
      <c r="B512" s="2">
        <v>1942</v>
      </c>
      <c r="C512" s="2" t="s">
        <v>22</v>
      </c>
      <c r="D512" s="3">
        <f t="shared" si="49"/>
        <v>54.533224954277586</v>
      </c>
      <c r="E512" s="3" t="e">
        <f t="shared" si="50"/>
        <v>#N/A</v>
      </c>
      <c r="F512" s="3">
        <f t="shared" si="51"/>
        <v>3.2374517374517371</v>
      </c>
      <c r="G512" s="3">
        <f t="shared" si="52"/>
        <v>0.246583</v>
      </c>
      <c r="H512" s="3">
        <f t="shared" si="53"/>
        <v>86.404440154440152</v>
      </c>
      <c r="I512" s="3">
        <f t="shared" si="54"/>
        <v>5.5575619999999999</v>
      </c>
      <c r="J512" s="3">
        <v>54533.224954277583</v>
      </c>
      <c r="K512" s="3" t="e">
        <v>#N/A</v>
      </c>
      <c r="L512" s="3">
        <v>3237.4517374517372</v>
      </c>
      <c r="M512" s="3">
        <v>246.583</v>
      </c>
      <c r="N512" s="3">
        <v>86404.440154440148</v>
      </c>
      <c r="O512" s="3">
        <v>5557.5619999999999</v>
      </c>
      <c r="P512" s="3" t="e">
        <f>E512*(VLOOKUP(B512,Price_data!A$1:B$190,2,FALSE))</f>
        <v>#N/A</v>
      </c>
      <c r="Q512" s="3">
        <f>G512*(VLOOKUP(B512,Price_data!A$1:B$190,2,FALSE))</f>
        <v>6.9022691424886098</v>
      </c>
      <c r="R512" s="3">
        <f>I512*(VLOOKUP(B512,Price_data!A$1:B$190,2,FALSE))</f>
        <v>155.56542300185853</v>
      </c>
      <c r="S512" s="4" t="str">
        <f>(VLOOKUP(B512,Price_data!A$1:C$190,3,FALSE))</f>
        <v>WW</v>
      </c>
      <c r="T512" s="2" t="str">
        <f>IF(C512="Total", (VLOOKUP(B512,Recommended_fish_intake!A$4:D$122,4,FALSE)), "NA")</f>
        <v>NA</v>
      </c>
      <c r="U512" s="2" t="str">
        <f t="shared" si="55"/>
        <v>NA</v>
      </c>
    </row>
    <row r="513" spans="1:21" ht="14.25" customHeight="1">
      <c r="A513" s="2" t="s">
        <v>15</v>
      </c>
      <c r="B513" s="2">
        <v>1942</v>
      </c>
      <c r="C513" s="2" t="s">
        <v>23</v>
      </c>
      <c r="D513" s="3">
        <f t="shared" si="49"/>
        <v>39.391587075797602</v>
      </c>
      <c r="E513" s="3" t="e">
        <f t="shared" si="50"/>
        <v>#N/A</v>
      </c>
      <c r="F513" s="3">
        <f t="shared" si="51"/>
        <v>3.3021743548059333E-2</v>
      </c>
      <c r="G513" s="3">
        <f t="shared" si="52"/>
        <v>2.1800000000000001E-3</v>
      </c>
      <c r="H513" s="3">
        <f t="shared" si="53"/>
        <v>15.55705141231457</v>
      </c>
      <c r="I513" s="3">
        <f t="shared" si="54"/>
        <v>0.94661600000000001</v>
      </c>
      <c r="J513" s="3">
        <v>39391.587075797601</v>
      </c>
      <c r="K513" s="3" t="e">
        <v>#N/A</v>
      </c>
      <c r="L513" s="3">
        <v>33.021743548059334</v>
      </c>
      <c r="M513" s="3">
        <v>2.1800000000000002</v>
      </c>
      <c r="N513" s="3">
        <v>15557.051412314569</v>
      </c>
      <c r="O513" s="3">
        <v>946.61599999999999</v>
      </c>
      <c r="P513" s="3" t="e">
        <f>E513*(VLOOKUP(B513,Price_data!A$1:B$190,2,FALSE))</f>
        <v>#N/A</v>
      </c>
      <c r="Q513" s="3">
        <f>G513*(VLOOKUP(B513,Price_data!A$1:B$190,2,FALSE))</f>
        <v>6.1021833340600004E-2</v>
      </c>
      <c r="R513" s="3">
        <f>I513*(VLOOKUP(B513,Price_data!A$1:B$190,2,FALSE))</f>
        <v>26.49735953648872</v>
      </c>
      <c r="S513" s="4" t="str">
        <f>(VLOOKUP(B513,Price_data!A$1:C$190,3,FALSE))</f>
        <v>WW</v>
      </c>
      <c r="T513" s="2" t="str">
        <f>IF(C513="Total", (VLOOKUP(B513,Recommended_fish_intake!A$4:D$122,4,FALSE)), "NA")</f>
        <v>NA</v>
      </c>
      <c r="U513" s="2" t="str">
        <f t="shared" si="55"/>
        <v>NA</v>
      </c>
    </row>
    <row r="514" spans="1:21" ht="14.25" customHeight="1">
      <c r="A514" s="2" t="s">
        <v>15</v>
      </c>
      <c r="B514" s="2">
        <v>1942</v>
      </c>
      <c r="C514" s="2" t="s">
        <v>19</v>
      </c>
      <c r="D514" s="3">
        <f t="shared" ref="D514:D577" si="56">IF(J514="", NA(), J514/1000)</f>
        <v>69.358362121520017</v>
      </c>
      <c r="E514" s="3" t="e">
        <f t="shared" ref="E514:E577" si="57">IF(K514="", NA(), K514/1000)</f>
        <v>#N/A</v>
      </c>
      <c r="F514" s="3">
        <f t="shared" ref="F514:F577" si="58">IF(L514="", NA(), L514/1000)</f>
        <v>2.0524283682178419E-2</v>
      </c>
      <c r="G514" s="3">
        <f t="shared" ref="G514:G577" si="59">IF(M514="", NA(), M514/1000)</f>
        <v>2.1289999999999998E-3</v>
      </c>
      <c r="H514" s="3">
        <f t="shared" ref="H514:H577" si="60">IF(N514="", NA(), N514/1000)</f>
        <v>27.841648039016459</v>
      </c>
      <c r="I514" s="3">
        <f t="shared" ref="I514:I577" si="61">IF(O514="", NA(), O514/1000)</f>
        <v>1.6801869999999999</v>
      </c>
      <c r="J514" s="3">
        <v>69358.362121520011</v>
      </c>
      <c r="K514" s="3" t="e">
        <v>#N/A</v>
      </c>
      <c r="L514" s="3">
        <v>20.524283682178417</v>
      </c>
      <c r="M514" s="3">
        <v>2.129</v>
      </c>
      <c r="N514" s="3">
        <v>27841.648039016458</v>
      </c>
      <c r="O514" s="3">
        <v>1680.1869999999999</v>
      </c>
      <c r="P514" s="3" t="e">
        <f>E514*(VLOOKUP(B514,Price_data!A$1:B$190,2,FALSE))</f>
        <v>#N/A</v>
      </c>
      <c r="Q514" s="3">
        <f>G514*(VLOOKUP(B514,Price_data!A$1:B$190,2,FALSE))</f>
        <v>5.9594258340429994E-2</v>
      </c>
      <c r="R514" s="3">
        <f>I514*(VLOOKUP(B514,Price_data!A$1:B$190,2,FALSE))</f>
        <v>47.031234447267288</v>
      </c>
      <c r="S514" s="4" t="str">
        <f>(VLOOKUP(B514,Price_data!A$1:C$190,3,FALSE))</f>
        <v>WW</v>
      </c>
      <c r="T514" s="2" t="str">
        <f>IF(C514="Total", (VLOOKUP(B514,Recommended_fish_intake!A$4:D$122,4,FALSE)), "NA")</f>
        <v>NA</v>
      </c>
      <c r="U514" s="2" t="str">
        <f t="shared" ref="U514:U577" si="62">IF(C514="Wet fish", D514*0.49, IF(C514="Shellfish", D514*0.28, "NA"))</f>
        <v>NA</v>
      </c>
    </row>
    <row r="515" spans="1:21" ht="14.25" customHeight="1">
      <c r="A515" s="2" t="s">
        <v>15</v>
      </c>
      <c r="B515" s="2">
        <v>1942</v>
      </c>
      <c r="C515" s="2" t="s">
        <v>28</v>
      </c>
      <c r="D515" s="3" t="e">
        <f t="shared" si="56"/>
        <v>#VALUE!</v>
      </c>
      <c r="E515" s="3" t="e">
        <f t="shared" si="57"/>
        <v>#VALUE!</v>
      </c>
      <c r="F515" s="3">
        <f t="shared" si="58"/>
        <v>3.0481609428977848E-4</v>
      </c>
      <c r="G515" s="3">
        <f t="shared" si="59"/>
        <v>1.4E-5</v>
      </c>
      <c r="H515" s="3">
        <f t="shared" si="60"/>
        <v>5.7681873602926235</v>
      </c>
      <c r="I515" s="3">
        <f t="shared" si="61"/>
        <v>9.2724999999999988E-2</v>
      </c>
      <c r="J515" s="3" t="e">
        <v>#VALUE!</v>
      </c>
      <c r="K515" s="3" t="e">
        <v>#VALUE!</v>
      </c>
      <c r="L515" s="3">
        <v>0.30481609428977846</v>
      </c>
      <c r="M515" s="3">
        <v>1.4E-2</v>
      </c>
      <c r="N515" s="3">
        <v>5768.1873602926235</v>
      </c>
      <c r="O515" s="3">
        <v>92.724999999999994</v>
      </c>
      <c r="P515" s="3" t="e">
        <f>E515*(VLOOKUP(B515,Price_data!A$1:B$190,2,FALSE))</f>
        <v>#VALUE!</v>
      </c>
      <c r="Q515" s="3">
        <f>G515*(VLOOKUP(B515,Price_data!A$1:B$190,2,FALSE))</f>
        <v>3.9188333338000003E-4</v>
      </c>
      <c r="R515" s="3">
        <f>I515*(VLOOKUP(B515,Price_data!A$1:B$190,2,FALSE))</f>
        <v>2.5955272919757499</v>
      </c>
      <c r="S515" s="4" t="str">
        <f>(VLOOKUP(B515,Price_data!A$1:C$190,3,FALSE))</f>
        <v>WW</v>
      </c>
      <c r="T515" s="2" t="str">
        <f>IF(C515="Total", (VLOOKUP(B515,Recommended_fish_intake!A$4:D$122,4,FALSE)), "NA")</f>
        <v>NA</v>
      </c>
      <c r="U515" s="2" t="e">
        <f t="shared" si="62"/>
        <v>#VALUE!</v>
      </c>
    </row>
    <row r="516" spans="1:21" ht="14.25" customHeight="1">
      <c r="A516" s="2" t="s">
        <v>15</v>
      </c>
      <c r="B516" s="2">
        <v>1942</v>
      </c>
      <c r="C516" s="2" t="s">
        <v>29</v>
      </c>
      <c r="D516" s="3" t="e">
        <f t="shared" si="56"/>
        <v>#VALUE!</v>
      </c>
      <c r="E516" s="3" t="e">
        <f t="shared" si="57"/>
        <v>#VALUE!</v>
      </c>
      <c r="F516" s="3">
        <f t="shared" si="58"/>
        <v>0</v>
      </c>
      <c r="G516" s="3">
        <f t="shared" si="59"/>
        <v>0</v>
      </c>
      <c r="H516" s="3">
        <f t="shared" si="60"/>
        <v>56.161044503149768</v>
      </c>
      <c r="I516" s="3">
        <f t="shared" si="61"/>
        <v>5.8782579999999998</v>
      </c>
      <c r="J516" s="3" t="e">
        <v>#VALUE!</v>
      </c>
      <c r="K516" s="3" t="e">
        <v>#VALUE!</v>
      </c>
      <c r="L516" s="3">
        <v>0</v>
      </c>
      <c r="M516" s="3">
        <v>0</v>
      </c>
      <c r="N516" s="3">
        <v>56161.044503149766</v>
      </c>
      <c r="O516" s="3">
        <v>5878.2579999999998</v>
      </c>
      <c r="P516" s="3" t="e">
        <f>E516*(VLOOKUP(B516,Price_data!A$1:B$190,2,FALSE))</f>
        <v>#VALUE!</v>
      </c>
      <c r="Q516" s="3">
        <f>G516*(VLOOKUP(B516,Price_data!A$1:B$190,2,FALSE))</f>
        <v>0</v>
      </c>
      <c r="R516" s="3">
        <f>I516*(VLOOKUP(B516,Price_data!A$1:B$190,2,FALSE))</f>
        <v>164.54223853626087</v>
      </c>
      <c r="S516" s="4" t="str">
        <f>(VLOOKUP(B516,Price_data!A$1:C$190,3,FALSE))</f>
        <v>WW</v>
      </c>
      <c r="T516" s="2" t="str">
        <f>IF(C516="Total", (VLOOKUP(B516,Recommended_fish_intake!A$4:D$122,4,FALSE)), "NA")</f>
        <v>NA</v>
      </c>
      <c r="U516" s="2" t="str">
        <f t="shared" si="62"/>
        <v>NA</v>
      </c>
    </row>
    <row r="517" spans="1:21" ht="14.25" customHeight="1">
      <c r="A517" s="2" t="s">
        <v>15</v>
      </c>
      <c r="B517" s="2">
        <v>1942</v>
      </c>
      <c r="C517" s="2" t="s">
        <v>20</v>
      </c>
      <c r="D517" s="3">
        <f t="shared" si="56"/>
        <v>4.2239890266206057</v>
      </c>
      <c r="E517" s="3" t="e">
        <f t="shared" si="57"/>
        <v>#N/A</v>
      </c>
      <c r="F517" s="3" t="e">
        <f t="shared" si="58"/>
        <v>#VALUE!</v>
      </c>
      <c r="G517" s="3" t="e">
        <f t="shared" si="59"/>
        <v>#VALUE!</v>
      </c>
      <c r="H517" s="3" t="e">
        <f t="shared" si="60"/>
        <v>#VALUE!</v>
      </c>
      <c r="I517" s="3" t="e">
        <f t="shared" si="61"/>
        <v>#VALUE!</v>
      </c>
      <c r="J517" s="3">
        <v>4223.9890266206057</v>
      </c>
      <c r="K517" s="3" t="e">
        <v>#N/A</v>
      </c>
      <c r="L517" s="3" t="e">
        <v>#VALUE!</v>
      </c>
      <c r="M517" s="3" t="e">
        <v>#VALUE!</v>
      </c>
      <c r="N517" s="3" t="e">
        <v>#VALUE!</v>
      </c>
      <c r="O517" s="3" t="e">
        <v>#VALUE!</v>
      </c>
      <c r="P517" s="3" t="e">
        <f>E517*(VLOOKUP(B517,Price_data!A$1:B$190,2,FALSE))</f>
        <v>#N/A</v>
      </c>
      <c r="Q517" s="3" t="e">
        <f>G517*(VLOOKUP(B517,Price_data!A$1:B$190,2,FALSE))</f>
        <v>#VALUE!</v>
      </c>
      <c r="R517" s="3" t="e">
        <f>I517*(VLOOKUP(B517,Price_data!A$1:B$190,2,FALSE))</f>
        <v>#VALUE!</v>
      </c>
      <c r="S517" s="4" t="str">
        <f>(VLOOKUP(B517,Price_data!A$1:C$190,3,FALSE))</f>
        <v>WW</v>
      </c>
      <c r="T517" s="2" t="str">
        <f>IF(C517="Total", (VLOOKUP(B517,Recommended_fish_intake!A$4:D$122,4,FALSE)), "NA")</f>
        <v>NA</v>
      </c>
      <c r="U517" s="2" t="str">
        <f t="shared" si="62"/>
        <v>NA</v>
      </c>
    </row>
    <row r="518" spans="1:21" ht="14.25" customHeight="1">
      <c r="A518" s="2" t="s">
        <v>15</v>
      </c>
      <c r="B518" s="2">
        <v>1942</v>
      </c>
      <c r="C518" s="2" t="s">
        <v>25</v>
      </c>
      <c r="D518" s="3">
        <f t="shared" si="56"/>
        <v>9.9006807559439132</v>
      </c>
      <c r="E518" s="3" t="e">
        <f t="shared" si="57"/>
        <v>#N/A</v>
      </c>
      <c r="F518" s="3" t="e">
        <f t="shared" si="58"/>
        <v>#N/A</v>
      </c>
      <c r="G518" s="3" t="e">
        <f t="shared" si="59"/>
        <v>#N/A</v>
      </c>
      <c r="H518" s="3" t="e">
        <f t="shared" si="60"/>
        <v>#N/A</v>
      </c>
      <c r="I518" s="3" t="e">
        <f t="shared" si="61"/>
        <v>#N/A</v>
      </c>
      <c r="J518" s="3">
        <v>9900.680755943913</v>
      </c>
      <c r="K518" s="3" t="e">
        <v>#N/A</v>
      </c>
      <c r="L518" s="3" t="e">
        <v>#N/A</v>
      </c>
      <c r="M518" s="3" t="e">
        <v>#N/A</v>
      </c>
      <c r="N518" s="3" t="e">
        <v>#N/A</v>
      </c>
      <c r="O518" s="3" t="e">
        <v>#N/A</v>
      </c>
      <c r="P518" s="3" t="e">
        <f>E518*(VLOOKUP(B518,Price_data!A$1:B$190,2,FALSE))</f>
        <v>#N/A</v>
      </c>
      <c r="Q518" s="3" t="e">
        <f>G518*(VLOOKUP(B518,Price_data!A$1:B$190,2,FALSE))</f>
        <v>#N/A</v>
      </c>
      <c r="R518" s="3" t="e">
        <f>I518*(VLOOKUP(B518,Price_data!A$1:B$190,2,FALSE))</f>
        <v>#N/A</v>
      </c>
      <c r="S518" s="4" t="str">
        <f>(VLOOKUP(B518,Price_data!A$1:C$190,3,FALSE))</f>
        <v>WW</v>
      </c>
      <c r="T518" s="2" t="str">
        <f>IF(C518="Total", (VLOOKUP(B518,Recommended_fish_intake!A$4:D$122,4,FALSE)), "NA")</f>
        <v>NA</v>
      </c>
      <c r="U518" s="2" t="str">
        <f t="shared" si="62"/>
        <v>NA</v>
      </c>
    </row>
    <row r="519" spans="1:21" ht="14.25" customHeight="1">
      <c r="A519" s="2" t="s">
        <v>15</v>
      </c>
      <c r="B519" s="2">
        <v>1942</v>
      </c>
      <c r="C519" s="2" t="s">
        <v>24</v>
      </c>
      <c r="D519" s="3">
        <f t="shared" si="56"/>
        <v>26.481965047754517</v>
      </c>
      <c r="E519" s="3" t="e">
        <f t="shared" si="57"/>
        <v>#N/A</v>
      </c>
      <c r="F519" s="3" t="e">
        <f t="shared" si="58"/>
        <v>#N/A</v>
      </c>
      <c r="G519" s="3" t="e">
        <f t="shared" si="59"/>
        <v>#N/A</v>
      </c>
      <c r="H519" s="3" t="e">
        <f t="shared" si="60"/>
        <v>#N/A</v>
      </c>
      <c r="I519" s="3" t="e">
        <f t="shared" si="61"/>
        <v>#N/A</v>
      </c>
      <c r="J519" s="3">
        <v>26481.965047754518</v>
      </c>
      <c r="K519" s="3" t="e">
        <v>#N/A</v>
      </c>
      <c r="L519" s="3" t="e">
        <v>#N/A</v>
      </c>
      <c r="M519" s="3" t="e">
        <v>#N/A</v>
      </c>
      <c r="N519" s="3" t="e">
        <v>#N/A</v>
      </c>
      <c r="O519" s="3" t="e">
        <v>#N/A</v>
      </c>
      <c r="P519" s="3" t="e">
        <f>E519*(VLOOKUP(B519,Price_data!A$1:B$190,2,FALSE))</f>
        <v>#N/A</v>
      </c>
      <c r="Q519" s="3" t="e">
        <f>G519*(VLOOKUP(B519,Price_data!A$1:B$190,2,FALSE))</f>
        <v>#N/A</v>
      </c>
      <c r="R519" s="3" t="e">
        <f>I519*(VLOOKUP(B519,Price_data!A$1:B$190,2,FALSE))</f>
        <v>#N/A</v>
      </c>
      <c r="S519" s="4" t="str">
        <f>(VLOOKUP(B519,Price_data!A$1:C$190,3,FALSE))</f>
        <v>WW</v>
      </c>
      <c r="T519" s="2" t="str">
        <f>IF(C519="Total", (VLOOKUP(B519,Recommended_fish_intake!A$4:D$122,4,FALSE)), "NA")</f>
        <v>NA</v>
      </c>
      <c r="U519" s="2" t="str">
        <f t="shared" si="62"/>
        <v>NA</v>
      </c>
    </row>
    <row r="520" spans="1:21" ht="14.25" customHeight="1">
      <c r="A520" s="2" t="s">
        <v>15</v>
      </c>
      <c r="B520" s="2">
        <v>1942</v>
      </c>
      <c r="C520" s="2" t="s">
        <v>30</v>
      </c>
      <c r="D520" s="3" t="e">
        <f t="shared" si="56"/>
        <v>#N/A</v>
      </c>
      <c r="E520" s="3" t="e">
        <f t="shared" si="57"/>
        <v>#N/A</v>
      </c>
      <c r="F520" s="3" t="e">
        <f t="shared" si="58"/>
        <v>#VALUE!</v>
      </c>
      <c r="G520" s="3" t="e">
        <f t="shared" si="59"/>
        <v>#VALUE!</v>
      </c>
      <c r="H520" s="3">
        <f t="shared" si="60"/>
        <v>1.1684616947774842E-3</v>
      </c>
      <c r="I520" s="3">
        <f t="shared" si="61"/>
        <v>3.1300000000000002E-4</v>
      </c>
      <c r="J520" s="3" t="e">
        <v>#N/A</v>
      </c>
      <c r="K520" s="3" t="e">
        <v>#N/A</v>
      </c>
      <c r="L520" s="3" t="e">
        <v>#VALUE!</v>
      </c>
      <c r="M520" s="3" t="e">
        <v>#VALUE!</v>
      </c>
      <c r="N520" s="3">
        <v>1.1684616947774842</v>
      </c>
      <c r="O520" s="3">
        <v>0.313</v>
      </c>
      <c r="P520" s="3" t="e">
        <f>E520*(VLOOKUP(B520,Price_data!A$1:B$190,2,FALSE))</f>
        <v>#N/A</v>
      </c>
      <c r="Q520" s="3" t="e">
        <f>G520*(VLOOKUP(B520,Price_data!A$1:B$190,2,FALSE))</f>
        <v>#VALUE!</v>
      </c>
      <c r="R520" s="3">
        <f>I520*(VLOOKUP(B520,Price_data!A$1:B$190,2,FALSE))</f>
        <v>8.7613916677100005E-3</v>
      </c>
      <c r="S520" s="4" t="str">
        <f>(VLOOKUP(B520,Price_data!A$1:C$190,3,FALSE))</f>
        <v>WW</v>
      </c>
      <c r="T520" s="2" t="str">
        <f>IF(C520="Total", (VLOOKUP(B520,Recommended_fish_intake!A$4:D$122,4,FALSE)), "NA")</f>
        <v>NA</v>
      </c>
      <c r="U520" s="2" t="str">
        <f t="shared" si="62"/>
        <v>NA</v>
      </c>
    </row>
    <row r="521" spans="1:21" ht="14.25" customHeight="1">
      <c r="A521" s="2" t="s">
        <v>15</v>
      </c>
      <c r="B521" s="2">
        <v>1943</v>
      </c>
      <c r="C521" s="2" t="s">
        <v>16</v>
      </c>
      <c r="D521" s="3">
        <f t="shared" si="56"/>
        <v>313.98597845966265</v>
      </c>
      <c r="E521" s="3">
        <f t="shared" si="57"/>
        <v>15.393646</v>
      </c>
      <c r="F521" s="3">
        <f t="shared" si="58"/>
        <v>0.2444117049380207</v>
      </c>
      <c r="G521" s="3">
        <f t="shared" si="59"/>
        <v>2.743E-2</v>
      </c>
      <c r="H521" s="3">
        <f t="shared" si="60"/>
        <v>351.7381121723227</v>
      </c>
      <c r="I521" s="3">
        <f t="shared" si="61"/>
        <v>26.601875</v>
      </c>
      <c r="J521" s="3">
        <v>313985.97845966264</v>
      </c>
      <c r="K521" s="3">
        <v>15393.646000000001</v>
      </c>
      <c r="L521" s="3">
        <v>244.4117049380207</v>
      </c>
      <c r="M521" s="3">
        <v>27.43</v>
      </c>
      <c r="N521" s="3">
        <v>351738.1121723227</v>
      </c>
      <c r="O521" s="3">
        <v>26601.875</v>
      </c>
      <c r="P521" s="3">
        <f>E521*(VLOOKUP(B521,Price_data!A$1:B$190,2,FALSE))</f>
        <v>416.99400741069331</v>
      </c>
      <c r="Q521" s="3">
        <f>G521*(VLOOKUP(B521,Price_data!A$1:B$190,2,FALSE))</f>
        <v>0.74304330652240003</v>
      </c>
      <c r="R521" s="3">
        <f>I521*(VLOOKUP(B521,Price_data!A$1:B$190,2,FALSE))</f>
        <v>720.61046881865002</v>
      </c>
      <c r="S521" s="4" t="str">
        <f>(VLOOKUP(B521,Price_data!A$1:C$190,3,FALSE))</f>
        <v>WW</v>
      </c>
      <c r="T521" s="2">
        <f>IF(C521="Total", (VLOOKUP(B521,Recommended_fish_intake!A$4:D$122,4,FALSE)), "NA")</f>
        <v>632.21467102362647</v>
      </c>
      <c r="U521" s="2" t="str">
        <f t="shared" si="62"/>
        <v>NA</v>
      </c>
    </row>
    <row r="522" spans="1:21" ht="14.25" customHeight="1">
      <c r="A522" s="2" t="s">
        <v>15</v>
      </c>
      <c r="B522" s="2">
        <v>1943</v>
      </c>
      <c r="C522" s="2" t="s">
        <v>22</v>
      </c>
      <c r="D522" s="3">
        <f t="shared" si="56"/>
        <v>71.806187766714075</v>
      </c>
      <c r="E522" s="3" t="e">
        <f t="shared" si="57"/>
        <v>#N/A</v>
      </c>
      <c r="F522" s="3" t="e">
        <f t="shared" si="58"/>
        <v>#N/A</v>
      </c>
      <c r="G522" s="3" t="e">
        <f t="shared" si="59"/>
        <v>#N/A</v>
      </c>
      <c r="H522" s="3" t="e">
        <f t="shared" si="60"/>
        <v>#N/A</v>
      </c>
      <c r="I522" s="3" t="e">
        <f t="shared" si="61"/>
        <v>#N/A</v>
      </c>
      <c r="J522" s="3">
        <v>71806.18776671408</v>
      </c>
      <c r="K522" s="3" t="e">
        <v>#N/A</v>
      </c>
      <c r="L522" s="3" t="e">
        <v>#N/A</v>
      </c>
      <c r="M522" s="3" t="e">
        <v>#N/A</v>
      </c>
      <c r="N522" s="3" t="e">
        <v>#N/A</v>
      </c>
      <c r="O522" s="3" t="e">
        <v>#N/A</v>
      </c>
      <c r="P522" s="3" t="e">
        <f>E522*(VLOOKUP(B522,Price_data!A$1:B$190,2,FALSE))</f>
        <v>#N/A</v>
      </c>
      <c r="Q522" s="3" t="e">
        <f>G522*(VLOOKUP(B522,Price_data!A$1:B$190,2,FALSE))</f>
        <v>#N/A</v>
      </c>
      <c r="R522" s="3" t="e">
        <f>I522*(VLOOKUP(B522,Price_data!A$1:B$190,2,FALSE))</f>
        <v>#N/A</v>
      </c>
      <c r="S522" s="4" t="str">
        <f>(VLOOKUP(B522,Price_data!A$1:C$190,3,FALSE))</f>
        <v>WW</v>
      </c>
      <c r="T522" s="2" t="str">
        <f>IF(C522="Total", (VLOOKUP(B522,Recommended_fish_intake!A$4:D$122,4,FALSE)), "NA")</f>
        <v>NA</v>
      </c>
      <c r="U522" s="2" t="str">
        <f t="shared" si="62"/>
        <v>NA</v>
      </c>
    </row>
    <row r="523" spans="1:21" ht="14.25" customHeight="1">
      <c r="A523" s="2" t="s">
        <v>15</v>
      </c>
      <c r="B523" s="2">
        <v>1943</v>
      </c>
      <c r="C523" s="2" t="s">
        <v>23</v>
      </c>
      <c r="D523" s="3">
        <f t="shared" si="56"/>
        <v>31.5685836212152</v>
      </c>
      <c r="E523" s="3" t="e">
        <f t="shared" si="57"/>
        <v>#N/A</v>
      </c>
      <c r="F523" s="3" t="e">
        <f t="shared" si="58"/>
        <v>#N/A</v>
      </c>
      <c r="G523" s="3" t="e">
        <f t="shared" si="59"/>
        <v>#N/A</v>
      </c>
      <c r="H523" s="3" t="e">
        <f t="shared" si="60"/>
        <v>#N/A</v>
      </c>
      <c r="I523" s="3" t="e">
        <f t="shared" si="61"/>
        <v>#N/A</v>
      </c>
      <c r="J523" s="3">
        <v>31568.583621215199</v>
      </c>
      <c r="K523" s="3" t="e">
        <v>#N/A</v>
      </c>
      <c r="L523" s="3" t="e">
        <v>#N/A</v>
      </c>
      <c r="M523" s="3" t="e">
        <v>#N/A</v>
      </c>
      <c r="N523" s="3" t="e">
        <v>#N/A</v>
      </c>
      <c r="O523" s="3" t="e">
        <v>#N/A</v>
      </c>
      <c r="P523" s="3" t="e">
        <f>E523*(VLOOKUP(B523,Price_data!A$1:B$190,2,FALSE))</f>
        <v>#N/A</v>
      </c>
      <c r="Q523" s="3" t="e">
        <f>G523*(VLOOKUP(B523,Price_data!A$1:B$190,2,FALSE))</f>
        <v>#N/A</v>
      </c>
      <c r="R523" s="3" t="e">
        <f>I523*(VLOOKUP(B523,Price_data!A$1:B$190,2,FALSE))</f>
        <v>#N/A</v>
      </c>
      <c r="S523" s="4" t="str">
        <f>(VLOOKUP(B523,Price_data!A$1:C$190,3,FALSE))</f>
        <v>WW</v>
      </c>
      <c r="T523" s="2" t="str">
        <f>IF(C523="Total", (VLOOKUP(B523,Recommended_fish_intake!A$4:D$122,4,FALSE)), "NA")</f>
        <v>NA</v>
      </c>
      <c r="U523" s="2" t="str">
        <f t="shared" si="62"/>
        <v>NA</v>
      </c>
    </row>
    <row r="524" spans="1:21" ht="14.25" customHeight="1">
      <c r="A524" s="2" t="s">
        <v>15</v>
      </c>
      <c r="B524" s="2">
        <v>1943</v>
      </c>
      <c r="C524" s="2" t="s">
        <v>19</v>
      </c>
      <c r="D524" s="3">
        <f t="shared" si="56"/>
        <v>75.919172932330824</v>
      </c>
      <c r="E524" s="3" t="e">
        <f t="shared" si="57"/>
        <v>#N/A</v>
      </c>
      <c r="F524" s="3" t="e">
        <f t="shared" si="58"/>
        <v>#N/A</v>
      </c>
      <c r="G524" s="3" t="e">
        <f t="shared" si="59"/>
        <v>#N/A</v>
      </c>
      <c r="H524" s="3" t="e">
        <f t="shared" si="60"/>
        <v>#N/A</v>
      </c>
      <c r="I524" s="3" t="e">
        <f t="shared" si="61"/>
        <v>#N/A</v>
      </c>
      <c r="J524" s="3">
        <v>75919.172932330825</v>
      </c>
      <c r="K524" s="3" t="e">
        <v>#N/A</v>
      </c>
      <c r="L524" s="3" t="e">
        <v>#N/A</v>
      </c>
      <c r="M524" s="3" t="e">
        <v>#N/A</v>
      </c>
      <c r="N524" s="3" t="e">
        <v>#N/A</v>
      </c>
      <c r="O524" s="3" t="e">
        <v>#N/A</v>
      </c>
      <c r="P524" s="3" t="e">
        <f>E524*(VLOOKUP(B524,Price_data!A$1:B$190,2,FALSE))</f>
        <v>#N/A</v>
      </c>
      <c r="Q524" s="3" t="e">
        <f>G524*(VLOOKUP(B524,Price_data!A$1:B$190,2,FALSE))</f>
        <v>#N/A</v>
      </c>
      <c r="R524" s="3" t="e">
        <f>I524*(VLOOKUP(B524,Price_data!A$1:B$190,2,FALSE))</f>
        <v>#N/A</v>
      </c>
      <c r="S524" s="4" t="str">
        <f>(VLOOKUP(B524,Price_data!A$1:C$190,3,FALSE))</f>
        <v>WW</v>
      </c>
      <c r="T524" s="2" t="str">
        <f>IF(C524="Total", (VLOOKUP(B524,Recommended_fish_intake!A$4:D$122,4,FALSE)), "NA")</f>
        <v>NA</v>
      </c>
      <c r="U524" s="2" t="str">
        <f t="shared" si="62"/>
        <v>NA</v>
      </c>
    </row>
    <row r="525" spans="1:21" ht="14.25" customHeight="1">
      <c r="A525" s="2" t="s">
        <v>15</v>
      </c>
      <c r="B525" s="2">
        <v>1943</v>
      </c>
      <c r="C525" s="2" t="s">
        <v>28</v>
      </c>
      <c r="D525" s="3" t="e">
        <f t="shared" si="56"/>
        <v>#VALUE!</v>
      </c>
      <c r="E525" s="3" t="e">
        <f t="shared" si="57"/>
        <v>#VALUE!</v>
      </c>
      <c r="F525" s="3" t="e">
        <f t="shared" si="58"/>
        <v>#N/A</v>
      </c>
      <c r="G525" s="3" t="e">
        <f t="shared" si="59"/>
        <v>#N/A</v>
      </c>
      <c r="H525" s="3" t="e">
        <f t="shared" si="60"/>
        <v>#N/A</v>
      </c>
      <c r="I525" s="3" t="e">
        <f t="shared" si="61"/>
        <v>#N/A</v>
      </c>
      <c r="J525" s="3" t="e">
        <v>#VALUE!</v>
      </c>
      <c r="K525" s="3" t="e">
        <v>#VALUE!</v>
      </c>
      <c r="L525" s="3" t="e">
        <v>#N/A</v>
      </c>
      <c r="M525" s="3" t="e">
        <v>#N/A</v>
      </c>
      <c r="N525" s="3" t="e">
        <v>#N/A</v>
      </c>
      <c r="O525" s="3" t="e">
        <v>#N/A</v>
      </c>
      <c r="P525" s="3" t="e">
        <f>E525*(VLOOKUP(B525,Price_data!A$1:B$190,2,FALSE))</f>
        <v>#VALUE!</v>
      </c>
      <c r="Q525" s="3" t="e">
        <f>G525*(VLOOKUP(B525,Price_data!A$1:B$190,2,FALSE))</f>
        <v>#N/A</v>
      </c>
      <c r="R525" s="3" t="e">
        <f>I525*(VLOOKUP(B525,Price_data!A$1:B$190,2,FALSE))</f>
        <v>#N/A</v>
      </c>
      <c r="S525" s="4" t="str">
        <f>(VLOOKUP(B525,Price_data!A$1:C$190,3,FALSE))</f>
        <v>WW</v>
      </c>
      <c r="T525" s="2" t="str">
        <f>IF(C525="Total", (VLOOKUP(B525,Recommended_fish_intake!A$4:D$122,4,FALSE)), "NA")</f>
        <v>NA</v>
      </c>
      <c r="U525" s="2" t="e">
        <f t="shared" si="62"/>
        <v>#VALUE!</v>
      </c>
    </row>
    <row r="526" spans="1:21" ht="14.25" customHeight="1">
      <c r="A526" s="2" t="s">
        <v>15</v>
      </c>
      <c r="B526" s="2">
        <v>1943</v>
      </c>
      <c r="C526" s="2" t="s">
        <v>29</v>
      </c>
      <c r="D526" s="3" t="e">
        <f t="shared" si="56"/>
        <v>#VALUE!</v>
      </c>
      <c r="E526" s="3" t="e">
        <f t="shared" si="57"/>
        <v>#VALUE!</v>
      </c>
      <c r="F526" s="3" t="e">
        <f t="shared" si="58"/>
        <v>#N/A</v>
      </c>
      <c r="G526" s="3" t="e">
        <f t="shared" si="59"/>
        <v>#N/A</v>
      </c>
      <c r="H526" s="3" t="e">
        <f t="shared" si="60"/>
        <v>#N/A</v>
      </c>
      <c r="I526" s="3" t="e">
        <f t="shared" si="61"/>
        <v>#N/A</v>
      </c>
      <c r="J526" s="3" t="e">
        <v>#VALUE!</v>
      </c>
      <c r="K526" s="3" t="e">
        <v>#VALUE!</v>
      </c>
      <c r="L526" s="3" t="e">
        <v>#N/A</v>
      </c>
      <c r="M526" s="3" t="e">
        <v>#N/A</v>
      </c>
      <c r="N526" s="3" t="e">
        <v>#N/A</v>
      </c>
      <c r="O526" s="3" t="e">
        <v>#N/A</v>
      </c>
      <c r="P526" s="3" t="e">
        <f>E526*(VLOOKUP(B526,Price_data!A$1:B$190,2,FALSE))</f>
        <v>#VALUE!</v>
      </c>
      <c r="Q526" s="3" t="e">
        <f>G526*(VLOOKUP(B526,Price_data!A$1:B$190,2,FALSE))</f>
        <v>#N/A</v>
      </c>
      <c r="R526" s="3" t="e">
        <f>I526*(VLOOKUP(B526,Price_data!A$1:B$190,2,FALSE))</f>
        <v>#N/A</v>
      </c>
      <c r="S526" s="4" t="str">
        <f>(VLOOKUP(B526,Price_data!A$1:C$190,3,FALSE))</f>
        <v>WW</v>
      </c>
      <c r="T526" s="2" t="str">
        <f>IF(C526="Total", (VLOOKUP(B526,Recommended_fish_intake!A$4:D$122,4,FALSE)), "NA")</f>
        <v>NA</v>
      </c>
      <c r="U526" s="2" t="str">
        <f t="shared" si="62"/>
        <v>NA</v>
      </c>
    </row>
    <row r="527" spans="1:21" ht="14.25" customHeight="1">
      <c r="A527" s="2" t="s">
        <v>15</v>
      </c>
      <c r="B527" s="2">
        <v>1943</v>
      </c>
      <c r="C527" s="2" t="s">
        <v>20</v>
      </c>
      <c r="D527" s="3">
        <f t="shared" si="56"/>
        <v>2.3452042267831739</v>
      </c>
      <c r="E527" s="3" t="e">
        <f t="shared" si="57"/>
        <v>#N/A</v>
      </c>
      <c r="F527" s="3" t="e">
        <f t="shared" si="58"/>
        <v>#N/A</v>
      </c>
      <c r="G527" s="3" t="e">
        <f t="shared" si="59"/>
        <v>#N/A</v>
      </c>
      <c r="H527" s="3" t="e">
        <f t="shared" si="60"/>
        <v>#N/A</v>
      </c>
      <c r="I527" s="3" t="e">
        <f t="shared" si="61"/>
        <v>#N/A</v>
      </c>
      <c r="J527" s="3">
        <v>2345.2042267831739</v>
      </c>
      <c r="K527" s="3" t="e">
        <v>#N/A</v>
      </c>
      <c r="L527" s="3" t="e">
        <v>#N/A</v>
      </c>
      <c r="M527" s="3" t="e">
        <v>#N/A</v>
      </c>
      <c r="N527" s="3" t="e">
        <v>#N/A</v>
      </c>
      <c r="O527" s="3" t="e">
        <v>#N/A</v>
      </c>
      <c r="P527" s="3" t="e">
        <f>E527*(VLOOKUP(B527,Price_data!A$1:B$190,2,FALSE))</f>
        <v>#N/A</v>
      </c>
      <c r="Q527" s="3" t="e">
        <f>G527*(VLOOKUP(B527,Price_data!A$1:B$190,2,FALSE))</f>
        <v>#N/A</v>
      </c>
      <c r="R527" s="3" t="e">
        <f>I527*(VLOOKUP(B527,Price_data!A$1:B$190,2,FALSE))</f>
        <v>#N/A</v>
      </c>
      <c r="S527" s="4" t="str">
        <f>(VLOOKUP(B527,Price_data!A$1:C$190,3,FALSE))</f>
        <v>WW</v>
      </c>
      <c r="T527" s="2" t="str">
        <f>IF(C527="Total", (VLOOKUP(B527,Recommended_fish_intake!A$4:D$122,4,FALSE)), "NA")</f>
        <v>NA</v>
      </c>
      <c r="U527" s="2" t="str">
        <f t="shared" si="62"/>
        <v>NA</v>
      </c>
    </row>
    <row r="528" spans="1:21" ht="14.25" customHeight="1">
      <c r="A528" s="2" t="s">
        <v>15</v>
      </c>
      <c r="B528" s="2">
        <v>1943</v>
      </c>
      <c r="C528" s="2" t="s">
        <v>25</v>
      </c>
      <c r="D528" s="3">
        <f t="shared" si="56"/>
        <v>12.133306238569396</v>
      </c>
      <c r="E528" s="3" t="e">
        <f t="shared" si="57"/>
        <v>#N/A</v>
      </c>
      <c r="F528" s="3" t="e">
        <f t="shared" si="58"/>
        <v>#N/A</v>
      </c>
      <c r="G528" s="3" t="e">
        <f t="shared" si="59"/>
        <v>#N/A</v>
      </c>
      <c r="H528" s="3" t="e">
        <f t="shared" si="60"/>
        <v>#N/A</v>
      </c>
      <c r="I528" s="3" t="e">
        <f t="shared" si="61"/>
        <v>#N/A</v>
      </c>
      <c r="J528" s="3">
        <v>12133.306238569396</v>
      </c>
      <c r="K528" s="3" t="e">
        <v>#N/A</v>
      </c>
      <c r="L528" s="3" t="e">
        <v>#N/A</v>
      </c>
      <c r="M528" s="3" t="e">
        <v>#N/A</v>
      </c>
      <c r="N528" s="3" t="e">
        <v>#N/A</v>
      </c>
      <c r="O528" s="3" t="e">
        <v>#N/A</v>
      </c>
      <c r="P528" s="3" t="e">
        <f>E528*(VLOOKUP(B528,Price_data!A$1:B$190,2,FALSE))</f>
        <v>#N/A</v>
      </c>
      <c r="Q528" s="3" t="e">
        <f>G528*(VLOOKUP(B528,Price_data!A$1:B$190,2,FALSE))</f>
        <v>#N/A</v>
      </c>
      <c r="R528" s="3" t="e">
        <f>I528*(VLOOKUP(B528,Price_data!A$1:B$190,2,FALSE))</f>
        <v>#N/A</v>
      </c>
      <c r="S528" s="4" t="str">
        <f>(VLOOKUP(B528,Price_data!A$1:C$190,3,FALSE))</f>
        <v>WW</v>
      </c>
      <c r="T528" s="2" t="str">
        <f>IF(C528="Total", (VLOOKUP(B528,Recommended_fish_intake!A$4:D$122,4,FALSE)), "NA")</f>
        <v>NA</v>
      </c>
      <c r="U528" s="2" t="str">
        <f t="shared" si="62"/>
        <v>NA</v>
      </c>
    </row>
    <row r="529" spans="1:21" ht="14.25" customHeight="1">
      <c r="A529" s="2" t="s">
        <v>15</v>
      </c>
      <c r="B529" s="2">
        <v>1943</v>
      </c>
      <c r="C529" s="2" t="s">
        <v>24</v>
      </c>
      <c r="D529" s="3">
        <f t="shared" si="56"/>
        <v>21.96855313960577</v>
      </c>
      <c r="E529" s="3" t="e">
        <f t="shared" si="57"/>
        <v>#N/A</v>
      </c>
      <c r="F529" s="3" t="e">
        <f t="shared" si="58"/>
        <v>#N/A</v>
      </c>
      <c r="G529" s="3" t="e">
        <f t="shared" si="59"/>
        <v>#N/A</v>
      </c>
      <c r="H529" s="3" t="e">
        <f t="shared" si="60"/>
        <v>#N/A</v>
      </c>
      <c r="I529" s="3" t="e">
        <f t="shared" si="61"/>
        <v>#N/A</v>
      </c>
      <c r="J529" s="3">
        <v>21968.55313960577</v>
      </c>
      <c r="K529" s="3" t="e">
        <v>#N/A</v>
      </c>
      <c r="L529" s="3" t="e">
        <v>#N/A</v>
      </c>
      <c r="M529" s="3" t="e">
        <v>#N/A</v>
      </c>
      <c r="N529" s="3" t="e">
        <v>#N/A</v>
      </c>
      <c r="O529" s="3" t="e">
        <v>#N/A</v>
      </c>
      <c r="P529" s="3" t="e">
        <f>E529*(VLOOKUP(B529,Price_data!A$1:B$190,2,FALSE))</f>
        <v>#N/A</v>
      </c>
      <c r="Q529" s="3" t="e">
        <f>G529*(VLOOKUP(B529,Price_data!A$1:B$190,2,FALSE))</f>
        <v>#N/A</v>
      </c>
      <c r="R529" s="3" t="e">
        <f>I529*(VLOOKUP(B529,Price_data!A$1:B$190,2,FALSE))</f>
        <v>#N/A</v>
      </c>
      <c r="S529" s="4" t="str">
        <f>(VLOOKUP(B529,Price_data!A$1:C$190,3,FALSE))</f>
        <v>WW</v>
      </c>
      <c r="T529" s="2" t="str">
        <f>IF(C529="Total", (VLOOKUP(B529,Recommended_fish_intake!A$4:D$122,4,FALSE)), "NA")</f>
        <v>NA</v>
      </c>
      <c r="U529" s="2" t="str">
        <f t="shared" si="62"/>
        <v>NA</v>
      </c>
    </row>
    <row r="530" spans="1:21" ht="14.25" customHeight="1">
      <c r="A530" s="2" t="s">
        <v>15</v>
      </c>
      <c r="B530" s="2">
        <v>1943</v>
      </c>
      <c r="C530" s="2" t="s">
        <v>30</v>
      </c>
      <c r="D530" s="3" t="e">
        <f t="shared" si="56"/>
        <v>#N/A</v>
      </c>
      <c r="E530" s="3" t="e">
        <f t="shared" si="57"/>
        <v>#N/A</v>
      </c>
      <c r="F530" s="3" t="e">
        <f t="shared" si="58"/>
        <v>#N/A</v>
      </c>
      <c r="G530" s="3" t="e">
        <f t="shared" si="59"/>
        <v>#N/A</v>
      </c>
      <c r="H530" s="3" t="e">
        <f t="shared" si="60"/>
        <v>#N/A</v>
      </c>
      <c r="I530" s="3" t="e">
        <f t="shared" si="61"/>
        <v>#N/A</v>
      </c>
      <c r="J530" s="3" t="e">
        <v>#N/A</v>
      </c>
      <c r="K530" s="3" t="e">
        <v>#N/A</v>
      </c>
      <c r="L530" s="3" t="e">
        <v>#N/A</v>
      </c>
      <c r="M530" s="3" t="e">
        <v>#N/A</v>
      </c>
      <c r="N530" s="3" t="e">
        <v>#N/A</v>
      </c>
      <c r="O530" s="3" t="e">
        <v>#N/A</v>
      </c>
      <c r="P530" s="3" t="e">
        <f>E530*(VLOOKUP(B530,Price_data!A$1:B$190,2,FALSE))</f>
        <v>#N/A</v>
      </c>
      <c r="Q530" s="3" t="e">
        <f>G530*(VLOOKUP(B530,Price_data!A$1:B$190,2,FALSE))</f>
        <v>#N/A</v>
      </c>
      <c r="R530" s="3" t="e">
        <f>I530*(VLOOKUP(B530,Price_data!A$1:B$190,2,FALSE))</f>
        <v>#N/A</v>
      </c>
      <c r="S530" s="4" t="str">
        <f>(VLOOKUP(B530,Price_data!A$1:C$190,3,FALSE))</f>
        <v>WW</v>
      </c>
      <c r="T530" s="2" t="str">
        <f>IF(C530="Total", (VLOOKUP(B530,Recommended_fish_intake!A$4:D$122,4,FALSE)), "NA")</f>
        <v>NA</v>
      </c>
      <c r="U530" s="2" t="str">
        <f t="shared" si="62"/>
        <v>NA</v>
      </c>
    </row>
    <row r="531" spans="1:21" ht="14.25" customHeight="1">
      <c r="A531" s="2" t="s">
        <v>15</v>
      </c>
      <c r="B531" s="2">
        <v>1944</v>
      </c>
      <c r="C531" s="2" t="s">
        <v>16</v>
      </c>
      <c r="D531" s="3">
        <f t="shared" si="56"/>
        <v>329.12421255842304</v>
      </c>
      <c r="E531" s="3">
        <f t="shared" si="57"/>
        <v>16.670106000000001</v>
      </c>
      <c r="F531" s="3">
        <f t="shared" si="58"/>
        <v>6.2741312741312741E-2</v>
      </c>
      <c r="G531" s="3">
        <f t="shared" si="59"/>
        <v>5.5370000000000003E-3</v>
      </c>
      <c r="H531" s="3">
        <f t="shared" si="60"/>
        <v>288.93395651290388</v>
      </c>
      <c r="I531" s="3">
        <f t="shared" si="61"/>
        <v>22.725453000000002</v>
      </c>
      <c r="J531" s="3">
        <v>329124.21255842305</v>
      </c>
      <c r="K531" s="3">
        <v>16670.106</v>
      </c>
      <c r="L531" s="3">
        <v>62.74131274131274</v>
      </c>
      <c r="M531" s="3">
        <v>5.5369999999999999</v>
      </c>
      <c r="N531" s="3">
        <v>288933.95651290385</v>
      </c>
      <c r="O531" s="3">
        <v>22725.453000000001</v>
      </c>
      <c r="P531" s="3">
        <f>E531*(VLOOKUP(B531,Price_data!A$1:B$190,2,FALSE))</f>
        <v>439.17557690719224</v>
      </c>
      <c r="Q531" s="3">
        <f>G531*(VLOOKUP(B531,Price_data!A$1:B$190,2,FALSE))</f>
        <v>0.14587280784748</v>
      </c>
      <c r="R531" s="3">
        <f>I531*(VLOOKUP(B531,Price_data!A$1:B$190,2,FALSE))</f>
        <v>598.70428728841216</v>
      </c>
      <c r="S531" s="4" t="str">
        <f>(VLOOKUP(B531,Price_data!A$1:C$190,3,FALSE))</f>
        <v>WW</v>
      </c>
      <c r="T531" s="2">
        <f>IF(C531="Total", (VLOOKUP(B531,Recommended_fish_intake!A$4:D$122,4,FALSE)), "NA")</f>
        <v>634.80842060637303</v>
      </c>
      <c r="U531" s="2" t="str">
        <f t="shared" si="62"/>
        <v>NA</v>
      </c>
    </row>
    <row r="532" spans="1:21" ht="14.25" customHeight="1">
      <c r="A532" s="2" t="s">
        <v>15</v>
      </c>
      <c r="B532" s="2">
        <v>1944</v>
      </c>
      <c r="C532" s="2" t="s">
        <v>22</v>
      </c>
      <c r="D532" s="3">
        <f t="shared" si="56"/>
        <v>76.730136151188788</v>
      </c>
      <c r="E532" s="3" t="e">
        <f t="shared" si="57"/>
        <v>#N/A</v>
      </c>
      <c r="F532" s="3">
        <f t="shared" si="58"/>
        <v>0</v>
      </c>
      <c r="G532" s="3">
        <f t="shared" si="59"/>
        <v>0</v>
      </c>
      <c r="H532" s="3">
        <f t="shared" si="60"/>
        <v>123.36461085145295</v>
      </c>
      <c r="I532" s="3">
        <f t="shared" si="61"/>
        <v>8.2899200000000004</v>
      </c>
      <c r="J532" s="3">
        <v>76730.136151188781</v>
      </c>
      <c r="K532" s="3" t="e">
        <v>#N/A</v>
      </c>
      <c r="L532" s="3">
        <v>0</v>
      </c>
      <c r="M532" s="3">
        <v>0</v>
      </c>
      <c r="N532" s="3">
        <v>123364.61085145295</v>
      </c>
      <c r="O532" s="3">
        <v>8289.92</v>
      </c>
      <c r="P532" s="3" t="e">
        <f>E532*(VLOOKUP(B532,Price_data!A$1:B$190,2,FALSE))</f>
        <v>#N/A</v>
      </c>
      <c r="Q532" s="3">
        <f>G532*(VLOOKUP(B532,Price_data!A$1:B$190,2,FALSE))</f>
        <v>0</v>
      </c>
      <c r="R532" s="3">
        <f>I532*(VLOOKUP(B532,Price_data!A$1:B$190,2,FALSE))</f>
        <v>218.3987551437568</v>
      </c>
      <c r="S532" s="4" t="str">
        <f>(VLOOKUP(B532,Price_data!A$1:C$190,3,FALSE))</f>
        <v>WW</v>
      </c>
      <c r="T532" s="2" t="str">
        <f>IF(C532="Total", (VLOOKUP(B532,Recommended_fish_intake!A$4:D$122,4,FALSE)), "NA")</f>
        <v>NA</v>
      </c>
      <c r="U532" s="2" t="str">
        <f t="shared" si="62"/>
        <v>NA</v>
      </c>
    </row>
    <row r="533" spans="1:21" ht="14.25" customHeight="1">
      <c r="A533" s="2" t="s">
        <v>15</v>
      </c>
      <c r="B533" s="2">
        <v>1944</v>
      </c>
      <c r="C533" s="2" t="s">
        <v>23</v>
      </c>
      <c r="D533" s="3">
        <f t="shared" si="56"/>
        <v>30.039321276163381</v>
      </c>
      <c r="E533" s="3" t="e">
        <f t="shared" si="57"/>
        <v>#N/A</v>
      </c>
      <c r="F533" s="3">
        <f t="shared" si="58"/>
        <v>0</v>
      </c>
      <c r="G533" s="3">
        <f t="shared" si="59"/>
        <v>5.0000000000000004E-6</v>
      </c>
      <c r="H533" s="3">
        <f t="shared" si="60"/>
        <v>11.169376143060354</v>
      </c>
      <c r="I533" s="3">
        <f t="shared" si="61"/>
        <v>0.68524400000000008</v>
      </c>
      <c r="J533" s="3">
        <v>30039.32127616338</v>
      </c>
      <c r="K533" s="3" t="e">
        <v>#N/A</v>
      </c>
      <c r="L533" s="3">
        <v>0</v>
      </c>
      <c r="M533" s="3">
        <v>5.0000000000000001E-3</v>
      </c>
      <c r="N533" s="3">
        <v>11169.376143060354</v>
      </c>
      <c r="O533" s="3">
        <v>685.24400000000003</v>
      </c>
      <c r="P533" s="3" t="e">
        <f>E533*(VLOOKUP(B533,Price_data!A$1:B$190,2,FALSE))</f>
        <v>#N/A</v>
      </c>
      <c r="Q533" s="3">
        <f>G533*(VLOOKUP(B533,Price_data!A$1:B$190,2,FALSE))</f>
        <v>1.3172549020000002E-4</v>
      </c>
      <c r="R533" s="3">
        <f>I533*(VLOOKUP(B533,Price_data!A$1:B$190,2,FALSE))</f>
        <v>18.052820361321761</v>
      </c>
      <c r="S533" s="4" t="str">
        <f>(VLOOKUP(B533,Price_data!A$1:C$190,3,FALSE))</f>
        <v>WW</v>
      </c>
      <c r="T533" s="2" t="str">
        <f>IF(C533="Total", (VLOOKUP(B533,Recommended_fish_intake!A$4:D$122,4,FALSE)), "NA")</f>
        <v>NA</v>
      </c>
      <c r="U533" s="2" t="str">
        <f t="shared" si="62"/>
        <v>NA</v>
      </c>
    </row>
    <row r="534" spans="1:21" ht="14.25" customHeight="1">
      <c r="A534" s="2" t="s">
        <v>15</v>
      </c>
      <c r="B534" s="2">
        <v>1944</v>
      </c>
      <c r="C534" s="2" t="s">
        <v>19</v>
      </c>
      <c r="D534" s="3">
        <f t="shared" si="56"/>
        <v>77.985267222109329</v>
      </c>
      <c r="E534" s="3" t="e">
        <f t="shared" si="57"/>
        <v>#N/A</v>
      </c>
      <c r="F534" s="3">
        <f t="shared" si="58"/>
        <v>3.8102011786222315E-2</v>
      </c>
      <c r="G534" s="3">
        <f t="shared" si="59"/>
        <v>1.508E-3</v>
      </c>
      <c r="H534" s="3">
        <f t="shared" si="60"/>
        <v>15.350843324527533</v>
      </c>
      <c r="I534" s="3">
        <f t="shared" si="61"/>
        <v>1.103685</v>
      </c>
      <c r="J534" s="3">
        <v>77985.267222109323</v>
      </c>
      <c r="K534" s="3" t="e">
        <v>#N/A</v>
      </c>
      <c r="L534" s="3">
        <v>38.102011786222313</v>
      </c>
      <c r="M534" s="3">
        <v>1.508</v>
      </c>
      <c r="N534" s="3">
        <v>15350.843324527534</v>
      </c>
      <c r="O534" s="3">
        <v>1103.6849999999999</v>
      </c>
      <c r="P534" s="3" t="e">
        <f>E534*(VLOOKUP(B534,Price_data!A$1:B$190,2,FALSE))</f>
        <v>#N/A</v>
      </c>
      <c r="Q534" s="3">
        <f>G534*(VLOOKUP(B534,Price_data!A$1:B$190,2,FALSE))</f>
        <v>3.9728407844320003E-2</v>
      </c>
      <c r="R534" s="3">
        <f>I534*(VLOOKUP(B534,Price_data!A$1:B$190,2,FALSE))</f>
        <v>29.076689530277399</v>
      </c>
      <c r="S534" s="4" t="str">
        <f>(VLOOKUP(B534,Price_data!A$1:C$190,3,FALSE))</f>
        <v>WW</v>
      </c>
      <c r="T534" s="2" t="str">
        <f>IF(C534="Total", (VLOOKUP(B534,Recommended_fish_intake!A$4:D$122,4,FALSE)), "NA")</f>
        <v>NA</v>
      </c>
      <c r="U534" s="2" t="str">
        <f t="shared" si="62"/>
        <v>NA</v>
      </c>
    </row>
    <row r="535" spans="1:21" ht="14.25" customHeight="1">
      <c r="A535" s="2" t="s">
        <v>15</v>
      </c>
      <c r="B535" s="2">
        <v>1944</v>
      </c>
      <c r="C535" s="2" t="s">
        <v>28</v>
      </c>
      <c r="D535" s="3" t="e">
        <f t="shared" si="56"/>
        <v>#VALUE!</v>
      </c>
      <c r="E535" s="3" t="e">
        <f t="shared" si="57"/>
        <v>#VALUE!</v>
      </c>
      <c r="F535" s="3">
        <f t="shared" si="58"/>
        <v>0</v>
      </c>
      <c r="G535" s="3">
        <f t="shared" si="59"/>
        <v>0</v>
      </c>
      <c r="H535" s="3">
        <f t="shared" si="60"/>
        <v>4.3028855923592761</v>
      </c>
      <c r="I535" s="3">
        <f t="shared" si="61"/>
        <v>0.154444</v>
      </c>
      <c r="J535" s="3" t="e">
        <v>#VALUE!</v>
      </c>
      <c r="K535" s="3" t="e">
        <v>#VALUE!</v>
      </c>
      <c r="L535" s="3">
        <v>0</v>
      </c>
      <c r="M535" s="3">
        <v>0</v>
      </c>
      <c r="N535" s="3">
        <v>4302.8855923592764</v>
      </c>
      <c r="O535" s="3">
        <v>154.44399999999999</v>
      </c>
      <c r="P535" s="3" t="e">
        <f>E535*(VLOOKUP(B535,Price_data!A$1:B$190,2,FALSE))</f>
        <v>#VALUE!</v>
      </c>
      <c r="Q535" s="3">
        <f>G535*(VLOOKUP(B535,Price_data!A$1:B$190,2,FALSE))</f>
        <v>0</v>
      </c>
      <c r="R535" s="3">
        <f>I535*(VLOOKUP(B535,Price_data!A$1:B$190,2,FALSE))</f>
        <v>4.0688423216897602</v>
      </c>
      <c r="S535" s="4" t="str">
        <f>(VLOOKUP(B535,Price_data!A$1:C$190,3,FALSE))</f>
        <v>WW</v>
      </c>
      <c r="T535" s="2" t="str">
        <f>IF(C535="Total", (VLOOKUP(B535,Recommended_fish_intake!A$4:D$122,4,FALSE)), "NA")</f>
        <v>NA</v>
      </c>
      <c r="U535" s="2" t="e">
        <f t="shared" si="62"/>
        <v>#VALUE!</v>
      </c>
    </row>
    <row r="536" spans="1:21" ht="14.25" customHeight="1">
      <c r="A536" s="2" t="s">
        <v>15</v>
      </c>
      <c r="B536" s="2">
        <v>1944</v>
      </c>
      <c r="C536" s="2" t="s">
        <v>29</v>
      </c>
      <c r="D536" s="3" t="e">
        <f t="shared" si="56"/>
        <v>#VALUE!</v>
      </c>
      <c r="E536" s="3" t="e">
        <f t="shared" si="57"/>
        <v>#VALUE!</v>
      </c>
      <c r="F536" s="3">
        <f t="shared" si="58"/>
        <v>0</v>
      </c>
      <c r="G536" s="3">
        <f t="shared" si="59"/>
        <v>0</v>
      </c>
      <c r="H536" s="3">
        <f t="shared" si="60"/>
        <v>23.81548465758992</v>
      </c>
      <c r="I536" s="3">
        <f t="shared" si="61"/>
        <v>2.874511</v>
      </c>
      <c r="J536" s="3" t="e">
        <v>#VALUE!</v>
      </c>
      <c r="K536" s="3" t="e">
        <v>#VALUE!</v>
      </c>
      <c r="L536" s="3">
        <v>0</v>
      </c>
      <c r="M536" s="3">
        <v>0</v>
      </c>
      <c r="N536" s="3">
        <v>23815.484657589921</v>
      </c>
      <c r="O536" s="3">
        <v>2874.511</v>
      </c>
      <c r="P536" s="3" t="e">
        <f>E536*(VLOOKUP(B536,Price_data!A$1:B$190,2,FALSE))</f>
        <v>#VALUE!</v>
      </c>
      <c r="Q536" s="3">
        <f>G536*(VLOOKUP(B536,Price_data!A$1:B$190,2,FALSE))</f>
        <v>0</v>
      </c>
      <c r="R536" s="3">
        <f>I536*(VLOOKUP(B536,Price_data!A$1:B$190,2,FALSE))</f>
        <v>75.729274112058434</v>
      </c>
      <c r="S536" s="4" t="str">
        <f>(VLOOKUP(B536,Price_data!A$1:C$190,3,FALSE))</f>
        <v>WW</v>
      </c>
      <c r="T536" s="2" t="str">
        <f>IF(C536="Total", (VLOOKUP(B536,Recommended_fish_intake!A$4:D$122,4,FALSE)), "NA")</f>
        <v>NA</v>
      </c>
      <c r="U536" s="2" t="str">
        <f t="shared" si="62"/>
        <v>NA</v>
      </c>
    </row>
    <row r="537" spans="1:21" ht="14.25" customHeight="1">
      <c r="A537" s="2" t="s">
        <v>15</v>
      </c>
      <c r="B537" s="2">
        <v>1944</v>
      </c>
      <c r="C537" s="2" t="s">
        <v>20</v>
      </c>
      <c r="D537" s="3">
        <f t="shared" si="56"/>
        <v>3.6492582808372283</v>
      </c>
      <c r="E537" s="3" t="e">
        <f t="shared" si="57"/>
        <v>#N/A</v>
      </c>
      <c r="F537" s="3" t="e">
        <f t="shared" si="58"/>
        <v>#VALUE!</v>
      </c>
      <c r="G537" s="3" t="e">
        <f t="shared" si="59"/>
        <v>#VALUE!</v>
      </c>
      <c r="H537" s="3" t="e">
        <f t="shared" si="60"/>
        <v>#VALUE!</v>
      </c>
      <c r="I537" s="3" t="e">
        <f t="shared" si="61"/>
        <v>#VALUE!</v>
      </c>
      <c r="J537" s="3">
        <v>3649.2582808372281</v>
      </c>
      <c r="K537" s="3" t="e">
        <v>#N/A</v>
      </c>
      <c r="L537" s="3" t="e">
        <v>#VALUE!</v>
      </c>
      <c r="M537" s="3" t="e">
        <v>#VALUE!</v>
      </c>
      <c r="N537" s="3" t="e">
        <v>#VALUE!</v>
      </c>
      <c r="O537" s="3" t="e">
        <v>#VALUE!</v>
      </c>
      <c r="P537" s="3" t="e">
        <f>E537*(VLOOKUP(B537,Price_data!A$1:B$190,2,FALSE))</f>
        <v>#N/A</v>
      </c>
      <c r="Q537" s="3" t="e">
        <f>G537*(VLOOKUP(B537,Price_data!A$1:B$190,2,FALSE))</f>
        <v>#VALUE!</v>
      </c>
      <c r="R537" s="3" t="e">
        <f>I537*(VLOOKUP(B537,Price_data!A$1:B$190,2,FALSE))</f>
        <v>#VALUE!</v>
      </c>
      <c r="S537" s="4" t="str">
        <f>(VLOOKUP(B537,Price_data!A$1:C$190,3,FALSE))</f>
        <v>WW</v>
      </c>
      <c r="T537" s="2" t="str">
        <f>IF(C537="Total", (VLOOKUP(B537,Recommended_fish_intake!A$4:D$122,4,FALSE)), "NA")</f>
        <v>NA</v>
      </c>
      <c r="U537" s="2" t="str">
        <f t="shared" si="62"/>
        <v>NA</v>
      </c>
    </row>
    <row r="538" spans="1:21" ht="14.25" customHeight="1">
      <c r="A538" s="2" t="s">
        <v>15</v>
      </c>
      <c r="B538" s="2">
        <v>1944</v>
      </c>
      <c r="C538" s="2" t="s">
        <v>25</v>
      </c>
      <c r="D538" s="3">
        <f t="shared" si="56"/>
        <v>20.751066856330013</v>
      </c>
      <c r="E538" s="3" t="e">
        <f t="shared" si="57"/>
        <v>#N/A</v>
      </c>
      <c r="F538" s="3" t="e">
        <f t="shared" si="58"/>
        <v>#N/A</v>
      </c>
      <c r="G538" s="3" t="e">
        <f t="shared" si="59"/>
        <v>#N/A</v>
      </c>
      <c r="H538" s="3" t="e">
        <f t="shared" si="60"/>
        <v>#N/A</v>
      </c>
      <c r="I538" s="3" t="e">
        <f t="shared" si="61"/>
        <v>#N/A</v>
      </c>
      <c r="J538" s="3">
        <v>20751.066856330013</v>
      </c>
      <c r="K538" s="3" t="e">
        <v>#N/A</v>
      </c>
      <c r="L538" s="3" t="e">
        <v>#N/A</v>
      </c>
      <c r="M538" s="3" t="e">
        <v>#N/A</v>
      </c>
      <c r="N538" s="3" t="e">
        <v>#N/A</v>
      </c>
      <c r="O538" s="3" t="e">
        <v>#N/A</v>
      </c>
      <c r="P538" s="3" t="e">
        <f>E538*(VLOOKUP(B538,Price_data!A$1:B$190,2,FALSE))</f>
        <v>#N/A</v>
      </c>
      <c r="Q538" s="3" t="e">
        <f>G538*(VLOOKUP(B538,Price_data!A$1:B$190,2,FALSE))</f>
        <v>#N/A</v>
      </c>
      <c r="R538" s="3" t="e">
        <f>I538*(VLOOKUP(B538,Price_data!A$1:B$190,2,FALSE))</f>
        <v>#N/A</v>
      </c>
      <c r="S538" s="4" t="str">
        <f>(VLOOKUP(B538,Price_data!A$1:C$190,3,FALSE))</f>
        <v>WW</v>
      </c>
      <c r="T538" s="2" t="str">
        <f>IF(C538="Total", (VLOOKUP(B538,Recommended_fish_intake!A$4:D$122,4,FALSE)), "NA")</f>
        <v>NA</v>
      </c>
      <c r="U538" s="2" t="str">
        <f t="shared" si="62"/>
        <v>NA</v>
      </c>
    </row>
    <row r="539" spans="1:21" ht="14.25" customHeight="1">
      <c r="A539" s="2" t="s">
        <v>15</v>
      </c>
      <c r="B539" s="2">
        <v>1944</v>
      </c>
      <c r="C539" s="2" t="s">
        <v>24</v>
      </c>
      <c r="D539" s="3">
        <f t="shared" si="56"/>
        <v>20.894228815281448</v>
      </c>
      <c r="E539" s="3" t="e">
        <f t="shared" si="57"/>
        <v>#N/A</v>
      </c>
      <c r="F539" s="3" t="e">
        <f t="shared" si="58"/>
        <v>#N/A</v>
      </c>
      <c r="G539" s="3" t="e">
        <f t="shared" si="59"/>
        <v>#N/A</v>
      </c>
      <c r="H539" s="3" t="e">
        <f t="shared" si="60"/>
        <v>#N/A</v>
      </c>
      <c r="I539" s="3" t="e">
        <f t="shared" si="61"/>
        <v>#N/A</v>
      </c>
      <c r="J539" s="3">
        <v>20894.228815281447</v>
      </c>
      <c r="K539" s="3" t="e">
        <v>#N/A</v>
      </c>
      <c r="L539" s="3" t="e">
        <v>#N/A</v>
      </c>
      <c r="M539" s="3" t="e">
        <v>#N/A</v>
      </c>
      <c r="N539" s="3" t="e">
        <v>#N/A</v>
      </c>
      <c r="O539" s="3" t="e">
        <v>#N/A</v>
      </c>
      <c r="P539" s="3" t="e">
        <f>E539*(VLOOKUP(B539,Price_data!A$1:B$190,2,FALSE))</f>
        <v>#N/A</v>
      </c>
      <c r="Q539" s="3" t="e">
        <f>G539*(VLOOKUP(B539,Price_data!A$1:B$190,2,FALSE))</f>
        <v>#N/A</v>
      </c>
      <c r="R539" s="3" t="e">
        <f>I539*(VLOOKUP(B539,Price_data!A$1:B$190,2,FALSE))</f>
        <v>#N/A</v>
      </c>
      <c r="S539" s="4" t="str">
        <f>(VLOOKUP(B539,Price_data!A$1:C$190,3,FALSE))</f>
        <v>WW</v>
      </c>
      <c r="T539" s="2" t="str">
        <f>IF(C539="Total", (VLOOKUP(B539,Recommended_fish_intake!A$4:D$122,4,FALSE)), "NA")</f>
        <v>NA</v>
      </c>
      <c r="U539" s="2" t="str">
        <f t="shared" si="62"/>
        <v>NA</v>
      </c>
    </row>
    <row r="540" spans="1:21" ht="14.25" customHeight="1">
      <c r="A540" s="2" t="s">
        <v>15</v>
      </c>
      <c r="B540" s="2">
        <v>1944</v>
      </c>
      <c r="C540" s="2" t="s">
        <v>30</v>
      </c>
      <c r="D540" s="3" t="e">
        <f t="shared" si="56"/>
        <v>#N/A</v>
      </c>
      <c r="E540" s="3" t="e">
        <f t="shared" si="57"/>
        <v>#N/A</v>
      </c>
      <c r="F540" s="3" t="e">
        <f t="shared" si="58"/>
        <v>#VALUE!</v>
      </c>
      <c r="G540" s="3" t="e">
        <f t="shared" si="59"/>
        <v>#VALUE!</v>
      </c>
      <c r="H540" s="3">
        <f t="shared" si="60"/>
        <v>1.7272912009754114E-3</v>
      </c>
      <c r="I540" s="3">
        <f t="shared" si="61"/>
        <v>5.0500000000000002E-4</v>
      </c>
      <c r="J540" s="3" t="e">
        <v>#N/A</v>
      </c>
      <c r="K540" s="3" t="e">
        <v>#N/A</v>
      </c>
      <c r="L540" s="3" t="e">
        <v>#VALUE!</v>
      </c>
      <c r="M540" s="3" t="e">
        <v>#VALUE!</v>
      </c>
      <c r="N540" s="3">
        <v>1.7272912009754113</v>
      </c>
      <c r="O540" s="3">
        <v>0.505</v>
      </c>
      <c r="P540" s="3" t="e">
        <f>E540*(VLOOKUP(B540,Price_data!A$1:B$190,2,FALSE))</f>
        <v>#N/A</v>
      </c>
      <c r="Q540" s="3" t="e">
        <f>G540*(VLOOKUP(B540,Price_data!A$1:B$190,2,FALSE))</f>
        <v>#VALUE!</v>
      </c>
      <c r="R540" s="3">
        <f>I540*(VLOOKUP(B540,Price_data!A$1:B$190,2,FALSE))</f>
        <v>1.33042745102E-2</v>
      </c>
      <c r="S540" s="4" t="str">
        <f>(VLOOKUP(B540,Price_data!A$1:C$190,3,FALSE))</f>
        <v>WW</v>
      </c>
      <c r="T540" s="2" t="str">
        <f>IF(C540="Total", (VLOOKUP(B540,Recommended_fish_intake!A$4:D$122,4,FALSE)), "NA")</f>
        <v>NA</v>
      </c>
      <c r="U540" s="2" t="str">
        <f t="shared" si="62"/>
        <v>NA</v>
      </c>
    </row>
    <row r="541" spans="1:21" ht="14.25" customHeight="1">
      <c r="A541" s="2" t="s">
        <v>15</v>
      </c>
      <c r="B541" s="2">
        <v>1945</v>
      </c>
      <c r="C541" s="2" t="s">
        <v>16</v>
      </c>
      <c r="D541" s="3">
        <f t="shared" si="56"/>
        <v>499.343324527535</v>
      </c>
      <c r="E541" s="3">
        <f t="shared" si="57"/>
        <v>25.893515000000001</v>
      </c>
      <c r="F541" s="3">
        <f t="shared" si="58"/>
        <v>10.361207071733386</v>
      </c>
      <c r="G541" s="3">
        <f t="shared" si="59"/>
        <v>0.49071199999999998</v>
      </c>
      <c r="H541" s="3">
        <f t="shared" si="60"/>
        <v>280.11293436293431</v>
      </c>
      <c r="I541" s="3">
        <f t="shared" si="61"/>
        <v>23.194210999999999</v>
      </c>
      <c r="J541" s="3">
        <v>499343.32452753501</v>
      </c>
      <c r="K541" s="3">
        <v>25893.514999999999</v>
      </c>
      <c r="L541" s="3">
        <v>10361.207071733386</v>
      </c>
      <c r="M541" s="3">
        <v>490.71199999999999</v>
      </c>
      <c r="N541" s="3">
        <v>280112.93436293432</v>
      </c>
      <c r="O541" s="3">
        <v>23194.210999999999</v>
      </c>
      <c r="P541" s="3">
        <f>E541*(VLOOKUP(B541,Price_data!A$1:B$190,2,FALSE))</f>
        <v>663.94135016241557</v>
      </c>
      <c r="Q541" s="3">
        <f>G541*(VLOOKUP(B541,Price_data!A$1:B$190,2,FALSE))</f>
        <v>12.58245502091544</v>
      </c>
      <c r="R541" s="3">
        <f>I541*(VLOOKUP(B541,Price_data!A$1:B$190,2,FALSE))</f>
        <v>594.72789875348906</v>
      </c>
      <c r="S541" s="4" t="str">
        <f>(VLOOKUP(B541,Price_data!A$1:C$190,3,FALSE))</f>
        <v>WW</v>
      </c>
      <c r="T541" s="2">
        <f>IF(C541="Total", (VLOOKUP(B541,Recommended_fish_intake!A$4:D$122,4,FALSE)), "NA")</f>
        <v>637.55019731177129</v>
      </c>
      <c r="U541" s="2" t="str">
        <f t="shared" si="62"/>
        <v>NA</v>
      </c>
    </row>
    <row r="542" spans="1:21" ht="14.25" customHeight="1">
      <c r="A542" s="2" t="s">
        <v>15</v>
      </c>
      <c r="B542" s="2">
        <v>1945</v>
      </c>
      <c r="C542" s="2" t="s">
        <v>22</v>
      </c>
      <c r="D542" s="3">
        <f t="shared" si="56"/>
        <v>120.825746799431</v>
      </c>
      <c r="E542" s="3" t="e">
        <f t="shared" si="57"/>
        <v>#N/A</v>
      </c>
      <c r="F542" s="3" t="e">
        <f t="shared" si="58"/>
        <v>#N/A</v>
      </c>
      <c r="G542" s="3" t="e">
        <f t="shared" si="59"/>
        <v>#N/A</v>
      </c>
      <c r="H542" s="3" t="e">
        <f t="shared" si="60"/>
        <v>#N/A</v>
      </c>
      <c r="I542" s="3" t="e">
        <f t="shared" si="61"/>
        <v>#N/A</v>
      </c>
      <c r="J542" s="3">
        <v>120825.746799431</v>
      </c>
      <c r="K542" s="3" t="e">
        <v>#N/A</v>
      </c>
      <c r="L542" s="3" t="e">
        <v>#N/A</v>
      </c>
      <c r="M542" s="3" t="e">
        <v>#N/A</v>
      </c>
      <c r="N542" s="3" t="e">
        <v>#N/A</v>
      </c>
      <c r="O542" s="3" t="e">
        <v>#N/A</v>
      </c>
      <c r="P542" s="3" t="e">
        <f>E542*(VLOOKUP(B542,Price_data!A$1:B$190,2,FALSE))</f>
        <v>#N/A</v>
      </c>
      <c r="Q542" s="3" t="e">
        <f>G542*(VLOOKUP(B542,Price_data!A$1:B$190,2,FALSE))</f>
        <v>#N/A</v>
      </c>
      <c r="R542" s="3" t="e">
        <f>I542*(VLOOKUP(B542,Price_data!A$1:B$190,2,FALSE))</f>
        <v>#N/A</v>
      </c>
      <c r="S542" s="4" t="str">
        <f>(VLOOKUP(B542,Price_data!A$1:C$190,3,FALSE))</f>
        <v>WW</v>
      </c>
      <c r="T542" s="2" t="str">
        <f>IF(C542="Total", (VLOOKUP(B542,Recommended_fish_intake!A$4:D$122,4,FALSE)), "NA")</f>
        <v>NA</v>
      </c>
      <c r="U542" s="2" t="str">
        <f t="shared" si="62"/>
        <v>NA</v>
      </c>
    </row>
    <row r="543" spans="1:21" ht="14.25" customHeight="1">
      <c r="A543" s="2" t="s">
        <v>15</v>
      </c>
      <c r="B543" s="2">
        <v>1945</v>
      </c>
      <c r="C543" s="2" t="s">
        <v>23</v>
      </c>
      <c r="D543" s="3">
        <f t="shared" si="56"/>
        <v>58.90865677707783</v>
      </c>
      <c r="E543" s="3" t="e">
        <f t="shared" si="57"/>
        <v>#N/A</v>
      </c>
      <c r="F543" s="3" t="e">
        <f t="shared" si="58"/>
        <v>#N/A</v>
      </c>
      <c r="G543" s="3" t="e">
        <f t="shared" si="59"/>
        <v>#N/A</v>
      </c>
      <c r="H543" s="3" t="e">
        <f t="shared" si="60"/>
        <v>#N/A</v>
      </c>
      <c r="I543" s="3" t="e">
        <f t="shared" si="61"/>
        <v>#N/A</v>
      </c>
      <c r="J543" s="3">
        <v>58908.656777077827</v>
      </c>
      <c r="K543" s="3" t="e">
        <v>#N/A</v>
      </c>
      <c r="L543" s="3" t="e">
        <v>#N/A</v>
      </c>
      <c r="M543" s="3" t="e">
        <v>#N/A</v>
      </c>
      <c r="N543" s="3" t="e">
        <v>#N/A</v>
      </c>
      <c r="O543" s="3" t="e">
        <v>#N/A</v>
      </c>
      <c r="P543" s="3" t="e">
        <f>E543*(VLOOKUP(B543,Price_data!A$1:B$190,2,FALSE))</f>
        <v>#N/A</v>
      </c>
      <c r="Q543" s="3" t="e">
        <f>G543*(VLOOKUP(B543,Price_data!A$1:B$190,2,FALSE))</f>
        <v>#N/A</v>
      </c>
      <c r="R543" s="3" t="e">
        <f>I543*(VLOOKUP(B543,Price_data!A$1:B$190,2,FALSE))</f>
        <v>#N/A</v>
      </c>
      <c r="S543" s="4" t="str">
        <f>(VLOOKUP(B543,Price_data!A$1:C$190,3,FALSE))</f>
        <v>WW</v>
      </c>
      <c r="T543" s="2" t="str">
        <f>IF(C543="Total", (VLOOKUP(B543,Recommended_fish_intake!A$4:D$122,4,FALSE)), "NA")</f>
        <v>NA</v>
      </c>
      <c r="U543" s="2" t="str">
        <f t="shared" si="62"/>
        <v>NA</v>
      </c>
    </row>
    <row r="544" spans="1:21" ht="14.25" customHeight="1">
      <c r="A544" s="2" t="s">
        <v>15</v>
      </c>
      <c r="B544" s="2">
        <v>1945</v>
      </c>
      <c r="C544" s="2" t="s">
        <v>19</v>
      </c>
      <c r="D544" s="3">
        <f t="shared" si="56"/>
        <v>144.18456614509245</v>
      </c>
      <c r="E544" s="3" t="e">
        <f t="shared" si="57"/>
        <v>#N/A</v>
      </c>
      <c r="F544" s="3" t="e">
        <f t="shared" si="58"/>
        <v>#N/A</v>
      </c>
      <c r="G544" s="3" t="e">
        <f t="shared" si="59"/>
        <v>#N/A</v>
      </c>
      <c r="H544" s="3" t="e">
        <f t="shared" si="60"/>
        <v>#N/A</v>
      </c>
      <c r="I544" s="3" t="e">
        <f t="shared" si="61"/>
        <v>#N/A</v>
      </c>
      <c r="J544" s="3">
        <v>144184.56614509245</v>
      </c>
      <c r="K544" s="3" t="e">
        <v>#N/A</v>
      </c>
      <c r="L544" s="3" t="e">
        <v>#N/A</v>
      </c>
      <c r="M544" s="3" t="e">
        <v>#N/A</v>
      </c>
      <c r="N544" s="3" t="e">
        <v>#N/A</v>
      </c>
      <c r="O544" s="3" t="e">
        <v>#N/A</v>
      </c>
      <c r="P544" s="3" t="e">
        <f>E544*(VLOOKUP(B544,Price_data!A$1:B$190,2,FALSE))</f>
        <v>#N/A</v>
      </c>
      <c r="Q544" s="3" t="e">
        <f>G544*(VLOOKUP(B544,Price_data!A$1:B$190,2,FALSE))</f>
        <v>#N/A</v>
      </c>
      <c r="R544" s="3" t="e">
        <f>I544*(VLOOKUP(B544,Price_data!A$1:B$190,2,FALSE))</f>
        <v>#N/A</v>
      </c>
      <c r="S544" s="4" t="str">
        <f>(VLOOKUP(B544,Price_data!A$1:C$190,3,FALSE))</f>
        <v>WW</v>
      </c>
      <c r="T544" s="2" t="str">
        <f>IF(C544="Total", (VLOOKUP(B544,Recommended_fish_intake!A$4:D$122,4,FALSE)), "NA")</f>
        <v>NA</v>
      </c>
      <c r="U544" s="2" t="str">
        <f t="shared" si="62"/>
        <v>NA</v>
      </c>
    </row>
    <row r="545" spans="1:21" ht="14.25" customHeight="1">
      <c r="A545" s="2" t="s">
        <v>15</v>
      </c>
      <c r="B545" s="2">
        <v>1945</v>
      </c>
      <c r="C545" s="2" t="s">
        <v>28</v>
      </c>
      <c r="D545" s="3" t="e">
        <f t="shared" si="56"/>
        <v>#VALUE!</v>
      </c>
      <c r="E545" s="3" t="e">
        <f t="shared" si="57"/>
        <v>#VALUE!</v>
      </c>
      <c r="F545" s="3" t="e">
        <f t="shared" si="58"/>
        <v>#N/A</v>
      </c>
      <c r="G545" s="3" t="e">
        <f t="shared" si="59"/>
        <v>#N/A</v>
      </c>
      <c r="H545" s="3" t="e">
        <f t="shared" si="60"/>
        <v>#N/A</v>
      </c>
      <c r="I545" s="3" t="e">
        <f t="shared" si="61"/>
        <v>#N/A</v>
      </c>
      <c r="J545" s="3" t="e">
        <v>#VALUE!</v>
      </c>
      <c r="K545" s="3" t="e">
        <v>#VALUE!</v>
      </c>
      <c r="L545" s="3" t="e">
        <v>#N/A</v>
      </c>
      <c r="M545" s="3" t="e">
        <v>#N/A</v>
      </c>
      <c r="N545" s="3" t="e">
        <v>#N/A</v>
      </c>
      <c r="O545" s="3" t="e">
        <v>#N/A</v>
      </c>
      <c r="P545" s="3" t="e">
        <f>E545*(VLOOKUP(B545,Price_data!A$1:B$190,2,FALSE))</f>
        <v>#VALUE!</v>
      </c>
      <c r="Q545" s="3" t="e">
        <f>G545*(VLOOKUP(B545,Price_data!A$1:B$190,2,FALSE))</f>
        <v>#N/A</v>
      </c>
      <c r="R545" s="3" t="e">
        <f>I545*(VLOOKUP(B545,Price_data!A$1:B$190,2,FALSE))</f>
        <v>#N/A</v>
      </c>
      <c r="S545" s="4" t="str">
        <f>(VLOOKUP(B545,Price_data!A$1:C$190,3,FALSE))</f>
        <v>WW</v>
      </c>
      <c r="T545" s="2" t="str">
        <f>IF(C545="Total", (VLOOKUP(B545,Recommended_fish_intake!A$4:D$122,4,FALSE)), "NA")</f>
        <v>NA</v>
      </c>
      <c r="U545" s="2" t="e">
        <f t="shared" si="62"/>
        <v>#VALUE!</v>
      </c>
    </row>
    <row r="546" spans="1:21" ht="14.25" customHeight="1">
      <c r="A546" s="2" t="s">
        <v>15</v>
      </c>
      <c r="B546" s="2">
        <v>1945</v>
      </c>
      <c r="C546" s="2" t="s">
        <v>29</v>
      </c>
      <c r="D546" s="3" t="e">
        <f t="shared" si="56"/>
        <v>#VALUE!</v>
      </c>
      <c r="E546" s="3" t="e">
        <f t="shared" si="57"/>
        <v>#VALUE!</v>
      </c>
      <c r="F546" s="3" t="e">
        <f t="shared" si="58"/>
        <v>#N/A</v>
      </c>
      <c r="G546" s="3" t="e">
        <f t="shared" si="59"/>
        <v>#N/A</v>
      </c>
      <c r="H546" s="3" t="e">
        <f t="shared" si="60"/>
        <v>#N/A</v>
      </c>
      <c r="I546" s="3" t="e">
        <f t="shared" si="61"/>
        <v>#N/A</v>
      </c>
      <c r="J546" s="3" t="e">
        <v>#VALUE!</v>
      </c>
      <c r="K546" s="3" t="e">
        <v>#VALUE!</v>
      </c>
      <c r="L546" s="3" t="e">
        <v>#N/A</v>
      </c>
      <c r="M546" s="3" t="e">
        <v>#N/A</v>
      </c>
      <c r="N546" s="3" t="e">
        <v>#N/A</v>
      </c>
      <c r="O546" s="3" t="e">
        <v>#N/A</v>
      </c>
      <c r="P546" s="3" t="e">
        <f>E546*(VLOOKUP(B546,Price_data!A$1:B$190,2,FALSE))</f>
        <v>#VALUE!</v>
      </c>
      <c r="Q546" s="3" t="e">
        <f>G546*(VLOOKUP(B546,Price_data!A$1:B$190,2,FALSE))</f>
        <v>#N/A</v>
      </c>
      <c r="R546" s="3" t="e">
        <f>I546*(VLOOKUP(B546,Price_data!A$1:B$190,2,FALSE))</f>
        <v>#N/A</v>
      </c>
      <c r="S546" s="4" t="str">
        <f>(VLOOKUP(B546,Price_data!A$1:C$190,3,FALSE))</f>
        <v>WW</v>
      </c>
      <c r="T546" s="2" t="str">
        <f>IF(C546="Total", (VLOOKUP(B546,Recommended_fish_intake!A$4:D$122,4,FALSE)), "NA")</f>
        <v>NA</v>
      </c>
      <c r="U546" s="2" t="str">
        <f t="shared" si="62"/>
        <v>NA</v>
      </c>
    </row>
    <row r="547" spans="1:21" ht="14.25" customHeight="1">
      <c r="A547" s="2" t="s">
        <v>15</v>
      </c>
      <c r="B547" s="2">
        <v>1945</v>
      </c>
      <c r="C547" s="2" t="s">
        <v>20</v>
      </c>
      <c r="D547" s="3">
        <f t="shared" si="56"/>
        <v>3.7098150782361308</v>
      </c>
      <c r="E547" s="3" t="e">
        <f t="shared" si="57"/>
        <v>#N/A</v>
      </c>
      <c r="F547" s="3" t="e">
        <f t="shared" si="58"/>
        <v>#N/A</v>
      </c>
      <c r="G547" s="3" t="e">
        <f t="shared" si="59"/>
        <v>#N/A</v>
      </c>
      <c r="H547" s="3" t="e">
        <f t="shared" si="60"/>
        <v>#N/A</v>
      </c>
      <c r="I547" s="3" t="e">
        <f t="shared" si="61"/>
        <v>#N/A</v>
      </c>
      <c r="J547" s="3">
        <v>3709.8150782361308</v>
      </c>
      <c r="K547" s="3" t="e">
        <v>#N/A</v>
      </c>
      <c r="L547" s="3" t="e">
        <v>#N/A</v>
      </c>
      <c r="M547" s="3" t="e">
        <v>#N/A</v>
      </c>
      <c r="N547" s="3" t="e">
        <v>#N/A</v>
      </c>
      <c r="O547" s="3" t="e">
        <v>#N/A</v>
      </c>
      <c r="P547" s="3" t="e">
        <f>E547*(VLOOKUP(B547,Price_data!A$1:B$190,2,FALSE))</f>
        <v>#N/A</v>
      </c>
      <c r="Q547" s="3" t="e">
        <f>G547*(VLOOKUP(B547,Price_data!A$1:B$190,2,FALSE))</f>
        <v>#N/A</v>
      </c>
      <c r="R547" s="3" t="e">
        <f>I547*(VLOOKUP(B547,Price_data!A$1:B$190,2,FALSE))</f>
        <v>#N/A</v>
      </c>
      <c r="S547" s="4" t="str">
        <f>(VLOOKUP(B547,Price_data!A$1:C$190,3,FALSE))</f>
        <v>WW</v>
      </c>
      <c r="T547" s="2" t="str">
        <f>IF(C547="Total", (VLOOKUP(B547,Recommended_fish_intake!A$4:D$122,4,FALSE)), "NA")</f>
        <v>NA</v>
      </c>
      <c r="U547" s="2" t="str">
        <f t="shared" si="62"/>
        <v>NA</v>
      </c>
    </row>
    <row r="548" spans="1:21" ht="14.25" customHeight="1">
      <c r="A548" s="2" t="s">
        <v>15</v>
      </c>
      <c r="B548" s="2">
        <v>1945</v>
      </c>
      <c r="C548" s="2" t="s">
        <v>25</v>
      </c>
      <c r="D548" s="3">
        <f t="shared" si="56"/>
        <v>50.231812639707371</v>
      </c>
      <c r="E548" s="3" t="e">
        <f t="shared" si="57"/>
        <v>#N/A</v>
      </c>
      <c r="F548" s="3" t="e">
        <f t="shared" si="58"/>
        <v>#N/A</v>
      </c>
      <c r="G548" s="3" t="e">
        <f t="shared" si="59"/>
        <v>#N/A</v>
      </c>
      <c r="H548" s="3" t="e">
        <f t="shared" si="60"/>
        <v>#N/A</v>
      </c>
      <c r="I548" s="3" t="e">
        <f t="shared" si="61"/>
        <v>#N/A</v>
      </c>
      <c r="J548" s="3">
        <v>50231.812639707372</v>
      </c>
      <c r="K548" s="3" t="e">
        <v>#N/A</v>
      </c>
      <c r="L548" s="3" t="e">
        <v>#N/A</v>
      </c>
      <c r="M548" s="3" t="e">
        <v>#N/A</v>
      </c>
      <c r="N548" s="3" t="e">
        <v>#N/A</v>
      </c>
      <c r="O548" s="3" t="e">
        <v>#N/A</v>
      </c>
      <c r="P548" s="3" t="e">
        <f>E548*(VLOOKUP(B548,Price_data!A$1:B$190,2,FALSE))</f>
        <v>#N/A</v>
      </c>
      <c r="Q548" s="3" t="e">
        <f>G548*(VLOOKUP(B548,Price_data!A$1:B$190,2,FALSE))</f>
        <v>#N/A</v>
      </c>
      <c r="R548" s="3" t="e">
        <f>I548*(VLOOKUP(B548,Price_data!A$1:B$190,2,FALSE))</f>
        <v>#N/A</v>
      </c>
      <c r="S548" s="4" t="str">
        <f>(VLOOKUP(B548,Price_data!A$1:C$190,3,FALSE))</f>
        <v>WW</v>
      </c>
      <c r="T548" s="2" t="str">
        <f>IF(C548="Total", (VLOOKUP(B548,Recommended_fish_intake!A$4:D$122,4,FALSE)), "NA")</f>
        <v>NA</v>
      </c>
      <c r="U548" s="2" t="str">
        <f t="shared" si="62"/>
        <v>NA</v>
      </c>
    </row>
    <row r="549" spans="1:21" ht="14.25" customHeight="1">
      <c r="A549" s="2" t="s">
        <v>15</v>
      </c>
      <c r="B549" s="2">
        <v>1945</v>
      </c>
      <c r="C549" s="2" t="s">
        <v>24</v>
      </c>
      <c r="D549" s="3">
        <f t="shared" si="56"/>
        <v>20.289067262751473</v>
      </c>
      <c r="E549" s="3" t="e">
        <f t="shared" si="57"/>
        <v>#N/A</v>
      </c>
      <c r="F549" s="3" t="e">
        <f t="shared" si="58"/>
        <v>#N/A</v>
      </c>
      <c r="G549" s="3" t="e">
        <f t="shared" si="59"/>
        <v>#N/A</v>
      </c>
      <c r="H549" s="3" t="e">
        <f t="shared" si="60"/>
        <v>#N/A</v>
      </c>
      <c r="I549" s="3" t="e">
        <f t="shared" si="61"/>
        <v>#N/A</v>
      </c>
      <c r="J549" s="3">
        <v>20289.067262751472</v>
      </c>
      <c r="K549" s="3" t="e">
        <v>#N/A</v>
      </c>
      <c r="L549" s="3" t="e">
        <v>#N/A</v>
      </c>
      <c r="M549" s="3" t="e">
        <v>#N/A</v>
      </c>
      <c r="N549" s="3" t="e">
        <v>#N/A</v>
      </c>
      <c r="O549" s="3" t="e">
        <v>#N/A</v>
      </c>
      <c r="P549" s="3" t="e">
        <f>E549*(VLOOKUP(B549,Price_data!A$1:B$190,2,FALSE))</f>
        <v>#N/A</v>
      </c>
      <c r="Q549" s="3" t="e">
        <f>G549*(VLOOKUP(B549,Price_data!A$1:B$190,2,FALSE))</f>
        <v>#N/A</v>
      </c>
      <c r="R549" s="3" t="e">
        <f>I549*(VLOOKUP(B549,Price_data!A$1:B$190,2,FALSE))</f>
        <v>#N/A</v>
      </c>
      <c r="S549" s="4" t="str">
        <f>(VLOOKUP(B549,Price_data!A$1:C$190,3,FALSE))</f>
        <v>WW</v>
      </c>
      <c r="T549" s="2" t="str">
        <f>IF(C549="Total", (VLOOKUP(B549,Recommended_fish_intake!A$4:D$122,4,FALSE)), "NA")</f>
        <v>NA</v>
      </c>
      <c r="U549" s="2" t="str">
        <f t="shared" si="62"/>
        <v>NA</v>
      </c>
    </row>
    <row r="550" spans="1:21" ht="14.25" customHeight="1">
      <c r="A550" s="2" t="s">
        <v>15</v>
      </c>
      <c r="B550" s="2">
        <v>1945</v>
      </c>
      <c r="C550" s="2" t="s">
        <v>30</v>
      </c>
      <c r="D550" s="3" t="e">
        <f t="shared" si="56"/>
        <v>#N/A</v>
      </c>
      <c r="E550" s="3" t="e">
        <f t="shared" si="57"/>
        <v>#N/A</v>
      </c>
      <c r="F550" s="3" t="e">
        <f t="shared" si="58"/>
        <v>#N/A</v>
      </c>
      <c r="G550" s="3" t="e">
        <f t="shared" si="59"/>
        <v>#N/A</v>
      </c>
      <c r="H550" s="3" t="e">
        <f t="shared" si="60"/>
        <v>#N/A</v>
      </c>
      <c r="I550" s="3" t="e">
        <f t="shared" si="61"/>
        <v>#N/A</v>
      </c>
      <c r="J550" s="3" t="e">
        <v>#N/A</v>
      </c>
      <c r="K550" s="3" t="e">
        <v>#N/A</v>
      </c>
      <c r="L550" s="3" t="e">
        <v>#N/A</v>
      </c>
      <c r="M550" s="3" t="e">
        <v>#N/A</v>
      </c>
      <c r="N550" s="3" t="e">
        <v>#N/A</v>
      </c>
      <c r="O550" s="3" t="e">
        <v>#N/A</v>
      </c>
      <c r="P550" s="3" t="e">
        <f>E550*(VLOOKUP(B550,Price_data!A$1:B$190,2,FALSE))</f>
        <v>#N/A</v>
      </c>
      <c r="Q550" s="3" t="e">
        <f>G550*(VLOOKUP(B550,Price_data!A$1:B$190,2,FALSE))</f>
        <v>#N/A</v>
      </c>
      <c r="R550" s="3" t="e">
        <f>I550*(VLOOKUP(B550,Price_data!A$1:B$190,2,FALSE))</f>
        <v>#N/A</v>
      </c>
      <c r="S550" s="4" t="str">
        <f>(VLOOKUP(B550,Price_data!A$1:C$190,3,FALSE))</f>
        <v>WW</v>
      </c>
      <c r="T550" s="2" t="str">
        <f>IF(C550="Total", (VLOOKUP(B550,Recommended_fish_intake!A$4:D$122,4,FALSE)), "NA")</f>
        <v>NA</v>
      </c>
      <c r="U550" s="2" t="str">
        <f t="shared" si="62"/>
        <v>NA</v>
      </c>
    </row>
    <row r="551" spans="1:21" ht="14.25" customHeight="1">
      <c r="A551" s="2" t="s">
        <v>15</v>
      </c>
      <c r="B551" s="2">
        <v>1946</v>
      </c>
      <c r="C551" s="2" t="s">
        <v>16</v>
      </c>
      <c r="D551" s="3">
        <f t="shared" si="56"/>
        <v>914.804460475513</v>
      </c>
      <c r="E551" s="3">
        <f t="shared" si="57"/>
        <v>39.555588</v>
      </c>
      <c r="F551" s="3">
        <f t="shared" si="58"/>
        <v>50.675472464946147</v>
      </c>
      <c r="G551" s="3">
        <f t="shared" si="59"/>
        <v>2.6985079999999999</v>
      </c>
      <c r="H551" s="3">
        <f t="shared" si="60"/>
        <v>295.44899410688885</v>
      </c>
      <c r="I551" s="3">
        <f t="shared" si="61"/>
        <v>25.340752000000002</v>
      </c>
      <c r="J551" s="3">
        <v>914804.46047551301</v>
      </c>
      <c r="K551" s="3">
        <v>39555.588000000003</v>
      </c>
      <c r="L551" s="3">
        <v>50675.47246494615</v>
      </c>
      <c r="M551" s="3">
        <v>2698.5079999999998</v>
      </c>
      <c r="N551" s="3">
        <v>295448.99410688883</v>
      </c>
      <c r="O551" s="3">
        <v>25340.752</v>
      </c>
      <c r="P551" s="3">
        <f>E551*(VLOOKUP(B551,Price_data!A$1:B$190,2,FALSE))</f>
        <v>984.20163025251031</v>
      </c>
      <c r="Q551" s="3">
        <f>G551*(VLOOKUP(B551,Price_data!A$1:B$190,2,FALSE))</f>
        <v>67.142876825631845</v>
      </c>
      <c r="R551" s="3">
        <f>I551*(VLOOKUP(B551,Price_data!A$1:B$190,2,FALSE))</f>
        <v>630.5154515772731</v>
      </c>
      <c r="S551" s="4" t="str">
        <f>(VLOOKUP(B551,Price_data!A$1:C$190,3,FALSE))</f>
        <v>Open access</v>
      </c>
      <c r="T551" s="2">
        <f>IF(C551="Total", (VLOOKUP(B551,Recommended_fish_intake!A$4:D$122,4,FALSE)), "NA")</f>
        <v>641.72770610943712</v>
      </c>
      <c r="U551" s="2" t="str">
        <f t="shared" si="62"/>
        <v>NA</v>
      </c>
    </row>
    <row r="552" spans="1:21" ht="14.25" customHeight="1">
      <c r="A552" s="2" t="s">
        <v>15</v>
      </c>
      <c r="B552" s="2">
        <v>1946</v>
      </c>
      <c r="C552" s="2" t="s">
        <v>22</v>
      </c>
      <c r="D552" s="3">
        <f t="shared" si="56"/>
        <v>286.32909977646818</v>
      </c>
      <c r="E552" s="3" t="e">
        <f t="shared" si="57"/>
        <v>#N/A</v>
      </c>
      <c r="F552" s="3">
        <f t="shared" si="58"/>
        <v>0.44553952448689288</v>
      </c>
      <c r="G552" s="3">
        <f t="shared" si="59"/>
        <v>4.7890000000000002E-2</v>
      </c>
      <c r="H552" s="3">
        <f t="shared" si="60"/>
        <v>90.056238569396456</v>
      </c>
      <c r="I552" s="3">
        <f t="shared" si="61"/>
        <v>4.8977079999999997</v>
      </c>
      <c r="J552" s="3">
        <v>286329.09977646818</v>
      </c>
      <c r="K552" s="3" t="e">
        <v>#N/A</v>
      </c>
      <c r="L552" s="3">
        <v>445.5395244868929</v>
      </c>
      <c r="M552" s="3">
        <v>47.89</v>
      </c>
      <c r="N552" s="3">
        <v>90056.238569396461</v>
      </c>
      <c r="O552" s="3">
        <v>4897.7079999999996</v>
      </c>
      <c r="P552" s="3" t="e">
        <f>E552*(VLOOKUP(B552,Price_data!A$1:B$190,2,FALSE))</f>
        <v>#N/A</v>
      </c>
      <c r="Q552" s="3">
        <f>G552*(VLOOKUP(B552,Price_data!A$1:B$190,2,FALSE))</f>
        <v>1.1915741480772002</v>
      </c>
      <c r="R552" s="3">
        <f>I552*(VLOOKUP(B552,Price_data!A$1:B$190,2,FALSE))</f>
        <v>121.86223089644784</v>
      </c>
      <c r="S552" s="4" t="str">
        <f>(VLOOKUP(B552,Price_data!A$1:C$190,3,FALSE))</f>
        <v>Open access</v>
      </c>
      <c r="T552" s="2" t="str">
        <f>IF(C552="Total", (VLOOKUP(B552,Recommended_fish_intake!A$4:D$122,4,FALSE)), "NA")</f>
        <v>NA</v>
      </c>
      <c r="U552" s="2" t="str">
        <f t="shared" si="62"/>
        <v>NA</v>
      </c>
    </row>
    <row r="553" spans="1:21" ht="14.25" customHeight="1">
      <c r="A553" s="2" t="s">
        <v>15</v>
      </c>
      <c r="B553" s="2">
        <v>1946</v>
      </c>
      <c r="C553" s="2" t="s">
        <v>23</v>
      </c>
      <c r="D553" s="3">
        <f t="shared" si="56"/>
        <v>145.95493802072747</v>
      </c>
      <c r="E553" s="3" t="e">
        <f t="shared" si="57"/>
        <v>#N/A</v>
      </c>
      <c r="F553" s="3">
        <f t="shared" si="58"/>
        <v>4.0946961999593579E-2</v>
      </c>
      <c r="G553" s="3">
        <f t="shared" si="59"/>
        <v>4.3379999999999998E-3</v>
      </c>
      <c r="H553" s="3">
        <f t="shared" si="60"/>
        <v>24.913279821174559</v>
      </c>
      <c r="I553" s="3">
        <f t="shared" si="61"/>
        <v>1.2964770000000001</v>
      </c>
      <c r="J553" s="3">
        <v>145954.93802072748</v>
      </c>
      <c r="K553" s="3" t="e">
        <v>#N/A</v>
      </c>
      <c r="L553" s="3">
        <v>40.946961999593576</v>
      </c>
      <c r="M553" s="3">
        <v>4.3380000000000001</v>
      </c>
      <c r="N553" s="3">
        <v>24913.279821174558</v>
      </c>
      <c r="O553" s="3">
        <v>1296.4770000000001</v>
      </c>
      <c r="P553" s="3" t="e">
        <f>E553*(VLOOKUP(B553,Price_data!A$1:B$190,2,FALSE))</f>
        <v>#N/A</v>
      </c>
      <c r="Q553" s="3">
        <f>G553*(VLOOKUP(B553,Price_data!A$1:B$190,2,FALSE))</f>
        <v>0.10793586666024001</v>
      </c>
      <c r="R553" s="3">
        <f>I553*(VLOOKUP(B553,Price_data!A$1:B$190,2,FALSE))</f>
        <v>32.258268464745967</v>
      </c>
      <c r="S553" s="4" t="str">
        <f>(VLOOKUP(B553,Price_data!A$1:C$190,3,FALSE))</f>
        <v>Open access</v>
      </c>
      <c r="T553" s="2" t="str">
        <f>IF(C553="Total", (VLOOKUP(B553,Recommended_fish_intake!A$4:D$122,4,FALSE)), "NA")</f>
        <v>NA</v>
      </c>
      <c r="U553" s="2" t="str">
        <f t="shared" si="62"/>
        <v>NA</v>
      </c>
    </row>
    <row r="554" spans="1:21" ht="14.25" customHeight="1">
      <c r="A554" s="2" t="s">
        <v>15</v>
      </c>
      <c r="B554" s="2">
        <v>1946</v>
      </c>
      <c r="C554" s="2" t="s">
        <v>19</v>
      </c>
      <c r="D554" s="3">
        <f t="shared" si="56"/>
        <v>202.45478561268033</v>
      </c>
      <c r="E554" s="3" t="e">
        <f t="shared" si="57"/>
        <v>#N/A</v>
      </c>
      <c r="F554" s="3">
        <f t="shared" si="58"/>
        <v>47.123755334281647</v>
      </c>
      <c r="G554" s="3">
        <f t="shared" si="59"/>
        <v>2.2871729999999997</v>
      </c>
      <c r="H554" s="3">
        <f t="shared" si="60"/>
        <v>25.757315586262955</v>
      </c>
      <c r="I554" s="3">
        <f t="shared" si="61"/>
        <v>0.821465</v>
      </c>
      <c r="J554" s="3">
        <v>202454.78561268034</v>
      </c>
      <c r="K554" s="3" t="e">
        <v>#N/A</v>
      </c>
      <c r="L554" s="3">
        <v>47123.755334281646</v>
      </c>
      <c r="M554" s="3">
        <v>2287.1729999999998</v>
      </c>
      <c r="N554" s="3">
        <v>25757.315586262954</v>
      </c>
      <c r="O554" s="3">
        <v>821.46500000000003</v>
      </c>
      <c r="P554" s="3" t="e">
        <f>E554*(VLOOKUP(B554,Price_data!A$1:B$190,2,FALSE))</f>
        <v>#N/A</v>
      </c>
      <c r="Q554" s="3">
        <f>G554*(VLOOKUP(B554,Price_data!A$1:B$190,2,FALSE))</f>
        <v>56.908252641056038</v>
      </c>
      <c r="R554" s="3">
        <f>I554*(VLOOKUP(B554,Price_data!A$1:B$190,2,FALSE))</f>
        <v>20.439266183968201</v>
      </c>
      <c r="S554" s="4" t="str">
        <f>(VLOOKUP(B554,Price_data!A$1:C$190,3,FALSE))</f>
        <v>Open access</v>
      </c>
      <c r="T554" s="2" t="str">
        <f>IF(C554="Total", (VLOOKUP(B554,Recommended_fish_intake!A$4:D$122,4,FALSE)), "NA")</f>
        <v>NA</v>
      </c>
      <c r="U554" s="2" t="str">
        <f t="shared" si="62"/>
        <v>NA</v>
      </c>
    </row>
    <row r="555" spans="1:21" ht="14.25" customHeight="1">
      <c r="A555" s="2" t="s">
        <v>15</v>
      </c>
      <c r="B555" s="2">
        <v>1946</v>
      </c>
      <c r="C555" s="2" t="s">
        <v>28</v>
      </c>
      <c r="D555" s="3" t="e">
        <f t="shared" si="56"/>
        <v>#VALUE!</v>
      </c>
      <c r="E555" s="3" t="e">
        <f t="shared" si="57"/>
        <v>#VALUE!</v>
      </c>
      <c r="F555" s="3">
        <f t="shared" si="58"/>
        <v>1.98130461288356E-3</v>
      </c>
      <c r="G555" s="3">
        <f t="shared" si="59"/>
        <v>2.63E-4</v>
      </c>
      <c r="H555" s="3">
        <f t="shared" si="60"/>
        <v>4.0719365982523872</v>
      </c>
      <c r="I555" s="3">
        <f t="shared" si="61"/>
        <v>0.28009800000000001</v>
      </c>
      <c r="J555" s="3" t="e">
        <v>#VALUE!</v>
      </c>
      <c r="K555" s="3" t="e">
        <v>#VALUE!</v>
      </c>
      <c r="L555" s="3">
        <v>1.9813046128835601</v>
      </c>
      <c r="M555" s="3">
        <v>0.26300000000000001</v>
      </c>
      <c r="N555" s="3">
        <v>4071.9365982523873</v>
      </c>
      <c r="O555" s="3">
        <v>280.09800000000001</v>
      </c>
      <c r="P555" s="3" t="e">
        <f>E555*(VLOOKUP(B555,Price_data!A$1:B$190,2,FALSE))</f>
        <v>#VALUE!</v>
      </c>
      <c r="Q555" s="3">
        <f>G555*(VLOOKUP(B555,Price_data!A$1:B$190,2,FALSE))</f>
        <v>6.5438296292400005E-3</v>
      </c>
      <c r="R555" s="3">
        <f>I555*(VLOOKUP(B555,Price_data!A$1:B$190,2,FALSE))</f>
        <v>6.9692531995850411</v>
      </c>
      <c r="S555" s="4" t="str">
        <f>(VLOOKUP(B555,Price_data!A$1:C$190,3,FALSE))</f>
        <v>Open access</v>
      </c>
      <c r="T555" s="2" t="str">
        <f>IF(C555="Total", (VLOOKUP(B555,Recommended_fish_intake!A$4:D$122,4,FALSE)), "NA")</f>
        <v>NA</v>
      </c>
      <c r="U555" s="2" t="e">
        <f t="shared" si="62"/>
        <v>#VALUE!</v>
      </c>
    </row>
    <row r="556" spans="1:21" ht="14.25" customHeight="1">
      <c r="A556" s="2" t="s">
        <v>15</v>
      </c>
      <c r="B556" s="2">
        <v>1946</v>
      </c>
      <c r="C556" s="2" t="s">
        <v>29</v>
      </c>
      <c r="D556" s="3" t="e">
        <f t="shared" si="56"/>
        <v>#VALUE!</v>
      </c>
      <c r="E556" s="3" t="e">
        <f t="shared" si="57"/>
        <v>#VALUE!</v>
      </c>
      <c r="F556" s="3">
        <f t="shared" si="58"/>
        <v>0</v>
      </c>
      <c r="G556" s="3">
        <f t="shared" si="59"/>
        <v>1.2999999999999999E-5</v>
      </c>
      <c r="H556" s="3">
        <f t="shared" si="60"/>
        <v>44.863239179028646</v>
      </c>
      <c r="I556" s="3">
        <f t="shared" si="61"/>
        <v>7.0220399999999996</v>
      </c>
      <c r="J556" s="3" t="e">
        <v>#VALUE!</v>
      </c>
      <c r="K556" s="3" t="e">
        <v>#VALUE!</v>
      </c>
      <c r="L556" s="3">
        <v>0</v>
      </c>
      <c r="M556" s="3">
        <v>1.2999999999999999E-2</v>
      </c>
      <c r="N556" s="3">
        <v>44863.239179028649</v>
      </c>
      <c r="O556" s="3">
        <v>7022.04</v>
      </c>
      <c r="P556" s="3" t="e">
        <f>E556*(VLOOKUP(B556,Price_data!A$1:B$190,2,FALSE))</f>
        <v>#VALUE!</v>
      </c>
      <c r="Q556" s="3">
        <f>G556*(VLOOKUP(B556,Price_data!A$1:B$190,2,FALSE))</f>
        <v>3.2345925924000003E-4</v>
      </c>
      <c r="R556" s="3">
        <f>I556*(VLOOKUP(B556,Price_data!A$1:B$190,2,FALSE))</f>
        <v>174.71875821181919</v>
      </c>
      <c r="S556" s="4" t="str">
        <f>(VLOOKUP(B556,Price_data!A$1:C$190,3,FALSE))</f>
        <v>Open access</v>
      </c>
      <c r="T556" s="2" t="str">
        <f>IF(C556="Total", (VLOOKUP(B556,Recommended_fish_intake!A$4:D$122,4,FALSE)), "NA")</f>
        <v>NA</v>
      </c>
      <c r="U556" s="2" t="str">
        <f t="shared" si="62"/>
        <v>NA</v>
      </c>
    </row>
    <row r="557" spans="1:21" ht="14.25" customHeight="1">
      <c r="A557" s="2" t="s">
        <v>15</v>
      </c>
      <c r="B557" s="2">
        <v>1946</v>
      </c>
      <c r="C557" s="2" t="s">
        <v>20</v>
      </c>
      <c r="D557" s="3">
        <f t="shared" si="56"/>
        <v>3.171255842308474</v>
      </c>
      <c r="E557" s="3" t="e">
        <f t="shared" si="57"/>
        <v>#N/A</v>
      </c>
      <c r="F557" s="3" t="e">
        <f t="shared" si="58"/>
        <v>#VALUE!</v>
      </c>
      <c r="G557" s="3" t="e">
        <f t="shared" si="59"/>
        <v>#VALUE!</v>
      </c>
      <c r="H557" s="3" t="e">
        <f t="shared" si="60"/>
        <v>#VALUE!</v>
      </c>
      <c r="I557" s="3" t="e">
        <f t="shared" si="61"/>
        <v>#VALUE!</v>
      </c>
      <c r="J557" s="3">
        <v>3171.2558423084738</v>
      </c>
      <c r="K557" s="3" t="e">
        <v>#N/A</v>
      </c>
      <c r="L557" s="3" t="e">
        <v>#VALUE!</v>
      </c>
      <c r="M557" s="3" t="e">
        <v>#VALUE!</v>
      </c>
      <c r="N557" s="3" t="e">
        <v>#VALUE!</v>
      </c>
      <c r="O557" s="3" t="e">
        <v>#VALUE!</v>
      </c>
      <c r="P557" s="3" t="e">
        <f>E557*(VLOOKUP(B557,Price_data!A$1:B$190,2,FALSE))</f>
        <v>#N/A</v>
      </c>
      <c r="Q557" s="3" t="e">
        <f>G557*(VLOOKUP(B557,Price_data!A$1:B$190,2,FALSE))</f>
        <v>#VALUE!</v>
      </c>
      <c r="R557" s="3" t="e">
        <f>I557*(VLOOKUP(B557,Price_data!A$1:B$190,2,FALSE))</f>
        <v>#VALUE!</v>
      </c>
      <c r="S557" s="4" t="str">
        <f>(VLOOKUP(B557,Price_data!A$1:C$190,3,FALSE))</f>
        <v>Open access</v>
      </c>
      <c r="T557" s="2" t="str">
        <f>IF(C557="Total", (VLOOKUP(B557,Recommended_fish_intake!A$4:D$122,4,FALSE)), "NA")</f>
        <v>NA</v>
      </c>
      <c r="U557" s="2" t="str">
        <f t="shared" si="62"/>
        <v>NA</v>
      </c>
    </row>
    <row r="558" spans="1:21" ht="14.25" customHeight="1">
      <c r="A558" s="2" t="s">
        <v>15</v>
      </c>
      <c r="B558" s="2">
        <v>1946</v>
      </c>
      <c r="C558" s="2" t="s">
        <v>25</v>
      </c>
      <c r="D558" s="3">
        <f t="shared" si="56"/>
        <v>60.397785003048156</v>
      </c>
      <c r="E558" s="3" t="e">
        <f t="shared" si="57"/>
        <v>#N/A</v>
      </c>
      <c r="F558" s="3" t="e">
        <f t="shared" si="58"/>
        <v>#N/A</v>
      </c>
      <c r="G558" s="3" t="e">
        <f t="shared" si="59"/>
        <v>#N/A</v>
      </c>
      <c r="H558" s="3" t="e">
        <f t="shared" si="60"/>
        <v>#N/A</v>
      </c>
      <c r="I558" s="3" t="e">
        <f t="shared" si="61"/>
        <v>#N/A</v>
      </c>
      <c r="J558" s="3">
        <v>60397.785003048157</v>
      </c>
      <c r="K558" s="3" t="e">
        <v>#N/A</v>
      </c>
      <c r="L558" s="3" t="e">
        <v>#N/A</v>
      </c>
      <c r="M558" s="3" t="e">
        <v>#N/A</v>
      </c>
      <c r="N558" s="3" t="e">
        <v>#N/A</v>
      </c>
      <c r="O558" s="3" t="e">
        <v>#N/A</v>
      </c>
      <c r="P558" s="3" t="e">
        <f>E558*(VLOOKUP(B558,Price_data!A$1:B$190,2,FALSE))</f>
        <v>#N/A</v>
      </c>
      <c r="Q558" s="3" t="e">
        <f>G558*(VLOOKUP(B558,Price_data!A$1:B$190,2,FALSE))</f>
        <v>#N/A</v>
      </c>
      <c r="R558" s="3" t="e">
        <f>I558*(VLOOKUP(B558,Price_data!A$1:B$190,2,FALSE))</f>
        <v>#N/A</v>
      </c>
      <c r="S558" s="4" t="str">
        <f>(VLOOKUP(B558,Price_data!A$1:C$190,3,FALSE))</f>
        <v>Open access</v>
      </c>
      <c r="T558" s="2" t="str">
        <f>IF(C558="Total", (VLOOKUP(B558,Recommended_fish_intake!A$4:D$122,4,FALSE)), "NA")</f>
        <v>NA</v>
      </c>
      <c r="U558" s="2" t="str">
        <f t="shared" si="62"/>
        <v>NA</v>
      </c>
    </row>
    <row r="559" spans="1:21" ht="14.25" customHeight="1">
      <c r="A559" s="2" t="s">
        <v>15</v>
      </c>
      <c r="B559" s="2">
        <v>1946</v>
      </c>
      <c r="C559" s="2" t="s">
        <v>24</v>
      </c>
      <c r="D559" s="3">
        <f t="shared" si="56"/>
        <v>33.425624872993289</v>
      </c>
      <c r="E559" s="3" t="e">
        <f t="shared" si="57"/>
        <v>#N/A</v>
      </c>
      <c r="F559" s="3" t="e">
        <f t="shared" si="58"/>
        <v>#N/A</v>
      </c>
      <c r="G559" s="3" t="e">
        <f t="shared" si="59"/>
        <v>#N/A</v>
      </c>
      <c r="H559" s="3" t="e">
        <f t="shared" si="60"/>
        <v>#N/A</v>
      </c>
      <c r="I559" s="3" t="e">
        <f t="shared" si="61"/>
        <v>#N/A</v>
      </c>
      <c r="J559" s="3">
        <v>33425.624872993292</v>
      </c>
      <c r="K559" s="3" t="e">
        <v>#N/A</v>
      </c>
      <c r="L559" s="3" t="e">
        <v>#N/A</v>
      </c>
      <c r="M559" s="3" t="e">
        <v>#N/A</v>
      </c>
      <c r="N559" s="3" t="e">
        <v>#N/A</v>
      </c>
      <c r="O559" s="3" t="e">
        <v>#N/A</v>
      </c>
      <c r="P559" s="3" t="e">
        <f>E559*(VLOOKUP(B559,Price_data!A$1:B$190,2,FALSE))</f>
        <v>#N/A</v>
      </c>
      <c r="Q559" s="3" t="e">
        <f>G559*(VLOOKUP(B559,Price_data!A$1:B$190,2,FALSE))</f>
        <v>#N/A</v>
      </c>
      <c r="R559" s="3" t="e">
        <f>I559*(VLOOKUP(B559,Price_data!A$1:B$190,2,FALSE))</f>
        <v>#N/A</v>
      </c>
      <c r="S559" s="4" t="str">
        <f>(VLOOKUP(B559,Price_data!A$1:C$190,3,FALSE))</f>
        <v>Open access</v>
      </c>
      <c r="T559" s="2" t="str">
        <f>IF(C559="Total", (VLOOKUP(B559,Recommended_fish_intake!A$4:D$122,4,FALSE)), "NA")</f>
        <v>NA</v>
      </c>
      <c r="U559" s="2" t="str">
        <f t="shared" si="62"/>
        <v>NA</v>
      </c>
    </row>
    <row r="560" spans="1:21" ht="14.25" customHeight="1">
      <c r="A560" s="2" t="s">
        <v>15</v>
      </c>
      <c r="B560" s="2">
        <v>1946</v>
      </c>
      <c r="C560" s="2" t="s">
        <v>30</v>
      </c>
      <c r="D560" s="3" t="e">
        <f t="shared" si="56"/>
        <v>#N/A</v>
      </c>
      <c r="E560" s="3" t="e">
        <f t="shared" si="57"/>
        <v>#N/A</v>
      </c>
      <c r="F560" s="3" t="e">
        <f t="shared" si="58"/>
        <v>#VALUE!</v>
      </c>
      <c r="G560" s="3" t="e">
        <f t="shared" si="59"/>
        <v>#VALUE!</v>
      </c>
      <c r="H560" s="3">
        <f t="shared" si="60"/>
        <v>0.42384677910993696</v>
      </c>
      <c r="I560" s="3">
        <f t="shared" si="61"/>
        <v>9.4265000000000002E-2</v>
      </c>
      <c r="J560" s="3" t="e">
        <v>#N/A</v>
      </c>
      <c r="K560" s="3" t="e">
        <v>#N/A</v>
      </c>
      <c r="L560" s="3" t="e">
        <v>#VALUE!</v>
      </c>
      <c r="M560" s="3" t="e">
        <v>#VALUE!</v>
      </c>
      <c r="N560" s="3">
        <v>423.84677910993696</v>
      </c>
      <c r="O560" s="3">
        <v>94.265000000000001</v>
      </c>
      <c r="P560" s="3" t="e">
        <f>E560*(VLOOKUP(B560,Price_data!A$1:B$190,2,FALSE))</f>
        <v>#N/A</v>
      </c>
      <c r="Q560" s="3" t="e">
        <f>G560*(VLOOKUP(B560,Price_data!A$1:B$190,2,FALSE))</f>
        <v>#VALUE!</v>
      </c>
      <c r="R560" s="3">
        <f>I560*(VLOOKUP(B560,Price_data!A$1:B$190,2,FALSE))</f>
        <v>2.3454528517122002</v>
      </c>
      <c r="S560" s="4" t="str">
        <f>(VLOOKUP(B560,Price_data!A$1:C$190,3,FALSE))</f>
        <v>Open access</v>
      </c>
      <c r="T560" s="2" t="str">
        <f>IF(C560="Total", (VLOOKUP(B560,Recommended_fish_intake!A$4:D$122,4,FALSE)), "NA")</f>
        <v>NA</v>
      </c>
      <c r="U560" s="2" t="str">
        <f t="shared" si="62"/>
        <v>NA</v>
      </c>
    </row>
    <row r="561" spans="1:21" ht="14.25" customHeight="1">
      <c r="A561" s="2" t="s">
        <v>15</v>
      </c>
      <c r="B561" s="2">
        <v>1947</v>
      </c>
      <c r="C561" s="2" t="s">
        <v>16</v>
      </c>
      <c r="D561" s="3">
        <f t="shared" si="56"/>
        <v>1009.7180959154643</v>
      </c>
      <c r="E561" s="3">
        <f t="shared" si="57"/>
        <v>42.764882</v>
      </c>
      <c r="F561" s="3">
        <f t="shared" si="58"/>
        <v>61.036730339361917</v>
      </c>
      <c r="G561" s="3">
        <f t="shared" si="59"/>
        <v>3.630398</v>
      </c>
      <c r="H561" s="3">
        <f t="shared" si="60"/>
        <v>306.89204429993902</v>
      </c>
      <c r="I561" s="3">
        <f t="shared" si="61"/>
        <v>28.478943999999998</v>
      </c>
      <c r="J561" s="3">
        <v>1009718.0959154643</v>
      </c>
      <c r="K561" s="3">
        <v>42764.881999999998</v>
      </c>
      <c r="L561" s="3">
        <v>61036.730339361915</v>
      </c>
      <c r="M561" s="3">
        <v>3630.3980000000001</v>
      </c>
      <c r="N561" s="3">
        <v>306892.04429993901</v>
      </c>
      <c r="O561" s="3">
        <v>28478.944</v>
      </c>
      <c r="P561" s="3">
        <f>E561*(VLOOKUP(B561,Price_data!A$1:B$190,2,FALSE))</f>
        <v>994.09853726648066</v>
      </c>
      <c r="Q561" s="3">
        <f>G561*(VLOOKUP(B561,Price_data!A$1:B$190,2,FALSE))</f>
        <v>84.391051084746508</v>
      </c>
      <c r="R561" s="3">
        <f>I561*(VLOOKUP(B561,Price_data!A$1:B$190,2,FALSE))</f>
        <v>662.01226916267444</v>
      </c>
      <c r="S561" s="4" t="str">
        <f>(VLOOKUP(B561,Price_data!A$1:C$190,3,FALSE))</f>
        <v>Open access</v>
      </c>
      <c r="T561" s="2">
        <f>IF(C561="Total", (VLOOKUP(B561,Recommended_fish_intake!A$4:D$122,4,FALSE)), "NA")</f>
        <v>648.94435583234133</v>
      </c>
      <c r="U561" s="2" t="str">
        <f t="shared" si="62"/>
        <v>NA</v>
      </c>
    </row>
    <row r="562" spans="1:21" ht="14.25" customHeight="1">
      <c r="A562" s="2" t="s">
        <v>15</v>
      </c>
      <c r="B562" s="2">
        <v>1947</v>
      </c>
      <c r="C562" s="2" t="s">
        <v>22</v>
      </c>
      <c r="D562" s="3">
        <f t="shared" si="56"/>
        <v>319.06106482422268</v>
      </c>
      <c r="E562" s="3" t="e">
        <f t="shared" si="57"/>
        <v>#N/A</v>
      </c>
      <c r="F562" s="3" t="e">
        <f t="shared" si="58"/>
        <v>#N/A</v>
      </c>
      <c r="G562" s="3" t="e">
        <f t="shared" si="59"/>
        <v>#N/A</v>
      </c>
      <c r="H562" s="3" t="e">
        <f t="shared" si="60"/>
        <v>#N/A</v>
      </c>
      <c r="I562" s="3" t="e">
        <f t="shared" si="61"/>
        <v>#N/A</v>
      </c>
      <c r="J562" s="3">
        <v>319061.0648242227</v>
      </c>
      <c r="K562" s="3" t="e">
        <v>#N/A</v>
      </c>
      <c r="L562" s="3" t="e">
        <v>#N/A</v>
      </c>
      <c r="M562" s="3" t="e">
        <v>#N/A</v>
      </c>
      <c r="N562" s="3" t="e">
        <v>#N/A</v>
      </c>
      <c r="O562" s="3" t="e">
        <v>#N/A</v>
      </c>
      <c r="P562" s="3" t="e">
        <f>E562*(VLOOKUP(B562,Price_data!A$1:B$190,2,FALSE))</f>
        <v>#N/A</v>
      </c>
      <c r="Q562" s="3" t="e">
        <f>G562*(VLOOKUP(B562,Price_data!A$1:B$190,2,FALSE))</f>
        <v>#N/A</v>
      </c>
      <c r="R562" s="3" t="e">
        <f>I562*(VLOOKUP(B562,Price_data!A$1:B$190,2,FALSE))</f>
        <v>#N/A</v>
      </c>
      <c r="S562" s="4" t="str">
        <f>(VLOOKUP(B562,Price_data!A$1:C$190,3,FALSE))</f>
        <v>Open access</v>
      </c>
      <c r="T562" s="2" t="str">
        <f>IF(C562="Total", (VLOOKUP(B562,Recommended_fish_intake!A$4:D$122,4,FALSE)), "NA")</f>
        <v>NA</v>
      </c>
      <c r="U562" s="2" t="str">
        <f t="shared" si="62"/>
        <v>NA</v>
      </c>
    </row>
    <row r="563" spans="1:21" ht="14.25" customHeight="1">
      <c r="A563" s="2" t="s">
        <v>15</v>
      </c>
      <c r="B563" s="2">
        <v>1947</v>
      </c>
      <c r="C563" s="2" t="s">
        <v>23</v>
      </c>
      <c r="D563" s="3">
        <f t="shared" si="56"/>
        <v>160.1300040642146</v>
      </c>
      <c r="E563" s="3" t="e">
        <f t="shared" si="57"/>
        <v>#N/A</v>
      </c>
      <c r="F563" s="3" t="e">
        <f t="shared" si="58"/>
        <v>#N/A</v>
      </c>
      <c r="G563" s="3" t="e">
        <f t="shared" si="59"/>
        <v>#N/A</v>
      </c>
      <c r="H563" s="3" t="e">
        <f t="shared" si="60"/>
        <v>#N/A</v>
      </c>
      <c r="I563" s="3" t="e">
        <f t="shared" si="61"/>
        <v>#N/A</v>
      </c>
      <c r="J563" s="3">
        <v>160130.00406421459</v>
      </c>
      <c r="K563" s="3" t="e">
        <v>#N/A</v>
      </c>
      <c r="L563" s="3" t="e">
        <v>#N/A</v>
      </c>
      <c r="M563" s="3" t="e">
        <v>#N/A</v>
      </c>
      <c r="N563" s="3" t="e">
        <v>#N/A</v>
      </c>
      <c r="O563" s="3" t="e">
        <v>#N/A</v>
      </c>
      <c r="P563" s="3" t="e">
        <f>E563*(VLOOKUP(B563,Price_data!A$1:B$190,2,FALSE))</f>
        <v>#N/A</v>
      </c>
      <c r="Q563" s="3" t="e">
        <f>G563*(VLOOKUP(B563,Price_data!A$1:B$190,2,FALSE))</f>
        <v>#N/A</v>
      </c>
      <c r="R563" s="3" t="e">
        <f>I563*(VLOOKUP(B563,Price_data!A$1:B$190,2,FALSE))</f>
        <v>#N/A</v>
      </c>
      <c r="S563" s="4" t="str">
        <f>(VLOOKUP(B563,Price_data!A$1:C$190,3,FALSE))</f>
        <v>Open access</v>
      </c>
      <c r="T563" s="2" t="str">
        <f>IF(C563="Total", (VLOOKUP(B563,Recommended_fish_intake!A$4:D$122,4,FALSE)), "NA")</f>
        <v>NA</v>
      </c>
      <c r="U563" s="2" t="str">
        <f t="shared" si="62"/>
        <v>NA</v>
      </c>
    </row>
    <row r="564" spans="1:21" ht="14.25" customHeight="1">
      <c r="A564" s="2" t="s">
        <v>15</v>
      </c>
      <c r="B564" s="2">
        <v>1947</v>
      </c>
      <c r="C564" s="2" t="s">
        <v>19</v>
      </c>
      <c r="D564" s="3">
        <f t="shared" si="56"/>
        <v>223.55923592765697</v>
      </c>
      <c r="E564" s="3" t="e">
        <f t="shared" si="57"/>
        <v>#N/A</v>
      </c>
      <c r="F564" s="3" t="e">
        <f t="shared" si="58"/>
        <v>#N/A</v>
      </c>
      <c r="G564" s="3" t="e">
        <f t="shared" si="59"/>
        <v>#N/A</v>
      </c>
      <c r="H564" s="3" t="e">
        <f t="shared" si="60"/>
        <v>#N/A</v>
      </c>
      <c r="I564" s="3" t="e">
        <f t="shared" si="61"/>
        <v>#N/A</v>
      </c>
      <c r="J564" s="3">
        <v>223559.23592765696</v>
      </c>
      <c r="K564" s="3" t="e">
        <v>#N/A</v>
      </c>
      <c r="L564" s="3" t="e">
        <v>#N/A</v>
      </c>
      <c r="M564" s="3" t="e">
        <v>#N/A</v>
      </c>
      <c r="N564" s="3" t="e">
        <v>#N/A</v>
      </c>
      <c r="O564" s="3" t="e">
        <v>#N/A</v>
      </c>
      <c r="P564" s="3" t="e">
        <f>E564*(VLOOKUP(B564,Price_data!A$1:B$190,2,FALSE))</f>
        <v>#N/A</v>
      </c>
      <c r="Q564" s="3" t="e">
        <f>G564*(VLOOKUP(B564,Price_data!A$1:B$190,2,FALSE))</f>
        <v>#N/A</v>
      </c>
      <c r="R564" s="3" t="e">
        <f>I564*(VLOOKUP(B564,Price_data!A$1:B$190,2,FALSE))</f>
        <v>#N/A</v>
      </c>
      <c r="S564" s="4" t="str">
        <f>(VLOOKUP(B564,Price_data!A$1:C$190,3,FALSE))</f>
        <v>Open access</v>
      </c>
      <c r="T564" s="2" t="str">
        <f>IF(C564="Total", (VLOOKUP(B564,Recommended_fish_intake!A$4:D$122,4,FALSE)), "NA")</f>
        <v>NA</v>
      </c>
      <c r="U564" s="2" t="str">
        <f t="shared" si="62"/>
        <v>NA</v>
      </c>
    </row>
    <row r="565" spans="1:21" ht="14.25" customHeight="1">
      <c r="A565" s="2" t="s">
        <v>15</v>
      </c>
      <c r="B565" s="2">
        <v>1947</v>
      </c>
      <c r="C565" s="2" t="s">
        <v>28</v>
      </c>
      <c r="D565" s="3" t="e">
        <f t="shared" si="56"/>
        <v>#VALUE!</v>
      </c>
      <c r="E565" s="3" t="e">
        <f t="shared" si="57"/>
        <v>#VALUE!</v>
      </c>
      <c r="F565" s="3" t="e">
        <f t="shared" si="58"/>
        <v>#N/A</v>
      </c>
      <c r="G565" s="3" t="e">
        <f t="shared" si="59"/>
        <v>#N/A</v>
      </c>
      <c r="H565" s="3" t="e">
        <f t="shared" si="60"/>
        <v>#N/A</v>
      </c>
      <c r="I565" s="3" t="e">
        <f t="shared" si="61"/>
        <v>#N/A</v>
      </c>
      <c r="J565" s="3" t="e">
        <v>#VALUE!</v>
      </c>
      <c r="K565" s="3" t="e">
        <v>#VALUE!</v>
      </c>
      <c r="L565" s="3" t="e">
        <v>#N/A</v>
      </c>
      <c r="M565" s="3" t="e">
        <v>#N/A</v>
      </c>
      <c r="N565" s="3" t="e">
        <v>#N/A</v>
      </c>
      <c r="O565" s="3" t="e">
        <v>#N/A</v>
      </c>
      <c r="P565" s="3" t="e">
        <f>E565*(VLOOKUP(B565,Price_data!A$1:B$190,2,FALSE))</f>
        <v>#VALUE!</v>
      </c>
      <c r="Q565" s="3" t="e">
        <f>G565*(VLOOKUP(B565,Price_data!A$1:B$190,2,FALSE))</f>
        <v>#N/A</v>
      </c>
      <c r="R565" s="3" t="e">
        <f>I565*(VLOOKUP(B565,Price_data!A$1:B$190,2,FALSE))</f>
        <v>#N/A</v>
      </c>
      <c r="S565" s="4" t="str">
        <f>(VLOOKUP(B565,Price_data!A$1:C$190,3,FALSE))</f>
        <v>Open access</v>
      </c>
      <c r="T565" s="2" t="str">
        <f>IF(C565="Total", (VLOOKUP(B565,Recommended_fish_intake!A$4:D$122,4,FALSE)), "NA")</f>
        <v>NA</v>
      </c>
      <c r="U565" s="2" t="e">
        <f t="shared" si="62"/>
        <v>#VALUE!</v>
      </c>
    </row>
    <row r="566" spans="1:21" ht="14.25" customHeight="1">
      <c r="A566" s="2" t="s">
        <v>15</v>
      </c>
      <c r="B566" s="2">
        <v>1947</v>
      </c>
      <c r="C566" s="2" t="s">
        <v>29</v>
      </c>
      <c r="D566" s="3" t="e">
        <f t="shared" si="56"/>
        <v>#VALUE!</v>
      </c>
      <c r="E566" s="3" t="e">
        <f t="shared" si="57"/>
        <v>#VALUE!</v>
      </c>
      <c r="F566" s="3" t="e">
        <f t="shared" si="58"/>
        <v>#N/A</v>
      </c>
      <c r="G566" s="3" t="e">
        <f t="shared" si="59"/>
        <v>#N/A</v>
      </c>
      <c r="H566" s="3" t="e">
        <f t="shared" si="60"/>
        <v>#N/A</v>
      </c>
      <c r="I566" s="3" t="e">
        <f t="shared" si="61"/>
        <v>#N/A</v>
      </c>
      <c r="J566" s="3" t="e">
        <v>#VALUE!</v>
      </c>
      <c r="K566" s="3" t="e">
        <v>#VALUE!</v>
      </c>
      <c r="L566" s="3" t="e">
        <v>#N/A</v>
      </c>
      <c r="M566" s="3" t="e">
        <v>#N/A</v>
      </c>
      <c r="N566" s="3" t="e">
        <v>#N/A</v>
      </c>
      <c r="O566" s="3" t="e">
        <v>#N/A</v>
      </c>
      <c r="P566" s="3" t="e">
        <f>E566*(VLOOKUP(B566,Price_data!A$1:B$190,2,FALSE))</f>
        <v>#VALUE!</v>
      </c>
      <c r="Q566" s="3" t="e">
        <f>G566*(VLOOKUP(B566,Price_data!A$1:B$190,2,FALSE))</f>
        <v>#N/A</v>
      </c>
      <c r="R566" s="3" t="e">
        <f>I566*(VLOOKUP(B566,Price_data!A$1:B$190,2,FALSE))</f>
        <v>#N/A</v>
      </c>
      <c r="S566" s="4" t="str">
        <f>(VLOOKUP(B566,Price_data!A$1:C$190,3,FALSE))</f>
        <v>Open access</v>
      </c>
      <c r="T566" s="2" t="str">
        <f>IF(C566="Total", (VLOOKUP(B566,Recommended_fish_intake!A$4:D$122,4,FALSE)), "NA")</f>
        <v>NA</v>
      </c>
      <c r="U566" s="2" t="str">
        <f t="shared" si="62"/>
        <v>NA</v>
      </c>
    </row>
    <row r="567" spans="1:21" ht="14.25" customHeight="1">
      <c r="A567" s="2" t="s">
        <v>15</v>
      </c>
      <c r="B567" s="2">
        <v>1947</v>
      </c>
      <c r="C567" s="2" t="s">
        <v>20</v>
      </c>
      <c r="D567" s="3">
        <f t="shared" si="56"/>
        <v>3.6330522251574879</v>
      </c>
      <c r="E567" s="3" t="e">
        <f t="shared" si="57"/>
        <v>#N/A</v>
      </c>
      <c r="F567" s="3" t="e">
        <f t="shared" si="58"/>
        <v>#N/A</v>
      </c>
      <c r="G567" s="3" t="e">
        <f t="shared" si="59"/>
        <v>#N/A</v>
      </c>
      <c r="H567" s="3" t="e">
        <f t="shared" si="60"/>
        <v>#N/A</v>
      </c>
      <c r="I567" s="3" t="e">
        <f t="shared" si="61"/>
        <v>#N/A</v>
      </c>
      <c r="J567" s="3">
        <v>3633.052225157488</v>
      </c>
      <c r="K567" s="3" t="e">
        <v>#N/A</v>
      </c>
      <c r="L567" s="3" t="e">
        <v>#N/A</v>
      </c>
      <c r="M567" s="3" t="e">
        <v>#N/A</v>
      </c>
      <c r="N567" s="3" t="e">
        <v>#N/A</v>
      </c>
      <c r="O567" s="3" t="e">
        <v>#N/A</v>
      </c>
      <c r="P567" s="3" t="e">
        <f>E567*(VLOOKUP(B567,Price_data!A$1:B$190,2,FALSE))</f>
        <v>#N/A</v>
      </c>
      <c r="Q567" s="3" t="e">
        <f>G567*(VLOOKUP(B567,Price_data!A$1:B$190,2,FALSE))</f>
        <v>#N/A</v>
      </c>
      <c r="R567" s="3" t="e">
        <f>I567*(VLOOKUP(B567,Price_data!A$1:B$190,2,FALSE))</f>
        <v>#N/A</v>
      </c>
      <c r="S567" s="4" t="str">
        <f>(VLOOKUP(B567,Price_data!A$1:C$190,3,FALSE))</f>
        <v>Open access</v>
      </c>
      <c r="T567" s="2" t="str">
        <f>IF(C567="Total", (VLOOKUP(B567,Recommended_fish_intake!A$4:D$122,4,FALSE)), "NA")</f>
        <v>NA</v>
      </c>
      <c r="U567" s="2" t="str">
        <f t="shared" si="62"/>
        <v>NA</v>
      </c>
    </row>
    <row r="568" spans="1:21" ht="14.25" customHeight="1">
      <c r="A568" s="2" t="s">
        <v>15</v>
      </c>
      <c r="B568" s="2">
        <v>1947</v>
      </c>
      <c r="C568" s="2" t="s">
        <v>25</v>
      </c>
      <c r="D568" s="3">
        <f t="shared" si="56"/>
        <v>48.965758992074775</v>
      </c>
      <c r="E568" s="3" t="e">
        <f t="shared" si="57"/>
        <v>#N/A</v>
      </c>
      <c r="F568" s="3" t="e">
        <f t="shared" si="58"/>
        <v>#N/A</v>
      </c>
      <c r="G568" s="3" t="e">
        <f t="shared" si="59"/>
        <v>#N/A</v>
      </c>
      <c r="H568" s="3" t="e">
        <f t="shared" si="60"/>
        <v>#N/A</v>
      </c>
      <c r="I568" s="3" t="e">
        <f t="shared" si="61"/>
        <v>#N/A</v>
      </c>
      <c r="J568" s="3">
        <v>48965.758992074778</v>
      </c>
      <c r="K568" s="3" t="e">
        <v>#N/A</v>
      </c>
      <c r="L568" s="3" t="e">
        <v>#N/A</v>
      </c>
      <c r="M568" s="3" t="e">
        <v>#N/A</v>
      </c>
      <c r="N568" s="3" t="e">
        <v>#N/A</v>
      </c>
      <c r="O568" s="3" t="e">
        <v>#N/A</v>
      </c>
      <c r="P568" s="3" t="e">
        <f>E568*(VLOOKUP(B568,Price_data!A$1:B$190,2,FALSE))</f>
        <v>#N/A</v>
      </c>
      <c r="Q568" s="3" t="e">
        <f>G568*(VLOOKUP(B568,Price_data!A$1:B$190,2,FALSE))</f>
        <v>#N/A</v>
      </c>
      <c r="R568" s="3" t="e">
        <f>I568*(VLOOKUP(B568,Price_data!A$1:B$190,2,FALSE))</f>
        <v>#N/A</v>
      </c>
      <c r="S568" s="4" t="str">
        <f>(VLOOKUP(B568,Price_data!A$1:C$190,3,FALSE))</f>
        <v>Open access</v>
      </c>
      <c r="T568" s="2" t="str">
        <f>IF(C568="Total", (VLOOKUP(B568,Recommended_fish_intake!A$4:D$122,4,FALSE)), "NA")</f>
        <v>NA</v>
      </c>
      <c r="U568" s="2" t="str">
        <f t="shared" si="62"/>
        <v>NA</v>
      </c>
    </row>
    <row r="569" spans="1:21" ht="14.25" customHeight="1">
      <c r="A569" s="2" t="s">
        <v>15</v>
      </c>
      <c r="B569" s="2">
        <v>1947</v>
      </c>
      <c r="C569" s="2" t="s">
        <v>24</v>
      </c>
      <c r="D569" s="3">
        <f t="shared" si="56"/>
        <v>44.350182889656573</v>
      </c>
      <c r="E569" s="3" t="e">
        <f t="shared" si="57"/>
        <v>#N/A</v>
      </c>
      <c r="F569" s="3" t="e">
        <f t="shared" si="58"/>
        <v>#N/A</v>
      </c>
      <c r="G569" s="3" t="e">
        <f t="shared" si="59"/>
        <v>#N/A</v>
      </c>
      <c r="H569" s="3" t="e">
        <f t="shared" si="60"/>
        <v>#N/A</v>
      </c>
      <c r="I569" s="3" t="e">
        <f t="shared" si="61"/>
        <v>#N/A</v>
      </c>
      <c r="J569" s="3">
        <v>44350.182889656571</v>
      </c>
      <c r="K569" s="3" t="e">
        <v>#N/A</v>
      </c>
      <c r="L569" s="3" t="e">
        <v>#N/A</v>
      </c>
      <c r="M569" s="3" t="e">
        <v>#N/A</v>
      </c>
      <c r="N569" s="3" t="e">
        <v>#N/A</v>
      </c>
      <c r="O569" s="3" t="e">
        <v>#N/A</v>
      </c>
      <c r="P569" s="3" t="e">
        <f>E569*(VLOOKUP(B569,Price_data!A$1:B$190,2,FALSE))</f>
        <v>#N/A</v>
      </c>
      <c r="Q569" s="3" t="e">
        <f>G569*(VLOOKUP(B569,Price_data!A$1:B$190,2,FALSE))</f>
        <v>#N/A</v>
      </c>
      <c r="R569" s="3" t="e">
        <f>I569*(VLOOKUP(B569,Price_data!A$1:B$190,2,FALSE))</f>
        <v>#N/A</v>
      </c>
      <c r="S569" s="4" t="str">
        <f>(VLOOKUP(B569,Price_data!A$1:C$190,3,FALSE))</f>
        <v>Open access</v>
      </c>
      <c r="T569" s="2" t="str">
        <f>IF(C569="Total", (VLOOKUP(B569,Recommended_fish_intake!A$4:D$122,4,FALSE)), "NA")</f>
        <v>NA</v>
      </c>
      <c r="U569" s="2" t="str">
        <f t="shared" si="62"/>
        <v>NA</v>
      </c>
    </row>
    <row r="570" spans="1:21" ht="14.25" customHeight="1">
      <c r="A570" s="2" t="s">
        <v>15</v>
      </c>
      <c r="B570" s="2">
        <v>1947</v>
      </c>
      <c r="C570" s="2" t="s">
        <v>30</v>
      </c>
      <c r="D570" s="3" t="e">
        <f t="shared" si="56"/>
        <v>#N/A</v>
      </c>
      <c r="E570" s="3" t="e">
        <f t="shared" si="57"/>
        <v>#N/A</v>
      </c>
      <c r="F570" s="3" t="e">
        <f t="shared" si="58"/>
        <v>#N/A</v>
      </c>
      <c r="G570" s="3" t="e">
        <f t="shared" si="59"/>
        <v>#N/A</v>
      </c>
      <c r="H570" s="3" t="e">
        <f t="shared" si="60"/>
        <v>#N/A</v>
      </c>
      <c r="I570" s="3" t="e">
        <f t="shared" si="61"/>
        <v>#N/A</v>
      </c>
      <c r="J570" s="3" t="e">
        <v>#N/A</v>
      </c>
      <c r="K570" s="3" t="e">
        <v>#N/A</v>
      </c>
      <c r="L570" s="3" t="e">
        <v>#N/A</v>
      </c>
      <c r="M570" s="3" t="e">
        <v>#N/A</v>
      </c>
      <c r="N570" s="3" t="e">
        <v>#N/A</v>
      </c>
      <c r="O570" s="3" t="e">
        <v>#N/A</v>
      </c>
      <c r="P570" s="3" t="e">
        <f>E570*(VLOOKUP(B570,Price_data!A$1:B$190,2,FALSE))</f>
        <v>#N/A</v>
      </c>
      <c r="Q570" s="3" t="e">
        <f>G570*(VLOOKUP(B570,Price_data!A$1:B$190,2,FALSE))</f>
        <v>#N/A</v>
      </c>
      <c r="R570" s="3" t="e">
        <f>I570*(VLOOKUP(B570,Price_data!A$1:B$190,2,FALSE))</f>
        <v>#N/A</v>
      </c>
      <c r="S570" s="4" t="str">
        <f>(VLOOKUP(B570,Price_data!A$1:C$190,3,FALSE))</f>
        <v>Open access</v>
      </c>
      <c r="T570" s="2" t="str">
        <f>IF(C570="Total", (VLOOKUP(B570,Recommended_fish_intake!A$4:D$122,4,FALSE)), "NA")</f>
        <v>NA</v>
      </c>
      <c r="U570" s="2" t="str">
        <f t="shared" si="62"/>
        <v>NA</v>
      </c>
    </row>
    <row r="571" spans="1:21" ht="14.25" customHeight="1">
      <c r="A571" s="2" t="s">
        <v>15</v>
      </c>
      <c r="B571" s="2">
        <v>1948</v>
      </c>
      <c r="C571" s="2" t="s">
        <v>16</v>
      </c>
      <c r="D571" s="3">
        <f t="shared" si="56"/>
        <v>1059.0644686039423</v>
      </c>
      <c r="E571" s="3">
        <f t="shared" si="57"/>
        <v>46.835991</v>
      </c>
      <c r="F571" s="3">
        <f t="shared" si="58"/>
        <v>91.719111969111964</v>
      </c>
      <c r="G571" s="3">
        <f t="shared" si="59"/>
        <v>5.1545100000000001</v>
      </c>
      <c r="H571" s="3">
        <f t="shared" si="60"/>
        <v>254.24588498272706</v>
      </c>
      <c r="I571" s="3">
        <f t="shared" si="61"/>
        <v>19.575258999999999</v>
      </c>
      <c r="J571" s="3">
        <v>1059064.4686039423</v>
      </c>
      <c r="K571" s="3">
        <v>46835.991000000002</v>
      </c>
      <c r="L571" s="3">
        <v>91719.111969111967</v>
      </c>
      <c r="M571" s="3">
        <v>5154.51</v>
      </c>
      <c r="N571" s="3">
        <v>254245.88498272706</v>
      </c>
      <c r="O571" s="3">
        <v>19575.258999999998</v>
      </c>
      <c r="P571" s="3">
        <f>E571*(VLOOKUP(B571,Price_data!A$1:B$190,2,FALSE))</f>
        <v>1011.7176446465445</v>
      </c>
      <c r="Q571" s="3">
        <f>G571*(VLOOKUP(B571,Price_data!A$1:B$190,2,FALSE))</f>
        <v>111.34404557612672</v>
      </c>
      <c r="R571" s="3">
        <f>I571*(VLOOKUP(B571,Price_data!A$1:B$190,2,FALSE))</f>
        <v>422.85077151086801</v>
      </c>
      <c r="S571" s="4" t="str">
        <f>(VLOOKUP(B571,Price_data!A$1:C$190,3,FALSE))</f>
        <v>Open access</v>
      </c>
      <c r="T571" s="2">
        <f>IF(C571="Total", (VLOOKUP(B571,Recommended_fish_intake!A$4:D$122,4,FALSE)), "NA")</f>
        <v>655.42217991652399</v>
      </c>
      <c r="U571" s="2" t="str">
        <f t="shared" si="62"/>
        <v>NA</v>
      </c>
    </row>
    <row r="572" spans="1:21" ht="14.25" customHeight="1">
      <c r="A572" s="2" t="s">
        <v>15</v>
      </c>
      <c r="B572" s="2">
        <v>1948</v>
      </c>
      <c r="C572" s="2" t="s">
        <v>22</v>
      </c>
      <c r="D572" s="3">
        <f t="shared" si="56"/>
        <v>343.12624466571833</v>
      </c>
      <c r="E572" s="3" t="e">
        <f t="shared" si="57"/>
        <v>#N/A</v>
      </c>
      <c r="F572" s="3" t="e">
        <f t="shared" si="58"/>
        <v>#N/A</v>
      </c>
      <c r="G572" s="3" t="e">
        <f t="shared" si="59"/>
        <v>#N/A</v>
      </c>
      <c r="H572" s="3" t="e">
        <f t="shared" si="60"/>
        <v>#N/A</v>
      </c>
      <c r="I572" s="3" t="e">
        <f t="shared" si="61"/>
        <v>#N/A</v>
      </c>
      <c r="J572" s="3">
        <v>343126.24466571835</v>
      </c>
      <c r="K572" s="3" t="e">
        <v>#N/A</v>
      </c>
      <c r="L572" s="3" t="e">
        <v>#N/A</v>
      </c>
      <c r="M572" s="3" t="e">
        <v>#N/A</v>
      </c>
      <c r="N572" s="3" t="e">
        <v>#N/A</v>
      </c>
      <c r="O572" s="3" t="e">
        <v>#N/A</v>
      </c>
      <c r="P572" s="3" t="e">
        <f>E572*(VLOOKUP(B572,Price_data!A$1:B$190,2,FALSE))</f>
        <v>#N/A</v>
      </c>
      <c r="Q572" s="3" t="e">
        <f>G572*(VLOOKUP(B572,Price_data!A$1:B$190,2,FALSE))</f>
        <v>#N/A</v>
      </c>
      <c r="R572" s="3" t="e">
        <f>I572*(VLOOKUP(B572,Price_data!A$1:B$190,2,FALSE))</f>
        <v>#N/A</v>
      </c>
      <c r="S572" s="4" t="str">
        <f>(VLOOKUP(B572,Price_data!A$1:C$190,3,FALSE))</f>
        <v>Open access</v>
      </c>
      <c r="T572" s="2" t="str">
        <f>IF(C572="Total", (VLOOKUP(B572,Recommended_fish_intake!A$4:D$122,4,FALSE)), "NA")</f>
        <v>NA</v>
      </c>
      <c r="U572" s="2" t="str">
        <f t="shared" si="62"/>
        <v>NA</v>
      </c>
    </row>
    <row r="573" spans="1:21" ht="14.25" customHeight="1">
      <c r="A573" s="2" t="s">
        <v>15</v>
      </c>
      <c r="B573" s="2">
        <v>1948</v>
      </c>
      <c r="C573" s="2" t="s">
        <v>23</v>
      </c>
      <c r="D573" s="3">
        <f t="shared" si="56"/>
        <v>130.82280024385287</v>
      </c>
      <c r="E573" s="3" t="e">
        <f t="shared" si="57"/>
        <v>#N/A</v>
      </c>
      <c r="F573" s="3" t="e">
        <f t="shared" si="58"/>
        <v>#N/A</v>
      </c>
      <c r="G573" s="3" t="e">
        <f t="shared" si="59"/>
        <v>#N/A</v>
      </c>
      <c r="H573" s="3" t="e">
        <f t="shared" si="60"/>
        <v>#N/A</v>
      </c>
      <c r="I573" s="3" t="e">
        <f t="shared" si="61"/>
        <v>#N/A</v>
      </c>
      <c r="J573" s="3">
        <v>130822.80024385286</v>
      </c>
      <c r="K573" s="3" t="e">
        <v>#N/A</v>
      </c>
      <c r="L573" s="3" t="e">
        <v>#N/A</v>
      </c>
      <c r="M573" s="3" t="e">
        <v>#N/A</v>
      </c>
      <c r="N573" s="3" t="e">
        <v>#N/A</v>
      </c>
      <c r="O573" s="3" t="e">
        <v>#N/A</v>
      </c>
      <c r="P573" s="3" t="e">
        <f>E573*(VLOOKUP(B573,Price_data!A$1:B$190,2,FALSE))</f>
        <v>#N/A</v>
      </c>
      <c r="Q573" s="3" t="e">
        <f>G573*(VLOOKUP(B573,Price_data!A$1:B$190,2,FALSE))</f>
        <v>#N/A</v>
      </c>
      <c r="R573" s="3" t="e">
        <f>I573*(VLOOKUP(B573,Price_data!A$1:B$190,2,FALSE))</f>
        <v>#N/A</v>
      </c>
      <c r="S573" s="4" t="str">
        <f>(VLOOKUP(B573,Price_data!A$1:C$190,3,FALSE))</f>
        <v>Open access</v>
      </c>
      <c r="T573" s="2" t="str">
        <f>IF(C573="Total", (VLOOKUP(B573,Recommended_fish_intake!A$4:D$122,4,FALSE)), "NA")</f>
        <v>NA</v>
      </c>
      <c r="U573" s="2" t="str">
        <f t="shared" si="62"/>
        <v>NA</v>
      </c>
    </row>
    <row r="574" spans="1:21" ht="14.25" customHeight="1">
      <c r="A574" s="2" t="s">
        <v>15</v>
      </c>
      <c r="B574" s="2">
        <v>1948</v>
      </c>
      <c r="C574" s="2" t="s">
        <v>19</v>
      </c>
      <c r="D574" s="3">
        <f t="shared" si="56"/>
        <v>267.77545214387322</v>
      </c>
      <c r="E574" s="3" t="e">
        <f t="shared" si="57"/>
        <v>#N/A</v>
      </c>
      <c r="F574" s="3" t="e">
        <f t="shared" si="58"/>
        <v>#N/A</v>
      </c>
      <c r="G574" s="3" t="e">
        <f t="shared" si="59"/>
        <v>#N/A</v>
      </c>
      <c r="H574" s="3" t="e">
        <f t="shared" si="60"/>
        <v>#N/A</v>
      </c>
      <c r="I574" s="3" t="e">
        <f t="shared" si="61"/>
        <v>#N/A</v>
      </c>
      <c r="J574" s="3">
        <v>267775.4521438732</v>
      </c>
      <c r="K574" s="3" t="e">
        <v>#N/A</v>
      </c>
      <c r="L574" s="3" t="e">
        <v>#N/A</v>
      </c>
      <c r="M574" s="3" t="e">
        <v>#N/A</v>
      </c>
      <c r="N574" s="3" t="e">
        <v>#N/A</v>
      </c>
      <c r="O574" s="3" t="e">
        <v>#N/A</v>
      </c>
      <c r="P574" s="3" t="e">
        <f>E574*(VLOOKUP(B574,Price_data!A$1:B$190,2,FALSE))</f>
        <v>#N/A</v>
      </c>
      <c r="Q574" s="3" t="e">
        <f>G574*(VLOOKUP(B574,Price_data!A$1:B$190,2,FALSE))</f>
        <v>#N/A</v>
      </c>
      <c r="R574" s="3" t="e">
        <f>I574*(VLOOKUP(B574,Price_data!A$1:B$190,2,FALSE))</f>
        <v>#N/A</v>
      </c>
      <c r="S574" s="4" t="str">
        <f>(VLOOKUP(B574,Price_data!A$1:C$190,3,FALSE))</f>
        <v>Open access</v>
      </c>
      <c r="T574" s="2" t="str">
        <f>IF(C574="Total", (VLOOKUP(B574,Recommended_fish_intake!A$4:D$122,4,FALSE)), "NA")</f>
        <v>NA</v>
      </c>
      <c r="U574" s="2" t="str">
        <f t="shared" si="62"/>
        <v>NA</v>
      </c>
    </row>
    <row r="575" spans="1:21" ht="14.25" customHeight="1">
      <c r="A575" s="2" t="s">
        <v>15</v>
      </c>
      <c r="B575" s="2">
        <v>1948</v>
      </c>
      <c r="C575" s="2" t="s">
        <v>28</v>
      </c>
      <c r="D575" s="3" t="e">
        <f t="shared" si="56"/>
        <v>#VALUE!</v>
      </c>
      <c r="E575" s="3" t="e">
        <f t="shared" si="57"/>
        <v>#VALUE!</v>
      </c>
      <c r="F575" s="3" t="e">
        <f t="shared" si="58"/>
        <v>#N/A</v>
      </c>
      <c r="G575" s="3" t="e">
        <f t="shared" si="59"/>
        <v>#N/A</v>
      </c>
      <c r="H575" s="3" t="e">
        <f t="shared" si="60"/>
        <v>#N/A</v>
      </c>
      <c r="I575" s="3" t="e">
        <f t="shared" si="61"/>
        <v>#N/A</v>
      </c>
      <c r="J575" s="3" t="e">
        <v>#VALUE!</v>
      </c>
      <c r="K575" s="3" t="e">
        <v>#VALUE!</v>
      </c>
      <c r="L575" s="3" t="e">
        <v>#N/A</v>
      </c>
      <c r="M575" s="3" t="e">
        <v>#N/A</v>
      </c>
      <c r="N575" s="3" t="e">
        <v>#N/A</v>
      </c>
      <c r="O575" s="3" t="e">
        <v>#N/A</v>
      </c>
      <c r="P575" s="3" t="e">
        <f>E575*(VLOOKUP(B575,Price_data!A$1:B$190,2,FALSE))</f>
        <v>#VALUE!</v>
      </c>
      <c r="Q575" s="3" t="e">
        <f>G575*(VLOOKUP(B575,Price_data!A$1:B$190,2,FALSE))</f>
        <v>#N/A</v>
      </c>
      <c r="R575" s="3" t="e">
        <f>I575*(VLOOKUP(B575,Price_data!A$1:B$190,2,FALSE))</f>
        <v>#N/A</v>
      </c>
      <c r="S575" s="4" t="str">
        <f>(VLOOKUP(B575,Price_data!A$1:C$190,3,FALSE))</f>
        <v>Open access</v>
      </c>
      <c r="T575" s="2" t="str">
        <f>IF(C575="Total", (VLOOKUP(B575,Recommended_fish_intake!A$4:D$122,4,FALSE)), "NA")</f>
        <v>NA</v>
      </c>
      <c r="U575" s="2" t="e">
        <f t="shared" si="62"/>
        <v>#VALUE!</v>
      </c>
    </row>
    <row r="576" spans="1:21" ht="14.25" customHeight="1">
      <c r="A576" s="2" t="s">
        <v>15</v>
      </c>
      <c r="B576" s="2">
        <v>1948</v>
      </c>
      <c r="C576" s="2" t="s">
        <v>29</v>
      </c>
      <c r="D576" s="3" t="e">
        <f t="shared" si="56"/>
        <v>#VALUE!</v>
      </c>
      <c r="E576" s="3" t="e">
        <f t="shared" si="57"/>
        <v>#VALUE!</v>
      </c>
      <c r="F576" s="3" t="e">
        <f t="shared" si="58"/>
        <v>#N/A</v>
      </c>
      <c r="G576" s="3" t="e">
        <f t="shared" si="59"/>
        <v>#N/A</v>
      </c>
      <c r="H576" s="3" t="e">
        <f t="shared" si="60"/>
        <v>#N/A</v>
      </c>
      <c r="I576" s="3" t="e">
        <f t="shared" si="61"/>
        <v>#N/A</v>
      </c>
      <c r="J576" s="3" t="e">
        <v>#VALUE!</v>
      </c>
      <c r="K576" s="3" t="e">
        <v>#VALUE!</v>
      </c>
      <c r="L576" s="3" t="e">
        <v>#N/A</v>
      </c>
      <c r="M576" s="3" t="e">
        <v>#N/A</v>
      </c>
      <c r="N576" s="3" t="e">
        <v>#N/A</v>
      </c>
      <c r="O576" s="3" t="e">
        <v>#N/A</v>
      </c>
      <c r="P576" s="3" t="e">
        <f>E576*(VLOOKUP(B576,Price_data!A$1:B$190,2,FALSE))</f>
        <v>#VALUE!</v>
      </c>
      <c r="Q576" s="3" t="e">
        <f>G576*(VLOOKUP(B576,Price_data!A$1:B$190,2,FALSE))</f>
        <v>#N/A</v>
      </c>
      <c r="R576" s="3" t="e">
        <f>I576*(VLOOKUP(B576,Price_data!A$1:B$190,2,FALSE))</f>
        <v>#N/A</v>
      </c>
      <c r="S576" s="4" t="str">
        <f>(VLOOKUP(B576,Price_data!A$1:C$190,3,FALSE))</f>
        <v>Open access</v>
      </c>
      <c r="T576" s="2" t="str">
        <f>IF(C576="Total", (VLOOKUP(B576,Recommended_fish_intake!A$4:D$122,4,FALSE)), "NA")</f>
        <v>NA</v>
      </c>
      <c r="U576" s="2" t="str">
        <f t="shared" si="62"/>
        <v>NA</v>
      </c>
    </row>
    <row r="577" spans="1:21" ht="14.25" customHeight="1">
      <c r="A577" s="2" t="s">
        <v>15</v>
      </c>
      <c r="B577" s="2">
        <v>1948</v>
      </c>
      <c r="C577" s="2" t="s">
        <v>20</v>
      </c>
      <c r="D577" s="3">
        <f t="shared" si="56"/>
        <v>8.1517476122739279</v>
      </c>
      <c r="E577" s="3" t="e">
        <f t="shared" si="57"/>
        <v>#N/A</v>
      </c>
      <c r="F577" s="3" t="e">
        <f t="shared" si="58"/>
        <v>#N/A</v>
      </c>
      <c r="G577" s="3" t="e">
        <f t="shared" si="59"/>
        <v>#N/A</v>
      </c>
      <c r="H577" s="3" t="e">
        <f t="shared" si="60"/>
        <v>#N/A</v>
      </c>
      <c r="I577" s="3" t="e">
        <f t="shared" si="61"/>
        <v>#N/A</v>
      </c>
      <c r="J577" s="3">
        <v>8151.7476122739272</v>
      </c>
      <c r="K577" s="3" t="e">
        <v>#N/A</v>
      </c>
      <c r="L577" s="3" t="e">
        <v>#N/A</v>
      </c>
      <c r="M577" s="3" t="e">
        <v>#N/A</v>
      </c>
      <c r="N577" s="3" t="e">
        <v>#N/A</v>
      </c>
      <c r="O577" s="3" t="e">
        <v>#N/A</v>
      </c>
      <c r="P577" s="3" t="e">
        <f>E577*(VLOOKUP(B577,Price_data!A$1:B$190,2,FALSE))</f>
        <v>#N/A</v>
      </c>
      <c r="Q577" s="3" t="e">
        <f>G577*(VLOOKUP(B577,Price_data!A$1:B$190,2,FALSE))</f>
        <v>#N/A</v>
      </c>
      <c r="R577" s="3" t="e">
        <f>I577*(VLOOKUP(B577,Price_data!A$1:B$190,2,FALSE))</f>
        <v>#N/A</v>
      </c>
      <c r="S577" s="4" t="str">
        <f>(VLOOKUP(B577,Price_data!A$1:C$190,3,FALSE))</f>
        <v>Open access</v>
      </c>
      <c r="T577" s="2" t="str">
        <f>IF(C577="Total", (VLOOKUP(B577,Recommended_fish_intake!A$4:D$122,4,FALSE)), "NA")</f>
        <v>NA</v>
      </c>
      <c r="U577" s="2" t="str">
        <f t="shared" si="62"/>
        <v>NA</v>
      </c>
    </row>
    <row r="578" spans="1:21" ht="14.25" customHeight="1">
      <c r="A578" s="2" t="s">
        <v>15</v>
      </c>
      <c r="B578" s="2">
        <v>1948</v>
      </c>
      <c r="C578" s="2" t="s">
        <v>25</v>
      </c>
      <c r="D578" s="3">
        <f t="shared" ref="D578:D641" si="63">IF(J578="", NA(), J578/1000)</f>
        <v>39.593426132899815</v>
      </c>
      <c r="E578" s="3" t="e">
        <f t="shared" ref="E578:E641" si="64">IF(K578="", NA(), K578/1000)</f>
        <v>#N/A</v>
      </c>
      <c r="F578" s="3" t="e">
        <f t="shared" ref="F578:F641" si="65">IF(L578="", NA(), L578/1000)</f>
        <v>#N/A</v>
      </c>
      <c r="G578" s="3" t="e">
        <f t="shared" ref="G578:G641" si="66">IF(M578="", NA(), M578/1000)</f>
        <v>#N/A</v>
      </c>
      <c r="H578" s="3" t="e">
        <f t="shared" ref="H578:H641" si="67">IF(N578="", NA(), N578/1000)</f>
        <v>#N/A</v>
      </c>
      <c r="I578" s="3" t="e">
        <f t="shared" ref="I578:I641" si="68">IF(O578="", NA(), O578/1000)</f>
        <v>#N/A</v>
      </c>
      <c r="J578" s="3">
        <v>39593.426132899818</v>
      </c>
      <c r="K578" s="3" t="e">
        <v>#N/A</v>
      </c>
      <c r="L578" s="3" t="e">
        <v>#N/A</v>
      </c>
      <c r="M578" s="3" t="e">
        <v>#N/A</v>
      </c>
      <c r="N578" s="3" t="e">
        <v>#N/A</v>
      </c>
      <c r="O578" s="3" t="e">
        <v>#N/A</v>
      </c>
      <c r="P578" s="3" t="e">
        <f>E578*(VLOOKUP(B578,Price_data!A$1:B$190,2,FALSE))</f>
        <v>#N/A</v>
      </c>
      <c r="Q578" s="3" t="e">
        <f>G578*(VLOOKUP(B578,Price_data!A$1:B$190,2,FALSE))</f>
        <v>#N/A</v>
      </c>
      <c r="R578" s="3" t="e">
        <f>I578*(VLOOKUP(B578,Price_data!A$1:B$190,2,FALSE))</f>
        <v>#N/A</v>
      </c>
      <c r="S578" s="4" t="str">
        <f>(VLOOKUP(B578,Price_data!A$1:C$190,3,FALSE))</f>
        <v>Open access</v>
      </c>
      <c r="T578" s="2" t="str">
        <f>IF(C578="Total", (VLOOKUP(B578,Recommended_fish_intake!A$4:D$122,4,FALSE)), "NA")</f>
        <v>NA</v>
      </c>
      <c r="U578" s="2" t="str">
        <f t="shared" ref="U578:U641" si="69">IF(C578="Wet fish", D578*0.49, IF(C578="Shellfish", D578*0.28, "NA"))</f>
        <v>NA</v>
      </c>
    </row>
    <row r="579" spans="1:21" ht="14.25" customHeight="1">
      <c r="A579" s="2" t="s">
        <v>15</v>
      </c>
      <c r="B579" s="2">
        <v>1948</v>
      </c>
      <c r="C579" s="2" t="s">
        <v>24</v>
      </c>
      <c r="D579" s="3">
        <f t="shared" si="63"/>
        <v>48.057965860597442</v>
      </c>
      <c r="E579" s="3" t="e">
        <f t="shared" si="64"/>
        <v>#N/A</v>
      </c>
      <c r="F579" s="3" t="e">
        <f t="shared" si="65"/>
        <v>#N/A</v>
      </c>
      <c r="G579" s="3" t="e">
        <f t="shared" si="66"/>
        <v>#N/A</v>
      </c>
      <c r="H579" s="3" t="e">
        <f t="shared" si="67"/>
        <v>#N/A</v>
      </c>
      <c r="I579" s="3" t="e">
        <f t="shared" si="68"/>
        <v>#N/A</v>
      </c>
      <c r="J579" s="3">
        <v>48057.96586059744</v>
      </c>
      <c r="K579" s="3" t="e">
        <v>#N/A</v>
      </c>
      <c r="L579" s="3" t="e">
        <v>#N/A</v>
      </c>
      <c r="M579" s="3" t="e">
        <v>#N/A</v>
      </c>
      <c r="N579" s="3" t="e">
        <v>#N/A</v>
      </c>
      <c r="O579" s="3" t="e">
        <v>#N/A</v>
      </c>
      <c r="P579" s="3" t="e">
        <f>E579*(VLOOKUP(B579,Price_data!A$1:B$190,2,FALSE))</f>
        <v>#N/A</v>
      </c>
      <c r="Q579" s="3" t="e">
        <f>G579*(VLOOKUP(B579,Price_data!A$1:B$190,2,FALSE))</f>
        <v>#N/A</v>
      </c>
      <c r="R579" s="3" t="e">
        <f>I579*(VLOOKUP(B579,Price_data!A$1:B$190,2,FALSE))</f>
        <v>#N/A</v>
      </c>
      <c r="S579" s="4" t="str">
        <f>(VLOOKUP(B579,Price_data!A$1:C$190,3,FALSE))</f>
        <v>Open access</v>
      </c>
      <c r="T579" s="2" t="str">
        <f>IF(C579="Total", (VLOOKUP(B579,Recommended_fish_intake!A$4:D$122,4,FALSE)), "NA")</f>
        <v>NA</v>
      </c>
      <c r="U579" s="2" t="str">
        <f t="shared" si="69"/>
        <v>NA</v>
      </c>
    </row>
    <row r="580" spans="1:21" ht="14.25" customHeight="1">
      <c r="A580" s="2" t="s">
        <v>15</v>
      </c>
      <c r="B580" s="2">
        <v>1948</v>
      </c>
      <c r="C580" s="2" t="s">
        <v>30</v>
      </c>
      <c r="D580" s="3" t="e">
        <f t="shared" si="63"/>
        <v>#N/A</v>
      </c>
      <c r="E580" s="3" t="e">
        <f t="shared" si="64"/>
        <v>#N/A</v>
      </c>
      <c r="F580" s="3" t="e">
        <f t="shared" si="65"/>
        <v>#N/A</v>
      </c>
      <c r="G580" s="3" t="e">
        <f t="shared" si="66"/>
        <v>#N/A</v>
      </c>
      <c r="H580" s="3" t="e">
        <f t="shared" si="67"/>
        <v>#N/A</v>
      </c>
      <c r="I580" s="3" t="e">
        <f t="shared" si="68"/>
        <v>#N/A</v>
      </c>
      <c r="J580" s="3" t="e">
        <v>#N/A</v>
      </c>
      <c r="K580" s="3" t="e">
        <v>#N/A</v>
      </c>
      <c r="L580" s="3" t="e">
        <v>#N/A</v>
      </c>
      <c r="M580" s="3" t="e">
        <v>#N/A</v>
      </c>
      <c r="N580" s="3" t="e">
        <v>#N/A</v>
      </c>
      <c r="O580" s="3" t="e">
        <v>#N/A</v>
      </c>
      <c r="P580" s="3" t="e">
        <f>E580*(VLOOKUP(B580,Price_data!A$1:B$190,2,FALSE))</f>
        <v>#N/A</v>
      </c>
      <c r="Q580" s="3" t="e">
        <f>G580*(VLOOKUP(B580,Price_data!A$1:B$190,2,FALSE))</f>
        <v>#N/A</v>
      </c>
      <c r="R580" s="3" t="e">
        <f>I580*(VLOOKUP(B580,Price_data!A$1:B$190,2,FALSE))</f>
        <v>#N/A</v>
      </c>
      <c r="S580" s="4" t="str">
        <f>(VLOOKUP(B580,Price_data!A$1:C$190,3,FALSE))</f>
        <v>Open access</v>
      </c>
      <c r="T580" s="2" t="str">
        <f>IF(C580="Total", (VLOOKUP(B580,Recommended_fish_intake!A$4:D$122,4,FALSE)), "NA")</f>
        <v>NA</v>
      </c>
      <c r="U580" s="2" t="str">
        <f t="shared" si="69"/>
        <v>NA</v>
      </c>
    </row>
    <row r="581" spans="1:21" ht="14.25" customHeight="1">
      <c r="A581" s="2" t="s">
        <v>15</v>
      </c>
      <c r="B581" s="2">
        <v>1949</v>
      </c>
      <c r="C581" s="2" t="s">
        <v>16</v>
      </c>
      <c r="D581" s="3">
        <f t="shared" si="63"/>
        <v>1017.7701178622231</v>
      </c>
      <c r="E581" s="3">
        <f t="shared" si="64"/>
        <v>41.065296000000004</v>
      </c>
      <c r="F581" s="3">
        <f t="shared" si="65"/>
        <v>75.620148343832554</v>
      </c>
      <c r="G581" s="3">
        <f t="shared" si="66"/>
        <v>4.7711639999999997</v>
      </c>
      <c r="H581" s="3">
        <f t="shared" si="67"/>
        <v>244.5416581995529</v>
      </c>
      <c r="I581" s="3">
        <f t="shared" si="68"/>
        <v>25.106818999999998</v>
      </c>
      <c r="J581" s="3">
        <v>1017770.1178622231</v>
      </c>
      <c r="K581" s="3">
        <v>41065.296000000002</v>
      </c>
      <c r="L581" s="3">
        <v>75620.148343832552</v>
      </c>
      <c r="M581" s="3">
        <v>4771.1639999999998</v>
      </c>
      <c r="N581" s="3">
        <v>244541.65819955291</v>
      </c>
      <c r="O581" s="3">
        <v>25106.819</v>
      </c>
      <c r="P581" s="3">
        <f>E581*(VLOOKUP(B581,Price_data!A$1:B$190,2,FALSE))</f>
        <v>862.11455790000002</v>
      </c>
      <c r="Q581" s="3">
        <f>G581*(VLOOKUP(B581,Price_data!A$1:B$190,2,FALSE))</f>
        <v>100.16462422499998</v>
      </c>
      <c r="R581" s="3">
        <f>I581*(VLOOKUP(B581,Price_data!A$1:B$190,2,FALSE))</f>
        <v>527.08628138124993</v>
      </c>
      <c r="S581" s="4" t="str">
        <f>(VLOOKUP(B581,Price_data!A$1:C$190,3,FALSE))</f>
        <v>Open access</v>
      </c>
      <c r="T581" s="2">
        <f>IF(C581="Total", (VLOOKUP(B581,Recommended_fish_intake!A$4:D$122,4,FALSE)), "NA")</f>
        <v>659.32328408693752</v>
      </c>
      <c r="U581" s="2" t="str">
        <f t="shared" si="69"/>
        <v>NA</v>
      </c>
    </row>
    <row r="582" spans="1:21" ht="14.25" customHeight="1">
      <c r="A582" s="2" t="s">
        <v>15</v>
      </c>
      <c r="B582" s="2">
        <v>1949</v>
      </c>
      <c r="C582" s="2" t="s">
        <v>22</v>
      </c>
      <c r="D582" s="3">
        <f t="shared" si="63"/>
        <v>387.97403982930297</v>
      </c>
      <c r="E582" s="3" t="e">
        <f t="shared" si="64"/>
        <v>#N/A</v>
      </c>
      <c r="F582" s="3" t="e">
        <f t="shared" si="65"/>
        <v>#N/A</v>
      </c>
      <c r="G582" s="3" t="e">
        <f t="shared" si="66"/>
        <v>#N/A</v>
      </c>
      <c r="H582" s="3" t="e">
        <f t="shared" si="67"/>
        <v>#N/A</v>
      </c>
      <c r="I582" s="3" t="e">
        <f t="shared" si="68"/>
        <v>#N/A</v>
      </c>
      <c r="J582" s="3">
        <v>387974.03982930299</v>
      </c>
      <c r="K582" s="3" t="e">
        <v>#N/A</v>
      </c>
      <c r="L582" s="3" t="e">
        <v>#N/A</v>
      </c>
      <c r="M582" s="3" t="e">
        <v>#N/A</v>
      </c>
      <c r="N582" s="3" t="e">
        <v>#N/A</v>
      </c>
      <c r="O582" s="3" t="e">
        <v>#N/A</v>
      </c>
      <c r="P582" s="3" t="e">
        <f>E582*(VLOOKUP(B582,Price_data!A$1:B$190,2,FALSE))</f>
        <v>#N/A</v>
      </c>
      <c r="Q582" s="3" t="e">
        <f>G582*(VLOOKUP(B582,Price_data!A$1:B$190,2,FALSE))</f>
        <v>#N/A</v>
      </c>
      <c r="R582" s="3" t="e">
        <f>I582*(VLOOKUP(B582,Price_data!A$1:B$190,2,FALSE))</f>
        <v>#N/A</v>
      </c>
      <c r="S582" s="4" t="str">
        <f>(VLOOKUP(B582,Price_data!A$1:C$190,3,FALSE))</f>
        <v>Open access</v>
      </c>
      <c r="T582" s="2" t="str">
        <f>IF(C582="Total", (VLOOKUP(B582,Recommended_fish_intake!A$4:D$122,4,FALSE)), "NA")</f>
        <v>NA</v>
      </c>
      <c r="U582" s="2" t="str">
        <f t="shared" si="69"/>
        <v>NA</v>
      </c>
    </row>
    <row r="583" spans="1:21" ht="14.25" customHeight="1">
      <c r="A583" s="2" t="s">
        <v>15</v>
      </c>
      <c r="B583" s="2">
        <v>1949</v>
      </c>
      <c r="C583" s="2" t="s">
        <v>23</v>
      </c>
      <c r="D583" s="3">
        <f t="shared" si="63"/>
        <v>133.21205039626093</v>
      </c>
      <c r="E583" s="3" t="e">
        <f t="shared" si="64"/>
        <v>#N/A</v>
      </c>
      <c r="F583" s="3" t="e">
        <f t="shared" si="65"/>
        <v>#N/A</v>
      </c>
      <c r="G583" s="3" t="e">
        <f t="shared" si="66"/>
        <v>#N/A</v>
      </c>
      <c r="H583" s="3" t="e">
        <f t="shared" si="67"/>
        <v>#N/A</v>
      </c>
      <c r="I583" s="3" t="e">
        <f t="shared" si="68"/>
        <v>#N/A</v>
      </c>
      <c r="J583" s="3">
        <v>133212.05039626092</v>
      </c>
      <c r="K583" s="3" t="e">
        <v>#N/A</v>
      </c>
      <c r="L583" s="3" t="e">
        <v>#N/A</v>
      </c>
      <c r="M583" s="3" t="e">
        <v>#N/A</v>
      </c>
      <c r="N583" s="3" t="e">
        <v>#N/A</v>
      </c>
      <c r="O583" s="3" t="e">
        <v>#N/A</v>
      </c>
      <c r="P583" s="3" t="e">
        <f>E583*(VLOOKUP(B583,Price_data!A$1:B$190,2,FALSE))</f>
        <v>#N/A</v>
      </c>
      <c r="Q583" s="3" t="e">
        <f>G583*(VLOOKUP(B583,Price_data!A$1:B$190,2,FALSE))</f>
        <v>#N/A</v>
      </c>
      <c r="R583" s="3" t="e">
        <f>I583*(VLOOKUP(B583,Price_data!A$1:B$190,2,FALSE))</f>
        <v>#N/A</v>
      </c>
      <c r="S583" s="4" t="str">
        <f>(VLOOKUP(B583,Price_data!A$1:C$190,3,FALSE))</f>
        <v>Open access</v>
      </c>
      <c r="T583" s="2" t="str">
        <f>IF(C583="Total", (VLOOKUP(B583,Recommended_fish_intake!A$4:D$122,4,FALSE)), "NA")</f>
        <v>NA</v>
      </c>
      <c r="U583" s="2" t="str">
        <f t="shared" si="69"/>
        <v>NA</v>
      </c>
    </row>
    <row r="584" spans="1:21" ht="14.25" customHeight="1">
      <c r="A584" s="2" t="s">
        <v>15</v>
      </c>
      <c r="B584" s="2">
        <v>1949</v>
      </c>
      <c r="C584" s="2" t="s">
        <v>19</v>
      </c>
      <c r="D584" s="3">
        <f t="shared" si="63"/>
        <v>204.51915261125785</v>
      </c>
      <c r="E584" s="3" t="e">
        <f t="shared" si="64"/>
        <v>#N/A</v>
      </c>
      <c r="F584" s="3" t="e">
        <f t="shared" si="65"/>
        <v>#N/A</v>
      </c>
      <c r="G584" s="3" t="e">
        <f t="shared" si="66"/>
        <v>#N/A</v>
      </c>
      <c r="H584" s="3" t="e">
        <f t="shared" si="67"/>
        <v>#N/A</v>
      </c>
      <c r="I584" s="3" t="e">
        <f t="shared" si="68"/>
        <v>#N/A</v>
      </c>
      <c r="J584" s="3">
        <v>204519.15261125786</v>
      </c>
      <c r="K584" s="3" t="e">
        <v>#N/A</v>
      </c>
      <c r="L584" s="3" t="e">
        <v>#N/A</v>
      </c>
      <c r="M584" s="3" t="e">
        <v>#N/A</v>
      </c>
      <c r="N584" s="3" t="e">
        <v>#N/A</v>
      </c>
      <c r="O584" s="3" t="e">
        <v>#N/A</v>
      </c>
      <c r="P584" s="3" t="e">
        <f>E584*(VLOOKUP(B584,Price_data!A$1:B$190,2,FALSE))</f>
        <v>#N/A</v>
      </c>
      <c r="Q584" s="3" t="e">
        <f>G584*(VLOOKUP(B584,Price_data!A$1:B$190,2,FALSE))</f>
        <v>#N/A</v>
      </c>
      <c r="R584" s="3" t="e">
        <f>I584*(VLOOKUP(B584,Price_data!A$1:B$190,2,FALSE))</f>
        <v>#N/A</v>
      </c>
      <c r="S584" s="4" t="str">
        <f>(VLOOKUP(B584,Price_data!A$1:C$190,3,FALSE))</f>
        <v>Open access</v>
      </c>
      <c r="T584" s="2" t="str">
        <f>IF(C584="Total", (VLOOKUP(B584,Recommended_fish_intake!A$4:D$122,4,FALSE)), "NA")</f>
        <v>NA</v>
      </c>
      <c r="U584" s="2" t="str">
        <f t="shared" si="69"/>
        <v>NA</v>
      </c>
    </row>
    <row r="585" spans="1:21" ht="14.25" customHeight="1">
      <c r="A585" s="2" t="s">
        <v>15</v>
      </c>
      <c r="B585" s="2">
        <v>1949</v>
      </c>
      <c r="C585" s="2" t="s">
        <v>28</v>
      </c>
      <c r="D585" s="3" t="e">
        <f t="shared" si="63"/>
        <v>#VALUE!</v>
      </c>
      <c r="E585" s="3" t="e">
        <f t="shared" si="64"/>
        <v>#VALUE!</v>
      </c>
      <c r="F585" s="3" t="e">
        <f t="shared" si="65"/>
        <v>#N/A</v>
      </c>
      <c r="G585" s="3" t="e">
        <f t="shared" si="66"/>
        <v>#N/A</v>
      </c>
      <c r="H585" s="3" t="e">
        <f t="shared" si="67"/>
        <v>#N/A</v>
      </c>
      <c r="I585" s="3" t="e">
        <f t="shared" si="68"/>
        <v>#N/A</v>
      </c>
      <c r="J585" s="3" t="e">
        <v>#VALUE!</v>
      </c>
      <c r="K585" s="3" t="e">
        <v>#VALUE!</v>
      </c>
      <c r="L585" s="3" t="e">
        <v>#N/A</v>
      </c>
      <c r="M585" s="3" t="e">
        <v>#N/A</v>
      </c>
      <c r="N585" s="3" t="e">
        <v>#N/A</v>
      </c>
      <c r="O585" s="3" t="e">
        <v>#N/A</v>
      </c>
      <c r="P585" s="3" t="e">
        <f>E585*(VLOOKUP(B585,Price_data!A$1:B$190,2,FALSE))</f>
        <v>#VALUE!</v>
      </c>
      <c r="Q585" s="3" t="e">
        <f>G585*(VLOOKUP(B585,Price_data!A$1:B$190,2,FALSE))</f>
        <v>#N/A</v>
      </c>
      <c r="R585" s="3" t="e">
        <f>I585*(VLOOKUP(B585,Price_data!A$1:B$190,2,FALSE))</f>
        <v>#N/A</v>
      </c>
      <c r="S585" s="4" t="str">
        <f>(VLOOKUP(B585,Price_data!A$1:C$190,3,FALSE))</f>
        <v>Open access</v>
      </c>
      <c r="T585" s="2" t="str">
        <f>IF(C585="Total", (VLOOKUP(B585,Recommended_fish_intake!A$4:D$122,4,FALSE)), "NA")</f>
        <v>NA</v>
      </c>
      <c r="U585" s="2" t="e">
        <f t="shared" si="69"/>
        <v>#VALUE!</v>
      </c>
    </row>
    <row r="586" spans="1:21" ht="14.25" customHeight="1">
      <c r="A586" s="2" t="s">
        <v>15</v>
      </c>
      <c r="B586" s="2">
        <v>1949</v>
      </c>
      <c r="C586" s="2" t="s">
        <v>29</v>
      </c>
      <c r="D586" s="3" t="e">
        <f t="shared" si="63"/>
        <v>#VALUE!</v>
      </c>
      <c r="E586" s="3" t="e">
        <f t="shared" si="64"/>
        <v>#VALUE!</v>
      </c>
      <c r="F586" s="3" t="e">
        <f t="shared" si="65"/>
        <v>#N/A</v>
      </c>
      <c r="G586" s="3" t="e">
        <f t="shared" si="66"/>
        <v>#N/A</v>
      </c>
      <c r="H586" s="3" t="e">
        <f t="shared" si="67"/>
        <v>#N/A</v>
      </c>
      <c r="I586" s="3" t="e">
        <f t="shared" si="68"/>
        <v>#N/A</v>
      </c>
      <c r="J586" s="3" t="e">
        <v>#VALUE!</v>
      </c>
      <c r="K586" s="3" t="e">
        <v>#VALUE!</v>
      </c>
      <c r="L586" s="3" t="e">
        <v>#N/A</v>
      </c>
      <c r="M586" s="3" t="e">
        <v>#N/A</v>
      </c>
      <c r="N586" s="3" t="e">
        <v>#N/A</v>
      </c>
      <c r="O586" s="3" t="e">
        <v>#N/A</v>
      </c>
      <c r="P586" s="3" t="e">
        <f>E586*(VLOOKUP(B586,Price_data!A$1:B$190,2,FALSE))</f>
        <v>#VALUE!</v>
      </c>
      <c r="Q586" s="3" t="e">
        <f>G586*(VLOOKUP(B586,Price_data!A$1:B$190,2,FALSE))</f>
        <v>#N/A</v>
      </c>
      <c r="R586" s="3" t="e">
        <f>I586*(VLOOKUP(B586,Price_data!A$1:B$190,2,FALSE))</f>
        <v>#N/A</v>
      </c>
      <c r="S586" s="4" t="str">
        <f>(VLOOKUP(B586,Price_data!A$1:C$190,3,FALSE))</f>
        <v>Open access</v>
      </c>
      <c r="T586" s="2" t="str">
        <f>IF(C586="Total", (VLOOKUP(B586,Recommended_fish_intake!A$4:D$122,4,FALSE)), "NA")</f>
        <v>NA</v>
      </c>
      <c r="U586" s="2" t="str">
        <f t="shared" si="69"/>
        <v>NA</v>
      </c>
    </row>
    <row r="587" spans="1:21" ht="14.25" customHeight="1">
      <c r="A587" s="2" t="s">
        <v>15</v>
      </c>
      <c r="B587" s="2">
        <v>1949</v>
      </c>
      <c r="C587" s="2" t="s">
        <v>20</v>
      </c>
      <c r="D587" s="3">
        <f t="shared" si="63"/>
        <v>6.8559235927656976</v>
      </c>
      <c r="E587" s="3" t="e">
        <f t="shared" si="64"/>
        <v>#N/A</v>
      </c>
      <c r="F587" s="3" t="e">
        <f t="shared" si="65"/>
        <v>#N/A</v>
      </c>
      <c r="G587" s="3" t="e">
        <f t="shared" si="66"/>
        <v>#N/A</v>
      </c>
      <c r="H587" s="3" t="e">
        <f t="shared" si="67"/>
        <v>#N/A</v>
      </c>
      <c r="I587" s="3" t="e">
        <f t="shared" si="68"/>
        <v>#N/A</v>
      </c>
      <c r="J587" s="3">
        <v>6855.9235927656973</v>
      </c>
      <c r="K587" s="3" t="e">
        <v>#N/A</v>
      </c>
      <c r="L587" s="3" t="e">
        <v>#N/A</v>
      </c>
      <c r="M587" s="3" t="e">
        <v>#N/A</v>
      </c>
      <c r="N587" s="3" t="e">
        <v>#N/A</v>
      </c>
      <c r="O587" s="3" t="e">
        <v>#N/A</v>
      </c>
      <c r="P587" s="3" t="e">
        <f>E587*(VLOOKUP(B587,Price_data!A$1:B$190,2,FALSE))</f>
        <v>#N/A</v>
      </c>
      <c r="Q587" s="3" t="e">
        <f>G587*(VLOOKUP(B587,Price_data!A$1:B$190,2,FALSE))</f>
        <v>#N/A</v>
      </c>
      <c r="R587" s="3" t="e">
        <f>I587*(VLOOKUP(B587,Price_data!A$1:B$190,2,FALSE))</f>
        <v>#N/A</v>
      </c>
      <c r="S587" s="4" t="str">
        <f>(VLOOKUP(B587,Price_data!A$1:C$190,3,FALSE))</f>
        <v>Open access</v>
      </c>
      <c r="T587" s="2" t="str">
        <f>IF(C587="Total", (VLOOKUP(B587,Recommended_fish_intake!A$4:D$122,4,FALSE)), "NA")</f>
        <v>NA</v>
      </c>
      <c r="U587" s="2" t="str">
        <f t="shared" si="69"/>
        <v>NA</v>
      </c>
    </row>
    <row r="588" spans="1:21" ht="14.25" customHeight="1">
      <c r="A588" s="2" t="s">
        <v>15</v>
      </c>
      <c r="B588" s="2">
        <v>1949</v>
      </c>
      <c r="C588" s="2" t="s">
        <v>25</v>
      </c>
      <c r="D588" s="3">
        <f t="shared" si="63"/>
        <v>36.560861613493188</v>
      </c>
      <c r="E588" s="3" t="e">
        <f t="shared" si="64"/>
        <v>#N/A</v>
      </c>
      <c r="F588" s="3" t="e">
        <f t="shared" si="65"/>
        <v>#N/A</v>
      </c>
      <c r="G588" s="3" t="e">
        <f t="shared" si="66"/>
        <v>#N/A</v>
      </c>
      <c r="H588" s="3" t="e">
        <f t="shared" si="67"/>
        <v>#N/A</v>
      </c>
      <c r="I588" s="3" t="e">
        <f t="shared" si="68"/>
        <v>#N/A</v>
      </c>
      <c r="J588" s="3">
        <v>36560.861613493187</v>
      </c>
      <c r="K588" s="3" t="e">
        <v>#N/A</v>
      </c>
      <c r="L588" s="3" t="e">
        <v>#N/A</v>
      </c>
      <c r="M588" s="3" t="e">
        <v>#N/A</v>
      </c>
      <c r="N588" s="3" t="e">
        <v>#N/A</v>
      </c>
      <c r="O588" s="3" t="e">
        <v>#N/A</v>
      </c>
      <c r="P588" s="3" t="e">
        <f>E588*(VLOOKUP(B588,Price_data!A$1:B$190,2,FALSE))</f>
        <v>#N/A</v>
      </c>
      <c r="Q588" s="3" t="e">
        <f>G588*(VLOOKUP(B588,Price_data!A$1:B$190,2,FALSE))</f>
        <v>#N/A</v>
      </c>
      <c r="R588" s="3" t="e">
        <f>I588*(VLOOKUP(B588,Price_data!A$1:B$190,2,FALSE))</f>
        <v>#N/A</v>
      </c>
      <c r="S588" s="4" t="str">
        <f>(VLOOKUP(B588,Price_data!A$1:C$190,3,FALSE))</f>
        <v>Open access</v>
      </c>
      <c r="T588" s="2" t="str">
        <f>IF(C588="Total", (VLOOKUP(B588,Recommended_fish_intake!A$4:D$122,4,FALSE)), "NA")</f>
        <v>NA</v>
      </c>
      <c r="U588" s="2" t="str">
        <f t="shared" si="69"/>
        <v>NA</v>
      </c>
    </row>
    <row r="589" spans="1:21" ht="14.25" customHeight="1">
      <c r="A589" s="2" t="s">
        <v>15</v>
      </c>
      <c r="B589" s="2">
        <v>1949</v>
      </c>
      <c r="C589" s="2" t="s">
        <v>24</v>
      </c>
      <c r="D589" s="3">
        <f t="shared" si="63"/>
        <v>36.705801666327979</v>
      </c>
      <c r="E589" s="3" t="e">
        <f t="shared" si="64"/>
        <v>#N/A</v>
      </c>
      <c r="F589" s="3" t="e">
        <f t="shared" si="65"/>
        <v>#N/A</v>
      </c>
      <c r="G589" s="3" t="e">
        <f t="shared" si="66"/>
        <v>#N/A</v>
      </c>
      <c r="H589" s="3" t="e">
        <f t="shared" si="67"/>
        <v>#N/A</v>
      </c>
      <c r="I589" s="3" t="e">
        <f t="shared" si="68"/>
        <v>#N/A</v>
      </c>
      <c r="J589" s="3">
        <v>36705.801666327978</v>
      </c>
      <c r="K589" s="3" t="e">
        <v>#N/A</v>
      </c>
      <c r="L589" s="3" t="e">
        <v>#N/A</v>
      </c>
      <c r="M589" s="3" t="e">
        <v>#N/A</v>
      </c>
      <c r="N589" s="3" t="e">
        <v>#N/A</v>
      </c>
      <c r="O589" s="3" t="e">
        <v>#N/A</v>
      </c>
      <c r="P589" s="3" t="e">
        <f>E589*(VLOOKUP(B589,Price_data!A$1:B$190,2,FALSE))</f>
        <v>#N/A</v>
      </c>
      <c r="Q589" s="3" t="e">
        <f>G589*(VLOOKUP(B589,Price_data!A$1:B$190,2,FALSE))</f>
        <v>#N/A</v>
      </c>
      <c r="R589" s="3" t="e">
        <f>I589*(VLOOKUP(B589,Price_data!A$1:B$190,2,FALSE))</f>
        <v>#N/A</v>
      </c>
      <c r="S589" s="4" t="str">
        <f>(VLOOKUP(B589,Price_data!A$1:C$190,3,FALSE))</f>
        <v>Open access</v>
      </c>
      <c r="T589" s="2" t="str">
        <f>IF(C589="Total", (VLOOKUP(B589,Recommended_fish_intake!A$4:D$122,4,FALSE)), "NA")</f>
        <v>NA</v>
      </c>
      <c r="U589" s="2" t="str">
        <f t="shared" si="69"/>
        <v>NA</v>
      </c>
    </row>
    <row r="590" spans="1:21" ht="14.25" customHeight="1">
      <c r="A590" s="2" t="s">
        <v>15</v>
      </c>
      <c r="B590" s="2">
        <v>1949</v>
      </c>
      <c r="C590" s="2" t="s">
        <v>30</v>
      </c>
      <c r="D590" s="3" t="e">
        <f t="shared" si="63"/>
        <v>#N/A</v>
      </c>
      <c r="E590" s="3" t="e">
        <f t="shared" si="64"/>
        <v>#N/A</v>
      </c>
      <c r="F590" s="3" t="e">
        <f t="shared" si="65"/>
        <v>#N/A</v>
      </c>
      <c r="G590" s="3" t="e">
        <f t="shared" si="66"/>
        <v>#N/A</v>
      </c>
      <c r="H590" s="3" t="e">
        <f t="shared" si="67"/>
        <v>#N/A</v>
      </c>
      <c r="I590" s="3" t="e">
        <f t="shared" si="68"/>
        <v>#N/A</v>
      </c>
      <c r="J590" s="3" t="e">
        <v>#N/A</v>
      </c>
      <c r="K590" s="3" t="e">
        <v>#N/A</v>
      </c>
      <c r="L590" s="3" t="e">
        <v>#N/A</v>
      </c>
      <c r="M590" s="3" t="e">
        <v>#N/A</v>
      </c>
      <c r="N590" s="3" t="e">
        <v>#N/A</v>
      </c>
      <c r="O590" s="3" t="e">
        <v>#N/A</v>
      </c>
      <c r="P590" s="3" t="e">
        <f>E590*(VLOOKUP(B590,Price_data!A$1:B$190,2,FALSE))</f>
        <v>#N/A</v>
      </c>
      <c r="Q590" s="3" t="e">
        <f>G590*(VLOOKUP(B590,Price_data!A$1:B$190,2,FALSE))</f>
        <v>#N/A</v>
      </c>
      <c r="R590" s="3" t="e">
        <f>I590*(VLOOKUP(B590,Price_data!A$1:B$190,2,FALSE))</f>
        <v>#N/A</v>
      </c>
      <c r="S590" s="4" t="str">
        <f>(VLOOKUP(B590,Price_data!A$1:C$190,3,FALSE))</f>
        <v>Open access</v>
      </c>
      <c r="T590" s="2" t="str">
        <f>IF(C590="Total", (VLOOKUP(B590,Recommended_fish_intake!A$4:D$122,4,FALSE)), "NA")</f>
        <v>NA</v>
      </c>
      <c r="U590" s="2" t="str">
        <f t="shared" si="69"/>
        <v>NA</v>
      </c>
    </row>
    <row r="591" spans="1:21" ht="14.25" customHeight="1">
      <c r="A591" s="2" t="s">
        <v>15</v>
      </c>
      <c r="B591" s="2">
        <v>1950</v>
      </c>
      <c r="C591" s="2" t="s">
        <v>16</v>
      </c>
      <c r="D591" s="3">
        <f t="shared" si="63"/>
        <v>896.88010566957939</v>
      </c>
      <c r="E591" s="3">
        <f t="shared" si="64"/>
        <v>36.680139000000004</v>
      </c>
      <c r="F591" s="3">
        <f t="shared" si="65"/>
        <v>69.19680959154644</v>
      </c>
      <c r="G591" s="3">
        <f t="shared" si="66"/>
        <v>5.694871</v>
      </c>
      <c r="H591" s="3">
        <f t="shared" si="67"/>
        <v>142.16134931924404</v>
      </c>
      <c r="I591" s="3">
        <f t="shared" si="68"/>
        <v>16.322931000000001</v>
      </c>
      <c r="J591" s="3">
        <v>896880.10566957935</v>
      </c>
      <c r="K591" s="3">
        <v>36680.139000000003</v>
      </c>
      <c r="L591" s="3">
        <v>69196.809591546436</v>
      </c>
      <c r="M591" s="3">
        <v>5694.8710000000001</v>
      </c>
      <c r="N591" s="3">
        <v>142161.34931924404</v>
      </c>
      <c r="O591" s="3">
        <v>16322.931</v>
      </c>
      <c r="P591" s="3">
        <f>E591*(VLOOKUP(B591,Price_data!A$1:B$190,2,FALSE))</f>
        <v>746.71870857983072</v>
      </c>
      <c r="Q591" s="3">
        <f>G591*(VLOOKUP(B591,Price_data!A$1:B$190,2,FALSE))</f>
        <v>115.93376782592696</v>
      </c>
      <c r="R591" s="3">
        <f>I591*(VLOOKUP(B591,Price_data!A$1:B$190,2,FALSE))</f>
        <v>332.29530445775254</v>
      </c>
      <c r="S591" s="4" t="str">
        <f>(VLOOKUP(B591,Price_data!A$1:C$190,3,FALSE))</f>
        <v>Open access</v>
      </c>
      <c r="T591" s="2">
        <f>IF(C591="Total", (VLOOKUP(B591,Recommended_fish_intake!A$4:D$122,4,FALSE)), "NA")</f>
        <v>659.98482122799157</v>
      </c>
      <c r="U591" s="2" t="str">
        <f t="shared" si="69"/>
        <v>NA</v>
      </c>
    </row>
    <row r="592" spans="1:21" ht="14.25" customHeight="1">
      <c r="A592" s="2" t="s">
        <v>15</v>
      </c>
      <c r="B592" s="2">
        <v>1950</v>
      </c>
      <c r="C592" s="2" t="s">
        <v>22</v>
      </c>
      <c r="D592" s="3">
        <f t="shared" si="63"/>
        <v>327.10394228815284</v>
      </c>
      <c r="E592" s="3" t="e">
        <f t="shared" si="64"/>
        <v>#N/A</v>
      </c>
      <c r="F592" s="3">
        <f t="shared" si="65"/>
        <v>4.7925218451534235</v>
      </c>
      <c r="G592" s="3">
        <f t="shared" si="66"/>
        <v>0.66965700000000006</v>
      </c>
      <c r="H592" s="3">
        <f t="shared" si="67"/>
        <v>26.496596220280431</v>
      </c>
      <c r="I592" s="3">
        <f t="shared" si="68"/>
        <v>1.0321849999999999</v>
      </c>
      <c r="J592" s="3">
        <v>327103.94228815282</v>
      </c>
      <c r="K592" s="3" t="e">
        <v>#N/A</v>
      </c>
      <c r="L592" s="3">
        <v>4792.5218451534238</v>
      </c>
      <c r="M592" s="3">
        <v>669.65700000000004</v>
      </c>
      <c r="N592" s="3">
        <v>26496.596220280429</v>
      </c>
      <c r="O592" s="3">
        <v>1032.1849999999999</v>
      </c>
      <c r="P592" s="3" t="e">
        <f>E592*(VLOOKUP(B592,Price_data!A$1:B$190,2,FALSE))</f>
        <v>#N/A</v>
      </c>
      <c r="Q592" s="3">
        <f>G592*(VLOOKUP(B592,Price_data!A$1:B$190,2,FALSE))</f>
        <v>13.632593110714321</v>
      </c>
      <c r="R592" s="3">
        <f>I592*(VLOOKUP(B592,Price_data!A$1:B$190,2,FALSE))</f>
        <v>21.012784335835597</v>
      </c>
      <c r="S592" s="4" t="str">
        <f>(VLOOKUP(B592,Price_data!A$1:C$190,3,FALSE))</f>
        <v>Open access</v>
      </c>
      <c r="T592" s="2" t="str">
        <f>IF(C592="Total", (VLOOKUP(B592,Recommended_fish_intake!A$4:D$122,4,FALSE)), "NA")</f>
        <v>NA</v>
      </c>
      <c r="U592" s="2" t="str">
        <f t="shared" si="69"/>
        <v>NA</v>
      </c>
    </row>
    <row r="593" spans="1:21" ht="14.25" customHeight="1">
      <c r="A593" s="2" t="s">
        <v>15</v>
      </c>
      <c r="B593" s="2">
        <v>1950</v>
      </c>
      <c r="C593" s="2" t="s">
        <v>23</v>
      </c>
      <c r="D593" s="3">
        <f t="shared" si="63"/>
        <v>128.43918918918919</v>
      </c>
      <c r="E593" s="3" t="e">
        <f t="shared" si="64"/>
        <v>#N/A</v>
      </c>
      <c r="F593" s="3" t="e">
        <f t="shared" si="65"/>
        <v>#VALUE!</v>
      </c>
      <c r="G593" s="3" t="e">
        <f t="shared" si="66"/>
        <v>#VALUE!</v>
      </c>
      <c r="H593" s="3">
        <f t="shared" si="67"/>
        <v>14.357193659825239</v>
      </c>
      <c r="I593" s="3">
        <f t="shared" si="68"/>
        <v>0.68656100000000009</v>
      </c>
      <c r="J593" s="3">
        <v>128439.18918918919</v>
      </c>
      <c r="K593" s="3" t="e">
        <v>#N/A</v>
      </c>
      <c r="L593" s="3" t="e">
        <v>#VALUE!</v>
      </c>
      <c r="M593" s="3" t="e">
        <v>#VALUE!</v>
      </c>
      <c r="N593" s="3">
        <v>14357.193659825238</v>
      </c>
      <c r="O593" s="3">
        <v>686.56100000000004</v>
      </c>
      <c r="P593" s="3" t="e">
        <f>E593*(VLOOKUP(B593,Price_data!A$1:B$190,2,FALSE))</f>
        <v>#N/A</v>
      </c>
      <c r="Q593" s="3" t="e">
        <f>G593*(VLOOKUP(B593,Price_data!A$1:B$190,2,FALSE))</f>
        <v>#VALUE!</v>
      </c>
      <c r="R593" s="3">
        <f>I593*(VLOOKUP(B593,Price_data!A$1:B$190,2,FALSE))</f>
        <v>13.976717571361361</v>
      </c>
      <c r="S593" s="4" t="str">
        <f>(VLOOKUP(B593,Price_data!A$1:C$190,3,FALSE))</f>
        <v>Open access</v>
      </c>
      <c r="T593" s="2" t="str">
        <f>IF(C593="Total", (VLOOKUP(B593,Recommended_fish_intake!A$4:D$122,4,FALSE)), "NA")</f>
        <v>NA</v>
      </c>
      <c r="U593" s="2" t="str">
        <f t="shared" si="69"/>
        <v>NA</v>
      </c>
    </row>
    <row r="594" spans="1:21" ht="14.25" customHeight="1">
      <c r="A594" s="2" t="s">
        <v>15</v>
      </c>
      <c r="B594" s="2">
        <v>1950</v>
      </c>
      <c r="C594" s="2" t="s">
        <v>19</v>
      </c>
      <c r="D594" s="3">
        <f t="shared" si="63"/>
        <v>179.13604958341801</v>
      </c>
      <c r="E594" s="3" t="e">
        <f t="shared" si="64"/>
        <v>#N/A</v>
      </c>
      <c r="F594" s="3">
        <f t="shared" si="65"/>
        <v>51.110699044909566</v>
      </c>
      <c r="G594" s="3">
        <f t="shared" si="66"/>
        <v>3.4598710000000001</v>
      </c>
      <c r="H594" s="3">
        <f t="shared" si="67"/>
        <v>13.115728510465351</v>
      </c>
      <c r="I594" s="3">
        <f t="shared" si="68"/>
        <v>0.31537999999999999</v>
      </c>
      <c r="J594" s="3">
        <v>179136.049583418</v>
      </c>
      <c r="K594" s="3" t="e">
        <v>#N/A</v>
      </c>
      <c r="L594" s="3">
        <v>51110.699044909568</v>
      </c>
      <c r="M594" s="3">
        <v>3459.8710000000001</v>
      </c>
      <c r="N594" s="3">
        <v>13115.728510465351</v>
      </c>
      <c r="O594" s="3">
        <v>315.38</v>
      </c>
      <c r="P594" s="3" t="e">
        <f>E594*(VLOOKUP(B594,Price_data!A$1:B$190,2,FALSE))</f>
        <v>#N/A</v>
      </c>
      <c r="Q594" s="3">
        <f>G594*(VLOOKUP(B594,Price_data!A$1:B$190,2,FALSE))</f>
        <v>70.434586002326967</v>
      </c>
      <c r="R594" s="3">
        <f>I594*(VLOOKUP(B594,Price_data!A$1:B$190,2,FALSE))</f>
        <v>6.4203722431888002</v>
      </c>
      <c r="S594" s="4" t="str">
        <f>(VLOOKUP(B594,Price_data!A$1:C$190,3,FALSE))</f>
        <v>Open access</v>
      </c>
      <c r="T594" s="2" t="str">
        <f>IF(C594="Total", (VLOOKUP(B594,Recommended_fish_intake!A$4:D$122,4,FALSE)), "NA")</f>
        <v>NA</v>
      </c>
      <c r="U594" s="2" t="str">
        <f t="shared" si="69"/>
        <v>NA</v>
      </c>
    </row>
    <row r="595" spans="1:21" ht="14.25" customHeight="1">
      <c r="A595" s="2" t="s">
        <v>15</v>
      </c>
      <c r="B595" s="2">
        <v>1950</v>
      </c>
      <c r="C595" s="2" t="s">
        <v>28</v>
      </c>
      <c r="D595" s="3" t="e">
        <f t="shared" si="63"/>
        <v>#VALUE!</v>
      </c>
      <c r="E595" s="3" t="e">
        <f t="shared" si="64"/>
        <v>#VALUE!</v>
      </c>
      <c r="F595" s="3">
        <f t="shared" si="65"/>
        <v>0.17410079252184513</v>
      </c>
      <c r="G595" s="3">
        <f t="shared" si="66"/>
        <v>5.9387999999999996E-2</v>
      </c>
      <c r="H595" s="3">
        <f t="shared" si="67"/>
        <v>5.5801666327982113</v>
      </c>
      <c r="I595" s="3">
        <f t="shared" si="68"/>
        <v>0.647285</v>
      </c>
      <c r="J595" s="3" t="e">
        <v>#VALUE!</v>
      </c>
      <c r="K595" s="3" t="e">
        <v>#VALUE!</v>
      </c>
      <c r="L595" s="3">
        <v>174.10079252184514</v>
      </c>
      <c r="M595" s="3">
        <v>59.387999999999998</v>
      </c>
      <c r="N595" s="3">
        <v>5580.1666327982111</v>
      </c>
      <c r="O595" s="3">
        <v>647.28499999999997</v>
      </c>
      <c r="P595" s="3" t="e">
        <f>E595*(VLOOKUP(B595,Price_data!A$1:B$190,2,FALSE))</f>
        <v>#VALUE!</v>
      </c>
      <c r="Q595" s="3">
        <f>G595*(VLOOKUP(B595,Price_data!A$1:B$190,2,FALSE))</f>
        <v>1.20899570923488</v>
      </c>
      <c r="R595" s="3">
        <f>I595*(VLOOKUP(B595,Price_data!A$1:B$190,2,FALSE))</f>
        <v>13.1771534258116</v>
      </c>
      <c r="S595" s="4" t="str">
        <f>(VLOOKUP(B595,Price_data!A$1:C$190,3,FALSE))</f>
        <v>Open access</v>
      </c>
      <c r="T595" s="2" t="str">
        <f>IF(C595="Total", (VLOOKUP(B595,Recommended_fish_intake!A$4:D$122,4,FALSE)), "NA")</f>
        <v>NA</v>
      </c>
      <c r="U595" s="2" t="e">
        <f t="shared" si="69"/>
        <v>#VALUE!</v>
      </c>
    </row>
    <row r="596" spans="1:21" ht="14.25" customHeight="1">
      <c r="A596" s="2" t="s">
        <v>15</v>
      </c>
      <c r="B596" s="2">
        <v>1950</v>
      </c>
      <c r="C596" s="2" t="s">
        <v>29</v>
      </c>
      <c r="D596" s="3" t="e">
        <f t="shared" si="63"/>
        <v>#VALUE!</v>
      </c>
      <c r="E596" s="3" t="e">
        <f t="shared" si="64"/>
        <v>#VALUE!</v>
      </c>
      <c r="F596" s="3" t="e">
        <f t="shared" si="65"/>
        <v>#VALUE!</v>
      </c>
      <c r="G596" s="3" t="e">
        <f t="shared" si="66"/>
        <v>#VALUE!</v>
      </c>
      <c r="H596" s="3">
        <f t="shared" si="67"/>
        <v>6.4036273115220483</v>
      </c>
      <c r="I596" s="3">
        <f t="shared" si="68"/>
        <v>2.511657</v>
      </c>
      <c r="J596" s="3" t="e">
        <v>#VALUE!</v>
      </c>
      <c r="K596" s="3" t="e">
        <v>#VALUE!</v>
      </c>
      <c r="L596" s="3" t="e">
        <v>#VALUE!</v>
      </c>
      <c r="M596" s="3" t="e">
        <v>#VALUE!</v>
      </c>
      <c r="N596" s="3">
        <v>6403.6273115220483</v>
      </c>
      <c r="O596" s="3">
        <v>2511.6570000000002</v>
      </c>
      <c r="P596" s="3" t="e">
        <f>E596*(VLOOKUP(B596,Price_data!A$1:B$190,2,FALSE))</f>
        <v>#VALUE!</v>
      </c>
      <c r="Q596" s="3" t="e">
        <f>G596*(VLOOKUP(B596,Price_data!A$1:B$190,2,FALSE))</f>
        <v>#VALUE!</v>
      </c>
      <c r="R596" s="3">
        <f>I596*(VLOOKUP(B596,Price_data!A$1:B$190,2,FALSE))</f>
        <v>51.131247660634322</v>
      </c>
      <c r="S596" s="4" t="str">
        <f>(VLOOKUP(B596,Price_data!A$1:C$190,3,FALSE))</f>
        <v>Open access</v>
      </c>
      <c r="T596" s="2" t="str">
        <f>IF(C596="Total", (VLOOKUP(B596,Recommended_fish_intake!A$4:D$122,4,FALSE)), "NA")</f>
        <v>NA</v>
      </c>
      <c r="U596" s="2" t="str">
        <f t="shared" si="69"/>
        <v>NA</v>
      </c>
    </row>
    <row r="597" spans="1:21" ht="14.25" customHeight="1">
      <c r="A597" s="2" t="s">
        <v>15</v>
      </c>
      <c r="B597" s="2">
        <v>1950</v>
      </c>
      <c r="C597" s="2" t="s">
        <v>20</v>
      </c>
      <c r="D597" s="3">
        <f t="shared" si="63"/>
        <v>4.1533224954277586</v>
      </c>
      <c r="E597" s="3" t="e">
        <f t="shared" si="64"/>
        <v>#N/A</v>
      </c>
      <c r="F597" s="3" t="e">
        <f t="shared" si="65"/>
        <v>#VALUE!</v>
      </c>
      <c r="G597" s="3" t="e">
        <f t="shared" si="66"/>
        <v>#VALUE!</v>
      </c>
      <c r="H597" s="3" t="e">
        <f t="shared" si="67"/>
        <v>#VALUE!</v>
      </c>
      <c r="I597" s="3" t="e">
        <f t="shared" si="68"/>
        <v>#VALUE!</v>
      </c>
      <c r="J597" s="3">
        <v>4153.3224954277584</v>
      </c>
      <c r="K597" s="3" t="e">
        <v>#N/A</v>
      </c>
      <c r="L597" s="3" t="e">
        <v>#VALUE!</v>
      </c>
      <c r="M597" s="3" t="e">
        <v>#VALUE!</v>
      </c>
      <c r="N597" s="3" t="e">
        <v>#VALUE!</v>
      </c>
      <c r="O597" s="3" t="e">
        <v>#VALUE!</v>
      </c>
      <c r="P597" s="3" t="e">
        <f>E597*(VLOOKUP(B597,Price_data!A$1:B$190,2,FALSE))</f>
        <v>#N/A</v>
      </c>
      <c r="Q597" s="3" t="e">
        <f>G597*(VLOOKUP(B597,Price_data!A$1:B$190,2,FALSE))</f>
        <v>#VALUE!</v>
      </c>
      <c r="R597" s="3" t="e">
        <f>I597*(VLOOKUP(B597,Price_data!A$1:B$190,2,FALSE))</f>
        <v>#VALUE!</v>
      </c>
      <c r="S597" s="4" t="str">
        <f>(VLOOKUP(B597,Price_data!A$1:C$190,3,FALSE))</f>
        <v>Open access</v>
      </c>
      <c r="T597" s="2" t="str">
        <f>IF(C597="Total", (VLOOKUP(B597,Recommended_fish_intake!A$4:D$122,4,FALSE)), "NA")</f>
        <v>NA</v>
      </c>
      <c r="U597" s="2" t="str">
        <f t="shared" si="69"/>
        <v>NA</v>
      </c>
    </row>
    <row r="598" spans="1:21" ht="14.25" customHeight="1">
      <c r="A598" s="2" t="s">
        <v>15</v>
      </c>
      <c r="B598" s="2">
        <v>1950</v>
      </c>
      <c r="C598" s="2" t="s">
        <v>25</v>
      </c>
      <c r="D598" s="3">
        <f t="shared" si="63"/>
        <v>32.951331030278396</v>
      </c>
      <c r="E598" s="3" t="e">
        <f t="shared" si="64"/>
        <v>#N/A</v>
      </c>
      <c r="F598" s="3" t="e">
        <f t="shared" si="65"/>
        <v>#N/A</v>
      </c>
      <c r="G598" s="3" t="e">
        <f t="shared" si="66"/>
        <v>#N/A</v>
      </c>
      <c r="H598" s="3" t="e">
        <f t="shared" si="67"/>
        <v>#N/A</v>
      </c>
      <c r="I598" s="3" t="e">
        <f t="shared" si="68"/>
        <v>#N/A</v>
      </c>
      <c r="J598" s="3">
        <v>32951.331030278394</v>
      </c>
      <c r="K598" s="3" t="e">
        <v>#N/A</v>
      </c>
      <c r="L598" s="3" t="e">
        <v>#N/A</v>
      </c>
      <c r="M598" s="3" t="e">
        <v>#N/A</v>
      </c>
      <c r="N598" s="3" t="e">
        <v>#N/A</v>
      </c>
      <c r="O598" s="3" t="e">
        <v>#N/A</v>
      </c>
      <c r="P598" s="3" t="e">
        <f>E598*(VLOOKUP(B598,Price_data!A$1:B$190,2,FALSE))</f>
        <v>#N/A</v>
      </c>
      <c r="Q598" s="3" t="e">
        <f>G598*(VLOOKUP(B598,Price_data!A$1:B$190,2,FALSE))</f>
        <v>#N/A</v>
      </c>
      <c r="R598" s="3" t="e">
        <f>I598*(VLOOKUP(B598,Price_data!A$1:B$190,2,FALSE))</f>
        <v>#N/A</v>
      </c>
      <c r="S598" s="4" t="str">
        <f>(VLOOKUP(B598,Price_data!A$1:C$190,3,FALSE))</f>
        <v>Open access</v>
      </c>
      <c r="T598" s="2" t="str">
        <f>IF(C598="Total", (VLOOKUP(B598,Recommended_fish_intake!A$4:D$122,4,FALSE)), "NA")</f>
        <v>NA</v>
      </c>
      <c r="U598" s="2" t="str">
        <f t="shared" si="69"/>
        <v>NA</v>
      </c>
    </row>
    <row r="599" spans="1:21" ht="14.25" customHeight="1">
      <c r="A599" s="2" t="s">
        <v>15</v>
      </c>
      <c r="B599" s="2">
        <v>1950</v>
      </c>
      <c r="C599" s="2" t="s">
        <v>24</v>
      </c>
      <c r="D599" s="3">
        <f t="shared" si="63"/>
        <v>34.492176386913229</v>
      </c>
      <c r="E599" s="3" t="e">
        <f t="shared" si="64"/>
        <v>#N/A</v>
      </c>
      <c r="F599" s="3" t="e">
        <f t="shared" si="65"/>
        <v>#N/A</v>
      </c>
      <c r="G599" s="3" t="e">
        <f t="shared" si="66"/>
        <v>#N/A</v>
      </c>
      <c r="H599" s="3" t="e">
        <f t="shared" si="67"/>
        <v>#N/A</v>
      </c>
      <c r="I599" s="3" t="e">
        <f t="shared" si="68"/>
        <v>#N/A</v>
      </c>
      <c r="J599" s="3">
        <v>34492.176386913226</v>
      </c>
      <c r="K599" s="3" t="e">
        <v>#N/A</v>
      </c>
      <c r="L599" s="3" t="e">
        <v>#N/A</v>
      </c>
      <c r="M599" s="3" t="e">
        <v>#N/A</v>
      </c>
      <c r="N599" s="3" t="e">
        <v>#N/A</v>
      </c>
      <c r="O599" s="3" t="e">
        <v>#N/A</v>
      </c>
      <c r="P599" s="3" t="e">
        <f>E599*(VLOOKUP(B599,Price_data!A$1:B$190,2,FALSE))</f>
        <v>#N/A</v>
      </c>
      <c r="Q599" s="3" t="e">
        <f>G599*(VLOOKUP(B599,Price_data!A$1:B$190,2,FALSE))</f>
        <v>#N/A</v>
      </c>
      <c r="R599" s="3" t="e">
        <f>I599*(VLOOKUP(B599,Price_data!A$1:B$190,2,FALSE))</f>
        <v>#N/A</v>
      </c>
      <c r="S599" s="4" t="str">
        <f>(VLOOKUP(B599,Price_data!A$1:C$190,3,FALSE))</f>
        <v>Open access</v>
      </c>
      <c r="T599" s="2" t="str">
        <f>IF(C599="Total", (VLOOKUP(B599,Recommended_fish_intake!A$4:D$122,4,FALSE)), "NA")</f>
        <v>NA</v>
      </c>
      <c r="U599" s="2" t="str">
        <f t="shared" si="69"/>
        <v>NA</v>
      </c>
    </row>
    <row r="600" spans="1:21" ht="14.25" customHeight="1">
      <c r="A600" s="2" t="s">
        <v>15</v>
      </c>
      <c r="B600" s="2">
        <v>1950</v>
      </c>
      <c r="C600" s="2" t="s">
        <v>30</v>
      </c>
      <c r="D600" s="3" t="e">
        <f t="shared" si="63"/>
        <v>#N/A</v>
      </c>
      <c r="E600" s="3" t="e">
        <f t="shared" si="64"/>
        <v>#N/A</v>
      </c>
      <c r="F600" s="3" t="e">
        <f t="shared" si="65"/>
        <v>#VALUE!</v>
      </c>
      <c r="G600" s="3" t="e">
        <f t="shared" si="66"/>
        <v>#VALUE!</v>
      </c>
      <c r="H600" s="3">
        <f t="shared" si="67"/>
        <v>1.0496850233692339</v>
      </c>
      <c r="I600" s="3">
        <f t="shared" si="68"/>
        <v>0.22129400000000002</v>
      </c>
      <c r="J600" s="3" t="e">
        <v>#N/A</v>
      </c>
      <c r="K600" s="3" t="e">
        <v>#N/A</v>
      </c>
      <c r="L600" s="3" t="e">
        <v>#VALUE!</v>
      </c>
      <c r="M600" s="3" t="e">
        <v>#VALUE!</v>
      </c>
      <c r="N600" s="3">
        <v>1049.6850233692339</v>
      </c>
      <c r="O600" s="3">
        <v>221.29400000000001</v>
      </c>
      <c r="P600" s="3" t="e">
        <f>E600*(VLOOKUP(B600,Price_data!A$1:B$190,2,FALSE))</f>
        <v>#N/A</v>
      </c>
      <c r="Q600" s="3" t="e">
        <f>G600*(VLOOKUP(B600,Price_data!A$1:B$190,2,FALSE))</f>
        <v>#VALUE!</v>
      </c>
      <c r="R600" s="3">
        <f>I600*(VLOOKUP(B600,Price_data!A$1:B$190,2,FALSE))</f>
        <v>4.5050093702334406</v>
      </c>
      <c r="S600" s="4" t="str">
        <f>(VLOOKUP(B600,Price_data!A$1:C$190,3,FALSE))</f>
        <v>Open access</v>
      </c>
      <c r="T600" s="2" t="str">
        <f>IF(C600="Total", (VLOOKUP(B600,Recommended_fish_intake!A$4:D$122,4,FALSE)), "NA")</f>
        <v>NA</v>
      </c>
      <c r="U600" s="2" t="str">
        <f t="shared" si="69"/>
        <v>NA</v>
      </c>
    </row>
    <row r="601" spans="1:21" ht="14.25" customHeight="1">
      <c r="A601" s="2" t="s">
        <v>15</v>
      </c>
      <c r="B601" s="2">
        <v>1951</v>
      </c>
      <c r="C601" s="2" t="s">
        <v>16</v>
      </c>
      <c r="D601" s="3">
        <f t="shared" si="63"/>
        <v>959.39397480186949</v>
      </c>
      <c r="E601" s="3">
        <f t="shared" si="64"/>
        <v>46.510461999999997</v>
      </c>
      <c r="F601" s="3">
        <f t="shared" si="65"/>
        <v>64.530634017476117</v>
      </c>
      <c r="G601" s="3">
        <f t="shared" si="66"/>
        <v>5.6871879999999999</v>
      </c>
      <c r="H601" s="3">
        <f t="shared" si="67"/>
        <v>194.21926437715911</v>
      </c>
      <c r="I601" s="3">
        <f t="shared" si="68"/>
        <v>19.829185000000003</v>
      </c>
      <c r="J601" s="3">
        <v>959393.97480186948</v>
      </c>
      <c r="K601" s="3">
        <v>46510.462</v>
      </c>
      <c r="L601" s="3">
        <v>64530.634017476121</v>
      </c>
      <c r="M601" s="3">
        <v>5687.1880000000001</v>
      </c>
      <c r="N601" s="3">
        <v>194219.2643771591</v>
      </c>
      <c r="O601" s="3">
        <v>19829.185000000001</v>
      </c>
      <c r="P601" s="3">
        <f>E601*(VLOOKUP(B601,Price_data!A$1:B$190,2,FALSE))</f>
        <v>867.93689915943276</v>
      </c>
      <c r="Q601" s="3">
        <f>G601*(VLOOKUP(B601,Price_data!A$1:B$190,2,FALSE))</f>
        <v>106.12924717145869</v>
      </c>
      <c r="R601" s="3">
        <f>I601*(VLOOKUP(B601,Price_data!A$1:B$190,2,FALSE))</f>
        <v>370.0346245057454</v>
      </c>
      <c r="S601" s="4" t="str">
        <f>(VLOOKUP(B601,Price_data!A$1:C$190,3,FALSE))</f>
        <v>Open access</v>
      </c>
      <c r="T601" s="2">
        <f>IF(C601="Total", (VLOOKUP(B601,Recommended_fish_intake!A$4:D$122,4,FALSE)), "NA")</f>
        <v>658.74558531623484</v>
      </c>
      <c r="U601" s="2" t="str">
        <f t="shared" si="69"/>
        <v>NA</v>
      </c>
    </row>
    <row r="602" spans="1:21" ht="14.25" customHeight="1">
      <c r="A602" s="2" t="s">
        <v>15</v>
      </c>
      <c r="B602" s="2">
        <v>1951</v>
      </c>
      <c r="C602" s="2" t="s">
        <v>22</v>
      </c>
      <c r="D602" s="3">
        <f t="shared" si="63"/>
        <v>378.00533428165005</v>
      </c>
      <c r="E602" s="3" t="e">
        <f t="shared" si="64"/>
        <v>#N/A</v>
      </c>
      <c r="F602" s="3" t="e">
        <f t="shared" si="65"/>
        <v>#N/A</v>
      </c>
      <c r="G602" s="3" t="e">
        <f t="shared" si="66"/>
        <v>#N/A</v>
      </c>
      <c r="H602" s="3" t="e">
        <f t="shared" si="67"/>
        <v>#N/A</v>
      </c>
      <c r="I602" s="3" t="e">
        <f t="shared" si="68"/>
        <v>#N/A</v>
      </c>
      <c r="J602" s="3">
        <v>378005.33428165002</v>
      </c>
      <c r="K602" s="3" t="e">
        <v>#N/A</v>
      </c>
      <c r="L602" s="3" t="e">
        <v>#N/A</v>
      </c>
      <c r="M602" s="3" t="e">
        <v>#N/A</v>
      </c>
      <c r="N602" s="3" t="e">
        <v>#N/A</v>
      </c>
      <c r="O602" s="3" t="e">
        <v>#N/A</v>
      </c>
      <c r="P602" s="3" t="e">
        <f>E602*(VLOOKUP(B602,Price_data!A$1:B$190,2,FALSE))</f>
        <v>#N/A</v>
      </c>
      <c r="Q602" s="3" t="e">
        <f>G602*(VLOOKUP(B602,Price_data!A$1:B$190,2,FALSE))</f>
        <v>#N/A</v>
      </c>
      <c r="R602" s="3" t="e">
        <f>I602*(VLOOKUP(B602,Price_data!A$1:B$190,2,FALSE))</f>
        <v>#N/A</v>
      </c>
      <c r="S602" s="4" t="str">
        <f>(VLOOKUP(B602,Price_data!A$1:C$190,3,FALSE))</f>
        <v>Open access</v>
      </c>
      <c r="T602" s="2" t="str">
        <f>IF(C602="Total", (VLOOKUP(B602,Recommended_fish_intake!A$4:D$122,4,FALSE)), "NA")</f>
        <v>NA</v>
      </c>
      <c r="U602" s="2" t="str">
        <f t="shared" si="69"/>
        <v>NA</v>
      </c>
    </row>
    <row r="603" spans="1:21" ht="14.25" customHeight="1">
      <c r="A603" s="2" t="s">
        <v>15</v>
      </c>
      <c r="B603" s="2">
        <v>1951</v>
      </c>
      <c r="C603" s="2" t="s">
        <v>23</v>
      </c>
      <c r="D603" s="3">
        <f t="shared" si="63"/>
        <v>119.64255232676284</v>
      </c>
      <c r="E603" s="3" t="e">
        <f t="shared" si="64"/>
        <v>#N/A</v>
      </c>
      <c r="F603" s="3" t="e">
        <f t="shared" si="65"/>
        <v>#N/A</v>
      </c>
      <c r="G603" s="3" t="e">
        <f t="shared" si="66"/>
        <v>#N/A</v>
      </c>
      <c r="H603" s="3" t="e">
        <f t="shared" si="67"/>
        <v>#N/A</v>
      </c>
      <c r="I603" s="3" t="e">
        <f t="shared" si="68"/>
        <v>#N/A</v>
      </c>
      <c r="J603" s="3">
        <v>119642.55232676285</v>
      </c>
      <c r="K603" s="3" t="e">
        <v>#N/A</v>
      </c>
      <c r="L603" s="3" t="e">
        <v>#N/A</v>
      </c>
      <c r="M603" s="3" t="e">
        <v>#N/A</v>
      </c>
      <c r="N603" s="3" t="e">
        <v>#N/A</v>
      </c>
      <c r="O603" s="3" t="e">
        <v>#N/A</v>
      </c>
      <c r="P603" s="3" t="e">
        <f>E603*(VLOOKUP(B603,Price_data!A$1:B$190,2,FALSE))</f>
        <v>#N/A</v>
      </c>
      <c r="Q603" s="3" t="e">
        <f>G603*(VLOOKUP(B603,Price_data!A$1:B$190,2,FALSE))</f>
        <v>#N/A</v>
      </c>
      <c r="R603" s="3" t="e">
        <f>I603*(VLOOKUP(B603,Price_data!A$1:B$190,2,FALSE))</f>
        <v>#N/A</v>
      </c>
      <c r="S603" s="4" t="str">
        <f>(VLOOKUP(B603,Price_data!A$1:C$190,3,FALSE))</f>
        <v>Open access</v>
      </c>
      <c r="T603" s="2" t="str">
        <f>IF(C603="Total", (VLOOKUP(B603,Recommended_fish_intake!A$4:D$122,4,FALSE)), "NA")</f>
        <v>NA</v>
      </c>
      <c r="U603" s="2" t="str">
        <f t="shared" si="69"/>
        <v>NA</v>
      </c>
    </row>
    <row r="604" spans="1:21" ht="14.25" customHeight="1">
      <c r="A604" s="2" t="s">
        <v>15</v>
      </c>
      <c r="B604" s="2">
        <v>1951</v>
      </c>
      <c r="C604" s="2" t="s">
        <v>19</v>
      </c>
      <c r="D604" s="3">
        <f t="shared" si="63"/>
        <v>166.78515545620806</v>
      </c>
      <c r="E604" s="3" t="e">
        <f t="shared" si="64"/>
        <v>#N/A</v>
      </c>
      <c r="F604" s="3" t="e">
        <f t="shared" si="65"/>
        <v>#N/A</v>
      </c>
      <c r="G604" s="3" t="e">
        <f t="shared" si="66"/>
        <v>#N/A</v>
      </c>
      <c r="H604" s="3" t="e">
        <f t="shared" si="67"/>
        <v>#N/A</v>
      </c>
      <c r="I604" s="3" t="e">
        <f t="shared" si="68"/>
        <v>#N/A</v>
      </c>
      <c r="J604" s="3">
        <v>166785.15545620807</v>
      </c>
      <c r="K604" s="3" t="e">
        <v>#N/A</v>
      </c>
      <c r="L604" s="3" t="e">
        <v>#N/A</v>
      </c>
      <c r="M604" s="3" t="e">
        <v>#N/A</v>
      </c>
      <c r="N604" s="3" t="e">
        <v>#N/A</v>
      </c>
      <c r="O604" s="3" t="e">
        <v>#N/A</v>
      </c>
      <c r="P604" s="3" t="e">
        <f>E604*(VLOOKUP(B604,Price_data!A$1:B$190,2,FALSE))</f>
        <v>#N/A</v>
      </c>
      <c r="Q604" s="3" t="e">
        <f>G604*(VLOOKUP(B604,Price_data!A$1:B$190,2,FALSE))</f>
        <v>#N/A</v>
      </c>
      <c r="R604" s="3" t="e">
        <f>I604*(VLOOKUP(B604,Price_data!A$1:B$190,2,FALSE))</f>
        <v>#N/A</v>
      </c>
      <c r="S604" s="4" t="str">
        <f>(VLOOKUP(B604,Price_data!A$1:C$190,3,FALSE))</f>
        <v>Open access</v>
      </c>
      <c r="T604" s="2" t="str">
        <f>IF(C604="Total", (VLOOKUP(B604,Recommended_fish_intake!A$4:D$122,4,FALSE)), "NA")</f>
        <v>NA</v>
      </c>
      <c r="U604" s="2" t="str">
        <f t="shared" si="69"/>
        <v>NA</v>
      </c>
    </row>
    <row r="605" spans="1:21" ht="14.25" customHeight="1">
      <c r="A605" s="2" t="s">
        <v>15</v>
      </c>
      <c r="B605" s="2">
        <v>1951</v>
      </c>
      <c r="C605" s="2" t="s">
        <v>28</v>
      </c>
      <c r="D605" s="3" t="e">
        <f t="shared" si="63"/>
        <v>#VALUE!</v>
      </c>
      <c r="E605" s="3" t="e">
        <f t="shared" si="64"/>
        <v>#VALUE!</v>
      </c>
      <c r="F605" s="3" t="e">
        <f t="shared" si="65"/>
        <v>#N/A</v>
      </c>
      <c r="G605" s="3" t="e">
        <f t="shared" si="66"/>
        <v>#N/A</v>
      </c>
      <c r="H605" s="3" t="e">
        <f t="shared" si="67"/>
        <v>#N/A</v>
      </c>
      <c r="I605" s="3" t="e">
        <f t="shared" si="68"/>
        <v>#N/A</v>
      </c>
      <c r="J605" s="3" t="e">
        <v>#VALUE!</v>
      </c>
      <c r="K605" s="3" t="e">
        <v>#VALUE!</v>
      </c>
      <c r="L605" s="3" t="e">
        <v>#N/A</v>
      </c>
      <c r="M605" s="3" t="e">
        <v>#N/A</v>
      </c>
      <c r="N605" s="3" t="e">
        <v>#N/A</v>
      </c>
      <c r="O605" s="3" t="e">
        <v>#N/A</v>
      </c>
      <c r="P605" s="3" t="e">
        <f>E605*(VLOOKUP(B605,Price_data!A$1:B$190,2,FALSE))</f>
        <v>#VALUE!</v>
      </c>
      <c r="Q605" s="3" t="e">
        <f>G605*(VLOOKUP(B605,Price_data!A$1:B$190,2,FALSE))</f>
        <v>#N/A</v>
      </c>
      <c r="R605" s="3" t="e">
        <f>I605*(VLOOKUP(B605,Price_data!A$1:B$190,2,FALSE))</f>
        <v>#N/A</v>
      </c>
      <c r="S605" s="4" t="str">
        <f>(VLOOKUP(B605,Price_data!A$1:C$190,3,FALSE))</f>
        <v>Open access</v>
      </c>
      <c r="T605" s="2" t="str">
        <f>IF(C605="Total", (VLOOKUP(B605,Recommended_fish_intake!A$4:D$122,4,FALSE)), "NA")</f>
        <v>NA</v>
      </c>
      <c r="U605" s="2" t="e">
        <f t="shared" si="69"/>
        <v>#VALUE!</v>
      </c>
    </row>
    <row r="606" spans="1:21" ht="14.25" customHeight="1">
      <c r="A606" s="2" t="s">
        <v>15</v>
      </c>
      <c r="B606" s="2">
        <v>1951</v>
      </c>
      <c r="C606" s="2" t="s">
        <v>29</v>
      </c>
      <c r="D606" s="3" t="e">
        <f t="shared" si="63"/>
        <v>#VALUE!</v>
      </c>
      <c r="E606" s="3" t="e">
        <f t="shared" si="64"/>
        <v>#VALUE!</v>
      </c>
      <c r="F606" s="3" t="e">
        <f t="shared" si="65"/>
        <v>#N/A</v>
      </c>
      <c r="G606" s="3" t="e">
        <f t="shared" si="66"/>
        <v>#N/A</v>
      </c>
      <c r="H606" s="3" t="e">
        <f t="shared" si="67"/>
        <v>#N/A</v>
      </c>
      <c r="I606" s="3" t="e">
        <f t="shared" si="68"/>
        <v>#N/A</v>
      </c>
      <c r="J606" s="3" t="e">
        <v>#VALUE!</v>
      </c>
      <c r="K606" s="3" t="e">
        <v>#VALUE!</v>
      </c>
      <c r="L606" s="3" t="e">
        <v>#N/A</v>
      </c>
      <c r="M606" s="3" t="e">
        <v>#N/A</v>
      </c>
      <c r="N606" s="3" t="e">
        <v>#N/A</v>
      </c>
      <c r="O606" s="3" t="e">
        <v>#N/A</v>
      </c>
      <c r="P606" s="3" t="e">
        <f>E606*(VLOOKUP(B606,Price_data!A$1:B$190,2,FALSE))</f>
        <v>#VALUE!</v>
      </c>
      <c r="Q606" s="3" t="e">
        <f>G606*(VLOOKUP(B606,Price_data!A$1:B$190,2,FALSE))</f>
        <v>#N/A</v>
      </c>
      <c r="R606" s="3" t="e">
        <f>I606*(VLOOKUP(B606,Price_data!A$1:B$190,2,FALSE))</f>
        <v>#N/A</v>
      </c>
      <c r="S606" s="4" t="str">
        <f>(VLOOKUP(B606,Price_data!A$1:C$190,3,FALSE))</f>
        <v>Open access</v>
      </c>
      <c r="T606" s="2" t="str">
        <f>IF(C606="Total", (VLOOKUP(B606,Recommended_fish_intake!A$4:D$122,4,FALSE)), "NA")</f>
        <v>NA</v>
      </c>
      <c r="U606" s="2" t="str">
        <f t="shared" si="69"/>
        <v>NA</v>
      </c>
    </row>
    <row r="607" spans="1:21" ht="14.25" customHeight="1">
      <c r="A607" s="2" t="s">
        <v>15</v>
      </c>
      <c r="B607" s="2">
        <v>1951</v>
      </c>
      <c r="C607" s="2" t="s">
        <v>20</v>
      </c>
      <c r="D607" s="3">
        <f t="shared" si="63"/>
        <v>6.3154338549075391</v>
      </c>
      <c r="E607" s="3" t="e">
        <f t="shared" si="64"/>
        <v>#N/A</v>
      </c>
      <c r="F607" s="3" t="e">
        <f t="shared" si="65"/>
        <v>#N/A</v>
      </c>
      <c r="G607" s="3" t="e">
        <f t="shared" si="66"/>
        <v>#N/A</v>
      </c>
      <c r="H607" s="3" t="e">
        <f t="shared" si="67"/>
        <v>#N/A</v>
      </c>
      <c r="I607" s="3" t="e">
        <f t="shared" si="68"/>
        <v>#N/A</v>
      </c>
      <c r="J607" s="3">
        <v>6315.4338549075392</v>
      </c>
      <c r="K607" s="3" t="e">
        <v>#N/A</v>
      </c>
      <c r="L607" s="3" t="e">
        <v>#N/A</v>
      </c>
      <c r="M607" s="3" t="e">
        <v>#N/A</v>
      </c>
      <c r="N607" s="3" t="e">
        <v>#N/A</v>
      </c>
      <c r="O607" s="3" t="e">
        <v>#N/A</v>
      </c>
      <c r="P607" s="3" t="e">
        <f>E607*(VLOOKUP(B607,Price_data!A$1:B$190,2,FALSE))</f>
        <v>#N/A</v>
      </c>
      <c r="Q607" s="3" t="e">
        <f>G607*(VLOOKUP(B607,Price_data!A$1:B$190,2,FALSE))</f>
        <v>#N/A</v>
      </c>
      <c r="R607" s="3" t="e">
        <f>I607*(VLOOKUP(B607,Price_data!A$1:B$190,2,FALSE))</f>
        <v>#N/A</v>
      </c>
      <c r="S607" s="4" t="str">
        <f>(VLOOKUP(B607,Price_data!A$1:C$190,3,FALSE))</f>
        <v>Open access</v>
      </c>
      <c r="T607" s="2" t="str">
        <f>IF(C607="Total", (VLOOKUP(B607,Recommended_fish_intake!A$4:D$122,4,FALSE)), "NA")</f>
        <v>NA</v>
      </c>
      <c r="U607" s="2" t="str">
        <f t="shared" si="69"/>
        <v>NA</v>
      </c>
    </row>
    <row r="608" spans="1:21" ht="14.25" customHeight="1">
      <c r="A608" s="2" t="s">
        <v>15</v>
      </c>
      <c r="B608" s="2">
        <v>1951</v>
      </c>
      <c r="C608" s="2" t="s">
        <v>25</v>
      </c>
      <c r="D608" s="3">
        <f t="shared" si="63"/>
        <v>28.629496037390773</v>
      </c>
      <c r="E608" s="3" t="e">
        <f t="shared" si="64"/>
        <v>#N/A</v>
      </c>
      <c r="F608" s="3" t="e">
        <f t="shared" si="65"/>
        <v>#N/A</v>
      </c>
      <c r="G608" s="3" t="e">
        <f t="shared" si="66"/>
        <v>#N/A</v>
      </c>
      <c r="H608" s="3" t="e">
        <f t="shared" si="67"/>
        <v>#N/A</v>
      </c>
      <c r="I608" s="3" t="e">
        <f t="shared" si="68"/>
        <v>#N/A</v>
      </c>
      <c r="J608" s="3">
        <v>28629.496037390774</v>
      </c>
      <c r="K608" s="3" t="e">
        <v>#N/A</v>
      </c>
      <c r="L608" s="3" t="e">
        <v>#N/A</v>
      </c>
      <c r="M608" s="3" t="e">
        <v>#N/A</v>
      </c>
      <c r="N608" s="3" t="e">
        <v>#N/A</v>
      </c>
      <c r="O608" s="3" t="e">
        <v>#N/A</v>
      </c>
      <c r="P608" s="3" t="e">
        <f>E608*(VLOOKUP(B608,Price_data!A$1:B$190,2,FALSE))</f>
        <v>#N/A</v>
      </c>
      <c r="Q608" s="3" t="e">
        <f>G608*(VLOOKUP(B608,Price_data!A$1:B$190,2,FALSE))</f>
        <v>#N/A</v>
      </c>
      <c r="R608" s="3" t="e">
        <f>I608*(VLOOKUP(B608,Price_data!A$1:B$190,2,FALSE))</f>
        <v>#N/A</v>
      </c>
      <c r="S608" s="4" t="str">
        <f>(VLOOKUP(B608,Price_data!A$1:C$190,3,FALSE))</f>
        <v>Open access</v>
      </c>
      <c r="T608" s="2" t="str">
        <f>IF(C608="Total", (VLOOKUP(B608,Recommended_fish_intake!A$4:D$122,4,FALSE)), "NA")</f>
        <v>NA</v>
      </c>
      <c r="U608" s="2" t="str">
        <f t="shared" si="69"/>
        <v>NA</v>
      </c>
    </row>
    <row r="609" spans="1:21" ht="14.25" customHeight="1">
      <c r="A609" s="2" t="s">
        <v>15</v>
      </c>
      <c r="B609" s="2">
        <v>1951</v>
      </c>
      <c r="C609" s="2" t="s">
        <v>24</v>
      </c>
      <c r="D609" s="3">
        <f t="shared" si="63"/>
        <v>48.108209713472867</v>
      </c>
      <c r="E609" s="3" t="e">
        <f t="shared" si="64"/>
        <v>#N/A</v>
      </c>
      <c r="F609" s="3" t="e">
        <f t="shared" si="65"/>
        <v>#N/A</v>
      </c>
      <c r="G609" s="3" t="e">
        <f t="shared" si="66"/>
        <v>#N/A</v>
      </c>
      <c r="H609" s="3" t="e">
        <f t="shared" si="67"/>
        <v>#N/A</v>
      </c>
      <c r="I609" s="3" t="e">
        <f t="shared" si="68"/>
        <v>#N/A</v>
      </c>
      <c r="J609" s="3">
        <v>48108.209713472868</v>
      </c>
      <c r="K609" s="3" t="e">
        <v>#N/A</v>
      </c>
      <c r="L609" s="3" t="e">
        <v>#N/A</v>
      </c>
      <c r="M609" s="3" t="e">
        <v>#N/A</v>
      </c>
      <c r="N609" s="3" t="e">
        <v>#N/A</v>
      </c>
      <c r="O609" s="3" t="e">
        <v>#N/A</v>
      </c>
      <c r="P609" s="3" t="e">
        <f>E609*(VLOOKUP(B609,Price_data!A$1:B$190,2,FALSE))</f>
        <v>#N/A</v>
      </c>
      <c r="Q609" s="3" t="e">
        <f>G609*(VLOOKUP(B609,Price_data!A$1:B$190,2,FALSE))</f>
        <v>#N/A</v>
      </c>
      <c r="R609" s="3" t="e">
        <f>I609*(VLOOKUP(B609,Price_data!A$1:B$190,2,FALSE))</f>
        <v>#N/A</v>
      </c>
      <c r="S609" s="4" t="str">
        <f>(VLOOKUP(B609,Price_data!A$1:C$190,3,FALSE))</f>
        <v>Open access</v>
      </c>
      <c r="T609" s="2" t="str">
        <f>IF(C609="Total", (VLOOKUP(B609,Recommended_fish_intake!A$4:D$122,4,FALSE)), "NA")</f>
        <v>NA</v>
      </c>
      <c r="U609" s="2" t="str">
        <f t="shared" si="69"/>
        <v>NA</v>
      </c>
    </row>
    <row r="610" spans="1:21" ht="14.25" customHeight="1">
      <c r="A610" s="2" t="s">
        <v>15</v>
      </c>
      <c r="B610" s="2">
        <v>1951</v>
      </c>
      <c r="C610" s="2" t="s">
        <v>30</v>
      </c>
      <c r="D610" s="3" t="e">
        <f t="shared" si="63"/>
        <v>#N/A</v>
      </c>
      <c r="E610" s="3" t="e">
        <f t="shared" si="64"/>
        <v>#N/A</v>
      </c>
      <c r="F610" s="3" t="e">
        <f t="shared" si="65"/>
        <v>#N/A</v>
      </c>
      <c r="G610" s="3" t="e">
        <f t="shared" si="66"/>
        <v>#N/A</v>
      </c>
      <c r="H610" s="3" t="e">
        <f t="shared" si="67"/>
        <v>#N/A</v>
      </c>
      <c r="I610" s="3" t="e">
        <f t="shared" si="68"/>
        <v>#N/A</v>
      </c>
      <c r="J610" s="3" t="e">
        <v>#N/A</v>
      </c>
      <c r="K610" s="3" t="e">
        <v>#N/A</v>
      </c>
      <c r="L610" s="3" t="e">
        <v>#N/A</v>
      </c>
      <c r="M610" s="3" t="e">
        <v>#N/A</v>
      </c>
      <c r="N610" s="3" t="e">
        <v>#N/A</v>
      </c>
      <c r="O610" s="3" t="e">
        <v>#N/A</v>
      </c>
      <c r="P610" s="3" t="e">
        <f>E610*(VLOOKUP(B610,Price_data!A$1:B$190,2,FALSE))</f>
        <v>#N/A</v>
      </c>
      <c r="Q610" s="3" t="e">
        <f>G610*(VLOOKUP(B610,Price_data!A$1:B$190,2,FALSE))</f>
        <v>#N/A</v>
      </c>
      <c r="R610" s="3" t="e">
        <f>I610*(VLOOKUP(B610,Price_data!A$1:B$190,2,FALSE))</f>
        <v>#N/A</v>
      </c>
      <c r="S610" s="4" t="str">
        <f>(VLOOKUP(B610,Price_data!A$1:C$190,3,FALSE))</f>
        <v>Open access</v>
      </c>
      <c r="T610" s="2" t="str">
        <f>IF(C610="Total", (VLOOKUP(B610,Recommended_fish_intake!A$4:D$122,4,FALSE)), "NA")</f>
        <v>NA</v>
      </c>
      <c r="U610" s="2" t="str">
        <f t="shared" si="69"/>
        <v>NA</v>
      </c>
    </row>
    <row r="611" spans="1:21" ht="14.25" customHeight="1">
      <c r="A611" s="2" t="s">
        <v>15</v>
      </c>
      <c r="B611" s="2">
        <v>1952</v>
      </c>
      <c r="C611" s="2" t="s">
        <v>16</v>
      </c>
      <c r="D611" s="3">
        <f t="shared" si="63"/>
        <v>1005.79394432026</v>
      </c>
      <c r="E611" s="3">
        <f t="shared" si="64"/>
        <v>44.884480000000003</v>
      </c>
      <c r="F611" s="3">
        <f t="shared" si="65"/>
        <v>65.790946961999595</v>
      </c>
      <c r="G611" s="3">
        <f t="shared" si="66"/>
        <v>5.8397759999999996</v>
      </c>
      <c r="H611" s="3">
        <f t="shared" si="67"/>
        <v>193.82808372282057</v>
      </c>
      <c r="I611" s="3">
        <f t="shared" si="68"/>
        <v>16.841485000000002</v>
      </c>
      <c r="J611" s="3">
        <v>1005793.9443202601</v>
      </c>
      <c r="K611" s="3">
        <v>44884.480000000003</v>
      </c>
      <c r="L611" s="3">
        <v>65790.946961999594</v>
      </c>
      <c r="M611" s="3">
        <v>5839.7759999999998</v>
      </c>
      <c r="N611" s="3">
        <v>193828.08372282056</v>
      </c>
      <c r="O611" s="3">
        <v>16841.485000000001</v>
      </c>
      <c r="P611" s="3">
        <f>E611*(VLOOKUP(B611,Price_data!A$1:B$190,2,FALSE))</f>
        <v>767.26192517155857</v>
      </c>
      <c r="Q611" s="3">
        <f>G611*(VLOOKUP(B611,Price_data!A$1:B$190,2,FALSE))</f>
        <v>99.82599277814208</v>
      </c>
      <c r="R611" s="3">
        <f>I611*(VLOOKUP(B611,Price_data!A$1:B$190,2,FALSE))</f>
        <v>287.89083005635638</v>
      </c>
      <c r="S611" s="4" t="str">
        <f>(VLOOKUP(B611,Price_data!A$1:C$190,3,FALSE))</f>
        <v>Open access</v>
      </c>
      <c r="T611" s="2">
        <f>IF(C611="Total", (VLOOKUP(B611,Recommended_fish_intake!A$4:D$122,4,FALSE)), "NA")</f>
        <v>660.60967908201701</v>
      </c>
      <c r="U611" s="2" t="str">
        <f t="shared" si="69"/>
        <v>NA</v>
      </c>
    </row>
    <row r="612" spans="1:21" ht="14.25" customHeight="1">
      <c r="A612" s="2" t="s">
        <v>15</v>
      </c>
      <c r="B612" s="2">
        <v>1952</v>
      </c>
      <c r="C612" s="2" t="s">
        <v>22</v>
      </c>
      <c r="D612" s="3">
        <f t="shared" si="63"/>
        <v>384.40123958545007</v>
      </c>
      <c r="E612" s="3" t="e">
        <f t="shared" si="64"/>
        <v>#N/A</v>
      </c>
      <c r="F612" s="3" t="e">
        <f t="shared" si="65"/>
        <v>#N/A</v>
      </c>
      <c r="G612" s="3" t="e">
        <f t="shared" si="66"/>
        <v>#N/A</v>
      </c>
      <c r="H612" s="3" t="e">
        <f t="shared" si="67"/>
        <v>#N/A</v>
      </c>
      <c r="I612" s="3" t="e">
        <f t="shared" si="68"/>
        <v>#N/A</v>
      </c>
      <c r="J612" s="3">
        <v>384401.23958545009</v>
      </c>
      <c r="K612" s="3" t="e">
        <v>#N/A</v>
      </c>
      <c r="L612" s="3" t="e">
        <v>#N/A</v>
      </c>
      <c r="M612" s="3" t="e">
        <v>#N/A</v>
      </c>
      <c r="N612" s="3" t="e">
        <v>#N/A</v>
      </c>
      <c r="O612" s="3" t="e">
        <v>#N/A</v>
      </c>
      <c r="P612" s="3" t="e">
        <f>E612*(VLOOKUP(B612,Price_data!A$1:B$190,2,FALSE))</f>
        <v>#N/A</v>
      </c>
      <c r="Q612" s="3" t="e">
        <f>G612*(VLOOKUP(B612,Price_data!A$1:B$190,2,FALSE))</f>
        <v>#N/A</v>
      </c>
      <c r="R612" s="3" t="e">
        <f>I612*(VLOOKUP(B612,Price_data!A$1:B$190,2,FALSE))</f>
        <v>#N/A</v>
      </c>
      <c r="S612" s="4" t="str">
        <f>(VLOOKUP(B612,Price_data!A$1:C$190,3,FALSE))</f>
        <v>Open access</v>
      </c>
      <c r="T612" s="2" t="str">
        <f>IF(C612="Total", (VLOOKUP(B612,Recommended_fish_intake!A$4:D$122,4,FALSE)), "NA")</f>
        <v>NA</v>
      </c>
      <c r="U612" s="2" t="str">
        <f t="shared" si="69"/>
        <v>NA</v>
      </c>
    </row>
    <row r="613" spans="1:21" ht="14.25" customHeight="1">
      <c r="A613" s="2" t="s">
        <v>15</v>
      </c>
      <c r="B613" s="2">
        <v>1952</v>
      </c>
      <c r="C613" s="2" t="s">
        <v>23</v>
      </c>
      <c r="D613" s="3">
        <f t="shared" si="63"/>
        <v>110.24293842714896</v>
      </c>
      <c r="E613" s="3" t="e">
        <f t="shared" si="64"/>
        <v>#N/A</v>
      </c>
      <c r="F613" s="3" t="e">
        <f t="shared" si="65"/>
        <v>#N/A</v>
      </c>
      <c r="G613" s="3" t="e">
        <f t="shared" si="66"/>
        <v>#N/A</v>
      </c>
      <c r="H613" s="3" t="e">
        <f t="shared" si="67"/>
        <v>#N/A</v>
      </c>
      <c r="I613" s="3" t="e">
        <f t="shared" si="68"/>
        <v>#N/A</v>
      </c>
      <c r="J613" s="3">
        <v>110242.93842714895</v>
      </c>
      <c r="K613" s="3" t="e">
        <v>#N/A</v>
      </c>
      <c r="L613" s="3" t="e">
        <v>#N/A</v>
      </c>
      <c r="M613" s="3" t="e">
        <v>#N/A</v>
      </c>
      <c r="N613" s="3" t="e">
        <v>#N/A</v>
      </c>
      <c r="O613" s="3" t="e">
        <v>#N/A</v>
      </c>
      <c r="P613" s="3" t="e">
        <f>E613*(VLOOKUP(B613,Price_data!A$1:B$190,2,FALSE))</f>
        <v>#N/A</v>
      </c>
      <c r="Q613" s="3" t="e">
        <f>G613*(VLOOKUP(B613,Price_data!A$1:B$190,2,FALSE))</f>
        <v>#N/A</v>
      </c>
      <c r="R613" s="3" t="e">
        <f>I613*(VLOOKUP(B613,Price_data!A$1:B$190,2,FALSE))</f>
        <v>#N/A</v>
      </c>
      <c r="S613" s="4" t="str">
        <f>(VLOOKUP(B613,Price_data!A$1:C$190,3,FALSE))</f>
        <v>Open access</v>
      </c>
      <c r="T613" s="2" t="str">
        <f>IF(C613="Total", (VLOOKUP(B613,Recommended_fish_intake!A$4:D$122,4,FALSE)), "NA")</f>
        <v>NA</v>
      </c>
      <c r="U613" s="2" t="str">
        <f t="shared" si="69"/>
        <v>NA</v>
      </c>
    </row>
    <row r="614" spans="1:21" ht="14.25" customHeight="1">
      <c r="A614" s="2" t="s">
        <v>15</v>
      </c>
      <c r="B614" s="2">
        <v>1952</v>
      </c>
      <c r="C614" s="2" t="s">
        <v>19</v>
      </c>
      <c r="D614" s="3">
        <f t="shared" si="63"/>
        <v>209.27885592359274</v>
      </c>
      <c r="E614" s="3" t="e">
        <f t="shared" si="64"/>
        <v>#N/A</v>
      </c>
      <c r="F614" s="3" t="e">
        <f t="shared" si="65"/>
        <v>#N/A</v>
      </c>
      <c r="G614" s="3" t="e">
        <f t="shared" si="66"/>
        <v>#N/A</v>
      </c>
      <c r="H614" s="3" t="e">
        <f t="shared" si="67"/>
        <v>#N/A</v>
      </c>
      <c r="I614" s="3" t="e">
        <f t="shared" si="68"/>
        <v>#N/A</v>
      </c>
      <c r="J614" s="3">
        <v>209278.85592359275</v>
      </c>
      <c r="K614" s="3" t="e">
        <v>#N/A</v>
      </c>
      <c r="L614" s="3" t="e">
        <v>#N/A</v>
      </c>
      <c r="M614" s="3" t="e">
        <v>#N/A</v>
      </c>
      <c r="N614" s="3" t="e">
        <v>#N/A</v>
      </c>
      <c r="O614" s="3" t="e">
        <v>#N/A</v>
      </c>
      <c r="P614" s="3" t="e">
        <f>E614*(VLOOKUP(B614,Price_data!A$1:B$190,2,FALSE))</f>
        <v>#N/A</v>
      </c>
      <c r="Q614" s="3" t="e">
        <f>G614*(VLOOKUP(B614,Price_data!A$1:B$190,2,FALSE))</f>
        <v>#N/A</v>
      </c>
      <c r="R614" s="3" t="e">
        <f>I614*(VLOOKUP(B614,Price_data!A$1:B$190,2,FALSE))</f>
        <v>#N/A</v>
      </c>
      <c r="S614" s="4" t="str">
        <f>(VLOOKUP(B614,Price_data!A$1:C$190,3,FALSE))</f>
        <v>Open access</v>
      </c>
      <c r="T614" s="2" t="str">
        <f>IF(C614="Total", (VLOOKUP(B614,Recommended_fish_intake!A$4:D$122,4,FALSE)), "NA")</f>
        <v>NA</v>
      </c>
      <c r="U614" s="2" t="str">
        <f t="shared" si="69"/>
        <v>NA</v>
      </c>
    </row>
    <row r="615" spans="1:21" ht="14.25" customHeight="1">
      <c r="A615" s="2" t="s">
        <v>15</v>
      </c>
      <c r="B615" s="2">
        <v>1952</v>
      </c>
      <c r="C615" s="2" t="s">
        <v>28</v>
      </c>
      <c r="D615" s="3" t="e">
        <f t="shared" si="63"/>
        <v>#VALUE!</v>
      </c>
      <c r="E615" s="3" t="e">
        <f t="shared" si="64"/>
        <v>#VALUE!</v>
      </c>
      <c r="F615" s="3" t="e">
        <f t="shared" si="65"/>
        <v>#N/A</v>
      </c>
      <c r="G615" s="3" t="e">
        <f t="shared" si="66"/>
        <v>#N/A</v>
      </c>
      <c r="H615" s="3" t="e">
        <f t="shared" si="67"/>
        <v>#N/A</v>
      </c>
      <c r="I615" s="3" t="e">
        <f t="shared" si="68"/>
        <v>#N/A</v>
      </c>
      <c r="J615" s="3" t="e">
        <v>#VALUE!</v>
      </c>
      <c r="K615" s="3" t="e">
        <v>#VALUE!</v>
      </c>
      <c r="L615" s="3" t="e">
        <v>#N/A</v>
      </c>
      <c r="M615" s="3" t="e">
        <v>#N/A</v>
      </c>
      <c r="N615" s="3" t="e">
        <v>#N/A</v>
      </c>
      <c r="O615" s="3" t="e">
        <v>#N/A</v>
      </c>
      <c r="P615" s="3" t="e">
        <f>E615*(VLOOKUP(B615,Price_data!A$1:B$190,2,FALSE))</f>
        <v>#VALUE!</v>
      </c>
      <c r="Q615" s="3" t="e">
        <f>G615*(VLOOKUP(B615,Price_data!A$1:B$190,2,FALSE))</f>
        <v>#N/A</v>
      </c>
      <c r="R615" s="3" t="e">
        <f>I615*(VLOOKUP(B615,Price_data!A$1:B$190,2,FALSE))</f>
        <v>#N/A</v>
      </c>
      <c r="S615" s="4" t="str">
        <f>(VLOOKUP(B615,Price_data!A$1:C$190,3,FALSE))</f>
        <v>Open access</v>
      </c>
      <c r="T615" s="2" t="str">
        <f>IF(C615="Total", (VLOOKUP(B615,Recommended_fish_intake!A$4:D$122,4,FALSE)), "NA")</f>
        <v>NA</v>
      </c>
      <c r="U615" s="2" t="e">
        <f t="shared" si="69"/>
        <v>#VALUE!</v>
      </c>
    </row>
    <row r="616" spans="1:21" ht="14.25" customHeight="1">
      <c r="A616" s="2" t="s">
        <v>15</v>
      </c>
      <c r="B616" s="2">
        <v>1952</v>
      </c>
      <c r="C616" s="2" t="s">
        <v>29</v>
      </c>
      <c r="D616" s="3" t="e">
        <f t="shared" si="63"/>
        <v>#VALUE!</v>
      </c>
      <c r="E616" s="3" t="e">
        <f t="shared" si="64"/>
        <v>#VALUE!</v>
      </c>
      <c r="F616" s="3" t="e">
        <f t="shared" si="65"/>
        <v>#N/A</v>
      </c>
      <c r="G616" s="3" t="e">
        <f t="shared" si="66"/>
        <v>#N/A</v>
      </c>
      <c r="H616" s="3" t="e">
        <f t="shared" si="67"/>
        <v>#N/A</v>
      </c>
      <c r="I616" s="3" t="e">
        <f t="shared" si="68"/>
        <v>#N/A</v>
      </c>
      <c r="J616" s="3" t="e">
        <v>#VALUE!</v>
      </c>
      <c r="K616" s="3" t="e">
        <v>#VALUE!</v>
      </c>
      <c r="L616" s="3" t="e">
        <v>#N/A</v>
      </c>
      <c r="M616" s="3" t="e">
        <v>#N/A</v>
      </c>
      <c r="N616" s="3" t="e">
        <v>#N/A</v>
      </c>
      <c r="O616" s="3" t="e">
        <v>#N/A</v>
      </c>
      <c r="P616" s="3" t="e">
        <f>E616*(VLOOKUP(B616,Price_data!A$1:B$190,2,FALSE))</f>
        <v>#VALUE!</v>
      </c>
      <c r="Q616" s="3" t="e">
        <f>G616*(VLOOKUP(B616,Price_data!A$1:B$190,2,FALSE))</f>
        <v>#N/A</v>
      </c>
      <c r="R616" s="3" t="e">
        <f>I616*(VLOOKUP(B616,Price_data!A$1:B$190,2,FALSE))</f>
        <v>#N/A</v>
      </c>
      <c r="S616" s="4" t="str">
        <f>(VLOOKUP(B616,Price_data!A$1:C$190,3,FALSE))</f>
        <v>Open access</v>
      </c>
      <c r="T616" s="2" t="str">
        <f>IF(C616="Total", (VLOOKUP(B616,Recommended_fish_intake!A$4:D$122,4,FALSE)), "NA")</f>
        <v>NA</v>
      </c>
      <c r="U616" s="2" t="str">
        <f t="shared" si="69"/>
        <v>NA</v>
      </c>
    </row>
    <row r="617" spans="1:21" ht="14.25" customHeight="1">
      <c r="A617" s="2" t="s">
        <v>15</v>
      </c>
      <c r="B617" s="2">
        <v>1952</v>
      </c>
      <c r="C617" s="2" t="s">
        <v>20</v>
      </c>
      <c r="D617" s="3">
        <f t="shared" si="63"/>
        <v>6.630156472261735</v>
      </c>
      <c r="E617" s="3" t="e">
        <f t="shared" si="64"/>
        <v>#N/A</v>
      </c>
      <c r="F617" s="3" t="e">
        <f t="shared" si="65"/>
        <v>#N/A</v>
      </c>
      <c r="G617" s="3" t="e">
        <f t="shared" si="66"/>
        <v>#N/A</v>
      </c>
      <c r="H617" s="3" t="e">
        <f t="shared" si="67"/>
        <v>#N/A</v>
      </c>
      <c r="I617" s="3" t="e">
        <f t="shared" si="68"/>
        <v>#N/A</v>
      </c>
      <c r="J617" s="3">
        <v>6630.156472261735</v>
      </c>
      <c r="K617" s="3" t="e">
        <v>#N/A</v>
      </c>
      <c r="L617" s="3" t="e">
        <v>#N/A</v>
      </c>
      <c r="M617" s="3" t="e">
        <v>#N/A</v>
      </c>
      <c r="N617" s="3" t="e">
        <v>#N/A</v>
      </c>
      <c r="O617" s="3" t="e">
        <v>#N/A</v>
      </c>
      <c r="P617" s="3" t="e">
        <f>E617*(VLOOKUP(B617,Price_data!A$1:B$190,2,FALSE))</f>
        <v>#N/A</v>
      </c>
      <c r="Q617" s="3" t="e">
        <f>G617*(VLOOKUP(B617,Price_data!A$1:B$190,2,FALSE))</f>
        <v>#N/A</v>
      </c>
      <c r="R617" s="3" t="e">
        <f>I617*(VLOOKUP(B617,Price_data!A$1:B$190,2,FALSE))</f>
        <v>#N/A</v>
      </c>
      <c r="S617" s="4" t="str">
        <f>(VLOOKUP(B617,Price_data!A$1:C$190,3,FALSE))</f>
        <v>Open access</v>
      </c>
      <c r="T617" s="2" t="str">
        <f>IF(C617="Total", (VLOOKUP(B617,Recommended_fish_intake!A$4:D$122,4,FALSE)), "NA")</f>
        <v>NA</v>
      </c>
      <c r="U617" s="2" t="str">
        <f t="shared" si="69"/>
        <v>NA</v>
      </c>
    </row>
    <row r="618" spans="1:21" ht="14.25" customHeight="1">
      <c r="A618" s="2" t="s">
        <v>15</v>
      </c>
      <c r="B618" s="2">
        <v>1952</v>
      </c>
      <c r="C618" s="2" t="s">
        <v>25</v>
      </c>
      <c r="D618" s="3">
        <f t="shared" si="63"/>
        <v>29.686699857752487</v>
      </c>
      <c r="E618" s="3" t="e">
        <f t="shared" si="64"/>
        <v>#N/A</v>
      </c>
      <c r="F618" s="3" t="e">
        <f t="shared" si="65"/>
        <v>#N/A</v>
      </c>
      <c r="G618" s="3" t="e">
        <f t="shared" si="66"/>
        <v>#N/A</v>
      </c>
      <c r="H618" s="3" t="e">
        <f t="shared" si="67"/>
        <v>#N/A</v>
      </c>
      <c r="I618" s="3" t="e">
        <f t="shared" si="68"/>
        <v>#N/A</v>
      </c>
      <c r="J618" s="3">
        <v>29686.699857752486</v>
      </c>
      <c r="K618" s="3" t="e">
        <v>#N/A</v>
      </c>
      <c r="L618" s="3" t="e">
        <v>#N/A</v>
      </c>
      <c r="M618" s="3" t="e">
        <v>#N/A</v>
      </c>
      <c r="N618" s="3" t="e">
        <v>#N/A</v>
      </c>
      <c r="O618" s="3" t="e">
        <v>#N/A</v>
      </c>
      <c r="P618" s="3" t="e">
        <f>E618*(VLOOKUP(B618,Price_data!A$1:B$190,2,FALSE))</f>
        <v>#N/A</v>
      </c>
      <c r="Q618" s="3" t="e">
        <f>G618*(VLOOKUP(B618,Price_data!A$1:B$190,2,FALSE))</f>
        <v>#N/A</v>
      </c>
      <c r="R618" s="3" t="e">
        <f>I618*(VLOOKUP(B618,Price_data!A$1:B$190,2,FALSE))</f>
        <v>#N/A</v>
      </c>
      <c r="S618" s="4" t="str">
        <f>(VLOOKUP(B618,Price_data!A$1:C$190,3,FALSE))</f>
        <v>Open access</v>
      </c>
      <c r="T618" s="2" t="str">
        <f>IF(C618="Total", (VLOOKUP(B618,Recommended_fish_intake!A$4:D$122,4,FALSE)), "NA")</f>
        <v>NA</v>
      </c>
      <c r="U618" s="2" t="str">
        <f t="shared" si="69"/>
        <v>NA</v>
      </c>
    </row>
    <row r="619" spans="1:21" ht="14.25" customHeight="1">
      <c r="A619" s="2" t="s">
        <v>15</v>
      </c>
      <c r="B619" s="2">
        <v>1952</v>
      </c>
      <c r="C619" s="2" t="s">
        <v>24</v>
      </c>
      <c r="D619" s="3">
        <f t="shared" si="63"/>
        <v>53.676793334688064</v>
      </c>
      <c r="E619" s="3" t="e">
        <f t="shared" si="64"/>
        <v>#N/A</v>
      </c>
      <c r="F619" s="3" t="e">
        <f t="shared" si="65"/>
        <v>#N/A</v>
      </c>
      <c r="G619" s="3" t="e">
        <f t="shared" si="66"/>
        <v>#N/A</v>
      </c>
      <c r="H619" s="3" t="e">
        <f t="shared" si="67"/>
        <v>#N/A</v>
      </c>
      <c r="I619" s="3" t="e">
        <f t="shared" si="68"/>
        <v>#N/A</v>
      </c>
      <c r="J619" s="3">
        <v>53676.793334688067</v>
      </c>
      <c r="K619" s="3" t="e">
        <v>#N/A</v>
      </c>
      <c r="L619" s="3" t="e">
        <v>#N/A</v>
      </c>
      <c r="M619" s="3" t="e">
        <v>#N/A</v>
      </c>
      <c r="N619" s="3" t="e">
        <v>#N/A</v>
      </c>
      <c r="O619" s="3" t="e">
        <v>#N/A</v>
      </c>
      <c r="P619" s="3" t="e">
        <f>E619*(VLOOKUP(B619,Price_data!A$1:B$190,2,FALSE))</f>
        <v>#N/A</v>
      </c>
      <c r="Q619" s="3" t="e">
        <f>G619*(VLOOKUP(B619,Price_data!A$1:B$190,2,FALSE))</f>
        <v>#N/A</v>
      </c>
      <c r="R619" s="3" t="e">
        <f>I619*(VLOOKUP(B619,Price_data!A$1:B$190,2,FALSE))</f>
        <v>#N/A</v>
      </c>
      <c r="S619" s="4" t="str">
        <f>(VLOOKUP(B619,Price_data!A$1:C$190,3,FALSE))</f>
        <v>Open access</v>
      </c>
      <c r="T619" s="2" t="str">
        <f>IF(C619="Total", (VLOOKUP(B619,Recommended_fish_intake!A$4:D$122,4,FALSE)), "NA")</f>
        <v>NA</v>
      </c>
      <c r="U619" s="2" t="str">
        <f t="shared" si="69"/>
        <v>NA</v>
      </c>
    </row>
    <row r="620" spans="1:21" ht="14.25" customHeight="1">
      <c r="A620" s="2" t="s">
        <v>15</v>
      </c>
      <c r="B620" s="2">
        <v>1952</v>
      </c>
      <c r="C620" s="2" t="s">
        <v>30</v>
      </c>
      <c r="D620" s="3" t="e">
        <f t="shared" si="63"/>
        <v>#N/A</v>
      </c>
      <c r="E620" s="3" t="e">
        <f t="shared" si="64"/>
        <v>#N/A</v>
      </c>
      <c r="F620" s="3" t="e">
        <f t="shared" si="65"/>
        <v>#N/A</v>
      </c>
      <c r="G620" s="3" t="e">
        <f t="shared" si="66"/>
        <v>#N/A</v>
      </c>
      <c r="H620" s="3" t="e">
        <f t="shared" si="67"/>
        <v>#N/A</v>
      </c>
      <c r="I620" s="3" t="e">
        <f t="shared" si="68"/>
        <v>#N/A</v>
      </c>
      <c r="J620" s="3" t="e">
        <v>#N/A</v>
      </c>
      <c r="K620" s="3" t="e">
        <v>#N/A</v>
      </c>
      <c r="L620" s="3" t="e">
        <v>#N/A</v>
      </c>
      <c r="M620" s="3" t="e">
        <v>#N/A</v>
      </c>
      <c r="N620" s="3" t="e">
        <v>#N/A</v>
      </c>
      <c r="O620" s="3" t="e">
        <v>#N/A</v>
      </c>
      <c r="P620" s="3" t="e">
        <f>E620*(VLOOKUP(B620,Price_data!A$1:B$190,2,FALSE))</f>
        <v>#N/A</v>
      </c>
      <c r="Q620" s="3" t="e">
        <f>G620*(VLOOKUP(B620,Price_data!A$1:B$190,2,FALSE))</f>
        <v>#N/A</v>
      </c>
      <c r="R620" s="3" t="e">
        <f>I620*(VLOOKUP(B620,Price_data!A$1:B$190,2,FALSE))</f>
        <v>#N/A</v>
      </c>
      <c r="S620" s="4" t="str">
        <f>(VLOOKUP(B620,Price_data!A$1:C$190,3,FALSE))</f>
        <v>Open access</v>
      </c>
      <c r="T620" s="2" t="str">
        <f>IF(C620="Total", (VLOOKUP(B620,Recommended_fish_intake!A$4:D$122,4,FALSE)), "NA")</f>
        <v>NA</v>
      </c>
      <c r="U620" s="2" t="str">
        <f t="shared" si="69"/>
        <v>NA</v>
      </c>
    </row>
    <row r="621" spans="1:21" ht="14.25" customHeight="1">
      <c r="A621" s="2" t="s">
        <v>15</v>
      </c>
      <c r="B621" s="2">
        <v>1953</v>
      </c>
      <c r="C621" s="2" t="s">
        <v>16</v>
      </c>
      <c r="D621" s="3">
        <f t="shared" si="63"/>
        <v>996.07605161552522</v>
      </c>
      <c r="E621" s="3">
        <f t="shared" si="64"/>
        <v>42.230043999999999</v>
      </c>
      <c r="F621" s="3">
        <f t="shared" si="65"/>
        <v>58.68522657996342</v>
      </c>
      <c r="G621" s="3">
        <f t="shared" si="66"/>
        <v>5.2541589999999996</v>
      </c>
      <c r="H621" s="3">
        <f t="shared" si="67"/>
        <v>113.79983743141636</v>
      </c>
      <c r="I621" s="3">
        <f t="shared" si="68"/>
        <v>13.749824</v>
      </c>
      <c r="J621" s="3">
        <v>996076.05161552527</v>
      </c>
      <c r="K621" s="3">
        <v>42230.044000000002</v>
      </c>
      <c r="L621" s="3">
        <v>58685.226579963419</v>
      </c>
      <c r="M621" s="3">
        <v>5254.1589999999997</v>
      </c>
      <c r="N621" s="3">
        <v>113799.83743141637</v>
      </c>
      <c r="O621" s="3">
        <v>13749.824000000001</v>
      </c>
      <c r="P621" s="3">
        <f>E621*(VLOOKUP(B621,Price_data!A$1:B$190,2,FALSE))</f>
        <v>700.49737179039005</v>
      </c>
      <c r="Q621" s="3">
        <f>G621*(VLOOKUP(B621,Price_data!A$1:B$190,2,FALSE))</f>
        <v>87.154173234316872</v>
      </c>
      <c r="R621" s="3">
        <f>I621*(VLOOKUP(B621,Price_data!A$1:B$190,2,FALSE))</f>
        <v>228.07732747283967</v>
      </c>
      <c r="S621" s="4" t="str">
        <f>(VLOOKUP(B621,Price_data!A$1:C$190,3,FALSE))</f>
        <v>Open access</v>
      </c>
      <c r="T621" s="2">
        <f>IF(C621="Total", (VLOOKUP(B621,Recommended_fish_intake!A$4:D$122,4,FALSE)), "NA")</f>
        <v>654.52563321599996</v>
      </c>
      <c r="U621" s="2" t="str">
        <f t="shared" si="69"/>
        <v>NA</v>
      </c>
    </row>
    <row r="622" spans="1:21" ht="14.25" customHeight="1">
      <c r="A622" s="2" t="s">
        <v>15</v>
      </c>
      <c r="B622" s="2">
        <v>1953</v>
      </c>
      <c r="C622" s="2" t="s">
        <v>22</v>
      </c>
      <c r="D622" s="3">
        <f t="shared" si="63"/>
        <v>361.91363543995118</v>
      </c>
      <c r="E622" s="3" t="e">
        <f t="shared" si="64"/>
        <v>#N/A</v>
      </c>
      <c r="F622" s="3" t="e">
        <f t="shared" si="65"/>
        <v>#N/A</v>
      </c>
      <c r="G622" s="3" t="e">
        <f t="shared" si="66"/>
        <v>#N/A</v>
      </c>
      <c r="H622" s="3" t="e">
        <f t="shared" si="67"/>
        <v>#N/A</v>
      </c>
      <c r="I622" s="3" t="e">
        <f t="shared" si="68"/>
        <v>#N/A</v>
      </c>
      <c r="J622" s="3">
        <v>361913.63543995121</v>
      </c>
      <c r="K622" s="3" t="e">
        <v>#N/A</v>
      </c>
      <c r="L622" s="3" t="e">
        <v>#N/A</v>
      </c>
      <c r="M622" s="3" t="e">
        <v>#N/A</v>
      </c>
      <c r="N622" s="3" t="e">
        <v>#N/A</v>
      </c>
      <c r="O622" s="3" t="e">
        <v>#N/A</v>
      </c>
      <c r="P622" s="3" t="e">
        <f>E622*(VLOOKUP(B622,Price_data!A$1:B$190,2,FALSE))</f>
        <v>#N/A</v>
      </c>
      <c r="Q622" s="3" t="e">
        <f>G622*(VLOOKUP(B622,Price_data!A$1:B$190,2,FALSE))</f>
        <v>#N/A</v>
      </c>
      <c r="R622" s="3" t="e">
        <f>I622*(VLOOKUP(B622,Price_data!A$1:B$190,2,FALSE))</f>
        <v>#N/A</v>
      </c>
      <c r="S622" s="4" t="str">
        <f>(VLOOKUP(B622,Price_data!A$1:C$190,3,FALSE))</f>
        <v>Open access</v>
      </c>
      <c r="T622" s="2" t="str">
        <f>IF(C622="Total", (VLOOKUP(B622,Recommended_fish_intake!A$4:D$122,4,FALSE)), "NA")</f>
        <v>NA</v>
      </c>
      <c r="U622" s="2" t="str">
        <f t="shared" si="69"/>
        <v>NA</v>
      </c>
    </row>
    <row r="623" spans="1:21" ht="14.25" customHeight="1">
      <c r="A623" s="2" t="s">
        <v>15</v>
      </c>
      <c r="B623" s="2">
        <v>1953</v>
      </c>
      <c r="C623" s="2" t="s">
        <v>23</v>
      </c>
      <c r="D623" s="3">
        <f t="shared" si="63"/>
        <v>118.41134931924405</v>
      </c>
      <c r="E623" s="3" t="e">
        <f t="shared" si="64"/>
        <v>#N/A</v>
      </c>
      <c r="F623" s="3" t="e">
        <f t="shared" si="65"/>
        <v>#N/A</v>
      </c>
      <c r="G623" s="3" t="e">
        <f t="shared" si="66"/>
        <v>#N/A</v>
      </c>
      <c r="H623" s="3" t="e">
        <f t="shared" si="67"/>
        <v>#N/A</v>
      </c>
      <c r="I623" s="3" t="e">
        <f t="shared" si="68"/>
        <v>#N/A</v>
      </c>
      <c r="J623" s="3">
        <v>118411.34931924405</v>
      </c>
      <c r="K623" s="3" t="e">
        <v>#N/A</v>
      </c>
      <c r="L623" s="3" t="e">
        <v>#N/A</v>
      </c>
      <c r="M623" s="3" t="e">
        <v>#N/A</v>
      </c>
      <c r="N623" s="3" t="e">
        <v>#N/A</v>
      </c>
      <c r="O623" s="3" t="e">
        <v>#N/A</v>
      </c>
      <c r="P623" s="3" t="e">
        <f>E623*(VLOOKUP(B623,Price_data!A$1:B$190,2,FALSE))</f>
        <v>#N/A</v>
      </c>
      <c r="Q623" s="3" t="e">
        <f>G623*(VLOOKUP(B623,Price_data!A$1:B$190,2,FALSE))</f>
        <v>#N/A</v>
      </c>
      <c r="R623" s="3" t="e">
        <f>I623*(VLOOKUP(B623,Price_data!A$1:B$190,2,FALSE))</f>
        <v>#N/A</v>
      </c>
      <c r="S623" s="4" t="str">
        <f>(VLOOKUP(B623,Price_data!A$1:C$190,3,FALSE))</f>
        <v>Open access</v>
      </c>
      <c r="T623" s="2" t="str">
        <f>IF(C623="Total", (VLOOKUP(B623,Recommended_fish_intake!A$4:D$122,4,FALSE)), "NA")</f>
        <v>NA</v>
      </c>
      <c r="U623" s="2" t="str">
        <f t="shared" si="69"/>
        <v>NA</v>
      </c>
    </row>
    <row r="624" spans="1:21" ht="14.25" customHeight="1">
      <c r="A624" s="2" t="s">
        <v>15</v>
      </c>
      <c r="B624" s="2">
        <v>1953</v>
      </c>
      <c r="C624" s="2" t="s">
        <v>19</v>
      </c>
      <c r="D624" s="3">
        <f t="shared" si="63"/>
        <v>225.67399918715708</v>
      </c>
      <c r="E624" s="3" t="e">
        <f t="shared" si="64"/>
        <v>#N/A</v>
      </c>
      <c r="F624" s="3" t="e">
        <f t="shared" si="65"/>
        <v>#N/A</v>
      </c>
      <c r="G624" s="3" t="e">
        <f t="shared" si="66"/>
        <v>#N/A</v>
      </c>
      <c r="H624" s="3" t="e">
        <f t="shared" si="67"/>
        <v>#N/A</v>
      </c>
      <c r="I624" s="3" t="e">
        <f t="shared" si="68"/>
        <v>#N/A</v>
      </c>
      <c r="J624" s="3">
        <v>225673.99918715708</v>
      </c>
      <c r="K624" s="3" t="e">
        <v>#N/A</v>
      </c>
      <c r="L624" s="3" t="e">
        <v>#N/A</v>
      </c>
      <c r="M624" s="3" t="e">
        <v>#N/A</v>
      </c>
      <c r="N624" s="3" t="e">
        <v>#N/A</v>
      </c>
      <c r="O624" s="3" t="e">
        <v>#N/A</v>
      </c>
      <c r="P624" s="3" t="e">
        <f>E624*(VLOOKUP(B624,Price_data!A$1:B$190,2,FALSE))</f>
        <v>#N/A</v>
      </c>
      <c r="Q624" s="3" t="e">
        <f>G624*(VLOOKUP(B624,Price_data!A$1:B$190,2,FALSE))</f>
        <v>#N/A</v>
      </c>
      <c r="R624" s="3" t="e">
        <f>I624*(VLOOKUP(B624,Price_data!A$1:B$190,2,FALSE))</f>
        <v>#N/A</v>
      </c>
      <c r="S624" s="4" t="str">
        <f>(VLOOKUP(B624,Price_data!A$1:C$190,3,FALSE))</f>
        <v>Open access</v>
      </c>
      <c r="T624" s="2" t="str">
        <f>IF(C624="Total", (VLOOKUP(B624,Recommended_fish_intake!A$4:D$122,4,FALSE)), "NA")</f>
        <v>NA</v>
      </c>
      <c r="U624" s="2" t="str">
        <f t="shared" si="69"/>
        <v>NA</v>
      </c>
    </row>
    <row r="625" spans="1:21" ht="14.25" customHeight="1">
      <c r="A625" s="2" t="s">
        <v>15</v>
      </c>
      <c r="B625" s="2">
        <v>1953</v>
      </c>
      <c r="C625" s="2" t="s">
        <v>28</v>
      </c>
      <c r="D625" s="3" t="e">
        <f t="shared" si="63"/>
        <v>#VALUE!</v>
      </c>
      <c r="E625" s="3" t="e">
        <f t="shared" si="64"/>
        <v>#VALUE!</v>
      </c>
      <c r="F625" s="3" t="e">
        <f t="shared" si="65"/>
        <v>#N/A</v>
      </c>
      <c r="G625" s="3" t="e">
        <f t="shared" si="66"/>
        <v>#N/A</v>
      </c>
      <c r="H625" s="3" t="e">
        <f t="shared" si="67"/>
        <v>#N/A</v>
      </c>
      <c r="I625" s="3" t="e">
        <f t="shared" si="68"/>
        <v>#N/A</v>
      </c>
      <c r="J625" s="3" t="e">
        <v>#VALUE!</v>
      </c>
      <c r="K625" s="3" t="e">
        <v>#VALUE!</v>
      </c>
      <c r="L625" s="3" t="e">
        <v>#N/A</v>
      </c>
      <c r="M625" s="3" t="e">
        <v>#N/A</v>
      </c>
      <c r="N625" s="3" t="e">
        <v>#N/A</v>
      </c>
      <c r="O625" s="3" t="e">
        <v>#N/A</v>
      </c>
      <c r="P625" s="3" t="e">
        <f>E625*(VLOOKUP(B625,Price_data!A$1:B$190,2,FALSE))</f>
        <v>#VALUE!</v>
      </c>
      <c r="Q625" s="3" t="e">
        <f>G625*(VLOOKUP(B625,Price_data!A$1:B$190,2,FALSE))</f>
        <v>#N/A</v>
      </c>
      <c r="R625" s="3" t="e">
        <f>I625*(VLOOKUP(B625,Price_data!A$1:B$190,2,FALSE))</f>
        <v>#N/A</v>
      </c>
      <c r="S625" s="4" t="str">
        <f>(VLOOKUP(B625,Price_data!A$1:C$190,3,FALSE))</f>
        <v>Open access</v>
      </c>
      <c r="T625" s="2" t="str">
        <f>IF(C625="Total", (VLOOKUP(B625,Recommended_fish_intake!A$4:D$122,4,FALSE)), "NA")</f>
        <v>NA</v>
      </c>
      <c r="U625" s="2" t="e">
        <f t="shared" si="69"/>
        <v>#VALUE!</v>
      </c>
    </row>
    <row r="626" spans="1:21" ht="14.25" customHeight="1">
      <c r="A626" s="2" t="s">
        <v>15</v>
      </c>
      <c r="B626" s="2">
        <v>1953</v>
      </c>
      <c r="C626" s="2" t="s">
        <v>29</v>
      </c>
      <c r="D626" s="3" t="e">
        <f t="shared" si="63"/>
        <v>#VALUE!</v>
      </c>
      <c r="E626" s="3" t="e">
        <f t="shared" si="64"/>
        <v>#VALUE!</v>
      </c>
      <c r="F626" s="3" t="e">
        <f t="shared" si="65"/>
        <v>#N/A</v>
      </c>
      <c r="G626" s="3" t="e">
        <f t="shared" si="66"/>
        <v>#N/A</v>
      </c>
      <c r="H626" s="3" t="e">
        <f t="shared" si="67"/>
        <v>#N/A</v>
      </c>
      <c r="I626" s="3" t="e">
        <f t="shared" si="68"/>
        <v>#N/A</v>
      </c>
      <c r="J626" s="3" t="e">
        <v>#VALUE!</v>
      </c>
      <c r="K626" s="3" t="e">
        <v>#VALUE!</v>
      </c>
      <c r="L626" s="3" t="e">
        <v>#N/A</v>
      </c>
      <c r="M626" s="3" t="e">
        <v>#N/A</v>
      </c>
      <c r="N626" s="3" t="e">
        <v>#N/A</v>
      </c>
      <c r="O626" s="3" t="e">
        <v>#N/A</v>
      </c>
      <c r="P626" s="3" t="e">
        <f>E626*(VLOOKUP(B626,Price_data!A$1:B$190,2,FALSE))</f>
        <v>#VALUE!</v>
      </c>
      <c r="Q626" s="3" t="e">
        <f>G626*(VLOOKUP(B626,Price_data!A$1:B$190,2,FALSE))</f>
        <v>#N/A</v>
      </c>
      <c r="R626" s="3" t="e">
        <f>I626*(VLOOKUP(B626,Price_data!A$1:B$190,2,FALSE))</f>
        <v>#N/A</v>
      </c>
      <c r="S626" s="4" t="str">
        <f>(VLOOKUP(B626,Price_data!A$1:C$190,3,FALSE))</f>
        <v>Open access</v>
      </c>
      <c r="T626" s="2" t="str">
        <f>IF(C626="Total", (VLOOKUP(B626,Recommended_fish_intake!A$4:D$122,4,FALSE)), "NA")</f>
        <v>NA</v>
      </c>
      <c r="U626" s="2" t="str">
        <f t="shared" si="69"/>
        <v>NA</v>
      </c>
    </row>
    <row r="627" spans="1:21" ht="14.25" customHeight="1">
      <c r="A627" s="2" t="s">
        <v>15</v>
      </c>
      <c r="B627" s="2">
        <v>1953</v>
      </c>
      <c r="C627" s="2" t="s">
        <v>20</v>
      </c>
      <c r="D627" s="3">
        <f t="shared" si="63"/>
        <v>4.507772810404389</v>
      </c>
      <c r="E627" s="3" t="e">
        <f t="shared" si="64"/>
        <v>#N/A</v>
      </c>
      <c r="F627" s="3" t="e">
        <f t="shared" si="65"/>
        <v>#N/A</v>
      </c>
      <c r="G627" s="3" t="e">
        <f t="shared" si="66"/>
        <v>#N/A</v>
      </c>
      <c r="H627" s="3" t="e">
        <f t="shared" si="67"/>
        <v>#N/A</v>
      </c>
      <c r="I627" s="3" t="e">
        <f t="shared" si="68"/>
        <v>#N/A</v>
      </c>
      <c r="J627" s="3">
        <v>4507.772810404389</v>
      </c>
      <c r="K627" s="3" t="e">
        <v>#N/A</v>
      </c>
      <c r="L627" s="3" t="e">
        <v>#N/A</v>
      </c>
      <c r="M627" s="3" t="e">
        <v>#N/A</v>
      </c>
      <c r="N627" s="3" t="e">
        <v>#N/A</v>
      </c>
      <c r="O627" s="3" t="e">
        <v>#N/A</v>
      </c>
      <c r="P627" s="3" t="e">
        <f>E627*(VLOOKUP(B627,Price_data!A$1:B$190,2,FALSE))</f>
        <v>#N/A</v>
      </c>
      <c r="Q627" s="3" t="e">
        <f>G627*(VLOOKUP(B627,Price_data!A$1:B$190,2,FALSE))</f>
        <v>#N/A</v>
      </c>
      <c r="R627" s="3" t="e">
        <f>I627*(VLOOKUP(B627,Price_data!A$1:B$190,2,FALSE))</f>
        <v>#N/A</v>
      </c>
      <c r="S627" s="4" t="str">
        <f>(VLOOKUP(B627,Price_data!A$1:C$190,3,FALSE))</f>
        <v>Open access</v>
      </c>
      <c r="T627" s="2" t="str">
        <f>IF(C627="Total", (VLOOKUP(B627,Recommended_fish_intake!A$4:D$122,4,FALSE)), "NA")</f>
        <v>NA</v>
      </c>
      <c r="U627" s="2" t="str">
        <f t="shared" si="69"/>
        <v>NA</v>
      </c>
    </row>
    <row r="628" spans="1:21" ht="14.25" customHeight="1">
      <c r="A628" s="2" t="s">
        <v>15</v>
      </c>
      <c r="B628" s="2">
        <v>1953</v>
      </c>
      <c r="C628" s="2" t="s">
        <v>25</v>
      </c>
      <c r="D628" s="3">
        <f t="shared" si="63"/>
        <v>33.016815687868316</v>
      </c>
      <c r="E628" s="3" t="e">
        <f t="shared" si="64"/>
        <v>#N/A</v>
      </c>
      <c r="F628" s="3" t="e">
        <f t="shared" si="65"/>
        <v>#N/A</v>
      </c>
      <c r="G628" s="3" t="e">
        <f t="shared" si="66"/>
        <v>#N/A</v>
      </c>
      <c r="H628" s="3" t="e">
        <f t="shared" si="67"/>
        <v>#N/A</v>
      </c>
      <c r="I628" s="3" t="e">
        <f t="shared" si="68"/>
        <v>#N/A</v>
      </c>
      <c r="J628" s="3">
        <v>33016.815687868315</v>
      </c>
      <c r="K628" s="3" t="e">
        <v>#N/A</v>
      </c>
      <c r="L628" s="3" t="e">
        <v>#N/A</v>
      </c>
      <c r="M628" s="3" t="e">
        <v>#N/A</v>
      </c>
      <c r="N628" s="3" t="e">
        <v>#N/A</v>
      </c>
      <c r="O628" s="3" t="e">
        <v>#N/A</v>
      </c>
      <c r="P628" s="3" t="e">
        <f>E628*(VLOOKUP(B628,Price_data!A$1:B$190,2,FALSE))</f>
        <v>#N/A</v>
      </c>
      <c r="Q628" s="3" t="e">
        <f>G628*(VLOOKUP(B628,Price_data!A$1:B$190,2,FALSE))</f>
        <v>#N/A</v>
      </c>
      <c r="R628" s="3" t="e">
        <f>I628*(VLOOKUP(B628,Price_data!A$1:B$190,2,FALSE))</f>
        <v>#N/A</v>
      </c>
      <c r="S628" s="4" t="str">
        <f>(VLOOKUP(B628,Price_data!A$1:C$190,3,FALSE))</f>
        <v>Open access</v>
      </c>
      <c r="T628" s="2" t="str">
        <f>IF(C628="Total", (VLOOKUP(B628,Recommended_fish_intake!A$4:D$122,4,FALSE)), "NA")</f>
        <v>NA</v>
      </c>
      <c r="U628" s="2" t="str">
        <f t="shared" si="69"/>
        <v>NA</v>
      </c>
    </row>
    <row r="629" spans="1:21" ht="14.25" customHeight="1">
      <c r="A629" s="2" t="s">
        <v>15</v>
      </c>
      <c r="B629" s="2">
        <v>1953</v>
      </c>
      <c r="C629" s="2" t="s">
        <v>24</v>
      </c>
      <c r="D629" s="3">
        <f t="shared" si="63"/>
        <v>47.663025807762651</v>
      </c>
      <c r="E629" s="3" t="e">
        <f t="shared" si="64"/>
        <v>#N/A</v>
      </c>
      <c r="F629" s="3" t="e">
        <f t="shared" si="65"/>
        <v>#N/A</v>
      </c>
      <c r="G629" s="3" t="e">
        <f t="shared" si="66"/>
        <v>#N/A</v>
      </c>
      <c r="H629" s="3" t="e">
        <f t="shared" si="67"/>
        <v>#N/A</v>
      </c>
      <c r="I629" s="3" t="e">
        <f t="shared" si="68"/>
        <v>#N/A</v>
      </c>
      <c r="J629" s="3">
        <v>47663.025807762649</v>
      </c>
      <c r="K629" s="3" t="e">
        <v>#N/A</v>
      </c>
      <c r="L629" s="3" t="e">
        <v>#N/A</v>
      </c>
      <c r="M629" s="3" t="e">
        <v>#N/A</v>
      </c>
      <c r="N629" s="3" t="e">
        <v>#N/A</v>
      </c>
      <c r="O629" s="3" t="e">
        <v>#N/A</v>
      </c>
      <c r="P629" s="3" t="e">
        <f>E629*(VLOOKUP(B629,Price_data!A$1:B$190,2,FALSE))</f>
        <v>#N/A</v>
      </c>
      <c r="Q629" s="3" t="e">
        <f>G629*(VLOOKUP(B629,Price_data!A$1:B$190,2,FALSE))</f>
        <v>#N/A</v>
      </c>
      <c r="R629" s="3" t="e">
        <f>I629*(VLOOKUP(B629,Price_data!A$1:B$190,2,FALSE))</f>
        <v>#N/A</v>
      </c>
      <c r="S629" s="4" t="str">
        <f>(VLOOKUP(B629,Price_data!A$1:C$190,3,FALSE))</f>
        <v>Open access</v>
      </c>
      <c r="T629" s="2" t="str">
        <f>IF(C629="Total", (VLOOKUP(B629,Recommended_fish_intake!A$4:D$122,4,FALSE)), "NA")</f>
        <v>NA</v>
      </c>
      <c r="U629" s="2" t="str">
        <f t="shared" si="69"/>
        <v>NA</v>
      </c>
    </row>
    <row r="630" spans="1:21" ht="14.25" customHeight="1">
      <c r="A630" s="2" t="s">
        <v>15</v>
      </c>
      <c r="B630" s="2">
        <v>1953</v>
      </c>
      <c r="C630" s="2" t="s">
        <v>30</v>
      </c>
      <c r="D630" s="3" t="e">
        <f t="shared" si="63"/>
        <v>#N/A</v>
      </c>
      <c r="E630" s="3" t="e">
        <f t="shared" si="64"/>
        <v>#N/A</v>
      </c>
      <c r="F630" s="3" t="e">
        <f t="shared" si="65"/>
        <v>#N/A</v>
      </c>
      <c r="G630" s="3" t="e">
        <f t="shared" si="66"/>
        <v>#N/A</v>
      </c>
      <c r="H630" s="3" t="e">
        <f t="shared" si="67"/>
        <v>#N/A</v>
      </c>
      <c r="I630" s="3" t="e">
        <f t="shared" si="68"/>
        <v>#N/A</v>
      </c>
      <c r="J630" s="3" t="e">
        <v>#N/A</v>
      </c>
      <c r="K630" s="3" t="e">
        <v>#N/A</v>
      </c>
      <c r="L630" s="3" t="e">
        <v>#N/A</v>
      </c>
      <c r="M630" s="3" t="e">
        <v>#N/A</v>
      </c>
      <c r="N630" s="3" t="e">
        <v>#N/A</v>
      </c>
      <c r="O630" s="3" t="e">
        <v>#N/A</v>
      </c>
      <c r="P630" s="3" t="e">
        <f>E630*(VLOOKUP(B630,Price_data!A$1:B$190,2,FALSE))</f>
        <v>#N/A</v>
      </c>
      <c r="Q630" s="3" t="e">
        <f>G630*(VLOOKUP(B630,Price_data!A$1:B$190,2,FALSE))</f>
        <v>#N/A</v>
      </c>
      <c r="R630" s="3" t="e">
        <f>I630*(VLOOKUP(B630,Price_data!A$1:B$190,2,FALSE))</f>
        <v>#N/A</v>
      </c>
      <c r="S630" s="4" t="str">
        <f>(VLOOKUP(B630,Price_data!A$1:C$190,3,FALSE))</f>
        <v>Open access</v>
      </c>
      <c r="T630" s="2" t="str">
        <f>IF(C630="Total", (VLOOKUP(B630,Recommended_fish_intake!A$4:D$122,4,FALSE)), "NA")</f>
        <v>NA</v>
      </c>
      <c r="U630" s="2" t="str">
        <f t="shared" si="69"/>
        <v>NA</v>
      </c>
    </row>
    <row r="631" spans="1:21" ht="14.25" customHeight="1">
      <c r="A631" s="2" t="s">
        <v>15</v>
      </c>
      <c r="B631" s="2">
        <v>1954</v>
      </c>
      <c r="C631" s="2" t="s">
        <v>16</v>
      </c>
      <c r="D631" s="3">
        <f t="shared" si="63"/>
        <v>946.87934362934357</v>
      </c>
      <c r="E631" s="3">
        <f t="shared" si="64"/>
        <v>44.556756999999998</v>
      </c>
      <c r="F631" s="3">
        <f t="shared" si="65"/>
        <v>63.173186344238971</v>
      </c>
      <c r="G631" s="3">
        <f t="shared" si="66"/>
        <v>5.8849210000000003</v>
      </c>
      <c r="H631" s="3">
        <f t="shared" si="67"/>
        <v>127.83677098150781</v>
      </c>
      <c r="I631" s="3">
        <f t="shared" si="68"/>
        <v>22.101696</v>
      </c>
      <c r="J631" s="3">
        <v>946879.34362934355</v>
      </c>
      <c r="K631" s="3">
        <v>44556.756999999998</v>
      </c>
      <c r="L631" s="3">
        <v>63173.186344238973</v>
      </c>
      <c r="M631" s="3">
        <v>5884.9210000000003</v>
      </c>
      <c r="N631" s="3">
        <v>127836.77098150781</v>
      </c>
      <c r="O631" s="3">
        <v>22101.696</v>
      </c>
      <c r="P631" s="3">
        <f>E631*(VLOOKUP(B631,Price_data!A$1:B$190,2,FALSE))</f>
        <v>724.77552931175933</v>
      </c>
      <c r="Q631" s="3">
        <f>G631*(VLOOKUP(B631,Price_data!A$1:B$190,2,FALSE))</f>
        <v>95.726148398387437</v>
      </c>
      <c r="R631" s="3">
        <f>I631*(VLOOKUP(B631,Price_data!A$1:B$190,2,FALSE))</f>
        <v>359.5137863621357</v>
      </c>
      <c r="S631" s="4" t="str">
        <f>(VLOOKUP(B631,Price_data!A$1:C$190,3,FALSE))</f>
        <v>Open access</v>
      </c>
      <c r="T631" s="2">
        <f>IF(C631="Total", (VLOOKUP(B631,Recommended_fish_intake!A$4:D$122,4,FALSE)), "NA")</f>
        <v>656.40830837400006</v>
      </c>
      <c r="U631" s="2" t="str">
        <f t="shared" si="69"/>
        <v>NA</v>
      </c>
    </row>
    <row r="632" spans="1:21" ht="14.25" customHeight="1">
      <c r="A632" s="2" t="s">
        <v>15</v>
      </c>
      <c r="B632" s="2">
        <v>1954</v>
      </c>
      <c r="C632" s="2" t="s">
        <v>22</v>
      </c>
      <c r="D632" s="3">
        <f t="shared" si="63"/>
        <v>360.19706360495832</v>
      </c>
      <c r="E632" s="3" t="e">
        <f t="shared" si="64"/>
        <v>#N/A</v>
      </c>
      <c r="F632" s="3" t="e">
        <f t="shared" si="65"/>
        <v>#N/A</v>
      </c>
      <c r="G632" s="3" t="e">
        <f t="shared" si="66"/>
        <v>#N/A</v>
      </c>
      <c r="H632" s="3" t="e">
        <f t="shared" si="67"/>
        <v>#N/A</v>
      </c>
      <c r="I632" s="3" t="e">
        <f t="shared" si="68"/>
        <v>#N/A</v>
      </c>
      <c r="J632" s="3">
        <v>360197.0636049583</v>
      </c>
      <c r="K632" s="3" t="e">
        <v>#N/A</v>
      </c>
      <c r="L632" s="3" t="e">
        <v>#N/A</v>
      </c>
      <c r="M632" s="3" t="e">
        <v>#N/A</v>
      </c>
      <c r="N632" s="3" t="e">
        <v>#N/A</v>
      </c>
      <c r="O632" s="3" t="e">
        <v>#N/A</v>
      </c>
      <c r="P632" s="3" t="e">
        <f>E632*(VLOOKUP(B632,Price_data!A$1:B$190,2,FALSE))</f>
        <v>#N/A</v>
      </c>
      <c r="Q632" s="3" t="e">
        <f>G632*(VLOOKUP(B632,Price_data!A$1:B$190,2,FALSE))</f>
        <v>#N/A</v>
      </c>
      <c r="R632" s="3" t="e">
        <f>I632*(VLOOKUP(B632,Price_data!A$1:B$190,2,FALSE))</f>
        <v>#N/A</v>
      </c>
      <c r="S632" s="4" t="str">
        <f>(VLOOKUP(B632,Price_data!A$1:C$190,3,FALSE))</f>
        <v>Open access</v>
      </c>
      <c r="T632" s="2" t="str">
        <f>IF(C632="Total", (VLOOKUP(B632,Recommended_fish_intake!A$4:D$122,4,FALSE)), "NA")</f>
        <v>NA</v>
      </c>
      <c r="U632" s="2" t="str">
        <f t="shared" si="69"/>
        <v>NA</v>
      </c>
    </row>
    <row r="633" spans="1:21" ht="14.25" customHeight="1">
      <c r="A633" s="2" t="s">
        <v>15</v>
      </c>
      <c r="B633" s="2">
        <v>1954</v>
      </c>
      <c r="C633" s="2" t="s">
        <v>23</v>
      </c>
      <c r="D633" s="3">
        <f t="shared" si="63"/>
        <v>126.61257874415769</v>
      </c>
      <c r="E633" s="3" t="e">
        <f t="shared" si="64"/>
        <v>#N/A</v>
      </c>
      <c r="F633" s="3" t="e">
        <f t="shared" si="65"/>
        <v>#N/A</v>
      </c>
      <c r="G633" s="3" t="e">
        <f t="shared" si="66"/>
        <v>#N/A</v>
      </c>
      <c r="H633" s="3" t="e">
        <f t="shared" si="67"/>
        <v>#N/A</v>
      </c>
      <c r="I633" s="3" t="e">
        <f t="shared" si="68"/>
        <v>#N/A</v>
      </c>
      <c r="J633" s="3">
        <v>126612.57874415768</v>
      </c>
      <c r="K633" s="3" t="e">
        <v>#N/A</v>
      </c>
      <c r="L633" s="3" t="e">
        <v>#N/A</v>
      </c>
      <c r="M633" s="3" t="e">
        <v>#N/A</v>
      </c>
      <c r="N633" s="3" t="e">
        <v>#N/A</v>
      </c>
      <c r="O633" s="3" t="e">
        <v>#N/A</v>
      </c>
      <c r="P633" s="3" t="e">
        <f>E633*(VLOOKUP(B633,Price_data!A$1:B$190,2,FALSE))</f>
        <v>#N/A</v>
      </c>
      <c r="Q633" s="3" t="e">
        <f>G633*(VLOOKUP(B633,Price_data!A$1:B$190,2,FALSE))</f>
        <v>#N/A</v>
      </c>
      <c r="R633" s="3" t="e">
        <f>I633*(VLOOKUP(B633,Price_data!A$1:B$190,2,FALSE))</f>
        <v>#N/A</v>
      </c>
      <c r="S633" s="4" t="str">
        <f>(VLOOKUP(B633,Price_data!A$1:C$190,3,FALSE))</f>
        <v>Open access</v>
      </c>
      <c r="T633" s="2" t="str">
        <f>IF(C633="Total", (VLOOKUP(B633,Recommended_fish_intake!A$4:D$122,4,FALSE)), "NA")</f>
        <v>NA</v>
      </c>
      <c r="U633" s="2" t="str">
        <f t="shared" si="69"/>
        <v>NA</v>
      </c>
    </row>
    <row r="634" spans="1:21" ht="14.25" customHeight="1">
      <c r="A634" s="2" t="s">
        <v>15</v>
      </c>
      <c r="B634" s="2">
        <v>1954</v>
      </c>
      <c r="C634" s="2" t="s">
        <v>19</v>
      </c>
      <c r="D634" s="3">
        <f t="shared" si="63"/>
        <v>195.53612070717332</v>
      </c>
      <c r="E634" s="3" t="e">
        <f t="shared" si="64"/>
        <v>#N/A</v>
      </c>
      <c r="F634" s="3" t="e">
        <f t="shared" si="65"/>
        <v>#N/A</v>
      </c>
      <c r="G634" s="3" t="e">
        <f t="shared" si="66"/>
        <v>#N/A</v>
      </c>
      <c r="H634" s="3" t="e">
        <f t="shared" si="67"/>
        <v>#N/A</v>
      </c>
      <c r="I634" s="3" t="e">
        <f t="shared" si="68"/>
        <v>#N/A</v>
      </c>
      <c r="J634" s="3">
        <v>195536.12070717334</v>
      </c>
      <c r="K634" s="3" t="e">
        <v>#N/A</v>
      </c>
      <c r="L634" s="3" t="e">
        <v>#N/A</v>
      </c>
      <c r="M634" s="3" t="e">
        <v>#N/A</v>
      </c>
      <c r="N634" s="3" t="e">
        <v>#N/A</v>
      </c>
      <c r="O634" s="3" t="e">
        <v>#N/A</v>
      </c>
      <c r="P634" s="3" t="e">
        <f>E634*(VLOOKUP(B634,Price_data!A$1:B$190,2,FALSE))</f>
        <v>#N/A</v>
      </c>
      <c r="Q634" s="3" t="e">
        <f>G634*(VLOOKUP(B634,Price_data!A$1:B$190,2,FALSE))</f>
        <v>#N/A</v>
      </c>
      <c r="R634" s="3" t="e">
        <f>I634*(VLOOKUP(B634,Price_data!A$1:B$190,2,FALSE))</f>
        <v>#N/A</v>
      </c>
      <c r="S634" s="4" t="str">
        <f>(VLOOKUP(B634,Price_data!A$1:C$190,3,FALSE))</f>
        <v>Open access</v>
      </c>
      <c r="T634" s="2" t="str">
        <f>IF(C634="Total", (VLOOKUP(B634,Recommended_fish_intake!A$4:D$122,4,FALSE)), "NA")</f>
        <v>NA</v>
      </c>
      <c r="U634" s="2" t="str">
        <f t="shared" si="69"/>
        <v>NA</v>
      </c>
    </row>
    <row r="635" spans="1:21" ht="14.25" customHeight="1">
      <c r="A635" s="2" t="s">
        <v>15</v>
      </c>
      <c r="B635" s="2">
        <v>1954</v>
      </c>
      <c r="C635" s="2" t="s">
        <v>28</v>
      </c>
      <c r="D635" s="3" t="e">
        <f t="shared" si="63"/>
        <v>#VALUE!</v>
      </c>
      <c r="E635" s="3" t="e">
        <f t="shared" si="64"/>
        <v>#VALUE!</v>
      </c>
      <c r="F635" s="3" t="e">
        <f t="shared" si="65"/>
        <v>#N/A</v>
      </c>
      <c r="G635" s="3" t="e">
        <f t="shared" si="66"/>
        <v>#N/A</v>
      </c>
      <c r="H635" s="3" t="e">
        <f t="shared" si="67"/>
        <v>#N/A</v>
      </c>
      <c r="I635" s="3" t="e">
        <f t="shared" si="68"/>
        <v>#N/A</v>
      </c>
      <c r="J635" s="3" t="e">
        <v>#VALUE!</v>
      </c>
      <c r="K635" s="3" t="e">
        <v>#VALUE!</v>
      </c>
      <c r="L635" s="3" t="e">
        <v>#N/A</v>
      </c>
      <c r="M635" s="3" t="e">
        <v>#N/A</v>
      </c>
      <c r="N635" s="3" t="e">
        <v>#N/A</v>
      </c>
      <c r="O635" s="3" t="e">
        <v>#N/A</v>
      </c>
      <c r="P635" s="3" t="e">
        <f>E635*(VLOOKUP(B635,Price_data!A$1:B$190,2,FALSE))</f>
        <v>#VALUE!</v>
      </c>
      <c r="Q635" s="3" t="e">
        <f>G635*(VLOOKUP(B635,Price_data!A$1:B$190,2,FALSE))</f>
        <v>#N/A</v>
      </c>
      <c r="R635" s="3" t="e">
        <f>I635*(VLOOKUP(B635,Price_data!A$1:B$190,2,FALSE))</f>
        <v>#N/A</v>
      </c>
      <c r="S635" s="4" t="str">
        <f>(VLOOKUP(B635,Price_data!A$1:C$190,3,FALSE))</f>
        <v>Open access</v>
      </c>
      <c r="T635" s="2" t="str">
        <f>IF(C635="Total", (VLOOKUP(B635,Recommended_fish_intake!A$4:D$122,4,FALSE)), "NA")</f>
        <v>NA</v>
      </c>
      <c r="U635" s="2" t="e">
        <f t="shared" si="69"/>
        <v>#VALUE!</v>
      </c>
    </row>
    <row r="636" spans="1:21" ht="14.25" customHeight="1">
      <c r="A636" s="2" t="s">
        <v>15</v>
      </c>
      <c r="B636" s="2">
        <v>1954</v>
      </c>
      <c r="C636" s="2" t="s">
        <v>29</v>
      </c>
      <c r="D636" s="3" t="e">
        <f t="shared" si="63"/>
        <v>#VALUE!</v>
      </c>
      <c r="E636" s="3" t="e">
        <f t="shared" si="64"/>
        <v>#VALUE!</v>
      </c>
      <c r="F636" s="3" t="e">
        <f t="shared" si="65"/>
        <v>#N/A</v>
      </c>
      <c r="G636" s="3" t="e">
        <f t="shared" si="66"/>
        <v>#N/A</v>
      </c>
      <c r="H636" s="3" t="e">
        <f t="shared" si="67"/>
        <v>#N/A</v>
      </c>
      <c r="I636" s="3" t="e">
        <f t="shared" si="68"/>
        <v>#N/A</v>
      </c>
      <c r="J636" s="3" t="e">
        <v>#VALUE!</v>
      </c>
      <c r="K636" s="3" t="e">
        <v>#VALUE!</v>
      </c>
      <c r="L636" s="3" t="e">
        <v>#N/A</v>
      </c>
      <c r="M636" s="3" t="e">
        <v>#N/A</v>
      </c>
      <c r="N636" s="3" t="e">
        <v>#N/A</v>
      </c>
      <c r="O636" s="3" t="e">
        <v>#N/A</v>
      </c>
      <c r="P636" s="3" t="e">
        <f>E636*(VLOOKUP(B636,Price_data!A$1:B$190,2,FALSE))</f>
        <v>#VALUE!</v>
      </c>
      <c r="Q636" s="3" t="e">
        <f>G636*(VLOOKUP(B636,Price_data!A$1:B$190,2,FALSE))</f>
        <v>#N/A</v>
      </c>
      <c r="R636" s="3" t="e">
        <f>I636*(VLOOKUP(B636,Price_data!A$1:B$190,2,FALSE))</f>
        <v>#N/A</v>
      </c>
      <c r="S636" s="4" t="str">
        <f>(VLOOKUP(B636,Price_data!A$1:C$190,3,FALSE))</f>
        <v>Open access</v>
      </c>
      <c r="T636" s="2" t="str">
        <f>IF(C636="Total", (VLOOKUP(B636,Recommended_fish_intake!A$4:D$122,4,FALSE)), "NA")</f>
        <v>NA</v>
      </c>
      <c r="U636" s="2" t="str">
        <f t="shared" si="69"/>
        <v>NA</v>
      </c>
    </row>
    <row r="637" spans="1:21" ht="14.25" customHeight="1">
      <c r="A637" s="2" t="s">
        <v>15</v>
      </c>
      <c r="B637" s="2">
        <v>1954</v>
      </c>
      <c r="C637" s="2" t="s">
        <v>20</v>
      </c>
      <c r="D637" s="3">
        <f t="shared" si="63"/>
        <v>5.0083316399105868</v>
      </c>
      <c r="E637" s="3" t="e">
        <f t="shared" si="64"/>
        <v>#N/A</v>
      </c>
      <c r="F637" s="3" t="e">
        <f t="shared" si="65"/>
        <v>#N/A</v>
      </c>
      <c r="G637" s="3" t="e">
        <f t="shared" si="66"/>
        <v>#N/A</v>
      </c>
      <c r="H637" s="3" t="e">
        <f t="shared" si="67"/>
        <v>#N/A</v>
      </c>
      <c r="I637" s="3" t="e">
        <f t="shared" si="68"/>
        <v>#N/A</v>
      </c>
      <c r="J637" s="3">
        <v>5008.331639910587</v>
      </c>
      <c r="K637" s="3" t="e">
        <v>#N/A</v>
      </c>
      <c r="L637" s="3" t="e">
        <v>#N/A</v>
      </c>
      <c r="M637" s="3" t="e">
        <v>#N/A</v>
      </c>
      <c r="N637" s="3" t="e">
        <v>#N/A</v>
      </c>
      <c r="O637" s="3" t="e">
        <v>#N/A</v>
      </c>
      <c r="P637" s="3" t="e">
        <f>E637*(VLOOKUP(B637,Price_data!A$1:B$190,2,FALSE))</f>
        <v>#N/A</v>
      </c>
      <c r="Q637" s="3" t="e">
        <f>G637*(VLOOKUP(B637,Price_data!A$1:B$190,2,FALSE))</f>
        <v>#N/A</v>
      </c>
      <c r="R637" s="3" t="e">
        <f>I637*(VLOOKUP(B637,Price_data!A$1:B$190,2,FALSE))</f>
        <v>#N/A</v>
      </c>
      <c r="S637" s="4" t="str">
        <f>(VLOOKUP(B637,Price_data!A$1:C$190,3,FALSE))</f>
        <v>Open access</v>
      </c>
      <c r="T637" s="2" t="str">
        <f>IF(C637="Total", (VLOOKUP(B637,Recommended_fish_intake!A$4:D$122,4,FALSE)), "NA")</f>
        <v>NA</v>
      </c>
      <c r="U637" s="2" t="str">
        <f t="shared" si="69"/>
        <v>NA</v>
      </c>
    </row>
    <row r="638" spans="1:21" ht="14.25" customHeight="1">
      <c r="A638" s="2" t="s">
        <v>15</v>
      </c>
      <c r="B638" s="2">
        <v>1954</v>
      </c>
      <c r="C638" s="2" t="s">
        <v>25</v>
      </c>
      <c r="D638" s="3">
        <f t="shared" si="63"/>
        <v>33.082706766917291</v>
      </c>
      <c r="E638" s="3" t="e">
        <f t="shared" si="64"/>
        <v>#N/A</v>
      </c>
      <c r="F638" s="3" t="e">
        <f t="shared" si="65"/>
        <v>#N/A</v>
      </c>
      <c r="G638" s="3" t="e">
        <f t="shared" si="66"/>
        <v>#N/A</v>
      </c>
      <c r="H638" s="3" t="e">
        <f t="shared" si="67"/>
        <v>#N/A</v>
      </c>
      <c r="I638" s="3" t="e">
        <f t="shared" si="68"/>
        <v>#N/A</v>
      </c>
      <c r="J638" s="3">
        <v>33082.70676691729</v>
      </c>
      <c r="K638" s="3" t="e">
        <v>#N/A</v>
      </c>
      <c r="L638" s="3" t="e">
        <v>#N/A</v>
      </c>
      <c r="M638" s="3" t="e">
        <v>#N/A</v>
      </c>
      <c r="N638" s="3" t="e">
        <v>#N/A</v>
      </c>
      <c r="O638" s="3" t="e">
        <v>#N/A</v>
      </c>
      <c r="P638" s="3" t="e">
        <f>E638*(VLOOKUP(B638,Price_data!A$1:B$190,2,FALSE))</f>
        <v>#N/A</v>
      </c>
      <c r="Q638" s="3" t="e">
        <f>G638*(VLOOKUP(B638,Price_data!A$1:B$190,2,FALSE))</f>
        <v>#N/A</v>
      </c>
      <c r="R638" s="3" t="e">
        <f>I638*(VLOOKUP(B638,Price_data!A$1:B$190,2,FALSE))</f>
        <v>#N/A</v>
      </c>
      <c r="S638" s="4" t="str">
        <f>(VLOOKUP(B638,Price_data!A$1:C$190,3,FALSE))</f>
        <v>Open access</v>
      </c>
      <c r="T638" s="2" t="str">
        <f>IF(C638="Total", (VLOOKUP(B638,Recommended_fish_intake!A$4:D$122,4,FALSE)), "NA")</f>
        <v>NA</v>
      </c>
      <c r="U638" s="2" t="str">
        <f t="shared" si="69"/>
        <v>NA</v>
      </c>
    </row>
    <row r="639" spans="1:21" ht="14.25" customHeight="1">
      <c r="A639" s="2" t="s">
        <v>15</v>
      </c>
      <c r="B639" s="2">
        <v>1954</v>
      </c>
      <c r="C639" s="2" t="s">
        <v>24</v>
      </c>
      <c r="D639" s="3">
        <f t="shared" si="63"/>
        <v>42.688020727494411</v>
      </c>
      <c r="E639" s="3" t="e">
        <f t="shared" si="64"/>
        <v>#N/A</v>
      </c>
      <c r="F639" s="3" t="e">
        <f t="shared" si="65"/>
        <v>#N/A</v>
      </c>
      <c r="G639" s="3" t="e">
        <f t="shared" si="66"/>
        <v>#N/A</v>
      </c>
      <c r="H639" s="3" t="e">
        <f t="shared" si="67"/>
        <v>#N/A</v>
      </c>
      <c r="I639" s="3" t="e">
        <f t="shared" si="68"/>
        <v>#N/A</v>
      </c>
      <c r="J639" s="3">
        <v>42688.020727494411</v>
      </c>
      <c r="K639" s="3" t="e">
        <v>#N/A</v>
      </c>
      <c r="L639" s="3" t="e">
        <v>#N/A</v>
      </c>
      <c r="M639" s="3" t="e">
        <v>#N/A</v>
      </c>
      <c r="N639" s="3" t="e">
        <v>#N/A</v>
      </c>
      <c r="O639" s="3" t="e">
        <v>#N/A</v>
      </c>
      <c r="P639" s="3" t="e">
        <f>E639*(VLOOKUP(B639,Price_data!A$1:B$190,2,FALSE))</f>
        <v>#N/A</v>
      </c>
      <c r="Q639" s="3" t="e">
        <f>G639*(VLOOKUP(B639,Price_data!A$1:B$190,2,FALSE))</f>
        <v>#N/A</v>
      </c>
      <c r="R639" s="3" t="e">
        <f>I639*(VLOOKUP(B639,Price_data!A$1:B$190,2,FALSE))</f>
        <v>#N/A</v>
      </c>
      <c r="S639" s="4" t="str">
        <f>(VLOOKUP(B639,Price_data!A$1:C$190,3,FALSE))</f>
        <v>Open access</v>
      </c>
      <c r="T639" s="2" t="str">
        <f>IF(C639="Total", (VLOOKUP(B639,Recommended_fish_intake!A$4:D$122,4,FALSE)), "NA")</f>
        <v>NA</v>
      </c>
      <c r="U639" s="2" t="str">
        <f t="shared" si="69"/>
        <v>NA</v>
      </c>
    </row>
    <row r="640" spans="1:21" ht="14.25" customHeight="1">
      <c r="A640" s="2" t="s">
        <v>15</v>
      </c>
      <c r="B640" s="2">
        <v>1954</v>
      </c>
      <c r="C640" s="2" t="s">
        <v>30</v>
      </c>
      <c r="D640" s="3" t="e">
        <f t="shared" si="63"/>
        <v>#N/A</v>
      </c>
      <c r="E640" s="3" t="e">
        <f t="shared" si="64"/>
        <v>#N/A</v>
      </c>
      <c r="F640" s="3" t="e">
        <f t="shared" si="65"/>
        <v>#N/A</v>
      </c>
      <c r="G640" s="3" t="e">
        <f t="shared" si="66"/>
        <v>#N/A</v>
      </c>
      <c r="H640" s="3" t="e">
        <f t="shared" si="67"/>
        <v>#N/A</v>
      </c>
      <c r="I640" s="3" t="e">
        <f t="shared" si="68"/>
        <v>#N/A</v>
      </c>
      <c r="J640" s="3" t="e">
        <v>#N/A</v>
      </c>
      <c r="K640" s="3" t="e">
        <v>#N/A</v>
      </c>
      <c r="L640" s="3" t="e">
        <v>#N/A</v>
      </c>
      <c r="M640" s="3" t="e">
        <v>#N/A</v>
      </c>
      <c r="N640" s="3" t="e">
        <v>#N/A</v>
      </c>
      <c r="O640" s="3" t="e">
        <v>#N/A</v>
      </c>
      <c r="P640" s="3" t="e">
        <f>E640*(VLOOKUP(B640,Price_data!A$1:B$190,2,FALSE))</f>
        <v>#N/A</v>
      </c>
      <c r="Q640" s="3" t="e">
        <f>G640*(VLOOKUP(B640,Price_data!A$1:B$190,2,FALSE))</f>
        <v>#N/A</v>
      </c>
      <c r="R640" s="3" t="e">
        <f>I640*(VLOOKUP(B640,Price_data!A$1:B$190,2,FALSE))</f>
        <v>#N/A</v>
      </c>
      <c r="S640" s="4" t="str">
        <f>(VLOOKUP(B640,Price_data!A$1:C$190,3,FALSE))</f>
        <v>Open access</v>
      </c>
      <c r="T640" s="2" t="str">
        <f>IF(C640="Total", (VLOOKUP(B640,Recommended_fish_intake!A$4:D$122,4,FALSE)), "NA")</f>
        <v>NA</v>
      </c>
      <c r="U640" s="2" t="str">
        <f t="shared" si="69"/>
        <v>NA</v>
      </c>
    </row>
    <row r="641" spans="1:21" ht="14.25" customHeight="1">
      <c r="A641" s="2" t="s">
        <v>15</v>
      </c>
      <c r="B641" s="2">
        <v>1955</v>
      </c>
      <c r="C641" s="2" t="s">
        <v>16</v>
      </c>
      <c r="D641" s="3">
        <f t="shared" si="63"/>
        <v>968.02357244462507</v>
      </c>
      <c r="E641" s="3">
        <f t="shared" si="64"/>
        <v>46.013214999999995</v>
      </c>
      <c r="F641" s="3">
        <f t="shared" si="65"/>
        <v>50.104399512294243</v>
      </c>
      <c r="G641" s="3">
        <f t="shared" si="66"/>
        <v>5.7762039999999999</v>
      </c>
      <c r="H641" s="3">
        <f t="shared" si="67"/>
        <v>140.7372485267222</v>
      </c>
      <c r="I641" s="3">
        <f t="shared" si="68"/>
        <v>22.419794000000003</v>
      </c>
      <c r="J641" s="3">
        <v>968023.57244462508</v>
      </c>
      <c r="K641" s="3">
        <v>46013.214999999997</v>
      </c>
      <c r="L641" s="3">
        <v>50104.399512294243</v>
      </c>
      <c r="M641" s="3">
        <v>5776.2039999999997</v>
      </c>
      <c r="N641" s="3">
        <v>140737.24852672219</v>
      </c>
      <c r="O641" s="3">
        <v>22419.794000000002</v>
      </c>
      <c r="P641" s="3">
        <f>E641*(VLOOKUP(B641,Price_data!A$1:B$190,2,FALSE))</f>
        <v>717.2083024569763</v>
      </c>
      <c r="Q641" s="3">
        <f>G641*(VLOOKUP(B641,Price_data!A$1:B$190,2,FALSE))</f>
        <v>90.033731950379845</v>
      </c>
      <c r="R641" s="3">
        <f>I641*(VLOOKUP(B641,Price_data!A$1:B$190,2,FALSE))</f>
        <v>349.45748511976632</v>
      </c>
      <c r="S641" s="4" t="str">
        <f>(VLOOKUP(B641,Price_data!A$1:C$190,3,FALSE))</f>
        <v>Open access</v>
      </c>
      <c r="T641" s="2">
        <f>IF(C641="Total", (VLOOKUP(B641,Recommended_fish_intake!A$4:D$122,4,FALSE)), "NA")</f>
        <v>658.45085396999991</v>
      </c>
      <c r="U641" s="2" t="str">
        <f t="shared" si="69"/>
        <v>NA</v>
      </c>
    </row>
    <row r="642" spans="1:21" ht="14.25" customHeight="1">
      <c r="A642" s="2" t="s">
        <v>15</v>
      </c>
      <c r="B642" s="2">
        <v>1955</v>
      </c>
      <c r="C642" s="2" t="s">
        <v>22</v>
      </c>
      <c r="D642" s="3">
        <f t="shared" ref="D642:D705" si="70">IF(J642="", NA(), J642/1000)</f>
        <v>378.65078236130864</v>
      </c>
      <c r="E642" s="3" t="e">
        <f t="shared" ref="E642:E705" si="71">IF(K642="", NA(), K642/1000)</f>
        <v>#N/A</v>
      </c>
      <c r="F642" s="3">
        <f t="shared" ref="F642:F705" si="72">IF(L642="", NA(), L642/1000)</f>
        <v>6.3679638284901436</v>
      </c>
      <c r="G642" s="3">
        <f t="shared" ref="G642:G705" si="73">IF(M642="", NA(), M642/1000)</f>
        <v>0.73511599999999999</v>
      </c>
      <c r="H642" s="3">
        <f t="shared" ref="H642:H705" si="74">IF(N642="", NA(), N642/1000)</f>
        <v>16.016663279821174</v>
      </c>
      <c r="I642" s="3">
        <f t="shared" ref="I642:I705" si="75">IF(O642="", NA(), O642/1000)</f>
        <v>0.61421400000000004</v>
      </c>
      <c r="J642" s="3">
        <v>378650.78236130864</v>
      </c>
      <c r="K642" s="3" t="e">
        <v>#N/A</v>
      </c>
      <c r="L642" s="3">
        <v>6367.9638284901439</v>
      </c>
      <c r="M642" s="3">
        <v>735.11599999999999</v>
      </c>
      <c r="N642" s="3">
        <v>16016.663279821174</v>
      </c>
      <c r="O642" s="3">
        <v>614.21400000000006</v>
      </c>
      <c r="P642" s="3" t="e">
        <f>E642*(VLOOKUP(B642,Price_data!A$1:B$190,2,FALSE))</f>
        <v>#N/A</v>
      </c>
      <c r="Q642" s="3">
        <f>G642*(VLOOKUP(B642,Price_data!A$1:B$190,2,FALSE))</f>
        <v>11.45825820840736</v>
      </c>
      <c r="R642" s="3">
        <f>I642*(VLOOKUP(B642,Price_data!A$1:B$190,2,FALSE))</f>
        <v>9.5737578929294411</v>
      </c>
      <c r="S642" s="4" t="str">
        <f>(VLOOKUP(B642,Price_data!A$1:C$190,3,FALSE))</f>
        <v>Open access</v>
      </c>
      <c r="T642" s="2" t="str">
        <f>IF(C642="Total", (VLOOKUP(B642,Recommended_fish_intake!A$4:D$122,4,FALSE)), "NA")</f>
        <v>NA</v>
      </c>
      <c r="U642" s="2" t="str">
        <f t="shared" ref="U642:U705" si="76">IF(C642="Wet fish", D642*0.49, IF(C642="Shellfish", D642*0.28, "NA"))</f>
        <v>NA</v>
      </c>
    </row>
    <row r="643" spans="1:21" ht="14.25" customHeight="1">
      <c r="A643" s="2" t="s">
        <v>15</v>
      </c>
      <c r="B643" s="2">
        <v>1955</v>
      </c>
      <c r="C643" s="2" t="s">
        <v>23</v>
      </c>
      <c r="D643" s="3">
        <f t="shared" si="70"/>
        <v>147.79628124364967</v>
      </c>
      <c r="E643" s="3" t="e">
        <f t="shared" si="71"/>
        <v>#N/A</v>
      </c>
      <c r="F643" s="3" t="e">
        <f t="shared" si="72"/>
        <v>#VALUE!</v>
      </c>
      <c r="G643" s="3" t="e">
        <f t="shared" si="73"/>
        <v>#VALUE!</v>
      </c>
      <c r="H643" s="3">
        <f t="shared" si="74"/>
        <v>12.05989636252794</v>
      </c>
      <c r="I643" s="3">
        <f t="shared" si="75"/>
        <v>0.61583900000000003</v>
      </c>
      <c r="J643" s="3">
        <v>147796.28124364966</v>
      </c>
      <c r="K643" s="3" t="e">
        <v>#N/A</v>
      </c>
      <c r="L643" s="3" t="e">
        <v>#VALUE!</v>
      </c>
      <c r="M643" s="3" t="e">
        <v>#VALUE!</v>
      </c>
      <c r="N643" s="3">
        <v>12059.896362527941</v>
      </c>
      <c r="O643" s="3">
        <v>615.83900000000006</v>
      </c>
      <c r="P643" s="3" t="e">
        <f>E643*(VLOOKUP(B643,Price_data!A$1:B$190,2,FALSE))</f>
        <v>#N/A</v>
      </c>
      <c r="Q643" s="3" t="e">
        <f>G643*(VLOOKUP(B643,Price_data!A$1:B$190,2,FALSE))</f>
        <v>#VALUE!</v>
      </c>
      <c r="R643" s="3">
        <f>I643*(VLOOKUP(B643,Price_data!A$1:B$190,2,FALSE))</f>
        <v>9.5990867792394408</v>
      </c>
      <c r="S643" s="4" t="str">
        <f>(VLOOKUP(B643,Price_data!A$1:C$190,3,FALSE))</f>
        <v>Open access</v>
      </c>
      <c r="T643" s="2" t="str">
        <f>IF(C643="Total", (VLOOKUP(B643,Recommended_fish_intake!A$4:D$122,4,FALSE)), "NA")</f>
        <v>NA</v>
      </c>
      <c r="U643" s="2" t="str">
        <f t="shared" si="76"/>
        <v>NA</v>
      </c>
    </row>
    <row r="644" spans="1:21" ht="14.25" customHeight="1">
      <c r="A644" s="2" t="s">
        <v>15</v>
      </c>
      <c r="B644" s="2">
        <v>1955</v>
      </c>
      <c r="C644" s="2" t="s">
        <v>19</v>
      </c>
      <c r="D644" s="3">
        <f t="shared" si="70"/>
        <v>163.40601503759399</v>
      </c>
      <c r="E644" s="3" t="e">
        <f t="shared" si="71"/>
        <v>#N/A</v>
      </c>
      <c r="F644" s="3">
        <f t="shared" si="72"/>
        <v>23.738213777687463</v>
      </c>
      <c r="G644" s="3">
        <f t="shared" si="73"/>
        <v>1.8996729999999999</v>
      </c>
      <c r="H644" s="3">
        <f t="shared" si="74"/>
        <v>19.909164803901643</v>
      </c>
      <c r="I644" s="3">
        <f t="shared" si="75"/>
        <v>0.67727499999999996</v>
      </c>
      <c r="J644" s="3">
        <v>163406.01503759398</v>
      </c>
      <c r="K644" s="3" t="e">
        <v>#N/A</v>
      </c>
      <c r="L644" s="3">
        <v>23738.213777687462</v>
      </c>
      <c r="M644" s="3">
        <v>1899.673</v>
      </c>
      <c r="N644" s="3">
        <v>19909.164803901644</v>
      </c>
      <c r="O644" s="3">
        <v>677.27499999999998</v>
      </c>
      <c r="P644" s="3" t="e">
        <f>E644*(VLOOKUP(B644,Price_data!A$1:B$190,2,FALSE))</f>
        <v>#N/A</v>
      </c>
      <c r="Q644" s="3">
        <f>G644*(VLOOKUP(B644,Price_data!A$1:B$190,2,FALSE))</f>
        <v>29.610216272724081</v>
      </c>
      <c r="R644" s="3">
        <f>I644*(VLOOKUP(B644,Price_data!A$1:B$190,2,FALSE))</f>
        <v>10.556690138834</v>
      </c>
      <c r="S644" s="4" t="str">
        <f>(VLOOKUP(B644,Price_data!A$1:C$190,3,FALSE))</f>
        <v>Open access</v>
      </c>
      <c r="T644" s="2" t="str">
        <f>IF(C644="Total", (VLOOKUP(B644,Recommended_fish_intake!A$4:D$122,4,FALSE)), "NA")</f>
        <v>NA</v>
      </c>
      <c r="U644" s="2" t="str">
        <f t="shared" si="76"/>
        <v>NA</v>
      </c>
    </row>
    <row r="645" spans="1:21" ht="14.25" customHeight="1">
      <c r="A645" s="2" t="s">
        <v>15</v>
      </c>
      <c r="B645" s="2">
        <v>1955</v>
      </c>
      <c r="C645" s="2" t="s">
        <v>28</v>
      </c>
      <c r="D645" s="3" t="e">
        <f t="shared" si="70"/>
        <v>#VALUE!</v>
      </c>
      <c r="E645" s="3" t="e">
        <f t="shared" si="71"/>
        <v>#VALUE!</v>
      </c>
      <c r="F645" s="3">
        <f t="shared" si="72"/>
        <v>1.0547144889250151</v>
      </c>
      <c r="G645" s="3">
        <f t="shared" si="73"/>
        <v>0.23996899999999999</v>
      </c>
      <c r="H645" s="3">
        <f t="shared" si="74"/>
        <v>11.05578134525503</v>
      </c>
      <c r="I645" s="3">
        <f t="shared" si="75"/>
        <v>3.3426199999999997</v>
      </c>
      <c r="J645" s="3" t="e">
        <v>#VALUE!</v>
      </c>
      <c r="K645" s="3" t="e">
        <v>#VALUE!</v>
      </c>
      <c r="L645" s="3">
        <v>1054.7144889250151</v>
      </c>
      <c r="M645" s="3">
        <v>239.96899999999999</v>
      </c>
      <c r="N645" s="3">
        <v>11055.781345255029</v>
      </c>
      <c r="O645" s="3">
        <v>3342.62</v>
      </c>
      <c r="P645" s="3" t="e">
        <f>E645*(VLOOKUP(B645,Price_data!A$1:B$190,2,FALSE))</f>
        <v>#VALUE!</v>
      </c>
      <c r="Q645" s="3">
        <f>G645*(VLOOKUP(B645,Price_data!A$1:B$190,2,FALSE))</f>
        <v>3.7403984731842397</v>
      </c>
      <c r="R645" s="3">
        <f>I645*(VLOOKUP(B645,Price_data!A$1:B$190,2,FALSE))</f>
        <v>52.101441204635194</v>
      </c>
      <c r="S645" s="4" t="str">
        <f>(VLOOKUP(B645,Price_data!A$1:C$190,3,FALSE))</f>
        <v>Open access</v>
      </c>
      <c r="T645" s="2" t="str">
        <f>IF(C645="Total", (VLOOKUP(B645,Recommended_fish_intake!A$4:D$122,4,FALSE)), "NA")</f>
        <v>NA</v>
      </c>
      <c r="U645" s="2" t="e">
        <f t="shared" si="76"/>
        <v>#VALUE!</v>
      </c>
    </row>
    <row r="646" spans="1:21" ht="14.25" customHeight="1">
      <c r="A646" s="2" t="s">
        <v>15</v>
      </c>
      <c r="B646" s="2">
        <v>1955</v>
      </c>
      <c r="C646" s="2" t="s">
        <v>29</v>
      </c>
      <c r="D646" s="3" t="e">
        <f t="shared" si="70"/>
        <v>#VALUE!</v>
      </c>
      <c r="E646" s="3" t="e">
        <f t="shared" si="71"/>
        <v>#VALUE!</v>
      </c>
      <c r="F646" s="3" t="e">
        <f t="shared" si="72"/>
        <v>#VALUE!</v>
      </c>
      <c r="G646" s="3" t="e">
        <f t="shared" si="73"/>
        <v>#VALUE!</v>
      </c>
      <c r="H646" s="3">
        <f t="shared" si="74"/>
        <v>11.075137167242429</v>
      </c>
      <c r="I646" s="3">
        <f t="shared" si="75"/>
        <v>6.0575150000000004</v>
      </c>
      <c r="J646" s="3" t="e">
        <v>#VALUE!</v>
      </c>
      <c r="K646" s="3" t="e">
        <v>#VALUE!</v>
      </c>
      <c r="L646" s="3" t="e">
        <v>#VALUE!</v>
      </c>
      <c r="M646" s="3" t="e">
        <v>#VALUE!</v>
      </c>
      <c r="N646" s="3">
        <v>11075.13716724243</v>
      </c>
      <c r="O646" s="3">
        <v>6057.5150000000003</v>
      </c>
      <c r="P646" s="3" t="e">
        <f>E646*(VLOOKUP(B646,Price_data!A$1:B$190,2,FALSE))</f>
        <v>#VALUE!</v>
      </c>
      <c r="Q646" s="3" t="e">
        <f>G646*(VLOOKUP(B646,Price_data!A$1:B$190,2,FALSE))</f>
        <v>#VALUE!</v>
      </c>
      <c r="R646" s="3">
        <f>I646*(VLOOKUP(B646,Price_data!A$1:B$190,2,FALSE))</f>
        <v>94.418528465304405</v>
      </c>
      <c r="S646" s="4" t="str">
        <f>(VLOOKUP(B646,Price_data!A$1:C$190,3,FALSE))</f>
        <v>Open access</v>
      </c>
      <c r="T646" s="2" t="str">
        <f>IF(C646="Total", (VLOOKUP(B646,Recommended_fish_intake!A$4:D$122,4,FALSE)), "NA")</f>
        <v>NA</v>
      </c>
      <c r="U646" s="2" t="str">
        <f t="shared" si="76"/>
        <v>NA</v>
      </c>
    </row>
    <row r="647" spans="1:21" ht="14.25" customHeight="1">
      <c r="A647" s="2" t="s">
        <v>15</v>
      </c>
      <c r="B647" s="2">
        <v>1955</v>
      </c>
      <c r="C647" s="2" t="s">
        <v>20</v>
      </c>
      <c r="D647" s="3">
        <f t="shared" si="70"/>
        <v>4.2367404998983949</v>
      </c>
      <c r="E647" s="3" t="e">
        <f t="shared" si="71"/>
        <v>#N/A</v>
      </c>
      <c r="F647" s="3" t="e">
        <f t="shared" si="72"/>
        <v>#VALUE!</v>
      </c>
      <c r="G647" s="3" t="e">
        <f t="shared" si="73"/>
        <v>#VALUE!</v>
      </c>
      <c r="H647" s="3" t="e">
        <f t="shared" si="74"/>
        <v>#VALUE!</v>
      </c>
      <c r="I647" s="3" t="e">
        <f t="shared" si="75"/>
        <v>#VALUE!</v>
      </c>
      <c r="J647" s="3">
        <v>4236.7404998983948</v>
      </c>
      <c r="K647" s="3" t="e">
        <v>#N/A</v>
      </c>
      <c r="L647" s="3" t="e">
        <v>#VALUE!</v>
      </c>
      <c r="M647" s="3" t="e">
        <v>#VALUE!</v>
      </c>
      <c r="N647" s="3" t="e">
        <v>#VALUE!</v>
      </c>
      <c r="O647" s="3" t="e">
        <v>#VALUE!</v>
      </c>
      <c r="P647" s="3" t="e">
        <f>E647*(VLOOKUP(B647,Price_data!A$1:B$190,2,FALSE))</f>
        <v>#N/A</v>
      </c>
      <c r="Q647" s="3" t="e">
        <f>G647*(VLOOKUP(B647,Price_data!A$1:B$190,2,FALSE))</f>
        <v>#VALUE!</v>
      </c>
      <c r="R647" s="3" t="e">
        <f>I647*(VLOOKUP(B647,Price_data!A$1:B$190,2,FALSE))</f>
        <v>#VALUE!</v>
      </c>
      <c r="S647" s="4" t="str">
        <f>(VLOOKUP(B647,Price_data!A$1:C$190,3,FALSE))</f>
        <v>Open access</v>
      </c>
      <c r="T647" s="2" t="str">
        <f>IF(C647="Total", (VLOOKUP(B647,Recommended_fish_intake!A$4:D$122,4,FALSE)), "NA")</f>
        <v>NA</v>
      </c>
      <c r="U647" s="2" t="str">
        <f t="shared" si="76"/>
        <v>NA</v>
      </c>
    </row>
    <row r="648" spans="1:21" ht="14.25" customHeight="1">
      <c r="A648" s="2" t="s">
        <v>15</v>
      </c>
      <c r="B648" s="2">
        <v>1955</v>
      </c>
      <c r="C648" s="2" t="s">
        <v>25</v>
      </c>
      <c r="D648" s="3">
        <f t="shared" si="70"/>
        <v>37.480440967283073</v>
      </c>
      <c r="E648" s="3" t="e">
        <f t="shared" si="71"/>
        <v>#N/A</v>
      </c>
      <c r="F648" s="3" t="e">
        <f t="shared" si="72"/>
        <v>#N/A</v>
      </c>
      <c r="G648" s="3" t="e">
        <f t="shared" si="73"/>
        <v>#N/A</v>
      </c>
      <c r="H648" s="3" t="e">
        <f t="shared" si="74"/>
        <v>#N/A</v>
      </c>
      <c r="I648" s="3" t="e">
        <f t="shared" si="75"/>
        <v>#N/A</v>
      </c>
      <c r="J648" s="3">
        <v>37480.440967283073</v>
      </c>
      <c r="K648" s="3" t="e">
        <v>#N/A</v>
      </c>
      <c r="L648" s="3" t="e">
        <v>#N/A</v>
      </c>
      <c r="M648" s="3" t="e">
        <v>#N/A</v>
      </c>
      <c r="N648" s="3" t="e">
        <v>#N/A</v>
      </c>
      <c r="O648" s="3" t="e">
        <v>#N/A</v>
      </c>
      <c r="P648" s="3" t="e">
        <f>E648*(VLOOKUP(B648,Price_data!A$1:B$190,2,FALSE))</f>
        <v>#N/A</v>
      </c>
      <c r="Q648" s="3" t="e">
        <f>G648*(VLOOKUP(B648,Price_data!A$1:B$190,2,FALSE))</f>
        <v>#N/A</v>
      </c>
      <c r="R648" s="3" t="e">
        <f>I648*(VLOOKUP(B648,Price_data!A$1:B$190,2,FALSE))</f>
        <v>#N/A</v>
      </c>
      <c r="S648" s="4" t="str">
        <f>(VLOOKUP(B648,Price_data!A$1:C$190,3,FALSE))</f>
        <v>Open access</v>
      </c>
      <c r="T648" s="2" t="str">
        <f>IF(C648="Total", (VLOOKUP(B648,Recommended_fish_intake!A$4:D$122,4,FALSE)), "NA")</f>
        <v>NA</v>
      </c>
      <c r="U648" s="2" t="str">
        <f t="shared" si="76"/>
        <v>NA</v>
      </c>
    </row>
    <row r="649" spans="1:21" ht="14.25" customHeight="1">
      <c r="A649" s="2" t="s">
        <v>15</v>
      </c>
      <c r="B649" s="2">
        <v>1955</v>
      </c>
      <c r="C649" s="2" t="s">
        <v>24</v>
      </c>
      <c r="D649" s="3">
        <f t="shared" si="70"/>
        <v>48.951940662466981</v>
      </c>
      <c r="E649" s="3" t="e">
        <f t="shared" si="71"/>
        <v>#N/A</v>
      </c>
      <c r="F649" s="3" t="e">
        <f t="shared" si="72"/>
        <v>#N/A</v>
      </c>
      <c r="G649" s="3" t="e">
        <f t="shared" si="73"/>
        <v>#N/A</v>
      </c>
      <c r="H649" s="3" t="e">
        <f t="shared" si="74"/>
        <v>#N/A</v>
      </c>
      <c r="I649" s="3" t="e">
        <f t="shared" si="75"/>
        <v>#N/A</v>
      </c>
      <c r="J649" s="3">
        <v>48951.940662466979</v>
      </c>
      <c r="K649" s="3" t="e">
        <v>#N/A</v>
      </c>
      <c r="L649" s="3" t="e">
        <v>#N/A</v>
      </c>
      <c r="M649" s="3" t="e">
        <v>#N/A</v>
      </c>
      <c r="N649" s="3" t="e">
        <v>#N/A</v>
      </c>
      <c r="O649" s="3" t="e">
        <v>#N/A</v>
      </c>
      <c r="P649" s="3" t="e">
        <f>E649*(VLOOKUP(B649,Price_data!A$1:B$190,2,FALSE))</f>
        <v>#N/A</v>
      </c>
      <c r="Q649" s="3" t="e">
        <f>G649*(VLOOKUP(B649,Price_data!A$1:B$190,2,FALSE))</f>
        <v>#N/A</v>
      </c>
      <c r="R649" s="3" t="e">
        <f>I649*(VLOOKUP(B649,Price_data!A$1:B$190,2,FALSE))</f>
        <v>#N/A</v>
      </c>
      <c r="S649" s="4" t="str">
        <f>(VLOOKUP(B649,Price_data!A$1:C$190,3,FALSE))</f>
        <v>Open access</v>
      </c>
      <c r="T649" s="2" t="str">
        <f>IF(C649="Total", (VLOOKUP(B649,Recommended_fish_intake!A$4:D$122,4,FALSE)), "NA")</f>
        <v>NA</v>
      </c>
      <c r="U649" s="2" t="str">
        <f t="shared" si="76"/>
        <v>NA</v>
      </c>
    </row>
    <row r="650" spans="1:21" ht="14.25" customHeight="1">
      <c r="A650" s="2" t="s">
        <v>15</v>
      </c>
      <c r="B650" s="2">
        <v>1955</v>
      </c>
      <c r="C650" s="2" t="s">
        <v>30</v>
      </c>
      <c r="D650" s="3" t="e">
        <f t="shared" si="70"/>
        <v>#N/A</v>
      </c>
      <c r="E650" s="3" t="e">
        <f t="shared" si="71"/>
        <v>#N/A</v>
      </c>
      <c r="F650" s="3" t="e">
        <f t="shared" si="72"/>
        <v>#VALUE!</v>
      </c>
      <c r="G650" s="3" t="e">
        <f t="shared" si="73"/>
        <v>#VALUE!</v>
      </c>
      <c r="H650" s="3">
        <f t="shared" si="74"/>
        <v>1.2066653119284696</v>
      </c>
      <c r="I650" s="3">
        <f t="shared" si="75"/>
        <v>0.42741399999999996</v>
      </c>
      <c r="J650" s="3" t="e">
        <v>#N/A</v>
      </c>
      <c r="K650" s="3" t="e">
        <v>#N/A</v>
      </c>
      <c r="L650" s="3" t="e">
        <v>#VALUE!</v>
      </c>
      <c r="M650" s="3" t="e">
        <v>#VALUE!</v>
      </c>
      <c r="N650" s="3">
        <v>1206.6653119284697</v>
      </c>
      <c r="O650" s="3">
        <v>427.41399999999999</v>
      </c>
      <c r="P650" s="3" t="e">
        <f>E650*(VLOOKUP(B650,Price_data!A$1:B$190,2,FALSE))</f>
        <v>#N/A</v>
      </c>
      <c r="Q650" s="3" t="e">
        <f>G650*(VLOOKUP(B650,Price_data!A$1:B$190,2,FALSE))</f>
        <v>#VALUE!</v>
      </c>
      <c r="R650" s="3">
        <f>I650*(VLOOKUP(B650,Price_data!A$1:B$190,2,FALSE))</f>
        <v>6.6621049928014395</v>
      </c>
      <c r="S650" s="4" t="str">
        <f>(VLOOKUP(B650,Price_data!A$1:C$190,3,FALSE))</f>
        <v>Open access</v>
      </c>
      <c r="T650" s="2" t="str">
        <f>IF(C650="Total", (VLOOKUP(B650,Recommended_fish_intake!A$4:D$122,4,FALSE)), "NA")</f>
        <v>NA</v>
      </c>
      <c r="U650" s="2" t="str">
        <f t="shared" si="76"/>
        <v>NA</v>
      </c>
    </row>
    <row r="651" spans="1:21" ht="14.25" customHeight="1">
      <c r="A651" s="2" t="s">
        <v>15</v>
      </c>
      <c r="B651" s="2">
        <v>1956</v>
      </c>
      <c r="C651" s="2" t="s">
        <v>16</v>
      </c>
      <c r="D651" s="3">
        <f t="shared" si="70"/>
        <v>947.77484251168448</v>
      </c>
      <c r="E651" s="3">
        <f t="shared" si="71"/>
        <v>48.207999999999998</v>
      </c>
      <c r="F651" s="3">
        <f t="shared" si="72"/>
        <v>47.552936395041662</v>
      </c>
      <c r="G651" s="3">
        <f t="shared" si="73"/>
        <v>5.7983700000000002</v>
      </c>
      <c r="H651" s="3">
        <f t="shared" si="74"/>
        <v>158.95940865677704</v>
      </c>
      <c r="I651" s="3">
        <f t="shared" si="75"/>
        <v>31.822521999999999</v>
      </c>
      <c r="J651" s="3">
        <v>947774.84251168452</v>
      </c>
      <c r="K651" s="3">
        <v>48208</v>
      </c>
      <c r="L651" s="3">
        <v>47552.936395041659</v>
      </c>
      <c r="M651" s="3">
        <v>5798.37</v>
      </c>
      <c r="N651" s="3">
        <v>158959.40865677706</v>
      </c>
      <c r="O651" s="3">
        <v>31822.522000000001</v>
      </c>
      <c r="P651" s="3">
        <f>E651*(VLOOKUP(B651,Price_data!A$1:B$190,2,FALSE))</f>
        <v>714.92570443264003</v>
      </c>
      <c r="Q651" s="3">
        <f>G651*(VLOOKUP(B651,Price_data!A$1:B$190,2,FALSE))</f>
        <v>85.989955128009612</v>
      </c>
      <c r="R651" s="3">
        <f>I651*(VLOOKUP(B651,Price_data!A$1:B$190,2,FALSE))</f>
        <v>471.92870390128576</v>
      </c>
      <c r="S651" s="4" t="str">
        <f>(VLOOKUP(B651,Price_data!A$1:C$190,3,FALSE))</f>
        <v>Open access</v>
      </c>
      <c r="T651" s="2">
        <f>IF(C651="Total", (VLOOKUP(B651,Recommended_fish_intake!A$4:D$122,4,FALSE)), "NA")</f>
        <v>660.78613036800004</v>
      </c>
      <c r="U651" s="2" t="str">
        <f t="shared" si="76"/>
        <v>NA</v>
      </c>
    </row>
    <row r="652" spans="1:21" ht="14.25" customHeight="1">
      <c r="A652" s="2" t="s">
        <v>15</v>
      </c>
      <c r="B652" s="2">
        <v>1956</v>
      </c>
      <c r="C652" s="2" t="s">
        <v>22</v>
      </c>
      <c r="D652" s="3">
        <f t="shared" si="70"/>
        <v>393.82239382239379</v>
      </c>
      <c r="E652" s="3">
        <f t="shared" si="71"/>
        <v>18.640999999999998</v>
      </c>
      <c r="F652" s="3" t="e">
        <f t="shared" si="72"/>
        <v>#N/A</v>
      </c>
      <c r="G652" s="3" t="e">
        <f t="shared" si="73"/>
        <v>#N/A</v>
      </c>
      <c r="H652" s="3" t="e">
        <f t="shared" si="74"/>
        <v>#N/A</v>
      </c>
      <c r="I652" s="3" t="e">
        <f t="shared" si="75"/>
        <v>#N/A</v>
      </c>
      <c r="J652" s="3">
        <v>393822.39382239379</v>
      </c>
      <c r="K652" s="3">
        <v>18641</v>
      </c>
      <c r="L652" s="3" t="e">
        <v>#N/A</v>
      </c>
      <c r="M652" s="3" t="e">
        <v>#N/A</v>
      </c>
      <c r="N652" s="3" t="e">
        <v>#N/A</v>
      </c>
      <c r="O652" s="3" t="e">
        <v>#N/A</v>
      </c>
      <c r="P652" s="3">
        <f>E652*(VLOOKUP(B652,Price_data!A$1:B$190,2,FALSE))</f>
        <v>276.44644159327999</v>
      </c>
      <c r="Q652" s="3" t="e">
        <f>G652*(VLOOKUP(B652,Price_data!A$1:B$190,2,FALSE))</f>
        <v>#N/A</v>
      </c>
      <c r="R652" s="3" t="e">
        <f>I652*(VLOOKUP(B652,Price_data!A$1:B$190,2,FALSE))</f>
        <v>#N/A</v>
      </c>
      <c r="S652" s="4" t="str">
        <f>(VLOOKUP(B652,Price_data!A$1:C$190,3,FALSE))</f>
        <v>Open access</v>
      </c>
      <c r="T652" s="2" t="str">
        <f>IF(C652="Total", (VLOOKUP(B652,Recommended_fish_intake!A$4:D$122,4,FALSE)), "NA")</f>
        <v>NA</v>
      </c>
      <c r="U652" s="2" t="str">
        <f t="shared" si="76"/>
        <v>NA</v>
      </c>
    </row>
    <row r="653" spans="1:21" ht="14.25" customHeight="1">
      <c r="A653" s="2" t="s">
        <v>15</v>
      </c>
      <c r="B653" s="2">
        <v>1956</v>
      </c>
      <c r="C653" s="2" t="s">
        <v>23</v>
      </c>
      <c r="D653" s="3">
        <f t="shared" si="70"/>
        <v>150.32513716724242</v>
      </c>
      <c r="E653" s="3">
        <f t="shared" si="71"/>
        <v>8.0389999999999997</v>
      </c>
      <c r="F653" s="3" t="e">
        <f t="shared" si="72"/>
        <v>#N/A</v>
      </c>
      <c r="G653" s="3" t="e">
        <f t="shared" si="73"/>
        <v>#N/A</v>
      </c>
      <c r="H653" s="3" t="e">
        <f t="shared" si="74"/>
        <v>#N/A</v>
      </c>
      <c r="I653" s="3" t="e">
        <f t="shared" si="75"/>
        <v>#N/A</v>
      </c>
      <c r="J653" s="3">
        <v>150325.13716724241</v>
      </c>
      <c r="K653" s="3">
        <v>8039</v>
      </c>
      <c r="L653" s="3" t="e">
        <v>#N/A</v>
      </c>
      <c r="M653" s="3" t="e">
        <v>#N/A</v>
      </c>
      <c r="N653" s="3" t="e">
        <v>#N/A</v>
      </c>
      <c r="O653" s="3" t="e">
        <v>#N/A</v>
      </c>
      <c r="P653" s="3">
        <f>E653*(VLOOKUP(B653,Price_data!A$1:B$190,2,FALSE))</f>
        <v>119.21854750112</v>
      </c>
      <c r="Q653" s="3" t="e">
        <f>G653*(VLOOKUP(B653,Price_data!A$1:B$190,2,FALSE))</f>
        <v>#N/A</v>
      </c>
      <c r="R653" s="3" t="e">
        <f>I653*(VLOOKUP(B653,Price_data!A$1:B$190,2,FALSE))</f>
        <v>#N/A</v>
      </c>
      <c r="S653" s="4" t="str">
        <f>(VLOOKUP(B653,Price_data!A$1:C$190,3,FALSE))</f>
        <v>Open access</v>
      </c>
      <c r="T653" s="2" t="str">
        <f>IF(C653="Total", (VLOOKUP(B653,Recommended_fish_intake!A$4:D$122,4,FALSE)), "NA")</f>
        <v>NA</v>
      </c>
      <c r="U653" s="2" t="str">
        <f t="shared" si="76"/>
        <v>NA</v>
      </c>
    </row>
    <row r="654" spans="1:21" ht="14.25" customHeight="1">
      <c r="A654" s="2" t="s">
        <v>15</v>
      </c>
      <c r="B654" s="2">
        <v>1956</v>
      </c>
      <c r="C654" s="2" t="s">
        <v>19</v>
      </c>
      <c r="D654" s="3">
        <f t="shared" si="70"/>
        <v>137.37045315992683</v>
      </c>
      <c r="E654" s="3">
        <f t="shared" si="71"/>
        <v>2.879</v>
      </c>
      <c r="F654" s="3" t="e">
        <f t="shared" si="72"/>
        <v>#N/A</v>
      </c>
      <c r="G654" s="3" t="e">
        <f t="shared" si="73"/>
        <v>#N/A</v>
      </c>
      <c r="H654" s="3" t="e">
        <f t="shared" si="74"/>
        <v>#N/A</v>
      </c>
      <c r="I654" s="3" t="e">
        <f t="shared" si="75"/>
        <v>#N/A</v>
      </c>
      <c r="J654" s="3">
        <v>137370.45315992684</v>
      </c>
      <c r="K654" s="3">
        <v>2879</v>
      </c>
      <c r="L654" s="3" t="e">
        <v>#N/A</v>
      </c>
      <c r="M654" s="3" t="e">
        <v>#N/A</v>
      </c>
      <c r="N654" s="3" t="e">
        <v>#N/A</v>
      </c>
      <c r="O654" s="3" t="e">
        <v>#N/A</v>
      </c>
      <c r="P654" s="3">
        <f>E654*(VLOOKUP(B654,Price_data!A$1:B$190,2,FALSE))</f>
        <v>42.695633568320005</v>
      </c>
      <c r="Q654" s="3" t="e">
        <f>G654*(VLOOKUP(B654,Price_data!A$1:B$190,2,FALSE))</f>
        <v>#N/A</v>
      </c>
      <c r="R654" s="3" t="e">
        <f>I654*(VLOOKUP(B654,Price_data!A$1:B$190,2,FALSE))</f>
        <v>#N/A</v>
      </c>
      <c r="S654" s="4" t="str">
        <f>(VLOOKUP(B654,Price_data!A$1:C$190,3,FALSE))</f>
        <v>Open access</v>
      </c>
      <c r="T654" s="2" t="str">
        <f>IF(C654="Total", (VLOOKUP(B654,Recommended_fish_intake!A$4:D$122,4,FALSE)), "NA")</f>
        <v>NA</v>
      </c>
      <c r="U654" s="2" t="str">
        <f t="shared" si="76"/>
        <v>NA</v>
      </c>
    </row>
    <row r="655" spans="1:21" ht="14.25" customHeight="1">
      <c r="A655" s="2" t="s">
        <v>15</v>
      </c>
      <c r="B655" s="2">
        <v>1956</v>
      </c>
      <c r="C655" s="2" t="s">
        <v>28</v>
      </c>
      <c r="D655" s="3" t="e">
        <f t="shared" si="70"/>
        <v>#VALUE!</v>
      </c>
      <c r="E655" s="3" t="e">
        <f t="shared" si="71"/>
        <v>#VALUE!</v>
      </c>
      <c r="F655" s="3" t="e">
        <f t="shared" si="72"/>
        <v>#N/A</v>
      </c>
      <c r="G655" s="3" t="e">
        <f t="shared" si="73"/>
        <v>#N/A</v>
      </c>
      <c r="H655" s="3" t="e">
        <f t="shared" si="74"/>
        <v>#N/A</v>
      </c>
      <c r="I655" s="3" t="e">
        <f t="shared" si="75"/>
        <v>#N/A</v>
      </c>
      <c r="J655" s="3" t="e">
        <v>#VALUE!</v>
      </c>
      <c r="K655" s="3" t="e">
        <v>#VALUE!</v>
      </c>
      <c r="L655" s="3" t="e">
        <v>#N/A</v>
      </c>
      <c r="M655" s="3" t="e">
        <v>#N/A</v>
      </c>
      <c r="N655" s="3" t="e">
        <v>#N/A</v>
      </c>
      <c r="O655" s="3" t="e">
        <v>#N/A</v>
      </c>
      <c r="P655" s="3" t="e">
        <f>E655*(VLOOKUP(B655,Price_data!A$1:B$190,2,FALSE))</f>
        <v>#VALUE!</v>
      </c>
      <c r="Q655" s="3" t="e">
        <f>G655*(VLOOKUP(B655,Price_data!A$1:B$190,2,FALSE))</f>
        <v>#N/A</v>
      </c>
      <c r="R655" s="3" t="e">
        <f>I655*(VLOOKUP(B655,Price_data!A$1:B$190,2,FALSE))</f>
        <v>#N/A</v>
      </c>
      <c r="S655" s="4" t="str">
        <f>(VLOOKUP(B655,Price_data!A$1:C$190,3,FALSE))</f>
        <v>Open access</v>
      </c>
      <c r="T655" s="2" t="str">
        <f>IF(C655="Total", (VLOOKUP(B655,Recommended_fish_intake!A$4:D$122,4,FALSE)), "NA")</f>
        <v>NA</v>
      </c>
      <c r="U655" s="2" t="e">
        <f t="shared" si="76"/>
        <v>#VALUE!</v>
      </c>
    </row>
    <row r="656" spans="1:21" ht="14.25" customHeight="1">
      <c r="A656" s="2" t="s">
        <v>15</v>
      </c>
      <c r="B656" s="2">
        <v>1956</v>
      </c>
      <c r="C656" s="2" t="s">
        <v>29</v>
      </c>
      <c r="D656" s="3" t="e">
        <f t="shared" si="70"/>
        <v>#VALUE!</v>
      </c>
      <c r="E656" s="3" t="e">
        <f t="shared" si="71"/>
        <v>#VALUE!</v>
      </c>
      <c r="F656" s="3" t="e">
        <f t="shared" si="72"/>
        <v>#N/A</v>
      </c>
      <c r="G656" s="3" t="e">
        <f t="shared" si="73"/>
        <v>#N/A</v>
      </c>
      <c r="H656" s="3" t="e">
        <f t="shared" si="74"/>
        <v>#N/A</v>
      </c>
      <c r="I656" s="3" t="e">
        <f t="shared" si="75"/>
        <v>#N/A</v>
      </c>
      <c r="J656" s="3" t="e">
        <v>#VALUE!</v>
      </c>
      <c r="K656" s="3" t="e">
        <v>#VALUE!</v>
      </c>
      <c r="L656" s="3" t="e">
        <v>#N/A</v>
      </c>
      <c r="M656" s="3" t="e">
        <v>#N/A</v>
      </c>
      <c r="N656" s="3" t="e">
        <v>#N/A</v>
      </c>
      <c r="O656" s="3" t="e">
        <v>#N/A</v>
      </c>
      <c r="P656" s="3" t="e">
        <f>E656*(VLOOKUP(B656,Price_data!A$1:B$190,2,FALSE))</f>
        <v>#VALUE!</v>
      </c>
      <c r="Q656" s="3" t="e">
        <f>G656*(VLOOKUP(B656,Price_data!A$1:B$190,2,FALSE))</f>
        <v>#N/A</v>
      </c>
      <c r="R656" s="3" t="e">
        <f>I656*(VLOOKUP(B656,Price_data!A$1:B$190,2,FALSE))</f>
        <v>#N/A</v>
      </c>
      <c r="S656" s="4" t="str">
        <f>(VLOOKUP(B656,Price_data!A$1:C$190,3,FALSE))</f>
        <v>Open access</v>
      </c>
      <c r="T656" s="2" t="str">
        <f>IF(C656="Total", (VLOOKUP(B656,Recommended_fish_intake!A$4:D$122,4,FALSE)), "NA")</f>
        <v>NA</v>
      </c>
      <c r="U656" s="2" t="str">
        <f t="shared" si="76"/>
        <v>NA</v>
      </c>
    </row>
    <row r="657" spans="1:21" ht="14.25" customHeight="1">
      <c r="A657" s="2" t="s">
        <v>15</v>
      </c>
      <c r="B657" s="2">
        <v>1956</v>
      </c>
      <c r="C657" s="2" t="s">
        <v>20</v>
      </c>
      <c r="D657" s="3">
        <f t="shared" si="70"/>
        <v>3.0898699451331026</v>
      </c>
      <c r="E657" s="3" t="e">
        <f t="shared" si="71"/>
        <v>#N/A</v>
      </c>
      <c r="F657" s="3" t="e">
        <f t="shared" si="72"/>
        <v>#N/A</v>
      </c>
      <c r="G657" s="3" t="e">
        <f t="shared" si="73"/>
        <v>#N/A</v>
      </c>
      <c r="H657" s="3" t="e">
        <f t="shared" si="74"/>
        <v>#N/A</v>
      </c>
      <c r="I657" s="3" t="e">
        <f t="shared" si="75"/>
        <v>#N/A</v>
      </c>
      <c r="J657" s="3">
        <v>3089.8699451331026</v>
      </c>
      <c r="K657" s="3" t="e">
        <v>#N/A</v>
      </c>
      <c r="L657" s="3" t="e">
        <v>#N/A</v>
      </c>
      <c r="M657" s="3" t="e">
        <v>#N/A</v>
      </c>
      <c r="N657" s="3" t="e">
        <v>#N/A</v>
      </c>
      <c r="O657" s="3" t="e">
        <v>#N/A</v>
      </c>
      <c r="P657" s="3" t="e">
        <f>E657*(VLOOKUP(B657,Price_data!A$1:B$190,2,FALSE))</f>
        <v>#N/A</v>
      </c>
      <c r="Q657" s="3" t="e">
        <f>G657*(VLOOKUP(B657,Price_data!A$1:B$190,2,FALSE))</f>
        <v>#N/A</v>
      </c>
      <c r="R657" s="3" t="e">
        <f>I657*(VLOOKUP(B657,Price_data!A$1:B$190,2,FALSE))</f>
        <v>#N/A</v>
      </c>
      <c r="S657" s="4" t="str">
        <f>(VLOOKUP(B657,Price_data!A$1:C$190,3,FALSE))</f>
        <v>Open access</v>
      </c>
      <c r="T657" s="2" t="str">
        <f>IF(C657="Total", (VLOOKUP(B657,Recommended_fish_intake!A$4:D$122,4,FALSE)), "NA")</f>
        <v>NA</v>
      </c>
      <c r="U657" s="2" t="str">
        <f t="shared" si="76"/>
        <v>NA</v>
      </c>
    </row>
    <row r="658" spans="1:21" ht="14.25" customHeight="1">
      <c r="A658" s="2" t="s">
        <v>15</v>
      </c>
      <c r="B658" s="2">
        <v>1956</v>
      </c>
      <c r="C658" s="2" t="s">
        <v>25</v>
      </c>
      <c r="D658" s="3">
        <f t="shared" si="70"/>
        <v>34.088599878073559</v>
      </c>
      <c r="E658" s="3">
        <f t="shared" si="71"/>
        <v>4.3739999999999997</v>
      </c>
      <c r="F658" s="3" t="e">
        <f t="shared" si="72"/>
        <v>#N/A</v>
      </c>
      <c r="G658" s="3" t="e">
        <f t="shared" si="73"/>
        <v>#N/A</v>
      </c>
      <c r="H658" s="3" t="e">
        <f t="shared" si="74"/>
        <v>#N/A</v>
      </c>
      <c r="I658" s="3" t="e">
        <f t="shared" si="75"/>
        <v>#N/A</v>
      </c>
      <c r="J658" s="3">
        <v>34088.599878073561</v>
      </c>
      <c r="K658" s="3">
        <v>4374</v>
      </c>
      <c r="L658" s="3" t="e">
        <v>#N/A</v>
      </c>
      <c r="M658" s="3" t="e">
        <v>#N/A</v>
      </c>
      <c r="N658" s="3" t="e">
        <v>#N/A</v>
      </c>
      <c r="O658" s="3" t="e">
        <v>#N/A</v>
      </c>
      <c r="P658" s="3">
        <f>E658*(VLOOKUP(B658,Price_data!A$1:B$190,2,FALSE))</f>
        <v>64.866516577919995</v>
      </c>
      <c r="Q658" s="3" t="e">
        <f>G658*(VLOOKUP(B658,Price_data!A$1:B$190,2,FALSE))</f>
        <v>#N/A</v>
      </c>
      <c r="R658" s="3" t="e">
        <f>I658*(VLOOKUP(B658,Price_data!A$1:B$190,2,FALSE))</f>
        <v>#N/A</v>
      </c>
      <c r="S658" s="4" t="str">
        <f>(VLOOKUP(B658,Price_data!A$1:C$190,3,FALSE))</f>
        <v>Open access</v>
      </c>
      <c r="T658" s="2" t="str">
        <f>IF(C658="Total", (VLOOKUP(B658,Recommended_fish_intake!A$4:D$122,4,FALSE)), "NA")</f>
        <v>NA</v>
      </c>
      <c r="U658" s="2" t="str">
        <f t="shared" si="76"/>
        <v>NA</v>
      </c>
    </row>
    <row r="659" spans="1:21" ht="14.25" customHeight="1">
      <c r="A659" s="2" t="s">
        <v>15</v>
      </c>
      <c r="B659" s="2">
        <v>1956</v>
      </c>
      <c r="C659" s="2" t="s">
        <v>24</v>
      </c>
      <c r="D659" s="3">
        <f t="shared" si="70"/>
        <v>50.447063604958338</v>
      </c>
      <c r="E659" s="3">
        <f t="shared" si="71"/>
        <v>1.956</v>
      </c>
      <c r="F659" s="3" t="e">
        <f t="shared" si="72"/>
        <v>#N/A</v>
      </c>
      <c r="G659" s="3" t="e">
        <f t="shared" si="73"/>
        <v>#N/A</v>
      </c>
      <c r="H659" s="3" t="e">
        <f t="shared" si="74"/>
        <v>#N/A</v>
      </c>
      <c r="I659" s="3" t="e">
        <f t="shared" si="75"/>
        <v>#N/A</v>
      </c>
      <c r="J659" s="3">
        <v>50447.063604958341</v>
      </c>
      <c r="K659" s="3">
        <v>1956</v>
      </c>
      <c r="L659" s="3" t="e">
        <v>#N/A</v>
      </c>
      <c r="M659" s="3" t="e">
        <v>#N/A</v>
      </c>
      <c r="N659" s="3" t="e">
        <v>#N/A</v>
      </c>
      <c r="O659" s="3" t="e">
        <v>#N/A</v>
      </c>
      <c r="P659" s="3">
        <f>E659*(VLOOKUP(B659,Price_data!A$1:B$190,2,FALSE))</f>
        <v>29.00752318848</v>
      </c>
      <c r="Q659" s="3" t="e">
        <f>G659*(VLOOKUP(B659,Price_data!A$1:B$190,2,FALSE))</f>
        <v>#N/A</v>
      </c>
      <c r="R659" s="3" t="e">
        <f>I659*(VLOOKUP(B659,Price_data!A$1:B$190,2,FALSE))</f>
        <v>#N/A</v>
      </c>
      <c r="S659" s="4" t="str">
        <f>(VLOOKUP(B659,Price_data!A$1:C$190,3,FALSE))</f>
        <v>Open access</v>
      </c>
      <c r="T659" s="2" t="str">
        <f>IF(C659="Total", (VLOOKUP(B659,Recommended_fish_intake!A$4:D$122,4,FALSE)), "NA")</f>
        <v>NA</v>
      </c>
      <c r="U659" s="2" t="str">
        <f t="shared" si="76"/>
        <v>NA</v>
      </c>
    </row>
    <row r="660" spans="1:21" ht="14.25" customHeight="1">
      <c r="A660" s="2" t="s">
        <v>15</v>
      </c>
      <c r="B660" s="2">
        <v>1956</v>
      </c>
      <c r="C660" s="2" t="s">
        <v>30</v>
      </c>
      <c r="D660" s="3" t="e">
        <f t="shared" si="70"/>
        <v>#N/A</v>
      </c>
      <c r="E660" s="3" t="e">
        <f t="shared" si="71"/>
        <v>#N/A</v>
      </c>
      <c r="F660" s="3" t="e">
        <f t="shared" si="72"/>
        <v>#N/A</v>
      </c>
      <c r="G660" s="3" t="e">
        <f t="shared" si="73"/>
        <v>#N/A</v>
      </c>
      <c r="H660" s="3" t="e">
        <f t="shared" si="74"/>
        <v>#N/A</v>
      </c>
      <c r="I660" s="3" t="e">
        <f t="shared" si="75"/>
        <v>#N/A</v>
      </c>
      <c r="J660" s="3" t="e">
        <v>#N/A</v>
      </c>
      <c r="K660" s="3" t="e">
        <v>#N/A</v>
      </c>
      <c r="L660" s="3" t="e">
        <v>#N/A</v>
      </c>
      <c r="M660" s="3" t="e">
        <v>#N/A</v>
      </c>
      <c r="N660" s="3" t="e">
        <v>#N/A</v>
      </c>
      <c r="O660" s="3" t="e">
        <v>#N/A</v>
      </c>
      <c r="P660" s="3" t="e">
        <f>E660*(VLOOKUP(B660,Price_data!A$1:B$190,2,FALSE))</f>
        <v>#N/A</v>
      </c>
      <c r="Q660" s="3" t="e">
        <f>G660*(VLOOKUP(B660,Price_data!A$1:B$190,2,FALSE))</f>
        <v>#N/A</v>
      </c>
      <c r="R660" s="3" t="e">
        <f>I660*(VLOOKUP(B660,Price_data!A$1:B$190,2,FALSE))</f>
        <v>#N/A</v>
      </c>
      <c r="S660" s="4" t="str">
        <f>(VLOOKUP(B660,Price_data!A$1:C$190,3,FALSE))</f>
        <v>Open access</v>
      </c>
      <c r="T660" s="2" t="str">
        <f>IF(C660="Total", (VLOOKUP(B660,Recommended_fish_intake!A$4:D$122,4,FALSE)), "NA")</f>
        <v>NA</v>
      </c>
      <c r="U660" s="2" t="str">
        <f t="shared" si="76"/>
        <v>NA</v>
      </c>
    </row>
    <row r="661" spans="1:21" ht="14.25" customHeight="1">
      <c r="A661" s="2" t="s">
        <v>15</v>
      </c>
      <c r="B661" s="2">
        <v>1957</v>
      </c>
      <c r="C661" s="2" t="s">
        <v>16</v>
      </c>
      <c r="D661" s="3">
        <f t="shared" si="70"/>
        <v>886.55761024182073</v>
      </c>
      <c r="E661" s="3">
        <f t="shared" si="71"/>
        <v>49.344999999999999</v>
      </c>
      <c r="F661" s="3">
        <f t="shared" si="72"/>
        <v>40.723938223938227</v>
      </c>
      <c r="G661" s="3">
        <f t="shared" si="73"/>
        <v>5.516464</v>
      </c>
      <c r="H661" s="3">
        <f t="shared" si="74"/>
        <v>176.07894736842104</v>
      </c>
      <c r="I661" s="3">
        <f t="shared" si="75"/>
        <v>33.403934</v>
      </c>
      <c r="J661" s="3">
        <v>886557.61024182069</v>
      </c>
      <c r="K661" s="3">
        <v>49345</v>
      </c>
      <c r="L661" s="3">
        <v>40723.938223938225</v>
      </c>
      <c r="M661" s="3">
        <v>5516.4639999999999</v>
      </c>
      <c r="N661" s="3">
        <v>176078.94736842104</v>
      </c>
      <c r="O661" s="3">
        <v>33403.934000000001</v>
      </c>
      <c r="P661" s="3">
        <f>E661*(VLOOKUP(B661,Price_data!A$1:B$190,2,FALSE))</f>
        <v>706.82240954789995</v>
      </c>
      <c r="Q661" s="3">
        <f>G661*(VLOOKUP(B661,Price_data!A$1:B$190,2,FALSE))</f>
        <v>79.018347890652478</v>
      </c>
      <c r="R661" s="3">
        <f>I661*(VLOOKUP(B661,Price_data!A$1:B$190,2,FALSE))</f>
        <v>478.48108457308786</v>
      </c>
      <c r="S661" s="4" t="str">
        <f>(VLOOKUP(B661,Price_data!A$1:C$190,3,FALSE))</f>
        <v>Open access</v>
      </c>
      <c r="T661" s="2">
        <f>IF(C661="Total", (VLOOKUP(B661,Recommended_fish_intake!A$4:D$122,4,FALSE)), "NA")</f>
        <v>663.59663806800006</v>
      </c>
      <c r="U661" s="2" t="str">
        <f t="shared" si="76"/>
        <v>NA</v>
      </c>
    </row>
    <row r="662" spans="1:21" ht="14.25" customHeight="1">
      <c r="A662" s="2" t="s">
        <v>15</v>
      </c>
      <c r="B662" s="2">
        <v>1957</v>
      </c>
      <c r="C662" s="2" t="s">
        <v>22</v>
      </c>
      <c r="D662" s="3">
        <f t="shared" si="70"/>
        <v>344.13737045315992</v>
      </c>
      <c r="E662" s="3">
        <f t="shared" si="71"/>
        <v>19.233000000000001</v>
      </c>
      <c r="F662" s="3" t="e">
        <f t="shared" si="72"/>
        <v>#N/A</v>
      </c>
      <c r="G662" s="3" t="e">
        <f t="shared" si="73"/>
        <v>#N/A</v>
      </c>
      <c r="H662" s="3" t="e">
        <f t="shared" si="74"/>
        <v>#N/A</v>
      </c>
      <c r="I662" s="3" t="e">
        <f t="shared" si="75"/>
        <v>#N/A</v>
      </c>
      <c r="J662" s="3">
        <v>344137.37045315991</v>
      </c>
      <c r="K662" s="3">
        <v>19233</v>
      </c>
      <c r="L662" s="3" t="e">
        <v>#N/A</v>
      </c>
      <c r="M662" s="3" t="e">
        <v>#N/A</v>
      </c>
      <c r="N662" s="3" t="e">
        <v>#N/A</v>
      </c>
      <c r="O662" s="3" t="e">
        <v>#N/A</v>
      </c>
      <c r="P662" s="3">
        <f>E662*(VLOOKUP(B662,Price_data!A$1:B$190,2,FALSE))</f>
        <v>275.49529644006003</v>
      </c>
      <c r="Q662" s="3" t="e">
        <f>G662*(VLOOKUP(B662,Price_data!A$1:B$190,2,FALSE))</f>
        <v>#N/A</v>
      </c>
      <c r="R662" s="3" t="e">
        <f>I662*(VLOOKUP(B662,Price_data!A$1:B$190,2,FALSE))</f>
        <v>#N/A</v>
      </c>
      <c r="S662" s="4" t="str">
        <f>(VLOOKUP(B662,Price_data!A$1:C$190,3,FALSE))</f>
        <v>Open access</v>
      </c>
      <c r="T662" s="2" t="str">
        <f>IF(C662="Total", (VLOOKUP(B662,Recommended_fish_intake!A$4:D$122,4,FALSE)), "NA")</f>
        <v>NA</v>
      </c>
      <c r="U662" s="2" t="str">
        <f t="shared" si="76"/>
        <v>NA</v>
      </c>
    </row>
    <row r="663" spans="1:21" ht="14.25" customHeight="1">
      <c r="A663" s="2" t="s">
        <v>15</v>
      </c>
      <c r="B663" s="2">
        <v>1957</v>
      </c>
      <c r="C663" s="2" t="s">
        <v>23</v>
      </c>
      <c r="D663" s="3">
        <f t="shared" si="70"/>
        <v>159.01239585450111</v>
      </c>
      <c r="E663" s="3">
        <f t="shared" si="71"/>
        <v>8.8249999999999993</v>
      </c>
      <c r="F663" s="3" t="e">
        <f t="shared" si="72"/>
        <v>#N/A</v>
      </c>
      <c r="G663" s="3" t="e">
        <f t="shared" si="73"/>
        <v>#N/A</v>
      </c>
      <c r="H663" s="3" t="e">
        <f t="shared" si="74"/>
        <v>#N/A</v>
      </c>
      <c r="I663" s="3" t="e">
        <f t="shared" si="75"/>
        <v>#N/A</v>
      </c>
      <c r="J663" s="3">
        <v>159012.39585450111</v>
      </c>
      <c r="K663" s="3">
        <v>8825</v>
      </c>
      <c r="L663" s="3" t="e">
        <v>#N/A</v>
      </c>
      <c r="M663" s="3" t="e">
        <v>#N/A</v>
      </c>
      <c r="N663" s="3" t="e">
        <v>#N/A</v>
      </c>
      <c r="O663" s="3" t="e">
        <v>#N/A</v>
      </c>
      <c r="P663" s="3">
        <f>E663*(VLOOKUP(B663,Price_data!A$1:B$190,2,FALSE))</f>
        <v>126.4101279615</v>
      </c>
      <c r="Q663" s="3" t="e">
        <f>G663*(VLOOKUP(B663,Price_data!A$1:B$190,2,FALSE))</f>
        <v>#N/A</v>
      </c>
      <c r="R663" s="3" t="e">
        <f>I663*(VLOOKUP(B663,Price_data!A$1:B$190,2,FALSE))</f>
        <v>#N/A</v>
      </c>
      <c r="S663" s="4" t="str">
        <f>(VLOOKUP(B663,Price_data!A$1:C$190,3,FALSE))</f>
        <v>Open access</v>
      </c>
      <c r="T663" s="2" t="str">
        <f>IF(C663="Total", (VLOOKUP(B663,Recommended_fish_intake!A$4:D$122,4,FALSE)), "NA")</f>
        <v>NA</v>
      </c>
      <c r="U663" s="2" t="str">
        <f t="shared" si="76"/>
        <v>NA</v>
      </c>
    </row>
    <row r="664" spans="1:21" ht="14.25" customHeight="1">
      <c r="A664" s="2" t="s">
        <v>15</v>
      </c>
      <c r="B664" s="2">
        <v>1957</v>
      </c>
      <c r="C664" s="2" t="s">
        <v>19</v>
      </c>
      <c r="D664" s="3">
        <f t="shared" si="70"/>
        <v>121.62162162162161</v>
      </c>
      <c r="E664" s="3">
        <f t="shared" si="71"/>
        <v>2.6850000000000001</v>
      </c>
      <c r="F664" s="3" t="e">
        <f t="shared" si="72"/>
        <v>#N/A</v>
      </c>
      <c r="G664" s="3" t="e">
        <f t="shared" si="73"/>
        <v>#N/A</v>
      </c>
      <c r="H664" s="3" t="e">
        <f t="shared" si="74"/>
        <v>#N/A</v>
      </c>
      <c r="I664" s="3" t="e">
        <f t="shared" si="75"/>
        <v>#N/A</v>
      </c>
      <c r="J664" s="3">
        <v>121621.62162162161</v>
      </c>
      <c r="K664" s="3">
        <v>2685</v>
      </c>
      <c r="L664" s="3" t="e">
        <v>#N/A</v>
      </c>
      <c r="M664" s="3" t="e">
        <v>#N/A</v>
      </c>
      <c r="N664" s="3" t="e">
        <v>#N/A</v>
      </c>
      <c r="O664" s="3" t="e">
        <v>#N/A</v>
      </c>
      <c r="P664" s="3">
        <f>E664*(VLOOKUP(B664,Price_data!A$1:B$190,2,FALSE))</f>
        <v>38.460191906699997</v>
      </c>
      <c r="Q664" s="3" t="e">
        <f>G664*(VLOOKUP(B664,Price_data!A$1:B$190,2,FALSE))</f>
        <v>#N/A</v>
      </c>
      <c r="R664" s="3" t="e">
        <f>I664*(VLOOKUP(B664,Price_data!A$1:B$190,2,FALSE))</f>
        <v>#N/A</v>
      </c>
      <c r="S664" s="4" t="str">
        <f>(VLOOKUP(B664,Price_data!A$1:C$190,3,FALSE))</f>
        <v>Open access</v>
      </c>
      <c r="T664" s="2" t="str">
        <f>IF(C664="Total", (VLOOKUP(B664,Recommended_fish_intake!A$4:D$122,4,FALSE)), "NA")</f>
        <v>NA</v>
      </c>
      <c r="U664" s="2" t="str">
        <f t="shared" si="76"/>
        <v>NA</v>
      </c>
    </row>
    <row r="665" spans="1:21" ht="14.25" customHeight="1">
      <c r="A665" s="2" t="s">
        <v>15</v>
      </c>
      <c r="B665" s="2">
        <v>1957</v>
      </c>
      <c r="C665" s="2" t="s">
        <v>28</v>
      </c>
      <c r="D665" s="3" t="e">
        <f t="shared" si="70"/>
        <v>#VALUE!</v>
      </c>
      <c r="E665" s="3" t="e">
        <f t="shared" si="71"/>
        <v>#VALUE!</v>
      </c>
      <c r="F665" s="3" t="e">
        <f t="shared" si="72"/>
        <v>#N/A</v>
      </c>
      <c r="G665" s="3" t="e">
        <f t="shared" si="73"/>
        <v>#N/A</v>
      </c>
      <c r="H665" s="3" t="e">
        <f t="shared" si="74"/>
        <v>#N/A</v>
      </c>
      <c r="I665" s="3" t="e">
        <f t="shared" si="75"/>
        <v>#N/A</v>
      </c>
      <c r="J665" s="3" t="e">
        <v>#VALUE!</v>
      </c>
      <c r="K665" s="3" t="e">
        <v>#VALUE!</v>
      </c>
      <c r="L665" s="3" t="e">
        <v>#N/A</v>
      </c>
      <c r="M665" s="3" t="e">
        <v>#N/A</v>
      </c>
      <c r="N665" s="3" t="e">
        <v>#N/A</v>
      </c>
      <c r="O665" s="3" t="e">
        <v>#N/A</v>
      </c>
      <c r="P665" s="3" t="e">
        <f>E665*(VLOOKUP(B665,Price_data!A$1:B$190,2,FALSE))</f>
        <v>#VALUE!</v>
      </c>
      <c r="Q665" s="3" t="e">
        <f>G665*(VLOOKUP(B665,Price_data!A$1:B$190,2,FALSE))</f>
        <v>#N/A</v>
      </c>
      <c r="R665" s="3" t="e">
        <f>I665*(VLOOKUP(B665,Price_data!A$1:B$190,2,FALSE))</f>
        <v>#N/A</v>
      </c>
      <c r="S665" s="4" t="str">
        <f>(VLOOKUP(B665,Price_data!A$1:C$190,3,FALSE))</f>
        <v>Open access</v>
      </c>
      <c r="T665" s="2" t="str">
        <f>IF(C665="Total", (VLOOKUP(B665,Recommended_fish_intake!A$4:D$122,4,FALSE)), "NA")</f>
        <v>NA</v>
      </c>
      <c r="U665" s="2" t="e">
        <f t="shared" si="76"/>
        <v>#VALUE!</v>
      </c>
    </row>
    <row r="666" spans="1:21" ht="14.25" customHeight="1">
      <c r="A666" s="2" t="s">
        <v>15</v>
      </c>
      <c r="B666" s="2">
        <v>1957</v>
      </c>
      <c r="C666" s="2" t="s">
        <v>29</v>
      </c>
      <c r="D666" s="3" t="e">
        <f t="shared" si="70"/>
        <v>#VALUE!</v>
      </c>
      <c r="E666" s="3" t="e">
        <f t="shared" si="71"/>
        <v>#VALUE!</v>
      </c>
      <c r="F666" s="3" t="e">
        <f t="shared" si="72"/>
        <v>#N/A</v>
      </c>
      <c r="G666" s="3" t="e">
        <f t="shared" si="73"/>
        <v>#N/A</v>
      </c>
      <c r="H666" s="3" t="e">
        <f t="shared" si="74"/>
        <v>#N/A</v>
      </c>
      <c r="I666" s="3" t="e">
        <f t="shared" si="75"/>
        <v>#N/A</v>
      </c>
      <c r="J666" s="3" t="e">
        <v>#VALUE!</v>
      </c>
      <c r="K666" s="3" t="e">
        <v>#VALUE!</v>
      </c>
      <c r="L666" s="3" t="e">
        <v>#N/A</v>
      </c>
      <c r="M666" s="3" t="e">
        <v>#N/A</v>
      </c>
      <c r="N666" s="3" t="e">
        <v>#N/A</v>
      </c>
      <c r="O666" s="3" t="e">
        <v>#N/A</v>
      </c>
      <c r="P666" s="3" t="e">
        <f>E666*(VLOOKUP(B666,Price_data!A$1:B$190,2,FALSE))</f>
        <v>#VALUE!</v>
      </c>
      <c r="Q666" s="3" t="e">
        <f>G666*(VLOOKUP(B666,Price_data!A$1:B$190,2,FALSE))</f>
        <v>#N/A</v>
      </c>
      <c r="R666" s="3" t="e">
        <f>I666*(VLOOKUP(B666,Price_data!A$1:B$190,2,FALSE))</f>
        <v>#N/A</v>
      </c>
      <c r="S666" s="4" t="str">
        <f>(VLOOKUP(B666,Price_data!A$1:C$190,3,FALSE))</f>
        <v>Open access</v>
      </c>
      <c r="T666" s="2" t="str">
        <f>IF(C666="Total", (VLOOKUP(B666,Recommended_fish_intake!A$4:D$122,4,FALSE)), "NA")</f>
        <v>NA</v>
      </c>
      <c r="U666" s="2" t="str">
        <f t="shared" si="76"/>
        <v>NA</v>
      </c>
    </row>
    <row r="667" spans="1:21" ht="14.25" customHeight="1">
      <c r="A667" s="2" t="s">
        <v>15</v>
      </c>
      <c r="B667" s="2">
        <v>1957</v>
      </c>
      <c r="C667" s="2" t="s">
        <v>20</v>
      </c>
      <c r="D667" s="3">
        <f t="shared" si="70"/>
        <v>3.7528957528957525</v>
      </c>
      <c r="E667" s="3" t="e">
        <f t="shared" si="71"/>
        <v>#N/A</v>
      </c>
      <c r="F667" s="3" t="e">
        <f t="shared" si="72"/>
        <v>#N/A</v>
      </c>
      <c r="G667" s="3" t="e">
        <f t="shared" si="73"/>
        <v>#N/A</v>
      </c>
      <c r="H667" s="3" t="e">
        <f t="shared" si="74"/>
        <v>#N/A</v>
      </c>
      <c r="I667" s="3" t="e">
        <f t="shared" si="75"/>
        <v>#N/A</v>
      </c>
      <c r="J667" s="3">
        <v>3752.8957528957526</v>
      </c>
      <c r="K667" s="3" t="e">
        <v>#N/A</v>
      </c>
      <c r="L667" s="3" t="e">
        <v>#N/A</v>
      </c>
      <c r="M667" s="3" t="e">
        <v>#N/A</v>
      </c>
      <c r="N667" s="3" t="e">
        <v>#N/A</v>
      </c>
      <c r="O667" s="3" t="e">
        <v>#N/A</v>
      </c>
      <c r="P667" s="3" t="e">
        <f>E667*(VLOOKUP(B667,Price_data!A$1:B$190,2,FALSE))</f>
        <v>#N/A</v>
      </c>
      <c r="Q667" s="3" t="e">
        <f>G667*(VLOOKUP(B667,Price_data!A$1:B$190,2,FALSE))</f>
        <v>#N/A</v>
      </c>
      <c r="R667" s="3" t="e">
        <f>I667*(VLOOKUP(B667,Price_data!A$1:B$190,2,FALSE))</f>
        <v>#N/A</v>
      </c>
      <c r="S667" s="4" t="str">
        <f>(VLOOKUP(B667,Price_data!A$1:C$190,3,FALSE))</f>
        <v>Open access</v>
      </c>
      <c r="T667" s="2" t="str">
        <f>IF(C667="Total", (VLOOKUP(B667,Recommended_fish_intake!A$4:D$122,4,FALSE)), "NA")</f>
        <v>NA</v>
      </c>
      <c r="U667" s="2" t="str">
        <f t="shared" si="76"/>
        <v>NA</v>
      </c>
    </row>
    <row r="668" spans="1:21" ht="14.25" customHeight="1">
      <c r="A668" s="2" t="s">
        <v>15</v>
      </c>
      <c r="B668" s="2">
        <v>1957</v>
      </c>
      <c r="C668" s="2" t="s">
        <v>25</v>
      </c>
      <c r="D668" s="3">
        <f t="shared" si="70"/>
        <v>34.241007925218454</v>
      </c>
      <c r="E668" s="3">
        <f t="shared" si="71"/>
        <v>4.2190000000000003</v>
      </c>
      <c r="F668" s="3" t="e">
        <f t="shared" si="72"/>
        <v>#N/A</v>
      </c>
      <c r="G668" s="3" t="e">
        <f t="shared" si="73"/>
        <v>#N/A</v>
      </c>
      <c r="H668" s="3" t="e">
        <f t="shared" si="74"/>
        <v>#N/A</v>
      </c>
      <c r="I668" s="3" t="e">
        <f t="shared" si="75"/>
        <v>#N/A</v>
      </c>
      <c r="J668" s="3">
        <v>34241.007925218451</v>
      </c>
      <c r="K668" s="3">
        <v>4219</v>
      </c>
      <c r="L668" s="3" t="e">
        <v>#N/A</v>
      </c>
      <c r="M668" s="3" t="e">
        <v>#N/A</v>
      </c>
      <c r="N668" s="3" t="e">
        <v>#N/A</v>
      </c>
      <c r="O668" s="3" t="e">
        <v>#N/A</v>
      </c>
      <c r="P668" s="3">
        <f>E668*(VLOOKUP(B668,Price_data!A$1:B$190,2,FALSE))</f>
        <v>60.433351826580001</v>
      </c>
      <c r="Q668" s="3" t="e">
        <f>G668*(VLOOKUP(B668,Price_data!A$1:B$190,2,FALSE))</f>
        <v>#N/A</v>
      </c>
      <c r="R668" s="3" t="e">
        <f>I668*(VLOOKUP(B668,Price_data!A$1:B$190,2,FALSE))</f>
        <v>#N/A</v>
      </c>
      <c r="S668" s="4" t="str">
        <f>(VLOOKUP(B668,Price_data!A$1:C$190,3,FALSE))</f>
        <v>Open access</v>
      </c>
      <c r="T668" s="2" t="str">
        <f>IF(C668="Total", (VLOOKUP(B668,Recommended_fish_intake!A$4:D$122,4,FALSE)), "NA")</f>
        <v>NA</v>
      </c>
      <c r="U668" s="2" t="str">
        <f t="shared" si="76"/>
        <v>NA</v>
      </c>
    </row>
    <row r="669" spans="1:21" ht="14.25" customHeight="1">
      <c r="A669" s="2" t="s">
        <v>15</v>
      </c>
      <c r="B669" s="2">
        <v>1957</v>
      </c>
      <c r="C669" s="2" t="s">
        <v>24</v>
      </c>
      <c r="D669" s="3">
        <f t="shared" si="70"/>
        <v>49.329404592562483</v>
      </c>
      <c r="E669" s="3">
        <f t="shared" si="71"/>
        <v>1.8180000000000001</v>
      </c>
      <c r="F669" s="3" t="e">
        <f t="shared" si="72"/>
        <v>#N/A</v>
      </c>
      <c r="G669" s="3" t="e">
        <f t="shared" si="73"/>
        <v>#N/A</v>
      </c>
      <c r="H669" s="3" t="e">
        <f t="shared" si="74"/>
        <v>#N/A</v>
      </c>
      <c r="I669" s="3" t="e">
        <f t="shared" si="75"/>
        <v>#N/A</v>
      </c>
      <c r="J669" s="3">
        <v>49329.404592562481</v>
      </c>
      <c r="K669" s="3">
        <v>1818</v>
      </c>
      <c r="L669" s="3" t="e">
        <v>#N/A</v>
      </c>
      <c r="M669" s="3" t="e">
        <v>#N/A</v>
      </c>
      <c r="N669" s="3" t="e">
        <v>#N/A</v>
      </c>
      <c r="O669" s="3" t="e">
        <v>#N/A</v>
      </c>
      <c r="P669" s="3">
        <f>E669*(VLOOKUP(B669,Price_data!A$1:B$190,2,FALSE))</f>
        <v>26.041202564759999</v>
      </c>
      <c r="Q669" s="3" t="e">
        <f>G669*(VLOOKUP(B669,Price_data!A$1:B$190,2,FALSE))</f>
        <v>#N/A</v>
      </c>
      <c r="R669" s="3" t="e">
        <f>I669*(VLOOKUP(B669,Price_data!A$1:B$190,2,FALSE))</f>
        <v>#N/A</v>
      </c>
      <c r="S669" s="4" t="str">
        <f>(VLOOKUP(B669,Price_data!A$1:C$190,3,FALSE))</f>
        <v>Open access</v>
      </c>
      <c r="T669" s="2" t="str">
        <f>IF(C669="Total", (VLOOKUP(B669,Recommended_fish_intake!A$4:D$122,4,FALSE)), "NA")</f>
        <v>NA</v>
      </c>
      <c r="U669" s="2" t="str">
        <f t="shared" si="76"/>
        <v>NA</v>
      </c>
    </row>
    <row r="670" spans="1:21" ht="14.25" customHeight="1">
      <c r="A670" s="2" t="s">
        <v>15</v>
      </c>
      <c r="B670" s="2">
        <v>1957</v>
      </c>
      <c r="C670" s="2" t="s">
        <v>30</v>
      </c>
      <c r="D670" s="3" t="e">
        <f t="shared" si="70"/>
        <v>#N/A</v>
      </c>
      <c r="E670" s="3" t="e">
        <f t="shared" si="71"/>
        <v>#N/A</v>
      </c>
      <c r="F670" s="3" t="e">
        <f t="shared" si="72"/>
        <v>#N/A</v>
      </c>
      <c r="G670" s="3" t="e">
        <f t="shared" si="73"/>
        <v>#N/A</v>
      </c>
      <c r="H670" s="3" t="e">
        <f t="shared" si="74"/>
        <v>#N/A</v>
      </c>
      <c r="I670" s="3" t="e">
        <f t="shared" si="75"/>
        <v>#N/A</v>
      </c>
      <c r="J670" s="3" t="e">
        <v>#N/A</v>
      </c>
      <c r="K670" s="3" t="e">
        <v>#N/A</v>
      </c>
      <c r="L670" s="3" t="e">
        <v>#N/A</v>
      </c>
      <c r="M670" s="3" t="e">
        <v>#N/A</v>
      </c>
      <c r="N670" s="3" t="e">
        <v>#N/A</v>
      </c>
      <c r="O670" s="3" t="e">
        <v>#N/A</v>
      </c>
      <c r="P670" s="3" t="e">
        <f>E670*(VLOOKUP(B670,Price_data!A$1:B$190,2,FALSE))</f>
        <v>#N/A</v>
      </c>
      <c r="Q670" s="3" t="e">
        <f>G670*(VLOOKUP(B670,Price_data!A$1:B$190,2,FALSE))</f>
        <v>#N/A</v>
      </c>
      <c r="R670" s="3" t="e">
        <f>I670*(VLOOKUP(B670,Price_data!A$1:B$190,2,FALSE))</f>
        <v>#N/A</v>
      </c>
      <c r="S670" s="4" t="str">
        <f>(VLOOKUP(B670,Price_data!A$1:C$190,3,FALSE))</f>
        <v>Open access</v>
      </c>
      <c r="T670" s="2" t="str">
        <f>IF(C670="Total", (VLOOKUP(B670,Recommended_fish_intake!A$4:D$122,4,FALSE)), "NA")</f>
        <v>NA</v>
      </c>
      <c r="U670" s="2" t="str">
        <f t="shared" si="76"/>
        <v>NA</v>
      </c>
    </row>
    <row r="671" spans="1:21" ht="14.25" customHeight="1">
      <c r="A671" s="2" t="s">
        <v>15</v>
      </c>
      <c r="B671" s="2">
        <v>1958</v>
      </c>
      <c r="C671" s="2" t="s">
        <v>16</v>
      </c>
      <c r="D671" s="3">
        <f t="shared" si="70"/>
        <v>879.90245884982721</v>
      </c>
      <c r="E671" s="3">
        <f t="shared" si="71"/>
        <v>52.061999999999998</v>
      </c>
      <c r="F671" s="3">
        <f t="shared" si="72"/>
        <v>44.34571225360699</v>
      </c>
      <c r="G671" s="3">
        <f t="shared" si="73"/>
        <v>5.9441450000000007</v>
      </c>
      <c r="H671" s="3">
        <f t="shared" si="74"/>
        <v>186.55181873602928</v>
      </c>
      <c r="I671" s="3">
        <f t="shared" si="75"/>
        <v>48.412101</v>
      </c>
      <c r="J671" s="3">
        <v>879902.45884982718</v>
      </c>
      <c r="K671" s="3">
        <v>52062</v>
      </c>
      <c r="L671" s="3">
        <v>44345.712253606987</v>
      </c>
      <c r="M671" s="3">
        <v>5944.1450000000004</v>
      </c>
      <c r="N671" s="3">
        <v>186551.81873602926</v>
      </c>
      <c r="O671" s="3">
        <v>48412.101000000002</v>
      </c>
      <c r="P671" s="3">
        <f>E671*(VLOOKUP(B671,Price_data!A$1:B$190,2,FALSE))</f>
        <v>722.62916532797999</v>
      </c>
      <c r="Q671" s="3">
        <f>G671*(VLOOKUP(B671,Price_data!A$1:B$190,2,FALSE))</f>
        <v>82.50571510772707</v>
      </c>
      <c r="R671" s="3">
        <f>I671*(VLOOKUP(B671,Price_data!A$1:B$190,2,FALSE))</f>
        <v>671.96796391617431</v>
      </c>
      <c r="S671" s="4" t="str">
        <f>(VLOOKUP(B671,Price_data!A$1:C$190,3,FALSE))</f>
        <v>Open access</v>
      </c>
      <c r="T671" s="2">
        <f>IF(C671="Total", (VLOOKUP(B671,Recommended_fish_intake!A$4:D$122,4,FALSE)), "NA")</f>
        <v>666.234135294</v>
      </c>
      <c r="U671" s="2" t="str">
        <f t="shared" si="76"/>
        <v>NA</v>
      </c>
    </row>
    <row r="672" spans="1:21" ht="14.25" customHeight="1">
      <c r="A672" s="2" t="s">
        <v>15</v>
      </c>
      <c r="B672" s="2">
        <v>1958</v>
      </c>
      <c r="C672" s="2" t="s">
        <v>22</v>
      </c>
      <c r="D672" s="3">
        <f t="shared" si="70"/>
        <v>342.81650071123755</v>
      </c>
      <c r="E672" s="3">
        <f t="shared" si="71"/>
        <v>20.344999999999999</v>
      </c>
      <c r="F672" s="3" t="e">
        <f t="shared" si="72"/>
        <v>#N/A</v>
      </c>
      <c r="G672" s="3" t="e">
        <f t="shared" si="73"/>
        <v>#N/A</v>
      </c>
      <c r="H672" s="3" t="e">
        <f t="shared" si="74"/>
        <v>#N/A</v>
      </c>
      <c r="I672" s="3" t="e">
        <f t="shared" si="75"/>
        <v>#N/A</v>
      </c>
      <c r="J672" s="3">
        <v>342816.50071123755</v>
      </c>
      <c r="K672" s="3">
        <v>20345</v>
      </c>
      <c r="L672" s="3" t="e">
        <v>#N/A</v>
      </c>
      <c r="M672" s="3" t="e">
        <v>#N/A</v>
      </c>
      <c r="N672" s="3" t="e">
        <v>#N/A</v>
      </c>
      <c r="O672" s="3" t="e">
        <v>#N/A</v>
      </c>
      <c r="P672" s="3">
        <f>E672*(VLOOKUP(B672,Price_data!A$1:B$190,2,FALSE))</f>
        <v>282.39196282504997</v>
      </c>
      <c r="Q672" s="3" t="e">
        <f>G672*(VLOOKUP(B672,Price_data!A$1:B$190,2,FALSE))</f>
        <v>#N/A</v>
      </c>
      <c r="R672" s="3" t="e">
        <f>I672*(VLOOKUP(B672,Price_data!A$1:B$190,2,FALSE))</f>
        <v>#N/A</v>
      </c>
      <c r="S672" s="4" t="str">
        <f>(VLOOKUP(B672,Price_data!A$1:C$190,3,FALSE))</f>
        <v>Open access</v>
      </c>
      <c r="T672" s="2" t="str">
        <f>IF(C672="Total", (VLOOKUP(B672,Recommended_fish_intake!A$4:D$122,4,FALSE)), "NA")</f>
        <v>NA</v>
      </c>
      <c r="U672" s="2" t="str">
        <f t="shared" si="76"/>
        <v>NA</v>
      </c>
    </row>
    <row r="673" spans="1:21" ht="14.25" customHeight="1">
      <c r="A673" s="2" t="s">
        <v>15</v>
      </c>
      <c r="B673" s="2">
        <v>1958</v>
      </c>
      <c r="C673" s="2" t="s">
        <v>23</v>
      </c>
      <c r="D673" s="3">
        <f t="shared" si="70"/>
        <v>144.94005283478967</v>
      </c>
      <c r="E673" s="3">
        <f t="shared" si="71"/>
        <v>9.1310000000000002</v>
      </c>
      <c r="F673" s="3" t="e">
        <f t="shared" si="72"/>
        <v>#N/A</v>
      </c>
      <c r="G673" s="3" t="e">
        <f t="shared" si="73"/>
        <v>#N/A</v>
      </c>
      <c r="H673" s="3" t="e">
        <f t="shared" si="74"/>
        <v>#N/A</v>
      </c>
      <c r="I673" s="3" t="e">
        <f t="shared" si="75"/>
        <v>#N/A</v>
      </c>
      <c r="J673" s="3">
        <v>144940.05283478968</v>
      </c>
      <c r="K673" s="3">
        <v>9131</v>
      </c>
      <c r="L673" s="3" t="e">
        <v>#N/A</v>
      </c>
      <c r="M673" s="3" t="e">
        <v>#N/A</v>
      </c>
      <c r="N673" s="3" t="e">
        <v>#N/A</v>
      </c>
      <c r="O673" s="3" t="e">
        <v>#N/A</v>
      </c>
      <c r="P673" s="3">
        <f>E673*(VLOOKUP(B673,Price_data!A$1:B$190,2,FALSE))</f>
        <v>126.73978926299002</v>
      </c>
      <c r="Q673" s="3" t="e">
        <f>G673*(VLOOKUP(B673,Price_data!A$1:B$190,2,FALSE))</f>
        <v>#N/A</v>
      </c>
      <c r="R673" s="3" t="e">
        <f>I673*(VLOOKUP(B673,Price_data!A$1:B$190,2,FALSE))</f>
        <v>#N/A</v>
      </c>
      <c r="S673" s="4" t="str">
        <f>(VLOOKUP(B673,Price_data!A$1:C$190,3,FALSE))</f>
        <v>Open access</v>
      </c>
      <c r="T673" s="2" t="str">
        <f>IF(C673="Total", (VLOOKUP(B673,Recommended_fish_intake!A$4:D$122,4,FALSE)), "NA")</f>
        <v>NA</v>
      </c>
      <c r="U673" s="2" t="str">
        <f t="shared" si="76"/>
        <v>NA</v>
      </c>
    </row>
    <row r="674" spans="1:21" ht="14.25" customHeight="1">
      <c r="A674" s="2" t="s">
        <v>15</v>
      </c>
      <c r="B674" s="2">
        <v>1958</v>
      </c>
      <c r="C674" s="2" t="s">
        <v>19</v>
      </c>
      <c r="D674" s="3">
        <f t="shared" si="70"/>
        <v>112.78195488721805</v>
      </c>
      <c r="E674" s="3">
        <f t="shared" si="71"/>
        <v>2.7839999999999998</v>
      </c>
      <c r="F674" s="3" t="e">
        <f t="shared" si="72"/>
        <v>#N/A</v>
      </c>
      <c r="G674" s="3" t="e">
        <f t="shared" si="73"/>
        <v>#N/A</v>
      </c>
      <c r="H674" s="3" t="e">
        <f t="shared" si="74"/>
        <v>#N/A</v>
      </c>
      <c r="I674" s="3" t="e">
        <f t="shared" si="75"/>
        <v>#N/A</v>
      </c>
      <c r="J674" s="3">
        <v>112781.95488721805</v>
      </c>
      <c r="K674" s="3">
        <v>2784</v>
      </c>
      <c r="L674" s="3" t="e">
        <v>#N/A</v>
      </c>
      <c r="M674" s="3" t="e">
        <v>#N/A</v>
      </c>
      <c r="N674" s="3" t="e">
        <v>#N/A</v>
      </c>
      <c r="O674" s="3" t="e">
        <v>#N/A</v>
      </c>
      <c r="P674" s="3">
        <f>E674*(VLOOKUP(B674,Price_data!A$1:B$190,2,FALSE))</f>
        <v>38.642380167360002</v>
      </c>
      <c r="Q674" s="3" t="e">
        <f>G674*(VLOOKUP(B674,Price_data!A$1:B$190,2,FALSE))</f>
        <v>#N/A</v>
      </c>
      <c r="R674" s="3" t="e">
        <f>I674*(VLOOKUP(B674,Price_data!A$1:B$190,2,FALSE))</f>
        <v>#N/A</v>
      </c>
      <c r="S674" s="4" t="str">
        <f>(VLOOKUP(B674,Price_data!A$1:C$190,3,FALSE))</f>
        <v>Open access</v>
      </c>
      <c r="T674" s="2" t="str">
        <f>IF(C674="Total", (VLOOKUP(B674,Recommended_fish_intake!A$4:D$122,4,FALSE)), "NA")</f>
        <v>NA</v>
      </c>
      <c r="U674" s="2" t="str">
        <f t="shared" si="76"/>
        <v>NA</v>
      </c>
    </row>
    <row r="675" spans="1:21" ht="14.25" customHeight="1">
      <c r="A675" s="2" t="s">
        <v>15</v>
      </c>
      <c r="B675" s="2">
        <v>1958</v>
      </c>
      <c r="C675" s="2" t="s">
        <v>28</v>
      </c>
      <c r="D675" s="3" t="e">
        <f t="shared" si="70"/>
        <v>#VALUE!</v>
      </c>
      <c r="E675" s="3" t="e">
        <f t="shared" si="71"/>
        <v>#VALUE!</v>
      </c>
      <c r="F675" s="3" t="e">
        <f t="shared" si="72"/>
        <v>#N/A</v>
      </c>
      <c r="G675" s="3" t="e">
        <f t="shared" si="73"/>
        <v>#N/A</v>
      </c>
      <c r="H675" s="3" t="e">
        <f t="shared" si="74"/>
        <v>#N/A</v>
      </c>
      <c r="I675" s="3" t="e">
        <f t="shared" si="75"/>
        <v>#N/A</v>
      </c>
      <c r="J675" s="3" t="e">
        <v>#VALUE!</v>
      </c>
      <c r="K675" s="3" t="e">
        <v>#VALUE!</v>
      </c>
      <c r="L675" s="3" t="e">
        <v>#N/A</v>
      </c>
      <c r="M675" s="3" t="e">
        <v>#N/A</v>
      </c>
      <c r="N675" s="3" t="e">
        <v>#N/A</v>
      </c>
      <c r="O675" s="3" t="e">
        <v>#N/A</v>
      </c>
      <c r="P675" s="3" t="e">
        <f>E675*(VLOOKUP(B675,Price_data!A$1:B$190,2,FALSE))</f>
        <v>#VALUE!</v>
      </c>
      <c r="Q675" s="3" t="e">
        <f>G675*(VLOOKUP(B675,Price_data!A$1:B$190,2,FALSE))</f>
        <v>#N/A</v>
      </c>
      <c r="R675" s="3" t="e">
        <f>I675*(VLOOKUP(B675,Price_data!A$1:B$190,2,FALSE))</f>
        <v>#N/A</v>
      </c>
      <c r="S675" s="4" t="str">
        <f>(VLOOKUP(B675,Price_data!A$1:C$190,3,FALSE))</f>
        <v>Open access</v>
      </c>
      <c r="T675" s="2" t="str">
        <f>IF(C675="Total", (VLOOKUP(B675,Recommended_fish_intake!A$4:D$122,4,FALSE)), "NA")</f>
        <v>NA</v>
      </c>
      <c r="U675" s="2" t="e">
        <f t="shared" si="76"/>
        <v>#VALUE!</v>
      </c>
    </row>
    <row r="676" spans="1:21" ht="14.25" customHeight="1">
      <c r="A676" s="2" t="s">
        <v>15</v>
      </c>
      <c r="B676" s="2">
        <v>1958</v>
      </c>
      <c r="C676" s="2" t="s">
        <v>29</v>
      </c>
      <c r="D676" s="3" t="e">
        <f t="shared" si="70"/>
        <v>#VALUE!</v>
      </c>
      <c r="E676" s="3" t="e">
        <f t="shared" si="71"/>
        <v>#VALUE!</v>
      </c>
      <c r="F676" s="3" t="e">
        <f t="shared" si="72"/>
        <v>#N/A</v>
      </c>
      <c r="G676" s="3" t="e">
        <f t="shared" si="73"/>
        <v>#N/A</v>
      </c>
      <c r="H676" s="3" t="e">
        <f t="shared" si="74"/>
        <v>#N/A</v>
      </c>
      <c r="I676" s="3" t="e">
        <f t="shared" si="75"/>
        <v>#N/A</v>
      </c>
      <c r="J676" s="3" t="e">
        <v>#VALUE!</v>
      </c>
      <c r="K676" s="3" t="e">
        <v>#VALUE!</v>
      </c>
      <c r="L676" s="3" t="e">
        <v>#N/A</v>
      </c>
      <c r="M676" s="3" t="e">
        <v>#N/A</v>
      </c>
      <c r="N676" s="3" t="e">
        <v>#N/A</v>
      </c>
      <c r="O676" s="3" t="e">
        <v>#N/A</v>
      </c>
      <c r="P676" s="3" t="e">
        <f>E676*(VLOOKUP(B676,Price_data!A$1:B$190,2,FALSE))</f>
        <v>#VALUE!</v>
      </c>
      <c r="Q676" s="3" t="e">
        <f>G676*(VLOOKUP(B676,Price_data!A$1:B$190,2,FALSE))</f>
        <v>#N/A</v>
      </c>
      <c r="R676" s="3" t="e">
        <f>I676*(VLOOKUP(B676,Price_data!A$1:B$190,2,FALSE))</f>
        <v>#N/A</v>
      </c>
      <c r="S676" s="4" t="str">
        <f>(VLOOKUP(B676,Price_data!A$1:C$190,3,FALSE))</f>
        <v>Open access</v>
      </c>
      <c r="T676" s="2" t="str">
        <f>IF(C676="Total", (VLOOKUP(B676,Recommended_fish_intake!A$4:D$122,4,FALSE)), "NA")</f>
        <v>NA</v>
      </c>
      <c r="U676" s="2" t="str">
        <f t="shared" si="76"/>
        <v>NA</v>
      </c>
    </row>
    <row r="677" spans="1:21" ht="14.25" customHeight="1">
      <c r="A677" s="2" t="s">
        <v>15</v>
      </c>
      <c r="B677" s="2">
        <v>1958</v>
      </c>
      <c r="C677" s="2" t="s">
        <v>20</v>
      </c>
      <c r="D677" s="3">
        <f t="shared" si="70"/>
        <v>3.9011887827677301</v>
      </c>
      <c r="E677" s="3" t="e">
        <f t="shared" si="71"/>
        <v>#N/A</v>
      </c>
      <c r="F677" s="3" t="e">
        <f t="shared" si="72"/>
        <v>#N/A</v>
      </c>
      <c r="G677" s="3" t="e">
        <f t="shared" si="73"/>
        <v>#N/A</v>
      </c>
      <c r="H677" s="3" t="e">
        <f t="shared" si="74"/>
        <v>#N/A</v>
      </c>
      <c r="I677" s="3" t="e">
        <f t="shared" si="75"/>
        <v>#N/A</v>
      </c>
      <c r="J677" s="3">
        <v>3901.1887827677301</v>
      </c>
      <c r="K677" s="3" t="e">
        <v>#N/A</v>
      </c>
      <c r="L677" s="3" t="e">
        <v>#N/A</v>
      </c>
      <c r="M677" s="3" t="e">
        <v>#N/A</v>
      </c>
      <c r="N677" s="3" t="e">
        <v>#N/A</v>
      </c>
      <c r="O677" s="3" t="e">
        <v>#N/A</v>
      </c>
      <c r="P677" s="3" t="e">
        <f>E677*(VLOOKUP(B677,Price_data!A$1:B$190,2,FALSE))</f>
        <v>#N/A</v>
      </c>
      <c r="Q677" s="3" t="e">
        <f>G677*(VLOOKUP(B677,Price_data!A$1:B$190,2,FALSE))</f>
        <v>#N/A</v>
      </c>
      <c r="R677" s="3" t="e">
        <f>I677*(VLOOKUP(B677,Price_data!A$1:B$190,2,FALSE))</f>
        <v>#N/A</v>
      </c>
      <c r="S677" s="4" t="str">
        <f>(VLOOKUP(B677,Price_data!A$1:C$190,3,FALSE))</f>
        <v>Open access</v>
      </c>
      <c r="T677" s="2" t="str">
        <f>IF(C677="Total", (VLOOKUP(B677,Recommended_fish_intake!A$4:D$122,4,FALSE)), "NA")</f>
        <v>NA</v>
      </c>
      <c r="U677" s="2" t="str">
        <f t="shared" si="76"/>
        <v>NA</v>
      </c>
    </row>
    <row r="678" spans="1:21" ht="14.25" customHeight="1">
      <c r="A678" s="2" t="s">
        <v>15</v>
      </c>
      <c r="B678" s="2">
        <v>1958</v>
      </c>
      <c r="C678" s="2" t="s">
        <v>25</v>
      </c>
      <c r="D678" s="3">
        <f t="shared" si="70"/>
        <v>35.663483031904086</v>
      </c>
      <c r="E678" s="3">
        <f t="shared" si="71"/>
        <v>4.54</v>
      </c>
      <c r="F678" s="3" t="e">
        <f t="shared" si="72"/>
        <v>#N/A</v>
      </c>
      <c r="G678" s="3" t="e">
        <f t="shared" si="73"/>
        <v>#N/A</v>
      </c>
      <c r="H678" s="3" t="e">
        <f t="shared" si="74"/>
        <v>#N/A</v>
      </c>
      <c r="I678" s="3" t="e">
        <f t="shared" si="75"/>
        <v>#N/A</v>
      </c>
      <c r="J678" s="3">
        <v>35663.483031904085</v>
      </c>
      <c r="K678" s="3">
        <v>4540</v>
      </c>
      <c r="L678" s="3" t="e">
        <v>#N/A</v>
      </c>
      <c r="M678" s="3" t="e">
        <v>#N/A</v>
      </c>
      <c r="N678" s="3" t="e">
        <v>#N/A</v>
      </c>
      <c r="O678" s="3" t="e">
        <v>#N/A</v>
      </c>
      <c r="P678" s="3">
        <f>E678*(VLOOKUP(B678,Price_data!A$1:B$190,2,FALSE))</f>
        <v>63.015950416600006</v>
      </c>
      <c r="Q678" s="3" t="e">
        <f>G678*(VLOOKUP(B678,Price_data!A$1:B$190,2,FALSE))</f>
        <v>#N/A</v>
      </c>
      <c r="R678" s="3" t="e">
        <f>I678*(VLOOKUP(B678,Price_data!A$1:B$190,2,FALSE))</f>
        <v>#N/A</v>
      </c>
      <c r="S678" s="4" t="str">
        <f>(VLOOKUP(B678,Price_data!A$1:C$190,3,FALSE))</f>
        <v>Open access</v>
      </c>
      <c r="T678" s="2" t="str">
        <f>IF(C678="Total", (VLOOKUP(B678,Recommended_fish_intake!A$4:D$122,4,FALSE)), "NA")</f>
        <v>NA</v>
      </c>
      <c r="U678" s="2" t="str">
        <f t="shared" si="76"/>
        <v>NA</v>
      </c>
    </row>
    <row r="679" spans="1:21" ht="14.25" customHeight="1">
      <c r="A679" s="2" t="s">
        <v>15</v>
      </c>
      <c r="B679" s="2">
        <v>1958</v>
      </c>
      <c r="C679" s="2" t="s">
        <v>24</v>
      </c>
      <c r="D679" s="3">
        <f t="shared" si="70"/>
        <v>53.190408453566342</v>
      </c>
      <c r="E679" s="3">
        <f t="shared" si="71"/>
        <v>2.1219999999999999</v>
      </c>
      <c r="F679" s="3" t="e">
        <f t="shared" si="72"/>
        <v>#N/A</v>
      </c>
      <c r="G679" s="3" t="e">
        <f t="shared" si="73"/>
        <v>#N/A</v>
      </c>
      <c r="H679" s="3" t="e">
        <f t="shared" si="74"/>
        <v>#N/A</v>
      </c>
      <c r="I679" s="3" t="e">
        <f t="shared" si="75"/>
        <v>#N/A</v>
      </c>
      <c r="J679" s="3">
        <v>53190.408453566342</v>
      </c>
      <c r="K679" s="3">
        <v>2122</v>
      </c>
      <c r="L679" s="3" t="e">
        <v>#N/A</v>
      </c>
      <c r="M679" s="3" t="e">
        <v>#N/A</v>
      </c>
      <c r="N679" s="3" t="e">
        <v>#N/A</v>
      </c>
      <c r="O679" s="3" t="e">
        <v>#N/A</v>
      </c>
      <c r="P679" s="3">
        <f>E679*(VLOOKUP(B679,Price_data!A$1:B$190,2,FALSE))</f>
        <v>29.45371074538</v>
      </c>
      <c r="Q679" s="3" t="e">
        <f>G679*(VLOOKUP(B679,Price_data!A$1:B$190,2,FALSE))</f>
        <v>#N/A</v>
      </c>
      <c r="R679" s="3" t="e">
        <f>I679*(VLOOKUP(B679,Price_data!A$1:B$190,2,FALSE))</f>
        <v>#N/A</v>
      </c>
      <c r="S679" s="4" t="str">
        <f>(VLOOKUP(B679,Price_data!A$1:C$190,3,FALSE))</f>
        <v>Open access</v>
      </c>
      <c r="T679" s="2" t="str">
        <f>IF(C679="Total", (VLOOKUP(B679,Recommended_fish_intake!A$4:D$122,4,FALSE)), "NA")</f>
        <v>NA</v>
      </c>
      <c r="U679" s="2" t="str">
        <f t="shared" si="76"/>
        <v>NA</v>
      </c>
    </row>
    <row r="680" spans="1:21" ht="14.25" customHeight="1">
      <c r="A680" s="2" t="s">
        <v>15</v>
      </c>
      <c r="B680" s="2">
        <v>1958</v>
      </c>
      <c r="C680" s="2" t="s">
        <v>30</v>
      </c>
      <c r="D680" s="3" t="e">
        <f t="shared" si="70"/>
        <v>#N/A</v>
      </c>
      <c r="E680" s="3" t="e">
        <f t="shared" si="71"/>
        <v>#N/A</v>
      </c>
      <c r="F680" s="3" t="e">
        <f t="shared" si="72"/>
        <v>#N/A</v>
      </c>
      <c r="G680" s="3" t="e">
        <f t="shared" si="73"/>
        <v>#N/A</v>
      </c>
      <c r="H680" s="3" t="e">
        <f t="shared" si="74"/>
        <v>#N/A</v>
      </c>
      <c r="I680" s="3" t="e">
        <f t="shared" si="75"/>
        <v>#N/A</v>
      </c>
      <c r="J680" s="3" t="e">
        <v>#N/A</v>
      </c>
      <c r="K680" s="3" t="e">
        <v>#N/A</v>
      </c>
      <c r="L680" s="3" t="e">
        <v>#N/A</v>
      </c>
      <c r="M680" s="3" t="e">
        <v>#N/A</v>
      </c>
      <c r="N680" s="3" t="e">
        <v>#N/A</v>
      </c>
      <c r="O680" s="3" t="e">
        <v>#N/A</v>
      </c>
      <c r="P680" s="3" t="e">
        <f>E680*(VLOOKUP(B680,Price_data!A$1:B$190,2,FALSE))</f>
        <v>#N/A</v>
      </c>
      <c r="Q680" s="3" t="e">
        <f>G680*(VLOOKUP(B680,Price_data!A$1:B$190,2,FALSE))</f>
        <v>#N/A</v>
      </c>
      <c r="R680" s="3" t="e">
        <f>I680*(VLOOKUP(B680,Price_data!A$1:B$190,2,FALSE))</f>
        <v>#N/A</v>
      </c>
      <c r="S680" s="4" t="str">
        <f>(VLOOKUP(B680,Price_data!A$1:C$190,3,FALSE))</f>
        <v>Open access</v>
      </c>
      <c r="T680" s="2" t="str">
        <f>IF(C680="Total", (VLOOKUP(B680,Recommended_fish_intake!A$4:D$122,4,FALSE)), "NA")</f>
        <v>NA</v>
      </c>
      <c r="U680" s="2" t="str">
        <f t="shared" si="76"/>
        <v>NA</v>
      </c>
    </row>
    <row r="681" spans="1:21" ht="14.25" customHeight="1">
      <c r="A681" s="2" t="s">
        <v>15</v>
      </c>
      <c r="B681" s="2">
        <v>1959</v>
      </c>
      <c r="C681" s="2" t="s">
        <v>16</v>
      </c>
      <c r="D681" s="3">
        <f t="shared" si="70"/>
        <v>873.39971550497864</v>
      </c>
      <c r="E681" s="3">
        <f t="shared" si="71"/>
        <v>52.46</v>
      </c>
      <c r="F681" s="3">
        <f t="shared" si="72"/>
        <v>48.194980694980693</v>
      </c>
      <c r="G681" s="3">
        <f t="shared" si="73"/>
        <v>6.041709</v>
      </c>
      <c r="H681" s="3">
        <f t="shared" si="74"/>
        <v>196.76544401544399</v>
      </c>
      <c r="I681" s="3">
        <f t="shared" si="75"/>
        <v>52.751837000000002</v>
      </c>
      <c r="J681" s="3">
        <v>873399.71550497867</v>
      </c>
      <c r="K681" s="3">
        <v>52460</v>
      </c>
      <c r="L681" s="3">
        <v>48194.980694980695</v>
      </c>
      <c r="M681" s="3">
        <v>6041.7089999999998</v>
      </c>
      <c r="N681" s="3">
        <v>196765.44401544399</v>
      </c>
      <c r="O681" s="3">
        <v>52751.837</v>
      </c>
      <c r="P681" s="3">
        <f>E681*(VLOOKUP(B681,Price_data!A$1:B$190,2,FALSE))</f>
        <v>725.15695486419997</v>
      </c>
      <c r="Q681" s="3">
        <f>G681*(VLOOKUP(B681,Price_data!A$1:B$190,2,FALSE))</f>
        <v>83.514817015166429</v>
      </c>
      <c r="R681" s="3">
        <f>I681*(VLOOKUP(B681,Price_data!A$1:B$190,2,FALSE))</f>
        <v>729.19103092666103</v>
      </c>
      <c r="S681" s="4" t="str">
        <f>(VLOOKUP(B681,Price_data!A$1:C$190,3,FALSE))</f>
        <v>Open access</v>
      </c>
      <c r="T681" s="2">
        <f>IF(C681="Total", (VLOOKUP(B681,Recommended_fish_intake!A$4:D$122,4,FALSE)), "NA")</f>
        <v>670.180526106</v>
      </c>
      <c r="U681" s="2" t="str">
        <f t="shared" si="76"/>
        <v>NA</v>
      </c>
    </row>
    <row r="682" spans="1:21" ht="14.25" customHeight="1">
      <c r="A682" s="2" t="s">
        <v>15</v>
      </c>
      <c r="B682" s="2">
        <v>1959</v>
      </c>
      <c r="C682" s="2" t="s">
        <v>22</v>
      </c>
      <c r="D682" s="3">
        <f t="shared" si="70"/>
        <v>341.39402560455187</v>
      </c>
      <c r="E682" s="3">
        <f t="shared" si="71"/>
        <v>20.731000000000002</v>
      </c>
      <c r="F682" s="3" t="e">
        <f t="shared" si="72"/>
        <v>#N/A</v>
      </c>
      <c r="G682" s="3" t="e">
        <f t="shared" si="73"/>
        <v>#N/A</v>
      </c>
      <c r="H682" s="3" t="e">
        <f t="shared" si="74"/>
        <v>#N/A</v>
      </c>
      <c r="I682" s="3" t="e">
        <f t="shared" si="75"/>
        <v>#N/A</v>
      </c>
      <c r="J682" s="3">
        <v>341394.02560455189</v>
      </c>
      <c r="K682" s="3">
        <v>20731</v>
      </c>
      <c r="L682" s="3" t="e">
        <v>#N/A</v>
      </c>
      <c r="M682" s="3" t="e">
        <v>#N/A</v>
      </c>
      <c r="N682" s="3" t="e">
        <v>#N/A</v>
      </c>
      <c r="O682" s="3" t="e">
        <v>#N/A</v>
      </c>
      <c r="P682" s="3">
        <f>E682*(VLOOKUP(B682,Price_data!A$1:B$190,2,FALSE))</f>
        <v>286.56555149236999</v>
      </c>
      <c r="Q682" s="3" t="e">
        <f>G682*(VLOOKUP(B682,Price_data!A$1:B$190,2,FALSE))</f>
        <v>#N/A</v>
      </c>
      <c r="R682" s="3" t="e">
        <f>I682*(VLOOKUP(B682,Price_data!A$1:B$190,2,FALSE))</f>
        <v>#N/A</v>
      </c>
      <c r="S682" s="4" t="str">
        <f>(VLOOKUP(B682,Price_data!A$1:C$190,3,FALSE))</f>
        <v>Open access</v>
      </c>
      <c r="T682" s="2" t="str">
        <f>IF(C682="Total", (VLOOKUP(B682,Recommended_fish_intake!A$4:D$122,4,FALSE)), "NA")</f>
        <v>NA</v>
      </c>
      <c r="U682" s="2" t="str">
        <f t="shared" si="76"/>
        <v>NA</v>
      </c>
    </row>
    <row r="683" spans="1:21" ht="14.25" customHeight="1">
      <c r="A683" s="2" t="s">
        <v>15</v>
      </c>
      <c r="B683" s="2">
        <v>1959</v>
      </c>
      <c r="C683" s="2" t="s">
        <v>23</v>
      </c>
      <c r="D683" s="3">
        <f t="shared" si="70"/>
        <v>122.68847795163585</v>
      </c>
      <c r="E683" s="3">
        <f t="shared" si="71"/>
        <v>8.7680000000000007</v>
      </c>
      <c r="F683" s="3" t="e">
        <f t="shared" si="72"/>
        <v>#N/A</v>
      </c>
      <c r="G683" s="3" t="e">
        <f t="shared" si="73"/>
        <v>#N/A</v>
      </c>
      <c r="H683" s="3" t="e">
        <f t="shared" si="74"/>
        <v>#N/A</v>
      </c>
      <c r="I683" s="3" t="e">
        <f t="shared" si="75"/>
        <v>#N/A</v>
      </c>
      <c r="J683" s="3">
        <v>122688.47795163584</v>
      </c>
      <c r="K683" s="3">
        <v>8768</v>
      </c>
      <c r="L683" s="3" t="e">
        <v>#N/A</v>
      </c>
      <c r="M683" s="3" t="e">
        <v>#N/A</v>
      </c>
      <c r="N683" s="3" t="e">
        <v>#N/A</v>
      </c>
      <c r="O683" s="3" t="e">
        <v>#N/A</v>
      </c>
      <c r="P683" s="3">
        <f>E683*(VLOOKUP(B683,Price_data!A$1:B$190,2,FALSE))</f>
        <v>121.20046092736001</v>
      </c>
      <c r="Q683" s="3" t="e">
        <f>G683*(VLOOKUP(B683,Price_data!A$1:B$190,2,FALSE))</f>
        <v>#N/A</v>
      </c>
      <c r="R683" s="3" t="e">
        <f>I683*(VLOOKUP(B683,Price_data!A$1:B$190,2,FALSE))</f>
        <v>#N/A</v>
      </c>
      <c r="S683" s="4" t="str">
        <f>(VLOOKUP(B683,Price_data!A$1:C$190,3,FALSE))</f>
        <v>Open access</v>
      </c>
      <c r="T683" s="2" t="str">
        <f>IF(C683="Total", (VLOOKUP(B683,Recommended_fish_intake!A$4:D$122,4,FALSE)), "NA")</f>
        <v>NA</v>
      </c>
      <c r="U683" s="2" t="str">
        <f t="shared" si="76"/>
        <v>NA</v>
      </c>
    </row>
    <row r="684" spans="1:21" ht="14.25" customHeight="1">
      <c r="A684" s="2" t="s">
        <v>15</v>
      </c>
      <c r="B684" s="2">
        <v>1959</v>
      </c>
      <c r="C684" s="2" t="s">
        <v>19</v>
      </c>
      <c r="D684" s="3">
        <f t="shared" si="70"/>
        <v>138.89453363137574</v>
      </c>
      <c r="E684" s="3">
        <f t="shared" si="71"/>
        <v>2.895</v>
      </c>
      <c r="F684" s="3" t="e">
        <f t="shared" si="72"/>
        <v>#N/A</v>
      </c>
      <c r="G684" s="3" t="e">
        <f t="shared" si="73"/>
        <v>#N/A</v>
      </c>
      <c r="H684" s="3" t="e">
        <f t="shared" si="74"/>
        <v>#N/A</v>
      </c>
      <c r="I684" s="3" t="e">
        <f t="shared" si="75"/>
        <v>#N/A</v>
      </c>
      <c r="J684" s="3">
        <v>138894.53363137573</v>
      </c>
      <c r="K684" s="3">
        <v>2895</v>
      </c>
      <c r="L684" s="3" t="e">
        <v>#N/A</v>
      </c>
      <c r="M684" s="3" t="e">
        <v>#N/A</v>
      </c>
      <c r="N684" s="3" t="e">
        <v>#N/A</v>
      </c>
      <c r="O684" s="3" t="e">
        <v>#N/A</v>
      </c>
      <c r="P684" s="3">
        <f>E684*(VLOOKUP(B684,Price_data!A$1:B$190,2,FALSE))</f>
        <v>40.017716056650002</v>
      </c>
      <c r="Q684" s="3" t="e">
        <f>G684*(VLOOKUP(B684,Price_data!A$1:B$190,2,FALSE))</f>
        <v>#N/A</v>
      </c>
      <c r="R684" s="3" t="e">
        <f>I684*(VLOOKUP(B684,Price_data!A$1:B$190,2,FALSE))</f>
        <v>#N/A</v>
      </c>
      <c r="S684" s="4" t="str">
        <f>(VLOOKUP(B684,Price_data!A$1:C$190,3,FALSE))</f>
        <v>Open access</v>
      </c>
      <c r="T684" s="2" t="str">
        <f>IF(C684="Total", (VLOOKUP(B684,Recommended_fish_intake!A$4:D$122,4,FALSE)), "NA")</f>
        <v>NA</v>
      </c>
      <c r="U684" s="2" t="str">
        <f t="shared" si="76"/>
        <v>NA</v>
      </c>
    </row>
    <row r="685" spans="1:21" ht="14.25" customHeight="1">
      <c r="A685" s="2" t="s">
        <v>15</v>
      </c>
      <c r="B685" s="2">
        <v>1959</v>
      </c>
      <c r="C685" s="2" t="s">
        <v>28</v>
      </c>
      <c r="D685" s="3" t="e">
        <f t="shared" si="70"/>
        <v>#VALUE!</v>
      </c>
      <c r="E685" s="3" t="e">
        <f t="shared" si="71"/>
        <v>#VALUE!</v>
      </c>
      <c r="F685" s="3" t="e">
        <f t="shared" si="72"/>
        <v>#N/A</v>
      </c>
      <c r="G685" s="3" t="e">
        <f t="shared" si="73"/>
        <v>#N/A</v>
      </c>
      <c r="H685" s="3" t="e">
        <f t="shared" si="74"/>
        <v>#N/A</v>
      </c>
      <c r="I685" s="3" t="e">
        <f t="shared" si="75"/>
        <v>#N/A</v>
      </c>
      <c r="J685" s="3" t="e">
        <v>#VALUE!</v>
      </c>
      <c r="K685" s="3" t="e">
        <v>#VALUE!</v>
      </c>
      <c r="L685" s="3" t="e">
        <v>#N/A</v>
      </c>
      <c r="M685" s="3" t="e">
        <v>#N/A</v>
      </c>
      <c r="N685" s="3" t="e">
        <v>#N/A</v>
      </c>
      <c r="O685" s="3" t="e">
        <v>#N/A</v>
      </c>
      <c r="P685" s="3" t="e">
        <f>E685*(VLOOKUP(B685,Price_data!A$1:B$190,2,FALSE))</f>
        <v>#VALUE!</v>
      </c>
      <c r="Q685" s="3" t="e">
        <f>G685*(VLOOKUP(B685,Price_data!A$1:B$190,2,FALSE))</f>
        <v>#N/A</v>
      </c>
      <c r="R685" s="3" t="e">
        <f>I685*(VLOOKUP(B685,Price_data!A$1:B$190,2,FALSE))</f>
        <v>#N/A</v>
      </c>
      <c r="S685" s="4" t="str">
        <f>(VLOOKUP(B685,Price_data!A$1:C$190,3,FALSE))</f>
        <v>Open access</v>
      </c>
      <c r="T685" s="2" t="str">
        <f>IF(C685="Total", (VLOOKUP(B685,Recommended_fish_intake!A$4:D$122,4,FALSE)), "NA")</f>
        <v>NA</v>
      </c>
      <c r="U685" s="2" t="e">
        <f t="shared" si="76"/>
        <v>#VALUE!</v>
      </c>
    </row>
    <row r="686" spans="1:21" ht="14.25" customHeight="1">
      <c r="A686" s="2" t="s">
        <v>15</v>
      </c>
      <c r="B686" s="2">
        <v>1959</v>
      </c>
      <c r="C686" s="2" t="s">
        <v>29</v>
      </c>
      <c r="D686" s="3" t="e">
        <f t="shared" si="70"/>
        <v>#VALUE!</v>
      </c>
      <c r="E686" s="3" t="e">
        <f t="shared" si="71"/>
        <v>#VALUE!</v>
      </c>
      <c r="F686" s="3" t="e">
        <f t="shared" si="72"/>
        <v>#N/A</v>
      </c>
      <c r="G686" s="3" t="e">
        <f t="shared" si="73"/>
        <v>#N/A</v>
      </c>
      <c r="H686" s="3" t="e">
        <f t="shared" si="74"/>
        <v>#N/A</v>
      </c>
      <c r="I686" s="3" t="e">
        <f t="shared" si="75"/>
        <v>#N/A</v>
      </c>
      <c r="J686" s="3" t="e">
        <v>#VALUE!</v>
      </c>
      <c r="K686" s="3" t="e">
        <v>#VALUE!</v>
      </c>
      <c r="L686" s="3" t="e">
        <v>#N/A</v>
      </c>
      <c r="M686" s="3" t="e">
        <v>#N/A</v>
      </c>
      <c r="N686" s="3" t="e">
        <v>#N/A</v>
      </c>
      <c r="O686" s="3" t="e">
        <v>#N/A</v>
      </c>
      <c r="P686" s="3" t="e">
        <f>E686*(VLOOKUP(B686,Price_data!A$1:B$190,2,FALSE))</f>
        <v>#VALUE!</v>
      </c>
      <c r="Q686" s="3" t="e">
        <f>G686*(VLOOKUP(B686,Price_data!A$1:B$190,2,FALSE))</f>
        <v>#N/A</v>
      </c>
      <c r="R686" s="3" t="e">
        <f>I686*(VLOOKUP(B686,Price_data!A$1:B$190,2,FALSE))</f>
        <v>#N/A</v>
      </c>
      <c r="S686" s="4" t="str">
        <f>(VLOOKUP(B686,Price_data!A$1:C$190,3,FALSE))</f>
        <v>Open access</v>
      </c>
      <c r="T686" s="2" t="str">
        <f>IF(C686="Total", (VLOOKUP(B686,Recommended_fish_intake!A$4:D$122,4,FALSE)), "NA")</f>
        <v>NA</v>
      </c>
      <c r="U686" s="2" t="str">
        <f t="shared" si="76"/>
        <v>NA</v>
      </c>
    </row>
    <row r="687" spans="1:21" ht="14.25" customHeight="1">
      <c r="A687" s="2" t="s">
        <v>15</v>
      </c>
      <c r="B687" s="2">
        <v>1959</v>
      </c>
      <c r="C687" s="2" t="s">
        <v>20</v>
      </c>
      <c r="D687" s="3">
        <f t="shared" si="70"/>
        <v>4.8185328185328178</v>
      </c>
      <c r="E687" s="3" t="e">
        <f t="shared" si="71"/>
        <v>#N/A</v>
      </c>
      <c r="F687" s="3" t="e">
        <f t="shared" si="72"/>
        <v>#N/A</v>
      </c>
      <c r="G687" s="3" t="e">
        <f t="shared" si="73"/>
        <v>#N/A</v>
      </c>
      <c r="H687" s="3" t="e">
        <f t="shared" si="74"/>
        <v>#N/A</v>
      </c>
      <c r="I687" s="3" t="e">
        <f t="shared" si="75"/>
        <v>#N/A</v>
      </c>
      <c r="J687" s="3">
        <v>4818.5328185328181</v>
      </c>
      <c r="K687" s="3" t="e">
        <v>#N/A</v>
      </c>
      <c r="L687" s="3" t="e">
        <v>#N/A</v>
      </c>
      <c r="M687" s="3" t="e">
        <v>#N/A</v>
      </c>
      <c r="N687" s="3" t="e">
        <v>#N/A</v>
      </c>
      <c r="O687" s="3" t="e">
        <v>#N/A</v>
      </c>
      <c r="P687" s="3" t="e">
        <f>E687*(VLOOKUP(B687,Price_data!A$1:B$190,2,FALSE))</f>
        <v>#N/A</v>
      </c>
      <c r="Q687" s="3" t="e">
        <f>G687*(VLOOKUP(B687,Price_data!A$1:B$190,2,FALSE))</f>
        <v>#N/A</v>
      </c>
      <c r="R687" s="3" t="e">
        <f>I687*(VLOOKUP(B687,Price_data!A$1:B$190,2,FALSE))</f>
        <v>#N/A</v>
      </c>
      <c r="S687" s="4" t="str">
        <f>(VLOOKUP(B687,Price_data!A$1:C$190,3,FALSE))</f>
        <v>Open access</v>
      </c>
      <c r="T687" s="2" t="str">
        <f>IF(C687="Total", (VLOOKUP(B687,Recommended_fish_intake!A$4:D$122,4,FALSE)), "NA")</f>
        <v>NA</v>
      </c>
      <c r="U687" s="2" t="str">
        <f t="shared" si="76"/>
        <v>NA</v>
      </c>
    </row>
    <row r="688" spans="1:21" ht="14.25" customHeight="1">
      <c r="A688" s="2" t="s">
        <v>15</v>
      </c>
      <c r="B688" s="2">
        <v>1959</v>
      </c>
      <c r="C688" s="2" t="s">
        <v>25</v>
      </c>
      <c r="D688" s="3">
        <f t="shared" si="70"/>
        <v>39.981711034342609</v>
      </c>
      <c r="E688" s="3">
        <f t="shared" si="71"/>
        <v>4.9059999999999997</v>
      </c>
      <c r="F688" s="3" t="e">
        <f t="shared" si="72"/>
        <v>#N/A</v>
      </c>
      <c r="G688" s="3" t="e">
        <f t="shared" si="73"/>
        <v>#N/A</v>
      </c>
      <c r="H688" s="3" t="e">
        <f t="shared" si="74"/>
        <v>#N/A</v>
      </c>
      <c r="I688" s="3" t="e">
        <f t="shared" si="75"/>
        <v>#N/A</v>
      </c>
      <c r="J688" s="3">
        <v>39981.71103434261</v>
      </c>
      <c r="K688" s="3">
        <v>4906</v>
      </c>
      <c r="L688" s="3" t="e">
        <v>#N/A</v>
      </c>
      <c r="M688" s="3" t="e">
        <v>#N/A</v>
      </c>
      <c r="N688" s="3" t="e">
        <v>#N/A</v>
      </c>
      <c r="O688" s="3" t="e">
        <v>#N/A</v>
      </c>
      <c r="P688" s="3">
        <f>E688*(VLOOKUP(B688,Price_data!A$1:B$190,2,FALSE))</f>
        <v>67.815860094619993</v>
      </c>
      <c r="Q688" s="3" t="e">
        <f>G688*(VLOOKUP(B688,Price_data!A$1:B$190,2,FALSE))</f>
        <v>#N/A</v>
      </c>
      <c r="R688" s="3" t="e">
        <f>I688*(VLOOKUP(B688,Price_data!A$1:B$190,2,FALSE))</f>
        <v>#N/A</v>
      </c>
      <c r="S688" s="4" t="str">
        <f>(VLOOKUP(B688,Price_data!A$1:C$190,3,FALSE))</f>
        <v>Open access</v>
      </c>
      <c r="T688" s="2" t="str">
        <f>IF(C688="Total", (VLOOKUP(B688,Recommended_fish_intake!A$4:D$122,4,FALSE)), "NA")</f>
        <v>NA</v>
      </c>
      <c r="U688" s="2" t="str">
        <f t="shared" si="76"/>
        <v>NA</v>
      </c>
    </row>
    <row r="689" spans="1:21" ht="14.25" customHeight="1">
      <c r="A689" s="2" t="s">
        <v>15</v>
      </c>
      <c r="B689" s="2">
        <v>1959</v>
      </c>
      <c r="C689" s="2" t="s">
        <v>24</v>
      </c>
      <c r="D689" s="3">
        <f t="shared" si="70"/>
        <v>53.546027230237755</v>
      </c>
      <c r="E689" s="3">
        <f t="shared" si="71"/>
        <v>2.4780000000000002</v>
      </c>
      <c r="F689" s="3" t="e">
        <f t="shared" si="72"/>
        <v>#N/A</v>
      </c>
      <c r="G689" s="3" t="e">
        <f t="shared" si="73"/>
        <v>#N/A</v>
      </c>
      <c r="H689" s="3" t="e">
        <f t="shared" si="74"/>
        <v>#N/A</v>
      </c>
      <c r="I689" s="3" t="e">
        <f t="shared" si="75"/>
        <v>#N/A</v>
      </c>
      <c r="J689" s="3">
        <v>53546.027230237756</v>
      </c>
      <c r="K689" s="3">
        <v>2478</v>
      </c>
      <c r="L689" s="3" t="e">
        <v>#N/A</v>
      </c>
      <c r="M689" s="3" t="e">
        <v>#N/A</v>
      </c>
      <c r="N689" s="3" t="e">
        <v>#N/A</v>
      </c>
      <c r="O689" s="3" t="e">
        <v>#N/A</v>
      </c>
      <c r="P689" s="3">
        <f>E689*(VLOOKUP(B689,Price_data!A$1:B$190,2,FALSE))</f>
        <v>34.253506179060004</v>
      </c>
      <c r="Q689" s="3" t="e">
        <f>G689*(VLOOKUP(B689,Price_data!A$1:B$190,2,FALSE))</f>
        <v>#N/A</v>
      </c>
      <c r="R689" s="3" t="e">
        <f>I689*(VLOOKUP(B689,Price_data!A$1:B$190,2,FALSE))</f>
        <v>#N/A</v>
      </c>
      <c r="S689" s="4" t="str">
        <f>(VLOOKUP(B689,Price_data!A$1:C$190,3,FALSE))</f>
        <v>Open access</v>
      </c>
      <c r="T689" s="2" t="str">
        <f>IF(C689="Total", (VLOOKUP(B689,Recommended_fish_intake!A$4:D$122,4,FALSE)), "NA")</f>
        <v>NA</v>
      </c>
      <c r="U689" s="2" t="str">
        <f t="shared" si="76"/>
        <v>NA</v>
      </c>
    </row>
    <row r="690" spans="1:21" ht="14.25" customHeight="1">
      <c r="A690" s="2" t="s">
        <v>15</v>
      </c>
      <c r="B690" s="2">
        <v>1959</v>
      </c>
      <c r="C690" s="2" t="s">
        <v>30</v>
      </c>
      <c r="D690" s="3" t="e">
        <f t="shared" si="70"/>
        <v>#N/A</v>
      </c>
      <c r="E690" s="3" t="e">
        <f t="shared" si="71"/>
        <v>#N/A</v>
      </c>
      <c r="F690" s="3" t="e">
        <f t="shared" si="72"/>
        <v>#N/A</v>
      </c>
      <c r="G690" s="3" t="e">
        <f t="shared" si="73"/>
        <v>#N/A</v>
      </c>
      <c r="H690" s="3" t="e">
        <f t="shared" si="74"/>
        <v>#N/A</v>
      </c>
      <c r="I690" s="3" t="e">
        <f t="shared" si="75"/>
        <v>#N/A</v>
      </c>
      <c r="J690" s="3" t="e">
        <v>#N/A</v>
      </c>
      <c r="K690" s="3" t="e">
        <v>#N/A</v>
      </c>
      <c r="L690" s="3" t="e">
        <v>#N/A</v>
      </c>
      <c r="M690" s="3" t="e">
        <v>#N/A</v>
      </c>
      <c r="N690" s="3" t="e">
        <v>#N/A</v>
      </c>
      <c r="O690" s="3" t="e">
        <v>#N/A</v>
      </c>
      <c r="P690" s="3" t="e">
        <f>E690*(VLOOKUP(B690,Price_data!A$1:B$190,2,FALSE))</f>
        <v>#N/A</v>
      </c>
      <c r="Q690" s="3" t="e">
        <f>G690*(VLOOKUP(B690,Price_data!A$1:B$190,2,FALSE))</f>
        <v>#N/A</v>
      </c>
      <c r="R690" s="3" t="e">
        <f>I690*(VLOOKUP(B690,Price_data!A$1:B$190,2,FALSE))</f>
        <v>#N/A</v>
      </c>
      <c r="S690" s="4" t="str">
        <f>(VLOOKUP(B690,Price_data!A$1:C$190,3,FALSE))</f>
        <v>Open access</v>
      </c>
      <c r="T690" s="2" t="str">
        <f>IF(C690="Total", (VLOOKUP(B690,Recommended_fish_intake!A$4:D$122,4,FALSE)), "NA")</f>
        <v>NA</v>
      </c>
      <c r="U690" s="2" t="str">
        <f t="shared" si="76"/>
        <v>NA</v>
      </c>
    </row>
    <row r="691" spans="1:21" ht="14.25" customHeight="1">
      <c r="A691" s="2" t="s">
        <v>15</v>
      </c>
      <c r="B691" s="2">
        <v>1960</v>
      </c>
      <c r="C691" s="2" t="s">
        <v>16</v>
      </c>
      <c r="D691" s="3">
        <f t="shared" si="70"/>
        <v>815.38305222515748</v>
      </c>
      <c r="E691" s="3">
        <f t="shared" si="71"/>
        <v>53.055999999999997</v>
      </c>
      <c r="F691" s="3">
        <f t="shared" si="72"/>
        <v>45.919376143060347</v>
      </c>
      <c r="G691" s="3">
        <f t="shared" si="73"/>
        <v>6.3318320000000003</v>
      </c>
      <c r="H691" s="3">
        <f t="shared" si="74"/>
        <v>206.78012599065229</v>
      </c>
      <c r="I691" s="3">
        <f t="shared" si="75"/>
        <v>47.854424000000002</v>
      </c>
      <c r="J691" s="3">
        <v>815383.0522251575</v>
      </c>
      <c r="K691" s="3">
        <v>53056</v>
      </c>
      <c r="L691" s="3">
        <v>45919.376143060348</v>
      </c>
      <c r="M691" s="3">
        <v>6331.8320000000003</v>
      </c>
      <c r="N691" s="3">
        <v>206780.1259906523</v>
      </c>
      <c r="O691" s="3">
        <v>47854.423999999999</v>
      </c>
      <c r="P691" s="3">
        <f>E691*(VLOOKUP(B691,Price_data!A$1:B$190,2,FALSE))</f>
        <v>725.92710391935998</v>
      </c>
      <c r="Q691" s="3">
        <f>G691*(VLOOKUP(B691,Price_data!A$1:B$190,2,FALSE))</f>
        <v>86.633905048701919</v>
      </c>
      <c r="R691" s="3">
        <f>I691*(VLOOKUP(B691,Price_data!A$1:B$190,2,FALSE))</f>
        <v>654.75767913240941</v>
      </c>
      <c r="S691" s="4" t="str">
        <f>(VLOOKUP(B691,Price_data!A$1:C$190,3,FALSE))</f>
        <v>Open access</v>
      </c>
      <c r="T691" s="2">
        <f>IF(C691="Total", (VLOOKUP(B691,Recommended_fish_intake!A$4:D$122,4,FALSE)), "NA")</f>
        <v>675.42632047799998</v>
      </c>
      <c r="U691" s="2" t="str">
        <f t="shared" si="76"/>
        <v>NA</v>
      </c>
    </row>
    <row r="692" spans="1:21" ht="14.25" customHeight="1">
      <c r="A692" s="2" t="s">
        <v>15</v>
      </c>
      <c r="B692" s="2">
        <v>1960</v>
      </c>
      <c r="C692" s="2" t="s">
        <v>22</v>
      </c>
      <c r="D692" s="3">
        <f t="shared" si="70"/>
        <v>314.62101198943304</v>
      </c>
      <c r="E692" s="3">
        <f t="shared" si="71"/>
        <v>20.771000000000001</v>
      </c>
      <c r="F692" s="3">
        <f t="shared" si="72"/>
        <v>3.1650071123755334</v>
      </c>
      <c r="G692" s="3">
        <f t="shared" si="73"/>
        <v>0.51599300000000003</v>
      </c>
      <c r="H692" s="3">
        <f t="shared" si="74"/>
        <v>37.412111359479781</v>
      </c>
      <c r="I692" s="3">
        <f t="shared" si="75"/>
        <v>2.9141109999999997</v>
      </c>
      <c r="J692" s="3">
        <v>314621.01198943303</v>
      </c>
      <c r="K692" s="3">
        <v>20771</v>
      </c>
      <c r="L692" s="3">
        <v>3165.0071123755333</v>
      </c>
      <c r="M692" s="3">
        <v>515.99300000000005</v>
      </c>
      <c r="N692" s="3">
        <v>37412.111359479779</v>
      </c>
      <c r="O692" s="3">
        <v>2914.1109999999999</v>
      </c>
      <c r="P692" s="3">
        <f>E692*(VLOOKUP(B692,Price_data!A$1:B$190,2,FALSE))</f>
        <v>284.19465989726001</v>
      </c>
      <c r="Q692" s="3">
        <f>G692*(VLOOKUP(B692,Price_data!A$1:B$190,2,FALSE))</f>
        <v>7.05996125099258</v>
      </c>
      <c r="R692" s="3">
        <f>I692*(VLOOKUP(B692,Price_data!A$1:B$190,2,FALSE))</f>
        <v>39.871685742037656</v>
      </c>
      <c r="S692" s="4" t="str">
        <f>(VLOOKUP(B692,Price_data!A$1:C$190,3,FALSE))</f>
        <v>Open access</v>
      </c>
      <c r="T692" s="2" t="str">
        <f>IF(C692="Total", (VLOOKUP(B692,Recommended_fish_intake!A$4:D$122,4,FALSE)), "NA")</f>
        <v>NA</v>
      </c>
      <c r="U692" s="2" t="str">
        <f t="shared" si="76"/>
        <v>NA</v>
      </c>
    </row>
    <row r="693" spans="1:21" ht="14.25" customHeight="1">
      <c r="A693" s="2" t="s">
        <v>15</v>
      </c>
      <c r="B693" s="2">
        <v>1960</v>
      </c>
      <c r="C693" s="2" t="s">
        <v>23</v>
      </c>
      <c r="D693" s="3">
        <f t="shared" si="70"/>
        <v>136.55761024182078</v>
      </c>
      <c r="E693" s="3">
        <f t="shared" si="71"/>
        <v>9.7609999999999992</v>
      </c>
      <c r="F693" s="3" t="e">
        <f t="shared" si="72"/>
        <v>#VALUE!</v>
      </c>
      <c r="G693" s="3" t="e">
        <f t="shared" si="73"/>
        <v>#VALUE!</v>
      </c>
      <c r="H693" s="3">
        <f t="shared" si="74"/>
        <v>19.791099370046737</v>
      </c>
      <c r="I693" s="3">
        <f t="shared" si="75"/>
        <v>1.7266839999999999</v>
      </c>
      <c r="J693" s="3">
        <v>136557.61024182077</v>
      </c>
      <c r="K693" s="3">
        <v>9761</v>
      </c>
      <c r="L693" s="3" t="e">
        <v>#VALUE!</v>
      </c>
      <c r="M693" s="3" t="e">
        <v>#VALUE!</v>
      </c>
      <c r="N693" s="3">
        <v>19791.099370046737</v>
      </c>
      <c r="O693" s="3">
        <v>1726.684</v>
      </c>
      <c r="P693" s="3">
        <f>E693*(VLOOKUP(B693,Price_data!A$1:B$190,2,FALSE))</f>
        <v>133.55274542665998</v>
      </c>
      <c r="Q693" s="3" t="e">
        <f>G693*(VLOOKUP(B693,Price_data!A$1:B$190,2,FALSE))</f>
        <v>#VALUE!</v>
      </c>
      <c r="R693" s="3">
        <f>I693*(VLOOKUP(B693,Price_data!A$1:B$190,2,FALSE))</f>
        <v>23.624975789805038</v>
      </c>
      <c r="S693" s="4" t="str">
        <f>(VLOOKUP(B693,Price_data!A$1:C$190,3,FALSE))</f>
        <v>Open access</v>
      </c>
      <c r="T693" s="2" t="str">
        <f>IF(C693="Total", (VLOOKUP(B693,Recommended_fish_intake!A$4:D$122,4,FALSE)), "NA")</f>
        <v>NA</v>
      </c>
      <c r="U693" s="2" t="str">
        <f t="shared" si="76"/>
        <v>NA</v>
      </c>
    </row>
    <row r="694" spans="1:21" ht="14.25" customHeight="1">
      <c r="A694" s="2" t="s">
        <v>15</v>
      </c>
      <c r="B694" s="2">
        <v>1960</v>
      </c>
      <c r="C694" s="2" t="s">
        <v>19</v>
      </c>
      <c r="D694" s="3">
        <f t="shared" si="70"/>
        <v>111.00386100386099</v>
      </c>
      <c r="E694" s="3">
        <f t="shared" si="71"/>
        <v>2.5150000000000001</v>
      </c>
      <c r="F694" s="3">
        <f t="shared" si="72"/>
        <v>23.866642958748219</v>
      </c>
      <c r="G694" s="3">
        <f t="shared" si="73"/>
        <v>2.0600320000000001</v>
      </c>
      <c r="H694" s="3">
        <f t="shared" si="74"/>
        <v>16.028449502133711</v>
      </c>
      <c r="I694" s="3">
        <f t="shared" si="75"/>
        <v>0.62892300000000001</v>
      </c>
      <c r="J694" s="3">
        <v>111003.86100386099</v>
      </c>
      <c r="K694" s="3">
        <v>2515</v>
      </c>
      <c r="L694" s="3">
        <v>23866.64295874822</v>
      </c>
      <c r="M694" s="3">
        <v>2060.0320000000002</v>
      </c>
      <c r="N694" s="3">
        <v>16028.449502133712</v>
      </c>
      <c r="O694" s="3">
        <v>628.923</v>
      </c>
      <c r="P694" s="3">
        <f>E694*(VLOOKUP(B694,Price_data!A$1:B$190,2,FALSE))</f>
        <v>34.410936865899998</v>
      </c>
      <c r="Q694" s="3">
        <f>G694*(VLOOKUP(B694,Price_data!A$1:B$190,2,FALSE))</f>
        <v>28.185936816593919</v>
      </c>
      <c r="R694" s="3">
        <f>I694*(VLOOKUP(B694,Price_data!A$1:B$190,2,FALSE))</f>
        <v>8.6051012510983789</v>
      </c>
      <c r="S694" s="4" t="str">
        <f>(VLOOKUP(B694,Price_data!A$1:C$190,3,FALSE))</f>
        <v>Open access</v>
      </c>
      <c r="T694" s="2" t="str">
        <f>IF(C694="Total", (VLOOKUP(B694,Recommended_fish_intake!A$4:D$122,4,FALSE)), "NA")</f>
        <v>NA</v>
      </c>
      <c r="U694" s="2" t="str">
        <f t="shared" si="76"/>
        <v>NA</v>
      </c>
    </row>
    <row r="695" spans="1:21" ht="14.25" customHeight="1">
      <c r="A695" s="2" t="s">
        <v>15</v>
      </c>
      <c r="B695" s="2">
        <v>1960</v>
      </c>
      <c r="C695" s="2" t="s">
        <v>28</v>
      </c>
      <c r="D695" s="3" t="e">
        <f t="shared" si="70"/>
        <v>#VALUE!</v>
      </c>
      <c r="E695" s="3" t="e">
        <f t="shared" si="71"/>
        <v>#VALUE!</v>
      </c>
      <c r="F695" s="3">
        <f t="shared" si="72"/>
        <v>1.0403881324933957</v>
      </c>
      <c r="G695" s="3">
        <f t="shared" si="73"/>
        <v>0.43609100000000001</v>
      </c>
      <c r="H695" s="3">
        <f t="shared" si="74"/>
        <v>7.5967791099370041</v>
      </c>
      <c r="I695" s="3">
        <f t="shared" si="75"/>
        <v>3.4046849999999997</v>
      </c>
      <c r="J695" s="3" t="e">
        <v>#VALUE!</v>
      </c>
      <c r="K695" s="3" t="e">
        <v>#VALUE!</v>
      </c>
      <c r="L695" s="3">
        <v>1040.3881324933957</v>
      </c>
      <c r="M695" s="3">
        <v>436.09100000000001</v>
      </c>
      <c r="N695" s="3">
        <v>7596.7791099370043</v>
      </c>
      <c r="O695" s="3">
        <v>3404.6849999999999</v>
      </c>
      <c r="P695" s="3" t="e">
        <f>E695*(VLOOKUP(B695,Price_data!A$1:B$190,2,FALSE))</f>
        <v>#VALUE!</v>
      </c>
      <c r="Q695" s="3">
        <f>G695*(VLOOKUP(B695,Price_data!A$1:B$190,2,FALSE))</f>
        <v>5.9667196297364598</v>
      </c>
      <c r="R695" s="3">
        <f>I695*(VLOOKUP(B695,Price_data!A$1:B$190,2,FALSE))</f>
        <v>46.583857090766095</v>
      </c>
      <c r="S695" s="4" t="str">
        <f>(VLOOKUP(B695,Price_data!A$1:C$190,3,FALSE))</f>
        <v>Open access</v>
      </c>
      <c r="T695" s="2" t="str">
        <f>IF(C695="Total", (VLOOKUP(B695,Recommended_fish_intake!A$4:D$122,4,FALSE)), "NA")</f>
        <v>NA</v>
      </c>
      <c r="U695" s="2" t="e">
        <f t="shared" si="76"/>
        <v>#VALUE!</v>
      </c>
    </row>
    <row r="696" spans="1:21" ht="14.25" customHeight="1">
      <c r="A696" s="2" t="s">
        <v>15</v>
      </c>
      <c r="B696" s="2">
        <v>1960</v>
      </c>
      <c r="C696" s="2" t="s">
        <v>29</v>
      </c>
      <c r="D696" s="3" t="e">
        <f t="shared" si="70"/>
        <v>#VALUE!</v>
      </c>
      <c r="E696" s="3" t="e">
        <f t="shared" si="71"/>
        <v>#VALUE!</v>
      </c>
      <c r="F696" s="3" t="e">
        <f t="shared" si="72"/>
        <v>#VALUE!</v>
      </c>
      <c r="G696" s="3" t="e">
        <f t="shared" si="73"/>
        <v>#VALUE!</v>
      </c>
      <c r="H696" s="3">
        <f t="shared" si="74"/>
        <v>37.004216622637671</v>
      </c>
      <c r="I696" s="3">
        <f t="shared" si="75"/>
        <v>23.924191999999998</v>
      </c>
      <c r="J696" s="3" t="e">
        <v>#VALUE!</v>
      </c>
      <c r="K696" s="3" t="e">
        <v>#VALUE!</v>
      </c>
      <c r="L696" s="3" t="e">
        <v>#VALUE!</v>
      </c>
      <c r="M696" s="3" t="e">
        <v>#VALUE!</v>
      </c>
      <c r="N696" s="3">
        <v>37004.216622637672</v>
      </c>
      <c r="O696" s="3">
        <v>23924.191999999999</v>
      </c>
      <c r="P696" s="3" t="e">
        <f>E696*(VLOOKUP(B696,Price_data!A$1:B$190,2,FALSE))</f>
        <v>#VALUE!</v>
      </c>
      <c r="Q696" s="3" t="e">
        <f>G696*(VLOOKUP(B696,Price_data!A$1:B$190,2,FALSE))</f>
        <v>#VALUE!</v>
      </c>
      <c r="R696" s="3">
        <f>I696*(VLOOKUP(B696,Price_data!A$1:B$190,2,FALSE))</f>
        <v>327.3375190774035</v>
      </c>
      <c r="S696" s="4" t="str">
        <f>(VLOOKUP(B696,Price_data!A$1:C$190,3,FALSE))</f>
        <v>Open access</v>
      </c>
      <c r="T696" s="2" t="str">
        <f>IF(C696="Total", (VLOOKUP(B696,Recommended_fish_intake!A$4:D$122,4,FALSE)), "NA")</f>
        <v>NA</v>
      </c>
      <c r="U696" s="2" t="str">
        <f t="shared" si="76"/>
        <v>NA</v>
      </c>
    </row>
    <row r="697" spans="1:21" ht="14.25" customHeight="1">
      <c r="A697" s="2" t="s">
        <v>15</v>
      </c>
      <c r="B697" s="2">
        <v>1960</v>
      </c>
      <c r="C697" s="2" t="s">
        <v>20</v>
      </c>
      <c r="D697" s="3">
        <f t="shared" si="70"/>
        <v>3.7700162568583617</v>
      </c>
      <c r="E697" s="3" t="e">
        <f t="shared" si="71"/>
        <v>#N/A</v>
      </c>
      <c r="F697" s="3" t="e">
        <f t="shared" si="72"/>
        <v>#VALUE!</v>
      </c>
      <c r="G697" s="3" t="e">
        <f t="shared" si="73"/>
        <v>#VALUE!</v>
      </c>
      <c r="H697" s="3" t="e">
        <f t="shared" si="74"/>
        <v>#VALUE!</v>
      </c>
      <c r="I697" s="3" t="e">
        <f t="shared" si="75"/>
        <v>#VALUE!</v>
      </c>
      <c r="J697" s="3">
        <v>3770.0162568583619</v>
      </c>
      <c r="K697" s="3" t="e">
        <v>#N/A</v>
      </c>
      <c r="L697" s="3" t="e">
        <v>#VALUE!</v>
      </c>
      <c r="M697" s="3" t="e">
        <v>#VALUE!</v>
      </c>
      <c r="N697" s="3" t="e">
        <v>#VALUE!</v>
      </c>
      <c r="O697" s="3" t="e">
        <v>#VALUE!</v>
      </c>
      <c r="P697" s="3" t="e">
        <f>E697*(VLOOKUP(B697,Price_data!A$1:B$190,2,FALSE))</f>
        <v>#N/A</v>
      </c>
      <c r="Q697" s="3" t="e">
        <f>G697*(VLOOKUP(B697,Price_data!A$1:B$190,2,FALSE))</f>
        <v>#VALUE!</v>
      </c>
      <c r="R697" s="3" t="e">
        <f>I697*(VLOOKUP(B697,Price_data!A$1:B$190,2,FALSE))</f>
        <v>#VALUE!</v>
      </c>
      <c r="S697" s="4" t="str">
        <f>(VLOOKUP(B697,Price_data!A$1:C$190,3,FALSE))</f>
        <v>Open access</v>
      </c>
      <c r="T697" s="2" t="str">
        <f>IF(C697="Total", (VLOOKUP(B697,Recommended_fish_intake!A$4:D$122,4,FALSE)), "NA")</f>
        <v>NA</v>
      </c>
      <c r="U697" s="2" t="str">
        <f t="shared" si="76"/>
        <v>NA</v>
      </c>
    </row>
    <row r="698" spans="1:21" ht="14.25" customHeight="1">
      <c r="A698" s="2" t="s">
        <v>15</v>
      </c>
      <c r="B698" s="2">
        <v>1960</v>
      </c>
      <c r="C698" s="2" t="s">
        <v>25</v>
      </c>
      <c r="D698" s="3">
        <f t="shared" si="70"/>
        <v>36.628733997155045</v>
      </c>
      <c r="E698" s="3">
        <f t="shared" si="71"/>
        <v>4.8170000000000002</v>
      </c>
      <c r="F698" s="3" t="e">
        <f t="shared" si="72"/>
        <v>#N/A</v>
      </c>
      <c r="G698" s="3" t="e">
        <f t="shared" si="73"/>
        <v>#N/A</v>
      </c>
      <c r="H698" s="3" t="e">
        <f t="shared" si="74"/>
        <v>#N/A</v>
      </c>
      <c r="I698" s="3" t="e">
        <f t="shared" si="75"/>
        <v>#N/A</v>
      </c>
      <c r="J698" s="3">
        <v>36628.733997155046</v>
      </c>
      <c r="K698" s="3">
        <v>4817</v>
      </c>
      <c r="L698" s="3" t="e">
        <v>#N/A</v>
      </c>
      <c r="M698" s="3" t="e">
        <v>#N/A</v>
      </c>
      <c r="N698" s="3" t="e">
        <v>#N/A</v>
      </c>
      <c r="O698" s="3" t="e">
        <v>#N/A</v>
      </c>
      <c r="P698" s="3">
        <f>E698*(VLOOKUP(B698,Price_data!A$1:B$190,2,FALSE))</f>
        <v>65.907547866019996</v>
      </c>
      <c r="Q698" s="3" t="e">
        <f>G698*(VLOOKUP(B698,Price_data!A$1:B$190,2,FALSE))</f>
        <v>#N/A</v>
      </c>
      <c r="R698" s="3" t="e">
        <f>I698*(VLOOKUP(B698,Price_data!A$1:B$190,2,FALSE))</f>
        <v>#N/A</v>
      </c>
      <c r="S698" s="4" t="str">
        <f>(VLOOKUP(B698,Price_data!A$1:C$190,3,FALSE))</f>
        <v>Open access</v>
      </c>
      <c r="T698" s="2" t="str">
        <f>IF(C698="Total", (VLOOKUP(B698,Recommended_fish_intake!A$4:D$122,4,FALSE)), "NA")</f>
        <v>NA</v>
      </c>
      <c r="U698" s="2" t="str">
        <f t="shared" si="76"/>
        <v>NA</v>
      </c>
    </row>
    <row r="699" spans="1:21" ht="14.25" customHeight="1">
      <c r="A699" s="2" t="s">
        <v>15</v>
      </c>
      <c r="B699" s="2">
        <v>1960</v>
      </c>
      <c r="C699" s="2" t="s">
        <v>24</v>
      </c>
      <c r="D699" s="3">
        <f t="shared" si="70"/>
        <v>40.184921763869134</v>
      </c>
      <c r="E699" s="3">
        <f t="shared" si="71"/>
        <v>2.069</v>
      </c>
      <c r="F699" s="3" t="e">
        <f t="shared" si="72"/>
        <v>#N/A</v>
      </c>
      <c r="G699" s="3" t="e">
        <f t="shared" si="73"/>
        <v>#N/A</v>
      </c>
      <c r="H699" s="3" t="e">
        <f t="shared" si="74"/>
        <v>#N/A</v>
      </c>
      <c r="I699" s="3" t="e">
        <f t="shared" si="75"/>
        <v>#N/A</v>
      </c>
      <c r="J699" s="3">
        <v>40184.921763869133</v>
      </c>
      <c r="K699" s="3">
        <v>2069</v>
      </c>
      <c r="L699" s="3" t="e">
        <v>#N/A</v>
      </c>
      <c r="M699" s="3" t="e">
        <v>#N/A</v>
      </c>
      <c r="N699" s="3" t="e">
        <v>#N/A</v>
      </c>
      <c r="O699" s="3" t="e">
        <v>#N/A</v>
      </c>
      <c r="P699" s="3">
        <f>E699*(VLOOKUP(B699,Price_data!A$1:B$190,2,FALSE))</f>
        <v>28.308639513139997</v>
      </c>
      <c r="Q699" s="3" t="e">
        <f>G699*(VLOOKUP(B699,Price_data!A$1:B$190,2,FALSE))</f>
        <v>#N/A</v>
      </c>
      <c r="R699" s="3" t="e">
        <f>I699*(VLOOKUP(B699,Price_data!A$1:B$190,2,FALSE))</f>
        <v>#N/A</v>
      </c>
      <c r="S699" s="4" t="str">
        <f>(VLOOKUP(B699,Price_data!A$1:C$190,3,FALSE))</f>
        <v>Open access</v>
      </c>
      <c r="T699" s="2" t="str">
        <f>IF(C699="Total", (VLOOKUP(B699,Recommended_fish_intake!A$4:D$122,4,FALSE)), "NA")</f>
        <v>NA</v>
      </c>
      <c r="U699" s="2" t="str">
        <f t="shared" si="76"/>
        <v>NA</v>
      </c>
    </row>
    <row r="700" spans="1:21" ht="14.25" customHeight="1">
      <c r="A700" s="2" t="s">
        <v>15</v>
      </c>
      <c r="B700" s="2">
        <v>1960</v>
      </c>
      <c r="C700" s="2" t="s">
        <v>30</v>
      </c>
      <c r="D700" s="3" t="e">
        <f t="shared" si="70"/>
        <v>#N/A</v>
      </c>
      <c r="E700" s="3" t="e">
        <f t="shared" si="71"/>
        <v>#N/A</v>
      </c>
      <c r="F700" s="3" t="e">
        <f t="shared" si="72"/>
        <v>#VALUE!</v>
      </c>
      <c r="G700" s="3" t="e">
        <f t="shared" si="73"/>
        <v>#VALUE!</v>
      </c>
      <c r="H700" s="3">
        <f t="shared" si="74"/>
        <v>0.909012395854501</v>
      </c>
      <c r="I700" s="3">
        <f t="shared" si="75"/>
        <v>0.30665199999999998</v>
      </c>
      <c r="J700" s="3" t="e">
        <v>#N/A</v>
      </c>
      <c r="K700" s="3" t="e">
        <v>#N/A</v>
      </c>
      <c r="L700" s="3" t="e">
        <v>#VALUE!</v>
      </c>
      <c r="M700" s="3" t="e">
        <v>#VALUE!</v>
      </c>
      <c r="N700" s="3">
        <v>909.01239585450105</v>
      </c>
      <c r="O700" s="3">
        <v>306.65199999999999</v>
      </c>
      <c r="P700" s="3" t="e">
        <f>E700*(VLOOKUP(B700,Price_data!A$1:B$190,2,FALSE))</f>
        <v>#N/A</v>
      </c>
      <c r="Q700" s="3" t="e">
        <f>G700*(VLOOKUP(B700,Price_data!A$1:B$190,2,FALSE))</f>
        <v>#VALUE!</v>
      </c>
      <c r="R700" s="3">
        <f>I700*(VLOOKUP(B700,Price_data!A$1:B$190,2,FALSE))</f>
        <v>4.1956988516111196</v>
      </c>
      <c r="S700" s="4" t="str">
        <f>(VLOOKUP(B700,Price_data!A$1:C$190,3,FALSE))</f>
        <v>Open access</v>
      </c>
      <c r="T700" s="2" t="str">
        <f>IF(C700="Total", (VLOOKUP(B700,Recommended_fish_intake!A$4:D$122,4,FALSE)), "NA")</f>
        <v>NA</v>
      </c>
      <c r="U700" s="2" t="str">
        <f t="shared" si="76"/>
        <v>NA</v>
      </c>
    </row>
    <row r="701" spans="1:21" ht="14.25" customHeight="1">
      <c r="A701" s="2" t="s">
        <v>15</v>
      </c>
      <c r="B701" s="2">
        <v>1961</v>
      </c>
      <c r="C701" s="2" t="s">
        <v>16</v>
      </c>
      <c r="D701" s="3">
        <f t="shared" si="70"/>
        <v>757.6712050396261</v>
      </c>
      <c r="E701" s="3">
        <f t="shared" si="71"/>
        <v>51.634</v>
      </c>
      <c r="F701" s="3">
        <f t="shared" si="72"/>
        <v>38.175574070310908</v>
      </c>
      <c r="G701" s="3">
        <f t="shared" si="73"/>
        <v>6.3666830000000001</v>
      </c>
      <c r="H701" s="3">
        <f t="shared" si="74"/>
        <v>204.30252997358261</v>
      </c>
      <c r="I701" s="3">
        <f t="shared" si="75"/>
        <v>42.859979000000003</v>
      </c>
      <c r="J701" s="3">
        <v>757671.2050396261</v>
      </c>
      <c r="K701" s="3">
        <v>51634</v>
      </c>
      <c r="L701" s="3">
        <v>38175.574070310911</v>
      </c>
      <c r="M701" s="3">
        <v>6366.683</v>
      </c>
      <c r="N701" s="3">
        <v>204302.5299735826</v>
      </c>
      <c r="O701" s="3">
        <v>42859.978999999999</v>
      </c>
      <c r="P701" s="3">
        <f>E701*(VLOOKUP(B701,Price_data!A$1:B$190,2,FALSE))</f>
        <v>682.82915754129999</v>
      </c>
      <c r="Q701" s="3">
        <f>G701*(VLOOKUP(B701,Price_data!A$1:B$190,2,FALSE))</f>
        <v>84.195622830354353</v>
      </c>
      <c r="R701" s="3">
        <f>I701*(VLOOKUP(B701,Price_data!A$1:B$190,2,FALSE))</f>
        <v>566.79791131440152</v>
      </c>
      <c r="S701" s="4" t="str">
        <f>(VLOOKUP(B701,Price_data!A$1:C$190,3,FALSE))</f>
        <v>Open access</v>
      </c>
      <c r="T701" s="2">
        <f>IF(C701="Total", (VLOOKUP(B701,Recommended_fish_intake!A$4:D$122,4,FALSE)), "NA")</f>
        <v>680.76920511599997</v>
      </c>
      <c r="U701" s="2" t="str">
        <f t="shared" si="76"/>
        <v>NA</v>
      </c>
    </row>
    <row r="702" spans="1:21" ht="14.25" customHeight="1">
      <c r="A702" s="2" t="s">
        <v>15</v>
      </c>
      <c r="B702" s="2">
        <v>1961</v>
      </c>
      <c r="C702" s="2" t="s">
        <v>22</v>
      </c>
      <c r="D702" s="3">
        <f t="shared" si="70"/>
        <v>291.86141028246288</v>
      </c>
      <c r="E702" s="3">
        <f t="shared" si="71"/>
        <v>19.588999999999999</v>
      </c>
      <c r="F702" s="3" t="e">
        <f t="shared" si="72"/>
        <v>#N/A</v>
      </c>
      <c r="G702" s="3" t="e">
        <f t="shared" si="73"/>
        <v>#N/A</v>
      </c>
      <c r="H702" s="3" t="e">
        <f t="shared" si="74"/>
        <v>#N/A</v>
      </c>
      <c r="I702" s="3" t="e">
        <f t="shared" si="75"/>
        <v>#N/A</v>
      </c>
      <c r="J702" s="3">
        <v>291861.41028246289</v>
      </c>
      <c r="K702" s="3">
        <v>19589</v>
      </c>
      <c r="L702" s="3" t="e">
        <v>#N/A</v>
      </c>
      <c r="M702" s="3" t="e">
        <v>#N/A</v>
      </c>
      <c r="N702" s="3" t="e">
        <v>#N/A</v>
      </c>
      <c r="O702" s="3" t="e">
        <v>#N/A</v>
      </c>
      <c r="P702" s="3">
        <f>E702*(VLOOKUP(B702,Price_data!A$1:B$190,2,FALSE))</f>
        <v>259.05295671604995</v>
      </c>
      <c r="Q702" s="3" t="e">
        <f>G702*(VLOOKUP(B702,Price_data!A$1:B$190,2,FALSE))</f>
        <v>#N/A</v>
      </c>
      <c r="R702" s="3" t="e">
        <f>I702*(VLOOKUP(B702,Price_data!A$1:B$190,2,FALSE))</f>
        <v>#N/A</v>
      </c>
      <c r="S702" s="4" t="str">
        <f>(VLOOKUP(B702,Price_data!A$1:C$190,3,FALSE))</f>
        <v>Open access</v>
      </c>
      <c r="T702" s="2" t="str">
        <f>IF(C702="Total", (VLOOKUP(B702,Recommended_fish_intake!A$4:D$122,4,FALSE)), "NA")</f>
        <v>NA</v>
      </c>
      <c r="U702" s="2" t="str">
        <f t="shared" si="76"/>
        <v>NA</v>
      </c>
    </row>
    <row r="703" spans="1:21" ht="14.25" customHeight="1">
      <c r="A703" s="2" t="s">
        <v>15</v>
      </c>
      <c r="B703" s="2">
        <v>1961</v>
      </c>
      <c r="C703" s="2" t="s">
        <v>23</v>
      </c>
      <c r="D703" s="3">
        <f t="shared" si="70"/>
        <v>133.40784393415973</v>
      </c>
      <c r="E703" s="3">
        <f t="shared" si="71"/>
        <v>9.9619999999999997</v>
      </c>
      <c r="F703" s="3" t="e">
        <f t="shared" si="72"/>
        <v>#N/A</v>
      </c>
      <c r="G703" s="3" t="e">
        <f t="shared" si="73"/>
        <v>#N/A</v>
      </c>
      <c r="H703" s="3" t="e">
        <f t="shared" si="74"/>
        <v>#N/A</v>
      </c>
      <c r="I703" s="3" t="e">
        <f t="shared" si="75"/>
        <v>#N/A</v>
      </c>
      <c r="J703" s="3">
        <v>133407.84393415973</v>
      </c>
      <c r="K703" s="3">
        <v>9962</v>
      </c>
      <c r="L703" s="3" t="e">
        <v>#N/A</v>
      </c>
      <c r="M703" s="3" t="e">
        <v>#N/A</v>
      </c>
      <c r="N703" s="3" t="e">
        <v>#N/A</v>
      </c>
      <c r="O703" s="3" t="e">
        <v>#N/A</v>
      </c>
      <c r="P703" s="3">
        <f>E703*(VLOOKUP(B703,Price_data!A$1:B$190,2,FALSE))</f>
        <v>131.74156694089999</v>
      </c>
      <c r="Q703" s="3" t="e">
        <f>G703*(VLOOKUP(B703,Price_data!A$1:B$190,2,FALSE))</f>
        <v>#N/A</v>
      </c>
      <c r="R703" s="3" t="e">
        <f>I703*(VLOOKUP(B703,Price_data!A$1:B$190,2,FALSE))</f>
        <v>#N/A</v>
      </c>
      <c r="S703" s="4" t="str">
        <f>(VLOOKUP(B703,Price_data!A$1:C$190,3,FALSE))</f>
        <v>Open access</v>
      </c>
      <c r="T703" s="2" t="str">
        <f>IF(C703="Total", (VLOOKUP(B703,Recommended_fish_intake!A$4:D$122,4,FALSE)), "NA")</f>
        <v>NA</v>
      </c>
      <c r="U703" s="2" t="str">
        <f t="shared" si="76"/>
        <v>NA</v>
      </c>
    </row>
    <row r="704" spans="1:21" ht="14.25" customHeight="1">
      <c r="A704" s="2" t="s">
        <v>15</v>
      </c>
      <c r="B704" s="2">
        <v>1961</v>
      </c>
      <c r="C704" s="2" t="s">
        <v>19</v>
      </c>
      <c r="D704" s="3">
        <f t="shared" si="70"/>
        <v>90.530380004064213</v>
      </c>
      <c r="E704" s="3">
        <f t="shared" si="71"/>
        <v>2.3359999999999999</v>
      </c>
      <c r="F704" s="3" t="e">
        <f t="shared" si="72"/>
        <v>#N/A</v>
      </c>
      <c r="G704" s="3" t="e">
        <f t="shared" si="73"/>
        <v>#N/A</v>
      </c>
      <c r="H704" s="3" t="e">
        <f t="shared" si="74"/>
        <v>#N/A</v>
      </c>
      <c r="I704" s="3" t="e">
        <f t="shared" si="75"/>
        <v>#N/A</v>
      </c>
      <c r="J704" s="3">
        <v>90530.380004064209</v>
      </c>
      <c r="K704" s="3">
        <v>2336</v>
      </c>
      <c r="L704" s="3" t="e">
        <v>#N/A</v>
      </c>
      <c r="M704" s="3" t="e">
        <v>#N/A</v>
      </c>
      <c r="N704" s="3" t="e">
        <v>#N/A</v>
      </c>
      <c r="O704" s="3" t="e">
        <v>#N/A</v>
      </c>
      <c r="P704" s="3">
        <f>E704*(VLOOKUP(B704,Price_data!A$1:B$190,2,FALSE))</f>
        <v>30.892220475199998</v>
      </c>
      <c r="Q704" s="3" t="e">
        <f>G704*(VLOOKUP(B704,Price_data!A$1:B$190,2,FALSE))</f>
        <v>#N/A</v>
      </c>
      <c r="R704" s="3" t="e">
        <f>I704*(VLOOKUP(B704,Price_data!A$1:B$190,2,FALSE))</f>
        <v>#N/A</v>
      </c>
      <c r="S704" s="4" t="str">
        <f>(VLOOKUP(B704,Price_data!A$1:C$190,3,FALSE))</f>
        <v>Open access</v>
      </c>
      <c r="T704" s="2" t="str">
        <f>IF(C704="Total", (VLOOKUP(B704,Recommended_fish_intake!A$4:D$122,4,FALSE)), "NA")</f>
        <v>NA</v>
      </c>
      <c r="U704" s="2" t="str">
        <f t="shared" si="76"/>
        <v>NA</v>
      </c>
    </row>
    <row r="705" spans="1:21" ht="14.25" customHeight="1">
      <c r="A705" s="2" t="s">
        <v>15</v>
      </c>
      <c r="B705" s="2">
        <v>1961</v>
      </c>
      <c r="C705" s="2" t="s">
        <v>28</v>
      </c>
      <c r="D705" s="3" t="e">
        <f t="shared" si="70"/>
        <v>#VALUE!</v>
      </c>
      <c r="E705" s="3" t="e">
        <f t="shared" si="71"/>
        <v>#VALUE!</v>
      </c>
      <c r="F705" s="3" t="e">
        <f t="shared" si="72"/>
        <v>#N/A</v>
      </c>
      <c r="G705" s="3" t="e">
        <f t="shared" si="73"/>
        <v>#N/A</v>
      </c>
      <c r="H705" s="3" t="e">
        <f t="shared" si="74"/>
        <v>#N/A</v>
      </c>
      <c r="I705" s="3" t="e">
        <f t="shared" si="75"/>
        <v>#N/A</v>
      </c>
      <c r="J705" s="3" t="e">
        <v>#VALUE!</v>
      </c>
      <c r="K705" s="3" t="e">
        <v>#VALUE!</v>
      </c>
      <c r="L705" s="3" t="e">
        <v>#N/A</v>
      </c>
      <c r="M705" s="3" t="e">
        <v>#N/A</v>
      </c>
      <c r="N705" s="3" t="e">
        <v>#N/A</v>
      </c>
      <c r="O705" s="3" t="e">
        <v>#N/A</v>
      </c>
      <c r="P705" s="3" t="e">
        <f>E705*(VLOOKUP(B705,Price_data!A$1:B$190,2,FALSE))</f>
        <v>#VALUE!</v>
      </c>
      <c r="Q705" s="3" t="e">
        <f>G705*(VLOOKUP(B705,Price_data!A$1:B$190,2,FALSE))</f>
        <v>#N/A</v>
      </c>
      <c r="R705" s="3" t="e">
        <f>I705*(VLOOKUP(B705,Price_data!A$1:B$190,2,FALSE))</f>
        <v>#N/A</v>
      </c>
      <c r="S705" s="4" t="str">
        <f>(VLOOKUP(B705,Price_data!A$1:C$190,3,FALSE))</f>
        <v>Open access</v>
      </c>
      <c r="T705" s="2" t="str">
        <f>IF(C705="Total", (VLOOKUP(B705,Recommended_fish_intake!A$4:D$122,4,FALSE)), "NA")</f>
        <v>NA</v>
      </c>
      <c r="U705" s="2" t="e">
        <f t="shared" si="76"/>
        <v>#VALUE!</v>
      </c>
    </row>
    <row r="706" spans="1:21" ht="14.25" customHeight="1">
      <c r="A706" s="2" t="s">
        <v>15</v>
      </c>
      <c r="B706" s="2">
        <v>1961</v>
      </c>
      <c r="C706" s="2" t="s">
        <v>29</v>
      </c>
      <c r="D706" s="3" t="e">
        <f t="shared" ref="D706:D720" si="77">IF(J706="", NA(), J706/1000)</f>
        <v>#VALUE!</v>
      </c>
      <c r="E706" s="3" t="e">
        <f t="shared" ref="E706:E720" si="78">IF(K706="", NA(), K706/1000)</f>
        <v>#VALUE!</v>
      </c>
      <c r="F706" s="3" t="e">
        <f t="shared" ref="F706:F720" si="79">IF(L706="", NA(), L706/1000)</f>
        <v>#N/A</v>
      </c>
      <c r="G706" s="3" t="e">
        <f t="shared" ref="G706:G720" si="80">IF(M706="", NA(), M706/1000)</f>
        <v>#N/A</v>
      </c>
      <c r="H706" s="3" t="e">
        <f t="shared" ref="H706:H720" si="81">IF(N706="", NA(), N706/1000)</f>
        <v>#N/A</v>
      </c>
      <c r="I706" s="3" t="e">
        <f t="shared" ref="I706:I720" si="82">IF(O706="", NA(), O706/1000)</f>
        <v>#N/A</v>
      </c>
      <c r="J706" s="3" t="e">
        <v>#VALUE!</v>
      </c>
      <c r="K706" s="3" t="e">
        <v>#VALUE!</v>
      </c>
      <c r="L706" s="3" t="e">
        <v>#N/A</v>
      </c>
      <c r="M706" s="3" t="e">
        <v>#N/A</v>
      </c>
      <c r="N706" s="3" t="e">
        <v>#N/A</v>
      </c>
      <c r="O706" s="3" t="e">
        <v>#N/A</v>
      </c>
      <c r="P706" s="3" t="e">
        <f>E706*(VLOOKUP(B706,Price_data!A$1:B$190,2,FALSE))</f>
        <v>#VALUE!</v>
      </c>
      <c r="Q706" s="3" t="e">
        <f>G706*(VLOOKUP(B706,Price_data!A$1:B$190,2,FALSE))</f>
        <v>#N/A</v>
      </c>
      <c r="R706" s="3" t="e">
        <f>I706*(VLOOKUP(B706,Price_data!A$1:B$190,2,FALSE))</f>
        <v>#N/A</v>
      </c>
      <c r="S706" s="4" t="str">
        <f>(VLOOKUP(B706,Price_data!A$1:C$190,3,FALSE))</f>
        <v>Open access</v>
      </c>
      <c r="T706" s="2" t="str">
        <f>IF(C706="Total", (VLOOKUP(B706,Recommended_fish_intake!A$4:D$122,4,FALSE)), "NA")</f>
        <v>NA</v>
      </c>
      <c r="U706" s="2" t="str">
        <f t="shared" ref="U706:U769" si="83">IF(C706="Wet fish", D706*0.49, IF(C706="Shellfish", D706*0.28, "NA"))</f>
        <v>NA</v>
      </c>
    </row>
    <row r="707" spans="1:21" ht="14.25" customHeight="1">
      <c r="A707" s="2" t="s">
        <v>15</v>
      </c>
      <c r="B707" s="2">
        <v>1961</v>
      </c>
      <c r="C707" s="2" t="s">
        <v>20</v>
      </c>
      <c r="D707" s="3">
        <f t="shared" si="77"/>
        <v>4.9282158097947564</v>
      </c>
      <c r="E707" s="3" t="e">
        <f t="shared" si="78"/>
        <v>#N/A</v>
      </c>
      <c r="F707" s="3" t="e">
        <f t="shared" si="79"/>
        <v>#N/A</v>
      </c>
      <c r="G707" s="3" t="e">
        <f t="shared" si="80"/>
        <v>#N/A</v>
      </c>
      <c r="H707" s="3" t="e">
        <f t="shared" si="81"/>
        <v>#N/A</v>
      </c>
      <c r="I707" s="3" t="e">
        <f t="shared" si="82"/>
        <v>#N/A</v>
      </c>
      <c r="J707" s="3">
        <v>4928.2158097947568</v>
      </c>
      <c r="K707" s="3" t="e">
        <v>#N/A</v>
      </c>
      <c r="L707" s="3" t="e">
        <v>#N/A</v>
      </c>
      <c r="M707" s="3" t="e">
        <v>#N/A</v>
      </c>
      <c r="N707" s="3" t="e">
        <v>#N/A</v>
      </c>
      <c r="O707" s="3" t="e">
        <v>#N/A</v>
      </c>
      <c r="P707" s="3" t="e">
        <f>E707*(VLOOKUP(B707,Price_data!A$1:B$190,2,FALSE))</f>
        <v>#N/A</v>
      </c>
      <c r="Q707" s="3" t="e">
        <f>G707*(VLOOKUP(B707,Price_data!A$1:B$190,2,FALSE))</f>
        <v>#N/A</v>
      </c>
      <c r="R707" s="3" t="e">
        <f>I707*(VLOOKUP(B707,Price_data!A$1:B$190,2,FALSE))</f>
        <v>#N/A</v>
      </c>
      <c r="S707" s="4" t="str">
        <f>(VLOOKUP(B707,Price_data!A$1:C$190,3,FALSE))</f>
        <v>Open access</v>
      </c>
      <c r="T707" s="2" t="str">
        <f>IF(C707="Total", (VLOOKUP(B707,Recommended_fish_intake!A$4:D$122,4,FALSE)), "NA")</f>
        <v>NA</v>
      </c>
      <c r="U707" s="2" t="str">
        <f t="shared" si="83"/>
        <v>NA</v>
      </c>
    </row>
    <row r="708" spans="1:21" ht="14.25" customHeight="1">
      <c r="A708" s="2" t="s">
        <v>15</v>
      </c>
      <c r="B708" s="2">
        <v>1961</v>
      </c>
      <c r="C708" s="2" t="s">
        <v>25</v>
      </c>
      <c r="D708" s="3">
        <f t="shared" si="77"/>
        <v>35.307864255232673</v>
      </c>
      <c r="E708" s="3">
        <f t="shared" si="78"/>
        <v>4.7140000000000004</v>
      </c>
      <c r="F708" s="3" t="e">
        <f t="shared" si="79"/>
        <v>#N/A</v>
      </c>
      <c r="G708" s="3" t="e">
        <f t="shared" si="80"/>
        <v>#N/A</v>
      </c>
      <c r="H708" s="3" t="e">
        <f t="shared" si="81"/>
        <v>#N/A</v>
      </c>
      <c r="I708" s="3" t="e">
        <f t="shared" si="82"/>
        <v>#N/A</v>
      </c>
      <c r="J708" s="3">
        <v>35307.864255232671</v>
      </c>
      <c r="K708" s="3">
        <v>4714</v>
      </c>
      <c r="L708" s="3" t="e">
        <v>#N/A</v>
      </c>
      <c r="M708" s="3" t="e">
        <v>#N/A</v>
      </c>
      <c r="N708" s="3" t="e">
        <v>#N/A</v>
      </c>
      <c r="O708" s="3" t="e">
        <v>#N/A</v>
      </c>
      <c r="P708" s="3">
        <f>E708*(VLOOKUP(B708,Price_data!A$1:B$190,2,FALSE))</f>
        <v>62.3398661473</v>
      </c>
      <c r="Q708" s="3" t="e">
        <f>G708*(VLOOKUP(B708,Price_data!A$1:B$190,2,FALSE))</f>
        <v>#N/A</v>
      </c>
      <c r="R708" s="3" t="e">
        <f>I708*(VLOOKUP(B708,Price_data!A$1:B$190,2,FALSE))</f>
        <v>#N/A</v>
      </c>
      <c r="S708" s="4" t="str">
        <f>(VLOOKUP(B708,Price_data!A$1:C$190,3,FALSE))</f>
        <v>Open access</v>
      </c>
      <c r="T708" s="2" t="str">
        <f>IF(C708="Total", (VLOOKUP(B708,Recommended_fish_intake!A$4:D$122,4,FALSE)), "NA")</f>
        <v>NA</v>
      </c>
      <c r="U708" s="2" t="str">
        <f t="shared" si="83"/>
        <v>NA</v>
      </c>
    </row>
    <row r="709" spans="1:21" ht="14.25" customHeight="1">
      <c r="A709" s="2" t="s">
        <v>15</v>
      </c>
      <c r="B709" s="2">
        <v>1961</v>
      </c>
      <c r="C709" s="2" t="s">
        <v>24</v>
      </c>
      <c r="D709" s="3">
        <f t="shared" si="77"/>
        <v>46.433651696809591</v>
      </c>
      <c r="E709" s="3">
        <f t="shared" si="78"/>
        <v>2.09</v>
      </c>
      <c r="F709" s="3" t="e">
        <f t="shared" si="79"/>
        <v>#N/A</v>
      </c>
      <c r="G709" s="3" t="e">
        <f t="shared" si="80"/>
        <v>#N/A</v>
      </c>
      <c r="H709" s="3" t="e">
        <f t="shared" si="81"/>
        <v>#N/A</v>
      </c>
      <c r="I709" s="3" t="e">
        <f t="shared" si="82"/>
        <v>#N/A</v>
      </c>
      <c r="J709" s="3">
        <v>46433.651696809589</v>
      </c>
      <c r="K709" s="3">
        <v>2090</v>
      </c>
      <c r="L709" s="3" t="e">
        <v>#N/A</v>
      </c>
      <c r="M709" s="3" t="e">
        <v>#N/A</v>
      </c>
      <c r="N709" s="3" t="e">
        <v>#N/A</v>
      </c>
      <c r="O709" s="3" t="e">
        <v>#N/A</v>
      </c>
      <c r="P709" s="3">
        <f>E709*(VLOOKUP(B709,Price_data!A$1:B$190,2,FALSE))</f>
        <v>27.639015750499997</v>
      </c>
      <c r="Q709" s="3" t="e">
        <f>G709*(VLOOKUP(B709,Price_data!A$1:B$190,2,FALSE))</f>
        <v>#N/A</v>
      </c>
      <c r="R709" s="3" t="e">
        <f>I709*(VLOOKUP(B709,Price_data!A$1:B$190,2,FALSE))</f>
        <v>#N/A</v>
      </c>
      <c r="S709" s="4" t="str">
        <f>(VLOOKUP(B709,Price_data!A$1:C$190,3,FALSE))</f>
        <v>Open access</v>
      </c>
      <c r="T709" s="2" t="str">
        <f>IF(C709="Total", (VLOOKUP(B709,Recommended_fish_intake!A$4:D$122,4,FALSE)), "NA")</f>
        <v>NA</v>
      </c>
      <c r="U709" s="2" t="str">
        <f t="shared" si="83"/>
        <v>NA</v>
      </c>
    </row>
    <row r="710" spans="1:21" ht="14.25" customHeight="1">
      <c r="A710" s="2" t="s">
        <v>15</v>
      </c>
      <c r="B710" s="2">
        <v>1961</v>
      </c>
      <c r="C710" s="2" t="s">
        <v>30</v>
      </c>
      <c r="D710" s="3" t="e">
        <f t="shared" si="77"/>
        <v>#N/A</v>
      </c>
      <c r="E710" s="3" t="e">
        <f t="shared" si="78"/>
        <v>#N/A</v>
      </c>
      <c r="F710" s="3" t="e">
        <f t="shared" si="79"/>
        <v>#N/A</v>
      </c>
      <c r="G710" s="3" t="e">
        <f t="shared" si="80"/>
        <v>#N/A</v>
      </c>
      <c r="H710" s="3" t="e">
        <f t="shared" si="81"/>
        <v>#N/A</v>
      </c>
      <c r="I710" s="3" t="e">
        <f t="shared" si="82"/>
        <v>#N/A</v>
      </c>
      <c r="J710" s="3" t="e">
        <v>#N/A</v>
      </c>
      <c r="K710" s="3" t="e">
        <v>#N/A</v>
      </c>
      <c r="L710" s="3" t="e">
        <v>#N/A</v>
      </c>
      <c r="M710" s="3" t="e">
        <v>#N/A</v>
      </c>
      <c r="N710" s="3" t="e">
        <v>#N/A</v>
      </c>
      <c r="O710" s="3" t="e">
        <v>#N/A</v>
      </c>
      <c r="P710" s="3" t="e">
        <f>E710*(VLOOKUP(B710,Price_data!A$1:B$190,2,FALSE))</f>
        <v>#N/A</v>
      </c>
      <c r="Q710" s="3" t="e">
        <f>G710*(VLOOKUP(B710,Price_data!A$1:B$190,2,FALSE))</f>
        <v>#N/A</v>
      </c>
      <c r="R710" s="3" t="e">
        <f>I710*(VLOOKUP(B710,Price_data!A$1:B$190,2,FALSE))</f>
        <v>#N/A</v>
      </c>
      <c r="S710" s="4" t="str">
        <f>(VLOOKUP(B710,Price_data!A$1:C$190,3,FALSE))</f>
        <v>Open access</v>
      </c>
      <c r="T710" s="2" t="str">
        <f>IF(C710="Total", (VLOOKUP(B710,Recommended_fish_intake!A$4:D$122,4,FALSE)), "NA")</f>
        <v>NA</v>
      </c>
      <c r="U710" s="2" t="str">
        <f t="shared" si="83"/>
        <v>NA</v>
      </c>
    </row>
    <row r="711" spans="1:21" ht="14.25" customHeight="1">
      <c r="A711" s="2" t="s">
        <v>15</v>
      </c>
      <c r="B711" s="2">
        <v>1962</v>
      </c>
      <c r="C711" s="2" t="s">
        <v>16</v>
      </c>
      <c r="D711" s="3">
        <f t="shared" si="77"/>
        <v>828.54094696199957</v>
      </c>
      <c r="E711" s="3">
        <f t="shared" si="78"/>
        <v>51.323</v>
      </c>
      <c r="F711" s="3">
        <f t="shared" si="79"/>
        <v>43.784850640113795</v>
      </c>
      <c r="G711" s="3">
        <f t="shared" si="80"/>
        <v>7.0728010000000001</v>
      </c>
      <c r="H711" s="3">
        <f t="shared" si="81"/>
        <v>218.25619792725055</v>
      </c>
      <c r="I711" s="3">
        <f t="shared" si="82"/>
        <v>60.298027999999995</v>
      </c>
      <c r="J711" s="3">
        <v>828540.94696199952</v>
      </c>
      <c r="K711" s="3">
        <v>51323</v>
      </c>
      <c r="L711" s="3">
        <v>43784.850640113793</v>
      </c>
      <c r="M711" s="3">
        <v>7072.8010000000004</v>
      </c>
      <c r="N711" s="3">
        <v>218256.19792725056</v>
      </c>
      <c r="O711" s="3">
        <v>60298.027999999998</v>
      </c>
      <c r="P711" s="3">
        <f>E711*(VLOOKUP(B711,Price_data!A$1:B$190,2,FALSE))</f>
        <v>650.54323405909997</v>
      </c>
      <c r="Q711" s="3">
        <f>G711*(VLOOKUP(B711,Price_data!A$1:B$190,2,FALSE))</f>
        <v>89.651088915231696</v>
      </c>
      <c r="R711" s="3">
        <f>I711*(VLOOKUP(B711,Price_data!A$1:B$190,2,FALSE))</f>
        <v>764.30594747980751</v>
      </c>
      <c r="S711" s="4" t="str">
        <f>(VLOOKUP(B711,Price_data!A$1:C$190,3,FALSE))</f>
        <v>Open access</v>
      </c>
      <c r="T711" s="2">
        <f>IF(C711="Total", (VLOOKUP(B711,Recommended_fish_intake!A$4:D$122,4,FALSE)), "NA")</f>
        <v>687.82540444799997</v>
      </c>
      <c r="U711" s="2" t="str">
        <f t="shared" si="83"/>
        <v>NA</v>
      </c>
    </row>
    <row r="712" spans="1:21" ht="14.25" customHeight="1">
      <c r="A712" s="2" t="s">
        <v>15</v>
      </c>
      <c r="B712" s="2">
        <v>1962</v>
      </c>
      <c r="C712" s="2" t="s">
        <v>22</v>
      </c>
      <c r="D712" s="3">
        <f t="shared" si="77"/>
        <v>320.26010973379397</v>
      </c>
      <c r="E712" s="3">
        <f t="shared" si="78"/>
        <v>19.187999999999999</v>
      </c>
      <c r="F712" s="3" t="e">
        <f t="shared" si="79"/>
        <v>#N/A</v>
      </c>
      <c r="G712" s="3" t="e">
        <f t="shared" si="80"/>
        <v>#N/A</v>
      </c>
      <c r="H712" s="3" t="e">
        <f t="shared" si="81"/>
        <v>#N/A</v>
      </c>
      <c r="I712" s="3" t="e">
        <f t="shared" si="82"/>
        <v>#N/A</v>
      </c>
      <c r="J712" s="3">
        <v>320260.10973379394</v>
      </c>
      <c r="K712" s="3">
        <v>19188</v>
      </c>
      <c r="L712" s="3" t="e">
        <v>#N/A</v>
      </c>
      <c r="M712" s="3" t="e">
        <v>#N/A</v>
      </c>
      <c r="N712" s="3" t="e">
        <v>#N/A</v>
      </c>
      <c r="O712" s="3" t="e">
        <v>#N/A</v>
      </c>
      <c r="P712" s="3">
        <f>E712*(VLOOKUP(B712,Price_data!A$1:B$190,2,FALSE))</f>
        <v>243.21695097959997</v>
      </c>
      <c r="Q712" s="3" t="e">
        <f>G712*(VLOOKUP(B712,Price_data!A$1:B$190,2,FALSE))</f>
        <v>#N/A</v>
      </c>
      <c r="R712" s="3" t="e">
        <f>I712*(VLOOKUP(B712,Price_data!A$1:B$190,2,FALSE))</f>
        <v>#N/A</v>
      </c>
      <c r="S712" s="4" t="str">
        <f>(VLOOKUP(B712,Price_data!A$1:C$190,3,FALSE))</f>
        <v>Open access</v>
      </c>
      <c r="T712" s="2" t="str">
        <f>IF(C712="Total", (VLOOKUP(B712,Recommended_fish_intake!A$4:D$122,4,FALSE)), "NA")</f>
        <v>NA</v>
      </c>
      <c r="U712" s="2" t="str">
        <f t="shared" si="83"/>
        <v>NA</v>
      </c>
    </row>
    <row r="713" spans="1:21" ht="14.25" customHeight="1">
      <c r="A713" s="2" t="s">
        <v>15</v>
      </c>
      <c r="B713" s="2">
        <v>1962</v>
      </c>
      <c r="C713" s="2" t="s">
        <v>23</v>
      </c>
      <c r="D713" s="3">
        <f t="shared" si="77"/>
        <v>137.42125584230845</v>
      </c>
      <c r="E713" s="3">
        <f t="shared" si="78"/>
        <v>9.673</v>
      </c>
      <c r="F713" s="3" t="e">
        <f t="shared" si="79"/>
        <v>#N/A</v>
      </c>
      <c r="G713" s="3" t="e">
        <f t="shared" si="80"/>
        <v>#N/A</v>
      </c>
      <c r="H713" s="3" t="e">
        <f t="shared" si="81"/>
        <v>#N/A</v>
      </c>
      <c r="I713" s="3" t="e">
        <f t="shared" si="82"/>
        <v>#N/A</v>
      </c>
      <c r="J713" s="3">
        <v>137421.25584230846</v>
      </c>
      <c r="K713" s="3">
        <v>9673</v>
      </c>
      <c r="L713" s="3" t="e">
        <v>#N/A</v>
      </c>
      <c r="M713" s="3" t="e">
        <v>#N/A</v>
      </c>
      <c r="N713" s="3" t="e">
        <v>#N/A</v>
      </c>
      <c r="O713" s="3" t="e">
        <v>#N/A</v>
      </c>
      <c r="P713" s="3">
        <f>E713*(VLOOKUP(B713,Price_data!A$1:B$190,2,FALSE))</f>
        <v>122.6098377541</v>
      </c>
      <c r="Q713" s="3" t="e">
        <f>G713*(VLOOKUP(B713,Price_data!A$1:B$190,2,FALSE))</f>
        <v>#N/A</v>
      </c>
      <c r="R713" s="3" t="e">
        <f>I713*(VLOOKUP(B713,Price_data!A$1:B$190,2,FALSE))</f>
        <v>#N/A</v>
      </c>
      <c r="S713" s="4" t="str">
        <f>(VLOOKUP(B713,Price_data!A$1:C$190,3,FALSE))</f>
        <v>Open access</v>
      </c>
      <c r="T713" s="2" t="str">
        <f>IF(C713="Total", (VLOOKUP(B713,Recommended_fish_intake!A$4:D$122,4,FALSE)), "NA")</f>
        <v>NA</v>
      </c>
      <c r="U713" s="2" t="str">
        <f t="shared" si="83"/>
        <v>NA</v>
      </c>
    </row>
    <row r="714" spans="1:21" ht="14.25" customHeight="1">
      <c r="A714" s="2" t="s">
        <v>15</v>
      </c>
      <c r="B714" s="2">
        <v>1962</v>
      </c>
      <c r="C714" s="2" t="s">
        <v>19</v>
      </c>
      <c r="D714" s="3">
        <f t="shared" si="77"/>
        <v>91.089209510262137</v>
      </c>
      <c r="E714" s="3">
        <f t="shared" si="78"/>
        <v>2.7770000000000001</v>
      </c>
      <c r="F714" s="3" t="e">
        <f t="shared" si="79"/>
        <v>#N/A</v>
      </c>
      <c r="G714" s="3" t="e">
        <f t="shared" si="80"/>
        <v>#N/A</v>
      </c>
      <c r="H714" s="3" t="e">
        <f t="shared" si="81"/>
        <v>#N/A</v>
      </c>
      <c r="I714" s="3" t="e">
        <f t="shared" si="82"/>
        <v>#N/A</v>
      </c>
      <c r="J714" s="3">
        <v>91089.209510262139</v>
      </c>
      <c r="K714" s="3">
        <v>2777</v>
      </c>
      <c r="L714" s="3" t="e">
        <v>#N/A</v>
      </c>
      <c r="M714" s="3" t="e">
        <v>#N/A</v>
      </c>
      <c r="N714" s="3" t="e">
        <v>#N/A</v>
      </c>
      <c r="O714" s="3" t="e">
        <v>#N/A</v>
      </c>
      <c r="P714" s="3">
        <f>E714*(VLOOKUP(B714,Price_data!A$1:B$190,2,FALSE))</f>
        <v>35.1997849109</v>
      </c>
      <c r="Q714" s="3" t="e">
        <f>G714*(VLOOKUP(B714,Price_data!A$1:B$190,2,FALSE))</f>
        <v>#N/A</v>
      </c>
      <c r="R714" s="3" t="e">
        <f>I714*(VLOOKUP(B714,Price_data!A$1:B$190,2,FALSE))</f>
        <v>#N/A</v>
      </c>
      <c r="S714" s="4" t="str">
        <f>(VLOOKUP(B714,Price_data!A$1:C$190,3,FALSE))</f>
        <v>Open access</v>
      </c>
      <c r="T714" s="2" t="str">
        <f>IF(C714="Total", (VLOOKUP(B714,Recommended_fish_intake!A$4:D$122,4,FALSE)), "NA")</f>
        <v>NA</v>
      </c>
      <c r="U714" s="2" t="str">
        <f t="shared" si="83"/>
        <v>NA</v>
      </c>
    </row>
    <row r="715" spans="1:21" ht="14.25" customHeight="1">
      <c r="A715" s="2" t="s">
        <v>15</v>
      </c>
      <c r="B715" s="2">
        <v>1962</v>
      </c>
      <c r="C715" s="2" t="s">
        <v>28</v>
      </c>
      <c r="D715" s="3">
        <f t="shared" si="77"/>
        <v>30.024385287543179</v>
      </c>
      <c r="E715" s="3">
        <f t="shared" si="78"/>
        <v>2.4609999999999999</v>
      </c>
      <c r="F715" s="3" t="e">
        <f t="shared" si="79"/>
        <v>#N/A</v>
      </c>
      <c r="G715" s="3" t="e">
        <f t="shared" si="80"/>
        <v>#N/A</v>
      </c>
      <c r="H715" s="3" t="e">
        <f t="shared" si="81"/>
        <v>#N/A</v>
      </c>
      <c r="I715" s="3" t="e">
        <f t="shared" si="82"/>
        <v>#N/A</v>
      </c>
      <c r="J715" s="3">
        <v>30024.38528754318</v>
      </c>
      <c r="K715" s="3">
        <v>2461</v>
      </c>
      <c r="L715" s="3" t="e">
        <v>#N/A</v>
      </c>
      <c r="M715" s="3" t="e">
        <v>#N/A</v>
      </c>
      <c r="N715" s="3" t="e">
        <v>#N/A</v>
      </c>
      <c r="O715" s="3" t="e">
        <v>#N/A</v>
      </c>
      <c r="P715" s="3">
        <f>E715*(VLOOKUP(B715,Price_data!A$1:B$190,2,FALSE))</f>
        <v>31.194335853699997</v>
      </c>
      <c r="Q715" s="3" t="e">
        <f>G715*(VLOOKUP(B715,Price_data!A$1:B$190,2,FALSE))</f>
        <v>#N/A</v>
      </c>
      <c r="R715" s="3" t="e">
        <f>I715*(VLOOKUP(B715,Price_data!A$1:B$190,2,FALSE))</f>
        <v>#N/A</v>
      </c>
      <c r="S715" s="4" t="str">
        <f>(VLOOKUP(B715,Price_data!A$1:C$190,3,FALSE))</f>
        <v>Open access</v>
      </c>
      <c r="T715" s="2" t="str">
        <f>IF(C715="Total", (VLOOKUP(B715,Recommended_fish_intake!A$4:D$122,4,FALSE)), "NA")</f>
        <v>NA</v>
      </c>
      <c r="U715" s="2">
        <f t="shared" si="83"/>
        <v>8.4068278805120915</v>
      </c>
    </row>
    <row r="716" spans="1:21" ht="14.25" customHeight="1">
      <c r="A716" s="2" t="s">
        <v>15</v>
      </c>
      <c r="B716" s="2">
        <v>1962</v>
      </c>
      <c r="C716" s="2" t="s">
        <v>29</v>
      </c>
      <c r="D716" s="3" t="e">
        <f t="shared" si="77"/>
        <v>#VALUE!</v>
      </c>
      <c r="E716" s="3" t="e">
        <f t="shared" si="78"/>
        <v>#VALUE!</v>
      </c>
      <c r="F716" s="3" t="e">
        <f t="shared" si="79"/>
        <v>#N/A</v>
      </c>
      <c r="G716" s="3" t="e">
        <f t="shared" si="80"/>
        <v>#N/A</v>
      </c>
      <c r="H716" s="3" t="e">
        <f t="shared" si="81"/>
        <v>#N/A</v>
      </c>
      <c r="I716" s="3" t="e">
        <f t="shared" si="82"/>
        <v>#N/A</v>
      </c>
      <c r="J716" s="3" t="e">
        <v>#VALUE!</v>
      </c>
      <c r="K716" s="3" t="e">
        <v>#VALUE!</v>
      </c>
      <c r="L716" s="3" t="e">
        <v>#N/A</v>
      </c>
      <c r="M716" s="3" t="e">
        <v>#N/A</v>
      </c>
      <c r="N716" s="3" t="e">
        <v>#N/A</v>
      </c>
      <c r="O716" s="3" t="e">
        <v>#N/A</v>
      </c>
      <c r="P716" s="3" t="e">
        <f>E716*(VLOOKUP(B716,Price_data!A$1:B$190,2,FALSE))</f>
        <v>#VALUE!</v>
      </c>
      <c r="Q716" s="3" t="e">
        <f>G716*(VLOOKUP(B716,Price_data!A$1:B$190,2,FALSE))</f>
        <v>#N/A</v>
      </c>
      <c r="R716" s="3" t="e">
        <f>I716*(VLOOKUP(B716,Price_data!A$1:B$190,2,FALSE))</f>
        <v>#N/A</v>
      </c>
      <c r="S716" s="4" t="str">
        <f>(VLOOKUP(B716,Price_data!A$1:C$190,3,FALSE))</f>
        <v>Open access</v>
      </c>
      <c r="T716" s="2" t="str">
        <f>IF(C716="Total", (VLOOKUP(B716,Recommended_fish_intake!A$4:D$122,4,FALSE)), "NA")</f>
        <v>NA</v>
      </c>
      <c r="U716" s="2" t="str">
        <f t="shared" si="83"/>
        <v>NA</v>
      </c>
    </row>
    <row r="717" spans="1:21" ht="14.25" customHeight="1">
      <c r="A717" s="2" t="s">
        <v>15</v>
      </c>
      <c r="B717" s="2">
        <v>1962</v>
      </c>
      <c r="C717" s="2" t="s">
        <v>20</v>
      </c>
      <c r="D717" s="3">
        <f t="shared" si="77"/>
        <v>4.4132798211745579</v>
      </c>
      <c r="E717" s="3" t="e">
        <f t="shared" si="78"/>
        <v>#N/A</v>
      </c>
      <c r="F717" s="3" t="e">
        <f t="shared" si="79"/>
        <v>#N/A</v>
      </c>
      <c r="G717" s="3" t="e">
        <f t="shared" si="80"/>
        <v>#N/A</v>
      </c>
      <c r="H717" s="3" t="e">
        <f t="shared" si="81"/>
        <v>#N/A</v>
      </c>
      <c r="I717" s="3" t="e">
        <f t="shared" si="82"/>
        <v>#N/A</v>
      </c>
      <c r="J717" s="3">
        <v>4413.2798211745576</v>
      </c>
      <c r="K717" s="3" t="e">
        <v>#N/A</v>
      </c>
      <c r="L717" s="3" t="e">
        <v>#N/A</v>
      </c>
      <c r="M717" s="3" t="e">
        <v>#N/A</v>
      </c>
      <c r="N717" s="3" t="e">
        <v>#N/A</v>
      </c>
      <c r="O717" s="3" t="e">
        <v>#N/A</v>
      </c>
      <c r="P717" s="3" t="e">
        <f>E717*(VLOOKUP(B717,Price_data!A$1:B$190,2,FALSE))</f>
        <v>#N/A</v>
      </c>
      <c r="Q717" s="3" t="e">
        <f>G717*(VLOOKUP(B717,Price_data!A$1:B$190,2,FALSE))</f>
        <v>#N/A</v>
      </c>
      <c r="R717" s="3" t="e">
        <f>I717*(VLOOKUP(B717,Price_data!A$1:B$190,2,FALSE))</f>
        <v>#N/A</v>
      </c>
      <c r="S717" s="4" t="str">
        <f>(VLOOKUP(B717,Price_data!A$1:C$190,3,FALSE))</f>
        <v>Open access</v>
      </c>
      <c r="T717" s="2" t="str">
        <f>IF(C717="Total", (VLOOKUP(B717,Recommended_fish_intake!A$4:D$122,4,FALSE)), "NA")</f>
        <v>NA</v>
      </c>
      <c r="U717" s="2" t="str">
        <f t="shared" si="83"/>
        <v>NA</v>
      </c>
    </row>
    <row r="718" spans="1:21" ht="14.25" customHeight="1">
      <c r="A718" s="2" t="s">
        <v>15</v>
      </c>
      <c r="B718" s="2">
        <v>1962</v>
      </c>
      <c r="C718" s="2" t="s">
        <v>25</v>
      </c>
      <c r="D718" s="3">
        <f t="shared" si="77"/>
        <v>36.069904490957121</v>
      </c>
      <c r="E718" s="3">
        <f t="shared" si="78"/>
        <v>4.609</v>
      </c>
      <c r="F718" s="3" t="e">
        <f t="shared" si="79"/>
        <v>#N/A</v>
      </c>
      <c r="G718" s="3" t="e">
        <f t="shared" si="80"/>
        <v>#N/A</v>
      </c>
      <c r="H718" s="3" t="e">
        <f t="shared" si="81"/>
        <v>#N/A</v>
      </c>
      <c r="I718" s="3" t="e">
        <f t="shared" si="82"/>
        <v>#N/A</v>
      </c>
      <c r="J718" s="3">
        <v>36069.904490957124</v>
      </c>
      <c r="K718" s="3">
        <v>4609</v>
      </c>
      <c r="L718" s="3" t="e">
        <v>#N/A</v>
      </c>
      <c r="M718" s="3" t="e">
        <v>#N/A</v>
      </c>
      <c r="N718" s="3" t="e">
        <v>#N/A</v>
      </c>
      <c r="O718" s="3" t="e">
        <v>#N/A</v>
      </c>
      <c r="P718" s="3">
        <f>E718*(VLOOKUP(B718,Price_data!A$1:B$190,2,FALSE))</f>
        <v>58.421249065299996</v>
      </c>
      <c r="Q718" s="3" t="e">
        <f>G718*(VLOOKUP(B718,Price_data!A$1:B$190,2,FALSE))</f>
        <v>#N/A</v>
      </c>
      <c r="R718" s="3" t="e">
        <f>I718*(VLOOKUP(B718,Price_data!A$1:B$190,2,FALSE))</f>
        <v>#N/A</v>
      </c>
      <c r="S718" s="4" t="str">
        <f>(VLOOKUP(B718,Price_data!A$1:C$190,3,FALSE))</f>
        <v>Open access</v>
      </c>
      <c r="T718" s="2" t="str">
        <f>IF(C718="Total", (VLOOKUP(B718,Recommended_fish_intake!A$4:D$122,4,FALSE)), "NA")</f>
        <v>NA</v>
      </c>
      <c r="U718" s="2" t="str">
        <f t="shared" si="83"/>
        <v>NA</v>
      </c>
    </row>
    <row r="719" spans="1:21" ht="14.25" customHeight="1">
      <c r="A719" s="2" t="s">
        <v>15</v>
      </c>
      <c r="B719" s="2">
        <v>1962</v>
      </c>
      <c r="C719" s="2" t="s">
        <v>24</v>
      </c>
      <c r="D719" s="3">
        <f t="shared" si="77"/>
        <v>49.227799227799224</v>
      </c>
      <c r="E719" s="3">
        <f t="shared" si="78"/>
        <v>2.1720000000000002</v>
      </c>
      <c r="F719" s="3" t="e">
        <f t="shared" si="79"/>
        <v>#N/A</v>
      </c>
      <c r="G719" s="3" t="e">
        <f t="shared" si="80"/>
        <v>#N/A</v>
      </c>
      <c r="H719" s="3" t="e">
        <f t="shared" si="81"/>
        <v>#N/A</v>
      </c>
      <c r="I719" s="3" t="e">
        <f t="shared" si="82"/>
        <v>#N/A</v>
      </c>
      <c r="J719" s="3">
        <v>49227.799227799223</v>
      </c>
      <c r="K719" s="3">
        <v>2172</v>
      </c>
      <c r="L719" s="3" t="e">
        <v>#N/A</v>
      </c>
      <c r="M719" s="3" t="e">
        <v>#N/A</v>
      </c>
      <c r="N719" s="3" t="e">
        <v>#N/A</v>
      </c>
      <c r="O719" s="3" t="e">
        <v>#N/A</v>
      </c>
      <c r="P719" s="3">
        <f>E719*(VLOOKUP(B719,Price_data!A$1:B$190,2,FALSE))</f>
        <v>27.5311245324</v>
      </c>
      <c r="Q719" s="3" t="e">
        <f>G719*(VLOOKUP(B719,Price_data!A$1:B$190,2,FALSE))</f>
        <v>#N/A</v>
      </c>
      <c r="R719" s="3" t="e">
        <f>I719*(VLOOKUP(B719,Price_data!A$1:B$190,2,FALSE))</f>
        <v>#N/A</v>
      </c>
      <c r="S719" s="4" t="str">
        <f>(VLOOKUP(B719,Price_data!A$1:C$190,3,FALSE))</f>
        <v>Open access</v>
      </c>
      <c r="T719" s="2" t="str">
        <f>IF(C719="Total", (VLOOKUP(B719,Recommended_fish_intake!A$4:D$122,4,FALSE)), "NA")</f>
        <v>NA</v>
      </c>
      <c r="U719" s="2" t="str">
        <f t="shared" si="83"/>
        <v>NA</v>
      </c>
    </row>
    <row r="720" spans="1:21" ht="14.25" customHeight="1">
      <c r="A720" s="2" t="s">
        <v>15</v>
      </c>
      <c r="B720" s="2">
        <v>1962</v>
      </c>
      <c r="C720" s="2" t="s">
        <v>30</v>
      </c>
      <c r="D720" s="3" t="e">
        <f t="shared" si="77"/>
        <v>#N/A</v>
      </c>
      <c r="E720" s="3" t="e">
        <f t="shared" si="78"/>
        <v>#N/A</v>
      </c>
      <c r="F720" s="3" t="e">
        <f t="shared" si="79"/>
        <v>#N/A</v>
      </c>
      <c r="G720" s="3" t="e">
        <f t="shared" si="80"/>
        <v>#N/A</v>
      </c>
      <c r="H720" s="3" t="e">
        <f t="shared" si="81"/>
        <v>#N/A</v>
      </c>
      <c r="I720" s="3" t="e">
        <f t="shared" si="82"/>
        <v>#N/A</v>
      </c>
      <c r="J720" s="3" t="e">
        <v>#N/A</v>
      </c>
      <c r="K720" s="3" t="e">
        <v>#N/A</v>
      </c>
      <c r="L720" s="3" t="e">
        <v>#N/A</v>
      </c>
      <c r="M720" s="3" t="e">
        <v>#N/A</v>
      </c>
      <c r="N720" s="3" t="e">
        <v>#N/A</v>
      </c>
      <c r="O720" s="3" t="e">
        <v>#N/A</v>
      </c>
      <c r="P720" s="3" t="e">
        <f>E720*(VLOOKUP(B720,Price_data!A$1:B$190,2,FALSE))</f>
        <v>#N/A</v>
      </c>
      <c r="Q720" s="3" t="e">
        <f>G720*(VLOOKUP(B720,Price_data!A$1:B$190,2,FALSE))</f>
        <v>#N/A</v>
      </c>
      <c r="R720" s="3" t="e">
        <f>I720*(VLOOKUP(B720,Price_data!A$1:B$190,2,FALSE))</f>
        <v>#N/A</v>
      </c>
      <c r="S720" s="4" t="str">
        <f>(VLOOKUP(B720,Price_data!A$1:C$190,3,FALSE))</f>
        <v>Open access</v>
      </c>
      <c r="T720" s="2" t="str">
        <f>IF(C720="Total", (VLOOKUP(B720,Recommended_fish_intake!A$4:D$122,4,FALSE)), "NA")</f>
        <v>NA</v>
      </c>
      <c r="U720" s="2" t="str">
        <f t="shared" si="83"/>
        <v>NA</v>
      </c>
    </row>
    <row r="721" spans="1:21" ht="14.25" customHeight="1">
      <c r="A721" s="4" t="s">
        <v>15</v>
      </c>
      <c r="B721" s="4">
        <v>1962</v>
      </c>
      <c r="C721" s="2" t="s">
        <v>37</v>
      </c>
      <c r="D721" s="2">
        <v>798.5165616744564</v>
      </c>
      <c r="J721" s="8"/>
      <c r="P721" s="3">
        <f>E721*(VLOOKUP(B721,Price_data!A$1:B$190,2,FALSE))</f>
        <v>0</v>
      </c>
      <c r="Q721" s="3">
        <f>G721*(VLOOKUP(B721,Price_data!A$1:B$190,2,FALSE))</f>
        <v>0</v>
      </c>
      <c r="R721" s="3">
        <f>I721*(VLOOKUP(B721,Price_data!A$1:B$190,2,FALSE))</f>
        <v>0</v>
      </c>
      <c r="S721" s="4" t="str">
        <f>(VLOOKUP(B721,Price_data!A$1:C$190,3,FALSE))</f>
        <v>Open access</v>
      </c>
      <c r="T721" s="2" t="str">
        <f>IF(C721="Total", (VLOOKUP(B721,Recommended_fish_intake!A$4:D$122,4,FALSE)), "NA")</f>
        <v>NA</v>
      </c>
      <c r="U721" s="2">
        <f t="shared" si="83"/>
        <v>391.27311522048365</v>
      </c>
    </row>
    <row r="722" spans="1:21" ht="14.25" customHeight="1">
      <c r="A722" s="2" t="s">
        <v>15</v>
      </c>
      <c r="B722" s="2">
        <v>1963</v>
      </c>
      <c r="C722" s="2" t="s">
        <v>16</v>
      </c>
      <c r="D722" s="3">
        <f t="shared" ref="D722:D731" si="84">IF(J722="", NA(), J722/1000)</f>
        <v>852.01178622231248</v>
      </c>
      <c r="E722" s="3">
        <f t="shared" ref="E722:E731" si="85">IF(K722="", NA(), K722/1000)</f>
        <v>53.582999999999998</v>
      </c>
      <c r="F722" s="3">
        <f t="shared" ref="F722:F731" si="86">IF(L722="", NA(), L722/1000)</f>
        <v>44.908148750254014</v>
      </c>
      <c r="G722" s="3">
        <f t="shared" ref="G722:G731" si="87">IF(M722="", NA(), M722/1000)</f>
        <v>7.6774269999999998</v>
      </c>
      <c r="H722" s="3">
        <f t="shared" ref="H722:H731" si="88">IF(N722="", NA(), N722/1000)</f>
        <v>192.59047957732167</v>
      </c>
      <c r="I722" s="3">
        <f t="shared" ref="I722:I731" si="89">IF(O722="", NA(), O722/1000)</f>
        <v>49.925154999999997</v>
      </c>
      <c r="J722" s="3">
        <v>852011.78622231248</v>
      </c>
      <c r="K722" s="3">
        <v>53583</v>
      </c>
      <c r="L722" s="3">
        <v>44908.148750254011</v>
      </c>
      <c r="M722" s="3">
        <v>7677.4269999999997</v>
      </c>
      <c r="N722" s="3">
        <v>192590.47957732168</v>
      </c>
      <c r="O722" s="3">
        <v>49925.154999999999</v>
      </c>
      <c r="P722" s="3">
        <f>E722*(VLOOKUP(B722,Price_data!A$1:B$190,2,FALSE))</f>
        <v>666.61221107142001</v>
      </c>
      <c r="Q722" s="3">
        <f>G722*(VLOOKUP(B722,Price_data!A$1:B$190,2,FALSE))</f>
        <v>95.512878857275979</v>
      </c>
      <c r="R722" s="3">
        <f>I722*(VLOOKUP(B722,Price_data!A$1:B$190,2,FALSE))</f>
        <v>621.10590975931473</v>
      </c>
      <c r="S722" s="4" t="str">
        <f>(VLOOKUP(B722,Price_data!A$1:C$190,3,FALSE))</f>
        <v>Open access</v>
      </c>
      <c r="T722" s="2">
        <f>IF(C722="Total", (VLOOKUP(B722,Recommended_fish_intake!A$4:D$122,4,FALSE)), "NA")</f>
        <v>692.24775656400004</v>
      </c>
      <c r="U722" s="2" t="str">
        <f t="shared" si="83"/>
        <v>NA</v>
      </c>
    </row>
    <row r="723" spans="1:21" ht="14.25" customHeight="1">
      <c r="A723" s="2" t="s">
        <v>15</v>
      </c>
      <c r="B723" s="2">
        <v>1963</v>
      </c>
      <c r="C723" s="2" t="s">
        <v>22</v>
      </c>
      <c r="D723" s="3">
        <f t="shared" si="84"/>
        <v>321.53017679333465</v>
      </c>
      <c r="E723" s="3">
        <f t="shared" si="85"/>
        <v>21.561</v>
      </c>
      <c r="F723" s="3" t="e">
        <f t="shared" si="86"/>
        <v>#N/A</v>
      </c>
      <c r="G723" s="3" t="e">
        <f t="shared" si="87"/>
        <v>#N/A</v>
      </c>
      <c r="H723" s="3" t="e">
        <f t="shared" si="88"/>
        <v>#N/A</v>
      </c>
      <c r="I723" s="3" t="e">
        <f t="shared" si="89"/>
        <v>#N/A</v>
      </c>
      <c r="J723" s="3">
        <v>321530.17679333466</v>
      </c>
      <c r="K723" s="3">
        <v>21561</v>
      </c>
      <c r="L723" s="3" t="e">
        <v>#N/A</v>
      </c>
      <c r="M723" s="3" t="e">
        <v>#N/A</v>
      </c>
      <c r="N723" s="3" t="e">
        <v>#N/A</v>
      </c>
      <c r="O723" s="3" t="e">
        <v>#N/A</v>
      </c>
      <c r="P723" s="3">
        <f>E723*(VLOOKUP(B723,Price_data!A$1:B$190,2,FALSE))</f>
        <v>268.23481109514</v>
      </c>
      <c r="Q723" s="3" t="e">
        <f>G723*(VLOOKUP(B723,Price_data!A$1:B$190,2,FALSE))</f>
        <v>#N/A</v>
      </c>
      <c r="R723" s="3" t="e">
        <f>I723*(VLOOKUP(B723,Price_data!A$1:B$190,2,FALSE))</f>
        <v>#N/A</v>
      </c>
      <c r="S723" s="4" t="str">
        <f>(VLOOKUP(B723,Price_data!A$1:C$190,3,FALSE))</f>
        <v>Open access</v>
      </c>
      <c r="T723" s="2" t="str">
        <f>IF(C723="Total", (VLOOKUP(B723,Recommended_fish_intake!A$4:D$122,4,FALSE)), "NA")</f>
        <v>NA</v>
      </c>
      <c r="U723" s="2" t="str">
        <f t="shared" si="83"/>
        <v>NA</v>
      </c>
    </row>
    <row r="724" spans="1:21" ht="14.25" customHeight="1">
      <c r="A724" s="2" t="s">
        <v>15</v>
      </c>
      <c r="B724" s="2">
        <v>1963</v>
      </c>
      <c r="C724" s="2" t="s">
        <v>23</v>
      </c>
      <c r="D724" s="3">
        <f t="shared" si="84"/>
        <v>122.38366185734606</v>
      </c>
      <c r="E724" s="3">
        <f t="shared" si="85"/>
        <v>9.4039999999999999</v>
      </c>
      <c r="F724" s="3" t="e">
        <f t="shared" si="86"/>
        <v>#N/A</v>
      </c>
      <c r="G724" s="3" t="e">
        <f t="shared" si="87"/>
        <v>#N/A</v>
      </c>
      <c r="H724" s="3" t="e">
        <f t="shared" si="88"/>
        <v>#N/A</v>
      </c>
      <c r="I724" s="3" t="e">
        <f t="shared" si="89"/>
        <v>#N/A</v>
      </c>
      <c r="J724" s="3">
        <v>122383.66185734606</v>
      </c>
      <c r="K724" s="3">
        <v>9404</v>
      </c>
      <c r="L724" s="3" t="e">
        <v>#N/A</v>
      </c>
      <c r="M724" s="3" t="e">
        <v>#N/A</v>
      </c>
      <c r="N724" s="3" t="e">
        <v>#N/A</v>
      </c>
      <c r="O724" s="3" t="e">
        <v>#N/A</v>
      </c>
      <c r="P724" s="3">
        <f>E724*(VLOOKUP(B724,Price_data!A$1:B$190,2,FALSE))</f>
        <v>116.99272591896001</v>
      </c>
      <c r="Q724" s="3" t="e">
        <f>G724*(VLOOKUP(B724,Price_data!A$1:B$190,2,FALSE))</f>
        <v>#N/A</v>
      </c>
      <c r="R724" s="3" t="e">
        <f>I724*(VLOOKUP(B724,Price_data!A$1:B$190,2,FALSE))</f>
        <v>#N/A</v>
      </c>
      <c r="S724" s="4" t="str">
        <f>(VLOOKUP(B724,Price_data!A$1:C$190,3,FALSE))</f>
        <v>Open access</v>
      </c>
      <c r="T724" s="2" t="str">
        <f>IF(C724="Total", (VLOOKUP(B724,Recommended_fish_intake!A$4:D$122,4,FALSE)), "NA")</f>
        <v>NA</v>
      </c>
      <c r="U724" s="2" t="str">
        <f t="shared" si="83"/>
        <v>NA</v>
      </c>
    </row>
    <row r="725" spans="1:21" ht="14.25" customHeight="1">
      <c r="A725" s="2" t="s">
        <v>15</v>
      </c>
      <c r="B725" s="2">
        <v>1963</v>
      </c>
      <c r="C725" s="2" t="s">
        <v>19</v>
      </c>
      <c r="D725" s="3">
        <f t="shared" si="84"/>
        <v>106.43161958951431</v>
      </c>
      <c r="E725" s="3">
        <f t="shared" si="85"/>
        <v>2.7330000000000001</v>
      </c>
      <c r="F725" s="3" t="e">
        <f t="shared" si="86"/>
        <v>#N/A</v>
      </c>
      <c r="G725" s="3" t="e">
        <f t="shared" si="87"/>
        <v>#N/A</v>
      </c>
      <c r="H725" s="3" t="e">
        <f t="shared" si="88"/>
        <v>#N/A</v>
      </c>
      <c r="I725" s="3" t="e">
        <f t="shared" si="89"/>
        <v>#N/A</v>
      </c>
      <c r="J725" s="3">
        <v>106431.61958951432</v>
      </c>
      <c r="K725" s="3">
        <v>2733</v>
      </c>
      <c r="L725" s="3" t="e">
        <v>#N/A</v>
      </c>
      <c r="M725" s="3" t="e">
        <v>#N/A</v>
      </c>
      <c r="N725" s="3" t="e">
        <v>#N/A</v>
      </c>
      <c r="O725" s="3" t="e">
        <v>#N/A</v>
      </c>
      <c r="P725" s="3">
        <f>E725*(VLOOKUP(B725,Price_data!A$1:B$190,2,FALSE))</f>
        <v>34.000544442420001</v>
      </c>
      <c r="Q725" s="3" t="e">
        <f>G725*(VLOOKUP(B725,Price_data!A$1:B$190,2,FALSE))</f>
        <v>#N/A</v>
      </c>
      <c r="R725" s="3" t="e">
        <f>I725*(VLOOKUP(B725,Price_data!A$1:B$190,2,FALSE))</f>
        <v>#N/A</v>
      </c>
      <c r="S725" s="4" t="str">
        <f>(VLOOKUP(B725,Price_data!A$1:C$190,3,FALSE))</f>
        <v>Open access</v>
      </c>
      <c r="T725" s="2" t="str">
        <f>IF(C725="Total", (VLOOKUP(B725,Recommended_fish_intake!A$4:D$122,4,FALSE)), "NA")</f>
        <v>NA</v>
      </c>
      <c r="U725" s="2" t="str">
        <f t="shared" si="83"/>
        <v>NA</v>
      </c>
    </row>
    <row r="726" spans="1:21" ht="14.25" customHeight="1">
      <c r="A726" s="2" t="s">
        <v>15</v>
      </c>
      <c r="B726" s="2">
        <v>1963</v>
      </c>
      <c r="C726" s="2" t="s">
        <v>28</v>
      </c>
      <c r="D726" s="3">
        <f t="shared" si="84"/>
        <v>28.246291404186142</v>
      </c>
      <c r="E726" s="3">
        <f t="shared" si="85"/>
        <v>2.5219999999999998</v>
      </c>
      <c r="F726" s="3" t="e">
        <f t="shared" si="86"/>
        <v>#N/A</v>
      </c>
      <c r="G726" s="3" t="e">
        <f t="shared" si="87"/>
        <v>#N/A</v>
      </c>
      <c r="H726" s="3" t="e">
        <f t="shared" si="88"/>
        <v>#N/A</v>
      </c>
      <c r="I726" s="3" t="e">
        <f t="shared" si="89"/>
        <v>#N/A</v>
      </c>
      <c r="J726" s="3">
        <v>28246.29140418614</v>
      </c>
      <c r="K726" s="3">
        <v>2522</v>
      </c>
      <c r="L726" s="3" t="e">
        <v>#N/A</v>
      </c>
      <c r="M726" s="3" t="e">
        <v>#N/A</v>
      </c>
      <c r="N726" s="3" t="e">
        <v>#N/A</v>
      </c>
      <c r="O726" s="3" t="e">
        <v>#N/A</v>
      </c>
      <c r="P726" s="3">
        <f>E726*(VLOOKUP(B726,Price_data!A$1:B$190,2,FALSE))</f>
        <v>31.37554814628</v>
      </c>
      <c r="Q726" s="3" t="e">
        <f>G726*(VLOOKUP(B726,Price_data!A$1:B$190,2,FALSE))</f>
        <v>#N/A</v>
      </c>
      <c r="R726" s="3" t="e">
        <f>I726*(VLOOKUP(B726,Price_data!A$1:B$190,2,FALSE))</f>
        <v>#N/A</v>
      </c>
      <c r="S726" s="4" t="str">
        <f>(VLOOKUP(B726,Price_data!A$1:C$190,3,FALSE))</f>
        <v>Open access</v>
      </c>
      <c r="T726" s="2" t="str">
        <f>IF(C726="Total", (VLOOKUP(B726,Recommended_fish_intake!A$4:D$122,4,FALSE)), "NA")</f>
        <v>NA</v>
      </c>
      <c r="U726" s="2">
        <f t="shared" si="83"/>
        <v>7.90896159317212</v>
      </c>
    </row>
    <row r="727" spans="1:21" ht="14.25" customHeight="1">
      <c r="A727" s="2" t="s">
        <v>15</v>
      </c>
      <c r="B727" s="2">
        <v>1963</v>
      </c>
      <c r="C727" s="2" t="s">
        <v>29</v>
      </c>
      <c r="D727" s="3" t="e">
        <f t="shared" si="84"/>
        <v>#VALUE!</v>
      </c>
      <c r="E727" s="3" t="e">
        <f t="shared" si="85"/>
        <v>#VALUE!</v>
      </c>
      <c r="F727" s="3" t="e">
        <f t="shared" si="86"/>
        <v>#N/A</v>
      </c>
      <c r="G727" s="3" t="e">
        <f t="shared" si="87"/>
        <v>#N/A</v>
      </c>
      <c r="H727" s="3" t="e">
        <f t="shared" si="88"/>
        <v>#N/A</v>
      </c>
      <c r="I727" s="3" t="e">
        <f t="shared" si="89"/>
        <v>#N/A</v>
      </c>
      <c r="J727" s="3" t="e">
        <v>#VALUE!</v>
      </c>
      <c r="K727" s="3" t="e">
        <v>#VALUE!</v>
      </c>
      <c r="L727" s="3" t="e">
        <v>#N/A</v>
      </c>
      <c r="M727" s="3" t="e">
        <v>#N/A</v>
      </c>
      <c r="N727" s="3" t="e">
        <v>#N/A</v>
      </c>
      <c r="O727" s="3" t="e">
        <v>#N/A</v>
      </c>
      <c r="P727" s="3" t="e">
        <f>E727*(VLOOKUP(B727,Price_data!A$1:B$190,2,FALSE))</f>
        <v>#VALUE!</v>
      </c>
      <c r="Q727" s="3" t="e">
        <f>G727*(VLOOKUP(B727,Price_data!A$1:B$190,2,FALSE))</f>
        <v>#N/A</v>
      </c>
      <c r="R727" s="3" t="e">
        <f>I727*(VLOOKUP(B727,Price_data!A$1:B$190,2,FALSE))</f>
        <v>#N/A</v>
      </c>
      <c r="S727" s="4" t="str">
        <f>(VLOOKUP(B727,Price_data!A$1:C$190,3,FALSE))</f>
        <v>Open access</v>
      </c>
      <c r="T727" s="2" t="str">
        <f>IF(C727="Total", (VLOOKUP(B727,Recommended_fish_intake!A$4:D$122,4,FALSE)), "NA")</f>
        <v>NA</v>
      </c>
      <c r="U727" s="2" t="str">
        <f t="shared" si="83"/>
        <v>NA</v>
      </c>
    </row>
    <row r="728" spans="1:21" ht="14.25" customHeight="1">
      <c r="A728" s="2" t="s">
        <v>15</v>
      </c>
      <c r="B728" s="2">
        <v>1963</v>
      </c>
      <c r="C728" s="2" t="s">
        <v>20</v>
      </c>
      <c r="D728" s="3">
        <f t="shared" si="84"/>
        <v>4.2324222718959561</v>
      </c>
      <c r="E728" s="3" t="e">
        <f t="shared" si="85"/>
        <v>#N/A</v>
      </c>
      <c r="F728" s="3" t="e">
        <f t="shared" si="86"/>
        <v>#N/A</v>
      </c>
      <c r="G728" s="3" t="e">
        <f t="shared" si="87"/>
        <v>#N/A</v>
      </c>
      <c r="H728" s="3" t="e">
        <f t="shared" si="88"/>
        <v>#N/A</v>
      </c>
      <c r="I728" s="3" t="e">
        <f t="shared" si="89"/>
        <v>#N/A</v>
      </c>
      <c r="J728" s="3">
        <v>4232.4222718959563</v>
      </c>
      <c r="K728" s="3" t="e">
        <v>#N/A</v>
      </c>
      <c r="L728" s="3" t="e">
        <v>#N/A</v>
      </c>
      <c r="M728" s="3" t="e">
        <v>#N/A</v>
      </c>
      <c r="N728" s="3" t="e">
        <v>#N/A</v>
      </c>
      <c r="O728" s="3" t="e">
        <v>#N/A</v>
      </c>
      <c r="P728" s="3" t="e">
        <f>E728*(VLOOKUP(B728,Price_data!A$1:B$190,2,FALSE))</f>
        <v>#N/A</v>
      </c>
      <c r="Q728" s="3" t="e">
        <f>G728*(VLOOKUP(B728,Price_data!A$1:B$190,2,FALSE))</f>
        <v>#N/A</v>
      </c>
      <c r="R728" s="3" t="e">
        <f>I728*(VLOOKUP(B728,Price_data!A$1:B$190,2,FALSE))</f>
        <v>#N/A</v>
      </c>
      <c r="S728" s="4" t="str">
        <f>(VLOOKUP(B728,Price_data!A$1:C$190,3,FALSE))</f>
        <v>Open access</v>
      </c>
      <c r="T728" s="2" t="str">
        <f>IF(C728="Total", (VLOOKUP(B728,Recommended_fish_intake!A$4:D$122,4,FALSE)), "NA")</f>
        <v>NA</v>
      </c>
      <c r="U728" s="2" t="str">
        <f t="shared" si="83"/>
        <v>NA</v>
      </c>
    </row>
    <row r="729" spans="1:21" ht="14.25" customHeight="1">
      <c r="A729" s="2" t="s">
        <v>15</v>
      </c>
      <c r="B729" s="2">
        <v>1963</v>
      </c>
      <c r="C729" s="2" t="s">
        <v>25</v>
      </c>
      <c r="D729" s="3">
        <f t="shared" si="84"/>
        <v>40.438935175777281</v>
      </c>
      <c r="E729" s="3">
        <f t="shared" si="85"/>
        <v>4.8120000000000003</v>
      </c>
      <c r="F729" s="3" t="e">
        <f t="shared" si="86"/>
        <v>#N/A</v>
      </c>
      <c r="G729" s="3" t="e">
        <f t="shared" si="87"/>
        <v>#N/A</v>
      </c>
      <c r="H729" s="3" t="e">
        <f t="shared" si="88"/>
        <v>#N/A</v>
      </c>
      <c r="I729" s="3" t="e">
        <f t="shared" si="89"/>
        <v>#N/A</v>
      </c>
      <c r="J729" s="3">
        <v>40438.935175777282</v>
      </c>
      <c r="K729" s="3">
        <v>4812</v>
      </c>
      <c r="L729" s="3" t="e">
        <v>#N/A</v>
      </c>
      <c r="M729" s="3" t="e">
        <v>#N/A</v>
      </c>
      <c r="N729" s="3" t="e">
        <v>#N/A</v>
      </c>
      <c r="O729" s="3" t="e">
        <v>#N/A</v>
      </c>
      <c r="P729" s="3">
        <f>E729*(VLOOKUP(B729,Price_data!A$1:B$190,2,FALSE))</f>
        <v>59.864844440880006</v>
      </c>
      <c r="Q729" s="3" t="e">
        <f>G729*(VLOOKUP(B729,Price_data!A$1:B$190,2,FALSE))</f>
        <v>#N/A</v>
      </c>
      <c r="R729" s="3" t="e">
        <f>I729*(VLOOKUP(B729,Price_data!A$1:B$190,2,FALSE))</f>
        <v>#N/A</v>
      </c>
      <c r="S729" s="4" t="str">
        <f>(VLOOKUP(B729,Price_data!A$1:C$190,3,FALSE))</f>
        <v>Open access</v>
      </c>
      <c r="T729" s="2" t="str">
        <f>IF(C729="Total", (VLOOKUP(B729,Recommended_fish_intake!A$4:D$122,4,FALSE)), "NA")</f>
        <v>NA</v>
      </c>
      <c r="U729" s="2" t="str">
        <f t="shared" si="83"/>
        <v>NA</v>
      </c>
    </row>
    <row r="730" spans="1:21" ht="14.25" customHeight="1">
      <c r="A730" s="2" t="s">
        <v>15</v>
      </c>
      <c r="B730" s="2">
        <v>1963</v>
      </c>
      <c r="C730" s="2" t="s">
        <v>24</v>
      </c>
      <c r="D730" s="3">
        <f t="shared" si="84"/>
        <v>45.620808778703513</v>
      </c>
      <c r="E730" s="3">
        <f t="shared" si="85"/>
        <v>2.085</v>
      </c>
      <c r="F730" s="3" t="e">
        <f t="shared" si="86"/>
        <v>#N/A</v>
      </c>
      <c r="G730" s="3" t="e">
        <f t="shared" si="87"/>
        <v>#N/A</v>
      </c>
      <c r="H730" s="3" t="e">
        <f t="shared" si="88"/>
        <v>#N/A</v>
      </c>
      <c r="I730" s="3" t="e">
        <f t="shared" si="89"/>
        <v>#N/A</v>
      </c>
      <c r="J730" s="3">
        <v>45620.808778703511</v>
      </c>
      <c r="K730" s="3">
        <v>2085</v>
      </c>
      <c r="L730" s="3" t="e">
        <v>#N/A</v>
      </c>
      <c r="M730" s="3" t="e">
        <v>#N/A</v>
      </c>
      <c r="N730" s="3" t="e">
        <v>#N/A</v>
      </c>
      <c r="O730" s="3" t="e">
        <v>#N/A</v>
      </c>
      <c r="P730" s="3">
        <f>E730*(VLOOKUP(B730,Price_data!A$1:B$190,2,FALSE))</f>
        <v>25.938944442900002</v>
      </c>
      <c r="Q730" s="3" t="e">
        <f>G730*(VLOOKUP(B730,Price_data!A$1:B$190,2,FALSE))</f>
        <v>#N/A</v>
      </c>
      <c r="R730" s="3" t="e">
        <f>I730*(VLOOKUP(B730,Price_data!A$1:B$190,2,FALSE))</f>
        <v>#N/A</v>
      </c>
      <c r="S730" s="4" t="str">
        <f>(VLOOKUP(B730,Price_data!A$1:C$190,3,FALSE))</f>
        <v>Open access</v>
      </c>
      <c r="T730" s="2" t="str">
        <f>IF(C730="Total", (VLOOKUP(B730,Recommended_fish_intake!A$4:D$122,4,FALSE)), "NA")</f>
        <v>NA</v>
      </c>
      <c r="U730" s="2" t="str">
        <f t="shared" si="83"/>
        <v>NA</v>
      </c>
    </row>
    <row r="731" spans="1:21" ht="14.25" customHeight="1">
      <c r="A731" s="2" t="s">
        <v>15</v>
      </c>
      <c r="B731" s="2">
        <v>1963</v>
      </c>
      <c r="C731" s="2" t="s">
        <v>30</v>
      </c>
      <c r="D731" s="3" t="e">
        <f t="shared" si="84"/>
        <v>#N/A</v>
      </c>
      <c r="E731" s="3" t="e">
        <f t="shared" si="85"/>
        <v>#N/A</v>
      </c>
      <c r="F731" s="3" t="e">
        <f t="shared" si="86"/>
        <v>#N/A</v>
      </c>
      <c r="G731" s="3" t="e">
        <f t="shared" si="87"/>
        <v>#N/A</v>
      </c>
      <c r="H731" s="3" t="e">
        <f t="shared" si="88"/>
        <v>#N/A</v>
      </c>
      <c r="I731" s="3" t="e">
        <f t="shared" si="89"/>
        <v>#N/A</v>
      </c>
      <c r="J731" s="3" t="e">
        <v>#N/A</v>
      </c>
      <c r="K731" s="3" t="e">
        <v>#N/A</v>
      </c>
      <c r="L731" s="3" t="e">
        <v>#N/A</v>
      </c>
      <c r="M731" s="3" t="e">
        <v>#N/A</v>
      </c>
      <c r="N731" s="3" t="e">
        <v>#N/A</v>
      </c>
      <c r="O731" s="3" t="e">
        <v>#N/A</v>
      </c>
      <c r="P731" s="3" t="e">
        <f>E731*(VLOOKUP(B731,Price_data!A$1:B$190,2,FALSE))</f>
        <v>#N/A</v>
      </c>
      <c r="Q731" s="3" t="e">
        <f>G731*(VLOOKUP(B731,Price_data!A$1:B$190,2,FALSE))</f>
        <v>#N/A</v>
      </c>
      <c r="R731" s="3" t="e">
        <f>I731*(VLOOKUP(B731,Price_data!A$1:B$190,2,FALSE))</f>
        <v>#N/A</v>
      </c>
      <c r="S731" s="4" t="str">
        <f>(VLOOKUP(B731,Price_data!A$1:C$190,3,FALSE))</f>
        <v>Open access</v>
      </c>
      <c r="T731" s="2" t="str">
        <f>IF(C731="Total", (VLOOKUP(B731,Recommended_fish_intake!A$4:D$122,4,FALSE)), "NA")</f>
        <v>NA</v>
      </c>
      <c r="U731" s="2" t="str">
        <f t="shared" si="83"/>
        <v>NA</v>
      </c>
    </row>
    <row r="732" spans="1:21" ht="14.25" customHeight="1">
      <c r="A732" s="4" t="s">
        <v>15</v>
      </c>
      <c r="B732" s="4">
        <v>1963</v>
      </c>
      <c r="C732" s="2" t="s">
        <v>37</v>
      </c>
      <c r="D732" s="2">
        <v>823.76549481812629</v>
      </c>
      <c r="P732" s="3">
        <f>E732*(VLOOKUP(B732,Price_data!A$1:B$190,2,FALSE))</f>
        <v>0</v>
      </c>
      <c r="Q732" s="3">
        <f>G732*(VLOOKUP(B732,Price_data!A$1:B$190,2,FALSE))</f>
        <v>0</v>
      </c>
      <c r="R732" s="3">
        <f>I732*(VLOOKUP(B732,Price_data!A$1:B$190,2,FALSE))</f>
        <v>0</v>
      </c>
      <c r="S732" s="4" t="str">
        <f>(VLOOKUP(B732,Price_data!A$1:C$190,3,FALSE))</f>
        <v>Open access</v>
      </c>
      <c r="T732" s="2" t="str">
        <f>IF(C732="Total", (VLOOKUP(B732,Recommended_fish_intake!A$4:D$122,4,FALSE)), "NA")</f>
        <v>NA</v>
      </c>
      <c r="U732" s="2">
        <f t="shared" si="83"/>
        <v>403.64509246088187</v>
      </c>
    </row>
    <row r="733" spans="1:21" ht="14.25" customHeight="1">
      <c r="A733" s="2" t="s">
        <v>15</v>
      </c>
      <c r="B733" s="2">
        <v>1964</v>
      </c>
      <c r="C733" s="2" t="s">
        <v>16</v>
      </c>
      <c r="D733" s="3">
        <f t="shared" ref="D733:D742" si="90">IF(J733="", NA(), J733/1000)</f>
        <v>858.56533224954273</v>
      </c>
      <c r="E733" s="3">
        <f t="shared" ref="E733:E742" si="91">IF(K733="", NA(), K733/1000)</f>
        <v>57.231000000000002</v>
      </c>
      <c r="F733" s="3">
        <f t="shared" ref="F733:F742" si="92">IF(L733="", NA(), L733/1000)</f>
        <v>43.133204633204627</v>
      </c>
      <c r="G733" s="3">
        <f t="shared" ref="G733:G742" si="93">IF(M733="", NA(), M733/1000)</f>
        <v>8.1769189999999998</v>
      </c>
      <c r="H733" s="3">
        <f t="shared" ref="H733:H742" si="94">IF(N733="", NA(), N733/1000)</f>
        <v>228.55451127819549</v>
      </c>
      <c r="I733" s="3">
        <f t="shared" ref="I733:I742" si="95">IF(O733="", NA(), O733/1000)</f>
        <v>66.878045999999998</v>
      </c>
      <c r="J733" s="3">
        <v>858565.3322495427</v>
      </c>
      <c r="K733" s="3">
        <v>57231</v>
      </c>
      <c r="L733" s="3">
        <v>43133.20463320463</v>
      </c>
      <c r="M733" s="3">
        <v>8176.9189999999999</v>
      </c>
      <c r="N733" s="3">
        <v>228554.51127819548</v>
      </c>
      <c r="O733" s="3">
        <v>66878.046000000002</v>
      </c>
      <c r="P733" s="3">
        <f>E733*(VLOOKUP(B733,Price_data!A$1:B$190,2,FALSE))</f>
        <v>689.02841916611999</v>
      </c>
      <c r="Q733" s="3">
        <f>G733*(VLOOKUP(B733,Price_data!A$1:B$190,2,FALSE))</f>
        <v>98.445415460491873</v>
      </c>
      <c r="R733" s="3">
        <f>I733*(VLOOKUP(B733,Price_data!A$1:B$190,2,FALSE))</f>
        <v>805.17332061817979</v>
      </c>
      <c r="S733" s="4" t="str">
        <f>(VLOOKUP(B733,Price_data!A$1:C$190,3,FALSE))</f>
        <v>Open access</v>
      </c>
      <c r="T733" s="2">
        <f>IF(C733="Total", (VLOOKUP(B733,Recommended_fish_intake!A$4:D$122,4,FALSE)), "NA")</f>
        <v>696.68762872799994</v>
      </c>
      <c r="U733" s="2" t="str">
        <f t="shared" si="83"/>
        <v>NA</v>
      </c>
    </row>
    <row r="734" spans="1:21" ht="14.25" customHeight="1">
      <c r="A734" s="2" t="s">
        <v>15</v>
      </c>
      <c r="B734" s="2">
        <v>1964</v>
      </c>
      <c r="C734" s="2" t="s">
        <v>22</v>
      </c>
      <c r="D734" s="3">
        <f t="shared" si="90"/>
        <v>299.83743141637876</v>
      </c>
      <c r="E734" s="3">
        <f t="shared" si="91"/>
        <v>23.093</v>
      </c>
      <c r="F734" s="3" t="e">
        <f t="shared" si="92"/>
        <v>#N/A</v>
      </c>
      <c r="G734" s="3" t="e">
        <f t="shared" si="93"/>
        <v>#N/A</v>
      </c>
      <c r="H734" s="3" t="e">
        <f t="shared" si="94"/>
        <v>#N/A</v>
      </c>
      <c r="I734" s="3" t="e">
        <f t="shared" si="95"/>
        <v>#N/A</v>
      </c>
      <c r="J734" s="3">
        <v>299837.43141637876</v>
      </c>
      <c r="K734" s="3">
        <v>23093</v>
      </c>
      <c r="L734" s="3" t="e">
        <v>#N/A</v>
      </c>
      <c r="M734" s="3" t="e">
        <v>#N/A</v>
      </c>
      <c r="N734" s="3" t="e">
        <v>#N/A</v>
      </c>
      <c r="O734" s="3" t="e">
        <v>#N/A</v>
      </c>
      <c r="P734" s="3">
        <f>E734*(VLOOKUP(B734,Price_data!A$1:B$190,2,FALSE))</f>
        <v>278.02647662635997</v>
      </c>
      <c r="Q734" s="3" t="e">
        <f>G734*(VLOOKUP(B734,Price_data!A$1:B$190,2,FALSE))</f>
        <v>#N/A</v>
      </c>
      <c r="R734" s="3" t="e">
        <f>I734*(VLOOKUP(B734,Price_data!A$1:B$190,2,FALSE))</f>
        <v>#N/A</v>
      </c>
      <c r="S734" s="4" t="str">
        <f>(VLOOKUP(B734,Price_data!A$1:C$190,3,FALSE))</f>
        <v>Open access</v>
      </c>
      <c r="T734" s="2" t="str">
        <f>IF(C734="Total", (VLOOKUP(B734,Recommended_fish_intake!A$4:D$122,4,FALSE)), "NA")</f>
        <v>NA</v>
      </c>
      <c r="U734" s="2" t="str">
        <f t="shared" si="83"/>
        <v>NA</v>
      </c>
    </row>
    <row r="735" spans="1:21" ht="14.25" customHeight="1">
      <c r="A735" s="2" t="s">
        <v>15</v>
      </c>
      <c r="B735" s="2">
        <v>1964</v>
      </c>
      <c r="C735" s="2" t="s">
        <v>23</v>
      </c>
      <c r="D735" s="3">
        <f t="shared" si="90"/>
        <v>150.02032107295264</v>
      </c>
      <c r="E735" s="3">
        <f t="shared" si="91"/>
        <v>10.220000000000001</v>
      </c>
      <c r="F735" s="3" t="e">
        <f t="shared" si="92"/>
        <v>#N/A</v>
      </c>
      <c r="G735" s="3" t="e">
        <f t="shared" si="93"/>
        <v>#N/A</v>
      </c>
      <c r="H735" s="3" t="e">
        <f t="shared" si="94"/>
        <v>#N/A</v>
      </c>
      <c r="I735" s="3" t="e">
        <f t="shared" si="95"/>
        <v>#N/A</v>
      </c>
      <c r="J735" s="3">
        <v>150020.32107295265</v>
      </c>
      <c r="K735" s="3">
        <v>10220</v>
      </c>
      <c r="L735" s="3" t="e">
        <v>#N/A</v>
      </c>
      <c r="M735" s="3" t="e">
        <v>#N/A</v>
      </c>
      <c r="N735" s="3" t="e">
        <v>#N/A</v>
      </c>
      <c r="O735" s="3" t="e">
        <v>#N/A</v>
      </c>
      <c r="P735" s="3">
        <f>E735*(VLOOKUP(B735,Price_data!A$1:B$190,2,FALSE))</f>
        <v>123.04293903440001</v>
      </c>
      <c r="Q735" s="3" t="e">
        <f>G735*(VLOOKUP(B735,Price_data!A$1:B$190,2,FALSE))</f>
        <v>#N/A</v>
      </c>
      <c r="R735" s="3" t="e">
        <f>I735*(VLOOKUP(B735,Price_data!A$1:B$190,2,FALSE))</f>
        <v>#N/A</v>
      </c>
      <c r="S735" s="4" t="str">
        <f>(VLOOKUP(B735,Price_data!A$1:C$190,3,FALSE))</f>
        <v>Open access</v>
      </c>
      <c r="T735" s="2" t="str">
        <f>IF(C735="Total", (VLOOKUP(B735,Recommended_fish_intake!A$4:D$122,4,FALSE)), "NA")</f>
        <v>NA</v>
      </c>
      <c r="U735" s="2" t="str">
        <f t="shared" si="83"/>
        <v>NA</v>
      </c>
    </row>
    <row r="736" spans="1:21" ht="14.25" customHeight="1">
      <c r="A736" s="2" t="s">
        <v>15</v>
      </c>
      <c r="B736" s="2">
        <v>1964</v>
      </c>
      <c r="C736" s="2" t="s">
        <v>19</v>
      </c>
      <c r="D736" s="3">
        <f t="shared" si="90"/>
        <v>99.471652103231037</v>
      </c>
      <c r="E736" s="3">
        <f t="shared" si="91"/>
        <v>2.7229999999999999</v>
      </c>
      <c r="F736" s="3" t="e">
        <f t="shared" si="92"/>
        <v>#N/A</v>
      </c>
      <c r="G736" s="3" t="e">
        <f t="shared" si="93"/>
        <v>#N/A</v>
      </c>
      <c r="H736" s="3" t="e">
        <f t="shared" si="94"/>
        <v>#N/A</v>
      </c>
      <c r="I736" s="3" t="e">
        <f t="shared" si="95"/>
        <v>#N/A</v>
      </c>
      <c r="J736" s="3">
        <v>99471.652103231041</v>
      </c>
      <c r="K736" s="3">
        <v>2723</v>
      </c>
      <c r="L736" s="3" t="e">
        <v>#N/A</v>
      </c>
      <c r="M736" s="3" t="e">
        <v>#N/A</v>
      </c>
      <c r="N736" s="3" t="e">
        <v>#N/A</v>
      </c>
      <c r="O736" s="3" t="e">
        <v>#N/A</v>
      </c>
      <c r="P736" s="3">
        <f>E736*(VLOOKUP(B736,Price_data!A$1:B$190,2,FALSE))</f>
        <v>32.783358413959995</v>
      </c>
      <c r="Q736" s="3" t="e">
        <f>G736*(VLOOKUP(B736,Price_data!A$1:B$190,2,FALSE))</f>
        <v>#N/A</v>
      </c>
      <c r="R736" s="3" t="e">
        <f>I736*(VLOOKUP(B736,Price_data!A$1:B$190,2,FALSE))</f>
        <v>#N/A</v>
      </c>
      <c r="S736" s="4" t="str">
        <f>(VLOOKUP(B736,Price_data!A$1:C$190,3,FALSE))</f>
        <v>Open access</v>
      </c>
      <c r="T736" s="2" t="str">
        <f>IF(C736="Total", (VLOOKUP(B736,Recommended_fish_intake!A$4:D$122,4,FALSE)), "NA")</f>
        <v>NA</v>
      </c>
      <c r="U736" s="2" t="str">
        <f t="shared" si="83"/>
        <v>NA</v>
      </c>
    </row>
    <row r="737" spans="1:21" ht="14.25" customHeight="1">
      <c r="A737" s="2" t="s">
        <v>15</v>
      </c>
      <c r="B737" s="2">
        <v>1964</v>
      </c>
      <c r="C737" s="2" t="s">
        <v>28</v>
      </c>
      <c r="D737" s="3">
        <f t="shared" si="90"/>
        <v>28.398699451331026</v>
      </c>
      <c r="E737" s="3">
        <f t="shared" si="91"/>
        <v>2.9449999999999998</v>
      </c>
      <c r="F737" s="3" t="e">
        <f t="shared" si="92"/>
        <v>#N/A</v>
      </c>
      <c r="G737" s="3" t="e">
        <f t="shared" si="93"/>
        <v>#N/A</v>
      </c>
      <c r="H737" s="3" t="e">
        <f t="shared" si="94"/>
        <v>#N/A</v>
      </c>
      <c r="I737" s="3" t="e">
        <f t="shared" si="95"/>
        <v>#N/A</v>
      </c>
      <c r="J737" s="3">
        <v>28398.699451331027</v>
      </c>
      <c r="K737" s="3">
        <v>2945</v>
      </c>
      <c r="L737" s="3" t="e">
        <v>#N/A</v>
      </c>
      <c r="M737" s="3" t="e">
        <v>#N/A</v>
      </c>
      <c r="N737" s="3" t="e">
        <v>#N/A</v>
      </c>
      <c r="O737" s="3" t="e">
        <v>#N/A</v>
      </c>
      <c r="P737" s="3">
        <f>E737*(VLOOKUP(B737,Price_data!A$1:B$190,2,FALSE))</f>
        <v>35.456111101399998</v>
      </c>
      <c r="Q737" s="3" t="e">
        <f>G737*(VLOOKUP(B737,Price_data!A$1:B$190,2,FALSE))</f>
        <v>#N/A</v>
      </c>
      <c r="R737" s="3" t="e">
        <f>I737*(VLOOKUP(B737,Price_data!A$1:B$190,2,FALSE))</f>
        <v>#N/A</v>
      </c>
      <c r="S737" s="4" t="str">
        <f>(VLOOKUP(B737,Price_data!A$1:C$190,3,FALSE))</f>
        <v>Open access</v>
      </c>
      <c r="T737" s="2" t="str">
        <f>IF(C737="Total", (VLOOKUP(B737,Recommended_fish_intake!A$4:D$122,4,FALSE)), "NA")</f>
        <v>NA</v>
      </c>
      <c r="U737" s="2">
        <f t="shared" si="83"/>
        <v>7.9516358463726879</v>
      </c>
    </row>
    <row r="738" spans="1:21" ht="14.25" customHeight="1">
      <c r="A738" s="2" t="s">
        <v>15</v>
      </c>
      <c r="B738" s="2">
        <v>1964</v>
      </c>
      <c r="C738" s="2" t="s">
        <v>29</v>
      </c>
      <c r="D738" s="3" t="e">
        <f t="shared" si="90"/>
        <v>#VALUE!</v>
      </c>
      <c r="E738" s="3" t="e">
        <f t="shared" si="91"/>
        <v>#VALUE!</v>
      </c>
      <c r="F738" s="3" t="e">
        <f t="shared" si="92"/>
        <v>#N/A</v>
      </c>
      <c r="G738" s="3" t="e">
        <f t="shared" si="93"/>
        <v>#N/A</v>
      </c>
      <c r="H738" s="3" t="e">
        <f t="shared" si="94"/>
        <v>#N/A</v>
      </c>
      <c r="I738" s="3" t="e">
        <f t="shared" si="95"/>
        <v>#N/A</v>
      </c>
      <c r="J738" s="3" t="e">
        <v>#VALUE!</v>
      </c>
      <c r="K738" s="3" t="e">
        <v>#VALUE!</v>
      </c>
      <c r="L738" s="3" t="e">
        <v>#N/A</v>
      </c>
      <c r="M738" s="3" t="e">
        <v>#N/A</v>
      </c>
      <c r="N738" s="3" t="e">
        <v>#N/A</v>
      </c>
      <c r="O738" s="3" t="e">
        <v>#N/A</v>
      </c>
      <c r="P738" s="3" t="e">
        <f>E738*(VLOOKUP(B738,Price_data!A$1:B$190,2,FALSE))</f>
        <v>#VALUE!</v>
      </c>
      <c r="Q738" s="3" t="e">
        <f>G738*(VLOOKUP(B738,Price_data!A$1:B$190,2,FALSE))</f>
        <v>#N/A</v>
      </c>
      <c r="R738" s="3" t="e">
        <f>I738*(VLOOKUP(B738,Price_data!A$1:B$190,2,FALSE))</f>
        <v>#N/A</v>
      </c>
      <c r="S738" s="4" t="str">
        <f>(VLOOKUP(B738,Price_data!A$1:C$190,3,FALSE))</f>
        <v>Open access</v>
      </c>
      <c r="T738" s="2" t="str">
        <f>IF(C738="Total", (VLOOKUP(B738,Recommended_fish_intake!A$4:D$122,4,FALSE)), "NA")</f>
        <v>NA</v>
      </c>
      <c r="U738" s="2" t="str">
        <f t="shared" si="83"/>
        <v>NA</v>
      </c>
    </row>
    <row r="739" spans="1:21" ht="14.25" customHeight="1">
      <c r="A739" s="2" t="s">
        <v>15</v>
      </c>
      <c r="B739" s="2">
        <v>1964</v>
      </c>
      <c r="C739" s="2" t="s">
        <v>20</v>
      </c>
      <c r="D739" s="3">
        <f t="shared" si="90"/>
        <v>3.3083722820564927</v>
      </c>
      <c r="E739" s="3" t="e">
        <f t="shared" si="91"/>
        <v>#N/A</v>
      </c>
      <c r="F739" s="3" t="e">
        <f t="shared" si="92"/>
        <v>#N/A</v>
      </c>
      <c r="G739" s="3" t="e">
        <f t="shared" si="93"/>
        <v>#N/A</v>
      </c>
      <c r="H739" s="3" t="e">
        <f t="shared" si="94"/>
        <v>#N/A</v>
      </c>
      <c r="I739" s="3" t="e">
        <f t="shared" si="95"/>
        <v>#N/A</v>
      </c>
      <c r="J739" s="3">
        <v>3308.3722820564926</v>
      </c>
      <c r="K739" s="3" t="e">
        <v>#N/A</v>
      </c>
      <c r="L739" s="3" t="e">
        <v>#N/A</v>
      </c>
      <c r="M739" s="3" t="e">
        <v>#N/A</v>
      </c>
      <c r="N739" s="3" t="e">
        <v>#N/A</v>
      </c>
      <c r="O739" s="3" t="e">
        <v>#N/A</v>
      </c>
      <c r="P739" s="3" t="e">
        <f>E739*(VLOOKUP(B739,Price_data!A$1:B$190,2,FALSE))</f>
        <v>#N/A</v>
      </c>
      <c r="Q739" s="3" t="e">
        <f>G739*(VLOOKUP(B739,Price_data!A$1:B$190,2,FALSE))</f>
        <v>#N/A</v>
      </c>
      <c r="R739" s="3" t="e">
        <f>I739*(VLOOKUP(B739,Price_data!A$1:B$190,2,FALSE))</f>
        <v>#N/A</v>
      </c>
      <c r="S739" s="4" t="str">
        <f>(VLOOKUP(B739,Price_data!A$1:C$190,3,FALSE))</f>
        <v>Open access</v>
      </c>
      <c r="T739" s="2" t="str">
        <f>IF(C739="Total", (VLOOKUP(B739,Recommended_fish_intake!A$4:D$122,4,FALSE)), "NA")</f>
        <v>NA</v>
      </c>
      <c r="U739" s="2" t="str">
        <f t="shared" si="83"/>
        <v>NA</v>
      </c>
    </row>
    <row r="740" spans="1:21" ht="14.25" customHeight="1">
      <c r="A740" s="2" t="s">
        <v>15</v>
      </c>
      <c r="B740" s="2">
        <v>1964</v>
      </c>
      <c r="C740" s="2" t="s">
        <v>25</v>
      </c>
      <c r="D740" s="3">
        <f t="shared" si="90"/>
        <v>41.810607600081283</v>
      </c>
      <c r="E740" s="3">
        <f t="shared" si="91"/>
        <v>5.3920000000000003</v>
      </c>
      <c r="F740" s="3" t="e">
        <f t="shared" si="92"/>
        <v>#N/A</v>
      </c>
      <c r="G740" s="3" t="e">
        <f t="shared" si="93"/>
        <v>#N/A</v>
      </c>
      <c r="H740" s="3" t="e">
        <f t="shared" si="94"/>
        <v>#N/A</v>
      </c>
      <c r="I740" s="3" t="e">
        <f t="shared" si="95"/>
        <v>#N/A</v>
      </c>
      <c r="J740" s="3">
        <v>41810.607600081283</v>
      </c>
      <c r="K740" s="3">
        <v>5392</v>
      </c>
      <c r="L740" s="3" t="e">
        <v>#N/A</v>
      </c>
      <c r="M740" s="3" t="e">
        <v>#N/A</v>
      </c>
      <c r="N740" s="3" t="e">
        <v>#N/A</v>
      </c>
      <c r="O740" s="3" t="e">
        <v>#N/A</v>
      </c>
      <c r="P740" s="3">
        <f>E740*(VLOOKUP(B740,Price_data!A$1:B$190,2,FALSE))</f>
        <v>64.916587795840002</v>
      </c>
      <c r="Q740" s="3" t="e">
        <f>G740*(VLOOKUP(B740,Price_data!A$1:B$190,2,FALSE))</f>
        <v>#N/A</v>
      </c>
      <c r="R740" s="3" t="e">
        <f>I740*(VLOOKUP(B740,Price_data!A$1:B$190,2,FALSE))</f>
        <v>#N/A</v>
      </c>
      <c r="S740" s="4" t="str">
        <f>(VLOOKUP(B740,Price_data!A$1:C$190,3,FALSE))</f>
        <v>Open access</v>
      </c>
      <c r="T740" s="2" t="str">
        <f>IF(C740="Total", (VLOOKUP(B740,Recommended_fish_intake!A$4:D$122,4,FALSE)), "NA")</f>
        <v>NA</v>
      </c>
      <c r="U740" s="2" t="str">
        <f t="shared" si="83"/>
        <v>NA</v>
      </c>
    </row>
    <row r="741" spans="1:21" ht="14.25" customHeight="1">
      <c r="A741" s="2" t="s">
        <v>15</v>
      </c>
      <c r="B741" s="2">
        <v>1964</v>
      </c>
      <c r="C741" s="2" t="s">
        <v>24</v>
      </c>
      <c r="D741" s="3">
        <f t="shared" si="90"/>
        <v>41.5057915057915</v>
      </c>
      <c r="E741" s="3">
        <f t="shared" si="91"/>
        <v>1.7609999999999999</v>
      </c>
      <c r="F741" s="3" t="e">
        <f t="shared" si="92"/>
        <v>#N/A</v>
      </c>
      <c r="G741" s="3" t="e">
        <f t="shared" si="93"/>
        <v>#N/A</v>
      </c>
      <c r="H741" s="3" t="e">
        <f t="shared" si="94"/>
        <v>#N/A</v>
      </c>
      <c r="I741" s="3" t="e">
        <f t="shared" si="95"/>
        <v>#N/A</v>
      </c>
      <c r="J741" s="3">
        <v>41505.791505791502</v>
      </c>
      <c r="K741" s="3">
        <v>1761</v>
      </c>
      <c r="L741" s="3" t="e">
        <v>#N/A</v>
      </c>
      <c r="M741" s="3" t="e">
        <v>#N/A</v>
      </c>
      <c r="N741" s="3" t="e">
        <v>#N/A</v>
      </c>
      <c r="O741" s="3" t="e">
        <v>#N/A</v>
      </c>
      <c r="P741" s="3">
        <f>E741*(VLOOKUP(B741,Price_data!A$1:B$190,2,FALSE))</f>
        <v>21.201430101719996</v>
      </c>
      <c r="Q741" s="3" t="e">
        <f>G741*(VLOOKUP(B741,Price_data!A$1:B$190,2,FALSE))</f>
        <v>#N/A</v>
      </c>
      <c r="R741" s="3" t="e">
        <f>I741*(VLOOKUP(B741,Price_data!A$1:B$190,2,FALSE))</f>
        <v>#N/A</v>
      </c>
      <c r="S741" s="4" t="str">
        <f>(VLOOKUP(B741,Price_data!A$1:C$190,3,FALSE))</f>
        <v>Open access</v>
      </c>
      <c r="T741" s="2" t="str">
        <f>IF(C741="Total", (VLOOKUP(B741,Recommended_fish_intake!A$4:D$122,4,FALSE)), "NA")</f>
        <v>NA</v>
      </c>
      <c r="U741" s="2" t="str">
        <f t="shared" si="83"/>
        <v>NA</v>
      </c>
    </row>
    <row r="742" spans="1:21" ht="14.25" customHeight="1">
      <c r="A742" s="2" t="s">
        <v>15</v>
      </c>
      <c r="B742" s="2">
        <v>1964</v>
      </c>
      <c r="C742" s="2" t="s">
        <v>30</v>
      </c>
      <c r="D742" s="3" t="e">
        <f t="shared" si="90"/>
        <v>#N/A</v>
      </c>
      <c r="E742" s="3" t="e">
        <f t="shared" si="91"/>
        <v>#N/A</v>
      </c>
      <c r="F742" s="3" t="e">
        <f t="shared" si="92"/>
        <v>#N/A</v>
      </c>
      <c r="G742" s="3" t="e">
        <f t="shared" si="93"/>
        <v>#N/A</v>
      </c>
      <c r="H742" s="3" t="e">
        <f t="shared" si="94"/>
        <v>#N/A</v>
      </c>
      <c r="I742" s="3" t="e">
        <f t="shared" si="95"/>
        <v>#N/A</v>
      </c>
      <c r="J742" s="3" t="e">
        <v>#N/A</v>
      </c>
      <c r="K742" s="3" t="e">
        <v>#N/A</v>
      </c>
      <c r="L742" s="3" t="e">
        <v>#N/A</v>
      </c>
      <c r="M742" s="3" t="e">
        <v>#N/A</v>
      </c>
      <c r="N742" s="3" t="e">
        <v>#N/A</v>
      </c>
      <c r="O742" s="3" t="e">
        <v>#N/A</v>
      </c>
      <c r="P742" s="3" t="e">
        <f>E742*(VLOOKUP(B742,Price_data!A$1:B$190,2,FALSE))</f>
        <v>#N/A</v>
      </c>
      <c r="Q742" s="3" t="e">
        <f>G742*(VLOOKUP(B742,Price_data!A$1:B$190,2,FALSE))</f>
        <v>#N/A</v>
      </c>
      <c r="R742" s="3" t="e">
        <f>I742*(VLOOKUP(B742,Price_data!A$1:B$190,2,FALSE))</f>
        <v>#N/A</v>
      </c>
      <c r="S742" s="4" t="str">
        <f>(VLOOKUP(B742,Price_data!A$1:C$190,3,FALSE))</f>
        <v>Open access</v>
      </c>
      <c r="T742" s="2" t="str">
        <f>IF(C742="Total", (VLOOKUP(B742,Recommended_fish_intake!A$4:D$122,4,FALSE)), "NA")</f>
        <v>NA</v>
      </c>
      <c r="U742" s="2" t="str">
        <f t="shared" si="83"/>
        <v>NA</v>
      </c>
    </row>
    <row r="743" spans="1:21" ht="14.25" customHeight="1">
      <c r="A743" s="4" t="s">
        <v>15</v>
      </c>
      <c r="B743" s="4">
        <v>1964</v>
      </c>
      <c r="C743" s="2" t="s">
        <v>37</v>
      </c>
      <c r="D743" s="2">
        <v>830.16663279821171</v>
      </c>
      <c r="P743" s="3">
        <f>E743*(VLOOKUP(B743,Price_data!A$1:B$190,2,FALSE))</f>
        <v>0</v>
      </c>
      <c r="Q743" s="3">
        <f>G743*(VLOOKUP(B743,Price_data!A$1:B$190,2,FALSE))</f>
        <v>0</v>
      </c>
      <c r="R743" s="3">
        <f>I743*(VLOOKUP(B743,Price_data!A$1:B$190,2,FALSE))</f>
        <v>0</v>
      </c>
      <c r="S743" s="4" t="str">
        <f>(VLOOKUP(B743,Price_data!A$1:C$191,3,FALSE))</f>
        <v>Open access</v>
      </c>
      <c r="T743" s="2" t="str">
        <f>IF(C743="Total", (VLOOKUP(B743,Recommended_fish_intake!A$4:D$122,4,FALSE)), "NA")</f>
        <v>NA</v>
      </c>
      <c r="U743" s="2">
        <f t="shared" si="83"/>
        <v>406.78165007112375</v>
      </c>
    </row>
    <row r="744" spans="1:21" ht="14.25" customHeight="1">
      <c r="A744" s="2" t="s">
        <v>15</v>
      </c>
      <c r="B744" s="2">
        <v>1965</v>
      </c>
      <c r="C744" s="2" t="s">
        <v>16</v>
      </c>
      <c r="D744" s="3">
        <f t="shared" ref="D744:D807" si="96">J744/1000</f>
        <v>926.2345051818736</v>
      </c>
      <c r="E744" s="3">
        <f t="shared" ref="E744:E807" si="97">K744/1000</f>
        <v>60.956000000000003</v>
      </c>
      <c r="F744" s="3">
        <f t="shared" ref="F744:F807" si="98">IF(L744="", NA(), L744/1000)</f>
        <v>53.850843324527531</v>
      </c>
      <c r="G744" s="3">
        <f t="shared" ref="G744:G807" si="99">IF(M744="", NA(), M744/1000)</f>
        <v>10.154999999999999</v>
      </c>
      <c r="H744" s="3">
        <f t="shared" ref="H744:H807" si="100">IF(N744="", NA(), N744/1000)</f>
        <v>219.36598252387725</v>
      </c>
      <c r="I744" s="3">
        <f t="shared" ref="I744:I807" si="101">IF(O744="", NA(), O744/1000)</f>
        <v>67.382000000000005</v>
      </c>
      <c r="J744" s="3">
        <v>926234.50518187357</v>
      </c>
      <c r="K744" s="3">
        <v>60956</v>
      </c>
      <c r="L744" s="3">
        <v>53850.84332452753</v>
      </c>
      <c r="M744" s="3">
        <v>10155</v>
      </c>
      <c r="N744" s="3">
        <v>219365.98252387726</v>
      </c>
      <c r="O744" s="3">
        <v>67382</v>
      </c>
      <c r="P744" s="3">
        <f>E744*(VLOOKUP(B744,Price_data!A$1:B$190,2,FALSE))</f>
        <v>701.20275357496007</v>
      </c>
      <c r="Q744" s="3">
        <f>G744*(VLOOKUP(B744,Price_data!A$1:B$190,2,FALSE))</f>
        <v>116.81727742229999</v>
      </c>
      <c r="R744" s="3">
        <f>I744*(VLOOKUP(B744,Price_data!A$1:B$190,2,FALSE))</f>
        <v>775.12376044012012</v>
      </c>
      <c r="S744" s="4" t="str">
        <f>(VLOOKUP(B744,Price_data!A$1:C$190,3,FALSE))</f>
        <v>Open access</v>
      </c>
      <c r="T744" s="2">
        <f>IF(C744="Total", (VLOOKUP(B744,Recommended_fish_intake!A$4:D$122,4,FALSE)), "NA")</f>
        <v>700.75665987599996</v>
      </c>
      <c r="U744" s="2" t="str">
        <f t="shared" si="83"/>
        <v>NA</v>
      </c>
    </row>
    <row r="745" spans="1:21" ht="14.25" customHeight="1">
      <c r="A745" s="2" t="s">
        <v>18</v>
      </c>
      <c r="B745" s="2">
        <v>1965</v>
      </c>
      <c r="C745" s="2" t="s">
        <v>16</v>
      </c>
      <c r="D745" s="3">
        <f t="shared" si="96"/>
        <v>533.32655964234914</v>
      </c>
      <c r="E745" s="3">
        <f t="shared" si="97"/>
        <v>41.530999999999999</v>
      </c>
      <c r="F745" s="3" t="e">
        <f t="shared" si="98"/>
        <v>#N/A</v>
      </c>
      <c r="G745" s="3" t="e">
        <f t="shared" si="99"/>
        <v>#N/A</v>
      </c>
      <c r="H745" s="3" t="e">
        <f t="shared" si="100"/>
        <v>#N/A</v>
      </c>
      <c r="I745" s="3" t="e">
        <f t="shared" si="101"/>
        <v>#N/A</v>
      </c>
      <c r="J745" s="3">
        <v>533326.55964234914</v>
      </c>
      <c r="K745" s="3">
        <v>41531</v>
      </c>
      <c r="L745" s="3" t="e">
        <v>#N/A</v>
      </c>
      <c r="M745" s="3" t="e">
        <v>#N/A</v>
      </c>
      <c r="N745" s="3" t="e">
        <v>#N/A</v>
      </c>
      <c r="O745" s="3" t="e">
        <v>#N/A</v>
      </c>
      <c r="P745" s="3">
        <f>E745*(VLOOKUP(B745,Price_data!A$1:B$190,2,FALSE))</f>
        <v>477.74872955446</v>
      </c>
      <c r="Q745" s="3" t="e">
        <f>G745*(VLOOKUP(B745,Price_data!A$1:B$190,2,FALSE))</f>
        <v>#N/A</v>
      </c>
      <c r="R745" s="3" t="e">
        <f>I745*(VLOOKUP(B745,Price_data!A$1:B$190,2,FALSE))</f>
        <v>#N/A</v>
      </c>
      <c r="S745" s="4" t="str">
        <f>(VLOOKUP(B745,Price_data!A$1:C$190,3,FALSE))</f>
        <v>Open access</v>
      </c>
      <c r="T745" s="2">
        <f>IF(C745="Total", (VLOOKUP(B745,Recommended_fish_intake!A$4:D$122,4,FALSE)), "NA")</f>
        <v>700.75665987599996</v>
      </c>
      <c r="U745" s="2" t="str">
        <f t="shared" si="83"/>
        <v>NA</v>
      </c>
    </row>
    <row r="746" spans="1:21" ht="14.25" customHeight="1">
      <c r="A746" s="2" t="s">
        <v>39</v>
      </c>
      <c r="B746" s="2">
        <v>1965</v>
      </c>
      <c r="C746" s="2" t="s">
        <v>16</v>
      </c>
      <c r="D746" s="3">
        <f t="shared" si="96"/>
        <v>383.20463320463318</v>
      </c>
      <c r="E746" s="3">
        <f t="shared" si="97"/>
        <v>19.164000000000001</v>
      </c>
      <c r="F746" s="3" t="e">
        <f t="shared" si="98"/>
        <v>#N/A</v>
      </c>
      <c r="G746" s="3" t="e">
        <f t="shared" si="99"/>
        <v>#N/A</v>
      </c>
      <c r="H746" s="3" t="e">
        <f t="shared" si="100"/>
        <v>#N/A</v>
      </c>
      <c r="I746" s="3" t="e">
        <f t="shared" si="101"/>
        <v>#N/A</v>
      </c>
      <c r="J746" s="3">
        <v>383204.6332046332</v>
      </c>
      <c r="K746" s="3">
        <v>19164</v>
      </c>
      <c r="L746" s="3" t="e">
        <v>#N/A</v>
      </c>
      <c r="M746" s="3" t="e">
        <v>#N/A</v>
      </c>
      <c r="N746" s="3" t="e">
        <v>#N/A</v>
      </c>
      <c r="O746" s="3" t="e">
        <v>#N/A</v>
      </c>
      <c r="P746" s="3">
        <f>E746*(VLOOKUP(B746,Price_data!A$1:B$190,2,FALSE))</f>
        <v>220.45163018424003</v>
      </c>
      <c r="Q746" s="3" t="e">
        <f>G746*(VLOOKUP(B746,Price_data!A$1:B$190,2,FALSE))</f>
        <v>#N/A</v>
      </c>
      <c r="R746" s="3" t="e">
        <f>I746*(VLOOKUP(B746,Price_data!A$1:B$190,2,FALSE))</f>
        <v>#N/A</v>
      </c>
      <c r="S746" s="4" t="str">
        <f>(VLOOKUP(B746,Price_data!A$1:C$190,3,FALSE))</f>
        <v>Open access</v>
      </c>
      <c r="T746" s="2">
        <f>IF(C746="Total", (VLOOKUP(B746,Recommended_fish_intake!A$4:D$122,4,FALSE)), "NA")</f>
        <v>700.75665987599996</v>
      </c>
      <c r="U746" s="2" t="str">
        <f t="shared" si="83"/>
        <v>NA</v>
      </c>
    </row>
    <row r="747" spans="1:21" ht="14.25" customHeight="1">
      <c r="A747" s="2" t="s">
        <v>40</v>
      </c>
      <c r="B747" s="2">
        <v>1965</v>
      </c>
      <c r="C747" s="2" t="s">
        <v>16</v>
      </c>
      <c r="D747" s="3">
        <f t="shared" si="96"/>
        <v>9.7033123348912813</v>
      </c>
      <c r="E747" s="3">
        <f t="shared" si="97"/>
        <v>0.26400000000000001</v>
      </c>
      <c r="F747" s="3" t="e">
        <f t="shared" si="98"/>
        <v>#N/A</v>
      </c>
      <c r="G747" s="3" t="e">
        <f t="shared" si="99"/>
        <v>#N/A</v>
      </c>
      <c r="H747" s="3" t="e">
        <f t="shared" si="100"/>
        <v>#N/A</v>
      </c>
      <c r="I747" s="3" t="e">
        <f t="shared" si="101"/>
        <v>#N/A</v>
      </c>
      <c r="J747" s="3">
        <v>9703.3123348912814</v>
      </c>
      <c r="K747" s="3">
        <v>264</v>
      </c>
      <c r="L747" s="3" t="e">
        <v>#N/A</v>
      </c>
      <c r="M747" s="3" t="e">
        <v>#N/A</v>
      </c>
      <c r="N747" s="3" t="e">
        <v>#N/A</v>
      </c>
      <c r="O747" s="3" t="e">
        <v>#N/A</v>
      </c>
      <c r="P747" s="3">
        <f>E747*(VLOOKUP(B747,Price_data!A$1:B$190,2,FALSE))</f>
        <v>3.0369041102400001</v>
      </c>
      <c r="Q747" s="3" t="e">
        <f>G747*(VLOOKUP(B747,Price_data!A$1:B$190,2,FALSE))</f>
        <v>#N/A</v>
      </c>
      <c r="R747" s="3" t="e">
        <f>I747*(VLOOKUP(B747,Price_data!A$1:B$190,2,FALSE))</f>
        <v>#N/A</v>
      </c>
      <c r="S747" s="4" t="str">
        <f>(VLOOKUP(B747,Price_data!A$1:C$190,3,FALSE))</f>
        <v>Open access</v>
      </c>
      <c r="T747" s="2">
        <f>IF(C747="Total", (VLOOKUP(B747,Recommended_fish_intake!A$4:D$122,4,FALSE)), "NA")</f>
        <v>700.75665987599996</v>
      </c>
      <c r="U747" s="2" t="str">
        <f t="shared" si="83"/>
        <v>NA</v>
      </c>
    </row>
    <row r="748" spans="1:21" ht="14.25" customHeight="1">
      <c r="A748" s="2" t="s">
        <v>15</v>
      </c>
      <c r="B748" s="2">
        <v>1965</v>
      </c>
      <c r="C748" s="2" t="s">
        <v>22</v>
      </c>
      <c r="D748" s="3">
        <f t="shared" si="96"/>
        <v>317.00873806136963</v>
      </c>
      <c r="E748" s="3">
        <f t="shared" si="97"/>
        <v>25.062999999999999</v>
      </c>
      <c r="F748" s="3" t="e">
        <f t="shared" si="98"/>
        <v>#N/A</v>
      </c>
      <c r="G748" s="3" t="e">
        <f t="shared" si="99"/>
        <v>#N/A</v>
      </c>
      <c r="H748" s="3">
        <f t="shared" si="100"/>
        <v>44.045925624872993</v>
      </c>
      <c r="I748" s="3">
        <f t="shared" si="101"/>
        <v>6.5839999999999996</v>
      </c>
      <c r="J748" s="3">
        <v>317008.73806136963</v>
      </c>
      <c r="K748" s="3">
        <v>25063</v>
      </c>
      <c r="L748" s="3" t="e">
        <v>#N/A</v>
      </c>
      <c r="M748" s="3" t="e">
        <v>#N/A</v>
      </c>
      <c r="N748" s="3">
        <v>44045.925624872994</v>
      </c>
      <c r="O748" s="3">
        <v>6584</v>
      </c>
      <c r="P748" s="3">
        <f>E748*(VLOOKUP(B748,Price_data!A$1:B$190,2,FALSE))</f>
        <v>288.31033225357999</v>
      </c>
      <c r="Q748" s="3" t="e">
        <f>G748*(VLOOKUP(B748,Price_data!A$1:B$190,2,FALSE))</f>
        <v>#N/A</v>
      </c>
      <c r="R748" s="3">
        <f>I748*(VLOOKUP(B748,Price_data!A$1:B$190,2,FALSE))</f>
        <v>75.738547961439991</v>
      </c>
      <c r="S748" s="4" t="str">
        <f>(VLOOKUP(B748,Price_data!A$1:C$190,3,FALSE))</f>
        <v>Open access</v>
      </c>
      <c r="T748" s="2" t="str">
        <f>IF(C748="Total", (VLOOKUP(B748,Recommended_fish_intake!A$4:D$122,4,FALSE)), "NA")</f>
        <v>NA</v>
      </c>
      <c r="U748" s="2" t="str">
        <f t="shared" si="83"/>
        <v>NA</v>
      </c>
    </row>
    <row r="749" spans="1:21" ht="14.25" customHeight="1">
      <c r="A749" s="2" t="s">
        <v>15</v>
      </c>
      <c r="B749" s="2">
        <v>1965</v>
      </c>
      <c r="C749" s="2" t="s">
        <v>23</v>
      </c>
      <c r="D749" s="3">
        <f t="shared" si="96"/>
        <v>168.5633001422475</v>
      </c>
      <c r="E749" s="3">
        <f t="shared" si="97"/>
        <v>10.851000000000001</v>
      </c>
      <c r="F749" s="3" t="e">
        <f t="shared" si="98"/>
        <v>#N/A</v>
      </c>
      <c r="G749" s="3" t="e">
        <f t="shared" si="99"/>
        <v>#N/A</v>
      </c>
      <c r="H749" s="3">
        <f t="shared" si="100"/>
        <v>16.866490550701077</v>
      </c>
      <c r="I749" s="3">
        <f t="shared" si="101"/>
        <v>2.4239999999999999</v>
      </c>
      <c r="J749" s="3">
        <v>168563.30014224749</v>
      </c>
      <c r="K749" s="3">
        <v>10851</v>
      </c>
      <c r="L749" s="3" t="e">
        <v>#N/A</v>
      </c>
      <c r="M749" s="3" t="e">
        <v>#N/A</v>
      </c>
      <c r="N749" s="3">
        <v>16866.490550701077</v>
      </c>
      <c r="O749" s="3">
        <v>2424</v>
      </c>
      <c r="P749" s="3">
        <f>E749*(VLOOKUP(B749,Price_data!A$1:B$190,2,FALSE))</f>
        <v>124.82366098566001</v>
      </c>
      <c r="Q749" s="3" t="e">
        <f>G749*(VLOOKUP(B749,Price_data!A$1:B$190,2,FALSE))</f>
        <v>#N/A</v>
      </c>
      <c r="R749" s="3">
        <f>I749*(VLOOKUP(B749,Price_data!A$1:B$190,2,FALSE))</f>
        <v>27.88430137584</v>
      </c>
      <c r="S749" s="4" t="str">
        <f>(VLOOKUP(B749,Price_data!A$1:C$190,3,FALSE))</f>
        <v>Open access</v>
      </c>
      <c r="T749" s="2" t="str">
        <f>IF(C749="Total", (VLOOKUP(B749,Recommended_fish_intake!A$4:D$122,4,FALSE)), "NA")</f>
        <v>NA</v>
      </c>
      <c r="U749" s="2" t="str">
        <f t="shared" si="83"/>
        <v>NA</v>
      </c>
    </row>
    <row r="750" spans="1:21" ht="14.25" customHeight="1">
      <c r="A750" s="2" t="s">
        <v>15</v>
      </c>
      <c r="B750" s="2">
        <v>1965</v>
      </c>
      <c r="C750" s="2" t="s">
        <v>25</v>
      </c>
      <c r="D750" s="3">
        <f t="shared" si="96"/>
        <v>39.93090835196098</v>
      </c>
      <c r="E750" s="3">
        <f t="shared" si="97"/>
        <v>5.7030000000000003</v>
      </c>
      <c r="F750" s="3" t="e">
        <f t="shared" si="98"/>
        <v>#N/A</v>
      </c>
      <c r="G750" s="3" t="e">
        <f t="shared" si="99"/>
        <v>#N/A</v>
      </c>
      <c r="H750" s="3">
        <f t="shared" si="100"/>
        <v>17.882544198333672</v>
      </c>
      <c r="I750" s="3">
        <f t="shared" si="101"/>
        <v>4.3639999999999999</v>
      </c>
      <c r="J750" s="3">
        <v>39930.908351960978</v>
      </c>
      <c r="K750" s="3">
        <v>5703</v>
      </c>
      <c r="L750" s="3" t="e">
        <v>#N/A</v>
      </c>
      <c r="M750" s="3" t="e">
        <v>#N/A</v>
      </c>
      <c r="N750" s="3">
        <v>17882.544198333671</v>
      </c>
      <c r="O750" s="3">
        <v>4364</v>
      </c>
      <c r="P750" s="3">
        <f>E750*(VLOOKUP(B750,Price_data!A$1:B$190,2,FALSE))</f>
        <v>65.604030835980012</v>
      </c>
      <c r="Q750" s="3" t="e">
        <f>G750*(VLOOKUP(B750,Price_data!A$1:B$190,2,FALSE))</f>
        <v>#N/A</v>
      </c>
      <c r="R750" s="3">
        <f>I750*(VLOOKUP(B750,Price_data!A$1:B$190,2,FALSE))</f>
        <v>50.200945216240001</v>
      </c>
      <c r="S750" s="4" t="str">
        <f>(VLOOKUP(B750,Price_data!A$1:C$190,3,FALSE))</f>
        <v>Open access</v>
      </c>
      <c r="T750" s="2" t="str">
        <f>IF(C750="Total", (VLOOKUP(B750,Recommended_fish_intake!A$4:D$122,4,FALSE)), "NA")</f>
        <v>NA</v>
      </c>
      <c r="U750" s="2" t="str">
        <f t="shared" si="83"/>
        <v>NA</v>
      </c>
    </row>
    <row r="751" spans="1:21" ht="14.25" customHeight="1">
      <c r="A751" s="2" t="s">
        <v>15</v>
      </c>
      <c r="B751" s="2">
        <v>1965</v>
      </c>
      <c r="C751" s="2" t="s">
        <v>24</v>
      </c>
      <c r="D751" s="3">
        <f t="shared" si="96"/>
        <v>49.431009957325742</v>
      </c>
      <c r="E751" s="3">
        <f t="shared" si="97"/>
        <v>1.768</v>
      </c>
      <c r="F751" s="3" t="e">
        <f t="shared" si="98"/>
        <v>#N/A</v>
      </c>
      <c r="G751" s="3" t="e">
        <f t="shared" si="99"/>
        <v>#N/A</v>
      </c>
      <c r="H751" s="3" t="e">
        <f t="shared" si="100"/>
        <v>#N/A</v>
      </c>
      <c r="I751" s="3" t="e">
        <f t="shared" si="101"/>
        <v>#N/A</v>
      </c>
      <c r="J751" s="3">
        <v>49431.009957325739</v>
      </c>
      <c r="K751" s="3">
        <v>1768</v>
      </c>
      <c r="L751" s="3" t="e">
        <v>#N/A</v>
      </c>
      <c r="M751" s="3" t="e">
        <v>#N/A</v>
      </c>
      <c r="N751" s="3" t="e">
        <v>#N/A</v>
      </c>
      <c r="O751" s="3" t="e">
        <v>#N/A</v>
      </c>
      <c r="P751" s="3">
        <f>E751*(VLOOKUP(B751,Price_data!A$1:B$190,2,FALSE))</f>
        <v>20.338054798880002</v>
      </c>
      <c r="Q751" s="3" t="e">
        <f>G751*(VLOOKUP(B751,Price_data!A$1:B$190,2,FALSE))</f>
        <v>#N/A</v>
      </c>
      <c r="R751" s="3" t="e">
        <f>I751*(VLOOKUP(B751,Price_data!A$1:B$190,2,FALSE))</f>
        <v>#N/A</v>
      </c>
      <c r="S751" s="4" t="str">
        <f>(VLOOKUP(B751,Price_data!A$1:C$190,3,FALSE))</f>
        <v>Open access</v>
      </c>
      <c r="T751" s="2" t="str">
        <f>IF(C751="Total", (VLOOKUP(B751,Recommended_fish_intake!A$4:D$122,4,FALSE)), "NA")</f>
        <v>NA</v>
      </c>
      <c r="U751" s="2" t="str">
        <f t="shared" si="83"/>
        <v>NA</v>
      </c>
    </row>
    <row r="752" spans="1:21" ht="14.25" customHeight="1">
      <c r="A752" s="2" t="s">
        <v>15</v>
      </c>
      <c r="B752" s="2">
        <v>1965</v>
      </c>
      <c r="C752" s="2" t="s">
        <v>19</v>
      </c>
      <c r="D752" s="3">
        <f t="shared" si="96"/>
        <v>99.674862832757569</v>
      </c>
      <c r="E752" s="3">
        <f t="shared" si="97"/>
        <v>2.931</v>
      </c>
      <c r="F752" s="3" t="e">
        <f t="shared" si="98"/>
        <v>#N/A</v>
      </c>
      <c r="G752" s="3" t="e">
        <f t="shared" si="99"/>
        <v>#N/A</v>
      </c>
      <c r="H752" s="3">
        <f t="shared" si="100"/>
        <v>6.1471245681771993</v>
      </c>
      <c r="I752" s="3">
        <f t="shared" si="101"/>
        <v>0.32800000000000001</v>
      </c>
      <c r="J752" s="3">
        <v>99674.862832757572</v>
      </c>
      <c r="K752" s="3">
        <v>2931</v>
      </c>
      <c r="L752" s="3" t="e">
        <v>#N/A</v>
      </c>
      <c r="M752" s="3" t="e">
        <v>#N/A</v>
      </c>
      <c r="N752" s="3">
        <v>6147.1245681771998</v>
      </c>
      <c r="O752" s="3">
        <v>328</v>
      </c>
      <c r="P752" s="3">
        <f>E752*(VLOOKUP(B752,Price_data!A$1:B$190,2,FALSE))</f>
        <v>33.71653767846</v>
      </c>
      <c r="Q752" s="3" t="e">
        <f>G752*(VLOOKUP(B752,Price_data!A$1:B$190,2,FALSE))</f>
        <v>#N/A</v>
      </c>
      <c r="R752" s="3">
        <f>I752*(VLOOKUP(B752,Price_data!A$1:B$190,2,FALSE))</f>
        <v>3.7731232884800003</v>
      </c>
      <c r="S752" s="4" t="str">
        <f>(VLOOKUP(B752,Price_data!A$1:C$190,3,FALSE))</f>
        <v>Open access</v>
      </c>
      <c r="T752" s="2" t="str">
        <f>IF(C752="Total", (VLOOKUP(B752,Recommended_fish_intake!A$4:D$122,4,FALSE)), "NA")</f>
        <v>NA</v>
      </c>
      <c r="U752" s="2" t="str">
        <f t="shared" si="83"/>
        <v>NA</v>
      </c>
    </row>
    <row r="753" spans="1:21" ht="14.25" customHeight="1">
      <c r="A753" s="2" t="s">
        <v>15</v>
      </c>
      <c r="B753" s="2">
        <v>1965</v>
      </c>
      <c r="C753" s="2" t="s">
        <v>21</v>
      </c>
      <c r="D753" s="3">
        <f t="shared" si="96"/>
        <v>60.048770575086358</v>
      </c>
      <c r="E753" s="3">
        <f t="shared" si="97"/>
        <v>0.51700000000000002</v>
      </c>
      <c r="F753" s="3" t="e">
        <f t="shared" si="98"/>
        <v>#N/A</v>
      </c>
      <c r="G753" s="3" t="e">
        <f t="shared" si="99"/>
        <v>#N/A</v>
      </c>
      <c r="H753" s="3" t="e">
        <f t="shared" si="100"/>
        <v>#N/A</v>
      </c>
      <c r="I753" s="3" t="e">
        <f t="shared" si="101"/>
        <v>#N/A</v>
      </c>
      <c r="J753" s="3">
        <v>60048.770575086361</v>
      </c>
      <c r="K753" s="3">
        <v>517</v>
      </c>
      <c r="L753" s="3" t="e">
        <v>#N/A</v>
      </c>
      <c r="M753" s="3" t="e">
        <v>#N/A</v>
      </c>
      <c r="N753" s="3" t="e">
        <v>#N/A</v>
      </c>
      <c r="O753" s="3" t="e">
        <v>#N/A</v>
      </c>
      <c r="P753" s="3">
        <f>E753*(VLOOKUP(B753,Price_data!A$1:B$190,2,FALSE))</f>
        <v>5.9472705492200006</v>
      </c>
      <c r="Q753" s="3" t="e">
        <f>G753*(VLOOKUP(B753,Price_data!A$1:B$190,2,FALSE))</f>
        <v>#N/A</v>
      </c>
      <c r="R753" s="3" t="e">
        <f>I753*(VLOOKUP(B753,Price_data!A$1:B$190,2,FALSE))</f>
        <v>#N/A</v>
      </c>
      <c r="S753" s="4" t="str">
        <f>(VLOOKUP(B753,Price_data!A$1:C$190,3,FALSE))</f>
        <v>Open access</v>
      </c>
      <c r="T753" s="2" t="str">
        <f>IF(C753="Total", (VLOOKUP(B753,Recommended_fish_intake!A$4:D$122,4,FALSE)), "NA")</f>
        <v>NA</v>
      </c>
      <c r="U753" s="2" t="str">
        <f t="shared" si="83"/>
        <v>NA</v>
      </c>
    </row>
    <row r="754" spans="1:21" ht="14.25" customHeight="1">
      <c r="A754" s="2" t="s">
        <v>15</v>
      </c>
      <c r="B754" s="2">
        <v>1965</v>
      </c>
      <c r="C754" s="2" t="s">
        <v>34</v>
      </c>
      <c r="D754" s="3">
        <f t="shared" si="96"/>
        <v>1.0668563300142246</v>
      </c>
      <c r="E754" s="3">
        <f t="shared" si="97"/>
        <v>0.91600000000000004</v>
      </c>
      <c r="F754" s="3" t="e">
        <f t="shared" si="98"/>
        <v>#N/A</v>
      </c>
      <c r="G754" s="3" t="e">
        <f t="shared" si="99"/>
        <v>#N/A</v>
      </c>
      <c r="H754" s="3">
        <f t="shared" si="100"/>
        <v>0.15240804714488923</v>
      </c>
      <c r="I754" s="3">
        <f t="shared" si="101"/>
        <v>0.29099999999999998</v>
      </c>
      <c r="J754" s="3">
        <v>1066.8563300142246</v>
      </c>
      <c r="K754" s="3">
        <v>916</v>
      </c>
      <c r="L754" s="3" t="e">
        <v>#N/A</v>
      </c>
      <c r="M754" s="3" t="e">
        <v>#N/A</v>
      </c>
      <c r="N754" s="3">
        <v>152.40804714488922</v>
      </c>
      <c r="O754" s="3">
        <v>291</v>
      </c>
      <c r="P754" s="3">
        <f>E754*(VLOOKUP(B754,Price_data!A$1:B$190,2,FALSE))</f>
        <v>10.53713698856</v>
      </c>
      <c r="Q754" s="3" t="e">
        <f>G754*(VLOOKUP(B754,Price_data!A$1:B$190,2,FALSE))</f>
        <v>#N/A</v>
      </c>
      <c r="R754" s="3">
        <f>I754*(VLOOKUP(B754,Price_data!A$1:B$190,2,FALSE))</f>
        <v>3.3474965760599997</v>
      </c>
      <c r="S754" s="4" t="str">
        <f>(VLOOKUP(B754,Price_data!A$1:C$190,3,FALSE))</f>
        <v>Open access</v>
      </c>
      <c r="T754" s="2" t="str">
        <f>IF(C754="Total", (VLOOKUP(B754,Recommended_fish_intake!A$4:D$122,4,FALSE)), "NA")</f>
        <v>NA</v>
      </c>
      <c r="U754" s="2" t="str">
        <f t="shared" si="83"/>
        <v>NA</v>
      </c>
    </row>
    <row r="755" spans="1:21" ht="14.25" customHeight="1">
      <c r="A755" s="2" t="s">
        <v>15</v>
      </c>
      <c r="B755" s="2">
        <v>1965</v>
      </c>
      <c r="C755" s="2" t="s">
        <v>35</v>
      </c>
      <c r="D755" s="3">
        <f t="shared" si="96"/>
        <v>6.5535460272302375</v>
      </c>
      <c r="E755" s="3">
        <f t="shared" si="97"/>
        <v>1.028</v>
      </c>
      <c r="F755" s="3" t="e">
        <f t="shared" si="98"/>
        <v>#N/A</v>
      </c>
      <c r="G755" s="3" t="e">
        <f t="shared" si="99"/>
        <v>#N/A</v>
      </c>
      <c r="H755" s="3" t="e">
        <f t="shared" si="100"/>
        <v>#N/A</v>
      </c>
      <c r="I755" s="3" t="e">
        <f t="shared" si="101"/>
        <v>#N/A</v>
      </c>
      <c r="J755" s="3">
        <v>6553.5460272302371</v>
      </c>
      <c r="K755" s="3">
        <v>1028</v>
      </c>
      <c r="L755" s="3" t="e">
        <v>#N/A</v>
      </c>
      <c r="M755" s="3" t="e">
        <v>#N/A</v>
      </c>
      <c r="N755" s="3" t="e">
        <v>#N/A</v>
      </c>
      <c r="O755" s="3" t="e">
        <v>#N/A</v>
      </c>
      <c r="P755" s="3">
        <f>E755*(VLOOKUP(B755,Price_data!A$1:B$190,2,FALSE))</f>
        <v>11.82552055048</v>
      </c>
      <c r="Q755" s="3" t="e">
        <f>G755*(VLOOKUP(B755,Price_data!A$1:B$190,2,FALSE))</f>
        <v>#N/A</v>
      </c>
      <c r="R755" s="3" t="e">
        <f>I755*(VLOOKUP(B755,Price_data!A$1:B$190,2,FALSE))</f>
        <v>#N/A</v>
      </c>
      <c r="S755" s="4" t="str">
        <f>(VLOOKUP(B755,Price_data!A$1:C$190,3,FALSE))</f>
        <v>Open access</v>
      </c>
      <c r="T755" s="2" t="str">
        <f>IF(C755="Total", (VLOOKUP(B755,Recommended_fish_intake!A$4:D$122,4,FALSE)), "NA")</f>
        <v>NA</v>
      </c>
      <c r="U755" s="2" t="str">
        <f t="shared" si="83"/>
        <v>NA</v>
      </c>
    </row>
    <row r="756" spans="1:21" ht="14.25" customHeight="1">
      <c r="A756" s="2" t="s">
        <v>15</v>
      </c>
      <c r="B756" s="2">
        <v>1965</v>
      </c>
      <c r="C756" s="2" t="s">
        <v>30</v>
      </c>
      <c r="D756" s="3">
        <f t="shared" si="96"/>
        <v>1.4224751066856329</v>
      </c>
      <c r="E756" s="3">
        <f t="shared" si="97"/>
        <v>0.184</v>
      </c>
      <c r="F756" s="3" t="e">
        <f t="shared" si="98"/>
        <v>#N/A</v>
      </c>
      <c r="G756" s="3" t="e">
        <f t="shared" si="99"/>
        <v>#N/A</v>
      </c>
      <c r="H756" s="3">
        <f t="shared" si="100"/>
        <v>3.2005689900426741</v>
      </c>
      <c r="I756" s="3">
        <f t="shared" si="101"/>
        <v>2.0510000000000002</v>
      </c>
      <c r="J756" s="3">
        <v>1422.4751066856329</v>
      </c>
      <c r="K756" s="3">
        <v>184</v>
      </c>
      <c r="L756" s="3" t="e">
        <v>#N/A</v>
      </c>
      <c r="M756" s="3" t="e">
        <v>#N/A</v>
      </c>
      <c r="N756" s="3">
        <v>3200.5689900426742</v>
      </c>
      <c r="O756" s="3">
        <v>2051</v>
      </c>
      <c r="P756" s="3">
        <f>E756*(VLOOKUP(B756,Price_data!A$1:B$190,2,FALSE))</f>
        <v>2.1166301374400001</v>
      </c>
      <c r="Q756" s="3" t="e">
        <f>G756*(VLOOKUP(B756,Price_data!A$1:B$190,2,FALSE))</f>
        <v>#N/A</v>
      </c>
      <c r="R756" s="3">
        <f>I756*(VLOOKUP(B756,Price_data!A$1:B$190,2,FALSE))</f>
        <v>23.593523977660002</v>
      </c>
      <c r="S756" s="4" t="str">
        <f>(VLOOKUP(B756,Price_data!A$1:C$190,3,FALSE))</f>
        <v>Open access</v>
      </c>
      <c r="T756" s="2" t="str">
        <f>IF(C756="Total", (VLOOKUP(B756,Recommended_fish_intake!A$4:D$122,4,FALSE)), "NA")</f>
        <v>NA</v>
      </c>
      <c r="U756" s="2" t="str">
        <f t="shared" si="83"/>
        <v>NA</v>
      </c>
    </row>
    <row r="757" spans="1:21" ht="14.25" customHeight="1">
      <c r="A757" s="2" t="s">
        <v>15</v>
      </c>
      <c r="B757" s="2">
        <v>1965</v>
      </c>
      <c r="C757" s="2" t="s">
        <v>36</v>
      </c>
      <c r="D757" s="3">
        <f t="shared" si="96"/>
        <v>4.3690306848201583</v>
      </c>
      <c r="E757" s="3">
        <f t="shared" si="97"/>
        <v>0.35599999999999998</v>
      </c>
      <c r="F757" s="3" t="e">
        <f t="shared" si="98"/>
        <v>#N/A</v>
      </c>
      <c r="G757" s="3" t="e">
        <f t="shared" si="99"/>
        <v>#N/A</v>
      </c>
      <c r="H757" s="3">
        <f t="shared" si="100"/>
        <v>1.9305019305019304</v>
      </c>
      <c r="I757" s="3">
        <f t="shared" si="101"/>
        <v>1.9259999999999999</v>
      </c>
      <c r="J757" s="3">
        <v>4369.0306848201581</v>
      </c>
      <c r="K757" s="3">
        <v>356</v>
      </c>
      <c r="L757" s="3" t="e">
        <v>#N/A</v>
      </c>
      <c r="M757" s="3" t="e">
        <v>#N/A</v>
      </c>
      <c r="N757" s="3">
        <v>1930.5019305019305</v>
      </c>
      <c r="O757" s="3">
        <v>1926</v>
      </c>
      <c r="P757" s="3">
        <f>E757*(VLOOKUP(B757,Price_data!A$1:B$190,2,FALSE))</f>
        <v>4.0952191789599999</v>
      </c>
      <c r="Q757" s="3" t="e">
        <f>G757*(VLOOKUP(B757,Price_data!A$1:B$190,2,FALSE))</f>
        <v>#N/A</v>
      </c>
      <c r="R757" s="3">
        <f>I757*(VLOOKUP(B757,Price_data!A$1:B$190,2,FALSE))</f>
        <v>22.155595895160001</v>
      </c>
      <c r="S757" s="4" t="str">
        <f>(VLOOKUP(B757,Price_data!A$1:C$190,3,FALSE))</f>
        <v>Open access</v>
      </c>
      <c r="T757" s="2" t="str">
        <f>IF(C757="Total", (VLOOKUP(B757,Recommended_fish_intake!A$4:D$122,4,FALSE)), "NA")</f>
        <v>NA</v>
      </c>
      <c r="U757" s="2" t="str">
        <f t="shared" si="83"/>
        <v>NA</v>
      </c>
    </row>
    <row r="758" spans="1:21" ht="14.25" customHeight="1">
      <c r="A758" s="2" t="s">
        <v>15</v>
      </c>
      <c r="B758" s="2">
        <v>1965</v>
      </c>
      <c r="C758" s="2" t="s">
        <v>28</v>
      </c>
      <c r="D758" s="3">
        <f t="shared" si="96"/>
        <v>27.789067262751473</v>
      </c>
      <c r="E758" s="3">
        <f t="shared" si="97"/>
        <v>2.9569999999999999</v>
      </c>
      <c r="F758" s="3">
        <f t="shared" si="98"/>
        <v>1.9305019305019304</v>
      </c>
      <c r="G758" s="3">
        <f t="shared" si="99"/>
        <v>1.0489999999999999</v>
      </c>
      <c r="H758" s="3">
        <f t="shared" si="100"/>
        <v>15.698028855923592</v>
      </c>
      <c r="I758" s="3">
        <f t="shared" si="101"/>
        <v>8.8879999999999999</v>
      </c>
      <c r="J758" s="3">
        <v>27789.067262751472</v>
      </c>
      <c r="K758" s="3">
        <v>2957</v>
      </c>
      <c r="L758" s="3">
        <v>1930.5019305019305</v>
      </c>
      <c r="M758" s="3">
        <v>1049</v>
      </c>
      <c r="N758" s="3">
        <v>15698.028855923592</v>
      </c>
      <c r="O758" s="3">
        <v>8888</v>
      </c>
      <c r="P758" s="3">
        <f>E758*(VLOOKUP(B758,Price_data!A$1:B$190,2,FALSE))</f>
        <v>34.015626719620002</v>
      </c>
      <c r="Q758" s="3">
        <f>G758*(VLOOKUP(B758,Price_data!A$1:B$190,2,FALSE))</f>
        <v>12.06709246834</v>
      </c>
      <c r="R758" s="3">
        <f>I758*(VLOOKUP(B758,Price_data!A$1:B$190,2,FALSE))</f>
        <v>102.24243837808</v>
      </c>
      <c r="S758" s="4" t="str">
        <f>(VLOOKUP(B758,Price_data!A$1:C$190,3,FALSE))</f>
        <v>Open access</v>
      </c>
      <c r="T758" s="2" t="str">
        <f>IF(C758="Total", (VLOOKUP(B758,Recommended_fish_intake!A$4:D$122,4,FALSE)), "NA")</f>
        <v>NA</v>
      </c>
      <c r="U758" s="2">
        <f t="shared" si="83"/>
        <v>7.7809388335704135</v>
      </c>
    </row>
    <row r="759" spans="1:21" ht="14.25" customHeight="1">
      <c r="A759" s="2" t="s">
        <v>15</v>
      </c>
      <c r="B759" s="2">
        <v>1965</v>
      </c>
      <c r="C759" s="2" t="s">
        <v>37</v>
      </c>
      <c r="D759" s="3">
        <f t="shared" si="96"/>
        <v>898.44543791912213</v>
      </c>
      <c r="E759" s="3">
        <f t="shared" si="97"/>
        <v>58.002000000000002</v>
      </c>
      <c r="F759" s="3">
        <f t="shared" si="98"/>
        <v>51.920341394025598</v>
      </c>
      <c r="G759" s="3">
        <f t="shared" si="99"/>
        <v>9.1059999999999999</v>
      </c>
      <c r="H759" s="3">
        <f t="shared" si="100"/>
        <v>203.66795366795367</v>
      </c>
      <c r="I759" s="3">
        <f t="shared" si="101"/>
        <v>58.494</v>
      </c>
      <c r="J759" s="3">
        <v>898445.43791912217</v>
      </c>
      <c r="K759" s="3">
        <v>58002</v>
      </c>
      <c r="L759" s="3">
        <v>51920.3413940256</v>
      </c>
      <c r="M759" s="3">
        <v>9106</v>
      </c>
      <c r="N759" s="3">
        <v>203667.95366795367</v>
      </c>
      <c r="O759" s="3">
        <v>58494</v>
      </c>
      <c r="P759" s="3">
        <f>E759*(VLOOKUP(B759,Price_data!A$1:B$190,2,FALSE))</f>
        <v>667.22163712932002</v>
      </c>
      <c r="Q759" s="3">
        <f>G759*(VLOOKUP(B759,Price_data!A$1:B$190,2,FALSE))</f>
        <v>104.75018495396</v>
      </c>
      <c r="R759" s="3">
        <f>I759*(VLOOKUP(B759,Price_data!A$1:B$190,2,FALSE))</f>
        <v>672.88132206204</v>
      </c>
      <c r="S759" s="4" t="str">
        <f>(VLOOKUP(B759,Price_data!A$1:C$190,3,FALSE))</f>
        <v>Open access</v>
      </c>
      <c r="T759" s="2" t="str">
        <f>IF(C759="Total", (VLOOKUP(B759,Recommended_fish_intake!A$4:D$122,4,FALSE)), "NA")</f>
        <v>NA</v>
      </c>
      <c r="U759" s="2">
        <f t="shared" si="83"/>
        <v>440.23826458036984</v>
      </c>
    </row>
    <row r="760" spans="1:21" ht="14.25" customHeight="1">
      <c r="A760" s="2" t="s">
        <v>18</v>
      </c>
      <c r="B760" s="2">
        <v>1965</v>
      </c>
      <c r="C760" s="2" t="s">
        <v>22</v>
      </c>
      <c r="D760" s="3">
        <f t="shared" si="96"/>
        <v>269.05100589311115</v>
      </c>
      <c r="E760" s="3">
        <f t="shared" si="97"/>
        <v>21.11</v>
      </c>
      <c r="F760" s="3" t="e">
        <f t="shared" si="98"/>
        <v>#N/A</v>
      </c>
      <c r="G760" s="3" t="e">
        <f t="shared" si="99"/>
        <v>#N/A</v>
      </c>
      <c r="H760" s="3" t="e">
        <f t="shared" si="100"/>
        <v>#N/A</v>
      </c>
      <c r="I760" s="3" t="e">
        <f t="shared" si="101"/>
        <v>#N/A</v>
      </c>
      <c r="J760" s="3">
        <v>269051.00589311117</v>
      </c>
      <c r="K760" s="3">
        <v>21110</v>
      </c>
      <c r="L760" s="3" t="e">
        <v>#N/A</v>
      </c>
      <c r="M760" s="3" t="e">
        <v>#N/A</v>
      </c>
      <c r="N760" s="3" t="e">
        <v>#N/A</v>
      </c>
      <c r="O760" s="3" t="e">
        <v>#N/A</v>
      </c>
      <c r="P760" s="3">
        <f>E760*(VLOOKUP(B760,Price_data!A$1:B$190,2,FALSE))</f>
        <v>242.8372945726</v>
      </c>
      <c r="Q760" s="3" t="e">
        <f>G760*(VLOOKUP(B760,Price_data!A$1:B$190,2,FALSE))</f>
        <v>#N/A</v>
      </c>
      <c r="R760" s="3" t="e">
        <f>I760*(VLOOKUP(B760,Price_data!A$1:B$190,2,FALSE))</f>
        <v>#N/A</v>
      </c>
      <c r="S760" s="4" t="str">
        <f>(VLOOKUP(B760,Price_data!A$1:C$190,3,FALSE))</f>
        <v>Open access</v>
      </c>
      <c r="T760" s="2" t="str">
        <f>IF(C760="Total", (VLOOKUP(B760,Recommended_fish_intake!A$4:D$122,4,FALSE)), "NA")</f>
        <v>NA</v>
      </c>
      <c r="U760" s="2" t="str">
        <f t="shared" si="83"/>
        <v>NA</v>
      </c>
    </row>
    <row r="761" spans="1:21" ht="14.25" customHeight="1">
      <c r="A761" s="2" t="s">
        <v>18</v>
      </c>
      <c r="B761" s="2">
        <v>1965</v>
      </c>
      <c r="C761" s="2" t="s">
        <v>23</v>
      </c>
      <c r="D761" s="3">
        <f t="shared" si="96"/>
        <v>61.979272505588291</v>
      </c>
      <c r="E761" s="3">
        <f t="shared" si="97"/>
        <v>5.3970000000000002</v>
      </c>
      <c r="F761" s="3" t="e">
        <f t="shared" si="98"/>
        <v>#N/A</v>
      </c>
      <c r="G761" s="3" t="e">
        <f t="shared" si="99"/>
        <v>#N/A</v>
      </c>
      <c r="H761" s="3" t="e">
        <f t="shared" si="100"/>
        <v>#N/A</v>
      </c>
      <c r="I761" s="3" t="e">
        <f t="shared" si="101"/>
        <v>#N/A</v>
      </c>
      <c r="J761" s="3">
        <v>61979.272505588291</v>
      </c>
      <c r="K761" s="3">
        <v>5397</v>
      </c>
      <c r="L761" s="3" t="e">
        <v>#N/A</v>
      </c>
      <c r="M761" s="3" t="e">
        <v>#N/A</v>
      </c>
      <c r="N761" s="3" t="e">
        <v>#N/A</v>
      </c>
      <c r="O761" s="3" t="e">
        <v>#N/A</v>
      </c>
      <c r="P761" s="3">
        <f>E761*(VLOOKUP(B761,Price_data!A$1:B$190,2,FALSE))</f>
        <v>62.083982890020003</v>
      </c>
      <c r="Q761" s="3" t="e">
        <f>G761*(VLOOKUP(B761,Price_data!A$1:B$190,2,FALSE))</f>
        <v>#N/A</v>
      </c>
      <c r="R761" s="3" t="e">
        <f>I761*(VLOOKUP(B761,Price_data!A$1:B$190,2,FALSE))</f>
        <v>#N/A</v>
      </c>
      <c r="S761" s="4" t="str">
        <f>(VLOOKUP(B761,Price_data!A$1:C$190,3,FALSE))</f>
        <v>Open access</v>
      </c>
      <c r="T761" s="2" t="str">
        <f>IF(C761="Total", (VLOOKUP(B761,Recommended_fish_intake!A$4:D$122,4,FALSE)), "NA")</f>
        <v>NA</v>
      </c>
      <c r="U761" s="2" t="str">
        <f t="shared" si="83"/>
        <v>NA</v>
      </c>
    </row>
    <row r="762" spans="1:21" ht="14.25" customHeight="1">
      <c r="A762" s="2" t="s">
        <v>18</v>
      </c>
      <c r="B762" s="2">
        <v>1965</v>
      </c>
      <c r="C762" s="2" t="s">
        <v>25</v>
      </c>
      <c r="D762" s="3">
        <f t="shared" si="96"/>
        <v>33.529770371875635</v>
      </c>
      <c r="E762" s="3">
        <f t="shared" si="97"/>
        <v>4.9260000000000002</v>
      </c>
      <c r="F762" s="3" t="e">
        <f t="shared" si="98"/>
        <v>#N/A</v>
      </c>
      <c r="G762" s="3" t="e">
        <f t="shared" si="99"/>
        <v>#N/A</v>
      </c>
      <c r="H762" s="3" t="e">
        <f t="shared" si="100"/>
        <v>#N/A</v>
      </c>
      <c r="I762" s="3" t="e">
        <f t="shared" si="101"/>
        <v>#N/A</v>
      </c>
      <c r="J762" s="3">
        <v>33529.770371875638</v>
      </c>
      <c r="K762" s="3">
        <v>4926</v>
      </c>
      <c r="L762" s="3" t="e">
        <v>#N/A</v>
      </c>
      <c r="M762" s="3" t="e">
        <v>#N/A</v>
      </c>
      <c r="N762" s="3" t="e">
        <v>#N/A</v>
      </c>
      <c r="O762" s="3" t="e">
        <v>#N/A</v>
      </c>
      <c r="P762" s="3">
        <f>E762*(VLOOKUP(B762,Price_data!A$1:B$190,2,FALSE))</f>
        <v>56.665869875160006</v>
      </c>
      <c r="Q762" s="3" t="e">
        <f>G762*(VLOOKUP(B762,Price_data!A$1:B$190,2,FALSE))</f>
        <v>#N/A</v>
      </c>
      <c r="R762" s="3" t="e">
        <f>I762*(VLOOKUP(B762,Price_data!A$1:B$190,2,FALSE))</f>
        <v>#N/A</v>
      </c>
      <c r="S762" s="4" t="str">
        <f>(VLOOKUP(B762,Price_data!A$1:C$190,3,FALSE))</f>
        <v>Open access</v>
      </c>
      <c r="T762" s="2" t="str">
        <f>IF(C762="Total", (VLOOKUP(B762,Recommended_fish_intake!A$4:D$122,4,FALSE)), "NA")</f>
        <v>NA</v>
      </c>
      <c r="U762" s="2" t="str">
        <f t="shared" si="83"/>
        <v>NA</v>
      </c>
    </row>
    <row r="763" spans="1:21" ht="14.25" customHeight="1">
      <c r="A763" s="2" t="s">
        <v>18</v>
      </c>
      <c r="B763" s="2">
        <v>1965</v>
      </c>
      <c r="C763" s="2" t="s">
        <v>24</v>
      </c>
      <c r="D763" s="3">
        <f t="shared" si="96"/>
        <v>7.2139808981914237</v>
      </c>
      <c r="E763" s="3">
        <f t="shared" si="97"/>
        <v>0.26700000000000002</v>
      </c>
      <c r="F763" s="3" t="e">
        <f t="shared" si="98"/>
        <v>#N/A</v>
      </c>
      <c r="G763" s="3" t="e">
        <f t="shared" si="99"/>
        <v>#N/A</v>
      </c>
      <c r="H763" s="3" t="e">
        <f t="shared" si="100"/>
        <v>#N/A</v>
      </c>
      <c r="I763" s="3" t="e">
        <f t="shared" si="101"/>
        <v>#N/A</v>
      </c>
      <c r="J763" s="3">
        <v>7213.9808981914239</v>
      </c>
      <c r="K763" s="3">
        <v>267</v>
      </c>
      <c r="L763" s="3" t="e">
        <v>#N/A</v>
      </c>
      <c r="M763" s="3" t="e">
        <v>#N/A</v>
      </c>
      <c r="N763" s="3" t="e">
        <v>#N/A</v>
      </c>
      <c r="O763" s="3" t="e">
        <v>#N/A</v>
      </c>
      <c r="P763" s="3">
        <f>E763*(VLOOKUP(B763,Price_data!A$1:B$190,2,FALSE))</f>
        <v>3.0714143842200001</v>
      </c>
      <c r="Q763" s="3" t="e">
        <f>G763*(VLOOKUP(B763,Price_data!A$1:B$190,2,FALSE))</f>
        <v>#N/A</v>
      </c>
      <c r="R763" s="3" t="e">
        <f>I763*(VLOOKUP(B763,Price_data!A$1:B$190,2,FALSE))</f>
        <v>#N/A</v>
      </c>
      <c r="S763" s="4" t="str">
        <f>(VLOOKUP(B763,Price_data!A$1:C$190,3,FALSE))</f>
        <v>Open access</v>
      </c>
      <c r="T763" s="2" t="str">
        <f>IF(C763="Total", (VLOOKUP(B763,Recommended_fish_intake!A$4:D$122,4,FALSE)), "NA")</f>
        <v>NA</v>
      </c>
      <c r="U763" s="2" t="str">
        <f t="shared" si="83"/>
        <v>NA</v>
      </c>
    </row>
    <row r="764" spans="1:21" ht="14.25" customHeight="1">
      <c r="A764" s="2" t="s">
        <v>18</v>
      </c>
      <c r="B764" s="2">
        <v>1965</v>
      </c>
      <c r="C764" s="2" t="s">
        <v>19</v>
      </c>
      <c r="D764" s="3">
        <f t="shared" si="96"/>
        <v>15.291607396870553</v>
      </c>
      <c r="E764" s="3">
        <f t="shared" si="97"/>
        <v>0.621</v>
      </c>
      <c r="F764" s="3" t="e">
        <f t="shared" si="98"/>
        <v>#N/A</v>
      </c>
      <c r="G764" s="3" t="e">
        <f t="shared" si="99"/>
        <v>#N/A</v>
      </c>
      <c r="H764" s="3" t="e">
        <f t="shared" si="100"/>
        <v>#N/A</v>
      </c>
      <c r="I764" s="3" t="e">
        <f t="shared" si="101"/>
        <v>#N/A</v>
      </c>
      <c r="J764" s="3">
        <v>15291.607396870553</v>
      </c>
      <c r="K764" s="3">
        <v>621</v>
      </c>
      <c r="L764" s="3" t="e">
        <v>#N/A</v>
      </c>
      <c r="M764" s="3" t="e">
        <v>#N/A</v>
      </c>
      <c r="N764" s="3" t="e">
        <v>#N/A</v>
      </c>
      <c r="O764" s="3" t="e">
        <v>#N/A</v>
      </c>
      <c r="P764" s="3">
        <f>E764*(VLOOKUP(B764,Price_data!A$1:B$190,2,FALSE))</f>
        <v>7.1436267138599998</v>
      </c>
      <c r="Q764" s="3" t="e">
        <f>G764*(VLOOKUP(B764,Price_data!A$1:B$190,2,FALSE))</f>
        <v>#N/A</v>
      </c>
      <c r="R764" s="3" t="e">
        <f>I764*(VLOOKUP(B764,Price_data!A$1:B$190,2,FALSE))</f>
        <v>#N/A</v>
      </c>
      <c r="S764" s="4" t="str">
        <f>(VLOOKUP(B764,Price_data!A$1:C$190,3,FALSE))</f>
        <v>Open access</v>
      </c>
      <c r="T764" s="2" t="str">
        <f>IF(C764="Total", (VLOOKUP(B764,Recommended_fish_intake!A$4:D$122,4,FALSE)), "NA")</f>
        <v>NA</v>
      </c>
      <c r="U764" s="2" t="str">
        <f t="shared" si="83"/>
        <v>NA</v>
      </c>
    </row>
    <row r="765" spans="1:21" ht="14.25" customHeight="1">
      <c r="A765" s="2" t="s">
        <v>18</v>
      </c>
      <c r="B765" s="2">
        <v>1965</v>
      </c>
      <c r="C765" s="2" t="s">
        <v>21</v>
      </c>
      <c r="D765" s="3">
        <f t="shared" si="96"/>
        <v>9.8557203820361714</v>
      </c>
      <c r="E765" s="3">
        <f t="shared" si="97"/>
        <v>0.12</v>
      </c>
      <c r="F765" s="3" t="e">
        <f t="shared" si="98"/>
        <v>#N/A</v>
      </c>
      <c r="G765" s="3" t="e">
        <f t="shared" si="99"/>
        <v>#N/A</v>
      </c>
      <c r="H765" s="3" t="e">
        <f t="shared" si="100"/>
        <v>#N/A</v>
      </c>
      <c r="I765" s="3" t="e">
        <f t="shared" si="101"/>
        <v>#N/A</v>
      </c>
      <c r="J765" s="3">
        <v>9855.7203820361719</v>
      </c>
      <c r="K765" s="3">
        <v>120</v>
      </c>
      <c r="L765" s="3" t="e">
        <v>#N/A</v>
      </c>
      <c r="M765" s="3" t="e">
        <v>#N/A</v>
      </c>
      <c r="N765" s="3" t="e">
        <v>#N/A</v>
      </c>
      <c r="O765" s="3" t="e">
        <v>#N/A</v>
      </c>
      <c r="P765" s="3">
        <f>E765*(VLOOKUP(B765,Price_data!A$1:B$190,2,FALSE))</f>
        <v>1.3804109592</v>
      </c>
      <c r="Q765" s="3" t="e">
        <f>G765*(VLOOKUP(B765,Price_data!A$1:B$190,2,FALSE))</f>
        <v>#N/A</v>
      </c>
      <c r="R765" s="3" t="e">
        <f>I765*(VLOOKUP(B765,Price_data!A$1:B$190,2,FALSE))</f>
        <v>#N/A</v>
      </c>
      <c r="S765" s="4" t="str">
        <f>(VLOOKUP(B765,Price_data!A$1:C$190,3,FALSE))</f>
        <v>Open access</v>
      </c>
      <c r="T765" s="2" t="str">
        <f>IF(C765="Total", (VLOOKUP(B765,Recommended_fish_intake!A$4:D$122,4,FALSE)), "NA")</f>
        <v>NA</v>
      </c>
      <c r="U765" s="2" t="str">
        <f t="shared" si="83"/>
        <v>NA</v>
      </c>
    </row>
    <row r="766" spans="1:21" ht="14.25" customHeight="1">
      <c r="A766" s="2" t="s">
        <v>18</v>
      </c>
      <c r="B766" s="2">
        <v>1965</v>
      </c>
      <c r="C766" s="2" t="s">
        <v>34</v>
      </c>
      <c r="D766" s="3">
        <f t="shared" si="96"/>
        <v>0.406421459053038</v>
      </c>
      <c r="E766" s="3">
        <f t="shared" si="97"/>
        <v>0.33200000000000002</v>
      </c>
      <c r="F766" s="3" t="e">
        <f t="shared" si="98"/>
        <v>#N/A</v>
      </c>
      <c r="G766" s="3" t="e">
        <f t="shared" si="99"/>
        <v>#N/A</v>
      </c>
      <c r="H766" s="3" t="e">
        <f t="shared" si="100"/>
        <v>#N/A</v>
      </c>
      <c r="I766" s="3" t="e">
        <f t="shared" si="101"/>
        <v>#N/A</v>
      </c>
      <c r="J766" s="3">
        <v>406.42145905303801</v>
      </c>
      <c r="K766" s="3">
        <v>332</v>
      </c>
      <c r="L766" s="3" t="e">
        <v>#N/A</v>
      </c>
      <c r="M766" s="3" t="e">
        <v>#N/A</v>
      </c>
      <c r="N766" s="3" t="e">
        <v>#N/A</v>
      </c>
      <c r="O766" s="3" t="e">
        <v>#N/A</v>
      </c>
      <c r="P766" s="3">
        <f>E766*(VLOOKUP(B766,Price_data!A$1:B$190,2,FALSE))</f>
        <v>3.8191369871200003</v>
      </c>
      <c r="Q766" s="3" t="e">
        <f>G766*(VLOOKUP(B766,Price_data!A$1:B$190,2,FALSE))</f>
        <v>#N/A</v>
      </c>
      <c r="R766" s="3" t="e">
        <f>I766*(VLOOKUP(B766,Price_data!A$1:B$190,2,FALSE))</f>
        <v>#N/A</v>
      </c>
      <c r="S766" s="4" t="str">
        <f>(VLOOKUP(B766,Price_data!A$1:C$190,3,FALSE))</f>
        <v>Open access</v>
      </c>
      <c r="T766" s="2" t="str">
        <f>IF(C766="Total", (VLOOKUP(B766,Recommended_fish_intake!A$4:D$122,4,FALSE)), "NA")</f>
        <v>NA</v>
      </c>
      <c r="U766" s="2" t="str">
        <f t="shared" si="83"/>
        <v>NA</v>
      </c>
    </row>
    <row r="767" spans="1:21" ht="14.25" customHeight="1">
      <c r="A767" s="2" t="s">
        <v>18</v>
      </c>
      <c r="B767" s="2">
        <v>1965</v>
      </c>
      <c r="C767" s="2" t="s">
        <v>35</v>
      </c>
      <c r="D767" s="3">
        <f t="shared" si="96"/>
        <v>0.406421459053038</v>
      </c>
      <c r="E767" s="3">
        <f t="shared" si="97"/>
        <v>7.0999999999999994E-2</v>
      </c>
      <c r="F767" s="3" t="e">
        <f t="shared" si="98"/>
        <v>#N/A</v>
      </c>
      <c r="G767" s="3" t="e">
        <f t="shared" si="99"/>
        <v>#N/A</v>
      </c>
      <c r="H767" s="3" t="e">
        <f t="shared" si="100"/>
        <v>#N/A</v>
      </c>
      <c r="I767" s="3" t="e">
        <f t="shared" si="101"/>
        <v>#N/A</v>
      </c>
      <c r="J767" s="3">
        <v>406.42145905303801</v>
      </c>
      <c r="K767" s="3">
        <v>71</v>
      </c>
      <c r="L767" s="3" t="e">
        <v>#N/A</v>
      </c>
      <c r="M767" s="3" t="e">
        <v>#N/A</v>
      </c>
      <c r="N767" s="3" t="e">
        <v>#N/A</v>
      </c>
      <c r="O767" s="3" t="e">
        <v>#N/A</v>
      </c>
      <c r="P767" s="3">
        <f>E767*(VLOOKUP(B767,Price_data!A$1:B$190,2,FALSE))</f>
        <v>0.81674315085999993</v>
      </c>
      <c r="Q767" s="3" t="e">
        <f>G767*(VLOOKUP(B767,Price_data!A$1:B$190,2,FALSE))</f>
        <v>#N/A</v>
      </c>
      <c r="R767" s="3" t="e">
        <f>I767*(VLOOKUP(B767,Price_data!A$1:B$190,2,FALSE))</f>
        <v>#N/A</v>
      </c>
      <c r="S767" s="4" t="str">
        <f>(VLOOKUP(B767,Price_data!A$1:C$190,3,FALSE))</f>
        <v>Open access</v>
      </c>
      <c r="T767" s="2" t="str">
        <f>IF(C767="Total", (VLOOKUP(B767,Recommended_fish_intake!A$4:D$122,4,FALSE)), "NA")</f>
        <v>NA</v>
      </c>
      <c r="U767" s="2" t="str">
        <f t="shared" si="83"/>
        <v>NA</v>
      </c>
    </row>
    <row r="768" spans="1:21" ht="14.25" customHeight="1">
      <c r="A768" s="2" t="s">
        <v>18</v>
      </c>
      <c r="B768" s="2">
        <v>1965</v>
      </c>
      <c r="C768" s="2" t="s">
        <v>30</v>
      </c>
      <c r="D768" s="3">
        <f t="shared" si="96"/>
        <v>1.3208697419223734</v>
      </c>
      <c r="E768" s="3">
        <f t="shared" si="97"/>
        <v>0.17299999999999999</v>
      </c>
      <c r="F768" s="3" t="e">
        <f t="shared" si="98"/>
        <v>#N/A</v>
      </c>
      <c r="G768" s="3" t="e">
        <f t="shared" si="99"/>
        <v>#N/A</v>
      </c>
      <c r="H768" s="3" t="e">
        <f t="shared" si="100"/>
        <v>#N/A</v>
      </c>
      <c r="I768" s="3" t="e">
        <f t="shared" si="101"/>
        <v>#N/A</v>
      </c>
      <c r="J768" s="3">
        <v>1320.8697419223734</v>
      </c>
      <c r="K768" s="3">
        <v>173</v>
      </c>
      <c r="L768" s="3" t="e">
        <v>#N/A</v>
      </c>
      <c r="M768" s="3" t="e">
        <v>#N/A</v>
      </c>
      <c r="N768" s="3" t="e">
        <v>#N/A</v>
      </c>
      <c r="O768" s="3" t="e">
        <v>#N/A</v>
      </c>
      <c r="P768" s="3">
        <f>E768*(VLOOKUP(B768,Price_data!A$1:B$190,2,FALSE))</f>
        <v>1.9900924661799999</v>
      </c>
      <c r="Q768" s="3" t="e">
        <f>G768*(VLOOKUP(B768,Price_data!A$1:B$190,2,FALSE))</f>
        <v>#N/A</v>
      </c>
      <c r="R768" s="3" t="e">
        <f>I768*(VLOOKUP(B768,Price_data!A$1:B$190,2,FALSE))</f>
        <v>#N/A</v>
      </c>
      <c r="S768" s="4" t="str">
        <f>(VLOOKUP(B768,Price_data!A$1:C$190,3,FALSE))</f>
        <v>Open access</v>
      </c>
      <c r="T768" s="2" t="str">
        <f>IF(C768="Total", (VLOOKUP(B768,Recommended_fish_intake!A$4:D$122,4,FALSE)), "NA")</f>
        <v>NA</v>
      </c>
      <c r="U768" s="2" t="str">
        <f t="shared" si="83"/>
        <v>NA</v>
      </c>
    </row>
    <row r="769" spans="1:21" ht="14.25" customHeight="1">
      <c r="A769" s="2" t="s">
        <v>18</v>
      </c>
      <c r="B769" s="2">
        <v>1965</v>
      </c>
      <c r="C769" s="2" t="s">
        <v>36</v>
      </c>
      <c r="D769" s="3">
        <f t="shared" si="96"/>
        <v>2.5401341190814875</v>
      </c>
      <c r="E769" s="3">
        <f t="shared" si="97"/>
        <v>0.26</v>
      </c>
      <c r="F769" s="3" t="e">
        <f t="shared" si="98"/>
        <v>#N/A</v>
      </c>
      <c r="G769" s="3" t="e">
        <f t="shared" si="99"/>
        <v>#N/A</v>
      </c>
      <c r="H769" s="3" t="e">
        <f t="shared" si="100"/>
        <v>#N/A</v>
      </c>
      <c r="I769" s="3" t="e">
        <f t="shared" si="101"/>
        <v>#N/A</v>
      </c>
      <c r="J769" s="3">
        <v>2540.1341190814874</v>
      </c>
      <c r="K769" s="3">
        <v>260</v>
      </c>
      <c r="L769" s="3" t="e">
        <v>#N/A</v>
      </c>
      <c r="M769" s="3" t="e">
        <v>#N/A</v>
      </c>
      <c r="N769" s="3" t="e">
        <v>#N/A</v>
      </c>
      <c r="O769" s="3" t="e">
        <v>#N/A</v>
      </c>
      <c r="P769" s="3">
        <f>E769*(VLOOKUP(B769,Price_data!A$1:B$190,2,FALSE))</f>
        <v>2.9908904116000001</v>
      </c>
      <c r="Q769" s="3" t="e">
        <f>G769*(VLOOKUP(B769,Price_data!A$1:B$190,2,FALSE))</f>
        <v>#N/A</v>
      </c>
      <c r="R769" s="3" t="e">
        <f>I769*(VLOOKUP(B769,Price_data!A$1:B$190,2,FALSE))</f>
        <v>#N/A</v>
      </c>
      <c r="S769" s="4" t="str">
        <f>(VLOOKUP(B769,Price_data!A$1:C$190,3,FALSE))</f>
        <v>Open access</v>
      </c>
      <c r="T769" s="2" t="str">
        <f>IF(C769="Total", (VLOOKUP(B769,Recommended_fish_intake!A$4:D$122,4,FALSE)), "NA")</f>
        <v>NA</v>
      </c>
      <c r="U769" s="2" t="str">
        <f t="shared" si="83"/>
        <v>NA</v>
      </c>
    </row>
    <row r="770" spans="1:21" ht="14.25" customHeight="1">
      <c r="A770" s="2" t="s">
        <v>18</v>
      </c>
      <c r="B770" s="2">
        <v>1965</v>
      </c>
      <c r="C770" s="2" t="s">
        <v>28</v>
      </c>
      <c r="D770" s="3">
        <f t="shared" si="96"/>
        <v>16.866490550701077</v>
      </c>
      <c r="E770" s="3">
        <f t="shared" si="97"/>
        <v>1.202</v>
      </c>
      <c r="F770" s="3" t="e">
        <f t="shared" si="98"/>
        <v>#N/A</v>
      </c>
      <c r="G770" s="3" t="e">
        <f t="shared" si="99"/>
        <v>#N/A</v>
      </c>
      <c r="H770" s="3" t="e">
        <f t="shared" si="100"/>
        <v>#N/A</v>
      </c>
      <c r="I770" s="3" t="e">
        <f t="shared" si="101"/>
        <v>#N/A</v>
      </c>
      <c r="J770" s="3">
        <v>16866.490550701077</v>
      </c>
      <c r="K770" s="3">
        <v>1202</v>
      </c>
      <c r="L770" s="3" t="e">
        <v>#N/A</v>
      </c>
      <c r="M770" s="3" t="e">
        <v>#N/A</v>
      </c>
      <c r="N770" s="3" t="e">
        <v>#N/A</v>
      </c>
      <c r="O770" s="3" t="e">
        <v>#N/A</v>
      </c>
      <c r="P770" s="3">
        <f>E770*(VLOOKUP(B770,Price_data!A$1:B$190,2,FALSE))</f>
        <v>13.827116441319999</v>
      </c>
      <c r="Q770" s="3" t="e">
        <f>G770*(VLOOKUP(B770,Price_data!A$1:B$190,2,FALSE))</f>
        <v>#N/A</v>
      </c>
      <c r="R770" s="3" t="e">
        <f>I770*(VLOOKUP(B770,Price_data!A$1:B$190,2,FALSE))</f>
        <v>#N/A</v>
      </c>
      <c r="S770" s="4" t="str">
        <f>(VLOOKUP(B770,Price_data!A$1:C$190,3,FALSE))</f>
        <v>Open access</v>
      </c>
      <c r="T770" s="2" t="str">
        <f>IF(C770="Total", (VLOOKUP(B770,Recommended_fish_intake!A$4:D$122,4,FALSE)), "NA")</f>
        <v>NA</v>
      </c>
      <c r="U770" s="2">
        <f t="shared" ref="U770:U833" si="102">IF(C770="Wet fish", D770*0.49, IF(C770="Shellfish", D770*0.28, "NA"))</f>
        <v>4.7226173541963021</v>
      </c>
    </row>
    <row r="771" spans="1:21" ht="14.25" customHeight="1">
      <c r="A771" s="2" t="s">
        <v>18</v>
      </c>
      <c r="B771" s="2">
        <v>1965</v>
      </c>
      <c r="C771" s="2" t="s">
        <v>37</v>
      </c>
      <c r="D771" s="3">
        <f t="shared" si="96"/>
        <v>516.46006909164805</v>
      </c>
      <c r="E771" s="3">
        <f t="shared" si="97"/>
        <v>40.329000000000001</v>
      </c>
      <c r="F771" s="3" t="e">
        <f t="shared" si="98"/>
        <v>#N/A</v>
      </c>
      <c r="G771" s="3" t="e">
        <f t="shared" si="99"/>
        <v>#N/A</v>
      </c>
      <c r="H771" s="3" t="e">
        <f t="shared" si="100"/>
        <v>#N/A</v>
      </c>
      <c r="I771" s="3" t="e">
        <f t="shared" si="101"/>
        <v>#N/A</v>
      </c>
      <c r="J771" s="3">
        <v>516460.06909164804</v>
      </c>
      <c r="K771" s="3">
        <v>40329</v>
      </c>
      <c r="L771" s="3" t="e">
        <v>#N/A</v>
      </c>
      <c r="M771" s="3" t="e">
        <v>#N/A</v>
      </c>
      <c r="N771" s="3" t="e">
        <v>#N/A</v>
      </c>
      <c r="O771" s="3" t="e">
        <v>#N/A</v>
      </c>
      <c r="P771" s="3">
        <f>E771*(VLOOKUP(B771,Price_data!A$1:B$190,2,FALSE))</f>
        <v>463.92161311314004</v>
      </c>
      <c r="Q771" s="3" t="e">
        <f>G771*(VLOOKUP(B771,Price_data!A$1:B$190,2,FALSE))</f>
        <v>#N/A</v>
      </c>
      <c r="R771" s="3" t="e">
        <f>I771*(VLOOKUP(B771,Price_data!A$1:B$190,2,FALSE))</f>
        <v>#N/A</v>
      </c>
      <c r="S771" s="4" t="str">
        <f>(VLOOKUP(B771,Price_data!A$1:C$190,3,FALSE))</f>
        <v>Open access</v>
      </c>
      <c r="T771" s="2" t="str">
        <f>IF(C771="Total", (VLOOKUP(B771,Recommended_fish_intake!A$4:D$122,4,FALSE)), "NA")</f>
        <v>NA</v>
      </c>
      <c r="U771" s="2">
        <f t="shared" si="102"/>
        <v>253.06543385490755</v>
      </c>
    </row>
    <row r="772" spans="1:21" ht="14.25" customHeight="1">
      <c r="A772" s="2" t="s">
        <v>39</v>
      </c>
      <c r="B772" s="2">
        <v>1965</v>
      </c>
      <c r="C772" s="2" t="s">
        <v>22</v>
      </c>
      <c r="D772" s="3">
        <f t="shared" si="96"/>
        <v>47.195691932534032</v>
      </c>
      <c r="E772" s="3">
        <f t="shared" si="97"/>
        <v>3.9140000000000001</v>
      </c>
      <c r="F772" s="3" t="e">
        <f t="shared" si="98"/>
        <v>#N/A</v>
      </c>
      <c r="G772" s="3" t="e">
        <f t="shared" si="99"/>
        <v>#N/A</v>
      </c>
      <c r="H772" s="3" t="e">
        <f t="shared" si="100"/>
        <v>#N/A</v>
      </c>
      <c r="I772" s="3" t="e">
        <f t="shared" si="101"/>
        <v>#N/A</v>
      </c>
      <c r="J772" s="3">
        <v>47195.691932534035</v>
      </c>
      <c r="K772" s="3">
        <v>3914</v>
      </c>
      <c r="L772" s="3" t="e">
        <v>#N/A</v>
      </c>
      <c r="M772" s="3" t="e">
        <v>#N/A</v>
      </c>
      <c r="N772" s="3" t="e">
        <v>#N/A</v>
      </c>
      <c r="O772" s="3" t="e">
        <v>#N/A</v>
      </c>
      <c r="P772" s="3">
        <f>E772*(VLOOKUP(B772,Price_data!A$1:B$190,2,FALSE))</f>
        <v>45.024404119240003</v>
      </c>
      <c r="Q772" s="3" t="e">
        <f>G772*(VLOOKUP(B772,Price_data!A$1:B$190,2,FALSE))</f>
        <v>#N/A</v>
      </c>
      <c r="R772" s="3" t="e">
        <f>I772*(VLOOKUP(B772,Price_data!A$1:B$190,2,FALSE))</f>
        <v>#N/A</v>
      </c>
      <c r="S772" s="4" t="str">
        <f>(VLOOKUP(B772,Price_data!A$1:C$190,3,FALSE))</f>
        <v>Open access</v>
      </c>
      <c r="T772" s="2" t="str">
        <f>IF(C772="Total", (VLOOKUP(B772,Recommended_fish_intake!A$4:D$122,4,FALSE)), "NA")</f>
        <v>NA</v>
      </c>
      <c r="U772" s="2" t="str">
        <f t="shared" si="102"/>
        <v>NA</v>
      </c>
    </row>
    <row r="773" spans="1:21" ht="14.25" customHeight="1">
      <c r="A773" s="2" t="s">
        <v>39</v>
      </c>
      <c r="B773" s="2">
        <v>1965</v>
      </c>
      <c r="C773" s="2" t="s">
        <v>23</v>
      </c>
      <c r="D773" s="3">
        <f t="shared" si="96"/>
        <v>106.53322495427759</v>
      </c>
      <c r="E773" s="3">
        <f t="shared" si="97"/>
        <v>5.4509999999999996</v>
      </c>
      <c r="F773" s="3" t="e">
        <f t="shared" si="98"/>
        <v>#N/A</v>
      </c>
      <c r="G773" s="3" t="e">
        <f t="shared" si="99"/>
        <v>#N/A</v>
      </c>
      <c r="H773" s="3" t="e">
        <f t="shared" si="100"/>
        <v>#N/A</v>
      </c>
      <c r="I773" s="3" t="e">
        <f t="shared" si="101"/>
        <v>#N/A</v>
      </c>
      <c r="J773" s="3">
        <v>106533.22495427758</v>
      </c>
      <c r="K773" s="3">
        <v>5451</v>
      </c>
      <c r="L773" s="3" t="e">
        <v>#N/A</v>
      </c>
      <c r="M773" s="3" t="e">
        <v>#N/A</v>
      </c>
      <c r="N773" s="3" t="e">
        <v>#N/A</v>
      </c>
      <c r="O773" s="3" t="e">
        <v>#N/A</v>
      </c>
      <c r="P773" s="3">
        <f>E773*(VLOOKUP(B773,Price_data!A$1:B$190,2,FALSE))</f>
        <v>62.705167821659998</v>
      </c>
      <c r="Q773" s="3" t="e">
        <f>G773*(VLOOKUP(B773,Price_data!A$1:B$190,2,FALSE))</f>
        <v>#N/A</v>
      </c>
      <c r="R773" s="3" t="e">
        <f>I773*(VLOOKUP(B773,Price_data!A$1:B$190,2,FALSE))</f>
        <v>#N/A</v>
      </c>
      <c r="S773" s="4" t="str">
        <f>(VLOOKUP(B773,Price_data!A$1:C$190,3,FALSE))</f>
        <v>Open access</v>
      </c>
      <c r="T773" s="2" t="str">
        <f>IF(C773="Total", (VLOOKUP(B773,Recommended_fish_intake!A$4:D$122,4,FALSE)), "NA")</f>
        <v>NA</v>
      </c>
      <c r="U773" s="2" t="str">
        <f t="shared" si="102"/>
        <v>NA</v>
      </c>
    </row>
    <row r="774" spans="1:21" ht="14.25" customHeight="1">
      <c r="A774" s="2" t="s">
        <v>39</v>
      </c>
      <c r="B774" s="2">
        <v>1965</v>
      </c>
      <c r="C774" s="2" t="s">
        <v>25</v>
      </c>
      <c r="D774" s="3">
        <f t="shared" si="96"/>
        <v>6.1471245681771993</v>
      </c>
      <c r="E774" s="3">
        <f t="shared" si="97"/>
        <v>0.76300000000000001</v>
      </c>
      <c r="F774" s="3" t="e">
        <f t="shared" si="98"/>
        <v>#N/A</v>
      </c>
      <c r="G774" s="3" t="e">
        <f t="shared" si="99"/>
        <v>#N/A</v>
      </c>
      <c r="H774" s="3" t="e">
        <f t="shared" si="100"/>
        <v>#N/A</v>
      </c>
      <c r="I774" s="3" t="e">
        <f t="shared" si="101"/>
        <v>#N/A</v>
      </c>
      <c r="J774" s="3">
        <v>6147.1245681771998</v>
      </c>
      <c r="K774" s="3">
        <v>763</v>
      </c>
      <c r="L774" s="3" t="e">
        <v>#N/A</v>
      </c>
      <c r="M774" s="3" t="e">
        <v>#N/A</v>
      </c>
      <c r="N774" s="3" t="e">
        <v>#N/A</v>
      </c>
      <c r="O774" s="3" t="e">
        <v>#N/A</v>
      </c>
      <c r="P774" s="3">
        <f>E774*(VLOOKUP(B774,Price_data!A$1:B$190,2,FALSE))</f>
        <v>8.7771130155800012</v>
      </c>
      <c r="Q774" s="3" t="e">
        <f>G774*(VLOOKUP(B774,Price_data!A$1:B$190,2,FALSE))</f>
        <v>#N/A</v>
      </c>
      <c r="R774" s="3" t="e">
        <f>I774*(VLOOKUP(B774,Price_data!A$1:B$190,2,FALSE))</f>
        <v>#N/A</v>
      </c>
      <c r="S774" s="4" t="str">
        <f>(VLOOKUP(B774,Price_data!A$1:C$190,3,FALSE))</f>
        <v>Open access</v>
      </c>
      <c r="T774" s="2" t="str">
        <f>IF(C774="Total", (VLOOKUP(B774,Recommended_fish_intake!A$4:D$122,4,FALSE)), "NA")</f>
        <v>NA</v>
      </c>
      <c r="U774" s="2" t="str">
        <f t="shared" si="102"/>
        <v>NA</v>
      </c>
    </row>
    <row r="775" spans="1:21" ht="14.25" customHeight="1">
      <c r="A775" s="2" t="s">
        <v>39</v>
      </c>
      <c r="B775" s="2">
        <v>1965</v>
      </c>
      <c r="C775" s="2" t="s">
        <v>24</v>
      </c>
      <c r="D775" s="3">
        <f t="shared" si="96"/>
        <v>40.337329811014023</v>
      </c>
      <c r="E775" s="3">
        <f t="shared" si="97"/>
        <v>1.4690000000000001</v>
      </c>
      <c r="F775" s="3" t="e">
        <f t="shared" si="98"/>
        <v>#N/A</v>
      </c>
      <c r="G775" s="3" t="e">
        <f t="shared" si="99"/>
        <v>#N/A</v>
      </c>
      <c r="H775" s="3" t="e">
        <f t="shared" si="100"/>
        <v>#N/A</v>
      </c>
      <c r="I775" s="3" t="e">
        <f t="shared" si="101"/>
        <v>#N/A</v>
      </c>
      <c r="J775" s="3">
        <v>40337.329811014024</v>
      </c>
      <c r="K775" s="3">
        <v>1469</v>
      </c>
      <c r="L775" s="3" t="e">
        <v>#N/A</v>
      </c>
      <c r="M775" s="3" t="e">
        <v>#N/A</v>
      </c>
      <c r="N775" s="3" t="e">
        <v>#N/A</v>
      </c>
      <c r="O775" s="3" t="e">
        <v>#N/A</v>
      </c>
      <c r="P775" s="3">
        <f>E775*(VLOOKUP(B775,Price_data!A$1:B$190,2,FALSE))</f>
        <v>16.89853082554</v>
      </c>
      <c r="Q775" s="3" t="e">
        <f>G775*(VLOOKUP(B775,Price_data!A$1:B$190,2,FALSE))</f>
        <v>#N/A</v>
      </c>
      <c r="R775" s="3" t="e">
        <f>I775*(VLOOKUP(B775,Price_data!A$1:B$190,2,FALSE))</f>
        <v>#N/A</v>
      </c>
      <c r="S775" s="4" t="str">
        <f>(VLOOKUP(B775,Price_data!A$1:C$190,3,FALSE))</f>
        <v>Open access</v>
      </c>
      <c r="T775" s="2" t="str">
        <f>IF(C775="Total", (VLOOKUP(B775,Recommended_fish_intake!A$4:D$122,4,FALSE)), "NA")</f>
        <v>NA</v>
      </c>
      <c r="U775" s="2" t="str">
        <f t="shared" si="102"/>
        <v>NA</v>
      </c>
    </row>
    <row r="776" spans="1:21" ht="14.25" customHeight="1">
      <c r="A776" s="2" t="s">
        <v>39</v>
      </c>
      <c r="B776" s="2">
        <v>1965</v>
      </c>
      <c r="C776" s="2" t="s">
        <v>19</v>
      </c>
      <c r="D776" s="3">
        <f t="shared" si="96"/>
        <v>82.655964234911593</v>
      </c>
      <c r="E776" s="3">
        <f t="shared" si="97"/>
        <v>2.2770000000000001</v>
      </c>
      <c r="F776" s="3" t="e">
        <f t="shared" si="98"/>
        <v>#N/A</v>
      </c>
      <c r="G776" s="3" t="e">
        <f t="shared" si="99"/>
        <v>#N/A</v>
      </c>
      <c r="H776" s="3" t="e">
        <f t="shared" si="100"/>
        <v>#N/A</v>
      </c>
      <c r="I776" s="3" t="e">
        <f t="shared" si="101"/>
        <v>#N/A</v>
      </c>
      <c r="J776" s="3">
        <v>82655.964234911589</v>
      </c>
      <c r="K776" s="3">
        <v>2277</v>
      </c>
      <c r="L776" s="3" t="e">
        <v>#N/A</v>
      </c>
      <c r="M776" s="3" t="e">
        <v>#N/A</v>
      </c>
      <c r="N776" s="3" t="e">
        <v>#N/A</v>
      </c>
      <c r="O776" s="3" t="e">
        <v>#N/A</v>
      </c>
      <c r="P776" s="3">
        <f>E776*(VLOOKUP(B776,Price_data!A$1:B$190,2,FALSE))</f>
        <v>26.193297950820003</v>
      </c>
      <c r="Q776" s="3" t="e">
        <f>G776*(VLOOKUP(B776,Price_data!A$1:B$190,2,FALSE))</f>
        <v>#N/A</v>
      </c>
      <c r="R776" s="3" t="e">
        <f>I776*(VLOOKUP(B776,Price_data!A$1:B$190,2,FALSE))</f>
        <v>#N/A</v>
      </c>
      <c r="S776" s="4" t="str">
        <f>(VLOOKUP(B776,Price_data!A$1:C$190,3,FALSE))</f>
        <v>Open access</v>
      </c>
      <c r="T776" s="2" t="str">
        <f>IF(C776="Total", (VLOOKUP(B776,Recommended_fish_intake!A$4:D$122,4,FALSE)), "NA")</f>
        <v>NA</v>
      </c>
      <c r="U776" s="2" t="str">
        <f t="shared" si="102"/>
        <v>NA</v>
      </c>
    </row>
    <row r="777" spans="1:21" ht="14.25" customHeight="1">
      <c r="A777" s="2" t="s">
        <v>39</v>
      </c>
      <c r="B777" s="2">
        <v>1965</v>
      </c>
      <c r="C777" s="2" t="s">
        <v>21</v>
      </c>
      <c r="D777" s="3">
        <f t="shared" si="96"/>
        <v>47.297297297297298</v>
      </c>
      <c r="E777" s="3">
        <f t="shared" si="97"/>
        <v>0.371</v>
      </c>
      <c r="F777" s="3" t="e">
        <f t="shared" si="98"/>
        <v>#N/A</v>
      </c>
      <c r="G777" s="3" t="e">
        <f t="shared" si="99"/>
        <v>#N/A</v>
      </c>
      <c r="H777" s="3" t="e">
        <f t="shared" si="100"/>
        <v>#N/A</v>
      </c>
      <c r="I777" s="3" t="e">
        <f t="shared" si="101"/>
        <v>#N/A</v>
      </c>
      <c r="J777" s="3">
        <v>47297.2972972973</v>
      </c>
      <c r="K777" s="3">
        <v>371</v>
      </c>
      <c r="L777" s="3" t="e">
        <v>#N/A</v>
      </c>
      <c r="M777" s="3" t="e">
        <v>#N/A</v>
      </c>
      <c r="N777" s="3" t="e">
        <v>#N/A</v>
      </c>
      <c r="O777" s="3" t="e">
        <v>#N/A</v>
      </c>
      <c r="P777" s="3">
        <f>E777*(VLOOKUP(B777,Price_data!A$1:B$190,2,FALSE))</f>
        <v>4.2677705488599997</v>
      </c>
      <c r="Q777" s="3" t="e">
        <f>G777*(VLOOKUP(B777,Price_data!A$1:B$190,2,FALSE))</f>
        <v>#N/A</v>
      </c>
      <c r="R777" s="3" t="e">
        <f>I777*(VLOOKUP(B777,Price_data!A$1:B$190,2,FALSE))</f>
        <v>#N/A</v>
      </c>
      <c r="S777" s="4" t="str">
        <f>(VLOOKUP(B777,Price_data!A$1:C$190,3,FALSE))</f>
        <v>Open access</v>
      </c>
      <c r="T777" s="2" t="str">
        <f>IF(C777="Total", (VLOOKUP(B777,Recommended_fish_intake!A$4:D$122,4,FALSE)), "NA")</f>
        <v>NA</v>
      </c>
      <c r="U777" s="2" t="str">
        <f t="shared" si="102"/>
        <v>NA</v>
      </c>
    </row>
    <row r="778" spans="1:21" ht="14.25" customHeight="1">
      <c r="A778" s="2" t="s">
        <v>39</v>
      </c>
      <c r="B778" s="2">
        <v>1965</v>
      </c>
      <c r="C778" s="2" t="s">
        <v>34</v>
      </c>
      <c r="D778" s="3">
        <f t="shared" si="96"/>
        <v>0.66043487096118669</v>
      </c>
      <c r="E778" s="3">
        <f t="shared" si="97"/>
        <v>0.57199999999999995</v>
      </c>
      <c r="F778" s="3" t="e">
        <f t="shared" si="98"/>
        <v>#N/A</v>
      </c>
      <c r="G778" s="3" t="e">
        <f t="shared" si="99"/>
        <v>#N/A</v>
      </c>
      <c r="H778" s="3" t="e">
        <f t="shared" si="100"/>
        <v>#N/A</v>
      </c>
      <c r="I778" s="3" t="e">
        <f t="shared" si="101"/>
        <v>#N/A</v>
      </c>
      <c r="J778" s="3">
        <v>660.43487096118668</v>
      </c>
      <c r="K778" s="3">
        <v>572</v>
      </c>
      <c r="L778" s="3" t="e">
        <v>#N/A</v>
      </c>
      <c r="M778" s="3" t="e">
        <v>#N/A</v>
      </c>
      <c r="N778" s="3" t="e">
        <v>#N/A</v>
      </c>
      <c r="O778" s="3" t="e">
        <v>#N/A</v>
      </c>
      <c r="P778" s="3">
        <f>E778*(VLOOKUP(B778,Price_data!A$1:B$190,2,FALSE))</f>
        <v>6.5799589055199998</v>
      </c>
      <c r="Q778" s="3" t="e">
        <f>G778*(VLOOKUP(B778,Price_data!A$1:B$190,2,FALSE))</f>
        <v>#N/A</v>
      </c>
      <c r="R778" s="3" t="e">
        <f>I778*(VLOOKUP(B778,Price_data!A$1:B$190,2,FALSE))</f>
        <v>#N/A</v>
      </c>
      <c r="S778" s="4" t="str">
        <f>(VLOOKUP(B778,Price_data!A$1:C$190,3,FALSE))</f>
        <v>Open access</v>
      </c>
      <c r="T778" s="2" t="str">
        <f>IF(C778="Total", (VLOOKUP(B778,Recommended_fish_intake!A$4:D$122,4,FALSE)), "NA")</f>
        <v>NA</v>
      </c>
      <c r="U778" s="2" t="str">
        <f t="shared" si="102"/>
        <v>NA</v>
      </c>
    </row>
    <row r="779" spans="1:21" ht="14.25" customHeight="1">
      <c r="A779" s="2" t="s">
        <v>39</v>
      </c>
      <c r="B779" s="2">
        <v>1965</v>
      </c>
      <c r="C779" s="2" t="s">
        <v>35</v>
      </c>
      <c r="D779" s="3">
        <f t="shared" si="96"/>
        <v>5.2326762853078641</v>
      </c>
      <c r="E779" s="3">
        <f t="shared" si="97"/>
        <v>0.88300000000000001</v>
      </c>
      <c r="F779" s="3" t="e">
        <f t="shared" si="98"/>
        <v>#N/A</v>
      </c>
      <c r="G779" s="3" t="e">
        <f t="shared" si="99"/>
        <v>#N/A</v>
      </c>
      <c r="H779" s="3" t="e">
        <f t="shared" si="100"/>
        <v>#N/A</v>
      </c>
      <c r="I779" s="3" t="e">
        <f t="shared" si="101"/>
        <v>#N/A</v>
      </c>
      <c r="J779" s="3">
        <v>5232.6762853078644</v>
      </c>
      <c r="K779" s="3">
        <v>883</v>
      </c>
      <c r="L779" s="3" t="e">
        <v>#N/A</v>
      </c>
      <c r="M779" s="3" t="e">
        <v>#N/A</v>
      </c>
      <c r="N779" s="3" t="e">
        <v>#N/A</v>
      </c>
      <c r="O779" s="3" t="e">
        <v>#N/A</v>
      </c>
      <c r="P779" s="3">
        <f>E779*(VLOOKUP(B779,Price_data!A$1:B$190,2,FALSE))</f>
        <v>10.15752397478</v>
      </c>
      <c r="Q779" s="3" t="e">
        <f>G779*(VLOOKUP(B779,Price_data!A$1:B$190,2,FALSE))</f>
        <v>#N/A</v>
      </c>
      <c r="R779" s="3" t="e">
        <f>I779*(VLOOKUP(B779,Price_data!A$1:B$190,2,FALSE))</f>
        <v>#N/A</v>
      </c>
      <c r="S779" s="4" t="str">
        <f>(VLOOKUP(B779,Price_data!A$1:C$190,3,FALSE))</f>
        <v>Open access</v>
      </c>
      <c r="T779" s="2" t="str">
        <f>IF(C779="Total", (VLOOKUP(B779,Recommended_fish_intake!A$4:D$122,4,FALSE)), "NA")</f>
        <v>NA</v>
      </c>
      <c r="U779" s="2" t="str">
        <f t="shared" si="102"/>
        <v>NA</v>
      </c>
    </row>
    <row r="780" spans="1:21" ht="14.25" customHeight="1">
      <c r="A780" s="2" t="s">
        <v>39</v>
      </c>
      <c r="B780" s="2">
        <v>1965</v>
      </c>
      <c r="C780" s="2" t="s">
        <v>30</v>
      </c>
      <c r="D780" s="3">
        <f t="shared" si="96"/>
        <v>0.1016053647632595</v>
      </c>
      <c r="E780" s="3">
        <f t="shared" si="97"/>
        <v>1.0999999999999999E-2</v>
      </c>
      <c r="F780" s="3" t="e">
        <f t="shared" si="98"/>
        <v>#N/A</v>
      </c>
      <c r="G780" s="3" t="e">
        <f t="shared" si="99"/>
        <v>#N/A</v>
      </c>
      <c r="H780" s="3" t="e">
        <f t="shared" si="100"/>
        <v>#N/A</v>
      </c>
      <c r="I780" s="3" t="e">
        <f t="shared" si="101"/>
        <v>#N/A</v>
      </c>
      <c r="J780" s="3">
        <v>101.6053647632595</v>
      </c>
      <c r="K780" s="3">
        <v>11</v>
      </c>
      <c r="L780" s="3" t="e">
        <v>#N/A</v>
      </c>
      <c r="M780" s="3" t="e">
        <v>#N/A</v>
      </c>
      <c r="N780" s="3" t="e">
        <v>#N/A</v>
      </c>
      <c r="O780" s="3" t="e">
        <v>#N/A</v>
      </c>
      <c r="P780" s="3">
        <f>E780*(VLOOKUP(B780,Price_data!A$1:B$190,2,FALSE))</f>
        <v>0.12653767125999998</v>
      </c>
      <c r="Q780" s="3" t="e">
        <f>G780*(VLOOKUP(B780,Price_data!A$1:B$190,2,FALSE))</f>
        <v>#N/A</v>
      </c>
      <c r="R780" s="3" t="e">
        <f>I780*(VLOOKUP(B780,Price_data!A$1:B$190,2,FALSE))</f>
        <v>#N/A</v>
      </c>
      <c r="S780" s="4" t="str">
        <f>(VLOOKUP(B780,Price_data!A$1:C$190,3,FALSE))</f>
        <v>Open access</v>
      </c>
      <c r="T780" s="2" t="str">
        <f>IF(C780="Total", (VLOOKUP(B780,Recommended_fish_intake!A$4:D$122,4,FALSE)), "NA")</f>
        <v>NA</v>
      </c>
      <c r="U780" s="2" t="str">
        <f t="shared" si="102"/>
        <v>NA</v>
      </c>
    </row>
    <row r="781" spans="1:21" ht="14.25" customHeight="1">
      <c r="A781" s="2" t="s">
        <v>39</v>
      </c>
      <c r="B781" s="2">
        <v>1965</v>
      </c>
      <c r="C781" s="2" t="s">
        <v>36</v>
      </c>
      <c r="D781" s="3">
        <f t="shared" si="96"/>
        <v>1.8288965657386709</v>
      </c>
      <c r="E781" s="3">
        <f t="shared" si="97"/>
        <v>9.5000000000000001E-2</v>
      </c>
      <c r="F781" s="3" t="e">
        <f t="shared" si="98"/>
        <v>#N/A</v>
      </c>
      <c r="G781" s="3" t="e">
        <f t="shared" si="99"/>
        <v>#N/A</v>
      </c>
      <c r="H781" s="3" t="e">
        <f t="shared" si="100"/>
        <v>#N/A</v>
      </c>
      <c r="I781" s="3" t="e">
        <f t="shared" si="101"/>
        <v>#N/A</v>
      </c>
      <c r="J781" s="3">
        <v>1828.8965657386709</v>
      </c>
      <c r="K781" s="3">
        <v>95</v>
      </c>
      <c r="L781" s="3" t="e">
        <v>#N/A</v>
      </c>
      <c r="M781" s="3" t="e">
        <v>#N/A</v>
      </c>
      <c r="N781" s="3" t="e">
        <v>#N/A</v>
      </c>
      <c r="O781" s="3" t="e">
        <v>#N/A</v>
      </c>
      <c r="P781" s="3">
        <f>E781*(VLOOKUP(B781,Price_data!A$1:B$190,2,FALSE))</f>
        <v>1.0928253427000001</v>
      </c>
      <c r="Q781" s="3" t="e">
        <f>G781*(VLOOKUP(B781,Price_data!A$1:B$190,2,FALSE))</f>
        <v>#N/A</v>
      </c>
      <c r="R781" s="3" t="e">
        <f>I781*(VLOOKUP(B781,Price_data!A$1:B$190,2,FALSE))</f>
        <v>#N/A</v>
      </c>
      <c r="S781" s="4" t="str">
        <f>(VLOOKUP(B781,Price_data!A$1:C$190,3,FALSE))</f>
        <v>Open access</v>
      </c>
      <c r="T781" s="2" t="str">
        <f>IF(C781="Total", (VLOOKUP(B781,Recommended_fish_intake!A$4:D$122,4,FALSE)), "NA")</f>
        <v>NA</v>
      </c>
      <c r="U781" s="2" t="str">
        <f t="shared" si="102"/>
        <v>NA</v>
      </c>
    </row>
    <row r="782" spans="1:21" ht="14.25" customHeight="1">
      <c r="A782" s="2" t="s">
        <v>39</v>
      </c>
      <c r="B782" s="2">
        <v>1965</v>
      </c>
      <c r="C782" s="2" t="s">
        <v>28</v>
      </c>
      <c r="D782" s="3">
        <f t="shared" si="96"/>
        <v>9.7541150172729107</v>
      </c>
      <c r="E782" s="3">
        <f t="shared" si="97"/>
        <v>1.5569999999999999</v>
      </c>
      <c r="F782" s="3" t="e">
        <f t="shared" si="98"/>
        <v>#N/A</v>
      </c>
      <c r="G782" s="3" t="e">
        <f t="shared" si="99"/>
        <v>#N/A</v>
      </c>
      <c r="H782" s="3" t="e">
        <f t="shared" si="100"/>
        <v>#N/A</v>
      </c>
      <c r="I782" s="3" t="e">
        <f t="shared" si="101"/>
        <v>#N/A</v>
      </c>
      <c r="J782" s="3">
        <v>9754.1150172729103</v>
      </c>
      <c r="K782" s="3">
        <v>1557</v>
      </c>
      <c r="L782" s="3" t="e">
        <v>#N/A</v>
      </c>
      <c r="M782" s="3" t="e">
        <v>#N/A</v>
      </c>
      <c r="N782" s="3" t="e">
        <v>#N/A</v>
      </c>
      <c r="O782" s="3" t="e">
        <v>#N/A</v>
      </c>
      <c r="P782" s="3">
        <f>E782*(VLOOKUP(B782,Price_data!A$1:B$190,2,FALSE))</f>
        <v>17.910832195619999</v>
      </c>
      <c r="Q782" s="3" t="e">
        <f>G782*(VLOOKUP(B782,Price_data!A$1:B$190,2,FALSE))</f>
        <v>#N/A</v>
      </c>
      <c r="R782" s="3" t="e">
        <f>I782*(VLOOKUP(B782,Price_data!A$1:B$190,2,FALSE))</f>
        <v>#N/A</v>
      </c>
      <c r="S782" s="4" t="str">
        <f>(VLOOKUP(B782,Price_data!A$1:C$190,3,FALSE))</f>
        <v>Open access</v>
      </c>
      <c r="T782" s="2" t="str">
        <f>IF(C782="Total", (VLOOKUP(B782,Recommended_fish_intake!A$4:D$122,4,FALSE)), "NA")</f>
        <v>NA</v>
      </c>
      <c r="U782" s="2">
        <f t="shared" si="102"/>
        <v>2.7311522048364152</v>
      </c>
    </row>
    <row r="783" spans="1:21" ht="14.25" customHeight="1">
      <c r="A783" s="2" t="s">
        <v>39</v>
      </c>
      <c r="B783" s="2">
        <v>1965</v>
      </c>
      <c r="C783" s="2" t="s">
        <v>37</v>
      </c>
      <c r="D783" s="3">
        <f t="shared" si="96"/>
        <v>373.45051818736027</v>
      </c>
      <c r="E783" s="3">
        <f t="shared" si="97"/>
        <v>17.507000000000001</v>
      </c>
      <c r="F783" s="3" t="e">
        <f t="shared" si="98"/>
        <v>#N/A</v>
      </c>
      <c r="G783" s="3" t="e">
        <f t="shared" si="99"/>
        <v>#N/A</v>
      </c>
      <c r="H783" s="3" t="e">
        <f t="shared" si="100"/>
        <v>#N/A</v>
      </c>
      <c r="I783" s="3" t="e">
        <f t="shared" si="101"/>
        <v>#N/A</v>
      </c>
      <c r="J783" s="3">
        <v>373450.51818736026</v>
      </c>
      <c r="K783" s="3">
        <v>17507</v>
      </c>
      <c r="L783" s="3" t="e">
        <v>#N/A</v>
      </c>
      <c r="M783" s="3" t="e">
        <v>#N/A</v>
      </c>
      <c r="N783" s="3" t="e">
        <v>#N/A</v>
      </c>
      <c r="O783" s="3" t="e">
        <v>#N/A</v>
      </c>
      <c r="P783" s="3">
        <f>E783*(VLOOKUP(B783,Price_data!A$1:B$190,2,FALSE))</f>
        <v>201.39045552262002</v>
      </c>
      <c r="Q783" s="3" t="e">
        <f>G783*(VLOOKUP(B783,Price_data!A$1:B$190,2,FALSE))</f>
        <v>#N/A</v>
      </c>
      <c r="R783" s="3" t="e">
        <f>I783*(VLOOKUP(B783,Price_data!A$1:B$190,2,FALSE))</f>
        <v>#N/A</v>
      </c>
      <c r="S783" s="4" t="str">
        <f>(VLOOKUP(B783,Price_data!A$1:C$190,3,FALSE))</f>
        <v>Open access</v>
      </c>
      <c r="T783" s="2" t="str">
        <f>IF(C783="Total", (VLOOKUP(B783,Recommended_fish_intake!A$4:D$122,4,FALSE)), "NA")</f>
        <v>NA</v>
      </c>
      <c r="U783" s="2">
        <f t="shared" si="102"/>
        <v>182.99075391180654</v>
      </c>
    </row>
    <row r="784" spans="1:21" ht="14.25" customHeight="1">
      <c r="A784" s="2" t="s">
        <v>40</v>
      </c>
      <c r="B784" s="2">
        <v>1965</v>
      </c>
      <c r="C784" s="2" t="s">
        <v>22</v>
      </c>
      <c r="D784" s="3">
        <f t="shared" si="96"/>
        <v>0.76204023572444624</v>
      </c>
      <c r="E784" s="3">
        <f t="shared" si="97"/>
        <v>3.9E-2</v>
      </c>
      <c r="F784" s="3" t="e">
        <f t="shared" si="98"/>
        <v>#N/A</v>
      </c>
      <c r="G784" s="3" t="e">
        <f t="shared" si="99"/>
        <v>#N/A</v>
      </c>
      <c r="H784" s="3" t="e">
        <f t="shared" si="100"/>
        <v>#N/A</v>
      </c>
      <c r="I784" s="3" t="e">
        <f t="shared" si="101"/>
        <v>#N/A</v>
      </c>
      <c r="J784" s="3">
        <v>762.04023572444623</v>
      </c>
      <c r="K784" s="3">
        <v>39</v>
      </c>
      <c r="L784" s="3" t="e">
        <v>#N/A</v>
      </c>
      <c r="M784" s="3" t="e">
        <v>#N/A</v>
      </c>
      <c r="N784" s="3" t="e">
        <v>#N/A</v>
      </c>
      <c r="O784" s="3" t="e">
        <v>#N/A</v>
      </c>
      <c r="P784" s="3">
        <f>E784*(VLOOKUP(B784,Price_data!A$1:B$190,2,FALSE))</f>
        <v>0.44863356174000002</v>
      </c>
      <c r="Q784" s="3" t="e">
        <f>G784*(VLOOKUP(B784,Price_data!A$1:B$190,2,FALSE))</f>
        <v>#N/A</v>
      </c>
      <c r="R784" s="3" t="e">
        <f>I784*(VLOOKUP(B784,Price_data!A$1:B$190,2,FALSE))</f>
        <v>#N/A</v>
      </c>
      <c r="S784" s="4" t="str">
        <f>(VLOOKUP(B784,Price_data!A$1:C$190,3,FALSE))</f>
        <v>Open access</v>
      </c>
      <c r="T784" s="2" t="str">
        <f>IF(C784="Total", (VLOOKUP(B784,Recommended_fish_intake!A$4:D$122,4,FALSE)), "NA")</f>
        <v>NA</v>
      </c>
      <c r="U784" s="2" t="str">
        <f t="shared" si="102"/>
        <v>NA</v>
      </c>
    </row>
    <row r="785" spans="1:21" ht="14.25" customHeight="1">
      <c r="A785" s="2" t="s">
        <v>40</v>
      </c>
      <c r="B785" s="2">
        <v>1965</v>
      </c>
      <c r="C785" s="2" t="s">
        <v>23</v>
      </c>
      <c r="D785" s="3">
        <f t="shared" si="96"/>
        <v>5.080268238162975E-2</v>
      </c>
      <c r="E785" s="3">
        <f t="shared" si="97"/>
        <v>3.0000000000000001E-3</v>
      </c>
      <c r="F785" s="3" t="e">
        <f t="shared" si="98"/>
        <v>#N/A</v>
      </c>
      <c r="G785" s="3" t="e">
        <f t="shared" si="99"/>
        <v>#N/A</v>
      </c>
      <c r="H785" s="3" t="e">
        <f t="shared" si="100"/>
        <v>#N/A</v>
      </c>
      <c r="I785" s="3" t="e">
        <f t="shared" si="101"/>
        <v>#N/A</v>
      </c>
      <c r="J785" s="3">
        <v>50.802682381629751</v>
      </c>
      <c r="K785" s="3">
        <v>3</v>
      </c>
      <c r="L785" s="3" t="e">
        <v>#N/A</v>
      </c>
      <c r="M785" s="3" t="e">
        <v>#N/A</v>
      </c>
      <c r="N785" s="3" t="e">
        <v>#N/A</v>
      </c>
      <c r="O785" s="3" t="e">
        <v>#N/A</v>
      </c>
      <c r="P785" s="3">
        <f>E785*(VLOOKUP(B785,Price_data!A$1:B$190,2,FALSE))</f>
        <v>3.4510273979999999E-2</v>
      </c>
      <c r="Q785" s="3" t="e">
        <f>G785*(VLOOKUP(B785,Price_data!A$1:B$190,2,FALSE))</f>
        <v>#N/A</v>
      </c>
      <c r="R785" s="3" t="e">
        <f>I785*(VLOOKUP(B785,Price_data!A$1:B$190,2,FALSE))</f>
        <v>#N/A</v>
      </c>
      <c r="S785" s="4" t="str">
        <f>(VLOOKUP(B785,Price_data!A$1:C$190,3,FALSE))</f>
        <v>Open access</v>
      </c>
      <c r="T785" s="2" t="str">
        <f>IF(C785="Total", (VLOOKUP(B785,Recommended_fish_intake!A$4:D$122,4,FALSE)), "NA")</f>
        <v>NA</v>
      </c>
      <c r="U785" s="2" t="str">
        <f t="shared" si="102"/>
        <v>NA</v>
      </c>
    </row>
    <row r="786" spans="1:21" ht="14.25" customHeight="1">
      <c r="A786" s="2" t="s">
        <v>40</v>
      </c>
      <c r="B786" s="2">
        <v>1965</v>
      </c>
      <c r="C786" s="2" t="s">
        <v>25</v>
      </c>
      <c r="D786" s="3">
        <f t="shared" si="96"/>
        <v>0.25401341190814875</v>
      </c>
      <c r="E786" s="3">
        <f t="shared" si="97"/>
        <v>1.4E-2</v>
      </c>
      <c r="F786" s="3" t="e">
        <f t="shared" si="98"/>
        <v>#N/A</v>
      </c>
      <c r="G786" s="3" t="e">
        <f t="shared" si="99"/>
        <v>#N/A</v>
      </c>
      <c r="H786" s="3" t="e">
        <f t="shared" si="100"/>
        <v>#N/A</v>
      </c>
      <c r="I786" s="3" t="e">
        <f t="shared" si="101"/>
        <v>#N/A</v>
      </c>
      <c r="J786" s="3">
        <v>254.01341190814875</v>
      </c>
      <c r="K786" s="3">
        <v>14</v>
      </c>
      <c r="L786" s="3" t="e">
        <v>#N/A</v>
      </c>
      <c r="M786" s="3" t="e">
        <v>#N/A</v>
      </c>
      <c r="N786" s="3" t="e">
        <v>#N/A</v>
      </c>
      <c r="O786" s="3" t="e">
        <v>#N/A</v>
      </c>
      <c r="P786" s="3">
        <f>E786*(VLOOKUP(B786,Price_data!A$1:B$190,2,FALSE))</f>
        <v>0.16104794524000002</v>
      </c>
      <c r="Q786" s="3" t="e">
        <f>G786*(VLOOKUP(B786,Price_data!A$1:B$190,2,FALSE))</f>
        <v>#N/A</v>
      </c>
      <c r="R786" s="3" t="e">
        <f>I786*(VLOOKUP(B786,Price_data!A$1:B$190,2,FALSE))</f>
        <v>#N/A</v>
      </c>
      <c r="S786" s="4" t="str">
        <f>(VLOOKUP(B786,Price_data!A$1:C$190,3,FALSE))</f>
        <v>Open access</v>
      </c>
      <c r="T786" s="2" t="str">
        <f>IF(C786="Total", (VLOOKUP(B786,Recommended_fish_intake!A$4:D$122,4,FALSE)), "NA")</f>
        <v>NA</v>
      </c>
      <c r="U786" s="2" t="str">
        <f t="shared" si="102"/>
        <v>NA</v>
      </c>
    </row>
    <row r="787" spans="1:21" ht="14.25" customHeight="1">
      <c r="A787" s="2" t="s">
        <v>40</v>
      </c>
      <c r="B787" s="2">
        <v>1965</v>
      </c>
      <c r="C787" s="2" t="s">
        <v>24</v>
      </c>
      <c r="D787" s="3">
        <f t="shared" si="96"/>
        <v>1.8796992481203008</v>
      </c>
      <c r="E787" s="3">
        <f t="shared" si="97"/>
        <v>3.2000000000000001E-2</v>
      </c>
      <c r="F787" s="3" t="e">
        <f t="shared" si="98"/>
        <v>#N/A</v>
      </c>
      <c r="G787" s="3" t="e">
        <f t="shared" si="99"/>
        <v>#N/A</v>
      </c>
      <c r="H787" s="3" t="e">
        <f t="shared" si="100"/>
        <v>#N/A</v>
      </c>
      <c r="I787" s="3" t="e">
        <f t="shared" si="101"/>
        <v>#N/A</v>
      </c>
      <c r="J787" s="3">
        <v>1879.6992481203008</v>
      </c>
      <c r="K787" s="3">
        <v>32</v>
      </c>
      <c r="L787" s="3" t="e">
        <v>#N/A</v>
      </c>
      <c r="M787" s="3" t="e">
        <v>#N/A</v>
      </c>
      <c r="N787" s="3" t="e">
        <v>#N/A</v>
      </c>
      <c r="O787" s="3" t="e">
        <v>#N/A</v>
      </c>
      <c r="P787" s="3">
        <f>E787*(VLOOKUP(B787,Price_data!A$1:B$190,2,FALSE))</f>
        <v>0.36810958912000002</v>
      </c>
      <c r="Q787" s="3" t="e">
        <f>G787*(VLOOKUP(B787,Price_data!A$1:B$190,2,FALSE))</f>
        <v>#N/A</v>
      </c>
      <c r="R787" s="3" t="e">
        <f>I787*(VLOOKUP(B787,Price_data!A$1:B$190,2,FALSE))</f>
        <v>#N/A</v>
      </c>
      <c r="S787" s="4" t="str">
        <f>(VLOOKUP(B787,Price_data!A$1:C$190,3,FALSE))</f>
        <v>Open access</v>
      </c>
      <c r="T787" s="2" t="str">
        <f>IF(C787="Total", (VLOOKUP(B787,Recommended_fish_intake!A$4:D$122,4,FALSE)), "NA")</f>
        <v>NA</v>
      </c>
      <c r="U787" s="2" t="str">
        <f t="shared" si="102"/>
        <v>NA</v>
      </c>
    </row>
    <row r="788" spans="1:21" ht="14.25" customHeight="1">
      <c r="A788" s="2" t="s">
        <v>40</v>
      </c>
      <c r="B788" s="2">
        <v>1965</v>
      </c>
      <c r="C788" s="2" t="s">
        <v>19</v>
      </c>
      <c r="D788" s="3">
        <f t="shared" si="96"/>
        <v>1.7272912009754113</v>
      </c>
      <c r="E788" s="3">
        <f t="shared" si="97"/>
        <v>3.3000000000000002E-2</v>
      </c>
      <c r="F788" s="3" t="e">
        <f t="shared" si="98"/>
        <v>#N/A</v>
      </c>
      <c r="G788" s="3" t="e">
        <f t="shared" si="99"/>
        <v>#N/A</v>
      </c>
      <c r="H788" s="3" t="e">
        <f t="shared" si="100"/>
        <v>#N/A</v>
      </c>
      <c r="I788" s="3" t="e">
        <f t="shared" si="101"/>
        <v>#N/A</v>
      </c>
      <c r="J788" s="3">
        <v>1727.2912009754114</v>
      </c>
      <c r="K788" s="3">
        <v>33</v>
      </c>
      <c r="L788" s="3" t="e">
        <v>#N/A</v>
      </c>
      <c r="M788" s="3" t="e">
        <v>#N/A</v>
      </c>
      <c r="N788" s="3" t="e">
        <v>#N/A</v>
      </c>
      <c r="O788" s="3" t="e">
        <v>#N/A</v>
      </c>
      <c r="P788" s="3">
        <f>E788*(VLOOKUP(B788,Price_data!A$1:B$190,2,FALSE))</f>
        <v>0.37961301378000001</v>
      </c>
      <c r="Q788" s="3" t="e">
        <f>G788*(VLOOKUP(B788,Price_data!A$1:B$190,2,FALSE))</f>
        <v>#N/A</v>
      </c>
      <c r="R788" s="3" t="e">
        <f>I788*(VLOOKUP(B788,Price_data!A$1:B$190,2,FALSE))</f>
        <v>#N/A</v>
      </c>
      <c r="S788" s="4" t="str">
        <f>(VLOOKUP(B788,Price_data!A$1:C$190,3,FALSE))</f>
        <v>Open access</v>
      </c>
      <c r="T788" s="2" t="str">
        <f>IF(C788="Total", (VLOOKUP(B788,Recommended_fish_intake!A$4:D$122,4,FALSE)), "NA")</f>
        <v>NA</v>
      </c>
      <c r="U788" s="2" t="str">
        <f t="shared" si="102"/>
        <v>NA</v>
      </c>
    </row>
    <row r="789" spans="1:21" ht="14.25" customHeight="1">
      <c r="A789" s="2" t="s">
        <v>40</v>
      </c>
      <c r="B789" s="2">
        <v>1965</v>
      </c>
      <c r="C789" s="2" t="s">
        <v>21</v>
      </c>
      <c r="D789" s="3">
        <f t="shared" si="96"/>
        <v>2.8957528957528957</v>
      </c>
      <c r="E789" s="3">
        <f t="shared" si="97"/>
        <v>2.5999999999999999E-2</v>
      </c>
      <c r="F789" s="3" t="e">
        <f t="shared" si="98"/>
        <v>#N/A</v>
      </c>
      <c r="G789" s="3" t="e">
        <f t="shared" si="99"/>
        <v>#N/A</v>
      </c>
      <c r="H789" s="3" t="e">
        <f t="shared" si="100"/>
        <v>#N/A</v>
      </c>
      <c r="I789" s="3" t="e">
        <f t="shared" si="101"/>
        <v>#N/A</v>
      </c>
      <c r="J789" s="3">
        <v>2895.7528957528957</v>
      </c>
      <c r="K789" s="3">
        <v>26</v>
      </c>
      <c r="L789" s="3" t="e">
        <v>#N/A</v>
      </c>
      <c r="M789" s="3" t="e">
        <v>#N/A</v>
      </c>
      <c r="N789" s="3" t="e">
        <v>#N/A</v>
      </c>
      <c r="O789" s="3" t="e">
        <v>#N/A</v>
      </c>
      <c r="P789" s="3">
        <f>E789*(VLOOKUP(B789,Price_data!A$1:B$190,2,FALSE))</f>
        <v>0.29908904116000001</v>
      </c>
      <c r="Q789" s="3" t="e">
        <f>G789*(VLOOKUP(B789,Price_data!A$1:B$190,2,FALSE))</f>
        <v>#N/A</v>
      </c>
      <c r="R789" s="3" t="e">
        <f>I789*(VLOOKUP(B789,Price_data!A$1:B$190,2,FALSE))</f>
        <v>#N/A</v>
      </c>
      <c r="S789" s="4" t="str">
        <f>(VLOOKUP(B789,Price_data!A$1:C$190,3,FALSE))</f>
        <v>Open access</v>
      </c>
      <c r="T789" s="2" t="str">
        <f>IF(C789="Total", (VLOOKUP(B789,Recommended_fish_intake!A$4:D$122,4,FALSE)), "NA")</f>
        <v>NA</v>
      </c>
      <c r="U789" s="2" t="str">
        <f t="shared" si="102"/>
        <v>NA</v>
      </c>
    </row>
    <row r="790" spans="1:21" ht="14.25" customHeight="1">
      <c r="A790" s="2" t="s">
        <v>40</v>
      </c>
      <c r="B790" s="2">
        <v>1965</v>
      </c>
      <c r="C790" s="2" t="s">
        <v>34</v>
      </c>
      <c r="D790" s="3">
        <f t="shared" si="96"/>
        <v>0</v>
      </c>
      <c r="E790" s="3">
        <f t="shared" si="97"/>
        <v>1.2E-2</v>
      </c>
      <c r="F790" s="3" t="e">
        <f t="shared" si="98"/>
        <v>#N/A</v>
      </c>
      <c r="G790" s="3" t="e">
        <f t="shared" si="99"/>
        <v>#N/A</v>
      </c>
      <c r="H790" s="3" t="e">
        <f t="shared" si="100"/>
        <v>#N/A</v>
      </c>
      <c r="I790" s="3" t="e">
        <f t="shared" si="101"/>
        <v>#N/A</v>
      </c>
      <c r="J790" s="3">
        <v>0</v>
      </c>
      <c r="K790" s="3">
        <v>12</v>
      </c>
      <c r="L790" s="3" t="e">
        <v>#N/A</v>
      </c>
      <c r="M790" s="3" t="e">
        <v>#N/A</v>
      </c>
      <c r="N790" s="3" t="e">
        <v>#N/A</v>
      </c>
      <c r="O790" s="3" t="e">
        <v>#N/A</v>
      </c>
      <c r="P790" s="3">
        <f>E790*(VLOOKUP(B790,Price_data!A$1:B$190,2,FALSE))</f>
        <v>0.13804109592</v>
      </c>
      <c r="Q790" s="3" t="e">
        <f>G790*(VLOOKUP(B790,Price_data!A$1:B$190,2,FALSE))</f>
        <v>#N/A</v>
      </c>
      <c r="R790" s="3" t="e">
        <f>I790*(VLOOKUP(B790,Price_data!A$1:B$190,2,FALSE))</f>
        <v>#N/A</v>
      </c>
      <c r="S790" s="4" t="str">
        <f>(VLOOKUP(B790,Price_data!A$1:C$190,3,FALSE))</f>
        <v>Open access</v>
      </c>
      <c r="T790" s="2" t="str">
        <f>IF(C790="Total", (VLOOKUP(B790,Recommended_fish_intake!A$4:D$122,4,FALSE)), "NA")</f>
        <v>NA</v>
      </c>
      <c r="U790" s="2" t="str">
        <f t="shared" si="102"/>
        <v>NA</v>
      </c>
    </row>
    <row r="791" spans="1:21" ht="14.25" customHeight="1">
      <c r="A791" s="2" t="s">
        <v>40</v>
      </c>
      <c r="B791" s="2">
        <v>1965</v>
      </c>
      <c r="C791" s="2" t="s">
        <v>35</v>
      </c>
      <c r="D791" s="3">
        <f t="shared" si="96"/>
        <v>0.91444828286933544</v>
      </c>
      <c r="E791" s="3">
        <f t="shared" si="97"/>
        <v>7.3999999999999996E-2</v>
      </c>
      <c r="F791" s="3" t="e">
        <f t="shared" si="98"/>
        <v>#N/A</v>
      </c>
      <c r="G791" s="3" t="e">
        <f t="shared" si="99"/>
        <v>#N/A</v>
      </c>
      <c r="H791" s="3" t="e">
        <f t="shared" si="100"/>
        <v>#N/A</v>
      </c>
      <c r="I791" s="3" t="e">
        <f t="shared" si="101"/>
        <v>#N/A</v>
      </c>
      <c r="J791" s="3">
        <v>914.44828286933546</v>
      </c>
      <c r="K791" s="3">
        <v>74</v>
      </c>
      <c r="L791" s="3" t="e">
        <v>#N/A</v>
      </c>
      <c r="M791" s="3" t="e">
        <v>#N/A</v>
      </c>
      <c r="N791" s="3" t="e">
        <v>#N/A</v>
      </c>
      <c r="O791" s="3" t="e">
        <v>#N/A</v>
      </c>
      <c r="P791" s="3">
        <f>E791*(VLOOKUP(B791,Price_data!A$1:B$190,2,FALSE))</f>
        <v>0.85125342483999999</v>
      </c>
      <c r="Q791" s="3" t="e">
        <f>G791*(VLOOKUP(B791,Price_data!A$1:B$190,2,FALSE))</f>
        <v>#N/A</v>
      </c>
      <c r="R791" s="3" t="e">
        <f>I791*(VLOOKUP(B791,Price_data!A$1:B$190,2,FALSE))</f>
        <v>#N/A</v>
      </c>
      <c r="S791" s="4" t="str">
        <f>(VLOOKUP(B791,Price_data!A$1:C$190,3,FALSE))</f>
        <v>Open access</v>
      </c>
      <c r="T791" s="2" t="str">
        <f>IF(C791="Total", (VLOOKUP(B791,Recommended_fish_intake!A$4:D$122,4,FALSE)), "NA")</f>
        <v>NA</v>
      </c>
      <c r="U791" s="2" t="str">
        <f t="shared" si="102"/>
        <v>NA</v>
      </c>
    </row>
    <row r="792" spans="1:21" ht="14.25" customHeight="1">
      <c r="A792" s="2" t="s">
        <v>40</v>
      </c>
      <c r="B792" s="2">
        <v>1965</v>
      </c>
      <c r="C792" s="2" t="s">
        <v>30</v>
      </c>
      <c r="D792" s="3">
        <f t="shared" si="96"/>
        <v>0</v>
      </c>
      <c r="E792" s="3">
        <f t="shared" si="97"/>
        <v>0</v>
      </c>
      <c r="F792" s="3" t="e">
        <f t="shared" si="98"/>
        <v>#N/A</v>
      </c>
      <c r="G792" s="3" t="e">
        <f t="shared" si="99"/>
        <v>#N/A</v>
      </c>
      <c r="H792" s="3" t="e">
        <f t="shared" si="100"/>
        <v>#N/A</v>
      </c>
      <c r="I792" s="3" t="e">
        <f t="shared" si="101"/>
        <v>#N/A</v>
      </c>
      <c r="J792" s="3">
        <v>0</v>
      </c>
      <c r="K792" s="3">
        <v>0</v>
      </c>
      <c r="L792" s="3" t="e">
        <v>#N/A</v>
      </c>
      <c r="M792" s="3" t="e">
        <v>#N/A</v>
      </c>
      <c r="N792" s="3" t="e">
        <v>#N/A</v>
      </c>
      <c r="O792" s="3" t="e">
        <v>#N/A</v>
      </c>
      <c r="P792" s="3">
        <f>E792*(VLOOKUP(B792,Price_data!A$1:B$190,2,FALSE))</f>
        <v>0</v>
      </c>
      <c r="Q792" s="3" t="e">
        <f>G792*(VLOOKUP(B792,Price_data!A$1:B$190,2,FALSE))</f>
        <v>#N/A</v>
      </c>
      <c r="R792" s="3" t="e">
        <f>I792*(VLOOKUP(B792,Price_data!A$1:B$190,2,FALSE))</f>
        <v>#N/A</v>
      </c>
      <c r="S792" s="4" t="str">
        <f>(VLOOKUP(B792,Price_data!A$1:C$190,3,FALSE))</f>
        <v>Open access</v>
      </c>
      <c r="T792" s="2" t="str">
        <f>IF(C792="Total", (VLOOKUP(B792,Recommended_fish_intake!A$4:D$122,4,FALSE)), "NA")</f>
        <v>NA</v>
      </c>
      <c r="U792" s="2" t="str">
        <f t="shared" si="102"/>
        <v>NA</v>
      </c>
    </row>
    <row r="793" spans="1:21" ht="14.25" customHeight="1">
      <c r="A793" s="2" t="s">
        <v>40</v>
      </c>
      <c r="B793" s="2">
        <v>1965</v>
      </c>
      <c r="C793" s="2" t="s">
        <v>36</v>
      </c>
      <c r="D793" s="3">
        <f t="shared" si="96"/>
        <v>0</v>
      </c>
      <c r="E793" s="3">
        <f t="shared" si="97"/>
        <v>1E-3</v>
      </c>
      <c r="F793" s="3" t="e">
        <f t="shared" si="98"/>
        <v>#N/A</v>
      </c>
      <c r="G793" s="3" t="e">
        <f t="shared" si="99"/>
        <v>#N/A</v>
      </c>
      <c r="H793" s="3" t="e">
        <f t="shared" si="100"/>
        <v>#N/A</v>
      </c>
      <c r="I793" s="3" t="e">
        <f t="shared" si="101"/>
        <v>#N/A</v>
      </c>
      <c r="J793" s="3">
        <v>0</v>
      </c>
      <c r="K793" s="3">
        <v>1</v>
      </c>
      <c r="L793" s="3" t="e">
        <v>#N/A</v>
      </c>
      <c r="M793" s="3" t="e">
        <v>#N/A</v>
      </c>
      <c r="N793" s="3" t="e">
        <v>#N/A</v>
      </c>
      <c r="O793" s="3" t="e">
        <v>#N/A</v>
      </c>
      <c r="P793" s="3">
        <f>E793*(VLOOKUP(B793,Price_data!A$1:B$190,2,FALSE))</f>
        <v>1.1503424660000001E-2</v>
      </c>
      <c r="Q793" s="3" t="e">
        <f>G793*(VLOOKUP(B793,Price_data!A$1:B$190,2,FALSE))</f>
        <v>#N/A</v>
      </c>
      <c r="R793" s="3" t="e">
        <f>I793*(VLOOKUP(B793,Price_data!A$1:B$190,2,FALSE))</f>
        <v>#N/A</v>
      </c>
      <c r="S793" s="4" t="str">
        <f>(VLOOKUP(B793,Price_data!A$1:C$190,3,FALSE))</f>
        <v>Open access</v>
      </c>
      <c r="T793" s="2" t="str">
        <f>IF(C793="Total", (VLOOKUP(B793,Recommended_fish_intake!A$4:D$122,4,FALSE)), "NA")</f>
        <v>NA</v>
      </c>
      <c r="U793" s="2" t="str">
        <f t="shared" si="102"/>
        <v>NA</v>
      </c>
    </row>
    <row r="794" spans="1:21" ht="14.25" customHeight="1">
      <c r="A794" s="2" t="s">
        <v>40</v>
      </c>
      <c r="B794" s="2">
        <v>1965</v>
      </c>
      <c r="C794" s="2" t="s">
        <v>28</v>
      </c>
      <c r="D794" s="3">
        <f t="shared" si="96"/>
        <v>1.1684616947774842</v>
      </c>
      <c r="E794" s="3">
        <f t="shared" si="97"/>
        <v>9.8000000000000004E-2</v>
      </c>
      <c r="F794" s="3" t="e">
        <f t="shared" si="98"/>
        <v>#N/A</v>
      </c>
      <c r="G794" s="3" t="e">
        <f t="shared" si="99"/>
        <v>#N/A</v>
      </c>
      <c r="H794" s="3" t="e">
        <f t="shared" si="100"/>
        <v>#N/A</v>
      </c>
      <c r="I794" s="3" t="e">
        <f t="shared" si="101"/>
        <v>#N/A</v>
      </c>
      <c r="J794" s="3">
        <v>1168.4616947774841</v>
      </c>
      <c r="K794" s="3">
        <v>98</v>
      </c>
      <c r="L794" s="3" t="e">
        <v>#N/A</v>
      </c>
      <c r="M794" s="3" t="e">
        <v>#N/A</v>
      </c>
      <c r="N794" s="3" t="e">
        <v>#N/A</v>
      </c>
      <c r="O794" s="3" t="e">
        <v>#N/A</v>
      </c>
      <c r="P794" s="3">
        <f>E794*(VLOOKUP(B794,Price_data!A$1:B$190,2,FALSE))</f>
        <v>1.1273356166800002</v>
      </c>
      <c r="Q794" s="3" t="e">
        <f>G794*(VLOOKUP(B794,Price_data!A$1:B$190,2,FALSE))</f>
        <v>#N/A</v>
      </c>
      <c r="R794" s="3" t="e">
        <f>I794*(VLOOKUP(B794,Price_data!A$1:B$190,2,FALSE))</f>
        <v>#N/A</v>
      </c>
      <c r="S794" s="4" t="str">
        <f>(VLOOKUP(B794,Price_data!A$1:C$190,3,FALSE))</f>
        <v>Open access</v>
      </c>
      <c r="T794" s="2" t="str">
        <f>IF(C794="Total", (VLOOKUP(B794,Recommended_fish_intake!A$4:D$122,4,FALSE)), "NA")</f>
        <v>NA</v>
      </c>
      <c r="U794" s="2">
        <f t="shared" si="102"/>
        <v>0.32716927453769562</v>
      </c>
    </row>
    <row r="795" spans="1:21" ht="14.25" customHeight="1">
      <c r="A795" s="2" t="s">
        <v>40</v>
      </c>
      <c r="B795" s="2">
        <v>1965</v>
      </c>
      <c r="C795" s="2" t="s">
        <v>37</v>
      </c>
      <c r="D795" s="3">
        <f t="shared" si="96"/>
        <v>8.5348506401137971</v>
      </c>
      <c r="E795" s="3">
        <f t="shared" si="97"/>
        <v>0.16600000000000001</v>
      </c>
      <c r="F795" s="3" t="e">
        <f t="shared" si="98"/>
        <v>#N/A</v>
      </c>
      <c r="G795" s="3" t="e">
        <f t="shared" si="99"/>
        <v>#N/A</v>
      </c>
      <c r="H795" s="3" t="e">
        <f t="shared" si="100"/>
        <v>#N/A</v>
      </c>
      <c r="I795" s="3" t="e">
        <f t="shared" si="101"/>
        <v>#N/A</v>
      </c>
      <c r="J795" s="3">
        <v>8534.8506401137965</v>
      </c>
      <c r="K795" s="3">
        <v>166</v>
      </c>
      <c r="L795" s="3" t="e">
        <v>#N/A</v>
      </c>
      <c r="M795" s="3" t="e">
        <v>#N/A</v>
      </c>
      <c r="N795" s="3" t="e">
        <v>#N/A</v>
      </c>
      <c r="O795" s="3" t="e">
        <v>#N/A</v>
      </c>
      <c r="P795" s="3">
        <f>E795*(VLOOKUP(B795,Price_data!A$1:B$190,2,FALSE))</f>
        <v>1.9095684935600001</v>
      </c>
      <c r="Q795" s="3" t="e">
        <f>G795*(VLOOKUP(B795,Price_data!A$1:B$190,2,FALSE))</f>
        <v>#N/A</v>
      </c>
      <c r="R795" s="3" t="e">
        <f>I795*(VLOOKUP(B795,Price_data!A$1:B$190,2,FALSE))</f>
        <v>#N/A</v>
      </c>
      <c r="S795" s="4" t="str">
        <f>(VLOOKUP(B795,Price_data!A$1:C$190,3,FALSE))</f>
        <v>Open access</v>
      </c>
      <c r="T795" s="2" t="str">
        <f>IF(C795="Total", (VLOOKUP(B795,Recommended_fish_intake!A$4:D$122,4,FALSE)), "NA")</f>
        <v>NA</v>
      </c>
      <c r="U795" s="2">
        <f t="shared" si="102"/>
        <v>4.1820768136557609</v>
      </c>
    </row>
    <row r="796" spans="1:21" ht="14.25" customHeight="1">
      <c r="A796" s="2" t="s">
        <v>18</v>
      </c>
      <c r="B796" s="2">
        <v>1965</v>
      </c>
      <c r="C796" s="2" t="s">
        <v>41</v>
      </c>
      <c r="D796" s="3">
        <f t="shared" si="96"/>
        <v>488.01056695793534</v>
      </c>
      <c r="E796" s="3">
        <f t="shared" si="97"/>
        <v>39.445</v>
      </c>
      <c r="F796" s="3" t="e">
        <f t="shared" si="98"/>
        <v>#N/A</v>
      </c>
      <c r="G796" s="3" t="e">
        <f t="shared" si="99"/>
        <v>#N/A</v>
      </c>
      <c r="H796" s="3" t="e">
        <f t="shared" si="100"/>
        <v>#N/A</v>
      </c>
      <c r="I796" s="3" t="e">
        <f t="shared" si="101"/>
        <v>#N/A</v>
      </c>
      <c r="J796" s="3">
        <v>488010.56695793534</v>
      </c>
      <c r="K796" s="3">
        <v>39445</v>
      </c>
      <c r="L796" s="3" t="e">
        <v>#N/A</v>
      </c>
      <c r="M796" s="3" t="e">
        <v>#N/A</v>
      </c>
      <c r="N796" s="3" t="e">
        <v>#N/A</v>
      </c>
      <c r="O796" s="3" t="e">
        <v>#N/A</v>
      </c>
      <c r="P796" s="3">
        <f>E796*(VLOOKUP(B796,Price_data!A$1:B$190,2,FALSE))</f>
        <v>453.7525857137</v>
      </c>
      <c r="Q796" s="3" t="e">
        <f>G796*(VLOOKUP(B796,Price_data!A$1:B$190,2,FALSE))</f>
        <v>#N/A</v>
      </c>
      <c r="R796" s="3" t="e">
        <f>I796*(VLOOKUP(B796,Price_data!A$1:B$190,2,FALSE))</f>
        <v>#N/A</v>
      </c>
      <c r="S796" s="4" t="str">
        <f>(VLOOKUP(B796,Price_data!A$1:C$190,3,FALSE))</f>
        <v>Open access</v>
      </c>
      <c r="T796" s="2" t="str">
        <f>IF(C796="Total", (VLOOKUP(B796,Recommended_fish_intake!A$4:D$122,4,FALSE)), "NA")</f>
        <v>NA</v>
      </c>
      <c r="U796" s="2" t="str">
        <f t="shared" si="102"/>
        <v>NA</v>
      </c>
    </row>
    <row r="797" spans="1:21" ht="14.25" customHeight="1">
      <c r="A797" s="2" t="s">
        <v>18</v>
      </c>
      <c r="B797" s="2">
        <v>1965</v>
      </c>
      <c r="C797" s="2" t="s">
        <v>42</v>
      </c>
      <c r="D797" s="3">
        <f t="shared" si="96"/>
        <v>28.449502133712659</v>
      </c>
      <c r="E797" s="3">
        <f t="shared" si="97"/>
        <v>0.88400000000000001</v>
      </c>
      <c r="F797" s="3" t="e">
        <f t="shared" si="98"/>
        <v>#N/A</v>
      </c>
      <c r="G797" s="3" t="e">
        <f t="shared" si="99"/>
        <v>#N/A</v>
      </c>
      <c r="H797" s="3" t="e">
        <f t="shared" si="100"/>
        <v>#N/A</v>
      </c>
      <c r="I797" s="3" t="e">
        <f t="shared" si="101"/>
        <v>#N/A</v>
      </c>
      <c r="J797" s="3">
        <v>28449.50213371266</v>
      </c>
      <c r="K797" s="3">
        <v>884</v>
      </c>
      <c r="L797" s="3" t="e">
        <v>#N/A</v>
      </c>
      <c r="M797" s="3" t="e">
        <v>#N/A</v>
      </c>
      <c r="N797" s="3" t="e">
        <v>#N/A</v>
      </c>
      <c r="O797" s="3" t="e">
        <v>#N/A</v>
      </c>
      <c r="P797" s="3">
        <f>E797*(VLOOKUP(B797,Price_data!A$1:B$190,2,FALSE))</f>
        <v>10.169027399440001</v>
      </c>
      <c r="Q797" s="3" t="e">
        <f>G797*(VLOOKUP(B797,Price_data!A$1:B$190,2,FALSE))</f>
        <v>#N/A</v>
      </c>
      <c r="R797" s="3" t="e">
        <f>I797*(VLOOKUP(B797,Price_data!A$1:B$190,2,FALSE))</f>
        <v>#N/A</v>
      </c>
      <c r="S797" s="4" t="str">
        <f>(VLOOKUP(B797,Price_data!A$1:C$190,3,FALSE))</f>
        <v>Open access</v>
      </c>
      <c r="T797" s="2" t="str">
        <f>IF(C797="Total", (VLOOKUP(B797,Recommended_fish_intake!A$4:D$122,4,FALSE)), "NA")</f>
        <v>NA</v>
      </c>
      <c r="U797" s="2" t="str">
        <f t="shared" si="102"/>
        <v>NA</v>
      </c>
    </row>
    <row r="798" spans="1:21" ht="14.25" customHeight="1">
      <c r="A798" s="2" t="s">
        <v>39</v>
      </c>
      <c r="B798" s="2">
        <v>1965</v>
      </c>
      <c r="C798" s="2" t="s">
        <v>41</v>
      </c>
      <c r="D798" s="3">
        <f t="shared" si="96"/>
        <v>242.02397886608412</v>
      </c>
      <c r="E798" s="3">
        <f t="shared" si="97"/>
        <v>14.808</v>
      </c>
      <c r="F798" s="3" t="e">
        <f t="shared" si="98"/>
        <v>#N/A</v>
      </c>
      <c r="G798" s="3" t="e">
        <f t="shared" si="99"/>
        <v>#N/A</v>
      </c>
      <c r="H798" s="3" t="e">
        <f t="shared" si="100"/>
        <v>#N/A</v>
      </c>
      <c r="I798" s="3" t="e">
        <f t="shared" si="101"/>
        <v>#N/A</v>
      </c>
      <c r="J798" s="3">
        <v>242023.97886608413</v>
      </c>
      <c r="K798" s="3">
        <v>14808</v>
      </c>
      <c r="L798" s="3" t="e">
        <v>#N/A</v>
      </c>
      <c r="M798" s="3" t="e">
        <v>#N/A</v>
      </c>
      <c r="N798" s="3" t="e">
        <v>#N/A</v>
      </c>
      <c r="O798" s="3" t="e">
        <v>#N/A</v>
      </c>
      <c r="P798" s="3">
        <f>E798*(VLOOKUP(B798,Price_data!A$1:B$190,2,FALSE))</f>
        <v>170.34271236527999</v>
      </c>
      <c r="Q798" s="3" t="e">
        <f>G798*(VLOOKUP(B798,Price_data!A$1:B$190,2,FALSE))</f>
        <v>#N/A</v>
      </c>
      <c r="R798" s="3" t="e">
        <f>I798*(VLOOKUP(B798,Price_data!A$1:B$190,2,FALSE))</f>
        <v>#N/A</v>
      </c>
      <c r="S798" s="4" t="str">
        <f>(VLOOKUP(B798,Price_data!A$1:C$190,3,FALSE))</f>
        <v>Open access</v>
      </c>
      <c r="T798" s="2" t="str">
        <f>IF(C798="Total", (VLOOKUP(B798,Recommended_fish_intake!A$4:D$122,4,FALSE)), "NA")</f>
        <v>NA</v>
      </c>
      <c r="U798" s="2" t="str">
        <f t="shared" si="102"/>
        <v>NA</v>
      </c>
    </row>
    <row r="799" spans="1:21" ht="14.25" customHeight="1">
      <c r="A799" s="2" t="s">
        <v>39</v>
      </c>
      <c r="B799" s="2">
        <v>1965</v>
      </c>
      <c r="C799" s="2" t="s">
        <v>42</v>
      </c>
      <c r="D799" s="3">
        <f t="shared" si="96"/>
        <v>131.42653932127615</v>
      </c>
      <c r="E799" s="3">
        <f t="shared" si="97"/>
        <v>2.6989999999999998</v>
      </c>
      <c r="F799" s="3" t="e">
        <f t="shared" si="98"/>
        <v>#N/A</v>
      </c>
      <c r="G799" s="3" t="e">
        <f t="shared" si="99"/>
        <v>#N/A</v>
      </c>
      <c r="H799" s="3" t="e">
        <f t="shared" si="100"/>
        <v>#N/A</v>
      </c>
      <c r="I799" s="3" t="e">
        <f t="shared" si="101"/>
        <v>#N/A</v>
      </c>
      <c r="J799" s="3">
        <v>131426.53932127616</v>
      </c>
      <c r="K799" s="3">
        <v>2699</v>
      </c>
      <c r="L799" s="3" t="e">
        <v>#N/A</v>
      </c>
      <c r="M799" s="3" t="e">
        <v>#N/A</v>
      </c>
      <c r="N799" s="3" t="e">
        <v>#N/A</v>
      </c>
      <c r="O799" s="3" t="e">
        <v>#N/A</v>
      </c>
      <c r="P799" s="3">
        <f>E799*(VLOOKUP(B799,Price_data!A$1:B$190,2,FALSE))</f>
        <v>31.047743157339998</v>
      </c>
      <c r="Q799" s="3" t="e">
        <f>G799*(VLOOKUP(B799,Price_data!A$1:B$190,2,FALSE))</f>
        <v>#N/A</v>
      </c>
      <c r="R799" s="3" t="e">
        <f>I799*(VLOOKUP(B799,Price_data!A$1:B$190,2,FALSE))</f>
        <v>#N/A</v>
      </c>
      <c r="S799" s="4" t="str">
        <f>(VLOOKUP(B799,Price_data!A$1:C$190,3,FALSE))</f>
        <v>Open access</v>
      </c>
      <c r="T799" s="2" t="str">
        <f>IF(C799="Total", (VLOOKUP(B799,Recommended_fish_intake!A$4:D$122,4,FALSE)), "NA")</f>
        <v>NA</v>
      </c>
      <c r="U799" s="2" t="str">
        <f t="shared" si="102"/>
        <v>NA</v>
      </c>
    </row>
    <row r="800" spans="1:21" ht="14.25" customHeight="1">
      <c r="A800" s="2" t="s">
        <v>40</v>
      </c>
      <c r="B800" s="2">
        <v>1965</v>
      </c>
      <c r="C800" s="2" t="s">
        <v>41</v>
      </c>
      <c r="D800" s="3">
        <f t="shared" si="96"/>
        <v>3.810201178622231</v>
      </c>
      <c r="E800" s="3">
        <f t="shared" si="97"/>
        <v>0.106</v>
      </c>
      <c r="F800" s="3" t="e">
        <f t="shared" si="98"/>
        <v>#N/A</v>
      </c>
      <c r="G800" s="3" t="e">
        <f t="shared" si="99"/>
        <v>#N/A</v>
      </c>
      <c r="H800" s="3" t="e">
        <f t="shared" si="100"/>
        <v>#N/A</v>
      </c>
      <c r="I800" s="3" t="e">
        <f t="shared" si="101"/>
        <v>#N/A</v>
      </c>
      <c r="J800" s="3">
        <v>3810.2011786222311</v>
      </c>
      <c r="K800" s="3">
        <v>106</v>
      </c>
      <c r="L800" s="3" t="e">
        <v>#N/A</v>
      </c>
      <c r="M800" s="3" t="e">
        <v>#N/A</v>
      </c>
      <c r="N800" s="3" t="e">
        <v>#N/A</v>
      </c>
      <c r="O800" s="3" t="e">
        <v>#N/A</v>
      </c>
      <c r="P800" s="3">
        <f>E800*(VLOOKUP(B800,Price_data!A$1:B$190,2,FALSE))</f>
        <v>1.21936301396</v>
      </c>
      <c r="Q800" s="3" t="e">
        <f>G800*(VLOOKUP(B800,Price_data!A$1:B$190,2,FALSE))</f>
        <v>#N/A</v>
      </c>
      <c r="R800" s="3" t="e">
        <f>I800*(VLOOKUP(B800,Price_data!A$1:B$190,2,FALSE))</f>
        <v>#N/A</v>
      </c>
      <c r="S800" s="4" t="str">
        <f>(VLOOKUP(B800,Price_data!A$1:C$190,3,FALSE))</f>
        <v>Open access</v>
      </c>
      <c r="T800" s="2" t="str">
        <f>IF(C800="Total", (VLOOKUP(B800,Recommended_fish_intake!A$4:D$122,4,FALSE)), "NA")</f>
        <v>NA</v>
      </c>
      <c r="U800" s="2" t="str">
        <f t="shared" si="102"/>
        <v>NA</v>
      </c>
    </row>
    <row r="801" spans="1:21" ht="14.25" customHeight="1">
      <c r="A801" s="2" t="s">
        <v>40</v>
      </c>
      <c r="B801" s="2">
        <v>1965</v>
      </c>
      <c r="C801" s="2" t="s">
        <v>42</v>
      </c>
      <c r="D801" s="3">
        <f t="shared" si="96"/>
        <v>4.7246494614915662</v>
      </c>
      <c r="E801" s="3">
        <f t="shared" si="97"/>
        <v>0.06</v>
      </c>
      <c r="F801" s="3" t="e">
        <f t="shared" si="98"/>
        <v>#N/A</v>
      </c>
      <c r="G801" s="3" t="e">
        <f t="shared" si="99"/>
        <v>#N/A</v>
      </c>
      <c r="H801" s="3" t="e">
        <f t="shared" si="100"/>
        <v>#N/A</v>
      </c>
      <c r="I801" s="3" t="e">
        <f t="shared" si="101"/>
        <v>#N/A</v>
      </c>
      <c r="J801" s="3">
        <v>4724.6494614915664</v>
      </c>
      <c r="K801" s="3">
        <v>60</v>
      </c>
      <c r="L801" s="3" t="e">
        <v>#N/A</v>
      </c>
      <c r="M801" s="3" t="e">
        <v>#N/A</v>
      </c>
      <c r="N801" s="3" t="e">
        <v>#N/A</v>
      </c>
      <c r="O801" s="3" t="e">
        <v>#N/A</v>
      </c>
      <c r="P801" s="3">
        <f>E801*(VLOOKUP(B801,Price_data!A$1:B$190,2,FALSE))</f>
        <v>0.6902054796</v>
      </c>
      <c r="Q801" s="3" t="e">
        <f>G801*(VLOOKUP(B801,Price_data!A$1:B$190,2,FALSE))</f>
        <v>#N/A</v>
      </c>
      <c r="R801" s="3" t="e">
        <f>I801*(VLOOKUP(B801,Price_data!A$1:B$190,2,FALSE))</f>
        <v>#N/A</v>
      </c>
      <c r="S801" s="4" t="str">
        <f>(VLOOKUP(B801,Price_data!A$1:C$190,3,FALSE))</f>
        <v>Open access</v>
      </c>
      <c r="T801" s="2" t="str">
        <f>IF(C801="Total", (VLOOKUP(B801,Recommended_fish_intake!A$4:D$122,4,FALSE)), "NA")</f>
        <v>NA</v>
      </c>
      <c r="U801" s="2" t="str">
        <f t="shared" si="102"/>
        <v>NA</v>
      </c>
    </row>
    <row r="802" spans="1:21" ht="14.25" customHeight="1">
      <c r="A802" s="2" t="s">
        <v>15</v>
      </c>
      <c r="B802" s="2">
        <v>1965</v>
      </c>
      <c r="C802" s="2" t="s">
        <v>41</v>
      </c>
      <c r="D802" s="3">
        <f t="shared" si="96"/>
        <v>733.84474700264172</v>
      </c>
      <c r="E802" s="3">
        <f t="shared" si="97"/>
        <v>54.359000000000002</v>
      </c>
      <c r="F802" s="3" t="e">
        <f t="shared" si="98"/>
        <v>#N/A</v>
      </c>
      <c r="G802" s="3" t="e">
        <f t="shared" si="99"/>
        <v>#N/A</v>
      </c>
      <c r="H802" s="3" t="e">
        <f t="shared" si="100"/>
        <v>#N/A</v>
      </c>
      <c r="I802" s="3" t="e">
        <f t="shared" si="101"/>
        <v>#N/A</v>
      </c>
      <c r="J802" s="3">
        <v>733844.74700264167</v>
      </c>
      <c r="K802" s="3">
        <v>54359</v>
      </c>
      <c r="L802" s="3" t="e">
        <v>#N/A</v>
      </c>
      <c r="M802" s="3" t="e">
        <v>#N/A</v>
      </c>
      <c r="N802" s="3" t="e">
        <v>#N/A</v>
      </c>
      <c r="O802" s="3" t="e">
        <v>#N/A</v>
      </c>
      <c r="P802" s="3">
        <f>E802*(VLOOKUP(B802,Price_data!A$1:B$190,2,FALSE))</f>
        <v>625.31466109294001</v>
      </c>
      <c r="Q802" s="3" t="e">
        <f>G802*(VLOOKUP(B802,Price_data!A$1:B$190,2,FALSE))</f>
        <v>#N/A</v>
      </c>
      <c r="R802" s="3" t="e">
        <f>I802*(VLOOKUP(B802,Price_data!A$1:B$190,2,FALSE))</f>
        <v>#N/A</v>
      </c>
      <c r="S802" s="4" t="str">
        <f>(VLOOKUP(B802,Price_data!A$1:C$190,3,FALSE))</f>
        <v>Open access</v>
      </c>
      <c r="T802" s="2" t="str">
        <f>IF(C802="Total", (VLOOKUP(B802,Recommended_fish_intake!A$4:D$122,4,FALSE)), "NA")</f>
        <v>NA</v>
      </c>
      <c r="U802" s="2" t="str">
        <f t="shared" si="102"/>
        <v>NA</v>
      </c>
    </row>
    <row r="803" spans="1:21" ht="14.25" customHeight="1">
      <c r="A803" s="2" t="s">
        <v>15</v>
      </c>
      <c r="B803" s="2">
        <v>1965</v>
      </c>
      <c r="C803" s="2" t="s">
        <v>42</v>
      </c>
      <c r="D803" s="3">
        <f t="shared" si="96"/>
        <v>164.60069091648037</v>
      </c>
      <c r="E803" s="3">
        <f t="shared" si="97"/>
        <v>3.6429999999999998</v>
      </c>
      <c r="F803" s="3" t="e">
        <f t="shared" si="98"/>
        <v>#N/A</v>
      </c>
      <c r="G803" s="3" t="e">
        <f t="shared" si="99"/>
        <v>#N/A</v>
      </c>
      <c r="H803" s="3" t="e">
        <f t="shared" si="100"/>
        <v>#N/A</v>
      </c>
      <c r="I803" s="3" t="e">
        <f t="shared" si="101"/>
        <v>#N/A</v>
      </c>
      <c r="J803" s="3">
        <v>164600.69091648038</v>
      </c>
      <c r="K803" s="3">
        <v>3643</v>
      </c>
      <c r="L803" s="3" t="e">
        <v>#N/A</v>
      </c>
      <c r="M803" s="3" t="e">
        <v>#N/A</v>
      </c>
      <c r="N803" s="3" t="e">
        <v>#N/A</v>
      </c>
      <c r="O803" s="3" t="e">
        <v>#N/A</v>
      </c>
      <c r="P803" s="3">
        <f>E803*(VLOOKUP(B803,Price_data!A$1:B$190,2,FALSE))</f>
        <v>41.906976036380001</v>
      </c>
      <c r="Q803" s="3" t="e">
        <f>G803*(VLOOKUP(B803,Price_data!A$1:B$190,2,FALSE))</f>
        <v>#N/A</v>
      </c>
      <c r="R803" s="3" t="e">
        <f>I803*(VLOOKUP(B803,Price_data!A$1:B$190,2,FALSE))</f>
        <v>#N/A</v>
      </c>
      <c r="S803" s="4" t="str">
        <f>(VLOOKUP(B803,Price_data!A$1:C$190,3,FALSE))</f>
        <v>Open access</v>
      </c>
      <c r="T803" s="2" t="str">
        <f>IF(C803="Total", (VLOOKUP(B803,Recommended_fish_intake!A$4:D$122,4,FALSE)), "NA")</f>
        <v>NA</v>
      </c>
      <c r="U803" s="2" t="str">
        <f t="shared" si="102"/>
        <v>NA</v>
      </c>
    </row>
    <row r="804" spans="1:21" ht="14.25" customHeight="1">
      <c r="A804" s="2" t="s">
        <v>18</v>
      </c>
      <c r="B804" s="2">
        <v>1965</v>
      </c>
      <c r="C804" s="2" t="s">
        <v>20</v>
      </c>
      <c r="D804" s="3">
        <f t="shared" si="96"/>
        <v>1.6764885185937817</v>
      </c>
      <c r="E804" s="3">
        <f t="shared" si="97"/>
        <v>9.7000000000000003E-2</v>
      </c>
      <c r="F804" s="3" t="e">
        <f t="shared" si="98"/>
        <v>#N/A</v>
      </c>
      <c r="G804" s="3" t="e">
        <f t="shared" si="99"/>
        <v>#N/A</v>
      </c>
      <c r="H804" s="3" t="e">
        <f t="shared" si="100"/>
        <v>#N/A</v>
      </c>
      <c r="I804" s="3" t="e">
        <f t="shared" si="101"/>
        <v>#N/A</v>
      </c>
      <c r="J804" s="2">
        <v>1676.4885185937817</v>
      </c>
      <c r="K804" s="2">
        <v>97</v>
      </c>
      <c r="L804" s="2" t="e">
        <v>#N/A</v>
      </c>
      <c r="M804" s="2" t="e">
        <v>#N/A</v>
      </c>
      <c r="N804" s="2" t="e">
        <v>#N/A</v>
      </c>
      <c r="O804" s="2" t="e">
        <v>#N/A</v>
      </c>
      <c r="P804" s="3">
        <f>E804*(VLOOKUP(B804,Price_data!A$1:B$190,2,FALSE))</f>
        <v>1.1158321920200001</v>
      </c>
      <c r="Q804" s="3" t="e">
        <f>G804*(VLOOKUP(B804,Price_data!A$1:B$190,2,FALSE))</f>
        <v>#N/A</v>
      </c>
      <c r="R804" s="3" t="e">
        <f>I804*(VLOOKUP(B804,Price_data!A$1:B$190,2,FALSE))</f>
        <v>#N/A</v>
      </c>
      <c r="S804" s="4" t="str">
        <f>(VLOOKUP(B804,Price_data!A$1:C$190,3,FALSE))</f>
        <v>Open access</v>
      </c>
      <c r="T804" s="2" t="str">
        <f>IF(C804="Total", (VLOOKUP(B804,Recommended_fish_intake!A$4:D$122,4,FALSE)), "NA")</f>
        <v>NA</v>
      </c>
      <c r="U804" s="2" t="str">
        <f t="shared" si="102"/>
        <v>NA</v>
      </c>
    </row>
    <row r="805" spans="1:21" ht="14.25" customHeight="1">
      <c r="A805" s="2" t="s">
        <v>39</v>
      </c>
      <c r="B805" s="2">
        <v>1965</v>
      </c>
      <c r="C805" s="2" t="s">
        <v>20</v>
      </c>
      <c r="D805" s="3">
        <f t="shared" si="96"/>
        <v>1.4732777890672626</v>
      </c>
      <c r="E805" s="3">
        <f t="shared" si="97"/>
        <v>5.0999999999999997E-2</v>
      </c>
      <c r="F805" s="3" t="e">
        <f t="shared" si="98"/>
        <v>#N/A</v>
      </c>
      <c r="G805" s="3" t="e">
        <f t="shared" si="99"/>
        <v>#N/A</v>
      </c>
      <c r="H805" s="3" t="e">
        <f t="shared" si="100"/>
        <v>#N/A</v>
      </c>
      <c r="I805" s="3" t="e">
        <f t="shared" si="101"/>
        <v>#N/A</v>
      </c>
      <c r="J805" s="2">
        <v>1473.2777890672626</v>
      </c>
      <c r="K805" s="2">
        <v>51</v>
      </c>
      <c r="L805" s="2" t="e">
        <v>#N/A</v>
      </c>
      <c r="M805" s="2" t="e">
        <v>#N/A</v>
      </c>
      <c r="N805" s="2" t="e">
        <v>#N/A</v>
      </c>
      <c r="O805" s="2" t="e">
        <v>#N/A</v>
      </c>
      <c r="P805" s="3">
        <f>E805*(VLOOKUP(B805,Price_data!A$1:B$190,2,FALSE))</f>
        <v>0.58667465765999993</v>
      </c>
      <c r="Q805" s="3" t="e">
        <f>G805*(VLOOKUP(B805,Price_data!A$1:B$190,2,FALSE))</f>
        <v>#N/A</v>
      </c>
      <c r="R805" s="3" t="e">
        <f>I805*(VLOOKUP(B805,Price_data!A$1:B$190,2,FALSE))</f>
        <v>#N/A</v>
      </c>
      <c r="S805" s="4" t="str">
        <f>(VLOOKUP(B805,Price_data!A$1:C$190,3,FALSE))</f>
        <v>Open access</v>
      </c>
      <c r="T805" s="2" t="str">
        <f>IF(C805="Total", (VLOOKUP(B805,Recommended_fish_intake!A$4:D$122,4,FALSE)), "NA")</f>
        <v>NA</v>
      </c>
      <c r="U805" s="2" t="str">
        <f t="shared" si="102"/>
        <v>NA</v>
      </c>
    </row>
    <row r="806" spans="1:21" ht="14.25" customHeight="1">
      <c r="A806" s="2" t="s">
        <v>40</v>
      </c>
      <c r="B806" s="2">
        <v>1965</v>
      </c>
      <c r="C806" s="2" t="s">
        <v>20</v>
      </c>
      <c r="D806" s="3">
        <f t="shared" si="96"/>
        <v>0.1016053647632595</v>
      </c>
      <c r="E806" s="3">
        <f t="shared" si="97"/>
        <v>1E-3</v>
      </c>
      <c r="F806" s="3" t="e">
        <f t="shared" si="98"/>
        <v>#N/A</v>
      </c>
      <c r="G806" s="3" t="e">
        <f t="shared" si="99"/>
        <v>#N/A</v>
      </c>
      <c r="H806" s="3" t="e">
        <f t="shared" si="100"/>
        <v>#N/A</v>
      </c>
      <c r="I806" s="3" t="e">
        <f t="shared" si="101"/>
        <v>#N/A</v>
      </c>
      <c r="J806" s="2">
        <v>101.6053647632595</v>
      </c>
      <c r="K806" s="2">
        <v>1</v>
      </c>
      <c r="L806" s="2" t="e">
        <v>#N/A</v>
      </c>
      <c r="M806" s="2" t="e">
        <v>#N/A</v>
      </c>
      <c r="N806" s="2" t="e">
        <v>#N/A</v>
      </c>
      <c r="O806" s="2" t="e">
        <v>#N/A</v>
      </c>
      <c r="P806" s="3">
        <f>E806*(VLOOKUP(B806,Price_data!A$1:B$190,2,FALSE))</f>
        <v>1.1503424660000001E-2</v>
      </c>
      <c r="Q806" s="3" t="e">
        <f>G806*(VLOOKUP(B806,Price_data!A$1:B$190,2,FALSE))</f>
        <v>#N/A</v>
      </c>
      <c r="R806" s="3" t="e">
        <f>I806*(VLOOKUP(B806,Price_data!A$1:B$190,2,FALSE))</f>
        <v>#N/A</v>
      </c>
      <c r="S806" s="4" t="str">
        <f>(VLOOKUP(B806,Price_data!A$1:C$190,3,FALSE))</f>
        <v>Open access</v>
      </c>
      <c r="T806" s="2" t="str">
        <f>IF(C806="Total", (VLOOKUP(B806,Recommended_fish_intake!A$4:D$122,4,FALSE)), "NA")</f>
        <v>NA</v>
      </c>
      <c r="U806" s="2" t="str">
        <f t="shared" si="102"/>
        <v>NA</v>
      </c>
    </row>
    <row r="807" spans="1:21" ht="14.25" customHeight="1">
      <c r="A807" s="2" t="s">
        <v>15</v>
      </c>
      <c r="B807" s="2">
        <v>1965</v>
      </c>
      <c r="C807" s="2" t="s">
        <v>20</v>
      </c>
      <c r="D807" s="3">
        <f t="shared" si="96"/>
        <v>3.251371672424304</v>
      </c>
      <c r="E807" s="3">
        <f t="shared" si="97"/>
        <v>0.14899999999999999</v>
      </c>
      <c r="F807" s="3" t="e">
        <f t="shared" si="98"/>
        <v>#N/A</v>
      </c>
      <c r="G807" s="3" t="e">
        <f t="shared" si="99"/>
        <v>#N/A</v>
      </c>
      <c r="H807" s="3" t="e">
        <f t="shared" si="100"/>
        <v>#N/A</v>
      </c>
      <c r="I807" s="3" t="e">
        <f t="shared" si="101"/>
        <v>#N/A</v>
      </c>
      <c r="J807" s="2">
        <v>3251.3716724243041</v>
      </c>
      <c r="K807" s="2">
        <v>149</v>
      </c>
      <c r="L807" s="2" t="e">
        <v>#N/A</v>
      </c>
      <c r="M807" s="2" t="e">
        <v>#N/A</v>
      </c>
      <c r="N807" s="2" t="e">
        <v>#N/A</v>
      </c>
      <c r="O807" s="2" t="e">
        <v>#N/A</v>
      </c>
      <c r="P807" s="3">
        <f>E807*(VLOOKUP(B807,Price_data!A$1:B$190,2,FALSE))</f>
        <v>1.7140102743399999</v>
      </c>
      <c r="Q807" s="3" t="e">
        <f>G807*(VLOOKUP(B807,Price_data!A$1:B$190,2,FALSE))</f>
        <v>#N/A</v>
      </c>
      <c r="R807" s="3" t="e">
        <f>I807*(VLOOKUP(B807,Price_data!A$1:B$190,2,FALSE))</f>
        <v>#N/A</v>
      </c>
      <c r="S807" s="4" t="str">
        <f>(VLOOKUP(B807,Price_data!A$1:C$190,3,FALSE))</f>
        <v>Open access</v>
      </c>
      <c r="T807" s="2" t="str">
        <f>IF(C807="Total", (VLOOKUP(B807,Recommended_fish_intake!A$4:D$122,4,FALSE)), "NA")</f>
        <v>NA</v>
      </c>
      <c r="U807" s="2" t="str">
        <f t="shared" si="102"/>
        <v>NA</v>
      </c>
    </row>
    <row r="808" spans="1:21" ht="14.25" customHeight="1">
      <c r="A808" s="2" t="s">
        <v>15</v>
      </c>
      <c r="B808" s="2">
        <v>1965</v>
      </c>
      <c r="C808" s="2" t="s">
        <v>29</v>
      </c>
      <c r="D808" s="3" t="e">
        <f t="shared" ref="D808:D871" si="103">J808/1000</f>
        <v>#N/A</v>
      </c>
      <c r="E808" s="3" t="e">
        <f t="shared" ref="E808:E871" si="104">K808/1000</f>
        <v>#N/A</v>
      </c>
      <c r="F808" s="3" t="e">
        <f t="shared" ref="F808:F871" si="105">IF(L808="", NA(), L808/1000)</f>
        <v>#N/A</v>
      </c>
      <c r="G808" s="3" t="e">
        <f t="shared" ref="G808:G871" si="106">IF(M808="", NA(), M808/1000)</f>
        <v>#N/A</v>
      </c>
      <c r="H808" s="3">
        <f t="shared" ref="H808:H871" si="107">IF(N808="", NA(), N808/1000)</f>
        <v>49.024588498272706</v>
      </c>
      <c r="I808" s="3">
        <f t="shared" ref="I808:I871" si="108">IF(O808="", NA(), O808/1000)</f>
        <v>31.399000000000001</v>
      </c>
      <c r="J808" s="3" t="e">
        <v>#N/A</v>
      </c>
      <c r="K808" s="3" t="e">
        <v>#N/A</v>
      </c>
      <c r="L808" s="3" t="e">
        <v>#N/A</v>
      </c>
      <c r="M808" s="3" t="e">
        <v>#N/A</v>
      </c>
      <c r="N808" s="3">
        <v>49024.588498272708</v>
      </c>
      <c r="O808" s="3">
        <v>31399</v>
      </c>
      <c r="P808" s="3" t="e">
        <f>E808*(VLOOKUP(B808,Price_data!A$1:B$190,2,FALSE))</f>
        <v>#N/A</v>
      </c>
      <c r="Q808" s="3" t="e">
        <f>G808*(VLOOKUP(B808,Price_data!A$1:B$190,2,FALSE))</f>
        <v>#N/A</v>
      </c>
      <c r="R808" s="3">
        <f>I808*(VLOOKUP(B808,Price_data!A$1:B$190,2,FALSE))</f>
        <v>361.19603089934003</v>
      </c>
      <c r="S808" s="4" t="str">
        <f>(VLOOKUP(B808,Price_data!A$1:C$190,3,FALSE))</f>
        <v>Open access</v>
      </c>
      <c r="T808" s="2" t="str">
        <f>IF(C808="Total", (VLOOKUP(B808,Recommended_fish_intake!A$4:D$122,4,FALSE)), "NA")</f>
        <v>NA</v>
      </c>
      <c r="U808" s="2" t="str">
        <f t="shared" si="102"/>
        <v>NA</v>
      </c>
    </row>
    <row r="809" spans="1:21" ht="14.25" customHeight="1">
      <c r="A809" s="2" t="s">
        <v>15</v>
      </c>
      <c r="B809" s="2">
        <v>1965</v>
      </c>
      <c r="C809" s="2" t="s">
        <v>43</v>
      </c>
      <c r="D809" s="3" t="e">
        <f t="shared" si="103"/>
        <v>#N/A</v>
      </c>
      <c r="E809" s="3" t="e">
        <f t="shared" si="104"/>
        <v>#N/A</v>
      </c>
      <c r="F809" s="3" t="e">
        <f t="shared" si="105"/>
        <v>#N/A</v>
      </c>
      <c r="G809" s="3" t="e">
        <f t="shared" si="106"/>
        <v>#N/A</v>
      </c>
      <c r="H809" s="3">
        <f t="shared" si="107"/>
        <v>2.4385287543182277</v>
      </c>
      <c r="I809" s="3">
        <f t="shared" si="108"/>
        <v>0.68600000000000005</v>
      </c>
      <c r="J809" s="3" t="e">
        <v>#N/A</v>
      </c>
      <c r="K809" s="3" t="e">
        <v>#N/A</v>
      </c>
      <c r="L809" s="3" t="e">
        <v>#N/A</v>
      </c>
      <c r="M809" s="3" t="e">
        <v>#N/A</v>
      </c>
      <c r="N809" s="3">
        <v>2438.5287543182276</v>
      </c>
      <c r="O809" s="3">
        <v>686</v>
      </c>
      <c r="P809" s="3" t="e">
        <f>E809*(VLOOKUP(B809,Price_data!A$1:B$190,2,FALSE))</f>
        <v>#N/A</v>
      </c>
      <c r="Q809" s="3" t="e">
        <f>G809*(VLOOKUP(B809,Price_data!A$1:B$190,2,FALSE))</f>
        <v>#N/A</v>
      </c>
      <c r="R809" s="3">
        <f>I809*(VLOOKUP(B809,Price_data!A$1:B$190,2,FALSE))</f>
        <v>7.8913493167600004</v>
      </c>
      <c r="S809" s="4" t="str">
        <f>(VLOOKUP(B809,Price_data!A$1:C$190,3,FALSE))</f>
        <v>Open access</v>
      </c>
      <c r="T809" s="2" t="str">
        <f>IF(C809="Total", (VLOOKUP(B809,Recommended_fish_intake!A$4:D$122,4,FALSE)), "NA")</f>
        <v>NA</v>
      </c>
      <c r="U809" s="2" t="str">
        <f t="shared" si="102"/>
        <v>NA</v>
      </c>
    </row>
    <row r="810" spans="1:21" ht="14.25" customHeight="1">
      <c r="A810" s="2" t="s">
        <v>15</v>
      </c>
      <c r="B810" s="2">
        <v>1966</v>
      </c>
      <c r="C810" s="2" t="s">
        <v>16</v>
      </c>
      <c r="D810" s="3">
        <f t="shared" si="103"/>
        <v>950.01016053647629</v>
      </c>
      <c r="E810" s="3">
        <f t="shared" si="104"/>
        <v>61.765999999999998</v>
      </c>
      <c r="F810" s="3">
        <f t="shared" si="105"/>
        <v>77.321682584840474</v>
      </c>
      <c r="G810" s="3">
        <f t="shared" si="106"/>
        <v>9.8859999999999992</v>
      </c>
      <c r="H810" s="3">
        <f t="shared" si="107"/>
        <v>205.95407437512699</v>
      </c>
      <c r="I810" s="3">
        <f t="shared" si="108"/>
        <v>61.713000000000001</v>
      </c>
      <c r="J810" s="3">
        <v>950010.16053647629</v>
      </c>
      <c r="K810" s="3">
        <v>61766</v>
      </c>
      <c r="L810" s="3">
        <v>77321.68258484047</v>
      </c>
      <c r="M810" s="3">
        <v>9886</v>
      </c>
      <c r="N810" s="3">
        <v>205954.07437512701</v>
      </c>
      <c r="O810" s="3">
        <v>61713</v>
      </c>
      <c r="P810" s="3">
        <f>E810*(VLOOKUP(B810,Price_data!A$1:B$190,2,FALSE))</f>
        <v>683.59800299979997</v>
      </c>
      <c r="Q810" s="3">
        <f>G810*(VLOOKUP(B810,Price_data!A$1:B$190,2,FALSE))</f>
        <v>109.4137528358</v>
      </c>
      <c r="R810" s="3">
        <f>I810*(VLOOKUP(B810,Price_data!A$1:B$190,2,FALSE))</f>
        <v>683.01142309890008</v>
      </c>
      <c r="S810" s="4" t="str">
        <f>(VLOOKUP(B810,Price_data!A$1:C$190,3,FALSE))</f>
        <v>Open access</v>
      </c>
      <c r="T810" s="2">
        <f>IF(C810="Total", (VLOOKUP(B810,Recommended_fish_intake!A$4:D$122,4,FALSE)), "NA")</f>
        <v>703.96574866799995</v>
      </c>
      <c r="U810" s="2" t="str">
        <f t="shared" si="102"/>
        <v>NA</v>
      </c>
    </row>
    <row r="811" spans="1:21" ht="14.25" customHeight="1">
      <c r="A811" s="2" t="s">
        <v>18</v>
      </c>
      <c r="B811" s="2">
        <v>1966</v>
      </c>
      <c r="C811" s="2" t="s">
        <v>16</v>
      </c>
      <c r="D811" s="3">
        <f t="shared" si="103"/>
        <v>525.24893314367</v>
      </c>
      <c r="E811" s="3">
        <f t="shared" si="104"/>
        <v>40.768000000000001</v>
      </c>
      <c r="F811" s="3" t="e">
        <f t="shared" si="105"/>
        <v>#N/A</v>
      </c>
      <c r="G811" s="3" t="e">
        <f t="shared" si="106"/>
        <v>#N/A</v>
      </c>
      <c r="H811" s="3" t="e">
        <f t="shared" si="107"/>
        <v>#N/A</v>
      </c>
      <c r="I811" s="3" t="e">
        <f t="shared" si="108"/>
        <v>#N/A</v>
      </c>
      <c r="J811" s="3">
        <v>525248.93314366997</v>
      </c>
      <c r="K811" s="3">
        <v>40768</v>
      </c>
      <c r="L811" s="3" t="e">
        <v>#N/A</v>
      </c>
      <c r="M811" s="3" t="e">
        <v>#N/A</v>
      </c>
      <c r="N811" s="3" t="e">
        <v>#N/A</v>
      </c>
      <c r="O811" s="3" t="e">
        <v>#N/A</v>
      </c>
      <c r="P811" s="3">
        <f>E811*(VLOOKUP(B811,Price_data!A$1:B$190,2,FALSE))</f>
        <v>451.20168679040006</v>
      </c>
      <c r="Q811" s="3" t="e">
        <f>G811*(VLOOKUP(B811,Price_data!A$1:B$190,2,FALSE))</f>
        <v>#N/A</v>
      </c>
      <c r="R811" s="3" t="e">
        <f>I811*(VLOOKUP(B811,Price_data!A$1:B$190,2,FALSE))</f>
        <v>#N/A</v>
      </c>
      <c r="S811" s="4" t="str">
        <f>(VLOOKUP(B811,Price_data!A$1:C$190,3,FALSE))</f>
        <v>Open access</v>
      </c>
      <c r="T811" s="2">
        <f>IF(C811="Total", (VLOOKUP(B811,Recommended_fish_intake!A$4:D$122,4,FALSE)), "NA")</f>
        <v>703.96574866799995</v>
      </c>
      <c r="U811" s="2" t="str">
        <f t="shared" si="102"/>
        <v>NA</v>
      </c>
    </row>
    <row r="812" spans="1:21" ht="14.25" customHeight="1">
      <c r="A812" s="2" t="s">
        <v>39</v>
      </c>
      <c r="B812" s="2">
        <v>1966</v>
      </c>
      <c r="C812" s="2" t="s">
        <v>16</v>
      </c>
      <c r="D812" s="3">
        <f t="shared" si="103"/>
        <v>418.00447063604958</v>
      </c>
      <c r="E812" s="3">
        <f t="shared" si="104"/>
        <v>20.695</v>
      </c>
      <c r="F812" s="3" t="e">
        <f t="shared" si="105"/>
        <v>#N/A</v>
      </c>
      <c r="G812" s="3" t="e">
        <f t="shared" si="106"/>
        <v>#N/A</v>
      </c>
      <c r="H812" s="3" t="e">
        <f t="shared" si="107"/>
        <v>#N/A</v>
      </c>
      <c r="I812" s="3" t="e">
        <f t="shared" si="108"/>
        <v>#N/A</v>
      </c>
      <c r="J812" s="3">
        <v>418004.47063604958</v>
      </c>
      <c r="K812" s="3">
        <v>20695</v>
      </c>
      <c r="L812" s="3" t="e">
        <v>#N/A</v>
      </c>
      <c r="M812" s="3" t="e">
        <v>#N/A</v>
      </c>
      <c r="N812" s="3" t="e">
        <v>#N/A</v>
      </c>
      <c r="O812" s="3" t="e">
        <v>#N/A</v>
      </c>
      <c r="P812" s="3">
        <f>E812*(VLOOKUP(B812,Price_data!A$1:B$190,2,FALSE))</f>
        <v>229.04284998350002</v>
      </c>
      <c r="Q812" s="3" t="e">
        <f>G812*(VLOOKUP(B812,Price_data!A$1:B$190,2,FALSE))</f>
        <v>#N/A</v>
      </c>
      <c r="R812" s="3" t="e">
        <f>I812*(VLOOKUP(B812,Price_data!A$1:B$190,2,FALSE))</f>
        <v>#N/A</v>
      </c>
      <c r="S812" s="4" t="str">
        <f>(VLOOKUP(B812,Price_data!A$1:C$190,3,FALSE))</f>
        <v>Open access</v>
      </c>
      <c r="T812" s="2">
        <f>IF(C812="Total", (VLOOKUP(B812,Recommended_fish_intake!A$4:D$122,4,FALSE)), "NA")</f>
        <v>703.96574866799995</v>
      </c>
      <c r="U812" s="2" t="str">
        <f t="shared" si="102"/>
        <v>NA</v>
      </c>
    </row>
    <row r="813" spans="1:21" ht="14.25" customHeight="1">
      <c r="A813" s="2" t="s">
        <v>40</v>
      </c>
      <c r="B813" s="2">
        <v>1966</v>
      </c>
      <c r="C813" s="2" t="s">
        <v>16</v>
      </c>
      <c r="D813" s="3">
        <f t="shared" si="103"/>
        <v>6.7567567567567561</v>
      </c>
      <c r="E813" s="3">
        <f t="shared" si="104"/>
        <v>0.30299999999999999</v>
      </c>
      <c r="F813" s="3" t="e">
        <f t="shared" si="105"/>
        <v>#N/A</v>
      </c>
      <c r="G813" s="3" t="e">
        <f t="shared" si="106"/>
        <v>#N/A</v>
      </c>
      <c r="H813" s="3" t="e">
        <f t="shared" si="107"/>
        <v>#N/A</v>
      </c>
      <c r="I813" s="3" t="e">
        <f t="shared" si="108"/>
        <v>#N/A</v>
      </c>
      <c r="J813" s="3">
        <v>6756.7567567567557</v>
      </c>
      <c r="K813" s="3">
        <v>303</v>
      </c>
      <c r="L813" s="3" t="e">
        <v>#N/A</v>
      </c>
      <c r="M813" s="3" t="e">
        <v>#N/A</v>
      </c>
      <c r="N813" s="3" t="e">
        <v>#N/A</v>
      </c>
      <c r="O813" s="3" t="e">
        <v>#N/A</v>
      </c>
      <c r="P813" s="3">
        <f>E813*(VLOOKUP(B813,Price_data!A$1:B$190,2,FALSE))</f>
        <v>3.3534662259000001</v>
      </c>
      <c r="Q813" s="3" t="e">
        <f>G813*(VLOOKUP(B813,Price_data!A$1:B$190,2,FALSE))</f>
        <v>#N/A</v>
      </c>
      <c r="R813" s="3" t="e">
        <f>I813*(VLOOKUP(B813,Price_data!A$1:B$190,2,FALSE))</f>
        <v>#N/A</v>
      </c>
      <c r="S813" s="4" t="str">
        <f>(VLOOKUP(B813,Price_data!A$1:C$190,3,FALSE))</f>
        <v>Open access</v>
      </c>
      <c r="T813" s="2">
        <f>IF(C813="Total", (VLOOKUP(B813,Recommended_fish_intake!A$4:D$122,4,FALSE)), "NA")</f>
        <v>703.96574866799995</v>
      </c>
      <c r="U813" s="2" t="str">
        <f t="shared" si="102"/>
        <v>NA</v>
      </c>
    </row>
    <row r="814" spans="1:21" ht="14.25" customHeight="1">
      <c r="A814" s="2" t="s">
        <v>15</v>
      </c>
      <c r="B814" s="2">
        <v>1966</v>
      </c>
      <c r="C814" s="2" t="s">
        <v>22</v>
      </c>
      <c r="D814" s="3">
        <f t="shared" si="103"/>
        <v>325.79760211339158</v>
      </c>
      <c r="E814" s="3">
        <f t="shared" si="104"/>
        <v>25.103999999999999</v>
      </c>
      <c r="F814" s="3" t="e">
        <f t="shared" si="105"/>
        <v>#N/A</v>
      </c>
      <c r="G814" s="3" t="e">
        <f t="shared" si="106"/>
        <v>#N/A</v>
      </c>
      <c r="H814" s="3">
        <f t="shared" si="107"/>
        <v>37.593984962406019</v>
      </c>
      <c r="I814" s="3">
        <f t="shared" si="108"/>
        <v>4.6840000000000002</v>
      </c>
      <c r="J814" s="3">
        <v>325797.60211339156</v>
      </c>
      <c r="K814" s="3">
        <v>25104</v>
      </c>
      <c r="L814" s="3" t="e">
        <v>#N/A</v>
      </c>
      <c r="M814" s="3" t="e">
        <v>#N/A</v>
      </c>
      <c r="N814" s="3">
        <v>37593.984962406015</v>
      </c>
      <c r="O814" s="3">
        <v>4684</v>
      </c>
      <c r="P814" s="3">
        <f>E814*(VLOOKUP(B814,Price_data!A$1:B$190,2,FALSE))</f>
        <v>277.83965721120001</v>
      </c>
      <c r="Q814" s="3" t="e">
        <f>G814*(VLOOKUP(B814,Price_data!A$1:B$190,2,FALSE))</f>
        <v>#N/A</v>
      </c>
      <c r="R814" s="3">
        <f>I814*(VLOOKUP(B814,Price_data!A$1:B$190,2,FALSE))</f>
        <v>51.840382185200006</v>
      </c>
      <c r="S814" s="4" t="str">
        <f>(VLOOKUP(B814,Price_data!A$1:C$190,3,FALSE))</f>
        <v>Open access</v>
      </c>
      <c r="T814" s="2" t="str">
        <f>IF(C814="Total", (VLOOKUP(B814,Recommended_fish_intake!A$4:D$122,4,FALSE)), "NA")</f>
        <v>NA</v>
      </c>
      <c r="U814" s="2" t="str">
        <f t="shared" si="102"/>
        <v>NA</v>
      </c>
    </row>
    <row r="815" spans="1:21" ht="14.25" customHeight="1">
      <c r="A815" s="2" t="s">
        <v>15</v>
      </c>
      <c r="B815" s="2">
        <v>1966</v>
      </c>
      <c r="C815" s="2" t="s">
        <v>23</v>
      </c>
      <c r="D815" s="3">
        <f t="shared" si="103"/>
        <v>152.20483641536273</v>
      </c>
      <c r="E815" s="3">
        <f t="shared" si="104"/>
        <v>10.832000000000001</v>
      </c>
      <c r="F815" s="3" t="e">
        <f t="shared" si="105"/>
        <v>#N/A</v>
      </c>
      <c r="G815" s="3" t="e">
        <f t="shared" si="106"/>
        <v>#N/A</v>
      </c>
      <c r="H815" s="3">
        <f t="shared" si="107"/>
        <v>13.513513513513512</v>
      </c>
      <c r="I815" s="3">
        <f t="shared" si="108"/>
        <v>1.788</v>
      </c>
      <c r="J815" s="3">
        <v>152204.83641536275</v>
      </c>
      <c r="K815" s="3">
        <v>10832</v>
      </c>
      <c r="L815" s="3" t="e">
        <v>#N/A</v>
      </c>
      <c r="M815" s="3" t="e">
        <v>#N/A</v>
      </c>
      <c r="N815" s="3">
        <v>13513.513513513511</v>
      </c>
      <c r="O815" s="3">
        <v>1788</v>
      </c>
      <c r="P815" s="3">
        <f>E815*(VLOOKUP(B815,Price_data!A$1:B$190,2,FALSE))</f>
        <v>119.88365068960002</v>
      </c>
      <c r="Q815" s="3" t="e">
        <f>G815*(VLOOKUP(B815,Price_data!A$1:B$190,2,FALSE))</f>
        <v>#N/A</v>
      </c>
      <c r="R815" s="3">
        <f>I815*(VLOOKUP(B815,Price_data!A$1:B$190,2,FALSE))</f>
        <v>19.7887709964</v>
      </c>
      <c r="S815" s="4" t="str">
        <f>(VLOOKUP(B815,Price_data!A$1:C$190,3,FALSE))</f>
        <v>Open access</v>
      </c>
      <c r="T815" s="2" t="str">
        <f>IF(C815="Total", (VLOOKUP(B815,Recommended_fish_intake!A$4:D$122,4,FALSE)), "NA")</f>
        <v>NA</v>
      </c>
      <c r="U815" s="2" t="str">
        <f t="shared" si="102"/>
        <v>NA</v>
      </c>
    </row>
    <row r="816" spans="1:21" ht="14.25" customHeight="1">
      <c r="A816" s="2" t="s">
        <v>15</v>
      </c>
      <c r="B816" s="2">
        <v>1966</v>
      </c>
      <c r="C816" s="2" t="s">
        <v>25</v>
      </c>
      <c r="D816" s="3">
        <f t="shared" si="103"/>
        <v>40.438935175777281</v>
      </c>
      <c r="E816" s="3">
        <f t="shared" si="104"/>
        <v>5.9749999999999996</v>
      </c>
      <c r="F816" s="3" t="e">
        <f t="shared" si="105"/>
        <v>#N/A</v>
      </c>
      <c r="G816" s="3" t="e">
        <f t="shared" si="106"/>
        <v>#N/A</v>
      </c>
      <c r="H816" s="3">
        <f t="shared" si="107"/>
        <v>13.513513513513512</v>
      </c>
      <c r="I816" s="3">
        <f t="shared" si="108"/>
        <v>2.698</v>
      </c>
      <c r="J816" s="3">
        <v>40438.935175777282</v>
      </c>
      <c r="K816" s="3">
        <v>5975</v>
      </c>
      <c r="L816" s="3" t="e">
        <v>#N/A</v>
      </c>
      <c r="M816" s="3" t="e">
        <v>#N/A</v>
      </c>
      <c r="N816" s="3">
        <v>13513.513513513511</v>
      </c>
      <c r="O816" s="3">
        <v>2698</v>
      </c>
      <c r="P816" s="3">
        <f>E816*(VLOOKUP(B816,Price_data!A$1:B$190,2,FALSE))</f>
        <v>66.128583167499997</v>
      </c>
      <c r="Q816" s="3" t="e">
        <f>G816*(VLOOKUP(B816,Price_data!A$1:B$190,2,FALSE))</f>
        <v>#N/A</v>
      </c>
      <c r="R816" s="3">
        <f>I816*(VLOOKUP(B816,Price_data!A$1:B$190,2,FALSE))</f>
        <v>29.860237219400002</v>
      </c>
      <c r="S816" s="4" t="str">
        <f>(VLOOKUP(B816,Price_data!A$1:C$190,3,FALSE))</f>
        <v>Open access</v>
      </c>
      <c r="T816" s="2" t="str">
        <f>IF(C816="Total", (VLOOKUP(B816,Recommended_fish_intake!A$4:D$122,4,FALSE)), "NA")</f>
        <v>NA</v>
      </c>
      <c r="U816" s="2" t="str">
        <f t="shared" si="102"/>
        <v>NA</v>
      </c>
    </row>
    <row r="817" spans="1:21" ht="14.25" customHeight="1">
      <c r="A817" s="2" t="s">
        <v>15</v>
      </c>
      <c r="B817" s="2">
        <v>1966</v>
      </c>
      <c r="C817" s="2" t="s">
        <v>24</v>
      </c>
      <c r="D817" s="3">
        <f t="shared" si="103"/>
        <v>54.104856736435678</v>
      </c>
      <c r="E817" s="3">
        <f t="shared" si="104"/>
        <v>2.5489999999999999</v>
      </c>
      <c r="F817" s="3" t="e">
        <f t="shared" si="105"/>
        <v>#N/A</v>
      </c>
      <c r="G817" s="3" t="e">
        <f t="shared" si="106"/>
        <v>#N/A</v>
      </c>
      <c r="H817" s="3" t="e">
        <f t="shared" si="107"/>
        <v>#N/A</v>
      </c>
      <c r="I817" s="3" t="e">
        <f t="shared" si="108"/>
        <v>#N/A</v>
      </c>
      <c r="J817" s="3">
        <v>54104.856736435679</v>
      </c>
      <c r="K817" s="3">
        <v>2549</v>
      </c>
      <c r="L817" s="3" t="e">
        <v>#N/A</v>
      </c>
      <c r="M817" s="3" t="e">
        <v>#N/A</v>
      </c>
      <c r="N817" s="3" t="e">
        <v>#N/A</v>
      </c>
      <c r="O817" s="3" t="e">
        <v>#N/A</v>
      </c>
      <c r="P817" s="3">
        <f>E817*(VLOOKUP(B817,Price_data!A$1:B$190,2,FALSE))</f>
        <v>28.211172969700002</v>
      </c>
      <c r="Q817" s="3" t="e">
        <f>G817*(VLOOKUP(B817,Price_data!A$1:B$190,2,FALSE))</f>
        <v>#N/A</v>
      </c>
      <c r="R817" s="3" t="e">
        <f>I817*(VLOOKUP(B817,Price_data!A$1:B$190,2,FALSE))</f>
        <v>#N/A</v>
      </c>
      <c r="S817" s="4" t="str">
        <f>(VLOOKUP(B817,Price_data!A$1:C$190,3,FALSE))</f>
        <v>Open access</v>
      </c>
      <c r="T817" s="2" t="str">
        <f>IF(C817="Total", (VLOOKUP(B817,Recommended_fish_intake!A$4:D$122,4,FALSE)), "NA")</f>
        <v>NA</v>
      </c>
      <c r="U817" s="2" t="str">
        <f t="shared" si="102"/>
        <v>NA</v>
      </c>
    </row>
    <row r="818" spans="1:21" ht="14.25" customHeight="1">
      <c r="A818" s="2" t="s">
        <v>15</v>
      </c>
      <c r="B818" s="2">
        <v>1966</v>
      </c>
      <c r="C818" s="2" t="s">
        <v>19</v>
      </c>
      <c r="D818" s="3">
        <f t="shared" si="103"/>
        <v>115.37289168868115</v>
      </c>
      <c r="E818" s="3">
        <f t="shared" si="104"/>
        <v>2.8759999999999999</v>
      </c>
      <c r="F818" s="3" t="e">
        <f t="shared" si="105"/>
        <v>#N/A</v>
      </c>
      <c r="G818" s="3" t="e">
        <f t="shared" si="106"/>
        <v>#N/A</v>
      </c>
      <c r="H818" s="3">
        <f t="shared" si="107"/>
        <v>7.9760211339158706</v>
      </c>
      <c r="I818" s="3">
        <f t="shared" si="108"/>
        <v>0.45400000000000001</v>
      </c>
      <c r="J818" s="3">
        <v>115372.89168868115</v>
      </c>
      <c r="K818" s="3">
        <v>2876</v>
      </c>
      <c r="L818" s="3" t="e">
        <v>#N/A</v>
      </c>
      <c r="M818" s="3" t="e">
        <v>#N/A</v>
      </c>
      <c r="N818" s="3">
        <v>7976.0211339158705</v>
      </c>
      <c r="O818" s="3">
        <v>454</v>
      </c>
      <c r="P818" s="3">
        <f>E818*(VLOOKUP(B818,Price_data!A$1:B$190,2,FALSE))</f>
        <v>31.830260282800001</v>
      </c>
      <c r="Q818" s="3" t="e">
        <f>G818*(VLOOKUP(B818,Price_data!A$1:B$190,2,FALSE))</f>
        <v>#N/A</v>
      </c>
      <c r="R818" s="3">
        <f>I818*(VLOOKUP(B818,Price_data!A$1:B$190,2,FALSE))</f>
        <v>5.0246655662000004</v>
      </c>
      <c r="S818" s="4" t="str">
        <f>(VLOOKUP(B818,Price_data!A$1:C$190,3,FALSE))</f>
        <v>Open access</v>
      </c>
      <c r="T818" s="2" t="str">
        <f>IF(C818="Total", (VLOOKUP(B818,Recommended_fish_intake!A$4:D$122,4,FALSE)), "NA")</f>
        <v>NA</v>
      </c>
      <c r="U818" s="2" t="str">
        <f t="shared" si="102"/>
        <v>NA</v>
      </c>
    </row>
    <row r="819" spans="1:21" ht="14.25" customHeight="1">
      <c r="A819" s="2" t="s">
        <v>15</v>
      </c>
      <c r="B819" s="2">
        <v>1966</v>
      </c>
      <c r="C819" s="2" t="s">
        <v>21</v>
      </c>
      <c r="D819" s="3">
        <f t="shared" si="103"/>
        <v>79.811014021540331</v>
      </c>
      <c r="E819" s="3">
        <f t="shared" si="104"/>
        <v>0.63500000000000001</v>
      </c>
      <c r="F819" s="3" t="e">
        <f t="shared" si="105"/>
        <v>#N/A</v>
      </c>
      <c r="G819" s="3" t="e">
        <f t="shared" si="106"/>
        <v>#N/A</v>
      </c>
      <c r="H819" s="3" t="e">
        <f t="shared" si="107"/>
        <v>#N/A</v>
      </c>
      <c r="I819" s="3" t="e">
        <f t="shared" si="108"/>
        <v>#N/A</v>
      </c>
      <c r="J819" s="3">
        <v>79811.014021540337</v>
      </c>
      <c r="K819" s="3">
        <v>635</v>
      </c>
      <c r="L819" s="3" t="e">
        <v>#N/A</v>
      </c>
      <c r="M819" s="3" t="e">
        <v>#N/A</v>
      </c>
      <c r="N819" s="3" t="e">
        <v>#N/A</v>
      </c>
      <c r="O819" s="3" t="e">
        <v>#N/A</v>
      </c>
      <c r="P819" s="3">
        <f>E819*(VLOOKUP(B819,Price_data!A$1:B$190,2,FALSE))</f>
        <v>7.027891265500001</v>
      </c>
      <c r="Q819" s="3" t="e">
        <f>G819*(VLOOKUP(B819,Price_data!A$1:B$190,2,FALSE))</f>
        <v>#N/A</v>
      </c>
      <c r="R819" s="3" t="e">
        <f>I819*(VLOOKUP(B819,Price_data!A$1:B$190,2,FALSE))</f>
        <v>#N/A</v>
      </c>
      <c r="S819" s="4" t="str">
        <f>(VLOOKUP(B819,Price_data!A$1:C$190,3,FALSE))</f>
        <v>Open access</v>
      </c>
      <c r="T819" s="2" t="str">
        <f>IF(C819="Total", (VLOOKUP(B819,Recommended_fish_intake!A$4:D$122,4,FALSE)), "NA")</f>
        <v>NA</v>
      </c>
      <c r="U819" s="2" t="str">
        <f t="shared" si="102"/>
        <v>NA</v>
      </c>
    </row>
    <row r="820" spans="1:21" ht="14.25" customHeight="1">
      <c r="A820" s="2" t="s">
        <v>15</v>
      </c>
      <c r="B820" s="2">
        <v>1966</v>
      </c>
      <c r="C820" s="2" t="s">
        <v>34</v>
      </c>
      <c r="D820" s="3">
        <f t="shared" si="103"/>
        <v>1.016053647632595</v>
      </c>
      <c r="E820" s="3">
        <f t="shared" si="104"/>
        <v>0.94899999999999995</v>
      </c>
      <c r="F820" s="3" t="e">
        <f t="shared" si="105"/>
        <v>#N/A</v>
      </c>
      <c r="G820" s="3" t="e">
        <f t="shared" si="106"/>
        <v>#N/A</v>
      </c>
      <c r="H820" s="3">
        <f t="shared" si="107"/>
        <v>0.15240804714488923</v>
      </c>
      <c r="I820" s="3">
        <f t="shared" si="108"/>
        <v>0.188</v>
      </c>
      <c r="J820" s="3">
        <v>1016.053647632595</v>
      </c>
      <c r="K820" s="3">
        <v>949</v>
      </c>
      <c r="L820" s="3" t="e">
        <v>#N/A</v>
      </c>
      <c r="M820" s="3" t="e">
        <v>#N/A</v>
      </c>
      <c r="N820" s="3">
        <v>152.40804714488922</v>
      </c>
      <c r="O820" s="3">
        <v>188</v>
      </c>
      <c r="P820" s="3">
        <f>E820*(VLOOKUP(B820,Price_data!A$1:B$190,2,FALSE))</f>
        <v>10.5031004897</v>
      </c>
      <c r="Q820" s="3" t="e">
        <f>G820*(VLOOKUP(B820,Price_data!A$1:B$190,2,FALSE))</f>
        <v>#N/A</v>
      </c>
      <c r="R820" s="3">
        <f>I820*(VLOOKUP(B820,Price_data!A$1:B$190,2,FALSE))</f>
        <v>2.0806985164</v>
      </c>
      <c r="S820" s="4" t="str">
        <f>(VLOOKUP(B820,Price_data!A$1:C$190,3,FALSE))</f>
        <v>Open access</v>
      </c>
      <c r="T820" s="2" t="str">
        <f>IF(C820="Total", (VLOOKUP(B820,Recommended_fish_intake!A$4:D$122,4,FALSE)), "NA")</f>
        <v>NA</v>
      </c>
      <c r="U820" s="2" t="str">
        <f t="shared" si="102"/>
        <v>NA</v>
      </c>
    </row>
    <row r="821" spans="1:21" ht="14.25" customHeight="1">
      <c r="A821" s="2" t="s">
        <v>15</v>
      </c>
      <c r="B821" s="2">
        <v>1966</v>
      </c>
      <c r="C821" s="2" t="s">
        <v>35</v>
      </c>
      <c r="D821" s="3">
        <f t="shared" si="103"/>
        <v>8.7888640520219461</v>
      </c>
      <c r="E821" s="3">
        <f t="shared" si="104"/>
        <v>1.476</v>
      </c>
      <c r="F821" s="3" t="e">
        <f t="shared" si="105"/>
        <v>#N/A</v>
      </c>
      <c r="G821" s="3" t="e">
        <f t="shared" si="106"/>
        <v>#N/A</v>
      </c>
      <c r="H821" s="3" t="e">
        <f t="shared" si="107"/>
        <v>#N/A</v>
      </c>
      <c r="I821" s="3" t="e">
        <f t="shared" si="108"/>
        <v>#N/A</v>
      </c>
      <c r="J821" s="3">
        <v>8788.8640520219469</v>
      </c>
      <c r="K821" s="3">
        <v>1476</v>
      </c>
      <c r="L821" s="3" t="e">
        <v>#N/A</v>
      </c>
      <c r="M821" s="3" t="e">
        <v>#N/A</v>
      </c>
      <c r="N821" s="3" t="e">
        <v>#N/A</v>
      </c>
      <c r="O821" s="3" t="e">
        <v>#N/A</v>
      </c>
      <c r="P821" s="3">
        <f>E821*(VLOOKUP(B821,Price_data!A$1:B$190,2,FALSE))</f>
        <v>16.335696862800003</v>
      </c>
      <c r="Q821" s="3" t="e">
        <f>G821*(VLOOKUP(B821,Price_data!A$1:B$190,2,FALSE))</f>
        <v>#N/A</v>
      </c>
      <c r="R821" s="3" t="e">
        <f>I821*(VLOOKUP(B821,Price_data!A$1:B$190,2,FALSE))</f>
        <v>#N/A</v>
      </c>
      <c r="S821" s="4" t="str">
        <f>(VLOOKUP(B821,Price_data!A$1:C$190,3,FALSE))</f>
        <v>Open access</v>
      </c>
      <c r="T821" s="2" t="str">
        <f>IF(C821="Total", (VLOOKUP(B821,Recommended_fish_intake!A$4:D$122,4,FALSE)), "NA")</f>
        <v>NA</v>
      </c>
      <c r="U821" s="2" t="str">
        <f t="shared" si="102"/>
        <v>NA</v>
      </c>
    </row>
    <row r="822" spans="1:21" ht="14.25" customHeight="1">
      <c r="A822" s="2" t="s">
        <v>15</v>
      </c>
      <c r="B822" s="2">
        <v>1966</v>
      </c>
      <c r="C822" s="2" t="s">
        <v>30</v>
      </c>
      <c r="D822" s="3">
        <f t="shared" si="103"/>
        <v>1.4732777890672626</v>
      </c>
      <c r="E822" s="3">
        <f t="shared" si="104"/>
        <v>0.219</v>
      </c>
      <c r="F822" s="3" t="e">
        <f t="shared" si="105"/>
        <v>#N/A</v>
      </c>
      <c r="G822" s="3" t="e">
        <f t="shared" si="106"/>
        <v>#N/A</v>
      </c>
      <c r="H822" s="3">
        <f t="shared" si="107"/>
        <v>2.9465555781345252</v>
      </c>
      <c r="I822" s="3">
        <f t="shared" si="108"/>
        <v>2.214</v>
      </c>
      <c r="J822" s="3">
        <v>1473.2777890672626</v>
      </c>
      <c r="K822" s="3">
        <v>219</v>
      </c>
      <c r="L822" s="3" t="e">
        <v>#N/A</v>
      </c>
      <c r="M822" s="3" t="e">
        <v>#N/A</v>
      </c>
      <c r="N822" s="3">
        <v>2946.5555781345251</v>
      </c>
      <c r="O822" s="3">
        <v>2214</v>
      </c>
      <c r="P822" s="3">
        <f>E822*(VLOOKUP(B822,Price_data!A$1:B$190,2,FALSE))</f>
        <v>2.4237924207000003</v>
      </c>
      <c r="Q822" s="3" t="e">
        <f>G822*(VLOOKUP(B822,Price_data!A$1:B$190,2,FALSE))</f>
        <v>#N/A</v>
      </c>
      <c r="R822" s="3">
        <f>I822*(VLOOKUP(B822,Price_data!A$1:B$190,2,FALSE))</f>
        <v>24.503545294200002</v>
      </c>
      <c r="S822" s="4" t="str">
        <f>(VLOOKUP(B822,Price_data!A$1:C$190,3,FALSE))</f>
        <v>Open access</v>
      </c>
      <c r="T822" s="2" t="str">
        <f>IF(C822="Total", (VLOOKUP(B822,Recommended_fish_intake!A$4:D$122,4,FALSE)), "NA")</f>
        <v>NA</v>
      </c>
      <c r="U822" s="2" t="str">
        <f t="shared" si="102"/>
        <v>NA</v>
      </c>
    </row>
    <row r="823" spans="1:21" ht="14.25" customHeight="1">
      <c r="A823" s="2" t="s">
        <v>15</v>
      </c>
      <c r="B823" s="2">
        <v>1966</v>
      </c>
      <c r="C823" s="2" t="s">
        <v>36</v>
      </c>
      <c r="D823" s="3">
        <f t="shared" si="103"/>
        <v>4.7246494614915662</v>
      </c>
      <c r="E823" s="3">
        <f t="shared" si="104"/>
        <v>0.39500000000000002</v>
      </c>
      <c r="F823" s="3" t="e">
        <f t="shared" si="105"/>
        <v>#N/A</v>
      </c>
      <c r="G823" s="3" t="e">
        <f t="shared" si="106"/>
        <v>#N/A</v>
      </c>
      <c r="H823" s="3">
        <f t="shared" si="107"/>
        <v>1.7272912009754113</v>
      </c>
      <c r="I823" s="3">
        <f t="shared" si="108"/>
        <v>1.9239999999999999</v>
      </c>
      <c r="J823" s="3">
        <v>4724.6494614915664</v>
      </c>
      <c r="K823" s="3">
        <v>395</v>
      </c>
      <c r="L823" s="3" t="e">
        <v>#N/A</v>
      </c>
      <c r="M823" s="3" t="e">
        <v>#N/A</v>
      </c>
      <c r="N823" s="3">
        <v>1727.2912009754114</v>
      </c>
      <c r="O823" s="3">
        <v>1924</v>
      </c>
      <c r="P823" s="3">
        <f>E823*(VLOOKUP(B823,Price_data!A$1:B$190,2,FALSE))</f>
        <v>4.3716803935000002</v>
      </c>
      <c r="Q823" s="3" t="e">
        <f>G823*(VLOOKUP(B823,Price_data!A$1:B$190,2,FALSE))</f>
        <v>#N/A</v>
      </c>
      <c r="R823" s="3">
        <f>I823*(VLOOKUP(B823,Price_data!A$1:B$190,2,FALSE))</f>
        <v>21.293957157200001</v>
      </c>
      <c r="S823" s="4" t="str">
        <f>(VLOOKUP(B823,Price_data!A$1:C$190,3,FALSE))</f>
        <v>Open access</v>
      </c>
      <c r="T823" s="2" t="str">
        <f>IF(C823="Total", (VLOOKUP(B823,Recommended_fish_intake!A$4:D$122,4,FALSE)), "NA")</f>
        <v>NA</v>
      </c>
      <c r="U823" s="2" t="str">
        <f t="shared" si="102"/>
        <v>NA</v>
      </c>
    </row>
    <row r="824" spans="1:21" ht="14.25" customHeight="1">
      <c r="A824" s="2" t="s">
        <v>15</v>
      </c>
      <c r="B824" s="2">
        <v>1966</v>
      </c>
      <c r="C824" s="2" t="s">
        <v>28</v>
      </c>
      <c r="D824" s="3">
        <f t="shared" si="103"/>
        <v>34.088599878073559</v>
      </c>
      <c r="E824" s="3">
        <f t="shared" si="104"/>
        <v>3.63</v>
      </c>
      <c r="F824" s="3">
        <f t="shared" si="105"/>
        <v>1.625685836212152</v>
      </c>
      <c r="G824" s="3">
        <f t="shared" si="106"/>
        <v>1.07</v>
      </c>
      <c r="H824" s="3">
        <f t="shared" si="107"/>
        <v>15.850436903068481</v>
      </c>
      <c r="I824" s="3">
        <f t="shared" si="108"/>
        <v>11.189</v>
      </c>
      <c r="J824" s="3">
        <v>34088.599878073561</v>
      </c>
      <c r="K824" s="3">
        <v>3630</v>
      </c>
      <c r="L824" s="3">
        <v>1625.685836212152</v>
      </c>
      <c r="M824" s="3">
        <v>1070</v>
      </c>
      <c r="N824" s="3">
        <v>15850.436903068481</v>
      </c>
      <c r="O824" s="3">
        <v>11189</v>
      </c>
      <c r="P824" s="3">
        <f>E824*(VLOOKUP(B824,Price_data!A$1:B$190,2,FALSE))</f>
        <v>40.175189439</v>
      </c>
      <c r="Q824" s="3">
        <f>G824*(VLOOKUP(B824,Price_data!A$1:B$190,2,FALSE))</f>
        <v>11.842273471000002</v>
      </c>
      <c r="R824" s="3">
        <f>I824*(VLOOKUP(B824,Price_data!A$1:B$190,2,FALSE))</f>
        <v>123.83476436170001</v>
      </c>
      <c r="S824" s="4" t="str">
        <f>(VLOOKUP(B824,Price_data!A$1:C$190,3,FALSE))</f>
        <v>Open access</v>
      </c>
      <c r="T824" s="2" t="str">
        <f>IF(C824="Total", (VLOOKUP(B824,Recommended_fish_intake!A$4:D$122,4,FALSE)), "NA")</f>
        <v>NA</v>
      </c>
      <c r="U824" s="2">
        <f t="shared" si="102"/>
        <v>9.5448079658605973</v>
      </c>
    </row>
    <row r="825" spans="1:21" ht="14.25" customHeight="1">
      <c r="A825" s="2" t="s">
        <v>15</v>
      </c>
      <c r="B825" s="2">
        <v>1966</v>
      </c>
      <c r="C825" s="2" t="s">
        <v>37</v>
      </c>
      <c r="D825" s="3">
        <f t="shared" si="103"/>
        <v>915.92156065840277</v>
      </c>
      <c r="E825" s="3">
        <f t="shared" si="104"/>
        <v>58.136000000000003</v>
      </c>
      <c r="F825" s="3">
        <f t="shared" si="105"/>
        <v>75.695996748628318</v>
      </c>
      <c r="G825" s="3">
        <f t="shared" si="106"/>
        <v>8.8160000000000007</v>
      </c>
      <c r="H825" s="3">
        <f t="shared" si="107"/>
        <v>190.10363747205852</v>
      </c>
      <c r="I825" s="3">
        <f t="shared" si="108"/>
        <v>50.524000000000001</v>
      </c>
      <c r="J825" s="3">
        <v>915921.56065840274</v>
      </c>
      <c r="K825" s="3">
        <v>58136</v>
      </c>
      <c r="L825" s="3">
        <v>75695.996748628313</v>
      </c>
      <c r="M825" s="3">
        <v>8816</v>
      </c>
      <c r="N825" s="3">
        <v>190103.63747205853</v>
      </c>
      <c r="O825" s="3">
        <v>50524</v>
      </c>
      <c r="P825" s="3">
        <f>E825*(VLOOKUP(B825,Price_data!A$1:B$190,2,FALSE))</f>
        <v>643.42281356080002</v>
      </c>
      <c r="Q825" s="3">
        <f>G825*(VLOOKUP(B825,Price_data!A$1:B$190,2,FALSE))</f>
        <v>97.571479364800012</v>
      </c>
      <c r="R825" s="3">
        <f>I825*(VLOOKUP(B825,Price_data!A$1:B$190,2,FALSE))</f>
        <v>559.1766587372</v>
      </c>
      <c r="S825" s="4" t="str">
        <f>(VLOOKUP(B825,Price_data!A$1:C$190,3,FALSE))</f>
        <v>Open access</v>
      </c>
      <c r="T825" s="2" t="str">
        <f>IF(C825="Total", (VLOOKUP(B825,Recommended_fish_intake!A$4:D$122,4,FALSE)), "NA")</f>
        <v>NA</v>
      </c>
      <c r="U825" s="2">
        <f t="shared" si="102"/>
        <v>448.80156472261734</v>
      </c>
    </row>
    <row r="826" spans="1:21" ht="14.25" customHeight="1">
      <c r="A826" s="2" t="s">
        <v>18</v>
      </c>
      <c r="B826" s="2">
        <v>1966</v>
      </c>
      <c r="C826" s="2" t="s">
        <v>22</v>
      </c>
      <c r="D826" s="3">
        <f t="shared" si="103"/>
        <v>278.60191018085754</v>
      </c>
      <c r="E826" s="3">
        <f t="shared" si="104"/>
        <v>21.31</v>
      </c>
      <c r="F826" s="3" t="e">
        <f t="shared" si="105"/>
        <v>#N/A</v>
      </c>
      <c r="G826" s="3" t="e">
        <f t="shared" si="106"/>
        <v>#N/A</v>
      </c>
      <c r="H826" s="3" t="e">
        <f t="shared" si="107"/>
        <v>#N/A</v>
      </c>
      <c r="I826" s="3" t="e">
        <f t="shared" si="108"/>
        <v>#N/A</v>
      </c>
      <c r="J826" s="3">
        <v>278601.91018085752</v>
      </c>
      <c r="K826" s="3">
        <v>21310</v>
      </c>
      <c r="L826" s="3" t="e">
        <v>#N/A</v>
      </c>
      <c r="M826" s="3" t="e">
        <v>#N/A</v>
      </c>
      <c r="N826" s="3" t="e">
        <v>#N/A</v>
      </c>
      <c r="O826" s="3" t="e">
        <v>#N/A</v>
      </c>
      <c r="P826" s="3">
        <f>E826*(VLOOKUP(B826,Price_data!A$1:B$190,2,FALSE))</f>
        <v>235.84939034300001</v>
      </c>
      <c r="Q826" s="3" t="e">
        <f>G826*(VLOOKUP(B826,Price_data!A$1:B$190,2,FALSE))</f>
        <v>#N/A</v>
      </c>
      <c r="R826" s="3" t="e">
        <f>I826*(VLOOKUP(B826,Price_data!A$1:B$190,2,FALSE))</f>
        <v>#N/A</v>
      </c>
      <c r="S826" s="4" t="str">
        <f>(VLOOKUP(B826,Price_data!A$1:C$190,3,FALSE))</f>
        <v>Open access</v>
      </c>
      <c r="T826" s="2" t="str">
        <f>IF(C826="Total", (VLOOKUP(B826,Recommended_fish_intake!A$4:D$122,4,FALSE)), "NA")</f>
        <v>NA</v>
      </c>
      <c r="U826" s="2" t="str">
        <f t="shared" si="102"/>
        <v>NA</v>
      </c>
    </row>
    <row r="827" spans="1:21" ht="14.25" customHeight="1">
      <c r="A827" s="2" t="s">
        <v>18</v>
      </c>
      <c r="B827" s="2">
        <v>1966</v>
      </c>
      <c r="C827" s="2" t="s">
        <v>23</v>
      </c>
      <c r="D827" s="3">
        <f t="shared" si="103"/>
        <v>55.578134525502946</v>
      </c>
      <c r="E827" s="3">
        <f t="shared" si="104"/>
        <v>4.8010000000000002</v>
      </c>
      <c r="F827" s="3" t="e">
        <f t="shared" si="105"/>
        <v>#N/A</v>
      </c>
      <c r="G827" s="3" t="e">
        <f t="shared" si="106"/>
        <v>#N/A</v>
      </c>
      <c r="H827" s="3" t="e">
        <f t="shared" si="107"/>
        <v>#N/A</v>
      </c>
      <c r="I827" s="3" t="e">
        <f t="shared" si="108"/>
        <v>#N/A</v>
      </c>
      <c r="J827" s="3">
        <v>55578.134525502945</v>
      </c>
      <c r="K827" s="3">
        <v>4801</v>
      </c>
      <c r="L827" s="3" t="e">
        <v>#N/A</v>
      </c>
      <c r="M827" s="3" t="e">
        <v>#N/A</v>
      </c>
      <c r="N827" s="3" t="e">
        <v>#N/A</v>
      </c>
      <c r="O827" s="3" t="e">
        <v>#N/A</v>
      </c>
      <c r="P827" s="3">
        <f>E827*(VLOOKUP(B827,Price_data!A$1:B$190,2,FALSE))</f>
        <v>53.135284985300004</v>
      </c>
      <c r="Q827" s="3" t="e">
        <f>G827*(VLOOKUP(B827,Price_data!A$1:B$190,2,FALSE))</f>
        <v>#N/A</v>
      </c>
      <c r="R827" s="3" t="e">
        <f>I827*(VLOOKUP(B827,Price_data!A$1:B$190,2,FALSE))</f>
        <v>#N/A</v>
      </c>
      <c r="S827" s="4" t="str">
        <f>(VLOOKUP(B827,Price_data!A$1:C$190,3,FALSE))</f>
        <v>Open access</v>
      </c>
      <c r="T827" s="2" t="str">
        <f>IF(C827="Total", (VLOOKUP(B827,Recommended_fish_intake!A$4:D$122,4,FALSE)), "NA")</f>
        <v>NA</v>
      </c>
      <c r="U827" s="2" t="str">
        <f t="shared" si="102"/>
        <v>NA</v>
      </c>
    </row>
    <row r="828" spans="1:21" ht="14.25" customHeight="1">
      <c r="A828" s="2" t="s">
        <v>18</v>
      </c>
      <c r="B828" s="2">
        <v>1966</v>
      </c>
      <c r="C828" s="2" t="s">
        <v>25</v>
      </c>
      <c r="D828" s="3">
        <f t="shared" si="103"/>
        <v>33.9869945133103</v>
      </c>
      <c r="E828" s="3">
        <f t="shared" si="104"/>
        <v>5.125</v>
      </c>
      <c r="F828" s="3" t="e">
        <f t="shared" si="105"/>
        <v>#N/A</v>
      </c>
      <c r="G828" s="3" t="e">
        <f t="shared" si="106"/>
        <v>#N/A</v>
      </c>
      <c r="H828" s="3" t="e">
        <f t="shared" si="107"/>
        <v>#N/A</v>
      </c>
      <c r="I828" s="3" t="e">
        <f t="shared" si="108"/>
        <v>#N/A</v>
      </c>
      <c r="J828" s="3">
        <v>33986.994513310303</v>
      </c>
      <c r="K828" s="3">
        <v>5125</v>
      </c>
      <c r="L828" s="3" t="e">
        <v>#N/A</v>
      </c>
      <c r="M828" s="3" t="e">
        <v>#N/A</v>
      </c>
      <c r="N828" s="3" t="e">
        <v>#N/A</v>
      </c>
      <c r="O828" s="3" t="e">
        <v>#N/A</v>
      </c>
      <c r="P828" s="3">
        <f>E828*(VLOOKUP(B828,Price_data!A$1:B$190,2,FALSE))</f>
        <v>56.721169662500003</v>
      </c>
      <c r="Q828" s="3" t="e">
        <f>G828*(VLOOKUP(B828,Price_data!A$1:B$190,2,FALSE))</f>
        <v>#N/A</v>
      </c>
      <c r="R828" s="3" t="e">
        <f>I828*(VLOOKUP(B828,Price_data!A$1:B$190,2,FALSE))</f>
        <v>#N/A</v>
      </c>
      <c r="S828" s="4" t="str">
        <f>(VLOOKUP(B828,Price_data!A$1:C$190,3,FALSE))</f>
        <v>Open access</v>
      </c>
      <c r="T828" s="2" t="str">
        <f>IF(C828="Total", (VLOOKUP(B828,Recommended_fish_intake!A$4:D$122,4,FALSE)), "NA")</f>
        <v>NA</v>
      </c>
      <c r="U828" s="2" t="str">
        <f t="shared" si="102"/>
        <v>NA</v>
      </c>
    </row>
    <row r="829" spans="1:21" ht="14.25" customHeight="1">
      <c r="A829" s="2" t="s">
        <v>18</v>
      </c>
      <c r="B829" s="2">
        <v>1966</v>
      </c>
      <c r="C829" s="2" t="s">
        <v>24</v>
      </c>
      <c r="D829" s="3">
        <f t="shared" si="103"/>
        <v>6.8075594391383865</v>
      </c>
      <c r="E829" s="3">
        <f t="shared" si="104"/>
        <v>0.29799999999999999</v>
      </c>
      <c r="F829" s="3" t="e">
        <f t="shared" si="105"/>
        <v>#N/A</v>
      </c>
      <c r="G829" s="3" t="e">
        <f t="shared" si="106"/>
        <v>#N/A</v>
      </c>
      <c r="H829" s="3" t="e">
        <f t="shared" si="107"/>
        <v>#N/A</v>
      </c>
      <c r="I829" s="3" t="e">
        <f t="shared" si="108"/>
        <v>#N/A</v>
      </c>
      <c r="J829" s="3">
        <v>6807.5594391383866</v>
      </c>
      <c r="K829" s="3">
        <v>298</v>
      </c>
      <c r="L829" s="3" t="e">
        <v>#N/A</v>
      </c>
      <c r="M829" s="3" t="e">
        <v>#N/A</v>
      </c>
      <c r="N829" s="3" t="e">
        <v>#N/A</v>
      </c>
      <c r="O829" s="3" t="e">
        <v>#N/A</v>
      </c>
      <c r="P829" s="3">
        <f>E829*(VLOOKUP(B829,Price_data!A$1:B$190,2,FALSE))</f>
        <v>3.2981284994000002</v>
      </c>
      <c r="Q829" s="3" t="e">
        <f>G829*(VLOOKUP(B829,Price_data!A$1:B$190,2,FALSE))</f>
        <v>#N/A</v>
      </c>
      <c r="R829" s="3" t="e">
        <f>I829*(VLOOKUP(B829,Price_data!A$1:B$190,2,FALSE))</f>
        <v>#N/A</v>
      </c>
      <c r="S829" s="4" t="str">
        <f>(VLOOKUP(B829,Price_data!A$1:C$190,3,FALSE))</f>
        <v>Open access</v>
      </c>
      <c r="T829" s="2" t="str">
        <f>IF(C829="Total", (VLOOKUP(B829,Recommended_fish_intake!A$4:D$122,4,FALSE)), "NA")</f>
        <v>NA</v>
      </c>
      <c r="U829" s="2" t="str">
        <f t="shared" si="102"/>
        <v>NA</v>
      </c>
    </row>
    <row r="830" spans="1:21" ht="14.25" customHeight="1">
      <c r="A830" s="2" t="s">
        <v>18</v>
      </c>
      <c r="B830" s="2">
        <v>1966</v>
      </c>
      <c r="C830" s="2" t="s">
        <v>19</v>
      </c>
      <c r="D830" s="3">
        <f t="shared" si="103"/>
        <v>13.005486689697216</v>
      </c>
      <c r="E830" s="3">
        <f t="shared" si="104"/>
        <v>0.45</v>
      </c>
      <c r="F830" s="3" t="e">
        <f t="shared" si="105"/>
        <v>#N/A</v>
      </c>
      <c r="G830" s="3" t="e">
        <f t="shared" si="106"/>
        <v>#N/A</v>
      </c>
      <c r="H830" s="3" t="e">
        <f t="shared" si="107"/>
        <v>#N/A</v>
      </c>
      <c r="I830" s="3" t="e">
        <f t="shared" si="108"/>
        <v>#N/A</v>
      </c>
      <c r="J830" s="3">
        <v>13005.486689697216</v>
      </c>
      <c r="K830" s="3">
        <v>450</v>
      </c>
      <c r="L830" s="3" t="e">
        <v>#N/A</v>
      </c>
      <c r="M830" s="3" t="e">
        <v>#N/A</v>
      </c>
      <c r="N830" s="3" t="e">
        <v>#N/A</v>
      </c>
      <c r="O830" s="3" t="e">
        <v>#N/A</v>
      </c>
      <c r="P830" s="3">
        <f>E830*(VLOOKUP(B830,Price_data!A$1:B$190,2,FALSE))</f>
        <v>4.9803953850000005</v>
      </c>
      <c r="Q830" s="3" t="e">
        <f>G830*(VLOOKUP(B830,Price_data!A$1:B$190,2,FALSE))</f>
        <v>#N/A</v>
      </c>
      <c r="R830" s="3" t="e">
        <f>I830*(VLOOKUP(B830,Price_data!A$1:B$190,2,FALSE))</f>
        <v>#N/A</v>
      </c>
      <c r="S830" s="4" t="str">
        <f>(VLOOKUP(B830,Price_data!A$1:C$190,3,FALSE))</f>
        <v>Open access</v>
      </c>
      <c r="T830" s="2" t="str">
        <f>IF(C830="Total", (VLOOKUP(B830,Recommended_fish_intake!A$4:D$122,4,FALSE)), "NA")</f>
        <v>NA</v>
      </c>
      <c r="U830" s="2" t="str">
        <f t="shared" si="102"/>
        <v>NA</v>
      </c>
    </row>
    <row r="831" spans="1:21" ht="14.25" customHeight="1">
      <c r="A831" s="2" t="s">
        <v>18</v>
      </c>
      <c r="B831" s="2">
        <v>1966</v>
      </c>
      <c r="C831" s="2" t="s">
        <v>21</v>
      </c>
      <c r="D831" s="3">
        <f t="shared" si="103"/>
        <v>8.4332452753505383</v>
      </c>
      <c r="E831" s="3">
        <f t="shared" si="104"/>
        <v>0.109</v>
      </c>
      <c r="F831" s="3" t="e">
        <f t="shared" si="105"/>
        <v>#N/A</v>
      </c>
      <c r="G831" s="3" t="e">
        <f t="shared" si="106"/>
        <v>#N/A</v>
      </c>
      <c r="H831" s="3" t="e">
        <f t="shared" si="107"/>
        <v>#N/A</v>
      </c>
      <c r="I831" s="3" t="e">
        <f t="shared" si="108"/>
        <v>#N/A</v>
      </c>
      <c r="J831" s="3">
        <v>8433.2452753505386</v>
      </c>
      <c r="K831" s="3">
        <v>109</v>
      </c>
      <c r="L831" s="3" t="e">
        <v>#N/A</v>
      </c>
      <c r="M831" s="3" t="e">
        <v>#N/A</v>
      </c>
      <c r="N831" s="3" t="e">
        <v>#N/A</v>
      </c>
      <c r="O831" s="3" t="e">
        <v>#N/A</v>
      </c>
      <c r="P831" s="3">
        <f>E831*(VLOOKUP(B831,Price_data!A$1:B$190,2,FALSE))</f>
        <v>1.2063624377000002</v>
      </c>
      <c r="Q831" s="3" t="e">
        <f>G831*(VLOOKUP(B831,Price_data!A$1:B$190,2,FALSE))</f>
        <v>#N/A</v>
      </c>
      <c r="R831" s="3" t="e">
        <f>I831*(VLOOKUP(B831,Price_data!A$1:B$190,2,FALSE))</f>
        <v>#N/A</v>
      </c>
      <c r="S831" s="4" t="str">
        <f>(VLOOKUP(B831,Price_data!A$1:C$190,3,FALSE))</f>
        <v>Open access</v>
      </c>
      <c r="T831" s="2" t="str">
        <f>IF(C831="Total", (VLOOKUP(B831,Recommended_fish_intake!A$4:D$122,4,FALSE)), "NA")</f>
        <v>NA</v>
      </c>
      <c r="U831" s="2" t="str">
        <f t="shared" si="102"/>
        <v>NA</v>
      </c>
    </row>
    <row r="832" spans="1:21" ht="14.25" customHeight="1">
      <c r="A832" s="2" t="s">
        <v>18</v>
      </c>
      <c r="B832" s="2">
        <v>1966</v>
      </c>
      <c r="C832" s="2" t="s">
        <v>34</v>
      </c>
      <c r="D832" s="3">
        <f t="shared" si="103"/>
        <v>0.406421459053038</v>
      </c>
      <c r="E832" s="3">
        <f t="shared" si="104"/>
        <v>0.379</v>
      </c>
      <c r="F832" s="3" t="e">
        <f t="shared" si="105"/>
        <v>#N/A</v>
      </c>
      <c r="G832" s="3" t="e">
        <f t="shared" si="106"/>
        <v>#N/A</v>
      </c>
      <c r="H832" s="3" t="e">
        <f t="shared" si="107"/>
        <v>#N/A</v>
      </c>
      <c r="I832" s="3" t="e">
        <f t="shared" si="108"/>
        <v>#N/A</v>
      </c>
      <c r="J832" s="3">
        <v>406.42145905303801</v>
      </c>
      <c r="K832" s="3">
        <v>379</v>
      </c>
      <c r="L832" s="3" t="e">
        <v>#N/A</v>
      </c>
      <c r="M832" s="3" t="e">
        <v>#N/A</v>
      </c>
      <c r="N832" s="3" t="e">
        <v>#N/A</v>
      </c>
      <c r="O832" s="3" t="e">
        <v>#N/A</v>
      </c>
      <c r="P832" s="3">
        <f>E832*(VLOOKUP(B832,Price_data!A$1:B$190,2,FALSE))</f>
        <v>4.1945996687000004</v>
      </c>
      <c r="Q832" s="3" t="e">
        <f>G832*(VLOOKUP(B832,Price_data!A$1:B$190,2,FALSE))</f>
        <v>#N/A</v>
      </c>
      <c r="R832" s="3" t="e">
        <f>I832*(VLOOKUP(B832,Price_data!A$1:B$190,2,FALSE))</f>
        <v>#N/A</v>
      </c>
      <c r="S832" s="4" t="str">
        <f>(VLOOKUP(B832,Price_data!A$1:C$190,3,FALSE))</f>
        <v>Open access</v>
      </c>
      <c r="T832" s="2" t="str">
        <f>IF(C832="Total", (VLOOKUP(B832,Recommended_fish_intake!A$4:D$122,4,FALSE)), "NA")</f>
        <v>NA</v>
      </c>
      <c r="U832" s="2" t="str">
        <f t="shared" si="102"/>
        <v>NA</v>
      </c>
    </row>
    <row r="833" spans="1:21" ht="14.25" customHeight="1">
      <c r="A833" s="2" t="s">
        <v>18</v>
      </c>
      <c r="B833" s="2">
        <v>1966</v>
      </c>
      <c r="C833" s="2" t="s">
        <v>35</v>
      </c>
      <c r="D833" s="3">
        <f t="shared" si="103"/>
        <v>1.0668563300142246</v>
      </c>
      <c r="E833" s="3">
        <f t="shared" si="104"/>
        <v>0.23200000000000001</v>
      </c>
      <c r="F833" s="3" t="e">
        <f t="shared" si="105"/>
        <v>#N/A</v>
      </c>
      <c r="G833" s="3" t="e">
        <f t="shared" si="106"/>
        <v>#N/A</v>
      </c>
      <c r="H833" s="3" t="e">
        <f t="shared" si="107"/>
        <v>#N/A</v>
      </c>
      <c r="I833" s="3" t="e">
        <f t="shared" si="108"/>
        <v>#N/A</v>
      </c>
      <c r="J833" s="3">
        <v>1066.8563300142246</v>
      </c>
      <c r="K833" s="3">
        <v>232</v>
      </c>
      <c r="L833" s="3" t="e">
        <v>#N/A</v>
      </c>
      <c r="M833" s="3" t="e">
        <v>#N/A</v>
      </c>
      <c r="N833" s="3" t="e">
        <v>#N/A</v>
      </c>
      <c r="O833" s="3" t="e">
        <v>#N/A</v>
      </c>
      <c r="P833" s="3">
        <f>E833*(VLOOKUP(B833,Price_data!A$1:B$190,2,FALSE))</f>
        <v>2.5676705096000005</v>
      </c>
      <c r="Q833" s="3" t="e">
        <f>G833*(VLOOKUP(B833,Price_data!A$1:B$190,2,FALSE))</f>
        <v>#N/A</v>
      </c>
      <c r="R833" s="3" t="e">
        <f>I833*(VLOOKUP(B833,Price_data!A$1:B$190,2,FALSE))</f>
        <v>#N/A</v>
      </c>
      <c r="S833" s="4" t="str">
        <f>(VLOOKUP(B833,Price_data!A$1:C$190,3,FALSE))</f>
        <v>Open access</v>
      </c>
      <c r="T833" s="2" t="str">
        <f>IF(C833="Total", (VLOOKUP(B833,Recommended_fish_intake!A$4:D$122,4,FALSE)), "NA")</f>
        <v>NA</v>
      </c>
      <c r="U833" s="2" t="str">
        <f t="shared" si="102"/>
        <v>NA</v>
      </c>
    </row>
    <row r="834" spans="1:21" ht="14.25" customHeight="1">
      <c r="A834" s="2" t="s">
        <v>18</v>
      </c>
      <c r="B834" s="2">
        <v>1966</v>
      </c>
      <c r="C834" s="2" t="s">
        <v>30</v>
      </c>
      <c r="D834" s="3">
        <f t="shared" si="103"/>
        <v>1.3716724243040033</v>
      </c>
      <c r="E834" s="3">
        <f t="shared" si="104"/>
        <v>0.20699999999999999</v>
      </c>
      <c r="F834" s="3" t="e">
        <f t="shared" si="105"/>
        <v>#N/A</v>
      </c>
      <c r="G834" s="3" t="e">
        <f t="shared" si="106"/>
        <v>#N/A</v>
      </c>
      <c r="H834" s="3" t="e">
        <f t="shared" si="107"/>
        <v>#N/A</v>
      </c>
      <c r="I834" s="3" t="e">
        <f t="shared" si="108"/>
        <v>#N/A</v>
      </c>
      <c r="J834" s="3">
        <v>1371.6724243040032</v>
      </c>
      <c r="K834" s="3">
        <v>207</v>
      </c>
      <c r="L834" s="3" t="e">
        <v>#N/A</v>
      </c>
      <c r="M834" s="3" t="e">
        <v>#N/A</v>
      </c>
      <c r="N834" s="3" t="e">
        <v>#N/A</v>
      </c>
      <c r="O834" s="3" t="e">
        <v>#N/A</v>
      </c>
      <c r="P834" s="3">
        <f>E834*(VLOOKUP(B834,Price_data!A$1:B$190,2,FALSE))</f>
        <v>2.2909818771000001</v>
      </c>
      <c r="Q834" s="3" t="e">
        <f>G834*(VLOOKUP(B834,Price_data!A$1:B$190,2,FALSE))</f>
        <v>#N/A</v>
      </c>
      <c r="R834" s="3" t="e">
        <f>I834*(VLOOKUP(B834,Price_data!A$1:B$190,2,FALSE))</f>
        <v>#N/A</v>
      </c>
      <c r="S834" s="4" t="str">
        <f>(VLOOKUP(B834,Price_data!A$1:C$190,3,FALSE))</f>
        <v>Open access</v>
      </c>
      <c r="T834" s="2" t="str">
        <f>IF(C834="Total", (VLOOKUP(B834,Recommended_fish_intake!A$4:D$122,4,FALSE)), "NA")</f>
        <v>NA</v>
      </c>
      <c r="U834" s="2" t="str">
        <f t="shared" ref="U834:U897" si="109">IF(C834="Wet fish", D834*0.49, IF(C834="Shellfish", D834*0.28, "NA"))</f>
        <v>NA</v>
      </c>
    </row>
    <row r="835" spans="1:21" ht="14.25" customHeight="1">
      <c r="A835" s="2" t="s">
        <v>18</v>
      </c>
      <c r="B835" s="2">
        <v>1966</v>
      </c>
      <c r="C835" s="2" t="s">
        <v>36</v>
      </c>
      <c r="D835" s="3">
        <f t="shared" si="103"/>
        <v>2.8449502133712659</v>
      </c>
      <c r="E835" s="3">
        <f t="shared" si="104"/>
        <v>0.28899999999999998</v>
      </c>
      <c r="F835" s="3" t="e">
        <f t="shared" si="105"/>
        <v>#N/A</v>
      </c>
      <c r="G835" s="3" t="e">
        <f t="shared" si="106"/>
        <v>#N/A</v>
      </c>
      <c r="H835" s="3" t="e">
        <f t="shared" si="107"/>
        <v>#N/A</v>
      </c>
      <c r="I835" s="3" t="e">
        <f t="shared" si="108"/>
        <v>#N/A</v>
      </c>
      <c r="J835" s="3">
        <v>2844.9502133712658</v>
      </c>
      <c r="K835" s="3">
        <v>289</v>
      </c>
      <c r="L835" s="3" t="e">
        <v>#N/A</v>
      </c>
      <c r="M835" s="3" t="e">
        <v>#N/A</v>
      </c>
      <c r="N835" s="3" t="e">
        <v>#N/A</v>
      </c>
      <c r="O835" s="3" t="e">
        <v>#N/A</v>
      </c>
      <c r="P835" s="3">
        <f>E835*(VLOOKUP(B835,Price_data!A$1:B$190,2,FALSE))</f>
        <v>3.1985205916999999</v>
      </c>
      <c r="Q835" s="3" t="e">
        <f>G835*(VLOOKUP(B835,Price_data!A$1:B$190,2,FALSE))</f>
        <v>#N/A</v>
      </c>
      <c r="R835" s="3" t="e">
        <f>I835*(VLOOKUP(B835,Price_data!A$1:B$190,2,FALSE))</f>
        <v>#N/A</v>
      </c>
      <c r="S835" s="4" t="str">
        <f>(VLOOKUP(B835,Price_data!A$1:C$190,3,FALSE))</f>
        <v>Open access</v>
      </c>
      <c r="T835" s="2" t="str">
        <f>IF(C835="Total", (VLOOKUP(B835,Recommended_fish_intake!A$4:D$122,4,FALSE)), "NA")</f>
        <v>NA</v>
      </c>
      <c r="U835" s="2" t="str">
        <f t="shared" si="109"/>
        <v>NA</v>
      </c>
    </row>
    <row r="836" spans="1:21" ht="14.25" customHeight="1">
      <c r="A836" s="2" t="s">
        <v>18</v>
      </c>
      <c r="B836" s="2">
        <v>1966</v>
      </c>
      <c r="C836" s="2" t="s">
        <v>28</v>
      </c>
      <c r="D836" s="3">
        <f t="shared" si="103"/>
        <v>21.235521235521233</v>
      </c>
      <c r="E836" s="3">
        <f t="shared" si="104"/>
        <v>1.554</v>
      </c>
      <c r="F836" s="3" t="e">
        <f t="shared" si="105"/>
        <v>#N/A</v>
      </c>
      <c r="G836" s="3" t="e">
        <f t="shared" si="106"/>
        <v>#N/A</v>
      </c>
      <c r="H836" s="3" t="e">
        <f t="shared" si="107"/>
        <v>#N/A</v>
      </c>
      <c r="I836" s="3" t="e">
        <f t="shared" si="108"/>
        <v>#N/A</v>
      </c>
      <c r="J836" s="3">
        <v>21235.521235521232</v>
      </c>
      <c r="K836" s="3">
        <v>1554</v>
      </c>
      <c r="L836" s="3" t="e">
        <v>#N/A</v>
      </c>
      <c r="M836" s="3" t="e">
        <v>#N/A</v>
      </c>
      <c r="N836" s="3" t="e">
        <v>#N/A</v>
      </c>
      <c r="O836" s="3" t="e">
        <v>#N/A</v>
      </c>
      <c r="P836" s="3">
        <f>E836*(VLOOKUP(B836,Price_data!A$1:B$190,2,FALSE))</f>
        <v>17.198965396200002</v>
      </c>
      <c r="Q836" s="3" t="e">
        <f>G836*(VLOOKUP(B836,Price_data!A$1:B$190,2,FALSE))</f>
        <v>#N/A</v>
      </c>
      <c r="R836" s="3" t="e">
        <f>I836*(VLOOKUP(B836,Price_data!A$1:B$190,2,FALSE))</f>
        <v>#N/A</v>
      </c>
      <c r="S836" s="4" t="str">
        <f>(VLOOKUP(B836,Price_data!A$1:C$190,3,FALSE))</f>
        <v>Open access</v>
      </c>
      <c r="T836" s="2" t="str">
        <f>IF(C836="Total", (VLOOKUP(B836,Recommended_fish_intake!A$4:D$122,4,FALSE)), "NA")</f>
        <v>NA</v>
      </c>
      <c r="U836" s="2">
        <f t="shared" si="109"/>
        <v>5.9459459459459456</v>
      </c>
    </row>
    <row r="837" spans="1:21" ht="14.25" customHeight="1">
      <c r="A837" s="2" t="s">
        <v>18</v>
      </c>
      <c r="B837" s="2">
        <v>1966</v>
      </c>
      <c r="C837" s="2" t="s">
        <v>37</v>
      </c>
      <c r="D837" s="3">
        <f t="shared" si="103"/>
        <v>504.01341190814873</v>
      </c>
      <c r="E837" s="3">
        <f t="shared" si="104"/>
        <v>39.213999999999999</v>
      </c>
      <c r="F837" s="3" t="e">
        <f t="shared" si="105"/>
        <v>#N/A</v>
      </c>
      <c r="G837" s="3" t="e">
        <f t="shared" si="106"/>
        <v>#N/A</v>
      </c>
      <c r="H837" s="3" t="e">
        <f t="shared" si="107"/>
        <v>#N/A</v>
      </c>
      <c r="I837" s="3" t="e">
        <f t="shared" si="108"/>
        <v>#N/A</v>
      </c>
      <c r="J837" s="3">
        <v>504013.41190814873</v>
      </c>
      <c r="K837" s="3">
        <v>39214</v>
      </c>
      <c r="L837" s="3" t="e">
        <v>#N/A</v>
      </c>
      <c r="M837" s="3" t="e">
        <v>#N/A</v>
      </c>
      <c r="N837" s="3" t="e">
        <v>#N/A</v>
      </c>
      <c r="O837" s="3" t="e">
        <v>#N/A</v>
      </c>
      <c r="P837" s="3">
        <f>E837*(VLOOKUP(B837,Price_data!A$1:B$190,2,FALSE))</f>
        <v>434.00272139420002</v>
      </c>
      <c r="Q837" s="3" t="e">
        <f>G837*(VLOOKUP(B837,Price_data!A$1:B$190,2,FALSE))</f>
        <v>#N/A</v>
      </c>
      <c r="R837" s="3" t="e">
        <f>I837*(VLOOKUP(B837,Price_data!A$1:B$190,2,FALSE))</f>
        <v>#N/A</v>
      </c>
      <c r="S837" s="4" t="str">
        <f>(VLOOKUP(B837,Price_data!A$1:C$190,3,FALSE))</f>
        <v>Open access</v>
      </c>
      <c r="T837" s="2" t="str">
        <f>IF(C837="Total", (VLOOKUP(B837,Recommended_fish_intake!A$4:D$122,4,FALSE)), "NA")</f>
        <v>NA</v>
      </c>
      <c r="U837" s="2">
        <f t="shared" si="109"/>
        <v>246.96657183499286</v>
      </c>
    </row>
    <row r="838" spans="1:21" ht="14.25" customHeight="1">
      <c r="A838" s="2" t="s">
        <v>39</v>
      </c>
      <c r="B838" s="2">
        <v>1966</v>
      </c>
      <c r="C838" s="2" t="s">
        <v>22</v>
      </c>
      <c r="D838" s="3">
        <f t="shared" si="103"/>
        <v>46.382849014427961</v>
      </c>
      <c r="E838" s="3">
        <f t="shared" si="104"/>
        <v>3.7480000000000002</v>
      </c>
      <c r="F838" s="3" t="e">
        <f t="shared" si="105"/>
        <v>#N/A</v>
      </c>
      <c r="G838" s="3" t="e">
        <f t="shared" si="106"/>
        <v>#N/A</v>
      </c>
      <c r="H838" s="3" t="e">
        <f t="shared" si="107"/>
        <v>#N/A</v>
      </c>
      <c r="I838" s="3" t="e">
        <f t="shared" si="108"/>
        <v>#N/A</v>
      </c>
      <c r="J838" s="3">
        <v>46382.849014427964</v>
      </c>
      <c r="K838" s="3">
        <v>3748</v>
      </c>
      <c r="L838" s="3" t="e">
        <v>#N/A</v>
      </c>
      <c r="M838" s="3" t="e">
        <v>#N/A</v>
      </c>
      <c r="N838" s="3" t="e">
        <v>#N/A</v>
      </c>
      <c r="O838" s="3" t="e">
        <v>#N/A</v>
      </c>
      <c r="P838" s="3">
        <f>E838*(VLOOKUP(B838,Price_data!A$1:B$190,2,FALSE))</f>
        <v>41.481159784400006</v>
      </c>
      <c r="Q838" s="3" t="e">
        <f>G838*(VLOOKUP(B838,Price_data!A$1:B$190,2,FALSE))</f>
        <v>#N/A</v>
      </c>
      <c r="R838" s="3" t="e">
        <f>I838*(VLOOKUP(B838,Price_data!A$1:B$190,2,FALSE))</f>
        <v>#N/A</v>
      </c>
      <c r="S838" s="4" t="str">
        <f>(VLOOKUP(B838,Price_data!A$1:C$190,3,FALSE))</f>
        <v>Open access</v>
      </c>
      <c r="T838" s="2" t="str">
        <f>IF(C838="Total", (VLOOKUP(B838,Recommended_fish_intake!A$4:D$122,4,FALSE)), "NA")</f>
        <v>NA</v>
      </c>
      <c r="U838" s="2" t="str">
        <f t="shared" si="109"/>
        <v>NA</v>
      </c>
    </row>
    <row r="839" spans="1:21" ht="14.25" customHeight="1">
      <c r="A839" s="2" t="s">
        <v>39</v>
      </c>
      <c r="B839" s="2">
        <v>1966</v>
      </c>
      <c r="C839" s="2" t="s">
        <v>23</v>
      </c>
      <c r="D839" s="3">
        <f t="shared" si="103"/>
        <v>96.575899207478145</v>
      </c>
      <c r="E839" s="3">
        <f t="shared" si="104"/>
        <v>6.0289999999999999</v>
      </c>
      <c r="F839" s="3" t="e">
        <f t="shared" si="105"/>
        <v>#N/A</v>
      </c>
      <c r="G839" s="3" t="e">
        <f t="shared" si="106"/>
        <v>#N/A</v>
      </c>
      <c r="H839" s="3" t="e">
        <f t="shared" si="107"/>
        <v>#N/A</v>
      </c>
      <c r="I839" s="3" t="e">
        <f t="shared" si="108"/>
        <v>#N/A</v>
      </c>
      <c r="J839" s="3">
        <v>96575.899207478142</v>
      </c>
      <c r="K839" s="3">
        <v>6029</v>
      </c>
      <c r="L839" s="3" t="e">
        <v>#N/A</v>
      </c>
      <c r="M839" s="3" t="e">
        <v>#N/A</v>
      </c>
      <c r="N839" s="3" t="e">
        <v>#N/A</v>
      </c>
      <c r="O839" s="3" t="e">
        <v>#N/A</v>
      </c>
      <c r="P839" s="3">
        <f>E839*(VLOOKUP(B839,Price_data!A$1:B$190,2,FALSE))</f>
        <v>66.726230613700011</v>
      </c>
      <c r="Q839" s="3" t="e">
        <f>G839*(VLOOKUP(B839,Price_data!A$1:B$190,2,FALSE))</f>
        <v>#N/A</v>
      </c>
      <c r="R839" s="3" t="e">
        <f>I839*(VLOOKUP(B839,Price_data!A$1:B$190,2,FALSE))</f>
        <v>#N/A</v>
      </c>
      <c r="S839" s="4" t="str">
        <f>(VLOOKUP(B839,Price_data!A$1:C$190,3,FALSE))</f>
        <v>Open access</v>
      </c>
      <c r="T839" s="2" t="str">
        <f>IF(C839="Total", (VLOOKUP(B839,Recommended_fish_intake!A$4:D$122,4,FALSE)), "NA")</f>
        <v>NA</v>
      </c>
      <c r="U839" s="2" t="str">
        <f t="shared" si="109"/>
        <v>NA</v>
      </c>
    </row>
    <row r="840" spans="1:21" ht="14.25" customHeight="1">
      <c r="A840" s="2" t="s">
        <v>39</v>
      </c>
      <c r="B840" s="2">
        <v>1966</v>
      </c>
      <c r="C840" s="2" t="s">
        <v>25</v>
      </c>
      <c r="D840" s="3">
        <f t="shared" si="103"/>
        <v>6.2487299329404582</v>
      </c>
      <c r="E840" s="3">
        <f t="shared" si="104"/>
        <v>0.83499999999999996</v>
      </c>
      <c r="F840" s="3" t="e">
        <f t="shared" si="105"/>
        <v>#N/A</v>
      </c>
      <c r="G840" s="3" t="e">
        <f t="shared" si="106"/>
        <v>#N/A</v>
      </c>
      <c r="H840" s="3" t="e">
        <f t="shared" si="107"/>
        <v>#N/A</v>
      </c>
      <c r="I840" s="3" t="e">
        <f t="shared" si="108"/>
        <v>#N/A</v>
      </c>
      <c r="J840" s="3">
        <v>6248.7299329404586</v>
      </c>
      <c r="K840" s="3">
        <v>835</v>
      </c>
      <c r="L840" s="3" t="e">
        <v>#N/A</v>
      </c>
      <c r="M840" s="3" t="e">
        <v>#N/A</v>
      </c>
      <c r="N840" s="3" t="e">
        <v>#N/A</v>
      </c>
      <c r="O840" s="3" t="e">
        <v>#N/A</v>
      </c>
      <c r="P840" s="3">
        <f>E840*(VLOOKUP(B840,Price_data!A$1:B$190,2,FALSE))</f>
        <v>9.2414003255000008</v>
      </c>
      <c r="Q840" s="3" t="e">
        <f>G840*(VLOOKUP(B840,Price_data!A$1:B$190,2,FALSE))</f>
        <v>#N/A</v>
      </c>
      <c r="R840" s="3" t="e">
        <f>I840*(VLOOKUP(B840,Price_data!A$1:B$190,2,FALSE))</f>
        <v>#N/A</v>
      </c>
      <c r="S840" s="4" t="str">
        <f>(VLOOKUP(B840,Price_data!A$1:C$190,3,FALSE))</f>
        <v>Open access</v>
      </c>
      <c r="T840" s="2" t="str">
        <f>IF(C840="Total", (VLOOKUP(B840,Recommended_fish_intake!A$4:D$122,4,FALSE)), "NA")</f>
        <v>NA</v>
      </c>
      <c r="U840" s="2" t="str">
        <f t="shared" si="109"/>
        <v>NA</v>
      </c>
    </row>
    <row r="841" spans="1:21" ht="14.25" customHeight="1">
      <c r="A841" s="2" t="s">
        <v>39</v>
      </c>
      <c r="B841" s="2">
        <v>1966</v>
      </c>
      <c r="C841" s="2" t="s">
        <v>24</v>
      </c>
      <c r="D841" s="3">
        <f t="shared" si="103"/>
        <v>45.265190002032107</v>
      </c>
      <c r="E841" s="3">
        <f t="shared" si="104"/>
        <v>2.2090000000000001</v>
      </c>
      <c r="F841" s="3" t="e">
        <f t="shared" si="105"/>
        <v>#N/A</v>
      </c>
      <c r="G841" s="3" t="e">
        <f t="shared" si="106"/>
        <v>#N/A</v>
      </c>
      <c r="H841" s="3" t="e">
        <f t="shared" si="107"/>
        <v>#N/A</v>
      </c>
      <c r="I841" s="3" t="e">
        <f t="shared" si="108"/>
        <v>#N/A</v>
      </c>
      <c r="J841" s="3">
        <v>45265.190002032105</v>
      </c>
      <c r="K841" s="3">
        <v>2209</v>
      </c>
      <c r="L841" s="3" t="e">
        <v>#N/A</v>
      </c>
      <c r="M841" s="3" t="e">
        <v>#N/A</v>
      </c>
      <c r="N841" s="3" t="e">
        <v>#N/A</v>
      </c>
      <c r="O841" s="3" t="e">
        <v>#N/A</v>
      </c>
      <c r="P841" s="3">
        <f>E841*(VLOOKUP(B841,Price_data!A$1:B$190,2,FALSE))</f>
        <v>24.448207567700003</v>
      </c>
      <c r="Q841" s="3" t="e">
        <f>G841*(VLOOKUP(B841,Price_data!A$1:B$190,2,FALSE))</f>
        <v>#N/A</v>
      </c>
      <c r="R841" s="3" t="e">
        <f>I841*(VLOOKUP(B841,Price_data!A$1:B$190,2,FALSE))</f>
        <v>#N/A</v>
      </c>
      <c r="S841" s="4" t="str">
        <f>(VLOOKUP(B841,Price_data!A$1:C$190,3,FALSE))</f>
        <v>Open access</v>
      </c>
      <c r="T841" s="2" t="str">
        <f>IF(C841="Total", (VLOOKUP(B841,Recommended_fish_intake!A$4:D$122,4,FALSE)), "NA")</f>
        <v>NA</v>
      </c>
      <c r="U841" s="2" t="str">
        <f t="shared" si="109"/>
        <v>NA</v>
      </c>
    </row>
    <row r="842" spans="1:21" ht="14.25" customHeight="1">
      <c r="A842" s="2" t="s">
        <v>39</v>
      </c>
      <c r="B842" s="2">
        <v>1966</v>
      </c>
      <c r="C842" s="2" t="s">
        <v>19</v>
      </c>
      <c r="D842" s="3">
        <f t="shared" si="103"/>
        <v>101.50375939849623</v>
      </c>
      <c r="E842" s="3">
        <f t="shared" si="104"/>
        <v>2.4009999999999998</v>
      </c>
      <c r="F842" s="3" t="e">
        <f t="shared" si="105"/>
        <v>#N/A</v>
      </c>
      <c r="G842" s="3" t="e">
        <f t="shared" si="106"/>
        <v>#N/A</v>
      </c>
      <c r="H842" s="3" t="e">
        <f t="shared" si="107"/>
        <v>#N/A</v>
      </c>
      <c r="I842" s="3" t="e">
        <f t="shared" si="108"/>
        <v>#N/A</v>
      </c>
      <c r="J842" s="3">
        <v>101503.75939849623</v>
      </c>
      <c r="K842" s="3">
        <v>2401</v>
      </c>
      <c r="L842" s="3" t="e">
        <v>#N/A</v>
      </c>
      <c r="M842" s="3" t="e">
        <v>#N/A</v>
      </c>
      <c r="N842" s="3" t="e">
        <v>#N/A</v>
      </c>
      <c r="O842" s="3" t="e">
        <v>#N/A</v>
      </c>
      <c r="P842" s="3">
        <f>E842*(VLOOKUP(B842,Price_data!A$1:B$190,2,FALSE))</f>
        <v>26.573176265299999</v>
      </c>
      <c r="Q842" s="3" t="e">
        <f>G842*(VLOOKUP(B842,Price_data!A$1:B$190,2,FALSE))</f>
        <v>#N/A</v>
      </c>
      <c r="R842" s="3" t="e">
        <f>I842*(VLOOKUP(B842,Price_data!A$1:B$190,2,FALSE))</f>
        <v>#N/A</v>
      </c>
      <c r="S842" s="4" t="str">
        <f>(VLOOKUP(B842,Price_data!A$1:C$190,3,FALSE))</f>
        <v>Open access</v>
      </c>
      <c r="T842" s="2" t="str">
        <f>IF(C842="Total", (VLOOKUP(B842,Recommended_fish_intake!A$4:D$122,4,FALSE)), "NA")</f>
        <v>NA</v>
      </c>
      <c r="U842" s="2" t="str">
        <f t="shared" si="109"/>
        <v>NA</v>
      </c>
    </row>
    <row r="843" spans="1:21" ht="14.25" customHeight="1">
      <c r="A843" s="2" t="s">
        <v>39</v>
      </c>
      <c r="B843" s="2">
        <v>1966</v>
      </c>
      <c r="C843" s="2" t="s">
        <v>21</v>
      </c>
      <c r="D843" s="3">
        <f t="shared" si="103"/>
        <v>71.12375533428164</v>
      </c>
      <c r="E843" s="3">
        <f t="shared" si="104"/>
        <v>0.52400000000000002</v>
      </c>
      <c r="F843" s="3" t="e">
        <f t="shared" si="105"/>
        <v>#N/A</v>
      </c>
      <c r="G843" s="3" t="e">
        <f t="shared" si="106"/>
        <v>#N/A</v>
      </c>
      <c r="H843" s="3" t="e">
        <f t="shared" si="107"/>
        <v>#N/A</v>
      </c>
      <c r="I843" s="3" t="e">
        <f t="shared" si="108"/>
        <v>#N/A</v>
      </c>
      <c r="J843" s="3">
        <v>71123.755334281639</v>
      </c>
      <c r="K843" s="3">
        <v>524</v>
      </c>
      <c r="L843" s="3" t="e">
        <v>#N/A</v>
      </c>
      <c r="M843" s="3" t="e">
        <v>#N/A</v>
      </c>
      <c r="N843" s="3" t="e">
        <v>#N/A</v>
      </c>
      <c r="O843" s="3" t="e">
        <v>#N/A</v>
      </c>
      <c r="P843" s="3">
        <f>E843*(VLOOKUP(B843,Price_data!A$1:B$190,2,FALSE))</f>
        <v>5.7993937372000008</v>
      </c>
      <c r="Q843" s="3" t="e">
        <f>G843*(VLOOKUP(B843,Price_data!A$1:B$190,2,FALSE))</f>
        <v>#N/A</v>
      </c>
      <c r="R843" s="3" t="e">
        <f>I843*(VLOOKUP(B843,Price_data!A$1:B$190,2,FALSE))</f>
        <v>#N/A</v>
      </c>
      <c r="S843" s="4" t="str">
        <f>(VLOOKUP(B843,Price_data!A$1:C$190,3,FALSE))</f>
        <v>Open access</v>
      </c>
      <c r="T843" s="2" t="str">
        <f>IF(C843="Total", (VLOOKUP(B843,Recommended_fish_intake!A$4:D$122,4,FALSE)), "NA")</f>
        <v>NA</v>
      </c>
      <c r="U843" s="2" t="str">
        <f t="shared" si="109"/>
        <v>NA</v>
      </c>
    </row>
    <row r="844" spans="1:21" ht="14.25" customHeight="1">
      <c r="A844" s="2" t="s">
        <v>39</v>
      </c>
      <c r="B844" s="2">
        <v>1966</v>
      </c>
      <c r="C844" s="2" t="s">
        <v>34</v>
      </c>
      <c r="D844" s="3">
        <f t="shared" si="103"/>
        <v>0.60963218857955692</v>
      </c>
      <c r="E844" s="3">
        <f t="shared" si="104"/>
        <v>0.56000000000000005</v>
      </c>
      <c r="F844" s="3" t="e">
        <f t="shared" si="105"/>
        <v>#N/A</v>
      </c>
      <c r="G844" s="3" t="e">
        <f t="shared" si="106"/>
        <v>#N/A</v>
      </c>
      <c r="H844" s="3" t="e">
        <f t="shared" si="107"/>
        <v>#N/A</v>
      </c>
      <c r="I844" s="3" t="e">
        <f t="shared" si="108"/>
        <v>#N/A</v>
      </c>
      <c r="J844" s="3">
        <v>609.6321885795569</v>
      </c>
      <c r="K844" s="3">
        <v>560</v>
      </c>
      <c r="L844" s="3" t="e">
        <v>#N/A</v>
      </c>
      <c r="M844" s="3" t="e">
        <v>#N/A</v>
      </c>
      <c r="N844" s="3" t="e">
        <v>#N/A</v>
      </c>
      <c r="O844" s="3" t="e">
        <v>#N/A</v>
      </c>
      <c r="P844" s="3">
        <f>E844*(VLOOKUP(B844,Price_data!A$1:B$190,2,FALSE))</f>
        <v>6.1978253680000011</v>
      </c>
      <c r="Q844" s="3" t="e">
        <f>G844*(VLOOKUP(B844,Price_data!A$1:B$190,2,FALSE))</f>
        <v>#N/A</v>
      </c>
      <c r="R844" s="3" t="e">
        <f>I844*(VLOOKUP(B844,Price_data!A$1:B$190,2,FALSE))</f>
        <v>#N/A</v>
      </c>
      <c r="S844" s="4" t="str">
        <f>(VLOOKUP(B844,Price_data!A$1:C$190,3,FALSE))</f>
        <v>Open access</v>
      </c>
      <c r="T844" s="2" t="str">
        <f>IF(C844="Total", (VLOOKUP(B844,Recommended_fish_intake!A$4:D$122,4,FALSE)), "NA")</f>
        <v>NA</v>
      </c>
      <c r="U844" s="2" t="str">
        <f t="shared" si="109"/>
        <v>NA</v>
      </c>
    </row>
    <row r="845" spans="1:21" ht="14.25" customHeight="1">
      <c r="A845" s="2" t="s">
        <v>39</v>
      </c>
      <c r="B845" s="2">
        <v>1966</v>
      </c>
      <c r="C845" s="2" t="s">
        <v>35</v>
      </c>
      <c r="D845" s="3">
        <f t="shared" si="103"/>
        <v>6.3503352977037189</v>
      </c>
      <c r="E845" s="3">
        <f t="shared" si="104"/>
        <v>1.1160000000000001</v>
      </c>
      <c r="F845" s="3" t="e">
        <f t="shared" si="105"/>
        <v>#N/A</v>
      </c>
      <c r="G845" s="3" t="e">
        <f t="shared" si="106"/>
        <v>#N/A</v>
      </c>
      <c r="H845" s="3" t="e">
        <f t="shared" si="107"/>
        <v>#N/A</v>
      </c>
      <c r="I845" s="3" t="e">
        <f t="shared" si="108"/>
        <v>#N/A</v>
      </c>
      <c r="J845" s="3">
        <v>6350.3352977037184</v>
      </c>
      <c r="K845" s="3">
        <v>1116</v>
      </c>
      <c r="L845" s="3" t="e">
        <v>#N/A</v>
      </c>
      <c r="M845" s="3" t="e">
        <v>#N/A</v>
      </c>
      <c r="N845" s="3" t="e">
        <v>#N/A</v>
      </c>
      <c r="O845" s="3" t="e">
        <v>#N/A</v>
      </c>
      <c r="P845" s="3">
        <f>E845*(VLOOKUP(B845,Price_data!A$1:B$190,2,FALSE))</f>
        <v>12.351380554800002</v>
      </c>
      <c r="Q845" s="3" t="e">
        <f>G845*(VLOOKUP(B845,Price_data!A$1:B$190,2,FALSE))</f>
        <v>#N/A</v>
      </c>
      <c r="R845" s="3" t="e">
        <f>I845*(VLOOKUP(B845,Price_data!A$1:B$190,2,FALSE))</f>
        <v>#N/A</v>
      </c>
      <c r="S845" s="4" t="str">
        <f>(VLOOKUP(B845,Price_data!A$1:C$190,3,FALSE))</f>
        <v>Open access</v>
      </c>
      <c r="T845" s="2" t="str">
        <f>IF(C845="Total", (VLOOKUP(B845,Recommended_fish_intake!A$4:D$122,4,FALSE)), "NA")</f>
        <v>NA</v>
      </c>
      <c r="U845" s="2" t="str">
        <f t="shared" si="109"/>
        <v>NA</v>
      </c>
    </row>
    <row r="846" spans="1:21" ht="14.25" customHeight="1">
      <c r="A846" s="2" t="s">
        <v>39</v>
      </c>
      <c r="B846" s="2">
        <v>1966</v>
      </c>
      <c r="C846" s="2" t="s">
        <v>30</v>
      </c>
      <c r="D846" s="3">
        <f t="shared" si="103"/>
        <v>0.1016053647632595</v>
      </c>
      <c r="E846" s="3">
        <f t="shared" si="104"/>
        <v>1.2E-2</v>
      </c>
      <c r="F846" s="3" t="e">
        <f t="shared" si="105"/>
        <v>#N/A</v>
      </c>
      <c r="G846" s="3" t="e">
        <f t="shared" si="106"/>
        <v>#N/A</v>
      </c>
      <c r="H846" s="3" t="e">
        <f t="shared" si="107"/>
        <v>#N/A</v>
      </c>
      <c r="I846" s="3" t="e">
        <f t="shared" si="108"/>
        <v>#N/A</v>
      </c>
      <c r="J846" s="3">
        <v>101.6053647632595</v>
      </c>
      <c r="K846" s="3">
        <v>12</v>
      </c>
      <c r="L846" s="3" t="e">
        <v>#N/A</v>
      </c>
      <c r="M846" s="3" t="e">
        <v>#N/A</v>
      </c>
      <c r="N846" s="3" t="e">
        <v>#N/A</v>
      </c>
      <c r="O846" s="3" t="e">
        <v>#N/A</v>
      </c>
      <c r="P846" s="3">
        <f>E846*(VLOOKUP(B846,Price_data!A$1:B$190,2,FALSE))</f>
        <v>0.13281054360000003</v>
      </c>
      <c r="Q846" s="3" t="e">
        <f>G846*(VLOOKUP(B846,Price_data!A$1:B$190,2,FALSE))</f>
        <v>#N/A</v>
      </c>
      <c r="R846" s="3" t="e">
        <f>I846*(VLOOKUP(B846,Price_data!A$1:B$190,2,FALSE))</f>
        <v>#N/A</v>
      </c>
      <c r="S846" s="4" t="str">
        <f>(VLOOKUP(B846,Price_data!A$1:C$190,3,FALSE))</f>
        <v>Open access</v>
      </c>
      <c r="T846" s="2" t="str">
        <f>IF(C846="Total", (VLOOKUP(B846,Recommended_fish_intake!A$4:D$122,4,FALSE)), "NA")</f>
        <v>NA</v>
      </c>
      <c r="U846" s="2" t="str">
        <f t="shared" si="109"/>
        <v>NA</v>
      </c>
    </row>
    <row r="847" spans="1:21" ht="14.25" customHeight="1">
      <c r="A847" s="2" t="s">
        <v>39</v>
      </c>
      <c r="B847" s="2">
        <v>1966</v>
      </c>
      <c r="C847" s="2" t="s">
        <v>36</v>
      </c>
      <c r="D847" s="3">
        <f t="shared" si="103"/>
        <v>1.8796992481203008</v>
      </c>
      <c r="E847" s="3">
        <f t="shared" si="104"/>
        <v>0.106</v>
      </c>
      <c r="F847" s="3" t="e">
        <f t="shared" si="105"/>
        <v>#N/A</v>
      </c>
      <c r="G847" s="3" t="e">
        <f t="shared" si="106"/>
        <v>#N/A</v>
      </c>
      <c r="H847" s="3" t="e">
        <f t="shared" si="107"/>
        <v>#N/A</v>
      </c>
      <c r="I847" s="3" t="e">
        <f t="shared" si="108"/>
        <v>#N/A</v>
      </c>
      <c r="J847" s="3">
        <v>1879.6992481203008</v>
      </c>
      <c r="K847" s="3">
        <v>106</v>
      </c>
      <c r="L847" s="3" t="e">
        <v>#N/A</v>
      </c>
      <c r="M847" s="3" t="e">
        <v>#N/A</v>
      </c>
      <c r="N847" s="3" t="e">
        <v>#N/A</v>
      </c>
      <c r="O847" s="3" t="e">
        <v>#N/A</v>
      </c>
      <c r="P847" s="3">
        <f>E847*(VLOOKUP(B847,Price_data!A$1:B$190,2,FALSE))</f>
        <v>1.1731598018</v>
      </c>
      <c r="Q847" s="3" t="e">
        <f>G847*(VLOOKUP(B847,Price_data!A$1:B$190,2,FALSE))</f>
        <v>#N/A</v>
      </c>
      <c r="R847" s="3" t="e">
        <f>I847*(VLOOKUP(B847,Price_data!A$1:B$190,2,FALSE))</f>
        <v>#N/A</v>
      </c>
      <c r="S847" s="4" t="str">
        <f>(VLOOKUP(B847,Price_data!A$1:C$190,3,FALSE))</f>
        <v>Open access</v>
      </c>
      <c r="T847" s="2" t="str">
        <f>IF(C847="Total", (VLOOKUP(B847,Recommended_fish_intake!A$4:D$122,4,FALSE)), "NA")</f>
        <v>NA</v>
      </c>
      <c r="U847" s="2" t="str">
        <f t="shared" si="109"/>
        <v>NA</v>
      </c>
    </row>
    <row r="848" spans="1:21" ht="14.25" customHeight="1">
      <c r="A848" s="2" t="s">
        <v>39</v>
      </c>
      <c r="B848" s="2">
        <v>1966</v>
      </c>
      <c r="C848" s="2" t="s">
        <v>28</v>
      </c>
      <c r="D848" s="3">
        <f t="shared" si="103"/>
        <v>11.278195488721805</v>
      </c>
      <c r="E848" s="3">
        <f t="shared" si="104"/>
        <v>1.9279999999999999</v>
      </c>
      <c r="F848" s="3" t="e">
        <f t="shared" si="105"/>
        <v>#N/A</v>
      </c>
      <c r="G848" s="3" t="e">
        <f t="shared" si="106"/>
        <v>#N/A</v>
      </c>
      <c r="H848" s="3" t="e">
        <f t="shared" si="107"/>
        <v>#N/A</v>
      </c>
      <c r="I848" s="3" t="e">
        <f t="shared" si="108"/>
        <v>#N/A</v>
      </c>
      <c r="J848" s="3">
        <v>11278.195488721805</v>
      </c>
      <c r="K848" s="3">
        <v>1928</v>
      </c>
      <c r="L848" s="3" t="e">
        <v>#N/A</v>
      </c>
      <c r="M848" s="3" t="e">
        <v>#N/A</v>
      </c>
      <c r="N848" s="3" t="e">
        <v>#N/A</v>
      </c>
      <c r="O848" s="3" t="e">
        <v>#N/A</v>
      </c>
      <c r="P848" s="3">
        <f>E848*(VLOOKUP(B848,Price_data!A$1:B$190,2,FALSE))</f>
        <v>21.338227338399999</v>
      </c>
      <c r="Q848" s="3" t="e">
        <f>G848*(VLOOKUP(B848,Price_data!A$1:B$190,2,FALSE))</f>
        <v>#N/A</v>
      </c>
      <c r="R848" s="3" t="e">
        <f>I848*(VLOOKUP(B848,Price_data!A$1:B$190,2,FALSE))</f>
        <v>#N/A</v>
      </c>
      <c r="S848" s="4" t="str">
        <f>(VLOOKUP(B848,Price_data!A$1:C$190,3,FALSE))</f>
        <v>Open access</v>
      </c>
      <c r="T848" s="2" t="str">
        <f>IF(C848="Total", (VLOOKUP(B848,Recommended_fish_intake!A$4:D$122,4,FALSE)), "NA")</f>
        <v>NA</v>
      </c>
      <c r="U848" s="2">
        <f t="shared" si="109"/>
        <v>3.1578947368421058</v>
      </c>
    </row>
    <row r="849" spans="1:21" ht="14.25" customHeight="1">
      <c r="A849" s="2" t="s">
        <v>39</v>
      </c>
      <c r="B849" s="2">
        <v>1966</v>
      </c>
      <c r="C849" s="2" t="s">
        <v>37</v>
      </c>
      <c r="D849" s="3">
        <f t="shared" si="103"/>
        <v>406.72627514732778</v>
      </c>
      <c r="E849" s="3">
        <f t="shared" si="104"/>
        <v>18.766999999999999</v>
      </c>
      <c r="F849" s="3" t="e">
        <f t="shared" si="105"/>
        <v>#N/A</v>
      </c>
      <c r="G849" s="3" t="e">
        <f t="shared" si="106"/>
        <v>#N/A</v>
      </c>
      <c r="H849" s="3" t="e">
        <f t="shared" si="107"/>
        <v>#N/A</v>
      </c>
      <c r="I849" s="3" t="e">
        <f t="shared" si="108"/>
        <v>#N/A</v>
      </c>
      <c r="J849" s="3">
        <v>406726.2751473278</v>
      </c>
      <c r="K849" s="3">
        <v>18767</v>
      </c>
      <c r="L849" s="3" t="e">
        <v>#N/A</v>
      </c>
      <c r="M849" s="3" t="e">
        <v>#N/A</v>
      </c>
      <c r="N849" s="3" t="e">
        <v>#N/A</v>
      </c>
      <c r="O849" s="3" t="e">
        <v>#N/A</v>
      </c>
      <c r="P849" s="3">
        <f>E849*(VLOOKUP(B849,Price_data!A$1:B$190,2,FALSE))</f>
        <v>207.70462264510002</v>
      </c>
      <c r="Q849" s="3" t="e">
        <f>G849*(VLOOKUP(B849,Price_data!A$1:B$190,2,FALSE))</f>
        <v>#N/A</v>
      </c>
      <c r="R849" s="3" t="e">
        <f>I849*(VLOOKUP(B849,Price_data!A$1:B$190,2,FALSE))</f>
        <v>#N/A</v>
      </c>
      <c r="S849" s="4" t="str">
        <f>(VLOOKUP(B849,Price_data!A$1:C$190,3,FALSE))</f>
        <v>Open access</v>
      </c>
      <c r="T849" s="2" t="str">
        <f>IF(C849="Total", (VLOOKUP(B849,Recommended_fish_intake!A$4:D$122,4,FALSE)), "NA")</f>
        <v>NA</v>
      </c>
      <c r="U849" s="2">
        <f t="shared" si="109"/>
        <v>199.2958748221906</v>
      </c>
    </row>
    <row r="850" spans="1:21" ht="14.25" customHeight="1">
      <c r="A850" s="2" t="s">
        <v>40</v>
      </c>
      <c r="B850" s="2">
        <v>1966</v>
      </c>
      <c r="C850" s="2" t="s">
        <v>22</v>
      </c>
      <c r="D850" s="3">
        <f t="shared" si="103"/>
        <v>0.81284291810607601</v>
      </c>
      <c r="E850" s="3">
        <f t="shared" si="104"/>
        <v>4.5999999999999999E-2</v>
      </c>
      <c r="F850" s="3" t="e">
        <f t="shared" si="105"/>
        <v>#N/A</v>
      </c>
      <c r="G850" s="3" t="e">
        <f t="shared" si="106"/>
        <v>#N/A</v>
      </c>
      <c r="H850" s="3" t="e">
        <f t="shared" si="107"/>
        <v>#N/A</v>
      </c>
      <c r="I850" s="3" t="e">
        <f t="shared" si="108"/>
        <v>#N/A</v>
      </c>
      <c r="J850" s="3">
        <v>812.84291810607601</v>
      </c>
      <c r="K850" s="3">
        <v>46</v>
      </c>
      <c r="L850" s="3" t="e">
        <v>#N/A</v>
      </c>
      <c r="M850" s="3" t="e">
        <v>#N/A</v>
      </c>
      <c r="N850" s="3" t="e">
        <v>#N/A</v>
      </c>
      <c r="O850" s="3" t="e">
        <v>#N/A</v>
      </c>
      <c r="P850" s="3">
        <f>E850*(VLOOKUP(B850,Price_data!A$1:B$190,2,FALSE))</f>
        <v>0.50910708380000003</v>
      </c>
      <c r="Q850" s="3" t="e">
        <f>G850*(VLOOKUP(B850,Price_data!A$1:B$190,2,FALSE))</f>
        <v>#N/A</v>
      </c>
      <c r="R850" s="3" t="e">
        <f>I850*(VLOOKUP(B850,Price_data!A$1:B$190,2,FALSE))</f>
        <v>#N/A</v>
      </c>
      <c r="S850" s="4" t="str">
        <f>(VLOOKUP(B850,Price_data!A$1:C$190,3,FALSE))</f>
        <v>Open access</v>
      </c>
      <c r="T850" s="2" t="str">
        <f>IF(C850="Total", (VLOOKUP(B850,Recommended_fish_intake!A$4:D$122,4,FALSE)), "NA")</f>
        <v>NA</v>
      </c>
      <c r="U850" s="2" t="str">
        <f t="shared" si="109"/>
        <v>NA</v>
      </c>
    </row>
    <row r="851" spans="1:21" ht="14.25" customHeight="1">
      <c r="A851" s="2" t="s">
        <v>40</v>
      </c>
      <c r="B851" s="2">
        <v>1966</v>
      </c>
      <c r="C851" s="2" t="s">
        <v>23</v>
      </c>
      <c r="D851" s="3">
        <f t="shared" si="103"/>
        <v>5.080268238162975E-2</v>
      </c>
      <c r="E851" s="3">
        <f t="shared" si="104"/>
        <v>2E-3</v>
      </c>
      <c r="F851" s="3" t="e">
        <f t="shared" si="105"/>
        <v>#N/A</v>
      </c>
      <c r="G851" s="3" t="e">
        <f t="shared" si="106"/>
        <v>#N/A</v>
      </c>
      <c r="H851" s="3" t="e">
        <f t="shared" si="107"/>
        <v>#N/A</v>
      </c>
      <c r="I851" s="3" t="e">
        <f t="shared" si="108"/>
        <v>#N/A</v>
      </c>
      <c r="J851" s="3">
        <v>50.802682381629751</v>
      </c>
      <c r="K851" s="3">
        <v>2</v>
      </c>
      <c r="L851" s="3" t="e">
        <v>#N/A</v>
      </c>
      <c r="M851" s="3" t="e">
        <v>#N/A</v>
      </c>
      <c r="N851" s="3" t="e">
        <v>#N/A</v>
      </c>
      <c r="O851" s="3" t="e">
        <v>#N/A</v>
      </c>
      <c r="P851" s="3">
        <f>E851*(VLOOKUP(B851,Price_data!A$1:B$190,2,FALSE))</f>
        <v>2.2135090600000001E-2</v>
      </c>
      <c r="Q851" s="3" t="e">
        <f>G851*(VLOOKUP(B851,Price_data!A$1:B$190,2,FALSE))</f>
        <v>#N/A</v>
      </c>
      <c r="R851" s="3" t="e">
        <f>I851*(VLOOKUP(B851,Price_data!A$1:B$190,2,FALSE))</f>
        <v>#N/A</v>
      </c>
      <c r="S851" s="4" t="str">
        <f>(VLOOKUP(B851,Price_data!A$1:C$190,3,FALSE))</f>
        <v>Open access</v>
      </c>
      <c r="T851" s="2" t="str">
        <f>IF(C851="Total", (VLOOKUP(B851,Recommended_fish_intake!A$4:D$122,4,FALSE)), "NA")</f>
        <v>NA</v>
      </c>
      <c r="U851" s="2" t="str">
        <f t="shared" si="109"/>
        <v>NA</v>
      </c>
    </row>
    <row r="852" spans="1:21" ht="14.25" customHeight="1">
      <c r="A852" s="2" t="s">
        <v>40</v>
      </c>
      <c r="B852" s="2">
        <v>1966</v>
      </c>
      <c r="C852" s="2" t="s">
        <v>25</v>
      </c>
      <c r="D852" s="3">
        <f t="shared" si="103"/>
        <v>0.203210729526519</v>
      </c>
      <c r="E852" s="3">
        <f t="shared" si="104"/>
        <v>1.4999999999999999E-2</v>
      </c>
      <c r="F852" s="3" t="e">
        <f t="shared" si="105"/>
        <v>#N/A</v>
      </c>
      <c r="G852" s="3" t="e">
        <f t="shared" si="106"/>
        <v>#N/A</v>
      </c>
      <c r="H852" s="3" t="e">
        <f t="shared" si="107"/>
        <v>#N/A</v>
      </c>
      <c r="I852" s="3" t="e">
        <f t="shared" si="108"/>
        <v>#N/A</v>
      </c>
      <c r="J852" s="3">
        <v>203.210729526519</v>
      </c>
      <c r="K852" s="3">
        <v>15</v>
      </c>
      <c r="L852" s="3" t="e">
        <v>#N/A</v>
      </c>
      <c r="M852" s="3" t="e">
        <v>#N/A</v>
      </c>
      <c r="N852" s="3" t="e">
        <v>#N/A</v>
      </c>
      <c r="O852" s="3" t="e">
        <v>#N/A</v>
      </c>
      <c r="P852" s="3">
        <f>E852*(VLOOKUP(B852,Price_data!A$1:B$190,2,FALSE))</f>
        <v>0.1660131795</v>
      </c>
      <c r="Q852" s="3" t="e">
        <f>G852*(VLOOKUP(B852,Price_data!A$1:B$190,2,FALSE))</f>
        <v>#N/A</v>
      </c>
      <c r="R852" s="3" t="e">
        <f>I852*(VLOOKUP(B852,Price_data!A$1:B$190,2,FALSE))</f>
        <v>#N/A</v>
      </c>
      <c r="S852" s="4" t="str">
        <f>(VLOOKUP(B852,Price_data!A$1:C$190,3,FALSE))</f>
        <v>Open access</v>
      </c>
      <c r="T852" s="2" t="str">
        <f>IF(C852="Total", (VLOOKUP(B852,Recommended_fish_intake!A$4:D$122,4,FALSE)), "NA")</f>
        <v>NA</v>
      </c>
      <c r="U852" s="2" t="str">
        <f t="shared" si="109"/>
        <v>NA</v>
      </c>
    </row>
    <row r="853" spans="1:21" ht="14.25" customHeight="1">
      <c r="A853" s="2" t="s">
        <v>40</v>
      </c>
      <c r="B853" s="2">
        <v>1966</v>
      </c>
      <c r="C853" s="2" t="s">
        <v>24</v>
      </c>
      <c r="D853" s="3">
        <f t="shared" si="103"/>
        <v>2.03210729526519</v>
      </c>
      <c r="E853" s="3">
        <f t="shared" si="104"/>
        <v>4.2000000000000003E-2</v>
      </c>
      <c r="F853" s="3" t="e">
        <f t="shared" si="105"/>
        <v>#N/A</v>
      </c>
      <c r="G853" s="3" t="e">
        <f t="shared" si="106"/>
        <v>#N/A</v>
      </c>
      <c r="H853" s="3" t="e">
        <f t="shared" si="107"/>
        <v>#N/A</v>
      </c>
      <c r="I853" s="3" t="e">
        <f t="shared" si="108"/>
        <v>#N/A</v>
      </c>
      <c r="J853" s="3">
        <v>2032.10729526519</v>
      </c>
      <c r="K853" s="3">
        <v>42</v>
      </c>
      <c r="L853" s="3" t="e">
        <v>#N/A</v>
      </c>
      <c r="M853" s="3" t="e">
        <v>#N/A</v>
      </c>
      <c r="N853" s="3" t="e">
        <v>#N/A</v>
      </c>
      <c r="O853" s="3" t="e">
        <v>#N/A</v>
      </c>
      <c r="P853" s="3">
        <f>E853*(VLOOKUP(B853,Price_data!A$1:B$190,2,FALSE))</f>
        <v>0.46483690260000005</v>
      </c>
      <c r="Q853" s="3" t="e">
        <f>G853*(VLOOKUP(B853,Price_data!A$1:B$190,2,FALSE))</f>
        <v>#N/A</v>
      </c>
      <c r="R853" s="3" t="e">
        <f>I853*(VLOOKUP(B853,Price_data!A$1:B$190,2,FALSE))</f>
        <v>#N/A</v>
      </c>
      <c r="S853" s="4" t="str">
        <f>(VLOOKUP(B853,Price_data!A$1:C$190,3,FALSE))</f>
        <v>Open access</v>
      </c>
      <c r="T853" s="2" t="str">
        <f>IF(C853="Total", (VLOOKUP(B853,Recommended_fish_intake!A$4:D$122,4,FALSE)), "NA")</f>
        <v>NA</v>
      </c>
      <c r="U853" s="2" t="str">
        <f t="shared" si="109"/>
        <v>NA</v>
      </c>
    </row>
    <row r="854" spans="1:21" ht="14.25" customHeight="1">
      <c r="A854" s="2" t="s">
        <v>40</v>
      </c>
      <c r="B854" s="2">
        <v>1966</v>
      </c>
      <c r="C854" s="2" t="s">
        <v>19</v>
      </c>
      <c r="D854" s="3">
        <f t="shared" si="103"/>
        <v>0.86364560048770567</v>
      </c>
      <c r="E854" s="3">
        <f t="shared" si="104"/>
        <v>2.5000000000000001E-2</v>
      </c>
      <c r="F854" s="3" t="e">
        <f t="shared" si="105"/>
        <v>#N/A</v>
      </c>
      <c r="G854" s="3" t="e">
        <f t="shared" si="106"/>
        <v>#N/A</v>
      </c>
      <c r="H854" s="3" t="e">
        <f t="shared" si="107"/>
        <v>#N/A</v>
      </c>
      <c r="I854" s="3" t="e">
        <f t="shared" si="108"/>
        <v>#N/A</v>
      </c>
      <c r="J854" s="3">
        <v>863.64560048770568</v>
      </c>
      <c r="K854" s="3">
        <v>25</v>
      </c>
      <c r="L854" s="3" t="e">
        <v>#N/A</v>
      </c>
      <c r="M854" s="3" t="e">
        <v>#N/A</v>
      </c>
      <c r="N854" s="3" t="e">
        <v>#N/A</v>
      </c>
      <c r="O854" s="3" t="e">
        <v>#N/A</v>
      </c>
      <c r="P854" s="3">
        <f>E854*(VLOOKUP(B854,Price_data!A$1:B$190,2,FALSE))</f>
        <v>0.27668863250000003</v>
      </c>
      <c r="Q854" s="3" t="e">
        <f>G854*(VLOOKUP(B854,Price_data!A$1:B$190,2,FALSE))</f>
        <v>#N/A</v>
      </c>
      <c r="R854" s="3" t="e">
        <f>I854*(VLOOKUP(B854,Price_data!A$1:B$190,2,FALSE))</f>
        <v>#N/A</v>
      </c>
      <c r="S854" s="4" t="str">
        <f>(VLOOKUP(B854,Price_data!A$1:C$190,3,FALSE))</f>
        <v>Open access</v>
      </c>
      <c r="T854" s="2" t="str">
        <f>IF(C854="Total", (VLOOKUP(B854,Recommended_fish_intake!A$4:D$122,4,FALSE)), "NA")</f>
        <v>NA</v>
      </c>
      <c r="U854" s="2" t="str">
        <f t="shared" si="109"/>
        <v>NA</v>
      </c>
    </row>
    <row r="855" spans="1:21" ht="14.25" customHeight="1">
      <c r="A855" s="2" t="s">
        <v>40</v>
      </c>
      <c r="B855" s="2">
        <v>1966</v>
      </c>
      <c r="C855" s="2" t="s">
        <v>21</v>
      </c>
      <c r="D855" s="3">
        <f t="shared" si="103"/>
        <v>0.25401341190814875</v>
      </c>
      <c r="E855" s="3">
        <f t="shared" si="104"/>
        <v>2E-3</v>
      </c>
      <c r="F855" s="3" t="e">
        <f t="shared" si="105"/>
        <v>#N/A</v>
      </c>
      <c r="G855" s="3" t="e">
        <f t="shared" si="106"/>
        <v>#N/A</v>
      </c>
      <c r="H855" s="3" t="e">
        <f t="shared" si="107"/>
        <v>#N/A</v>
      </c>
      <c r="I855" s="3" t="e">
        <f t="shared" si="108"/>
        <v>#N/A</v>
      </c>
      <c r="J855" s="3">
        <v>254.01341190814875</v>
      </c>
      <c r="K855" s="3">
        <v>2</v>
      </c>
      <c r="L855" s="3" t="e">
        <v>#N/A</v>
      </c>
      <c r="M855" s="3" t="e">
        <v>#N/A</v>
      </c>
      <c r="N855" s="3" t="e">
        <v>#N/A</v>
      </c>
      <c r="O855" s="3" t="e">
        <v>#N/A</v>
      </c>
      <c r="P855" s="3">
        <f>E855*(VLOOKUP(B855,Price_data!A$1:B$190,2,FALSE))</f>
        <v>2.2135090600000001E-2</v>
      </c>
      <c r="Q855" s="3" t="e">
        <f>G855*(VLOOKUP(B855,Price_data!A$1:B$190,2,FALSE))</f>
        <v>#N/A</v>
      </c>
      <c r="R855" s="3" t="e">
        <f>I855*(VLOOKUP(B855,Price_data!A$1:B$190,2,FALSE))</f>
        <v>#N/A</v>
      </c>
      <c r="S855" s="4" t="str">
        <f>(VLOOKUP(B855,Price_data!A$1:C$190,3,FALSE))</f>
        <v>Open access</v>
      </c>
      <c r="T855" s="2" t="str">
        <f>IF(C855="Total", (VLOOKUP(B855,Recommended_fish_intake!A$4:D$122,4,FALSE)), "NA")</f>
        <v>NA</v>
      </c>
      <c r="U855" s="2" t="str">
        <f t="shared" si="109"/>
        <v>NA</v>
      </c>
    </row>
    <row r="856" spans="1:21" ht="14.25" customHeight="1">
      <c r="A856" s="2" t="s">
        <v>40</v>
      </c>
      <c r="B856" s="2">
        <v>1966</v>
      </c>
      <c r="C856" s="2" t="s">
        <v>34</v>
      </c>
      <c r="D856" s="3">
        <f t="shared" si="103"/>
        <v>0</v>
      </c>
      <c r="E856" s="3">
        <f t="shared" si="104"/>
        <v>0.01</v>
      </c>
      <c r="F856" s="3" t="e">
        <f t="shared" si="105"/>
        <v>#N/A</v>
      </c>
      <c r="G856" s="3" t="e">
        <f t="shared" si="106"/>
        <v>#N/A</v>
      </c>
      <c r="H856" s="3" t="e">
        <f t="shared" si="107"/>
        <v>#N/A</v>
      </c>
      <c r="I856" s="3" t="e">
        <f t="shared" si="108"/>
        <v>#N/A</v>
      </c>
      <c r="J856" s="3">
        <v>0</v>
      </c>
      <c r="K856" s="3">
        <v>10</v>
      </c>
      <c r="L856" s="3" t="e">
        <v>#N/A</v>
      </c>
      <c r="M856" s="3" t="e">
        <v>#N/A</v>
      </c>
      <c r="N856" s="3" t="e">
        <v>#N/A</v>
      </c>
      <c r="O856" s="3" t="e">
        <v>#N/A</v>
      </c>
      <c r="P856" s="3">
        <f>E856*(VLOOKUP(B856,Price_data!A$1:B$190,2,FALSE))</f>
        <v>0.11067545300000001</v>
      </c>
      <c r="Q856" s="3" t="e">
        <f>G856*(VLOOKUP(B856,Price_data!A$1:B$190,2,FALSE))</f>
        <v>#N/A</v>
      </c>
      <c r="R856" s="3" t="e">
        <f>I856*(VLOOKUP(B856,Price_data!A$1:B$190,2,FALSE))</f>
        <v>#N/A</v>
      </c>
      <c r="S856" s="4" t="str">
        <f>(VLOOKUP(B856,Price_data!A$1:C$190,3,FALSE))</f>
        <v>Open access</v>
      </c>
      <c r="T856" s="2" t="str">
        <f>IF(C856="Total", (VLOOKUP(B856,Recommended_fish_intake!A$4:D$122,4,FALSE)), "NA")</f>
        <v>NA</v>
      </c>
      <c r="U856" s="2" t="str">
        <f t="shared" si="109"/>
        <v>NA</v>
      </c>
    </row>
    <row r="857" spans="1:21" ht="14.25" customHeight="1">
      <c r="A857" s="2" t="s">
        <v>40</v>
      </c>
      <c r="B857" s="2">
        <v>1966</v>
      </c>
      <c r="C857" s="2" t="s">
        <v>35</v>
      </c>
      <c r="D857" s="3">
        <f t="shared" si="103"/>
        <v>1.3716724243040033</v>
      </c>
      <c r="E857" s="3">
        <f t="shared" si="104"/>
        <v>0.128</v>
      </c>
      <c r="F857" s="3" t="e">
        <f t="shared" si="105"/>
        <v>#N/A</v>
      </c>
      <c r="G857" s="3" t="e">
        <f t="shared" si="106"/>
        <v>#N/A</v>
      </c>
      <c r="H857" s="3" t="e">
        <f t="shared" si="107"/>
        <v>#N/A</v>
      </c>
      <c r="I857" s="3" t="e">
        <f t="shared" si="108"/>
        <v>#N/A</v>
      </c>
      <c r="J857" s="3">
        <v>1371.6724243040032</v>
      </c>
      <c r="K857" s="3">
        <v>128</v>
      </c>
      <c r="L857" s="3" t="e">
        <v>#N/A</v>
      </c>
      <c r="M857" s="3" t="e">
        <v>#N/A</v>
      </c>
      <c r="N857" s="3" t="e">
        <v>#N/A</v>
      </c>
      <c r="O857" s="3" t="e">
        <v>#N/A</v>
      </c>
      <c r="P857" s="3">
        <f>E857*(VLOOKUP(B857,Price_data!A$1:B$190,2,FALSE))</f>
        <v>1.4166457984</v>
      </c>
      <c r="Q857" s="3" t="e">
        <f>G857*(VLOOKUP(B857,Price_data!A$1:B$190,2,FALSE))</f>
        <v>#N/A</v>
      </c>
      <c r="R857" s="3" t="e">
        <f>I857*(VLOOKUP(B857,Price_data!A$1:B$190,2,FALSE))</f>
        <v>#N/A</v>
      </c>
      <c r="S857" s="4" t="str">
        <f>(VLOOKUP(B857,Price_data!A$1:C$190,3,FALSE))</f>
        <v>Open access</v>
      </c>
      <c r="T857" s="2" t="str">
        <f>IF(C857="Total", (VLOOKUP(B857,Recommended_fish_intake!A$4:D$122,4,FALSE)), "NA")</f>
        <v>NA</v>
      </c>
      <c r="U857" s="2" t="str">
        <f t="shared" si="109"/>
        <v>NA</v>
      </c>
    </row>
    <row r="858" spans="1:21" ht="14.25" customHeight="1">
      <c r="A858" s="2" t="s">
        <v>40</v>
      </c>
      <c r="B858" s="2">
        <v>1966</v>
      </c>
      <c r="C858" s="2" t="s">
        <v>30</v>
      </c>
      <c r="D858" s="3">
        <f t="shared" si="103"/>
        <v>0</v>
      </c>
      <c r="E858" s="3">
        <f t="shared" si="104"/>
        <v>0</v>
      </c>
      <c r="F858" s="3" t="e">
        <f t="shared" si="105"/>
        <v>#N/A</v>
      </c>
      <c r="G858" s="3" t="e">
        <f t="shared" si="106"/>
        <v>#N/A</v>
      </c>
      <c r="H858" s="3" t="e">
        <f t="shared" si="107"/>
        <v>#N/A</v>
      </c>
      <c r="I858" s="3" t="e">
        <f t="shared" si="108"/>
        <v>#N/A</v>
      </c>
      <c r="J858" s="3">
        <v>0</v>
      </c>
      <c r="K858" s="3">
        <v>0</v>
      </c>
      <c r="L858" s="3" t="e">
        <v>#N/A</v>
      </c>
      <c r="M858" s="3" t="e">
        <v>#N/A</v>
      </c>
      <c r="N858" s="3" t="e">
        <v>#N/A</v>
      </c>
      <c r="O858" s="3" t="e">
        <v>#N/A</v>
      </c>
      <c r="P858" s="3">
        <f>E858*(VLOOKUP(B858,Price_data!A$1:B$190,2,FALSE))</f>
        <v>0</v>
      </c>
      <c r="Q858" s="3" t="e">
        <f>G858*(VLOOKUP(B858,Price_data!A$1:B$190,2,FALSE))</f>
        <v>#N/A</v>
      </c>
      <c r="R858" s="3" t="e">
        <f>I858*(VLOOKUP(B858,Price_data!A$1:B$190,2,FALSE))</f>
        <v>#N/A</v>
      </c>
      <c r="S858" s="4" t="str">
        <f>(VLOOKUP(B858,Price_data!A$1:C$190,3,FALSE))</f>
        <v>Open access</v>
      </c>
      <c r="T858" s="2" t="str">
        <f>IF(C858="Total", (VLOOKUP(B858,Recommended_fish_intake!A$4:D$122,4,FALSE)), "NA")</f>
        <v>NA</v>
      </c>
      <c r="U858" s="2" t="str">
        <f t="shared" si="109"/>
        <v>NA</v>
      </c>
    </row>
    <row r="859" spans="1:21" ht="14.25" customHeight="1">
      <c r="A859" s="2" t="s">
        <v>40</v>
      </c>
      <c r="B859" s="2">
        <v>1966</v>
      </c>
      <c r="C859" s="2" t="s">
        <v>36</v>
      </c>
      <c r="D859" s="3">
        <f t="shared" si="103"/>
        <v>0</v>
      </c>
      <c r="E859" s="3">
        <f t="shared" si="104"/>
        <v>0</v>
      </c>
      <c r="F859" s="3" t="e">
        <f t="shared" si="105"/>
        <v>#N/A</v>
      </c>
      <c r="G859" s="3" t="e">
        <f t="shared" si="106"/>
        <v>#N/A</v>
      </c>
      <c r="H859" s="3" t="e">
        <f t="shared" si="107"/>
        <v>#N/A</v>
      </c>
      <c r="I859" s="3" t="e">
        <f t="shared" si="108"/>
        <v>#N/A</v>
      </c>
      <c r="J859" s="3">
        <v>0</v>
      </c>
      <c r="K859" s="3">
        <v>0</v>
      </c>
      <c r="L859" s="3" t="e">
        <v>#N/A</v>
      </c>
      <c r="M859" s="3" t="e">
        <v>#N/A</v>
      </c>
      <c r="N859" s="3" t="e">
        <v>#N/A</v>
      </c>
      <c r="O859" s="3" t="e">
        <v>#N/A</v>
      </c>
      <c r="P859" s="3">
        <f>E859*(VLOOKUP(B859,Price_data!A$1:B$190,2,FALSE))</f>
        <v>0</v>
      </c>
      <c r="Q859" s="3" t="e">
        <f>G859*(VLOOKUP(B859,Price_data!A$1:B$190,2,FALSE))</f>
        <v>#N/A</v>
      </c>
      <c r="R859" s="3" t="e">
        <f>I859*(VLOOKUP(B859,Price_data!A$1:B$190,2,FALSE))</f>
        <v>#N/A</v>
      </c>
      <c r="S859" s="4" t="str">
        <f>(VLOOKUP(B859,Price_data!A$1:C$190,3,FALSE))</f>
        <v>Open access</v>
      </c>
      <c r="T859" s="2" t="str">
        <f>IF(C859="Total", (VLOOKUP(B859,Recommended_fish_intake!A$4:D$122,4,FALSE)), "NA")</f>
        <v>NA</v>
      </c>
      <c r="U859" s="2" t="str">
        <f t="shared" si="109"/>
        <v>NA</v>
      </c>
    </row>
    <row r="860" spans="1:21" ht="14.25" customHeight="1">
      <c r="A860" s="2" t="s">
        <v>40</v>
      </c>
      <c r="B860" s="2">
        <v>1966</v>
      </c>
      <c r="C860" s="2" t="s">
        <v>28</v>
      </c>
      <c r="D860" s="3">
        <f t="shared" si="103"/>
        <v>1.5748831538305221</v>
      </c>
      <c r="E860" s="3">
        <f t="shared" si="104"/>
        <v>0.14799999999999999</v>
      </c>
      <c r="F860" s="3" t="e">
        <f t="shared" si="105"/>
        <v>#N/A</v>
      </c>
      <c r="G860" s="3" t="e">
        <f t="shared" si="106"/>
        <v>#N/A</v>
      </c>
      <c r="H860" s="3" t="e">
        <f t="shared" si="107"/>
        <v>#N/A</v>
      </c>
      <c r="I860" s="3" t="e">
        <f t="shared" si="108"/>
        <v>#N/A</v>
      </c>
      <c r="J860" s="3">
        <v>1574.8831538305221</v>
      </c>
      <c r="K860" s="3">
        <v>148</v>
      </c>
      <c r="L860" s="3" t="e">
        <v>#N/A</v>
      </c>
      <c r="M860" s="3" t="e">
        <v>#N/A</v>
      </c>
      <c r="N860" s="3" t="e">
        <v>#N/A</v>
      </c>
      <c r="O860" s="3" t="e">
        <v>#N/A</v>
      </c>
      <c r="P860" s="3">
        <f>E860*(VLOOKUP(B860,Price_data!A$1:B$190,2,FALSE))</f>
        <v>1.6379967044000001</v>
      </c>
      <c r="Q860" s="3" t="e">
        <f>G860*(VLOOKUP(B860,Price_data!A$1:B$190,2,FALSE))</f>
        <v>#N/A</v>
      </c>
      <c r="R860" s="3" t="e">
        <f>I860*(VLOOKUP(B860,Price_data!A$1:B$190,2,FALSE))</f>
        <v>#N/A</v>
      </c>
      <c r="S860" s="4" t="str">
        <f>(VLOOKUP(B860,Price_data!A$1:C$190,3,FALSE))</f>
        <v>Open access</v>
      </c>
      <c r="T860" s="2" t="str">
        <f>IF(C860="Total", (VLOOKUP(B860,Recommended_fish_intake!A$4:D$122,4,FALSE)), "NA")</f>
        <v>NA</v>
      </c>
      <c r="U860" s="2">
        <f t="shared" si="109"/>
        <v>0.44096728307254623</v>
      </c>
    </row>
    <row r="861" spans="1:21" ht="14.25" customHeight="1">
      <c r="A861" s="2" t="s">
        <v>40</v>
      </c>
      <c r="B861" s="2">
        <v>1966</v>
      </c>
      <c r="C861" s="2" t="s">
        <v>37</v>
      </c>
      <c r="D861" s="3">
        <f t="shared" si="103"/>
        <v>5.1818736029262347</v>
      </c>
      <c r="E861" s="3">
        <f t="shared" si="104"/>
        <v>0.155</v>
      </c>
      <c r="F861" s="3" t="e">
        <f t="shared" si="105"/>
        <v>#N/A</v>
      </c>
      <c r="G861" s="3" t="e">
        <f t="shared" si="106"/>
        <v>#N/A</v>
      </c>
      <c r="H861" s="3" t="e">
        <f t="shared" si="107"/>
        <v>#N/A</v>
      </c>
      <c r="I861" s="3" t="e">
        <f t="shared" si="108"/>
        <v>#N/A</v>
      </c>
      <c r="J861" s="3">
        <v>5181.8736029262345</v>
      </c>
      <c r="K861" s="3">
        <v>155</v>
      </c>
      <c r="L861" s="3" t="e">
        <v>#N/A</v>
      </c>
      <c r="M861" s="3" t="e">
        <v>#N/A</v>
      </c>
      <c r="N861" s="3" t="e">
        <v>#N/A</v>
      </c>
      <c r="O861" s="3" t="e">
        <v>#N/A</v>
      </c>
      <c r="P861" s="3">
        <f>E861*(VLOOKUP(B861,Price_data!A$1:B$190,2,FALSE))</f>
        <v>1.7154695215000002</v>
      </c>
      <c r="Q861" s="3" t="e">
        <f>G861*(VLOOKUP(B861,Price_data!A$1:B$190,2,FALSE))</f>
        <v>#N/A</v>
      </c>
      <c r="R861" s="3" t="e">
        <f>I861*(VLOOKUP(B861,Price_data!A$1:B$190,2,FALSE))</f>
        <v>#N/A</v>
      </c>
      <c r="S861" s="4" t="str">
        <f>(VLOOKUP(B861,Price_data!A$1:C$190,3,FALSE))</f>
        <v>Open access</v>
      </c>
      <c r="T861" s="2" t="str">
        <f>IF(C861="Total", (VLOOKUP(B861,Recommended_fish_intake!A$4:D$122,4,FALSE)), "NA")</f>
        <v>NA</v>
      </c>
      <c r="U861" s="2">
        <f t="shared" si="109"/>
        <v>2.539118065433855</v>
      </c>
    </row>
    <row r="862" spans="1:21" ht="14.25" customHeight="1">
      <c r="A862" s="2" t="s">
        <v>18</v>
      </c>
      <c r="B862" s="2">
        <v>1966</v>
      </c>
      <c r="C862" s="2" t="s">
        <v>41</v>
      </c>
      <c r="D862" s="3">
        <f t="shared" si="103"/>
        <v>478.96768949400524</v>
      </c>
      <c r="E862" s="3">
        <f t="shared" si="104"/>
        <v>38.487000000000002</v>
      </c>
      <c r="F862" s="3" t="e">
        <f t="shared" si="105"/>
        <v>#N/A</v>
      </c>
      <c r="G862" s="3" t="e">
        <f t="shared" si="106"/>
        <v>#N/A</v>
      </c>
      <c r="H862" s="3" t="e">
        <f t="shared" si="107"/>
        <v>#N/A</v>
      </c>
      <c r="I862" s="3" t="e">
        <f t="shared" si="108"/>
        <v>#N/A</v>
      </c>
      <c r="J862" s="3">
        <v>478967.68949400523</v>
      </c>
      <c r="K862" s="3">
        <v>38487</v>
      </c>
      <c r="L862" s="3" t="e">
        <v>#N/A</v>
      </c>
      <c r="M862" s="3" t="e">
        <v>#N/A</v>
      </c>
      <c r="N862" s="3" t="e">
        <v>#N/A</v>
      </c>
      <c r="O862" s="3" t="e">
        <v>#N/A</v>
      </c>
      <c r="P862" s="3">
        <f>E862*(VLOOKUP(B862,Price_data!A$1:B$190,2,FALSE))</f>
        <v>425.95661596110006</v>
      </c>
      <c r="Q862" s="3" t="e">
        <f>G862*(VLOOKUP(B862,Price_data!A$1:B$190,2,FALSE))</f>
        <v>#N/A</v>
      </c>
      <c r="R862" s="3" t="e">
        <f>I862*(VLOOKUP(B862,Price_data!A$1:B$190,2,FALSE))</f>
        <v>#N/A</v>
      </c>
      <c r="S862" s="4" t="str">
        <f>(VLOOKUP(B862,Price_data!A$1:C$190,3,FALSE))</f>
        <v>Open access</v>
      </c>
      <c r="T862" s="2" t="str">
        <f>IF(C862="Total", (VLOOKUP(B862,Recommended_fish_intake!A$4:D$122,4,FALSE)), "NA")</f>
        <v>NA</v>
      </c>
      <c r="U862" s="2" t="str">
        <f t="shared" si="109"/>
        <v>NA</v>
      </c>
    </row>
    <row r="863" spans="1:21" ht="14.25" customHeight="1">
      <c r="A863" s="2" t="s">
        <v>18</v>
      </c>
      <c r="B863" s="2">
        <v>1966</v>
      </c>
      <c r="C863" s="2" t="s">
        <v>42</v>
      </c>
      <c r="D863" s="3">
        <f t="shared" si="103"/>
        <v>25.045722414143466</v>
      </c>
      <c r="E863" s="3">
        <f t="shared" si="104"/>
        <v>0.72699999999999998</v>
      </c>
      <c r="F863" s="3" t="e">
        <f t="shared" si="105"/>
        <v>#N/A</v>
      </c>
      <c r="G863" s="3" t="e">
        <f t="shared" si="106"/>
        <v>#N/A</v>
      </c>
      <c r="H863" s="3" t="e">
        <f t="shared" si="107"/>
        <v>#N/A</v>
      </c>
      <c r="I863" s="3" t="e">
        <f t="shared" si="108"/>
        <v>#N/A</v>
      </c>
      <c r="J863" s="3">
        <v>25045.722414143467</v>
      </c>
      <c r="K863" s="3">
        <v>727</v>
      </c>
      <c r="L863" s="3" t="e">
        <v>#N/A</v>
      </c>
      <c r="M863" s="3" t="e">
        <v>#N/A</v>
      </c>
      <c r="N863" s="3" t="e">
        <v>#N/A</v>
      </c>
      <c r="O863" s="3" t="e">
        <v>#N/A</v>
      </c>
      <c r="P863" s="3">
        <f>E863*(VLOOKUP(B863,Price_data!A$1:B$190,2,FALSE))</f>
        <v>8.046105433100001</v>
      </c>
      <c r="Q863" s="3" t="e">
        <f>G863*(VLOOKUP(B863,Price_data!A$1:B$190,2,FALSE))</f>
        <v>#N/A</v>
      </c>
      <c r="R863" s="3" t="e">
        <f>I863*(VLOOKUP(B863,Price_data!A$1:B$190,2,FALSE))</f>
        <v>#N/A</v>
      </c>
      <c r="S863" s="4" t="str">
        <f>(VLOOKUP(B863,Price_data!A$1:C$190,3,FALSE))</f>
        <v>Open access</v>
      </c>
      <c r="T863" s="2" t="str">
        <f>IF(C863="Total", (VLOOKUP(B863,Recommended_fish_intake!A$4:D$122,4,FALSE)), "NA")</f>
        <v>NA</v>
      </c>
      <c r="U863" s="2" t="str">
        <f t="shared" si="109"/>
        <v>NA</v>
      </c>
    </row>
    <row r="864" spans="1:21" ht="14.25" customHeight="1">
      <c r="A864" s="2" t="s">
        <v>39</v>
      </c>
      <c r="B864" s="2">
        <v>1966</v>
      </c>
      <c r="C864" s="2" t="s">
        <v>41</v>
      </c>
      <c r="D864" s="3">
        <f t="shared" si="103"/>
        <v>232.77789067262751</v>
      </c>
      <c r="E864" s="3">
        <f t="shared" si="104"/>
        <v>15.805999999999999</v>
      </c>
      <c r="F864" s="3" t="e">
        <f t="shared" si="105"/>
        <v>#N/A</v>
      </c>
      <c r="G864" s="3" t="e">
        <f t="shared" si="106"/>
        <v>#N/A</v>
      </c>
      <c r="H864" s="3" t="e">
        <f t="shared" si="107"/>
        <v>#N/A</v>
      </c>
      <c r="I864" s="3" t="e">
        <f t="shared" si="108"/>
        <v>#N/A</v>
      </c>
      <c r="J864" s="3">
        <v>232777.89067262752</v>
      </c>
      <c r="K864" s="3">
        <v>15806</v>
      </c>
      <c r="L864" s="3" t="e">
        <v>#N/A</v>
      </c>
      <c r="M864" s="3" t="e">
        <v>#N/A</v>
      </c>
      <c r="N864" s="3" t="e">
        <v>#N/A</v>
      </c>
      <c r="O864" s="3" t="e">
        <v>#N/A</v>
      </c>
      <c r="P864" s="3">
        <f>E864*(VLOOKUP(B864,Price_data!A$1:B$190,2,FALSE))</f>
        <v>174.9336210118</v>
      </c>
      <c r="Q864" s="3" t="e">
        <f>G864*(VLOOKUP(B864,Price_data!A$1:B$190,2,FALSE))</f>
        <v>#N/A</v>
      </c>
      <c r="R864" s="3" t="e">
        <f>I864*(VLOOKUP(B864,Price_data!A$1:B$190,2,FALSE))</f>
        <v>#N/A</v>
      </c>
      <c r="S864" s="4" t="str">
        <f>(VLOOKUP(B864,Price_data!A$1:C$190,3,FALSE))</f>
        <v>Open access</v>
      </c>
      <c r="T864" s="2" t="str">
        <f>IF(C864="Total", (VLOOKUP(B864,Recommended_fish_intake!A$4:D$122,4,FALSE)), "NA")</f>
        <v>NA</v>
      </c>
      <c r="U864" s="2" t="str">
        <f t="shared" si="109"/>
        <v>NA</v>
      </c>
    </row>
    <row r="865" spans="1:21" ht="14.25" customHeight="1">
      <c r="A865" s="2" t="s">
        <v>39</v>
      </c>
      <c r="B865" s="2">
        <v>1966</v>
      </c>
      <c r="C865" s="2" t="s">
        <v>42</v>
      </c>
      <c r="D865" s="3">
        <f t="shared" si="103"/>
        <v>173.94838447470025</v>
      </c>
      <c r="E865" s="3">
        <f t="shared" si="104"/>
        <v>2.9609999999999999</v>
      </c>
      <c r="F865" s="3" t="e">
        <f t="shared" si="105"/>
        <v>#N/A</v>
      </c>
      <c r="G865" s="3" t="e">
        <f t="shared" si="106"/>
        <v>#N/A</v>
      </c>
      <c r="H865" s="3" t="e">
        <f t="shared" si="107"/>
        <v>#N/A</v>
      </c>
      <c r="I865" s="3" t="e">
        <f t="shared" si="108"/>
        <v>#N/A</v>
      </c>
      <c r="J865" s="3">
        <v>173948.38447470026</v>
      </c>
      <c r="K865" s="3">
        <v>2961</v>
      </c>
      <c r="L865" s="3" t="e">
        <v>#N/A</v>
      </c>
      <c r="M865" s="3" t="e">
        <v>#N/A</v>
      </c>
      <c r="N865" s="3" t="e">
        <v>#N/A</v>
      </c>
      <c r="O865" s="3" t="e">
        <v>#N/A</v>
      </c>
      <c r="P865" s="3">
        <f>E865*(VLOOKUP(B865,Price_data!A$1:B$190,2,FALSE))</f>
        <v>32.771001633300003</v>
      </c>
      <c r="Q865" s="3" t="e">
        <f>G865*(VLOOKUP(B865,Price_data!A$1:B$190,2,FALSE))</f>
        <v>#N/A</v>
      </c>
      <c r="R865" s="3" t="e">
        <f>I865*(VLOOKUP(B865,Price_data!A$1:B$190,2,FALSE))</f>
        <v>#N/A</v>
      </c>
      <c r="S865" s="4" t="str">
        <f>(VLOOKUP(B865,Price_data!A$1:C$190,3,FALSE))</f>
        <v>Open access</v>
      </c>
      <c r="T865" s="2" t="str">
        <f>IF(C865="Total", (VLOOKUP(B865,Recommended_fish_intake!A$4:D$122,4,FALSE)), "NA")</f>
        <v>NA</v>
      </c>
      <c r="U865" s="2" t="str">
        <f t="shared" si="109"/>
        <v>NA</v>
      </c>
    </row>
    <row r="866" spans="1:21" ht="14.25" customHeight="1">
      <c r="A866" s="2" t="s">
        <v>40</v>
      </c>
      <c r="B866" s="2">
        <v>1966</v>
      </c>
      <c r="C866" s="2" t="s">
        <v>41</v>
      </c>
      <c r="D866" s="3">
        <f t="shared" si="103"/>
        <v>3.9626092257671202</v>
      </c>
      <c r="E866" s="3">
        <f t="shared" si="104"/>
        <v>0.126</v>
      </c>
      <c r="F866" s="3" t="e">
        <f t="shared" si="105"/>
        <v>#N/A</v>
      </c>
      <c r="G866" s="3" t="e">
        <f t="shared" si="106"/>
        <v>#N/A</v>
      </c>
      <c r="H866" s="3" t="e">
        <f t="shared" si="107"/>
        <v>#N/A</v>
      </c>
      <c r="I866" s="3" t="e">
        <f t="shared" si="108"/>
        <v>#N/A</v>
      </c>
      <c r="J866" s="3">
        <v>3962.6092257671203</v>
      </c>
      <c r="K866" s="3">
        <v>126</v>
      </c>
      <c r="L866" s="3" t="e">
        <v>#N/A</v>
      </c>
      <c r="M866" s="3" t="e">
        <v>#N/A</v>
      </c>
      <c r="N866" s="3" t="e">
        <v>#N/A</v>
      </c>
      <c r="O866" s="3" t="e">
        <v>#N/A</v>
      </c>
      <c r="P866" s="3">
        <f>E866*(VLOOKUP(B866,Price_data!A$1:B$190,2,FALSE))</f>
        <v>1.3945107078000001</v>
      </c>
      <c r="Q866" s="3" t="e">
        <f>G866*(VLOOKUP(B866,Price_data!A$1:B$190,2,FALSE))</f>
        <v>#N/A</v>
      </c>
      <c r="R866" s="3" t="e">
        <f>I866*(VLOOKUP(B866,Price_data!A$1:B$190,2,FALSE))</f>
        <v>#N/A</v>
      </c>
      <c r="S866" s="4" t="str">
        <f>(VLOOKUP(B866,Price_data!A$1:C$190,3,FALSE))</f>
        <v>Open access</v>
      </c>
      <c r="T866" s="2" t="str">
        <f>IF(C866="Total", (VLOOKUP(B866,Recommended_fish_intake!A$4:D$122,4,FALSE)), "NA")</f>
        <v>NA</v>
      </c>
      <c r="U866" s="2" t="str">
        <f t="shared" si="109"/>
        <v>NA</v>
      </c>
    </row>
    <row r="867" spans="1:21" ht="14.25" customHeight="1">
      <c r="A867" s="2" t="s">
        <v>40</v>
      </c>
      <c r="B867" s="2">
        <v>1966</v>
      </c>
      <c r="C867" s="2" t="s">
        <v>42</v>
      </c>
      <c r="D867" s="3">
        <f t="shared" si="103"/>
        <v>1.2192643771591138</v>
      </c>
      <c r="E867" s="3">
        <f t="shared" si="104"/>
        <v>2.9000000000000001E-2</v>
      </c>
      <c r="F867" s="3" t="e">
        <f t="shared" si="105"/>
        <v>#N/A</v>
      </c>
      <c r="G867" s="3" t="e">
        <f t="shared" si="106"/>
        <v>#N/A</v>
      </c>
      <c r="H867" s="3" t="e">
        <f t="shared" si="107"/>
        <v>#N/A</v>
      </c>
      <c r="I867" s="3" t="e">
        <f t="shared" si="108"/>
        <v>#N/A</v>
      </c>
      <c r="J867" s="3">
        <v>1219.2643771591138</v>
      </c>
      <c r="K867" s="3">
        <v>29</v>
      </c>
      <c r="L867" s="3" t="e">
        <v>#N/A</v>
      </c>
      <c r="M867" s="3" t="e">
        <v>#N/A</v>
      </c>
      <c r="N867" s="3" t="e">
        <v>#N/A</v>
      </c>
      <c r="O867" s="3" t="e">
        <v>#N/A</v>
      </c>
      <c r="P867" s="3">
        <f>E867*(VLOOKUP(B867,Price_data!A$1:B$190,2,FALSE))</f>
        <v>0.32095881370000007</v>
      </c>
      <c r="Q867" s="3" t="e">
        <f>G867*(VLOOKUP(B867,Price_data!A$1:B$190,2,FALSE))</f>
        <v>#N/A</v>
      </c>
      <c r="R867" s="3" t="e">
        <f>I867*(VLOOKUP(B867,Price_data!A$1:B$190,2,FALSE))</f>
        <v>#N/A</v>
      </c>
      <c r="S867" s="4" t="str">
        <f>(VLOOKUP(B867,Price_data!A$1:C$190,3,FALSE))</f>
        <v>Open access</v>
      </c>
      <c r="T867" s="2" t="str">
        <f>IF(C867="Total", (VLOOKUP(B867,Recommended_fish_intake!A$4:D$122,4,FALSE)), "NA")</f>
        <v>NA</v>
      </c>
      <c r="U867" s="2" t="str">
        <f t="shared" si="109"/>
        <v>NA</v>
      </c>
    </row>
    <row r="868" spans="1:21" ht="14.25" customHeight="1">
      <c r="A868" s="2" t="s">
        <v>15</v>
      </c>
      <c r="B868" s="2">
        <v>1966</v>
      </c>
      <c r="C868" s="2" t="s">
        <v>41</v>
      </c>
      <c r="D868" s="3">
        <f t="shared" si="103"/>
        <v>715.70818939239985</v>
      </c>
      <c r="E868" s="3">
        <f t="shared" si="104"/>
        <v>54.418999999999997</v>
      </c>
      <c r="F868" s="3" t="e">
        <f t="shared" si="105"/>
        <v>#N/A</v>
      </c>
      <c r="G868" s="3" t="e">
        <f t="shared" si="106"/>
        <v>#N/A</v>
      </c>
      <c r="H868" s="3" t="e">
        <f t="shared" si="107"/>
        <v>#N/A</v>
      </c>
      <c r="I868" s="3" t="e">
        <f t="shared" si="108"/>
        <v>#N/A</v>
      </c>
      <c r="J868" s="3">
        <v>715708.18939239986</v>
      </c>
      <c r="K868" s="3">
        <v>54419</v>
      </c>
      <c r="L868" s="3" t="e">
        <v>#N/A</v>
      </c>
      <c r="M868" s="3" t="e">
        <v>#N/A</v>
      </c>
      <c r="N868" s="3" t="e">
        <v>#N/A</v>
      </c>
      <c r="O868" s="3" t="e">
        <v>#N/A</v>
      </c>
      <c r="P868" s="3">
        <f>E868*(VLOOKUP(B868,Price_data!A$1:B$190,2,FALSE))</f>
        <v>602.28474768069998</v>
      </c>
      <c r="Q868" s="3" t="e">
        <f>G868*(VLOOKUP(B868,Price_data!A$1:B$190,2,FALSE))</f>
        <v>#N/A</v>
      </c>
      <c r="R868" s="3" t="e">
        <f>I868*(VLOOKUP(B868,Price_data!A$1:B$190,2,FALSE))</f>
        <v>#N/A</v>
      </c>
      <c r="S868" s="4" t="str">
        <f>(VLOOKUP(B868,Price_data!A$1:C$190,3,FALSE))</f>
        <v>Open access</v>
      </c>
      <c r="T868" s="2" t="str">
        <f>IF(C868="Total", (VLOOKUP(B868,Recommended_fish_intake!A$4:D$122,4,FALSE)), "NA")</f>
        <v>NA</v>
      </c>
      <c r="U868" s="2" t="str">
        <f t="shared" si="109"/>
        <v>NA</v>
      </c>
    </row>
    <row r="869" spans="1:21" ht="14.25" customHeight="1">
      <c r="A869" s="2" t="s">
        <v>15</v>
      </c>
      <c r="B869" s="2">
        <v>1966</v>
      </c>
      <c r="C869" s="2" t="s">
        <v>42</v>
      </c>
      <c r="D869" s="3">
        <f t="shared" si="103"/>
        <v>200.21337126600284</v>
      </c>
      <c r="E869" s="3">
        <f t="shared" si="104"/>
        <v>3.7170000000000001</v>
      </c>
      <c r="F869" s="3" t="e">
        <f t="shared" si="105"/>
        <v>#N/A</v>
      </c>
      <c r="G869" s="3" t="e">
        <f t="shared" si="106"/>
        <v>#N/A</v>
      </c>
      <c r="H869" s="3" t="e">
        <f t="shared" si="107"/>
        <v>#N/A</v>
      </c>
      <c r="I869" s="3" t="e">
        <f t="shared" si="108"/>
        <v>#N/A</v>
      </c>
      <c r="J869" s="3">
        <v>200213.37126600282</v>
      </c>
      <c r="K869" s="3">
        <v>3717</v>
      </c>
      <c r="L869" s="3" t="e">
        <v>#N/A</v>
      </c>
      <c r="M869" s="3" t="e">
        <v>#N/A</v>
      </c>
      <c r="N869" s="3" t="e">
        <v>#N/A</v>
      </c>
      <c r="O869" s="3" t="e">
        <v>#N/A</v>
      </c>
      <c r="P869" s="3">
        <f>E869*(VLOOKUP(B869,Price_data!A$1:B$190,2,FALSE))</f>
        <v>41.138065880100001</v>
      </c>
      <c r="Q869" s="3" t="e">
        <f>G869*(VLOOKUP(B869,Price_data!A$1:B$190,2,FALSE))</f>
        <v>#N/A</v>
      </c>
      <c r="R869" s="3" t="e">
        <f>I869*(VLOOKUP(B869,Price_data!A$1:B$190,2,FALSE))</f>
        <v>#N/A</v>
      </c>
      <c r="S869" s="4" t="str">
        <f>(VLOOKUP(B869,Price_data!A$1:C$190,3,FALSE))</f>
        <v>Open access</v>
      </c>
      <c r="T869" s="2" t="str">
        <f>IF(C869="Total", (VLOOKUP(B869,Recommended_fish_intake!A$4:D$122,4,FALSE)), "NA")</f>
        <v>NA</v>
      </c>
      <c r="U869" s="2" t="str">
        <f t="shared" si="109"/>
        <v>NA</v>
      </c>
    </row>
    <row r="870" spans="1:21" ht="14.25" customHeight="1">
      <c r="A870" s="2" t="s">
        <v>18</v>
      </c>
      <c r="B870" s="2">
        <v>1966</v>
      </c>
      <c r="C870" s="2" t="s">
        <v>20</v>
      </c>
      <c r="D870" s="3">
        <f t="shared" si="103"/>
        <v>1.9813046128835601</v>
      </c>
      <c r="E870" s="3">
        <f t="shared" si="104"/>
        <v>0.121</v>
      </c>
      <c r="F870" s="3" t="e">
        <f t="shared" si="105"/>
        <v>#N/A</v>
      </c>
      <c r="G870" s="3" t="e">
        <f t="shared" si="106"/>
        <v>#N/A</v>
      </c>
      <c r="H870" s="3" t="e">
        <f t="shared" si="107"/>
        <v>#N/A</v>
      </c>
      <c r="I870" s="3" t="e">
        <f t="shared" si="108"/>
        <v>#N/A</v>
      </c>
      <c r="J870" s="2">
        <v>1981.3046128835601</v>
      </c>
      <c r="K870" s="2">
        <v>121</v>
      </c>
      <c r="L870" s="2" t="e">
        <v>#N/A</v>
      </c>
      <c r="M870" s="2" t="e">
        <v>#N/A</v>
      </c>
      <c r="N870" s="2" t="e">
        <v>#N/A</v>
      </c>
      <c r="O870" s="2" t="e">
        <v>#N/A</v>
      </c>
      <c r="P870" s="3">
        <f>E870*(VLOOKUP(B870,Price_data!A$1:B$190,2,FALSE))</f>
        <v>1.3391729813</v>
      </c>
      <c r="Q870" s="3" t="e">
        <f>G870*(VLOOKUP(B870,Price_data!A$1:B$190,2,FALSE))</f>
        <v>#N/A</v>
      </c>
      <c r="R870" s="3" t="e">
        <f>I870*(VLOOKUP(B870,Price_data!A$1:B$190,2,FALSE))</f>
        <v>#N/A</v>
      </c>
      <c r="S870" s="4" t="str">
        <f>(VLOOKUP(B870,Price_data!A$1:C$190,3,FALSE))</f>
        <v>Open access</v>
      </c>
      <c r="T870" s="2" t="str">
        <f>IF(C870="Total", (VLOOKUP(B870,Recommended_fish_intake!A$4:D$122,4,FALSE)), "NA")</f>
        <v>NA</v>
      </c>
      <c r="U870" s="2" t="str">
        <f t="shared" si="109"/>
        <v>NA</v>
      </c>
    </row>
    <row r="871" spans="1:21" ht="14.25" customHeight="1">
      <c r="A871" s="2" t="s">
        <v>39</v>
      </c>
      <c r="B871" s="2">
        <v>1966</v>
      </c>
      <c r="C871" s="2" t="s">
        <v>20</v>
      </c>
      <c r="D871" s="3">
        <f t="shared" si="103"/>
        <v>1.3208697419223734</v>
      </c>
      <c r="E871" s="3">
        <f t="shared" si="104"/>
        <v>3.5999999999999997E-2</v>
      </c>
      <c r="F871" s="3" t="e">
        <f t="shared" si="105"/>
        <v>#N/A</v>
      </c>
      <c r="G871" s="3" t="e">
        <f t="shared" si="106"/>
        <v>#N/A</v>
      </c>
      <c r="H871" s="3" t="e">
        <f t="shared" si="107"/>
        <v>#N/A</v>
      </c>
      <c r="I871" s="3" t="e">
        <f t="shared" si="108"/>
        <v>#N/A</v>
      </c>
      <c r="J871" s="2">
        <v>1320.8697419223734</v>
      </c>
      <c r="K871" s="2">
        <v>36</v>
      </c>
      <c r="L871" s="2" t="e">
        <v>#N/A</v>
      </c>
      <c r="M871" s="2" t="e">
        <v>#N/A</v>
      </c>
      <c r="N871" s="2" t="e">
        <v>#N/A</v>
      </c>
      <c r="O871" s="2" t="e">
        <v>#N/A</v>
      </c>
      <c r="P871" s="3">
        <f>E871*(VLOOKUP(B871,Price_data!A$1:B$190,2,FALSE))</f>
        <v>0.39843163079999999</v>
      </c>
      <c r="Q871" s="3" t="e">
        <f>G871*(VLOOKUP(B871,Price_data!A$1:B$190,2,FALSE))</f>
        <v>#N/A</v>
      </c>
      <c r="R871" s="3" t="e">
        <f>I871*(VLOOKUP(B871,Price_data!A$1:B$190,2,FALSE))</f>
        <v>#N/A</v>
      </c>
      <c r="S871" s="4" t="str">
        <f>(VLOOKUP(B871,Price_data!A$1:C$190,3,FALSE))</f>
        <v>Open access</v>
      </c>
      <c r="T871" s="2" t="str">
        <f>IF(C871="Total", (VLOOKUP(B871,Recommended_fish_intake!A$4:D$122,4,FALSE)), "NA")</f>
        <v>NA</v>
      </c>
      <c r="U871" s="2" t="str">
        <f t="shared" si="109"/>
        <v>NA</v>
      </c>
    </row>
    <row r="872" spans="1:21" ht="14.25" customHeight="1">
      <c r="A872" s="2" t="s">
        <v>40</v>
      </c>
      <c r="B872" s="2">
        <v>1966</v>
      </c>
      <c r="C872" s="2" t="s">
        <v>20</v>
      </c>
      <c r="D872" s="3">
        <f t="shared" ref="D872:D935" si="110">J872/1000</f>
        <v>0.1016053647632595</v>
      </c>
      <c r="E872" s="3">
        <f t="shared" ref="E872:E935" si="111">K872/1000</f>
        <v>2E-3</v>
      </c>
      <c r="F872" s="3" t="e">
        <f t="shared" ref="F872:F935" si="112">IF(L872="", NA(), L872/1000)</f>
        <v>#N/A</v>
      </c>
      <c r="G872" s="3" t="e">
        <f t="shared" ref="G872:G935" si="113">IF(M872="", NA(), M872/1000)</f>
        <v>#N/A</v>
      </c>
      <c r="H872" s="3" t="e">
        <f t="shared" ref="H872:H935" si="114">IF(N872="", NA(), N872/1000)</f>
        <v>#N/A</v>
      </c>
      <c r="I872" s="3" t="e">
        <f t="shared" ref="I872:I935" si="115">IF(O872="", NA(), O872/1000)</f>
        <v>#N/A</v>
      </c>
      <c r="J872" s="2">
        <v>101.6053647632595</v>
      </c>
      <c r="K872" s="2">
        <v>2</v>
      </c>
      <c r="L872" s="2" t="e">
        <v>#N/A</v>
      </c>
      <c r="M872" s="2" t="e">
        <v>#N/A</v>
      </c>
      <c r="N872" s="2" t="e">
        <v>#N/A</v>
      </c>
      <c r="O872" s="2" t="e">
        <v>#N/A</v>
      </c>
      <c r="P872" s="3">
        <f>E872*(VLOOKUP(B872,Price_data!A$1:B$190,2,FALSE))</f>
        <v>2.2135090600000001E-2</v>
      </c>
      <c r="Q872" s="3" t="e">
        <f>G872*(VLOOKUP(B872,Price_data!A$1:B$190,2,FALSE))</f>
        <v>#N/A</v>
      </c>
      <c r="R872" s="3" t="e">
        <f>I872*(VLOOKUP(B872,Price_data!A$1:B$190,2,FALSE))</f>
        <v>#N/A</v>
      </c>
      <c r="S872" s="4" t="str">
        <f>(VLOOKUP(B872,Price_data!A$1:C$190,3,FALSE))</f>
        <v>Open access</v>
      </c>
      <c r="T872" s="2" t="str">
        <f>IF(C872="Total", (VLOOKUP(B872,Recommended_fish_intake!A$4:D$122,4,FALSE)), "NA")</f>
        <v>NA</v>
      </c>
      <c r="U872" s="2" t="str">
        <f t="shared" si="109"/>
        <v>NA</v>
      </c>
    </row>
    <row r="873" spans="1:21" ht="14.25" customHeight="1">
      <c r="A873" s="2" t="s">
        <v>15</v>
      </c>
      <c r="B873" s="2">
        <v>1966</v>
      </c>
      <c r="C873" s="2" t="s">
        <v>20</v>
      </c>
      <c r="D873" s="3">
        <f t="shared" si="110"/>
        <v>3.4037797195691932</v>
      </c>
      <c r="E873" s="3">
        <f t="shared" si="111"/>
        <v>0.159</v>
      </c>
      <c r="F873" s="3" t="e">
        <f t="shared" si="112"/>
        <v>#N/A</v>
      </c>
      <c r="G873" s="3" t="e">
        <f t="shared" si="113"/>
        <v>#N/A</v>
      </c>
      <c r="H873" s="3" t="e">
        <f t="shared" si="114"/>
        <v>#N/A</v>
      </c>
      <c r="I873" s="3" t="e">
        <f t="shared" si="115"/>
        <v>#N/A</v>
      </c>
      <c r="J873" s="2">
        <v>3403.7797195691933</v>
      </c>
      <c r="K873" s="2">
        <v>159</v>
      </c>
      <c r="L873" s="2" t="e">
        <v>#N/A</v>
      </c>
      <c r="M873" s="2" t="e">
        <v>#N/A</v>
      </c>
      <c r="N873" s="2" t="e">
        <v>#N/A</v>
      </c>
      <c r="O873" s="2" t="e">
        <v>#N/A</v>
      </c>
      <c r="P873" s="3">
        <f>E873*(VLOOKUP(B873,Price_data!A$1:B$190,2,FALSE))</f>
        <v>1.7597397027000001</v>
      </c>
      <c r="Q873" s="3" t="e">
        <f>G873*(VLOOKUP(B873,Price_data!A$1:B$190,2,FALSE))</f>
        <v>#N/A</v>
      </c>
      <c r="R873" s="3" t="e">
        <f>I873*(VLOOKUP(B873,Price_data!A$1:B$190,2,FALSE))</f>
        <v>#N/A</v>
      </c>
      <c r="S873" s="4" t="str">
        <f>(VLOOKUP(B873,Price_data!A$1:C$190,3,FALSE))</f>
        <v>Open access</v>
      </c>
      <c r="T873" s="2" t="str">
        <f>IF(C873="Total", (VLOOKUP(B873,Recommended_fish_intake!A$4:D$122,4,FALSE)), "NA")</f>
        <v>NA</v>
      </c>
      <c r="U873" s="2" t="str">
        <f t="shared" si="109"/>
        <v>NA</v>
      </c>
    </row>
    <row r="874" spans="1:21" ht="14.25" customHeight="1">
      <c r="A874" s="2" t="s">
        <v>15</v>
      </c>
      <c r="B874" s="2">
        <v>1966</v>
      </c>
      <c r="C874" s="2" t="s">
        <v>29</v>
      </c>
      <c r="D874" s="3" t="e">
        <f t="shared" si="110"/>
        <v>#N/A</v>
      </c>
      <c r="E874" s="3" t="e">
        <f t="shared" si="111"/>
        <v>#N/A</v>
      </c>
      <c r="F874" s="3" t="e">
        <f t="shared" si="112"/>
        <v>#N/A</v>
      </c>
      <c r="G874" s="3" t="e">
        <f t="shared" si="113"/>
        <v>#N/A</v>
      </c>
      <c r="H874" s="3">
        <f t="shared" si="114"/>
        <v>36.323917902865269</v>
      </c>
      <c r="I874" s="3">
        <f t="shared" si="115"/>
        <v>23.59</v>
      </c>
      <c r="J874" s="3" t="e">
        <v>#N/A</v>
      </c>
      <c r="K874" s="3" t="e">
        <v>#N/A</v>
      </c>
      <c r="L874" s="3" t="e">
        <v>#N/A</v>
      </c>
      <c r="M874" s="3" t="e">
        <v>#N/A</v>
      </c>
      <c r="N874" s="3">
        <v>36323.917902865265</v>
      </c>
      <c r="O874" s="3">
        <v>23590</v>
      </c>
      <c r="P874" s="3" t="e">
        <f>E874*(VLOOKUP(B874,Price_data!A$1:B$190,2,FALSE))</f>
        <v>#N/A</v>
      </c>
      <c r="Q874" s="3" t="e">
        <f>G874*(VLOOKUP(B874,Price_data!A$1:B$190,2,FALSE))</f>
        <v>#N/A</v>
      </c>
      <c r="R874" s="3">
        <f>I874*(VLOOKUP(B874,Price_data!A$1:B$190,2,FALSE))</f>
        <v>261.08339362700002</v>
      </c>
      <c r="S874" s="4" t="str">
        <f>(VLOOKUP(B874,Price_data!A$1:C$190,3,FALSE))</f>
        <v>Open access</v>
      </c>
      <c r="T874" s="2" t="str">
        <f>IF(C874="Total", (VLOOKUP(B874,Recommended_fish_intake!A$4:D$122,4,FALSE)), "NA")</f>
        <v>NA</v>
      </c>
      <c r="U874" s="2" t="str">
        <f t="shared" si="109"/>
        <v>NA</v>
      </c>
    </row>
    <row r="875" spans="1:21" ht="14.25" customHeight="1">
      <c r="A875" s="2" t="s">
        <v>15</v>
      </c>
      <c r="B875" s="2">
        <v>1966</v>
      </c>
      <c r="C875" s="2" t="s">
        <v>43</v>
      </c>
      <c r="D875" s="3" t="e">
        <f t="shared" si="110"/>
        <v>#N/A</v>
      </c>
      <c r="E875" s="3" t="e">
        <f t="shared" si="111"/>
        <v>#N/A</v>
      </c>
      <c r="F875" s="3" t="e">
        <f t="shared" si="112"/>
        <v>#N/A</v>
      </c>
      <c r="G875" s="3" t="e">
        <f t="shared" si="113"/>
        <v>#N/A</v>
      </c>
      <c r="H875" s="3">
        <f t="shared" si="114"/>
        <v>3.1497663076610443</v>
      </c>
      <c r="I875" s="3">
        <f t="shared" si="115"/>
        <v>0.98299999999999998</v>
      </c>
      <c r="J875" s="3" t="e">
        <v>#N/A</v>
      </c>
      <c r="K875" s="3" t="e">
        <v>#N/A</v>
      </c>
      <c r="L875" s="3" t="e">
        <v>#N/A</v>
      </c>
      <c r="M875" s="3" t="e">
        <v>#N/A</v>
      </c>
      <c r="N875" s="3">
        <v>3149.7663076610443</v>
      </c>
      <c r="O875" s="3">
        <v>983</v>
      </c>
      <c r="P875" s="3" t="e">
        <f>E875*(VLOOKUP(B875,Price_data!A$1:B$190,2,FALSE))</f>
        <v>#N/A</v>
      </c>
      <c r="Q875" s="3" t="e">
        <f>G875*(VLOOKUP(B875,Price_data!A$1:B$190,2,FALSE))</f>
        <v>#N/A</v>
      </c>
      <c r="R875" s="3">
        <f>I875*(VLOOKUP(B875,Price_data!A$1:B$190,2,FALSE))</f>
        <v>10.8793970299</v>
      </c>
      <c r="S875" s="4" t="str">
        <f>(VLOOKUP(B875,Price_data!A$1:C$190,3,FALSE))</f>
        <v>Open access</v>
      </c>
      <c r="T875" s="2" t="str">
        <f>IF(C875="Total", (VLOOKUP(B875,Recommended_fish_intake!A$4:D$122,4,FALSE)), "NA")</f>
        <v>NA</v>
      </c>
      <c r="U875" s="2" t="str">
        <f t="shared" si="109"/>
        <v>NA</v>
      </c>
    </row>
    <row r="876" spans="1:21" ht="14.25" customHeight="1">
      <c r="A876" s="2" t="s">
        <v>15</v>
      </c>
      <c r="B876" s="2">
        <v>1967</v>
      </c>
      <c r="C876" s="2" t="s">
        <v>16</v>
      </c>
      <c r="D876" s="3">
        <f t="shared" si="110"/>
        <v>904.33854907539114</v>
      </c>
      <c r="E876" s="3">
        <f t="shared" si="111"/>
        <v>60.972000000000001</v>
      </c>
      <c r="F876" s="3">
        <f t="shared" si="112"/>
        <v>55.171713066449904</v>
      </c>
      <c r="G876" s="3">
        <f t="shared" si="113"/>
        <v>9.5150000000000006</v>
      </c>
      <c r="H876" s="3">
        <f t="shared" si="114"/>
        <v>202.49949197317616</v>
      </c>
      <c r="I876" s="3">
        <f t="shared" si="115"/>
        <v>57.250999999999998</v>
      </c>
      <c r="J876" s="3">
        <v>904338.54907539114</v>
      </c>
      <c r="K876" s="3">
        <v>60972</v>
      </c>
      <c r="L876" s="3">
        <v>55171.713066449905</v>
      </c>
      <c r="M876" s="3">
        <v>9515</v>
      </c>
      <c r="N876" s="3">
        <v>202499.49197317616</v>
      </c>
      <c r="O876" s="3">
        <v>57251</v>
      </c>
      <c r="P876" s="3">
        <f>E876*(VLOOKUP(B876,Price_data!A$1:B$190,2,FALSE))</f>
        <v>657.47976879576004</v>
      </c>
      <c r="Q876" s="3">
        <f>G876*(VLOOKUP(B876,Price_data!A$1:B$190,2,FALSE))</f>
        <v>102.6031621087</v>
      </c>
      <c r="R876" s="3">
        <f>I876*(VLOOKUP(B876,Price_data!A$1:B$190,2,FALSE))</f>
        <v>617.35508501157994</v>
      </c>
      <c r="S876" s="4" t="str">
        <f>(VLOOKUP(B876,Price_data!A$1:C$190,3,FALSE))</f>
        <v>Open access</v>
      </c>
      <c r="T876" s="2">
        <f>IF(C876="Total", (VLOOKUP(B876,Recommended_fish_intake!A$4:D$122,4,FALSE)), "NA")</f>
        <v>707.35806796199995</v>
      </c>
      <c r="U876" s="2" t="str">
        <f t="shared" si="109"/>
        <v>NA</v>
      </c>
    </row>
    <row r="877" spans="1:21" ht="14.25" customHeight="1">
      <c r="A877" s="2" t="s">
        <v>18</v>
      </c>
      <c r="B877" s="2">
        <v>1967</v>
      </c>
      <c r="C877" s="2" t="s">
        <v>16</v>
      </c>
      <c r="D877" s="3">
        <f t="shared" si="110"/>
        <v>550.39626092257663</v>
      </c>
      <c r="E877" s="3">
        <f t="shared" si="111"/>
        <v>39.82</v>
      </c>
      <c r="F877" s="3" t="e">
        <f t="shared" si="112"/>
        <v>#N/A</v>
      </c>
      <c r="G877" s="3" t="e">
        <f t="shared" si="113"/>
        <v>#N/A</v>
      </c>
      <c r="H877" s="3" t="e">
        <f t="shared" si="114"/>
        <v>#N/A</v>
      </c>
      <c r="I877" s="3" t="e">
        <f t="shared" si="115"/>
        <v>#N/A</v>
      </c>
      <c r="J877" s="3">
        <v>550396.26092257665</v>
      </c>
      <c r="K877" s="3">
        <v>39820</v>
      </c>
      <c r="L877" s="3" t="e">
        <v>#N/A</v>
      </c>
      <c r="M877" s="3" t="e">
        <v>#N/A</v>
      </c>
      <c r="N877" s="3" t="e">
        <v>#N/A</v>
      </c>
      <c r="O877" s="3" t="e">
        <v>#N/A</v>
      </c>
      <c r="P877" s="3">
        <f>E877*(VLOOKUP(B877,Price_data!A$1:B$190,2,FALSE))</f>
        <v>429.39126801559996</v>
      </c>
      <c r="Q877" s="3" t="e">
        <f>G877*(VLOOKUP(B877,Price_data!A$1:B$190,2,FALSE))</f>
        <v>#N/A</v>
      </c>
      <c r="R877" s="3" t="e">
        <f>I877*(VLOOKUP(B877,Price_data!A$1:B$190,2,FALSE))</f>
        <v>#N/A</v>
      </c>
      <c r="S877" s="4" t="str">
        <f>(VLOOKUP(B877,Price_data!A$1:C$190,3,FALSE))</f>
        <v>Open access</v>
      </c>
      <c r="T877" s="2">
        <f>IF(C877="Total", (VLOOKUP(B877,Recommended_fish_intake!A$4:D$122,4,FALSE)), "NA")</f>
        <v>707.35806796199995</v>
      </c>
      <c r="U877" s="2" t="str">
        <f t="shared" si="109"/>
        <v>NA</v>
      </c>
    </row>
    <row r="878" spans="1:21" ht="14.25" customHeight="1">
      <c r="A878" s="2" t="s">
        <v>39</v>
      </c>
      <c r="B878" s="2">
        <v>1967</v>
      </c>
      <c r="C878" s="2" t="s">
        <v>16</v>
      </c>
      <c r="D878" s="3">
        <f t="shared" si="110"/>
        <v>344.49298922983132</v>
      </c>
      <c r="E878" s="3">
        <f t="shared" si="111"/>
        <v>20.681999999999999</v>
      </c>
      <c r="F878" s="3" t="e">
        <f t="shared" si="112"/>
        <v>#N/A</v>
      </c>
      <c r="G878" s="3" t="e">
        <f t="shared" si="113"/>
        <v>#N/A</v>
      </c>
      <c r="H878" s="3" t="e">
        <f t="shared" si="114"/>
        <v>#N/A</v>
      </c>
      <c r="I878" s="3" t="e">
        <f t="shared" si="115"/>
        <v>#N/A</v>
      </c>
      <c r="J878" s="3">
        <v>344492.98922983132</v>
      </c>
      <c r="K878" s="3">
        <v>20682</v>
      </c>
      <c r="L878" s="3" t="e">
        <v>#N/A</v>
      </c>
      <c r="M878" s="3" t="e">
        <v>#N/A</v>
      </c>
      <c r="N878" s="3" t="e">
        <v>#N/A</v>
      </c>
      <c r="O878" s="3" t="e">
        <v>#N/A</v>
      </c>
      <c r="P878" s="3">
        <f>E878*(VLOOKUP(B878,Price_data!A$1:B$190,2,FALSE))</f>
        <v>223.02034668755996</v>
      </c>
      <c r="Q878" s="3" t="e">
        <f>G878*(VLOOKUP(B878,Price_data!A$1:B$190,2,FALSE))</f>
        <v>#N/A</v>
      </c>
      <c r="R878" s="3" t="e">
        <f>I878*(VLOOKUP(B878,Price_data!A$1:B$190,2,FALSE))</f>
        <v>#N/A</v>
      </c>
      <c r="S878" s="4" t="str">
        <f>(VLOOKUP(B878,Price_data!A$1:C$190,3,FALSE))</f>
        <v>Open access</v>
      </c>
      <c r="T878" s="2">
        <f>IF(C878="Total", (VLOOKUP(B878,Recommended_fish_intake!A$4:D$122,4,FALSE)), "NA")</f>
        <v>707.35806796199995</v>
      </c>
      <c r="U878" s="2" t="str">
        <f t="shared" si="109"/>
        <v>NA</v>
      </c>
    </row>
    <row r="879" spans="1:21" ht="14.25" customHeight="1">
      <c r="A879" s="2" t="s">
        <v>40</v>
      </c>
      <c r="B879" s="2">
        <v>1967</v>
      </c>
      <c r="C879" s="2" t="s">
        <v>16</v>
      </c>
      <c r="D879" s="3">
        <f t="shared" si="110"/>
        <v>9.4492989229831323</v>
      </c>
      <c r="E879" s="3">
        <f t="shared" si="111"/>
        <v>0.47</v>
      </c>
      <c r="F879" s="3" t="e">
        <f t="shared" si="112"/>
        <v>#N/A</v>
      </c>
      <c r="G879" s="3" t="e">
        <f t="shared" si="113"/>
        <v>#N/A</v>
      </c>
      <c r="H879" s="3" t="e">
        <f t="shared" si="114"/>
        <v>#N/A</v>
      </c>
      <c r="I879" s="3" t="e">
        <f t="shared" si="115"/>
        <v>#N/A</v>
      </c>
      <c r="J879" s="3">
        <v>9449.2989229831328</v>
      </c>
      <c r="K879" s="3">
        <v>470</v>
      </c>
      <c r="L879" s="3" t="e">
        <v>#N/A</v>
      </c>
      <c r="M879" s="3" t="e">
        <v>#N/A</v>
      </c>
      <c r="N879" s="3" t="e">
        <v>#N/A</v>
      </c>
      <c r="O879" s="3" t="e">
        <v>#N/A</v>
      </c>
      <c r="P879" s="3">
        <f>E879*(VLOOKUP(B879,Price_data!A$1:B$190,2,FALSE))</f>
        <v>5.0681540925999995</v>
      </c>
      <c r="Q879" s="3" t="e">
        <f>G879*(VLOOKUP(B879,Price_data!A$1:B$190,2,FALSE))</f>
        <v>#N/A</v>
      </c>
      <c r="R879" s="3" t="e">
        <f>I879*(VLOOKUP(B879,Price_data!A$1:B$190,2,FALSE))</f>
        <v>#N/A</v>
      </c>
      <c r="S879" s="4" t="str">
        <f>(VLOOKUP(B879,Price_data!A$1:C$190,3,FALSE))</f>
        <v>Open access</v>
      </c>
      <c r="T879" s="2">
        <f>IF(C879="Total", (VLOOKUP(B879,Recommended_fish_intake!A$4:D$122,4,FALSE)), "NA")</f>
        <v>707.35806796199995</v>
      </c>
      <c r="U879" s="2" t="str">
        <f t="shared" si="109"/>
        <v>NA</v>
      </c>
    </row>
    <row r="880" spans="1:21" ht="14.25" customHeight="1">
      <c r="A880" s="2" t="s">
        <v>15</v>
      </c>
      <c r="B880" s="2">
        <v>1967</v>
      </c>
      <c r="C880" s="2" t="s">
        <v>22</v>
      </c>
      <c r="D880" s="3">
        <f t="shared" si="110"/>
        <v>350.84332452753506</v>
      </c>
      <c r="E880" s="3">
        <f t="shared" si="111"/>
        <v>25.234999999999999</v>
      </c>
      <c r="F880" s="3" t="e">
        <f t="shared" si="112"/>
        <v>#N/A</v>
      </c>
      <c r="G880" s="3" t="e">
        <f t="shared" si="113"/>
        <v>#N/A</v>
      </c>
      <c r="H880" s="3">
        <f t="shared" si="114"/>
        <v>36.069904490957121</v>
      </c>
      <c r="I880" s="3">
        <f t="shared" si="115"/>
        <v>4.6139999999999999</v>
      </c>
      <c r="J880" s="3">
        <v>350843.32452753506</v>
      </c>
      <c r="K880" s="3">
        <v>25235</v>
      </c>
      <c r="L880" s="3" t="e">
        <v>#N/A</v>
      </c>
      <c r="M880" s="3" t="e">
        <v>#N/A</v>
      </c>
      <c r="N880" s="3">
        <v>36069.904490957124</v>
      </c>
      <c r="O880" s="3">
        <v>4614</v>
      </c>
      <c r="P880" s="3">
        <f>E880*(VLOOKUP(B880,Price_data!A$1:B$190,2,FALSE))</f>
        <v>272.11674154629998</v>
      </c>
      <c r="Q880" s="3" t="e">
        <f>G880*(VLOOKUP(B880,Price_data!A$1:B$190,2,FALSE))</f>
        <v>#N/A</v>
      </c>
      <c r="R880" s="3">
        <f>I880*(VLOOKUP(B880,Price_data!A$1:B$190,2,FALSE))</f>
        <v>49.754176560119994</v>
      </c>
      <c r="S880" s="4" t="str">
        <f>(VLOOKUP(B880,Price_data!A$1:C$190,3,FALSE))</f>
        <v>Open access</v>
      </c>
      <c r="T880" s="2" t="str">
        <f>IF(C880="Total", (VLOOKUP(B880,Recommended_fish_intake!A$4:D$122,4,FALSE)), "NA")</f>
        <v>NA</v>
      </c>
      <c r="U880" s="2" t="str">
        <f t="shared" si="109"/>
        <v>NA</v>
      </c>
    </row>
    <row r="881" spans="1:21" ht="14.25" customHeight="1">
      <c r="A881" s="2" t="s">
        <v>15</v>
      </c>
      <c r="B881" s="2">
        <v>1967</v>
      </c>
      <c r="C881" s="2" t="s">
        <v>23</v>
      </c>
      <c r="D881" s="3">
        <f t="shared" si="110"/>
        <v>128.88640520219468</v>
      </c>
      <c r="E881" s="3">
        <f t="shared" si="111"/>
        <v>10.474</v>
      </c>
      <c r="F881" s="3" t="e">
        <f t="shared" si="112"/>
        <v>#N/A</v>
      </c>
      <c r="G881" s="3" t="e">
        <f t="shared" si="113"/>
        <v>#N/A</v>
      </c>
      <c r="H881" s="3">
        <f t="shared" si="114"/>
        <v>14.02154033732981</v>
      </c>
      <c r="I881" s="3">
        <f t="shared" si="115"/>
        <v>1.8260000000000001</v>
      </c>
      <c r="J881" s="3">
        <v>128886.40520219468</v>
      </c>
      <c r="K881" s="3">
        <v>10474</v>
      </c>
      <c r="L881" s="3" t="e">
        <v>#N/A</v>
      </c>
      <c r="M881" s="3" t="e">
        <v>#N/A</v>
      </c>
      <c r="N881" s="3">
        <v>14021.54033732981</v>
      </c>
      <c r="O881" s="3">
        <v>1826</v>
      </c>
      <c r="P881" s="3">
        <f>E881*(VLOOKUP(B881,Price_data!A$1:B$190,2,FALSE))</f>
        <v>112.94435311891999</v>
      </c>
      <c r="Q881" s="3" t="e">
        <f>G881*(VLOOKUP(B881,Price_data!A$1:B$190,2,FALSE))</f>
        <v>#N/A</v>
      </c>
      <c r="R881" s="3">
        <f>I881*(VLOOKUP(B881,Price_data!A$1:B$190,2,FALSE))</f>
        <v>19.69031781508</v>
      </c>
      <c r="S881" s="4" t="str">
        <f>(VLOOKUP(B881,Price_data!A$1:C$190,3,FALSE))</f>
        <v>Open access</v>
      </c>
      <c r="T881" s="2" t="str">
        <f>IF(C881="Total", (VLOOKUP(B881,Recommended_fish_intake!A$4:D$122,4,FALSE)), "NA")</f>
        <v>NA</v>
      </c>
      <c r="U881" s="2" t="str">
        <f t="shared" si="109"/>
        <v>NA</v>
      </c>
    </row>
    <row r="882" spans="1:21" ht="14.25" customHeight="1">
      <c r="A882" s="2" t="s">
        <v>15</v>
      </c>
      <c r="B882" s="2">
        <v>1967</v>
      </c>
      <c r="C882" s="2" t="s">
        <v>25</v>
      </c>
      <c r="D882" s="3">
        <f t="shared" si="110"/>
        <v>44.604755131070917</v>
      </c>
      <c r="E882" s="3">
        <f t="shared" si="111"/>
        <v>5.6459999999999999</v>
      </c>
      <c r="F882" s="3" t="e">
        <f t="shared" si="112"/>
        <v>#N/A</v>
      </c>
      <c r="G882" s="3" t="e">
        <f t="shared" si="113"/>
        <v>#N/A</v>
      </c>
      <c r="H882" s="3">
        <f t="shared" si="114"/>
        <v>14.07234301971144</v>
      </c>
      <c r="I882" s="3">
        <f t="shared" si="115"/>
        <v>2.3559999999999999</v>
      </c>
      <c r="J882" s="3">
        <v>44604.755131070917</v>
      </c>
      <c r="K882" s="3">
        <v>5646</v>
      </c>
      <c r="L882" s="3" t="e">
        <v>#N/A</v>
      </c>
      <c r="M882" s="3" t="e">
        <v>#N/A</v>
      </c>
      <c r="N882" s="3">
        <v>14072.343019711439</v>
      </c>
      <c r="O882" s="3">
        <v>2356</v>
      </c>
      <c r="P882" s="3">
        <f>E882*(VLOOKUP(B882,Price_data!A$1:B$190,2,FALSE))</f>
        <v>60.882548950679997</v>
      </c>
      <c r="Q882" s="3" t="e">
        <f>G882*(VLOOKUP(B882,Price_data!A$1:B$190,2,FALSE))</f>
        <v>#N/A</v>
      </c>
      <c r="R882" s="3">
        <f>I882*(VLOOKUP(B882,Price_data!A$1:B$190,2,FALSE))</f>
        <v>25.405470302479998</v>
      </c>
      <c r="S882" s="4" t="str">
        <f>(VLOOKUP(B882,Price_data!A$1:C$190,3,FALSE))</f>
        <v>Open access</v>
      </c>
      <c r="T882" s="2" t="str">
        <f>IF(C882="Total", (VLOOKUP(B882,Recommended_fish_intake!A$4:D$122,4,FALSE)), "NA")</f>
        <v>NA</v>
      </c>
      <c r="U882" s="2" t="str">
        <f t="shared" si="109"/>
        <v>NA</v>
      </c>
    </row>
    <row r="883" spans="1:21" ht="14.25" customHeight="1">
      <c r="A883" s="2" t="s">
        <v>15</v>
      </c>
      <c r="B883" s="2">
        <v>1967</v>
      </c>
      <c r="C883" s="2" t="s">
        <v>24</v>
      </c>
      <c r="D883" s="3">
        <f t="shared" si="110"/>
        <v>47.703718756350334</v>
      </c>
      <c r="E883" s="3">
        <f t="shared" si="111"/>
        <v>2.8180000000000001</v>
      </c>
      <c r="F883" s="3" t="e">
        <f t="shared" si="112"/>
        <v>#N/A</v>
      </c>
      <c r="G883" s="3" t="e">
        <f t="shared" si="113"/>
        <v>#N/A</v>
      </c>
      <c r="H883" s="3" t="e">
        <f t="shared" si="114"/>
        <v>#N/A</v>
      </c>
      <c r="I883" s="3" t="e">
        <f t="shared" si="115"/>
        <v>#N/A</v>
      </c>
      <c r="J883" s="3">
        <v>47703.718756350332</v>
      </c>
      <c r="K883" s="3">
        <v>2818</v>
      </c>
      <c r="L883" s="3" t="e">
        <v>#N/A</v>
      </c>
      <c r="M883" s="3" t="e">
        <v>#N/A</v>
      </c>
      <c r="N883" s="3" t="e">
        <v>#N/A</v>
      </c>
      <c r="O883" s="3" t="e">
        <v>#N/A</v>
      </c>
      <c r="P883" s="3">
        <f>E883*(VLOOKUP(B883,Price_data!A$1:B$190,2,FALSE))</f>
        <v>30.387357942440001</v>
      </c>
      <c r="Q883" s="3" t="e">
        <f>G883*(VLOOKUP(B883,Price_data!A$1:B$190,2,FALSE))</f>
        <v>#N/A</v>
      </c>
      <c r="R883" s="3" t="e">
        <f>I883*(VLOOKUP(B883,Price_data!A$1:B$190,2,FALSE))</f>
        <v>#N/A</v>
      </c>
      <c r="S883" s="4" t="str">
        <f>(VLOOKUP(B883,Price_data!A$1:C$190,3,FALSE))</f>
        <v>Open access</v>
      </c>
      <c r="T883" s="2" t="str">
        <f>IF(C883="Total", (VLOOKUP(B883,Recommended_fish_intake!A$4:D$122,4,FALSE)), "NA")</f>
        <v>NA</v>
      </c>
      <c r="U883" s="2" t="str">
        <f t="shared" si="109"/>
        <v>NA</v>
      </c>
    </row>
    <row r="884" spans="1:21" ht="14.25" customHeight="1">
      <c r="A884" s="2" t="s">
        <v>15</v>
      </c>
      <c r="B884" s="2">
        <v>1967</v>
      </c>
      <c r="C884" s="2" t="s">
        <v>19</v>
      </c>
      <c r="D884" s="3">
        <f t="shared" si="110"/>
        <v>102.1133915870758</v>
      </c>
      <c r="E884" s="3">
        <f t="shared" si="111"/>
        <v>2.6760000000000002</v>
      </c>
      <c r="F884" s="3" t="e">
        <f t="shared" si="112"/>
        <v>#N/A</v>
      </c>
      <c r="G884" s="3" t="e">
        <f t="shared" si="113"/>
        <v>#N/A</v>
      </c>
      <c r="H884" s="3">
        <f t="shared" si="114"/>
        <v>13.513513513513512</v>
      </c>
      <c r="I884" s="3">
        <f t="shared" si="115"/>
        <v>0.72799999999999998</v>
      </c>
      <c r="J884" s="3">
        <v>102113.39158707579</v>
      </c>
      <c r="K884" s="3">
        <v>2676</v>
      </c>
      <c r="L884" s="3" t="e">
        <v>#N/A</v>
      </c>
      <c r="M884" s="3" t="e">
        <v>#N/A</v>
      </c>
      <c r="N884" s="3">
        <v>13513.513513513511</v>
      </c>
      <c r="O884" s="3">
        <v>728</v>
      </c>
      <c r="P884" s="3">
        <f>E884*(VLOOKUP(B884,Price_data!A$1:B$190,2,FALSE))</f>
        <v>28.85612840808</v>
      </c>
      <c r="Q884" s="3" t="e">
        <f>G884*(VLOOKUP(B884,Price_data!A$1:B$190,2,FALSE))</f>
        <v>#N/A</v>
      </c>
      <c r="R884" s="3">
        <f>I884*(VLOOKUP(B884,Price_data!A$1:B$190,2,FALSE))</f>
        <v>7.8502471902399993</v>
      </c>
      <c r="S884" s="4" t="str">
        <f>(VLOOKUP(B884,Price_data!A$1:C$190,3,FALSE))</f>
        <v>Open access</v>
      </c>
      <c r="T884" s="2" t="str">
        <f>IF(C884="Total", (VLOOKUP(B884,Recommended_fish_intake!A$4:D$122,4,FALSE)), "NA")</f>
        <v>NA</v>
      </c>
      <c r="U884" s="2" t="str">
        <f t="shared" si="109"/>
        <v>NA</v>
      </c>
    </row>
    <row r="885" spans="1:21" ht="14.25" customHeight="1">
      <c r="A885" s="2" t="s">
        <v>15</v>
      </c>
      <c r="B885" s="2">
        <v>1967</v>
      </c>
      <c r="C885" s="2" t="s">
        <v>21</v>
      </c>
      <c r="D885" s="3">
        <f t="shared" si="110"/>
        <v>44.147530989636252</v>
      </c>
      <c r="E885" s="3">
        <f t="shared" si="111"/>
        <v>0.374</v>
      </c>
      <c r="F885" s="3" t="e">
        <f t="shared" si="112"/>
        <v>#N/A</v>
      </c>
      <c r="G885" s="3" t="e">
        <f t="shared" si="113"/>
        <v>#N/A</v>
      </c>
      <c r="H885" s="3" t="e">
        <f t="shared" si="114"/>
        <v>#N/A</v>
      </c>
      <c r="I885" s="3" t="e">
        <f t="shared" si="115"/>
        <v>#N/A</v>
      </c>
      <c r="J885" s="3">
        <v>44147.530989636252</v>
      </c>
      <c r="K885" s="3">
        <v>374</v>
      </c>
      <c r="L885" s="3" t="e">
        <v>#N/A</v>
      </c>
      <c r="M885" s="3" t="e">
        <v>#N/A</v>
      </c>
      <c r="N885" s="3" t="e">
        <v>#N/A</v>
      </c>
      <c r="O885" s="3" t="e">
        <v>#N/A</v>
      </c>
      <c r="P885" s="3">
        <f>E885*(VLOOKUP(B885,Price_data!A$1:B$190,2,FALSE))</f>
        <v>4.03295666092</v>
      </c>
      <c r="Q885" s="3" t="e">
        <f>G885*(VLOOKUP(B885,Price_data!A$1:B$190,2,FALSE))</f>
        <v>#N/A</v>
      </c>
      <c r="R885" s="3" t="e">
        <f>I885*(VLOOKUP(B885,Price_data!A$1:B$190,2,FALSE))</f>
        <v>#N/A</v>
      </c>
      <c r="S885" s="4" t="str">
        <f>(VLOOKUP(B885,Price_data!A$1:C$190,3,FALSE))</f>
        <v>Open access</v>
      </c>
      <c r="T885" s="2" t="str">
        <f>IF(C885="Total", (VLOOKUP(B885,Recommended_fish_intake!A$4:D$122,4,FALSE)), "NA")</f>
        <v>NA</v>
      </c>
      <c r="U885" s="2" t="str">
        <f t="shared" si="109"/>
        <v>NA</v>
      </c>
    </row>
    <row r="886" spans="1:21" ht="14.25" customHeight="1">
      <c r="A886" s="2" t="s">
        <v>15</v>
      </c>
      <c r="B886" s="2">
        <v>1967</v>
      </c>
      <c r="C886" s="2" t="s">
        <v>34</v>
      </c>
      <c r="D886" s="3">
        <f t="shared" si="110"/>
        <v>0.96525096525096521</v>
      </c>
      <c r="E886" s="3">
        <f t="shared" si="111"/>
        <v>0.90300000000000002</v>
      </c>
      <c r="F886" s="3" t="e">
        <f t="shared" si="112"/>
        <v>#N/A</v>
      </c>
      <c r="G886" s="3" t="e">
        <f t="shared" si="113"/>
        <v>#N/A</v>
      </c>
      <c r="H886" s="3">
        <f t="shared" si="114"/>
        <v>0.1016053647632595</v>
      </c>
      <c r="I886" s="3">
        <f t="shared" si="115"/>
        <v>0.14099999999999999</v>
      </c>
      <c r="J886" s="3">
        <v>965.25096525096524</v>
      </c>
      <c r="K886" s="3">
        <v>903</v>
      </c>
      <c r="L886" s="3" t="e">
        <v>#N/A</v>
      </c>
      <c r="M886" s="3" t="e">
        <v>#N/A</v>
      </c>
      <c r="N886" s="3">
        <v>101.6053647632595</v>
      </c>
      <c r="O886" s="3">
        <v>141</v>
      </c>
      <c r="P886" s="3">
        <f>E886*(VLOOKUP(B886,Price_data!A$1:B$190,2,FALSE))</f>
        <v>9.7373258417400006</v>
      </c>
      <c r="Q886" s="3" t="e">
        <f>G886*(VLOOKUP(B886,Price_data!A$1:B$190,2,FALSE))</f>
        <v>#N/A</v>
      </c>
      <c r="R886" s="3">
        <f>I886*(VLOOKUP(B886,Price_data!A$1:B$190,2,FALSE))</f>
        <v>1.5204462277799997</v>
      </c>
      <c r="S886" s="4" t="str">
        <f>(VLOOKUP(B886,Price_data!A$1:C$190,3,FALSE))</f>
        <v>Open access</v>
      </c>
      <c r="T886" s="2" t="str">
        <f>IF(C886="Total", (VLOOKUP(B886,Recommended_fish_intake!A$4:D$122,4,FALSE)), "NA")</f>
        <v>NA</v>
      </c>
      <c r="U886" s="2" t="str">
        <f t="shared" si="109"/>
        <v>NA</v>
      </c>
    </row>
    <row r="887" spans="1:21" ht="14.25" customHeight="1">
      <c r="A887" s="2" t="s">
        <v>15</v>
      </c>
      <c r="B887" s="2">
        <v>1967</v>
      </c>
      <c r="C887" s="2" t="s">
        <v>35</v>
      </c>
      <c r="D887" s="3">
        <f t="shared" si="110"/>
        <v>9.5001016053647636</v>
      </c>
      <c r="E887" s="3">
        <f t="shared" si="111"/>
        <v>1.6859999999999999</v>
      </c>
      <c r="F887" s="3" t="e">
        <f t="shared" si="112"/>
        <v>#N/A</v>
      </c>
      <c r="G887" s="3" t="e">
        <f t="shared" si="113"/>
        <v>#N/A</v>
      </c>
      <c r="H887" s="3" t="e">
        <f t="shared" si="114"/>
        <v>#N/A</v>
      </c>
      <c r="I887" s="3" t="e">
        <f t="shared" si="115"/>
        <v>#N/A</v>
      </c>
      <c r="J887" s="3">
        <v>9500.1016053647636</v>
      </c>
      <c r="K887" s="3">
        <v>1686</v>
      </c>
      <c r="L887" s="3" t="e">
        <v>#N/A</v>
      </c>
      <c r="M887" s="3" t="e">
        <v>#N/A</v>
      </c>
      <c r="N887" s="3" t="e">
        <v>#N/A</v>
      </c>
      <c r="O887" s="3" t="e">
        <v>#N/A</v>
      </c>
      <c r="P887" s="3">
        <f>E887*(VLOOKUP(B887,Price_data!A$1:B$190,2,FALSE))</f>
        <v>18.18065489388</v>
      </c>
      <c r="Q887" s="3" t="e">
        <f>G887*(VLOOKUP(B887,Price_data!A$1:B$190,2,FALSE))</f>
        <v>#N/A</v>
      </c>
      <c r="R887" s="3" t="e">
        <f>I887*(VLOOKUP(B887,Price_data!A$1:B$190,2,FALSE))</f>
        <v>#N/A</v>
      </c>
      <c r="S887" s="4" t="str">
        <f>(VLOOKUP(B887,Price_data!A$1:C$190,3,FALSE))</f>
        <v>Open access</v>
      </c>
      <c r="T887" s="2" t="str">
        <f>IF(C887="Total", (VLOOKUP(B887,Recommended_fish_intake!A$4:D$122,4,FALSE)), "NA")</f>
        <v>NA</v>
      </c>
      <c r="U887" s="2" t="str">
        <f t="shared" si="109"/>
        <v>NA</v>
      </c>
    </row>
    <row r="888" spans="1:21" ht="14.25" customHeight="1">
      <c r="A888" s="2" t="s">
        <v>15</v>
      </c>
      <c r="B888" s="2">
        <v>1967</v>
      </c>
      <c r="C888" s="2" t="s">
        <v>30</v>
      </c>
      <c r="D888" s="3">
        <f t="shared" si="110"/>
        <v>1.5240804714488925</v>
      </c>
      <c r="E888" s="3">
        <f t="shared" si="111"/>
        <v>0.22800000000000001</v>
      </c>
      <c r="F888" s="3" t="e">
        <f t="shared" si="112"/>
        <v>#N/A</v>
      </c>
      <c r="G888" s="3" t="e">
        <f t="shared" si="113"/>
        <v>#N/A</v>
      </c>
      <c r="H888" s="3">
        <f t="shared" si="114"/>
        <v>2.794147530989636</v>
      </c>
      <c r="I888" s="3">
        <f t="shared" si="115"/>
        <v>2.11</v>
      </c>
      <c r="J888" s="3">
        <v>1524.0804714488925</v>
      </c>
      <c r="K888" s="3">
        <v>228</v>
      </c>
      <c r="L888" s="3" t="e">
        <v>#N/A</v>
      </c>
      <c r="M888" s="3" t="e">
        <v>#N/A</v>
      </c>
      <c r="N888" s="3">
        <v>2794.1475309896359</v>
      </c>
      <c r="O888" s="3">
        <v>2110</v>
      </c>
      <c r="P888" s="3">
        <f>E888*(VLOOKUP(B888,Price_data!A$1:B$190,2,FALSE))</f>
        <v>2.4585939002399999</v>
      </c>
      <c r="Q888" s="3" t="e">
        <f>G888*(VLOOKUP(B888,Price_data!A$1:B$190,2,FALSE))</f>
        <v>#N/A</v>
      </c>
      <c r="R888" s="3">
        <f>I888*(VLOOKUP(B888,Price_data!A$1:B$190,2,FALSE))</f>
        <v>22.752776883799999</v>
      </c>
      <c r="S888" s="4" t="str">
        <f>(VLOOKUP(B888,Price_data!A$1:C$190,3,FALSE))</f>
        <v>Open access</v>
      </c>
      <c r="T888" s="2" t="str">
        <f>IF(C888="Total", (VLOOKUP(B888,Recommended_fish_intake!A$4:D$122,4,FALSE)), "NA")</f>
        <v>NA</v>
      </c>
      <c r="U888" s="2" t="str">
        <f t="shared" si="109"/>
        <v>NA</v>
      </c>
    </row>
    <row r="889" spans="1:21" ht="14.25" customHeight="1">
      <c r="A889" s="2" t="s">
        <v>15</v>
      </c>
      <c r="B889" s="2">
        <v>1967</v>
      </c>
      <c r="C889" s="2" t="s">
        <v>36</v>
      </c>
      <c r="D889" s="3">
        <f t="shared" si="110"/>
        <v>4.5214387319650475</v>
      </c>
      <c r="E889" s="3">
        <f t="shared" si="111"/>
        <v>0.40899999999999997</v>
      </c>
      <c r="F889" s="3" t="e">
        <f t="shared" si="112"/>
        <v>#N/A</v>
      </c>
      <c r="G889" s="3" t="e">
        <f t="shared" si="113"/>
        <v>#N/A</v>
      </c>
      <c r="H889" s="3">
        <f t="shared" si="114"/>
        <v>1.7272912009754113</v>
      </c>
      <c r="I889" s="3">
        <f t="shared" si="115"/>
        <v>2.0179999999999998</v>
      </c>
      <c r="J889" s="3">
        <v>4521.4387319650477</v>
      </c>
      <c r="K889" s="3">
        <v>409</v>
      </c>
      <c r="L889" s="3" t="e">
        <v>#N/A</v>
      </c>
      <c r="M889" s="3" t="e">
        <v>#N/A</v>
      </c>
      <c r="N889" s="3">
        <v>1727.2912009754114</v>
      </c>
      <c r="O889" s="3">
        <v>2018</v>
      </c>
      <c r="P889" s="3">
        <f>E889*(VLOOKUP(B889,Price_data!A$1:B$190,2,FALSE))</f>
        <v>4.4103723912199992</v>
      </c>
      <c r="Q889" s="3" t="e">
        <f>G889*(VLOOKUP(B889,Price_data!A$1:B$190,2,FALSE))</f>
        <v>#N/A</v>
      </c>
      <c r="R889" s="3">
        <f>I889*(VLOOKUP(B889,Price_data!A$1:B$190,2,FALSE))</f>
        <v>21.760712678439997</v>
      </c>
      <c r="S889" s="4" t="str">
        <f>(VLOOKUP(B889,Price_data!A$1:C$190,3,FALSE))</f>
        <v>Open access</v>
      </c>
      <c r="T889" s="2" t="str">
        <f>IF(C889="Total", (VLOOKUP(B889,Recommended_fish_intake!A$4:D$122,4,FALSE)), "NA")</f>
        <v>NA</v>
      </c>
      <c r="U889" s="2" t="str">
        <f t="shared" si="109"/>
        <v>NA</v>
      </c>
    </row>
    <row r="890" spans="1:21" ht="14.25" customHeight="1">
      <c r="A890" s="2" t="s">
        <v>15</v>
      </c>
      <c r="B890" s="2">
        <v>1967</v>
      </c>
      <c r="C890" s="2" t="s">
        <v>28</v>
      </c>
      <c r="D890" s="3">
        <f t="shared" si="110"/>
        <v>42.166226376752689</v>
      </c>
      <c r="E890" s="3">
        <f t="shared" si="111"/>
        <v>4.0010000000000003</v>
      </c>
      <c r="F890" s="3">
        <f t="shared" si="112"/>
        <v>2.0829099776468198</v>
      </c>
      <c r="G890" s="3">
        <f t="shared" si="113"/>
        <v>1.276</v>
      </c>
      <c r="H890" s="3">
        <f t="shared" si="114"/>
        <v>6.7567567567567561</v>
      </c>
      <c r="I890" s="3">
        <f t="shared" si="115"/>
        <v>4.2359999999999998</v>
      </c>
      <c r="J890" s="3">
        <v>42166.226376752689</v>
      </c>
      <c r="K890" s="3">
        <v>4001</v>
      </c>
      <c r="L890" s="3">
        <v>2082.9099776468197</v>
      </c>
      <c r="M890" s="3">
        <v>1276</v>
      </c>
      <c r="N890" s="3">
        <v>6756.7567567567557</v>
      </c>
      <c r="O890" s="3">
        <v>4236</v>
      </c>
      <c r="P890" s="3">
        <f>E890*(VLOOKUP(B890,Price_data!A$1:B$190,2,FALSE))</f>
        <v>43.144009626580001</v>
      </c>
      <c r="Q890" s="3">
        <f>G890*(VLOOKUP(B890,Price_data!A$1:B$190,2,FALSE))</f>
        <v>13.75949919608</v>
      </c>
      <c r="R890" s="3">
        <f>I890*(VLOOKUP(B890,Price_data!A$1:B$190,2,FALSE))</f>
        <v>45.678086672879999</v>
      </c>
      <c r="S890" s="4" t="str">
        <f>(VLOOKUP(B890,Price_data!A$1:C$190,3,FALSE))</f>
        <v>Open access</v>
      </c>
      <c r="T890" s="2" t="str">
        <f>IF(C890="Total", (VLOOKUP(B890,Recommended_fish_intake!A$4:D$122,4,FALSE)), "NA")</f>
        <v>NA</v>
      </c>
      <c r="U890" s="2">
        <f t="shared" si="109"/>
        <v>11.806543385490754</v>
      </c>
    </row>
    <row r="891" spans="1:21" ht="14.25" customHeight="1">
      <c r="A891" s="2" t="s">
        <v>15</v>
      </c>
      <c r="B891" s="2">
        <v>1967</v>
      </c>
      <c r="C891" s="2" t="s">
        <v>37</v>
      </c>
      <c r="D891" s="3">
        <f t="shared" si="110"/>
        <v>862.17232269863848</v>
      </c>
      <c r="E891" s="3">
        <f t="shared" si="111"/>
        <v>56.970999999999997</v>
      </c>
      <c r="F891" s="3">
        <f t="shared" si="112"/>
        <v>53.088803088803083</v>
      </c>
      <c r="G891" s="3">
        <f t="shared" si="113"/>
        <v>8.2390000000000008</v>
      </c>
      <c r="H891" s="3">
        <f t="shared" si="114"/>
        <v>216.5718349928876</v>
      </c>
      <c r="I891" s="3">
        <f t="shared" si="115"/>
        <v>67.462999999999994</v>
      </c>
      <c r="J891" s="3">
        <v>862172.32269863843</v>
      </c>
      <c r="K891" s="3">
        <v>56971</v>
      </c>
      <c r="L891" s="3">
        <v>53088.803088803084</v>
      </c>
      <c r="M891" s="3">
        <v>8239</v>
      </c>
      <c r="N891" s="3">
        <v>216571.8349928876</v>
      </c>
      <c r="O891" s="3">
        <v>67463</v>
      </c>
      <c r="P891" s="3">
        <f>E891*(VLOOKUP(B891,Price_data!A$1:B$190,2,FALSE))</f>
        <v>614.33575916917994</v>
      </c>
      <c r="Q891" s="3">
        <f>G891*(VLOOKUP(B891,Price_data!A$1:B$190,2,FALSE))</f>
        <v>88.843662912620005</v>
      </c>
      <c r="R891" s="3">
        <f>I891*(VLOOKUP(B891,Price_data!A$1:B$190,2,FALSE))</f>
        <v>727.47421180653987</v>
      </c>
      <c r="S891" s="4" t="str">
        <f>(VLOOKUP(B891,Price_data!A$1:C$190,3,FALSE))</f>
        <v>Open access</v>
      </c>
      <c r="T891" s="2" t="str">
        <f>IF(C891="Total", (VLOOKUP(B891,Recommended_fish_intake!A$4:D$122,4,FALSE)), "NA")</f>
        <v>NA</v>
      </c>
      <c r="U891" s="2">
        <f t="shared" si="109"/>
        <v>422.46443812233287</v>
      </c>
    </row>
    <row r="892" spans="1:21" ht="14.25" customHeight="1">
      <c r="A892" s="2" t="s">
        <v>18</v>
      </c>
      <c r="B892" s="2">
        <v>1967</v>
      </c>
      <c r="C892" s="2" t="s">
        <v>22</v>
      </c>
      <c r="D892" s="3">
        <f t="shared" si="110"/>
        <v>297.95773216825847</v>
      </c>
      <c r="E892" s="3">
        <f t="shared" si="111"/>
        <v>21.241</v>
      </c>
      <c r="F892" s="3" t="e">
        <f t="shared" si="112"/>
        <v>#N/A</v>
      </c>
      <c r="G892" s="3" t="e">
        <f t="shared" si="113"/>
        <v>#N/A</v>
      </c>
      <c r="H892" s="3" t="e">
        <f t="shared" si="114"/>
        <v>#N/A</v>
      </c>
      <c r="I892" s="3" t="e">
        <f t="shared" si="115"/>
        <v>#N/A</v>
      </c>
      <c r="J892" s="3">
        <v>297957.73216825846</v>
      </c>
      <c r="K892" s="3">
        <v>21241</v>
      </c>
      <c r="L892" s="3" t="e">
        <v>#N/A</v>
      </c>
      <c r="M892" s="3" t="e">
        <v>#N/A</v>
      </c>
      <c r="N892" s="3" t="e">
        <v>#N/A</v>
      </c>
      <c r="O892" s="3" t="e">
        <v>#N/A</v>
      </c>
      <c r="P892" s="3">
        <f>E892*(VLOOKUP(B892,Price_data!A$1:B$190,2,FALSE))</f>
        <v>229.04821506578</v>
      </c>
      <c r="Q892" s="3" t="e">
        <f>G892*(VLOOKUP(B892,Price_data!A$1:B$190,2,FALSE))</f>
        <v>#N/A</v>
      </c>
      <c r="R892" s="3" t="e">
        <f>I892*(VLOOKUP(B892,Price_data!A$1:B$190,2,FALSE))</f>
        <v>#N/A</v>
      </c>
      <c r="S892" s="4" t="str">
        <f>(VLOOKUP(B892,Price_data!A$1:C$190,3,FALSE))</f>
        <v>Open access</v>
      </c>
      <c r="T892" s="2" t="str">
        <f>IF(C892="Total", (VLOOKUP(B892,Recommended_fish_intake!A$4:D$122,4,FALSE)), "NA")</f>
        <v>NA</v>
      </c>
      <c r="U892" s="2" t="str">
        <f t="shared" si="109"/>
        <v>NA</v>
      </c>
    </row>
    <row r="893" spans="1:21" ht="14.25" customHeight="1">
      <c r="A893" s="2" t="s">
        <v>18</v>
      </c>
      <c r="B893" s="2">
        <v>1967</v>
      </c>
      <c r="C893" s="2" t="s">
        <v>23</v>
      </c>
      <c r="D893" s="3">
        <f t="shared" si="110"/>
        <v>46.636862426336108</v>
      </c>
      <c r="E893" s="3">
        <f t="shared" si="111"/>
        <v>4.3609999999999998</v>
      </c>
      <c r="F893" s="3" t="e">
        <f t="shared" si="112"/>
        <v>#N/A</v>
      </c>
      <c r="G893" s="3" t="e">
        <f t="shared" si="113"/>
        <v>#N/A</v>
      </c>
      <c r="H893" s="3" t="e">
        <f t="shared" si="114"/>
        <v>#N/A</v>
      </c>
      <c r="I893" s="3" t="e">
        <f t="shared" si="115"/>
        <v>#N/A</v>
      </c>
      <c r="J893" s="3">
        <v>46636.862426336105</v>
      </c>
      <c r="K893" s="3">
        <v>4361</v>
      </c>
      <c r="L893" s="3" t="e">
        <v>#N/A</v>
      </c>
      <c r="M893" s="3" t="e">
        <v>#N/A</v>
      </c>
      <c r="N893" s="3" t="e">
        <v>#N/A</v>
      </c>
      <c r="O893" s="3" t="e">
        <v>#N/A</v>
      </c>
      <c r="P893" s="3">
        <f>E893*(VLOOKUP(B893,Price_data!A$1:B$190,2,FALSE))</f>
        <v>47.025999995379998</v>
      </c>
      <c r="Q893" s="3" t="e">
        <f>G893*(VLOOKUP(B893,Price_data!A$1:B$190,2,FALSE))</f>
        <v>#N/A</v>
      </c>
      <c r="R893" s="3" t="e">
        <f>I893*(VLOOKUP(B893,Price_data!A$1:B$190,2,FALSE))</f>
        <v>#N/A</v>
      </c>
      <c r="S893" s="4" t="str">
        <f>(VLOOKUP(B893,Price_data!A$1:C$190,3,FALSE))</f>
        <v>Open access</v>
      </c>
      <c r="T893" s="2" t="str">
        <f>IF(C893="Total", (VLOOKUP(B893,Recommended_fish_intake!A$4:D$122,4,FALSE)), "NA")</f>
        <v>NA</v>
      </c>
      <c r="U893" s="2" t="str">
        <f t="shared" si="109"/>
        <v>NA</v>
      </c>
    </row>
    <row r="894" spans="1:21" ht="14.25" customHeight="1">
      <c r="A894" s="2" t="s">
        <v>18</v>
      </c>
      <c r="B894" s="2">
        <v>1967</v>
      </c>
      <c r="C894" s="2" t="s">
        <v>25</v>
      </c>
      <c r="D894" s="3">
        <f t="shared" si="110"/>
        <v>37.949603739077425</v>
      </c>
      <c r="E894" s="3">
        <f t="shared" si="111"/>
        <v>4.8529999999999998</v>
      </c>
      <c r="F894" s="3" t="e">
        <f t="shared" si="112"/>
        <v>#N/A</v>
      </c>
      <c r="G894" s="3" t="e">
        <f t="shared" si="113"/>
        <v>#N/A</v>
      </c>
      <c r="H894" s="3" t="e">
        <f t="shared" si="114"/>
        <v>#N/A</v>
      </c>
      <c r="I894" s="3" t="e">
        <f t="shared" si="115"/>
        <v>#N/A</v>
      </c>
      <c r="J894" s="3">
        <v>37949.603739077422</v>
      </c>
      <c r="K894" s="3">
        <v>4853</v>
      </c>
      <c r="L894" s="3" t="e">
        <v>#N/A</v>
      </c>
      <c r="M894" s="3" t="e">
        <v>#N/A</v>
      </c>
      <c r="N894" s="3" t="e">
        <v>#N/A</v>
      </c>
      <c r="O894" s="3" t="e">
        <v>#N/A</v>
      </c>
      <c r="P894" s="3">
        <f>E894*(VLOOKUP(B894,Price_data!A$1:B$190,2,FALSE))</f>
        <v>52.331386832739994</v>
      </c>
      <c r="Q894" s="3" t="e">
        <f>G894*(VLOOKUP(B894,Price_data!A$1:B$190,2,FALSE))</f>
        <v>#N/A</v>
      </c>
      <c r="R894" s="3" t="e">
        <f>I894*(VLOOKUP(B894,Price_data!A$1:B$190,2,FALSE))</f>
        <v>#N/A</v>
      </c>
      <c r="S894" s="4" t="str">
        <f>(VLOOKUP(B894,Price_data!A$1:C$190,3,FALSE))</f>
        <v>Open access</v>
      </c>
      <c r="T894" s="2" t="str">
        <f>IF(C894="Total", (VLOOKUP(B894,Recommended_fish_intake!A$4:D$122,4,FALSE)), "NA")</f>
        <v>NA</v>
      </c>
      <c r="U894" s="2" t="str">
        <f t="shared" si="109"/>
        <v>NA</v>
      </c>
    </row>
    <row r="895" spans="1:21" ht="14.25" customHeight="1">
      <c r="A895" s="2" t="s">
        <v>18</v>
      </c>
      <c r="B895" s="2">
        <v>1967</v>
      </c>
      <c r="C895" s="2" t="s">
        <v>24</v>
      </c>
      <c r="D895" s="3">
        <f t="shared" si="110"/>
        <v>6.7059540743751267</v>
      </c>
      <c r="E895" s="3">
        <f t="shared" si="111"/>
        <v>0.32500000000000001</v>
      </c>
      <c r="F895" s="3" t="e">
        <f t="shared" si="112"/>
        <v>#N/A</v>
      </c>
      <c r="G895" s="3" t="e">
        <f t="shared" si="113"/>
        <v>#N/A</v>
      </c>
      <c r="H895" s="3" t="e">
        <f t="shared" si="114"/>
        <v>#N/A</v>
      </c>
      <c r="I895" s="3" t="e">
        <f t="shared" si="115"/>
        <v>#N/A</v>
      </c>
      <c r="J895" s="3">
        <v>6705.9540743751268</v>
      </c>
      <c r="K895" s="3">
        <v>325</v>
      </c>
      <c r="L895" s="3" t="e">
        <v>#N/A</v>
      </c>
      <c r="M895" s="3" t="e">
        <v>#N/A</v>
      </c>
      <c r="N895" s="3" t="e">
        <v>#N/A</v>
      </c>
      <c r="O895" s="3" t="e">
        <v>#N/A</v>
      </c>
      <c r="P895" s="3">
        <f>E895*(VLOOKUP(B895,Price_data!A$1:B$190,2,FALSE))</f>
        <v>3.5045746384999998</v>
      </c>
      <c r="Q895" s="3" t="e">
        <f>G895*(VLOOKUP(B895,Price_data!A$1:B$190,2,FALSE))</f>
        <v>#N/A</v>
      </c>
      <c r="R895" s="3" t="e">
        <f>I895*(VLOOKUP(B895,Price_data!A$1:B$190,2,FALSE))</f>
        <v>#N/A</v>
      </c>
      <c r="S895" s="4" t="str">
        <f>(VLOOKUP(B895,Price_data!A$1:C$190,3,FALSE))</f>
        <v>Open access</v>
      </c>
      <c r="T895" s="2" t="str">
        <f>IF(C895="Total", (VLOOKUP(B895,Recommended_fish_intake!A$4:D$122,4,FALSE)), "NA")</f>
        <v>NA</v>
      </c>
      <c r="U895" s="2" t="str">
        <f t="shared" si="109"/>
        <v>NA</v>
      </c>
    </row>
    <row r="896" spans="1:21" ht="14.25" customHeight="1">
      <c r="A896" s="2" t="s">
        <v>18</v>
      </c>
      <c r="B896" s="2">
        <v>1967</v>
      </c>
      <c r="C896" s="2" t="s">
        <v>19</v>
      </c>
      <c r="D896" s="3">
        <f t="shared" si="110"/>
        <v>12.548262548262548</v>
      </c>
      <c r="E896" s="3">
        <f t="shared" si="111"/>
        <v>0.45600000000000002</v>
      </c>
      <c r="F896" s="3" t="e">
        <f t="shared" si="112"/>
        <v>#N/A</v>
      </c>
      <c r="G896" s="3" t="e">
        <f t="shared" si="113"/>
        <v>#N/A</v>
      </c>
      <c r="H896" s="3" t="e">
        <f t="shared" si="114"/>
        <v>#N/A</v>
      </c>
      <c r="I896" s="3" t="e">
        <f t="shared" si="115"/>
        <v>#N/A</v>
      </c>
      <c r="J896" s="3">
        <v>12548.262548262548</v>
      </c>
      <c r="K896" s="3">
        <v>456</v>
      </c>
      <c r="L896" s="3" t="e">
        <v>#N/A</v>
      </c>
      <c r="M896" s="3" t="e">
        <v>#N/A</v>
      </c>
      <c r="N896" s="3" t="e">
        <v>#N/A</v>
      </c>
      <c r="O896" s="3" t="e">
        <v>#N/A</v>
      </c>
      <c r="P896" s="3">
        <f>E896*(VLOOKUP(B896,Price_data!A$1:B$190,2,FALSE))</f>
        <v>4.9171878004799998</v>
      </c>
      <c r="Q896" s="3" t="e">
        <f>G896*(VLOOKUP(B896,Price_data!A$1:B$190,2,FALSE))</f>
        <v>#N/A</v>
      </c>
      <c r="R896" s="3" t="e">
        <f>I896*(VLOOKUP(B896,Price_data!A$1:B$190,2,FALSE))</f>
        <v>#N/A</v>
      </c>
      <c r="S896" s="4" t="str">
        <f>(VLOOKUP(B896,Price_data!A$1:C$190,3,FALSE))</f>
        <v>Open access</v>
      </c>
      <c r="T896" s="2" t="str">
        <f>IF(C896="Total", (VLOOKUP(B896,Recommended_fish_intake!A$4:D$122,4,FALSE)), "NA")</f>
        <v>NA</v>
      </c>
      <c r="U896" s="2" t="str">
        <f t="shared" si="109"/>
        <v>NA</v>
      </c>
    </row>
    <row r="897" spans="1:21" ht="14.25" customHeight="1">
      <c r="A897" s="2" t="s">
        <v>18</v>
      </c>
      <c r="B897" s="2">
        <v>1967</v>
      </c>
      <c r="C897" s="2" t="s">
        <v>21</v>
      </c>
      <c r="D897" s="3">
        <f t="shared" si="110"/>
        <v>17.628530786425522</v>
      </c>
      <c r="E897" s="3">
        <f t="shared" si="111"/>
        <v>0.182</v>
      </c>
      <c r="F897" s="3" t="e">
        <f t="shared" si="112"/>
        <v>#N/A</v>
      </c>
      <c r="G897" s="3" t="e">
        <f t="shared" si="113"/>
        <v>#N/A</v>
      </c>
      <c r="H897" s="3" t="e">
        <f t="shared" si="114"/>
        <v>#N/A</v>
      </c>
      <c r="I897" s="3" t="e">
        <f t="shared" si="115"/>
        <v>#N/A</v>
      </c>
      <c r="J897" s="3">
        <v>17628.530786425523</v>
      </c>
      <c r="K897" s="3">
        <v>182</v>
      </c>
      <c r="L897" s="3" t="e">
        <v>#N/A</v>
      </c>
      <c r="M897" s="3" t="e">
        <v>#N/A</v>
      </c>
      <c r="N897" s="3" t="e">
        <v>#N/A</v>
      </c>
      <c r="O897" s="3" t="e">
        <v>#N/A</v>
      </c>
      <c r="P897" s="3">
        <f>E897*(VLOOKUP(B897,Price_data!A$1:B$190,2,FALSE))</f>
        <v>1.9625617975599998</v>
      </c>
      <c r="Q897" s="3" t="e">
        <f>G897*(VLOOKUP(B897,Price_data!A$1:B$190,2,FALSE))</f>
        <v>#N/A</v>
      </c>
      <c r="R897" s="3" t="e">
        <f>I897*(VLOOKUP(B897,Price_data!A$1:B$190,2,FALSE))</f>
        <v>#N/A</v>
      </c>
      <c r="S897" s="4" t="str">
        <f>(VLOOKUP(B897,Price_data!A$1:C$190,3,FALSE))</f>
        <v>Open access</v>
      </c>
      <c r="T897" s="2" t="str">
        <f>IF(C897="Total", (VLOOKUP(B897,Recommended_fish_intake!A$4:D$122,4,FALSE)), "NA")</f>
        <v>NA</v>
      </c>
      <c r="U897" s="2" t="str">
        <f t="shared" si="109"/>
        <v>NA</v>
      </c>
    </row>
    <row r="898" spans="1:21" ht="14.25" customHeight="1">
      <c r="A898" s="2" t="s">
        <v>18</v>
      </c>
      <c r="B898" s="2">
        <v>1967</v>
      </c>
      <c r="C898" s="2" t="s">
        <v>34</v>
      </c>
      <c r="D898" s="3">
        <f t="shared" si="110"/>
        <v>0.406421459053038</v>
      </c>
      <c r="E898" s="3">
        <f t="shared" si="111"/>
        <v>0.35599999999999998</v>
      </c>
      <c r="F898" s="3" t="e">
        <f t="shared" si="112"/>
        <v>#N/A</v>
      </c>
      <c r="G898" s="3" t="e">
        <f t="shared" si="113"/>
        <v>#N/A</v>
      </c>
      <c r="H898" s="3" t="e">
        <f t="shared" si="114"/>
        <v>#N/A</v>
      </c>
      <c r="I898" s="3" t="e">
        <f t="shared" si="115"/>
        <v>#N/A</v>
      </c>
      <c r="J898" s="3">
        <v>406.42145905303801</v>
      </c>
      <c r="K898" s="3">
        <v>356</v>
      </c>
      <c r="L898" s="3" t="e">
        <v>#N/A</v>
      </c>
      <c r="M898" s="3" t="e">
        <v>#N/A</v>
      </c>
      <c r="N898" s="3" t="e">
        <v>#N/A</v>
      </c>
      <c r="O898" s="3" t="e">
        <v>#N/A</v>
      </c>
      <c r="P898" s="3">
        <f>E898*(VLOOKUP(B898,Price_data!A$1:B$190,2,FALSE))</f>
        <v>3.8388571424799998</v>
      </c>
      <c r="Q898" s="3" t="e">
        <f>G898*(VLOOKUP(B898,Price_data!A$1:B$190,2,FALSE))</f>
        <v>#N/A</v>
      </c>
      <c r="R898" s="3" t="e">
        <f>I898*(VLOOKUP(B898,Price_data!A$1:B$190,2,FALSE))</f>
        <v>#N/A</v>
      </c>
      <c r="S898" s="4" t="str">
        <f>(VLOOKUP(B898,Price_data!A$1:C$190,3,FALSE))</f>
        <v>Open access</v>
      </c>
      <c r="T898" s="2" t="str">
        <f>IF(C898="Total", (VLOOKUP(B898,Recommended_fish_intake!A$4:D$122,4,FALSE)), "NA")</f>
        <v>NA</v>
      </c>
      <c r="U898" s="2" t="str">
        <f t="shared" ref="U898:U961" si="116">IF(C898="Wet fish", D898*0.49, IF(C898="Shellfish", D898*0.28, "NA"))</f>
        <v>NA</v>
      </c>
    </row>
    <row r="899" spans="1:21" ht="14.25" customHeight="1">
      <c r="A899" s="2" t="s">
        <v>18</v>
      </c>
      <c r="B899" s="2">
        <v>1967</v>
      </c>
      <c r="C899" s="2" t="s">
        <v>35</v>
      </c>
      <c r="D899" s="3">
        <f t="shared" si="110"/>
        <v>0.76204023572444624</v>
      </c>
      <c r="E899" s="3">
        <f t="shared" si="111"/>
        <v>0.17799999999999999</v>
      </c>
      <c r="F899" s="3" t="e">
        <f t="shared" si="112"/>
        <v>#N/A</v>
      </c>
      <c r="G899" s="3" t="e">
        <f t="shared" si="113"/>
        <v>#N/A</v>
      </c>
      <c r="H899" s="3" t="e">
        <f t="shared" si="114"/>
        <v>#N/A</v>
      </c>
      <c r="I899" s="3" t="e">
        <f t="shared" si="115"/>
        <v>#N/A</v>
      </c>
      <c r="J899" s="3">
        <v>762.04023572444623</v>
      </c>
      <c r="K899" s="3">
        <v>178</v>
      </c>
      <c r="L899" s="3" t="e">
        <v>#N/A</v>
      </c>
      <c r="M899" s="3" t="e">
        <v>#N/A</v>
      </c>
      <c r="N899" s="3" t="e">
        <v>#N/A</v>
      </c>
      <c r="O899" s="3" t="e">
        <v>#N/A</v>
      </c>
      <c r="P899" s="3">
        <f>E899*(VLOOKUP(B899,Price_data!A$1:B$190,2,FALSE))</f>
        <v>1.9194285712399999</v>
      </c>
      <c r="Q899" s="3" t="e">
        <f>G899*(VLOOKUP(B899,Price_data!A$1:B$190,2,FALSE))</f>
        <v>#N/A</v>
      </c>
      <c r="R899" s="3" t="e">
        <f>I899*(VLOOKUP(B899,Price_data!A$1:B$190,2,FALSE))</f>
        <v>#N/A</v>
      </c>
      <c r="S899" s="4" t="str">
        <f>(VLOOKUP(B899,Price_data!A$1:C$190,3,FALSE))</f>
        <v>Open access</v>
      </c>
      <c r="T899" s="2" t="str">
        <f>IF(C899="Total", (VLOOKUP(B899,Recommended_fish_intake!A$4:D$122,4,FALSE)), "NA")</f>
        <v>NA</v>
      </c>
      <c r="U899" s="2" t="str">
        <f t="shared" si="116"/>
        <v>NA</v>
      </c>
    </row>
    <row r="900" spans="1:21" ht="14.25" customHeight="1">
      <c r="A900" s="2" t="s">
        <v>18</v>
      </c>
      <c r="B900" s="2">
        <v>1967</v>
      </c>
      <c r="C900" s="2" t="s">
        <v>30</v>
      </c>
      <c r="D900" s="3">
        <f t="shared" si="110"/>
        <v>1.4224751066856329</v>
      </c>
      <c r="E900" s="3">
        <f t="shared" si="111"/>
        <v>0.218</v>
      </c>
      <c r="F900" s="3" t="e">
        <f t="shared" si="112"/>
        <v>#N/A</v>
      </c>
      <c r="G900" s="3" t="e">
        <f t="shared" si="113"/>
        <v>#N/A</v>
      </c>
      <c r="H900" s="3" t="e">
        <f t="shared" si="114"/>
        <v>#N/A</v>
      </c>
      <c r="I900" s="3" t="e">
        <f t="shared" si="115"/>
        <v>#N/A</v>
      </c>
      <c r="J900" s="3">
        <v>1422.4751066856329</v>
      </c>
      <c r="K900" s="3">
        <v>218</v>
      </c>
      <c r="L900" s="3" t="e">
        <v>#N/A</v>
      </c>
      <c r="M900" s="3" t="e">
        <v>#N/A</v>
      </c>
      <c r="N900" s="3" t="e">
        <v>#N/A</v>
      </c>
      <c r="O900" s="3" t="e">
        <v>#N/A</v>
      </c>
      <c r="P900" s="3">
        <f>E900*(VLOOKUP(B900,Price_data!A$1:B$190,2,FALSE))</f>
        <v>2.3507608344399999</v>
      </c>
      <c r="Q900" s="3" t="e">
        <f>G900*(VLOOKUP(B900,Price_data!A$1:B$190,2,FALSE))</f>
        <v>#N/A</v>
      </c>
      <c r="R900" s="3" t="e">
        <f>I900*(VLOOKUP(B900,Price_data!A$1:B$190,2,FALSE))</f>
        <v>#N/A</v>
      </c>
      <c r="S900" s="4" t="str">
        <f>(VLOOKUP(B900,Price_data!A$1:C$190,3,FALSE))</f>
        <v>Open access</v>
      </c>
      <c r="T900" s="2" t="str">
        <f>IF(C900="Total", (VLOOKUP(B900,Recommended_fish_intake!A$4:D$122,4,FALSE)), "NA")</f>
        <v>NA</v>
      </c>
      <c r="U900" s="2" t="str">
        <f t="shared" si="116"/>
        <v>NA</v>
      </c>
    </row>
    <row r="901" spans="1:21" ht="14.25" customHeight="1">
      <c r="A901" s="2" t="s">
        <v>18</v>
      </c>
      <c r="B901" s="2">
        <v>1967</v>
      </c>
      <c r="C901" s="2" t="s">
        <v>36</v>
      </c>
      <c r="D901" s="3">
        <f t="shared" si="110"/>
        <v>2.794147530989636</v>
      </c>
      <c r="E901" s="3">
        <f t="shared" si="111"/>
        <v>0.30599999999999999</v>
      </c>
      <c r="F901" s="3" t="e">
        <f t="shared" si="112"/>
        <v>#N/A</v>
      </c>
      <c r="G901" s="3" t="e">
        <f t="shared" si="113"/>
        <v>#N/A</v>
      </c>
      <c r="H901" s="3" t="e">
        <f t="shared" si="114"/>
        <v>#N/A</v>
      </c>
      <c r="I901" s="3" t="e">
        <f t="shared" si="115"/>
        <v>#N/A</v>
      </c>
      <c r="J901" s="3">
        <v>2794.1475309896359</v>
      </c>
      <c r="K901" s="3">
        <v>306</v>
      </c>
      <c r="L901" s="3" t="e">
        <v>#N/A</v>
      </c>
      <c r="M901" s="3" t="e">
        <v>#N/A</v>
      </c>
      <c r="N901" s="3" t="e">
        <v>#N/A</v>
      </c>
      <c r="O901" s="3" t="e">
        <v>#N/A</v>
      </c>
      <c r="P901" s="3">
        <f>E901*(VLOOKUP(B901,Price_data!A$1:B$190,2,FALSE))</f>
        <v>3.29969181348</v>
      </c>
      <c r="Q901" s="3" t="e">
        <f>G901*(VLOOKUP(B901,Price_data!A$1:B$190,2,FALSE))</f>
        <v>#N/A</v>
      </c>
      <c r="R901" s="3" t="e">
        <f>I901*(VLOOKUP(B901,Price_data!A$1:B$190,2,FALSE))</f>
        <v>#N/A</v>
      </c>
      <c r="S901" s="4" t="str">
        <f>(VLOOKUP(B901,Price_data!A$1:C$190,3,FALSE))</f>
        <v>Open access</v>
      </c>
      <c r="T901" s="2" t="str">
        <f>IF(C901="Total", (VLOOKUP(B901,Recommended_fish_intake!A$4:D$122,4,FALSE)), "NA")</f>
        <v>NA</v>
      </c>
      <c r="U901" s="2" t="str">
        <f t="shared" si="116"/>
        <v>NA</v>
      </c>
    </row>
    <row r="902" spans="1:21" ht="14.25" customHeight="1">
      <c r="A902" s="2" t="s">
        <v>18</v>
      </c>
      <c r="B902" s="2">
        <v>1967</v>
      </c>
      <c r="C902" s="2" t="s">
        <v>28</v>
      </c>
      <c r="D902" s="3">
        <f t="shared" si="110"/>
        <v>28.09388335704125</v>
      </c>
      <c r="E902" s="3">
        <f t="shared" si="111"/>
        <v>1.6339999999999999</v>
      </c>
      <c r="F902" s="3" t="e">
        <f t="shared" si="112"/>
        <v>#N/A</v>
      </c>
      <c r="G902" s="3" t="e">
        <f t="shared" si="113"/>
        <v>#N/A</v>
      </c>
      <c r="H902" s="3" t="e">
        <f t="shared" si="114"/>
        <v>#N/A</v>
      </c>
      <c r="I902" s="3" t="e">
        <f t="shared" si="115"/>
        <v>#N/A</v>
      </c>
      <c r="J902" s="3">
        <v>28093.88335704125</v>
      </c>
      <c r="K902" s="3">
        <v>1634</v>
      </c>
      <c r="L902" s="3" t="e">
        <v>#N/A</v>
      </c>
      <c r="M902" s="3" t="e">
        <v>#N/A</v>
      </c>
      <c r="N902" s="3" t="e">
        <v>#N/A</v>
      </c>
      <c r="O902" s="3" t="e">
        <v>#N/A</v>
      </c>
      <c r="P902" s="3">
        <f>E902*(VLOOKUP(B902,Price_data!A$1:B$190,2,FALSE))</f>
        <v>17.61992295172</v>
      </c>
      <c r="Q902" s="3" t="e">
        <f>G902*(VLOOKUP(B902,Price_data!A$1:B$190,2,FALSE))</f>
        <v>#N/A</v>
      </c>
      <c r="R902" s="3" t="e">
        <f>I902*(VLOOKUP(B902,Price_data!A$1:B$190,2,FALSE))</f>
        <v>#N/A</v>
      </c>
      <c r="S902" s="4" t="str">
        <f>(VLOOKUP(B902,Price_data!A$1:C$190,3,FALSE))</f>
        <v>Open access</v>
      </c>
      <c r="T902" s="2" t="str">
        <f>IF(C902="Total", (VLOOKUP(B902,Recommended_fish_intake!A$4:D$122,4,FALSE)), "NA")</f>
        <v>NA</v>
      </c>
      <c r="U902" s="2">
        <f t="shared" si="116"/>
        <v>7.8662873399715503</v>
      </c>
    </row>
    <row r="903" spans="1:21" ht="14.25" customHeight="1">
      <c r="A903" s="2" t="s">
        <v>18</v>
      </c>
      <c r="B903" s="2">
        <v>1967</v>
      </c>
      <c r="C903" s="2" t="s">
        <v>37</v>
      </c>
      <c r="D903" s="3">
        <f t="shared" si="110"/>
        <v>522.30237756553538</v>
      </c>
      <c r="E903" s="3">
        <f t="shared" si="111"/>
        <v>38.186</v>
      </c>
      <c r="F903" s="3" t="e">
        <f t="shared" si="112"/>
        <v>#N/A</v>
      </c>
      <c r="G903" s="3" t="e">
        <f t="shared" si="113"/>
        <v>#N/A</v>
      </c>
      <c r="H903" s="3" t="e">
        <f t="shared" si="114"/>
        <v>#N/A</v>
      </c>
      <c r="I903" s="3" t="e">
        <f t="shared" si="115"/>
        <v>#N/A</v>
      </c>
      <c r="J903" s="3">
        <v>522302.37756553537</v>
      </c>
      <c r="K903" s="3">
        <v>38186</v>
      </c>
      <c r="L903" s="3" t="e">
        <v>#N/A</v>
      </c>
      <c r="M903" s="3" t="e">
        <v>#N/A</v>
      </c>
      <c r="N903" s="3" t="e">
        <v>#N/A</v>
      </c>
      <c r="O903" s="3" t="e">
        <v>#N/A</v>
      </c>
      <c r="P903" s="3">
        <f>E903*(VLOOKUP(B903,Price_data!A$1:B$190,2,FALSE))</f>
        <v>411.77134506388001</v>
      </c>
      <c r="Q903" s="3" t="e">
        <f>G903*(VLOOKUP(B903,Price_data!A$1:B$190,2,FALSE))</f>
        <v>#N/A</v>
      </c>
      <c r="R903" s="3" t="e">
        <f>I903*(VLOOKUP(B903,Price_data!A$1:B$190,2,FALSE))</f>
        <v>#N/A</v>
      </c>
      <c r="S903" s="4" t="str">
        <f>(VLOOKUP(B903,Price_data!A$1:C$190,3,FALSE))</f>
        <v>Open access</v>
      </c>
      <c r="T903" s="2" t="str">
        <f>IF(C903="Total", (VLOOKUP(B903,Recommended_fish_intake!A$4:D$122,4,FALSE)), "NA")</f>
        <v>NA</v>
      </c>
      <c r="U903" s="2">
        <f t="shared" si="116"/>
        <v>255.92816500711234</v>
      </c>
    </row>
    <row r="904" spans="1:21" ht="14.25" customHeight="1">
      <c r="A904" s="2" t="s">
        <v>39</v>
      </c>
      <c r="B904" s="2">
        <v>1967</v>
      </c>
      <c r="C904" s="2" t="s">
        <v>22</v>
      </c>
      <c r="D904" s="3">
        <f t="shared" si="110"/>
        <v>51.869538711643969</v>
      </c>
      <c r="E904" s="3">
        <f t="shared" si="111"/>
        <v>3.9390000000000001</v>
      </c>
      <c r="F904" s="3" t="e">
        <f t="shared" si="112"/>
        <v>#N/A</v>
      </c>
      <c r="G904" s="3" t="e">
        <f t="shared" si="113"/>
        <v>#N/A</v>
      </c>
      <c r="H904" s="3" t="e">
        <f t="shared" si="114"/>
        <v>#N/A</v>
      </c>
      <c r="I904" s="3" t="e">
        <f t="shared" si="115"/>
        <v>#N/A</v>
      </c>
      <c r="J904" s="3">
        <v>51869.538711643967</v>
      </c>
      <c r="K904" s="3">
        <v>3939</v>
      </c>
      <c r="L904" s="3" t="e">
        <v>#N/A</v>
      </c>
      <c r="M904" s="3" t="e">
        <v>#N/A</v>
      </c>
      <c r="N904" s="3" t="e">
        <v>#N/A</v>
      </c>
      <c r="O904" s="3" t="e">
        <v>#N/A</v>
      </c>
      <c r="P904" s="3">
        <f>E904*(VLOOKUP(B904,Price_data!A$1:B$190,2,FALSE))</f>
        <v>42.475444618619996</v>
      </c>
      <c r="Q904" s="3" t="e">
        <f>G904*(VLOOKUP(B904,Price_data!A$1:B$190,2,FALSE))</f>
        <v>#N/A</v>
      </c>
      <c r="R904" s="3" t="e">
        <f>I904*(VLOOKUP(B904,Price_data!A$1:B$190,2,FALSE))</f>
        <v>#N/A</v>
      </c>
      <c r="S904" s="4" t="str">
        <f>(VLOOKUP(B904,Price_data!A$1:C$190,3,FALSE))</f>
        <v>Open access</v>
      </c>
      <c r="T904" s="2" t="str">
        <f>IF(C904="Total", (VLOOKUP(B904,Recommended_fish_intake!A$4:D$122,4,FALSE)), "NA")</f>
        <v>NA</v>
      </c>
      <c r="U904" s="2" t="str">
        <f t="shared" si="116"/>
        <v>NA</v>
      </c>
    </row>
    <row r="905" spans="1:21" ht="14.25" customHeight="1">
      <c r="A905" s="2" t="s">
        <v>39</v>
      </c>
      <c r="B905" s="2">
        <v>1967</v>
      </c>
      <c r="C905" s="2" t="s">
        <v>23</v>
      </c>
      <c r="D905" s="3">
        <f t="shared" si="110"/>
        <v>82.147937411095299</v>
      </c>
      <c r="E905" s="3">
        <f t="shared" si="111"/>
        <v>6.109</v>
      </c>
      <c r="F905" s="3" t="e">
        <f t="shared" si="112"/>
        <v>#N/A</v>
      </c>
      <c r="G905" s="3" t="e">
        <f t="shared" si="113"/>
        <v>#N/A</v>
      </c>
      <c r="H905" s="3" t="e">
        <f t="shared" si="114"/>
        <v>#N/A</v>
      </c>
      <c r="I905" s="3" t="e">
        <f t="shared" si="115"/>
        <v>#N/A</v>
      </c>
      <c r="J905" s="3">
        <v>82147.937411095292</v>
      </c>
      <c r="K905" s="3">
        <v>6109</v>
      </c>
      <c r="L905" s="3" t="e">
        <v>#N/A</v>
      </c>
      <c r="M905" s="3" t="e">
        <v>#N/A</v>
      </c>
      <c r="N905" s="3" t="e">
        <v>#N/A</v>
      </c>
      <c r="O905" s="3" t="e">
        <v>#N/A</v>
      </c>
      <c r="P905" s="3">
        <f>E905*(VLOOKUP(B905,Price_data!A$1:B$190,2,FALSE))</f>
        <v>65.875219897219992</v>
      </c>
      <c r="Q905" s="3" t="e">
        <f>G905*(VLOOKUP(B905,Price_data!A$1:B$190,2,FALSE))</f>
        <v>#N/A</v>
      </c>
      <c r="R905" s="3" t="e">
        <f>I905*(VLOOKUP(B905,Price_data!A$1:B$190,2,FALSE))</f>
        <v>#N/A</v>
      </c>
      <c r="S905" s="4" t="str">
        <f>(VLOOKUP(B905,Price_data!A$1:C$190,3,FALSE))</f>
        <v>Open access</v>
      </c>
      <c r="T905" s="2" t="str">
        <f>IF(C905="Total", (VLOOKUP(B905,Recommended_fish_intake!A$4:D$122,4,FALSE)), "NA")</f>
        <v>NA</v>
      </c>
      <c r="U905" s="2" t="str">
        <f t="shared" si="116"/>
        <v>NA</v>
      </c>
    </row>
    <row r="906" spans="1:21" ht="14.25" customHeight="1">
      <c r="A906" s="2" t="s">
        <v>39</v>
      </c>
      <c r="B906" s="2">
        <v>1967</v>
      </c>
      <c r="C906" s="2" t="s">
        <v>25</v>
      </c>
      <c r="D906" s="3">
        <f t="shared" si="110"/>
        <v>6.5027433448486081</v>
      </c>
      <c r="E906" s="3">
        <f t="shared" si="111"/>
        <v>0.78</v>
      </c>
      <c r="F906" s="3" t="e">
        <f t="shared" si="112"/>
        <v>#N/A</v>
      </c>
      <c r="G906" s="3" t="e">
        <f t="shared" si="113"/>
        <v>#N/A</v>
      </c>
      <c r="H906" s="3" t="e">
        <f t="shared" si="114"/>
        <v>#N/A</v>
      </c>
      <c r="I906" s="3" t="e">
        <f t="shared" si="115"/>
        <v>#N/A</v>
      </c>
      <c r="J906" s="3">
        <v>6502.7433448486081</v>
      </c>
      <c r="K906" s="3">
        <v>780</v>
      </c>
      <c r="L906" s="3" t="e">
        <v>#N/A</v>
      </c>
      <c r="M906" s="3" t="e">
        <v>#N/A</v>
      </c>
      <c r="N906" s="3" t="e">
        <v>#N/A</v>
      </c>
      <c r="O906" s="3" t="e">
        <v>#N/A</v>
      </c>
      <c r="P906" s="3">
        <f>E906*(VLOOKUP(B906,Price_data!A$1:B$190,2,FALSE))</f>
        <v>8.4109791323999996</v>
      </c>
      <c r="Q906" s="3" t="e">
        <f>G906*(VLOOKUP(B906,Price_data!A$1:B$190,2,FALSE))</f>
        <v>#N/A</v>
      </c>
      <c r="R906" s="3" t="e">
        <f>I906*(VLOOKUP(B906,Price_data!A$1:B$190,2,FALSE))</f>
        <v>#N/A</v>
      </c>
      <c r="S906" s="4" t="str">
        <f>(VLOOKUP(B906,Price_data!A$1:C$190,3,FALSE))</f>
        <v>Open access</v>
      </c>
      <c r="T906" s="2" t="str">
        <f>IF(C906="Total", (VLOOKUP(B906,Recommended_fish_intake!A$4:D$122,4,FALSE)), "NA")</f>
        <v>NA</v>
      </c>
      <c r="U906" s="2" t="str">
        <f t="shared" si="116"/>
        <v>NA</v>
      </c>
    </row>
    <row r="907" spans="1:21" ht="14.25" customHeight="1">
      <c r="A907" s="2" t="s">
        <v>39</v>
      </c>
      <c r="B907" s="2">
        <v>1967</v>
      </c>
      <c r="C907" s="2" t="s">
        <v>24</v>
      </c>
      <c r="D907" s="3">
        <f t="shared" si="110"/>
        <v>37.644787644787641</v>
      </c>
      <c r="E907" s="3">
        <f t="shared" si="111"/>
        <v>2.4039999999999999</v>
      </c>
      <c r="F907" s="3" t="e">
        <f t="shared" si="112"/>
        <v>#N/A</v>
      </c>
      <c r="G907" s="3" t="e">
        <f t="shared" si="113"/>
        <v>#N/A</v>
      </c>
      <c r="H907" s="3" t="e">
        <f t="shared" si="114"/>
        <v>#N/A</v>
      </c>
      <c r="I907" s="3" t="e">
        <f t="shared" si="115"/>
        <v>#N/A</v>
      </c>
      <c r="J907" s="3">
        <v>37644.787644787641</v>
      </c>
      <c r="K907" s="3">
        <v>2404</v>
      </c>
      <c r="L907" s="3" t="e">
        <v>#N/A</v>
      </c>
      <c r="M907" s="3" t="e">
        <v>#N/A</v>
      </c>
      <c r="N907" s="3" t="e">
        <v>#N/A</v>
      </c>
      <c r="O907" s="3" t="e">
        <v>#N/A</v>
      </c>
      <c r="P907" s="3">
        <f>E907*(VLOOKUP(B907,Price_data!A$1:B$190,2,FALSE))</f>
        <v>25.92306901832</v>
      </c>
      <c r="Q907" s="3" t="e">
        <f>G907*(VLOOKUP(B907,Price_data!A$1:B$190,2,FALSE))</f>
        <v>#N/A</v>
      </c>
      <c r="R907" s="3" t="e">
        <f>I907*(VLOOKUP(B907,Price_data!A$1:B$190,2,FALSE))</f>
        <v>#N/A</v>
      </c>
      <c r="S907" s="4" t="str">
        <f>(VLOOKUP(B907,Price_data!A$1:C$190,3,FALSE))</f>
        <v>Open access</v>
      </c>
      <c r="T907" s="2" t="str">
        <f>IF(C907="Total", (VLOOKUP(B907,Recommended_fish_intake!A$4:D$122,4,FALSE)), "NA")</f>
        <v>NA</v>
      </c>
      <c r="U907" s="2" t="str">
        <f t="shared" si="116"/>
        <v>NA</v>
      </c>
    </row>
    <row r="908" spans="1:21" ht="14.25" customHeight="1">
      <c r="A908" s="2" t="s">
        <v>39</v>
      </c>
      <c r="B908" s="2">
        <v>1967</v>
      </c>
      <c r="C908" s="2" t="s">
        <v>19</v>
      </c>
      <c r="D908" s="3">
        <f t="shared" si="110"/>
        <v>88.142653932127615</v>
      </c>
      <c r="E908" s="3">
        <f t="shared" si="111"/>
        <v>2.1890000000000001</v>
      </c>
      <c r="F908" s="3" t="e">
        <f t="shared" si="112"/>
        <v>#N/A</v>
      </c>
      <c r="G908" s="3" t="e">
        <f t="shared" si="113"/>
        <v>#N/A</v>
      </c>
      <c r="H908" s="3" t="e">
        <f t="shared" si="114"/>
        <v>#N/A</v>
      </c>
      <c r="I908" s="3" t="e">
        <f t="shared" si="115"/>
        <v>#N/A</v>
      </c>
      <c r="J908" s="3">
        <v>88142.653932127621</v>
      </c>
      <c r="K908" s="3">
        <v>2189</v>
      </c>
      <c r="L908" s="3" t="e">
        <v>#N/A</v>
      </c>
      <c r="M908" s="3" t="e">
        <v>#N/A</v>
      </c>
      <c r="N908" s="3" t="e">
        <v>#N/A</v>
      </c>
      <c r="O908" s="3" t="e">
        <v>#N/A</v>
      </c>
      <c r="P908" s="3">
        <f>E908*(VLOOKUP(B908,Price_data!A$1:B$190,2,FALSE))</f>
        <v>23.60465810362</v>
      </c>
      <c r="Q908" s="3" t="e">
        <f>G908*(VLOOKUP(B908,Price_data!A$1:B$190,2,FALSE))</f>
        <v>#N/A</v>
      </c>
      <c r="R908" s="3" t="e">
        <f>I908*(VLOOKUP(B908,Price_data!A$1:B$190,2,FALSE))</f>
        <v>#N/A</v>
      </c>
      <c r="S908" s="4" t="str">
        <f>(VLOOKUP(B908,Price_data!A$1:C$190,3,FALSE))</f>
        <v>Open access</v>
      </c>
      <c r="T908" s="2" t="str">
        <f>IF(C908="Total", (VLOOKUP(B908,Recommended_fish_intake!A$4:D$122,4,FALSE)), "NA")</f>
        <v>NA</v>
      </c>
      <c r="U908" s="2" t="str">
        <f t="shared" si="116"/>
        <v>NA</v>
      </c>
    </row>
    <row r="909" spans="1:21" ht="14.25" customHeight="1">
      <c r="A909" s="2" t="s">
        <v>39</v>
      </c>
      <c r="B909" s="2">
        <v>1967</v>
      </c>
      <c r="C909" s="2" t="s">
        <v>21</v>
      </c>
      <c r="D909" s="3">
        <f t="shared" si="110"/>
        <v>26.519000203210727</v>
      </c>
      <c r="E909" s="3">
        <f t="shared" si="111"/>
        <v>0.192</v>
      </c>
      <c r="F909" s="3" t="e">
        <f t="shared" si="112"/>
        <v>#N/A</v>
      </c>
      <c r="G909" s="3" t="e">
        <f t="shared" si="113"/>
        <v>#N/A</v>
      </c>
      <c r="H909" s="3" t="e">
        <f t="shared" si="114"/>
        <v>#N/A</v>
      </c>
      <c r="I909" s="3" t="e">
        <f t="shared" si="115"/>
        <v>#N/A</v>
      </c>
      <c r="J909" s="3">
        <v>26519.000203210726</v>
      </c>
      <c r="K909" s="3">
        <v>192</v>
      </c>
      <c r="L909" s="3" t="e">
        <v>#N/A</v>
      </c>
      <c r="M909" s="3" t="e">
        <v>#N/A</v>
      </c>
      <c r="N909" s="3" t="e">
        <v>#N/A</v>
      </c>
      <c r="O909" s="3" t="e">
        <v>#N/A</v>
      </c>
      <c r="P909" s="3">
        <f>E909*(VLOOKUP(B909,Price_data!A$1:B$190,2,FALSE))</f>
        <v>2.0703948633599998</v>
      </c>
      <c r="Q909" s="3" t="e">
        <f>G909*(VLOOKUP(B909,Price_data!A$1:B$190,2,FALSE))</f>
        <v>#N/A</v>
      </c>
      <c r="R909" s="3" t="e">
        <f>I909*(VLOOKUP(B909,Price_data!A$1:B$190,2,FALSE))</f>
        <v>#N/A</v>
      </c>
      <c r="S909" s="4" t="str">
        <f>(VLOOKUP(B909,Price_data!A$1:C$190,3,FALSE))</f>
        <v>Open access</v>
      </c>
      <c r="T909" s="2" t="str">
        <f>IF(C909="Total", (VLOOKUP(B909,Recommended_fish_intake!A$4:D$122,4,FALSE)), "NA")</f>
        <v>NA</v>
      </c>
      <c r="U909" s="2" t="str">
        <f t="shared" si="116"/>
        <v>NA</v>
      </c>
    </row>
    <row r="910" spans="1:21" ht="14.25" customHeight="1">
      <c r="A910" s="2" t="s">
        <v>39</v>
      </c>
      <c r="B910" s="2">
        <v>1967</v>
      </c>
      <c r="C910" s="2" t="s">
        <v>34</v>
      </c>
      <c r="D910" s="3">
        <f t="shared" si="110"/>
        <v>0.55882950619792726</v>
      </c>
      <c r="E910" s="3">
        <f t="shared" si="111"/>
        <v>0.53800000000000003</v>
      </c>
      <c r="F910" s="3" t="e">
        <f t="shared" si="112"/>
        <v>#N/A</v>
      </c>
      <c r="G910" s="3" t="e">
        <f t="shared" si="113"/>
        <v>#N/A</v>
      </c>
      <c r="H910" s="3" t="e">
        <f t="shared" si="114"/>
        <v>#N/A</v>
      </c>
      <c r="I910" s="3" t="e">
        <f t="shared" si="115"/>
        <v>#N/A</v>
      </c>
      <c r="J910" s="3">
        <v>558.82950619792723</v>
      </c>
      <c r="K910" s="3">
        <v>538</v>
      </c>
      <c r="L910" s="3" t="e">
        <v>#N/A</v>
      </c>
      <c r="M910" s="3" t="e">
        <v>#N/A</v>
      </c>
      <c r="N910" s="3" t="e">
        <v>#N/A</v>
      </c>
      <c r="O910" s="3" t="e">
        <v>#N/A</v>
      </c>
      <c r="P910" s="3">
        <f>E910*(VLOOKUP(B910,Price_data!A$1:B$190,2,FALSE))</f>
        <v>5.8014189400400005</v>
      </c>
      <c r="Q910" s="3" t="e">
        <f>G910*(VLOOKUP(B910,Price_data!A$1:B$190,2,FALSE))</f>
        <v>#N/A</v>
      </c>
      <c r="R910" s="3" t="e">
        <f>I910*(VLOOKUP(B910,Price_data!A$1:B$190,2,FALSE))</f>
        <v>#N/A</v>
      </c>
      <c r="S910" s="4" t="str">
        <f>(VLOOKUP(B910,Price_data!A$1:C$190,3,FALSE))</f>
        <v>Open access</v>
      </c>
      <c r="T910" s="2" t="str">
        <f>IF(C910="Total", (VLOOKUP(B910,Recommended_fish_intake!A$4:D$122,4,FALSE)), "NA")</f>
        <v>NA</v>
      </c>
      <c r="U910" s="2" t="str">
        <f t="shared" si="116"/>
        <v>NA</v>
      </c>
    </row>
    <row r="911" spans="1:21" ht="14.25" customHeight="1">
      <c r="A911" s="2" t="s">
        <v>39</v>
      </c>
      <c r="B911" s="2">
        <v>1967</v>
      </c>
      <c r="C911" s="2" t="s">
        <v>35</v>
      </c>
      <c r="D911" s="3">
        <f t="shared" si="110"/>
        <v>6.7059540743751267</v>
      </c>
      <c r="E911" s="3">
        <f t="shared" si="111"/>
        <v>1.2869999999999999</v>
      </c>
      <c r="F911" s="3" t="e">
        <f t="shared" si="112"/>
        <v>#N/A</v>
      </c>
      <c r="G911" s="3" t="e">
        <f t="shared" si="113"/>
        <v>#N/A</v>
      </c>
      <c r="H911" s="3" t="e">
        <f t="shared" si="114"/>
        <v>#N/A</v>
      </c>
      <c r="I911" s="3" t="e">
        <f t="shared" si="115"/>
        <v>#N/A</v>
      </c>
      <c r="J911" s="3">
        <v>6705.9540743751268</v>
      </c>
      <c r="K911" s="3">
        <v>1287</v>
      </c>
      <c r="L911" s="3" t="e">
        <v>#N/A</v>
      </c>
      <c r="M911" s="3" t="e">
        <v>#N/A</v>
      </c>
      <c r="N911" s="3" t="e">
        <v>#N/A</v>
      </c>
      <c r="O911" s="3" t="e">
        <v>#N/A</v>
      </c>
      <c r="P911" s="3">
        <f>E911*(VLOOKUP(B911,Price_data!A$1:B$190,2,FALSE))</f>
        <v>13.878115568459998</v>
      </c>
      <c r="Q911" s="3" t="e">
        <f>G911*(VLOOKUP(B911,Price_data!A$1:B$190,2,FALSE))</f>
        <v>#N/A</v>
      </c>
      <c r="R911" s="3" t="e">
        <f>I911*(VLOOKUP(B911,Price_data!A$1:B$190,2,FALSE))</f>
        <v>#N/A</v>
      </c>
      <c r="S911" s="4" t="str">
        <f>(VLOOKUP(B911,Price_data!A$1:C$190,3,FALSE))</f>
        <v>Open access</v>
      </c>
      <c r="T911" s="2" t="str">
        <f>IF(C911="Total", (VLOOKUP(B911,Recommended_fish_intake!A$4:D$122,4,FALSE)), "NA")</f>
        <v>NA</v>
      </c>
      <c r="U911" s="2" t="str">
        <f t="shared" si="116"/>
        <v>NA</v>
      </c>
    </row>
    <row r="912" spans="1:21" ht="14.25" customHeight="1">
      <c r="A912" s="2" t="s">
        <v>39</v>
      </c>
      <c r="B912" s="2">
        <v>1967</v>
      </c>
      <c r="C912" s="2" t="s">
        <v>30</v>
      </c>
      <c r="D912" s="3">
        <f t="shared" si="110"/>
        <v>0.1016053647632595</v>
      </c>
      <c r="E912" s="3">
        <f t="shared" si="111"/>
        <v>0.01</v>
      </c>
      <c r="F912" s="3" t="e">
        <f t="shared" si="112"/>
        <v>#N/A</v>
      </c>
      <c r="G912" s="3" t="e">
        <f t="shared" si="113"/>
        <v>#N/A</v>
      </c>
      <c r="H912" s="3" t="e">
        <f t="shared" si="114"/>
        <v>#N/A</v>
      </c>
      <c r="I912" s="3" t="e">
        <f t="shared" si="115"/>
        <v>#N/A</v>
      </c>
      <c r="J912" s="3">
        <v>101.6053647632595</v>
      </c>
      <c r="K912" s="3">
        <v>10</v>
      </c>
      <c r="L912" s="3" t="e">
        <v>#N/A</v>
      </c>
      <c r="M912" s="3" t="e">
        <v>#N/A</v>
      </c>
      <c r="N912" s="3" t="e">
        <v>#N/A</v>
      </c>
      <c r="O912" s="3" t="e">
        <v>#N/A</v>
      </c>
      <c r="P912" s="3">
        <f>E912*(VLOOKUP(B912,Price_data!A$1:B$190,2,FALSE))</f>
        <v>0.1078330658</v>
      </c>
      <c r="Q912" s="3" t="e">
        <f>G912*(VLOOKUP(B912,Price_data!A$1:B$190,2,FALSE))</f>
        <v>#N/A</v>
      </c>
      <c r="R912" s="3" t="e">
        <f>I912*(VLOOKUP(B912,Price_data!A$1:B$190,2,FALSE))</f>
        <v>#N/A</v>
      </c>
      <c r="S912" s="4" t="str">
        <f>(VLOOKUP(B912,Price_data!A$1:C$190,3,FALSE))</f>
        <v>Open access</v>
      </c>
      <c r="T912" s="2" t="str">
        <f>IF(C912="Total", (VLOOKUP(B912,Recommended_fish_intake!A$4:D$122,4,FALSE)), "NA")</f>
        <v>NA</v>
      </c>
      <c r="U912" s="2" t="str">
        <f t="shared" si="116"/>
        <v>NA</v>
      </c>
    </row>
    <row r="913" spans="1:21" ht="14.25" customHeight="1">
      <c r="A913" s="2" t="s">
        <v>39</v>
      </c>
      <c r="B913" s="2">
        <v>1967</v>
      </c>
      <c r="C913" s="2" t="s">
        <v>36</v>
      </c>
      <c r="D913" s="3">
        <f t="shared" si="110"/>
        <v>1.7272912009754113</v>
      </c>
      <c r="E913" s="3">
        <f t="shared" si="111"/>
        <v>0.10299999999999999</v>
      </c>
      <c r="F913" s="3" t="e">
        <f t="shared" si="112"/>
        <v>#N/A</v>
      </c>
      <c r="G913" s="3" t="e">
        <f t="shared" si="113"/>
        <v>#N/A</v>
      </c>
      <c r="H913" s="3" t="e">
        <f t="shared" si="114"/>
        <v>#N/A</v>
      </c>
      <c r="I913" s="3" t="e">
        <f t="shared" si="115"/>
        <v>#N/A</v>
      </c>
      <c r="J913" s="3">
        <v>1727.2912009754114</v>
      </c>
      <c r="K913" s="3">
        <v>103</v>
      </c>
      <c r="L913" s="3" t="e">
        <v>#N/A</v>
      </c>
      <c r="M913" s="3" t="e">
        <v>#N/A</v>
      </c>
      <c r="N913" s="3" t="e">
        <v>#N/A</v>
      </c>
      <c r="O913" s="3" t="e">
        <v>#N/A</v>
      </c>
      <c r="P913" s="3">
        <f>E913*(VLOOKUP(B913,Price_data!A$1:B$190,2,FALSE))</f>
        <v>1.11068057774</v>
      </c>
      <c r="Q913" s="3" t="e">
        <f>G913*(VLOOKUP(B913,Price_data!A$1:B$190,2,FALSE))</f>
        <v>#N/A</v>
      </c>
      <c r="R913" s="3" t="e">
        <f>I913*(VLOOKUP(B913,Price_data!A$1:B$190,2,FALSE))</f>
        <v>#N/A</v>
      </c>
      <c r="S913" s="4" t="str">
        <f>(VLOOKUP(B913,Price_data!A$1:C$190,3,FALSE))</f>
        <v>Open access</v>
      </c>
      <c r="T913" s="2" t="str">
        <f>IF(C913="Total", (VLOOKUP(B913,Recommended_fish_intake!A$4:D$122,4,FALSE)), "NA")</f>
        <v>NA</v>
      </c>
      <c r="U913" s="2" t="str">
        <f t="shared" si="116"/>
        <v>NA</v>
      </c>
    </row>
    <row r="914" spans="1:21" ht="14.25" customHeight="1">
      <c r="A914" s="2" t="s">
        <v>39</v>
      </c>
      <c r="B914" s="2">
        <v>1967</v>
      </c>
      <c r="C914" s="2" t="s">
        <v>28</v>
      </c>
      <c r="D914" s="3">
        <f t="shared" si="110"/>
        <v>11.735419630156471</v>
      </c>
      <c r="E914" s="3">
        <f t="shared" si="111"/>
        <v>2.1230000000000002</v>
      </c>
      <c r="F914" s="3" t="e">
        <f t="shared" si="112"/>
        <v>#N/A</v>
      </c>
      <c r="G914" s="3" t="e">
        <f t="shared" si="113"/>
        <v>#N/A</v>
      </c>
      <c r="H914" s="3" t="e">
        <f t="shared" si="114"/>
        <v>#N/A</v>
      </c>
      <c r="I914" s="3" t="e">
        <f t="shared" si="115"/>
        <v>#N/A</v>
      </c>
      <c r="J914" s="3">
        <v>11735.419630156472</v>
      </c>
      <c r="K914" s="3">
        <v>2123</v>
      </c>
      <c r="L914" s="3" t="e">
        <v>#N/A</v>
      </c>
      <c r="M914" s="3" t="e">
        <v>#N/A</v>
      </c>
      <c r="N914" s="3" t="e">
        <v>#N/A</v>
      </c>
      <c r="O914" s="3" t="e">
        <v>#N/A</v>
      </c>
      <c r="P914" s="3">
        <f>E914*(VLOOKUP(B914,Price_data!A$1:B$190,2,FALSE))</f>
        <v>22.89295986934</v>
      </c>
      <c r="Q914" s="3" t="e">
        <f>G914*(VLOOKUP(B914,Price_data!A$1:B$190,2,FALSE))</f>
        <v>#N/A</v>
      </c>
      <c r="R914" s="3" t="e">
        <f>I914*(VLOOKUP(B914,Price_data!A$1:B$190,2,FALSE))</f>
        <v>#N/A</v>
      </c>
      <c r="S914" s="4" t="str">
        <f>(VLOOKUP(B914,Price_data!A$1:C$190,3,FALSE))</f>
        <v>Open access</v>
      </c>
      <c r="T914" s="2" t="str">
        <f>IF(C914="Total", (VLOOKUP(B914,Recommended_fish_intake!A$4:D$122,4,FALSE)), "NA")</f>
        <v>NA</v>
      </c>
      <c r="U914" s="2">
        <f t="shared" si="116"/>
        <v>3.2859174964438123</v>
      </c>
    </row>
    <row r="915" spans="1:21" ht="14.25" customHeight="1">
      <c r="A915" s="2" t="s">
        <v>39</v>
      </c>
      <c r="B915" s="2">
        <v>1967</v>
      </c>
      <c r="C915" s="2" t="s">
        <v>37</v>
      </c>
      <c r="D915" s="3">
        <f t="shared" si="110"/>
        <v>332.75756959967487</v>
      </c>
      <c r="E915" s="3">
        <f t="shared" si="111"/>
        <v>18.559000000000001</v>
      </c>
      <c r="F915" s="3" t="e">
        <f t="shared" si="112"/>
        <v>#N/A</v>
      </c>
      <c r="G915" s="3" t="e">
        <f t="shared" si="113"/>
        <v>#N/A</v>
      </c>
      <c r="H915" s="3" t="e">
        <f t="shared" si="114"/>
        <v>#N/A</v>
      </c>
      <c r="I915" s="3" t="e">
        <f t="shared" si="115"/>
        <v>#N/A</v>
      </c>
      <c r="J915" s="3">
        <v>332757.56959967484</v>
      </c>
      <c r="K915" s="3">
        <v>18559</v>
      </c>
      <c r="L915" s="3" t="e">
        <v>#N/A</v>
      </c>
      <c r="M915" s="3" t="e">
        <v>#N/A</v>
      </c>
      <c r="N915" s="3" t="e">
        <v>#N/A</v>
      </c>
      <c r="O915" s="3" t="e">
        <v>#N/A</v>
      </c>
      <c r="P915" s="3">
        <f>E915*(VLOOKUP(B915,Price_data!A$1:B$190,2,FALSE))</f>
        <v>200.12738681822</v>
      </c>
      <c r="Q915" s="3" t="e">
        <f>G915*(VLOOKUP(B915,Price_data!A$1:B$190,2,FALSE))</f>
        <v>#N/A</v>
      </c>
      <c r="R915" s="3" t="e">
        <f>I915*(VLOOKUP(B915,Price_data!A$1:B$190,2,FALSE))</f>
        <v>#N/A</v>
      </c>
      <c r="S915" s="4" t="str">
        <f>(VLOOKUP(B915,Price_data!A$1:C$190,3,FALSE))</f>
        <v>Open access</v>
      </c>
      <c r="T915" s="2" t="str">
        <f>IF(C915="Total", (VLOOKUP(B915,Recommended_fish_intake!A$4:D$122,4,FALSE)), "NA")</f>
        <v>NA</v>
      </c>
      <c r="U915" s="2">
        <f t="shared" si="116"/>
        <v>163.05120910384068</v>
      </c>
    </row>
    <row r="916" spans="1:21" ht="14.25" customHeight="1">
      <c r="A916" s="2" t="s">
        <v>40</v>
      </c>
      <c r="B916" s="2">
        <v>1967</v>
      </c>
      <c r="C916" s="2" t="s">
        <v>22</v>
      </c>
      <c r="D916" s="3">
        <f t="shared" si="110"/>
        <v>1.016053647632595</v>
      </c>
      <c r="E916" s="3">
        <f t="shared" si="111"/>
        <v>5.5E-2</v>
      </c>
      <c r="F916" s="3" t="e">
        <f t="shared" si="112"/>
        <v>#N/A</v>
      </c>
      <c r="G916" s="3" t="e">
        <f t="shared" si="113"/>
        <v>#N/A</v>
      </c>
      <c r="H916" s="3" t="e">
        <f t="shared" si="114"/>
        <v>#N/A</v>
      </c>
      <c r="I916" s="3" t="e">
        <f t="shared" si="115"/>
        <v>#N/A</v>
      </c>
      <c r="J916" s="3">
        <v>1016.053647632595</v>
      </c>
      <c r="K916" s="3">
        <v>55</v>
      </c>
      <c r="L916" s="3" t="e">
        <v>#N/A</v>
      </c>
      <c r="M916" s="3" t="e">
        <v>#N/A</v>
      </c>
      <c r="N916" s="3" t="e">
        <v>#N/A</v>
      </c>
      <c r="O916" s="3" t="e">
        <v>#N/A</v>
      </c>
      <c r="P916" s="3">
        <f>E916*(VLOOKUP(B916,Price_data!A$1:B$190,2,FALSE))</f>
        <v>0.59308186190000001</v>
      </c>
      <c r="Q916" s="3" t="e">
        <f>G916*(VLOOKUP(B916,Price_data!A$1:B$190,2,FALSE))</f>
        <v>#N/A</v>
      </c>
      <c r="R916" s="3" t="e">
        <f>I916*(VLOOKUP(B916,Price_data!A$1:B$190,2,FALSE))</f>
        <v>#N/A</v>
      </c>
      <c r="S916" s="4" t="str">
        <f>(VLOOKUP(B916,Price_data!A$1:C$190,3,FALSE))</f>
        <v>Open access</v>
      </c>
      <c r="T916" s="2" t="str">
        <f>IF(C916="Total", (VLOOKUP(B916,Recommended_fish_intake!A$4:D$122,4,FALSE)), "NA")</f>
        <v>NA</v>
      </c>
      <c r="U916" s="2" t="str">
        <f t="shared" si="116"/>
        <v>NA</v>
      </c>
    </row>
    <row r="917" spans="1:21" ht="14.25" customHeight="1">
      <c r="A917" s="2" t="s">
        <v>40</v>
      </c>
      <c r="B917" s="2">
        <v>1967</v>
      </c>
      <c r="C917" s="2" t="s">
        <v>23</v>
      </c>
      <c r="D917" s="3">
        <f t="shared" si="110"/>
        <v>0.1016053647632595</v>
      </c>
      <c r="E917" s="3">
        <f t="shared" si="111"/>
        <v>4.0000000000000001E-3</v>
      </c>
      <c r="F917" s="3" t="e">
        <f t="shared" si="112"/>
        <v>#N/A</v>
      </c>
      <c r="G917" s="3" t="e">
        <f t="shared" si="113"/>
        <v>#N/A</v>
      </c>
      <c r="H917" s="3" t="e">
        <f t="shared" si="114"/>
        <v>#N/A</v>
      </c>
      <c r="I917" s="3" t="e">
        <f t="shared" si="115"/>
        <v>#N/A</v>
      </c>
      <c r="J917" s="3">
        <v>101.6053647632595</v>
      </c>
      <c r="K917" s="3">
        <v>4</v>
      </c>
      <c r="L917" s="3" t="e">
        <v>#N/A</v>
      </c>
      <c r="M917" s="3" t="e">
        <v>#N/A</v>
      </c>
      <c r="N917" s="3" t="e">
        <v>#N/A</v>
      </c>
      <c r="O917" s="3" t="e">
        <v>#N/A</v>
      </c>
      <c r="P917" s="3">
        <f>E917*(VLOOKUP(B917,Price_data!A$1:B$190,2,FALSE))</f>
        <v>4.3133226320000002E-2</v>
      </c>
      <c r="Q917" s="3" t="e">
        <f>G917*(VLOOKUP(B917,Price_data!A$1:B$190,2,FALSE))</f>
        <v>#N/A</v>
      </c>
      <c r="R917" s="3" t="e">
        <f>I917*(VLOOKUP(B917,Price_data!A$1:B$190,2,FALSE))</f>
        <v>#N/A</v>
      </c>
      <c r="S917" s="4" t="str">
        <f>(VLOOKUP(B917,Price_data!A$1:C$190,3,FALSE))</f>
        <v>Open access</v>
      </c>
      <c r="T917" s="2" t="str">
        <f>IF(C917="Total", (VLOOKUP(B917,Recommended_fish_intake!A$4:D$122,4,FALSE)), "NA")</f>
        <v>NA</v>
      </c>
      <c r="U917" s="2" t="str">
        <f t="shared" si="116"/>
        <v>NA</v>
      </c>
    </row>
    <row r="918" spans="1:21" ht="14.25" customHeight="1">
      <c r="A918" s="2" t="s">
        <v>40</v>
      </c>
      <c r="B918" s="2">
        <v>1967</v>
      </c>
      <c r="C918" s="2" t="s">
        <v>25</v>
      </c>
      <c r="D918" s="3">
        <f t="shared" si="110"/>
        <v>0.15240804714488923</v>
      </c>
      <c r="E918" s="3">
        <f t="shared" si="111"/>
        <v>1.2999999999999999E-2</v>
      </c>
      <c r="F918" s="3" t="e">
        <f t="shared" si="112"/>
        <v>#N/A</v>
      </c>
      <c r="G918" s="3" t="e">
        <f t="shared" si="113"/>
        <v>#N/A</v>
      </c>
      <c r="H918" s="3" t="e">
        <f t="shared" si="114"/>
        <v>#N/A</v>
      </c>
      <c r="I918" s="3" t="e">
        <f t="shared" si="115"/>
        <v>#N/A</v>
      </c>
      <c r="J918" s="3">
        <v>152.40804714488922</v>
      </c>
      <c r="K918" s="3">
        <v>13</v>
      </c>
      <c r="L918" s="3" t="e">
        <v>#N/A</v>
      </c>
      <c r="M918" s="3" t="e">
        <v>#N/A</v>
      </c>
      <c r="N918" s="3" t="e">
        <v>#N/A</v>
      </c>
      <c r="O918" s="3" t="e">
        <v>#N/A</v>
      </c>
      <c r="P918" s="3">
        <f>E918*(VLOOKUP(B918,Price_data!A$1:B$190,2,FALSE))</f>
        <v>0.14018298554</v>
      </c>
      <c r="Q918" s="3" t="e">
        <f>G918*(VLOOKUP(B918,Price_data!A$1:B$190,2,FALSE))</f>
        <v>#N/A</v>
      </c>
      <c r="R918" s="3" t="e">
        <f>I918*(VLOOKUP(B918,Price_data!A$1:B$190,2,FALSE))</f>
        <v>#N/A</v>
      </c>
      <c r="S918" s="4" t="str">
        <f>(VLOOKUP(B918,Price_data!A$1:C$190,3,FALSE))</f>
        <v>Open access</v>
      </c>
      <c r="T918" s="2" t="str">
        <f>IF(C918="Total", (VLOOKUP(B918,Recommended_fish_intake!A$4:D$122,4,FALSE)), "NA")</f>
        <v>NA</v>
      </c>
      <c r="U918" s="2" t="str">
        <f t="shared" si="116"/>
        <v>NA</v>
      </c>
    </row>
    <row r="919" spans="1:21" ht="14.25" customHeight="1">
      <c r="A919" s="2" t="s">
        <v>40</v>
      </c>
      <c r="B919" s="2">
        <v>1967</v>
      </c>
      <c r="C919" s="2" t="s">
        <v>24</v>
      </c>
      <c r="D919" s="3">
        <f t="shared" si="110"/>
        <v>3.3529770371875633</v>
      </c>
      <c r="E919" s="3">
        <f t="shared" si="111"/>
        <v>8.8999999999999996E-2</v>
      </c>
      <c r="F919" s="3" t="e">
        <f t="shared" si="112"/>
        <v>#N/A</v>
      </c>
      <c r="G919" s="3" t="e">
        <f t="shared" si="113"/>
        <v>#N/A</v>
      </c>
      <c r="H919" s="3" t="e">
        <f t="shared" si="114"/>
        <v>#N/A</v>
      </c>
      <c r="I919" s="3" t="e">
        <f t="shared" si="115"/>
        <v>#N/A</v>
      </c>
      <c r="J919" s="3">
        <v>3352.9770371875634</v>
      </c>
      <c r="K919" s="3">
        <v>89</v>
      </c>
      <c r="L919" s="3" t="e">
        <v>#N/A</v>
      </c>
      <c r="M919" s="3" t="e">
        <v>#N/A</v>
      </c>
      <c r="N919" s="3" t="e">
        <v>#N/A</v>
      </c>
      <c r="O919" s="3" t="e">
        <v>#N/A</v>
      </c>
      <c r="P919" s="3">
        <f>E919*(VLOOKUP(B919,Price_data!A$1:B$190,2,FALSE))</f>
        <v>0.95971428561999994</v>
      </c>
      <c r="Q919" s="3" t="e">
        <f>G919*(VLOOKUP(B919,Price_data!A$1:B$190,2,FALSE))</f>
        <v>#N/A</v>
      </c>
      <c r="R919" s="3" t="e">
        <f>I919*(VLOOKUP(B919,Price_data!A$1:B$190,2,FALSE))</f>
        <v>#N/A</v>
      </c>
      <c r="S919" s="4" t="str">
        <f>(VLOOKUP(B919,Price_data!A$1:C$190,3,FALSE))</f>
        <v>Open access</v>
      </c>
      <c r="T919" s="2" t="str">
        <f>IF(C919="Total", (VLOOKUP(B919,Recommended_fish_intake!A$4:D$122,4,FALSE)), "NA")</f>
        <v>NA</v>
      </c>
      <c r="U919" s="2" t="str">
        <f t="shared" si="116"/>
        <v>NA</v>
      </c>
    </row>
    <row r="920" spans="1:21" ht="14.25" customHeight="1">
      <c r="A920" s="2" t="s">
        <v>40</v>
      </c>
      <c r="B920" s="2">
        <v>1967</v>
      </c>
      <c r="C920" s="2" t="s">
        <v>19</v>
      </c>
      <c r="D920" s="3">
        <f t="shared" si="110"/>
        <v>1.4224751066856329</v>
      </c>
      <c r="E920" s="3">
        <f t="shared" si="111"/>
        <v>3.1E-2</v>
      </c>
      <c r="F920" s="3" t="e">
        <f t="shared" si="112"/>
        <v>#N/A</v>
      </c>
      <c r="G920" s="3" t="e">
        <f t="shared" si="113"/>
        <v>#N/A</v>
      </c>
      <c r="H920" s="3" t="e">
        <f t="shared" si="114"/>
        <v>#N/A</v>
      </c>
      <c r="I920" s="3" t="e">
        <f t="shared" si="115"/>
        <v>#N/A</v>
      </c>
      <c r="J920" s="3">
        <v>1422.4751066856329</v>
      </c>
      <c r="K920" s="3">
        <v>31</v>
      </c>
      <c r="L920" s="3" t="e">
        <v>#N/A</v>
      </c>
      <c r="M920" s="3" t="e">
        <v>#N/A</v>
      </c>
      <c r="N920" s="3" t="e">
        <v>#N/A</v>
      </c>
      <c r="O920" s="3" t="e">
        <v>#N/A</v>
      </c>
      <c r="P920" s="3">
        <f>E920*(VLOOKUP(B920,Price_data!A$1:B$190,2,FALSE))</f>
        <v>0.33428250397999998</v>
      </c>
      <c r="Q920" s="3" t="e">
        <f>G920*(VLOOKUP(B920,Price_data!A$1:B$190,2,FALSE))</f>
        <v>#N/A</v>
      </c>
      <c r="R920" s="3" t="e">
        <f>I920*(VLOOKUP(B920,Price_data!A$1:B$190,2,FALSE))</f>
        <v>#N/A</v>
      </c>
      <c r="S920" s="4" t="str">
        <f>(VLOOKUP(B920,Price_data!A$1:C$190,3,FALSE))</f>
        <v>Open access</v>
      </c>
      <c r="T920" s="2" t="str">
        <f>IF(C920="Total", (VLOOKUP(B920,Recommended_fish_intake!A$4:D$122,4,FALSE)), "NA")</f>
        <v>NA</v>
      </c>
      <c r="U920" s="2" t="str">
        <f t="shared" si="116"/>
        <v>NA</v>
      </c>
    </row>
    <row r="921" spans="1:21" ht="14.25" customHeight="1">
      <c r="A921" s="2" t="s">
        <v>40</v>
      </c>
      <c r="B921" s="2">
        <v>1967</v>
      </c>
      <c r="C921" s="2" t="s">
        <v>21</v>
      </c>
      <c r="D921" s="3">
        <f t="shared" si="110"/>
        <v>0</v>
      </c>
      <c r="E921" s="3">
        <f t="shared" si="111"/>
        <v>0</v>
      </c>
      <c r="F921" s="3" t="e">
        <f t="shared" si="112"/>
        <v>#N/A</v>
      </c>
      <c r="G921" s="3" t="e">
        <f t="shared" si="113"/>
        <v>#N/A</v>
      </c>
      <c r="H921" s="3" t="e">
        <f t="shared" si="114"/>
        <v>#N/A</v>
      </c>
      <c r="I921" s="3" t="e">
        <f t="shared" si="115"/>
        <v>#N/A</v>
      </c>
      <c r="J921" s="3">
        <v>0</v>
      </c>
      <c r="K921" s="3">
        <v>0</v>
      </c>
      <c r="L921" s="3" t="e">
        <v>#N/A</v>
      </c>
      <c r="M921" s="3" t="e">
        <v>#N/A</v>
      </c>
      <c r="N921" s="3" t="e">
        <v>#N/A</v>
      </c>
      <c r="O921" s="3" t="e">
        <v>#N/A</v>
      </c>
      <c r="P921" s="3">
        <f>E921*(VLOOKUP(B921,Price_data!A$1:B$190,2,FALSE))</f>
        <v>0</v>
      </c>
      <c r="Q921" s="3" t="e">
        <f>G921*(VLOOKUP(B921,Price_data!A$1:B$190,2,FALSE))</f>
        <v>#N/A</v>
      </c>
      <c r="R921" s="3" t="e">
        <f>I921*(VLOOKUP(B921,Price_data!A$1:B$190,2,FALSE))</f>
        <v>#N/A</v>
      </c>
      <c r="S921" s="4" t="str">
        <f>(VLOOKUP(B921,Price_data!A$1:C$190,3,FALSE))</f>
        <v>Open access</v>
      </c>
      <c r="T921" s="2" t="str">
        <f>IF(C921="Total", (VLOOKUP(B921,Recommended_fish_intake!A$4:D$122,4,FALSE)), "NA")</f>
        <v>NA</v>
      </c>
      <c r="U921" s="2" t="str">
        <f t="shared" si="116"/>
        <v>NA</v>
      </c>
    </row>
    <row r="922" spans="1:21" ht="14.25" customHeight="1">
      <c r="A922" s="2" t="s">
        <v>40</v>
      </c>
      <c r="B922" s="2">
        <v>1967</v>
      </c>
      <c r="C922" s="2" t="s">
        <v>34</v>
      </c>
      <c r="D922" s="3">
        <f t="shared" si="110"/>
        <v>0</v>
      </c>
      <c r="E922" s="3">
        <f t="shared" si="111"/>
        <v>8.9999999999999993E-3</v>
      </c>
      <c r="F922" s="3" t="e">
        <f t="shared" si="112"/>
        <v>#N/A</v>
      </c>
      <c r="G922" s="3" t="e">
        <f t="shared" si="113"/>
        <v>#N/A</v>
      </c>
      <c r="H922" s="3" t="e">
        <f t="shared" si="114"/>
        <v>#N/A</v>
      </c>
      <c r="I922" s="3" t="e">
        <f t="shared" si="115"/>
        <v>#N/A</v>
      </c>
      <c r="J922" s="3">
        <v>0</v>
      </c>
      <c r="K922" s="3">
        <v>9</v>
      </c>
      <c r="L922" s="3" t="e">
        <v>#N/A</v>
      </c>
      <c r="M922" s="3" t="e">
        <v>#N/A</v>
      </c>
      <c r="N922" s="3" t="e">
        <v>#N/A</v>
      </c>
      <c r="O922" s="3" t="e">
        <v>#N/A</v>
      </c>
      <c r="P922" s="3">
        <f>E922*(VLOOKUP(B922,Price_data!A$1:B$190,2,FALSE))</f>
        <v>9.704975921999999E-2</v>
      </c>
      <c r="Q922" s="3" t="e">
        <f>G922*(VLOOKUP(B922,Price_data!A$1:B$190,2,FALSE))</f>
        <v>#N/A</v>
      </c>
      <c r="R922" s="3" t="e">
        <f>I922*(VLOOKUP(B922,Price_data!A$1:B$190,2,FALSE))</f>
        <v>#N/A</v>
      </c>
      <c r="S922" s="4" t="str">
        <f>(VLOOKUP(B922,Price_data!A$1:C$190,3,FALSE))</f>
        <v>Open access</v>
      </c>
      <c r="T922" s="2" t="str">
        <f>IF(C922="Total", (VLOOKUP(B922,Recommended_fish_intake!A$4:D$122,4,FALSE)), "NA")</f>
        <v>NA</v>
      </c>
      <c r="U922" s="2" t="str">
        <f t="shared" si="116"/>
        <v>NA</v>
      </c>
    </row>
    <row r="923" spans="1:21" ht="14.25" customHeight="1">
      <c r="A923" s="2" t="s">
        <v>40</v>
      </c>
      <c r="B923" s="2">
        <v>1967</v>
      </c>
      <c r="C923" s="2" t="s">
        <v>35</v>
      </c>
      <c r="D923" s="3">
        <f t="shared" si="110"/>
        <v>2.03210729526519</v>
      </c>
      <c r="E923" s="3">
        <f t="shared" si="111"/>
        <v>0.221</v>
      </c>
      <c r="F923" s="3" t="e">
        <f t="shared" si="112"/>
        <v>#N/A</v>
      </c>
      <c r="G923" s="3" t="e">
        <f t="shared" si="113"/>
        <v>#N/A</v>
      </c>
      <c r="H923" s="3" t="e">
        <f t="shared" si="114"/>
        <v>#N/A</v>
      </c>
      <c r="I923" s="3" t="e">
        <f t="shared" si="115"/>
        <v>#N/A</v>
      </c>
      <c r="J923" s="3">
        <v>2032.10729526519</v>
      </c>
      <c r="K923" s="3">
        <v>221</v>
      </c>
      <c r="L923" s="3" t="e">
        <v>#N/A</v>
      </c>
      <c r="M923" s="3" t="e">
        <v>#N/A</v>
      </c>
      <c r="N923" s="3" t="e">
        <v>#N/A</v>
      </c>
      <c r="O923" s="3" t="e">
        <v>#N/A</v>
      </c>
      <c r="P923" s="3">
        <f>E923*(VLOOKUP(B923,Price_data!A$1:B$190,2,FALSE))</f>
        <v>2.3831107541800001</v>
      </c>
      <c r="Q923" s="3" t="e">
        <f>G923*(VLOOKUP(B923,Price_data!A$1:B$190,2,FALSE))</f>
        <v>#N/A</v>
      </c>
      <c r="R923" s="3" t="e">
        <f>I923*(VLOOKUP(B923,Price_data!A$1:B$190,2,FALSE))</f>
        <v>#N/A</v>
      </c>
      <c r="S923" s="4" t="str">
        <f>(VLOOKUP(B923,Price_data!A$1:C$190,3,FALSE))</f>
        <v>Open access</v>
      </c>
      <c r="T923" s="2" t="str">
        <f>IF(C923="Total", (VLOOKUP(B923,Recommended_fish_intake!A$4:D$122,4,FALSE)), "NA")</f>
        <v>NA</v>
      </c>
      <c r="U923" s="2" t="str">
        <f t="shared" si="116"/>
        <v>NA</v>
      </c>
    </row>
    <row r="924" spans="1:21" ht="14.25" customHeight="1">
      <c r="A924" s="2" t="s">
        <v>40</v>
      </c>
      <c r="B924" s="2">
        <v>1967</v>
      </c>
      <c r="C924" s="2" t="s">
        <v>30</v>
      </c>
      <c r="D924" s="3">
        <f t="shared" si="110"/>
        <v>0</v>
      </c>
      <c r="E924" s="3">
        <f t="shared" si="111"/>
        <v>0</v>
      </c>
      <c r="F924" s="3" t="e">
        <f t="shared" si="112"/>
        <v>#N/A</v>
      </c>
      <c r="G924" s="3" t="e">
        <f t="shared" si="113"/>
        <v>#N/A</v>
      </c>
      <c r="H924" s="3" t="e">
        <f t="shared" si="114"/>
        <v>#N/A</v>
      </c>
      <c r="I924" s="3" t="e">
        <f t="shared" si="115"/>
        <v>#N/A</v>
      </c>
      <c r="J924" s="3">
        <v>0</v>
      </c>
      <c r="K924" s="3">
        <v>0</v>
      </c>
      <c r="L924" s="3" t="e">
        <v>#N/A</v>
      </c>
      <c r="M924" s="3" t="e">
        <v>#N/A</v>
      </c>
      <c r="N924" s="3" t="e">
        <v>#N/A</v>
      </c>
      <c r="O924" s="3" t="e">
        <v>#N/A</v>
      </c>
      <c r="P924" s="3">
        <f>E924*(VLOOKUP(B924,Price_data!A$1:B$190,2,FALSE))</f>
        <v>0</v>
      </c>
      <c r="Q924" s="3" t="e">
        <f>G924*(VLOOKUP(B924,Price_data!A$1:B$190,2,FALSE))</f>
        <v>#N/A</v>
      </c>
      <c r="R924" s="3" t="e">
        <f>I924*(VLOOKUP(B924,Price_data!A$1:B$190,2,FALSE))</f>
        <v>#N/A</v>
      </c>
      <c r="S924" s="4" t="str">
        <f>(VLOOKUP(B924,Price_data!A$1:C$190,3,FALSE))</f>
        <v>Open access</v>
      </c>
      <c r="T924" s="2" t="str">
        <f>IF(C924="Total", (VLOOKUP(B924,Recommended_fish_intake!A$4:D$122,4,FALSE)), "NA")</f>
        <v>NA</v>
      </c>
      <c r="U924" s="2" t="str">
        <f t="shared" si="116"/>
        <v>NA</v>
      </c>
    </row>
    <row r="925" spans="1:21" ht="14.25" customHeight="1">
      <c r="A925" s="2" t="s">
        <v>40</v>
      </c>
      <c r="B925" s="2">
        <v>1967</v>
      </c>
      <c r="C925" s="2" t="s">
        <v>36</v>
      </c>
      <c r="D925" s="3">
        <f t="shared" si="110"/>
        <v>0</v>
      </c>
      <c r="E925" s="3">
        <f t="shared" si="111"/>
        <v>0</v>
      </c>
      <c r="F925" s="3" t="e">
        <f t="shared" si="112"/>
        <v>#N/A</v>
      </c>
      <c r="G925" s="3" t="e">
        <f t="shared" si="113"/>
        <v>#N/A</v>
      </c>
      <c r="H925" s="3" t="e">
        <f t="shared" si="114"/>
        <v>#N/A</v>
      </c>
      <c r="I925" s="3" t="e">
        <f t="shared" si="115"/>
        <v>#N/A</v>
      </c>
      <c r="J925" s="3">
        <v>0</v>
      </c>
      <c r="K925" s="3">
        <v>0</v>
      </c>
      <c r="L925" s="3" t="e">
        <v>#N/A</v>
      </c>
      <c r="M925" s="3" t="e">
        <v>#N/A</v>
      </c>
      <c r="N925" s="3" t="e">
        <v>#N/A</v>
      </c>
      <c r="O925" s="3" t="e">
        <v>#N/A</v>
      </c>
      <c r="P925" s="3">
        <f>E925*(VLOOKUP(B925,Price_data!A$1:B$190,2,FALSE))</f>
        <v>0</v>
      </c>
      <c r="Q925" s="3" t="e">
        <f>G925*(VLOOKUP(B925,Price_data!A$1:B$190,2,FALSE))</f>
        <v>#N/A</v>
      </c>
      <c r="R925" s="3" t="e">
        <f>I925*(VLOOKUP(B925,Price_data!A$1:B$190,2,FALSE))</f>
        <v>#N/A</v>
      </c>
      <c r="S925" s="4" t="str">
        <f>(VLOOKUP(B925,Price_data!A$1:C$190,3,FALSE))</f>
        <v>Open access</v>
      </c>
      <c r="T925" s="2" t="str">
        <f>IF(C925="Total", (VLOOKUP(B925,Recommended_fish_intake!A$4:D$122,4,FALSE)), "NA")</f>
        <v>NA</v>
      </c>
      <c r="U925" s="2" t="str">
        <f t="shared" si="116"/>
        <v>NA</v>
      </c>
    </row>
    <row r="926" spans="1:21" ht="14.25" customHeight="1">
      <c r="A926" s="2" t="s">
        <v>40</v>
      </c>
      <c r="B926" s="2">
        <v>1967</v>
      </c>
      <c r="C926" s="2" t="s">
        <v>28</v>
      </c>
      <c r="D926" s="3">
        <f t="shared" si="110"/>
        <v>2.3369233895549684</v>
      </c>
      <c r="E926" s="3">
        <f t="shared" si="111"/>
        <v>0.24399999999999999</v>
      </c>
      <c r="F926" s="3" t="e">
        <f t="shared" si="112"/>
        <v>#N/A</v>
      </c>
      <c r="G926" s="3" t="e">
        <f t="shared" si="113"/>
        <v>#N/A</v>
      </c>
      <c r="H926" s="3" t="e">
        <f t="shared" si="114"/>
        <v>#N/A</v>
      </c>
      <c r="I926" s="3" t="e">
        <f t="shared" si="115"/>
        <v>#N/A</v>
      </c>
      <c r="J926" s="3">
        <v>2336.9233895549683</v>
      </c>
      <c r="K926" s="3">
        <v>244</v>
      </c>
      <c r="L926" s="3" t="e">
        <v>#N/A</v>
      </c>
      <c r="M926" s="3" t="e">
        <v>#N/A</v>
      </c>
      <c r="N926" s="3" t="e">
        <v>#N/A</v>
      </c>
      <c r="O926" s="3" t="e">
        <v>#N/A</v>
      </c>
      <c r="P926" s="3">
        <f>E926*(VLOOKUP(B926,Price_data!A$1:B$190,2,FALSE))</f>
        <v>2.6311268055199997</v>
      </c>
      <c r="Q926" s="3" t="e">
        <f>G926*(VLOOKUP(B926,Price_data!A$1:B$190,2,FALSE))</f>
        <v>#N/A</v>
      </c>
      <c r="R926" s="3" t="e">
        <f>I926*(VLOOKUP(B926,Price_data!A$1:B$190,2,FALSE))</f>
        <v>#N/A</v>
      </c>
      <c r="S926" s="4" t="str">
        <f>(VLOOKUP(B926,Price_data!A$1:C$190,3,FALSE))</f>
        <v>Open access</v>
      </c>
      <c r="T926" s="2" t="str">
        <f>IF(C926="Total", (VLOOKUP(B926,Recommended_fish_intake!A$4:D$122,4,FALSE)), "NA")</f>
        <v>NA</v>
      </c>
      <c r="U926" s="2">
        <f t="shared" si="116"/>
        <v>0.65433854907539124</v>
      </c>
    </row>
    <row r="927" spans="1:21" ht="14.25" customHeight="1">
      <c r="A927" s="2" t="s">
        <v>40</v>
      </c>
      <c r="B927" s="2">
        <v>1967</v>
      </c>
      <c r="C927" s="2" t="s">
        <v>37</v>
      </c>
      <c r="D927" s="3">
        <f t="shared" si="110"/>
        <v>7.1123755334281649</v>
      </c>
      <c r="E927" s="3">
        <f t="shared" si="111"/>
        <v>0.22600000000000001</v>
      </c>
      <c r="F927" s="3" t="e">
        <f t="shared" si="112"/>
        <v>#N/A</v>
      </c>
      <c r="G927" s="3" t="e">
        <f t="shared" si="113"/>
        <v>#N/A</v>
      </c>
      <c r="H927" s="3" t="e">
        <f t="shared" si="114"/>
        <v>#N/A</v>
      </c>
      <c r="I927" s="3" t="e">
        <f t="shared" si="115"/>
        <v>#N/A</v>
      </c>
      <c r="J927" s="3">
        <v>7112.375533428165</v>
      </c>
      <c r="K927" s="3">
        <v>226</v>
      </c>
      <c r="L927" s="3" t="e">
        <v>#N/A</v>
      </c>
      <c r="M927" s="3" t="e">
        <v>#N/A</v>
      </c>
      <c r="N927" s="3" t="e">
        <v>#N/A</v>
      </c>
      <c r="O927" s="3" t="e">
        <v>#N/A</v>
      </c>
      <c r="P927" s="3">
        <f>E927*(VLOOKUP(B927,Price_data!A$1:B$190,2,FALSE))</f>
        <v>2.4370272870799998</v>
      </c>
      <c r="Q927" s="3" t="e">
        <f>G927*(VLOOKUP(B927,Price_data!A$1:B$190,2,FALSE))</f>
        <v>#N/A</v>
      </c>
      <c r="R927" s="3" t="e">
        <f>I927*(VLOOKUP(B927,Price_data!A$1:B$190,2,FALSE))</f>
        <v>#N/A</v>
      </c>
      <c r="S927" s="4" t="str">
        <f>(VLOOKUP(B927,Price_data!A$1:C$190,3,FALSE))</f>
        <v>Open access</v>
      </c>
      <c r="T927" s="2" t="str">
        <f>IF(C927="Total", (VLOOKUP(B927,Recommended_fish_intake!A$4:D$122,4,FALSE)), "NA")</f>
        <v>NA</v>
      </c>
      <c r="U927" s="2">
        <f t="shared" si="116"/>
        <v>3.4850640113798006</v>
      </c>
    </row>
    <row r="928" spans="1:21" ht="14.25" customHeight="1">
      <c r="A928" s="2" t="s">
        <v>18</v>
      </c>
      <c r="B928" s="2">
        <v>1967</v>
      </c>
      <c r="C928" s="2" t="s">
        <v>41</v>
      </c>
      <c r="D928" s="3">
        <f t="shared" si="110"/>
        <v>488.56939646413326</v>
      </c>
      <c r="E928" s="3">
        <f t="shared" si="111"/>
        <v>37.360999999999997</v>
      </c>
      <c r="F928" s="3" t="e">
        <f t="shared" si="112"/>
        <v>#N/A</v>
      </c>
      <c r="G928" s="3" t="e">
        <f t="shared" si="113"/>
        <v>#N/A</v>
      </c>
      <c r="H928" s="3" t="e">
        <f t="shared" si="114"/>
        <v>#N/A</v>
      </c>
      <c r="I928" s="3" t="e">
        <f t="shared" si="115"/>
        <v>#N/A</v>
      </c>
      <c r="J928" s="3">
        <v>488569.39646413329</v>
      </c>
      <c r="K928" s="3">
        <v>37361</v>
      </c>
      <c r="L928" s="3" t="e">
        <v>#N/A</v>
      </c>
      <c r="M928" s="3" t="e">
        <v>#N/A</v>
      </c>
      <c r="N928" s="3" t="e">
        <v>#N/A</v>
      </c>
      <c r="O928" s="3" t="e">
        <v>#N/A</v>
      </c>
      <c r="P928" s="3">
        <f>E928*(VLOOKUP(B928,Price_data!A$1:B$190,2,FALSE))</f>
        <v>402.87511713537998</v>
      </c>
      <c r="Q928" s="3" t="e">
        <f>G928*(VLOOKUP(B928,Price_data!A$1:B$190,2,FALSE))</f>
        <v>#N/A</v>
      </c>
      <c r="R928" s="3" t="e">
        <f>I928*(VLOOKUP(B928,Price_data!A$1:B$190,2,FALSE))</f>
        <v>#N/A</v>
      </c>
      <c r="S928" s="4" t="str">
        <f>(VLOOKUP(B928,Price_data!A$1:C$190,3,FALSE))</f>
        <v>Open access</v>
      </c>
      <c r="T928" s="2" t="str">
        <f>IF(C928="Total", (VLOOKUP(B928,Recommended_fish_intake!A$4:D$122,4,FALSE)), "NA")</f>
        <v>NA</v>
      </c>
      <c r="U928" s="2" t="str">
        <f t="shared" si="116"/>
        <v>NA</v>
      </c>
    </row>
    <row r="929" spans="1:21" ht="14.25" customHeight="1">
      <c r="A929" s="2" t="s">
        <v>18</v>
      </c>
      <c r="B929" s="2">
        <v>1967</v>
      </c>
      <c r="C929" s="2" t="s">
        <v>42</v>
      </c>
      <c r="D929" s="3">
        <f t="shared" si="110"/>
        <v>33.732981101402153</v>
      </c>
      <c r="E929" s="3">
        <f t="shared" si="111"/>
        <v>0.82499999999999996</v>
      </c>
      <c r="F929" s="3" t="e">
        <f t="shared" si="112"/>
        <v>#N/A</v>
      </c>
      <c r="G929" s="3" t="e">
        <f t="shared" si="113"/>
        <v>#N/A</v>
      </c>
      <c r="H929" s="3" t="e">
        <f t="shared" si="114"/>
        <v>#N/A</v>
      </c>
      <c r="I929" s="3" t="e">
        <f t="shared" si="115"/>
        <v>#N/A</v>
      </c>
      <c r="J929" s="3">
        <v>33732.981101402154</v>
      </c>
      <c r="K929" s="3">
        <v>825</v>
      </c>
      <c r="L929" s="3" t="e">
        <v>#N/A</v>
      </c>
      <c r="M929" s="3" t="e">
        <v>#N/A</v>
      </c>
      <c r="N929" s="3" t="e">
        <v>#N/A</v>
      </c>
      <c r="O929" s="3" t="e">
        <v>#N/A</v>
      </c>
      <c r="P929" s="3">
        <f>E929*(VLOOKUP(B929,Price_data!A$1:B$190,2,FALSE))</f>
        <v>8.8962279285000001</v>
      </c>
      <c r="Q929" s="3" t="e">
        <f>G929*(VLOOKUP(B929,Price_data!A$1:B$190,2,FALSE))</f>
        <v>#N/A</v>
      </c>
      <c r="R929" s="3" t="e">
        <f>I929*(VLOOKUP(B929,Price_data!A$1:B$190,2,FALSE))</f>
        <v>#N/A</v>
      </c>
      <c r="S929" s="4" t="str">
        <f>(VLOOKUP(B929,Price_data!A$1:C$190,3,FALSE))</f>
        <v>Open access</v>
      </c>
      <c r="T929" s="2" t="str">
        <f>IF(C929="Total", (VLOOKUP(B929,Recommended_fish_intake!A$4:D$122,4,FALSE)), "NA")</f>
        <v>NA</v>
      </c>
      <c r="U929" s="2" t="str">
        <f t="shared" si="116"/>
        <v>NA</v>
      </c>
    </row>
    <row r="930" spans="1:21" ht="14.25" customHeight="1">
      <c r="A930" s="2" t="s">
        <v>39</v>
      </c>
      <c r="B930" s="2">
        <v>1967</v>
      </c>
      <c r="C930" s="2" t="s">
        <v>41</v>
      </c>
      <c r="D930" s="3">
        <f t="shared" si="110"/>
        <v>216.82584840479575</v>
      </c>
      <c r="E930" s="3">
        <f t="shared" si="111"/>
        <v>16.14</v>
      </c>
      <c r="F930" s="3" t="e">
        <f t="shared" si="112"/>
        <v>#N/A</v>
      </c>
      <c r="G930" s="3" t="e">
        <f t="shared" si="113"/>
        <v>#N/A</v>
      </c>
      <c r="H930" s="3" t="e">
        <f t="shared" si="114"/>
        <v>#N/A</v>
      </c>
      <c r="I930" s="3" t="e">
        <f t="shared" si="115"/>
        <v>#N/A</v>
      </c>
      <c r="J930" s="3">
        <v>216825.84840479575</v>
      </c>
      <c r="K930" s="3">
        <v>16140</v>
      </c>
      <c r="L930" s="3" t="e">
        <v>#N/A</v>
      </c>
      <c r="M930" s="3" t="e">
        <v>#N/A</v>
      </c>
      <c r="N930" s="3" t="e">
        <v>#N/A</v>
      </c>
      <c r="O930" s="3" t="e">
        <v>#N/A</v>
      </c>
      <c r="P930" s="3">
        <f>E930*(VLOOKUP(B930,Price_data!A$1:B$190,2,FALSE))</f>
        <v>174.0425682012</v>
      </c>
      <c r="Q930" s="3" t="e">
        <f>G930*(VLOOKUP(B930,Price_data!A$1:B$190,2,FALSE))</f>
        <v>#N/A</v>
      </c>
      <c r="R930" s="3" t="e">
        <f>I930*(VLOOKUP(B930,Price_data!A$1:B$190,2,FALSE))</f>
        <v>#N/A</v>
      </c>
      <c r="S930" s="4" t="str">
        <f>(VLOOKUP(B930,Price_data!A$1:C$190,3,FALSE))</f>
        <v>Open access</v>
      </c>
      <c r="T930" s="2" t="str">
        <f>IF(C930="Total", (VLOOKUP(B930,Recommended_fish_intake!A$4:D$122,4,FALSE)), "NA")</f>
        <v>NA</v>
      </c>
      <c r="U930" s="2" t="str">
        <f t="shared" si="116"/>
        <v>NA</v>
      </c>
    </row>
    <row r="931" spans="1:21" ht="14.25" customHeight="1">
      <c r="A931" s="2" t="s">
        <v>39</v>
      </c>
      <c r="B931" s="2">
        <v>1967</v>
      </c>
      <c r="C931" s="2" t="s">
        <v>42</v>
      </c>
      <c r="D931" s="3">
        <f t="shared" si="110"/>
        <v>115.93172119487909</v>
      </c>
      <c r="E931" s="3">
        <f t="shared" si="111"/>
        <v>2.419</v>
      </c>
      <c r="F931" s="3" t="e">
        <f t="shared" si="112"/>
        <v>#N/A</v>
      </c>
      <c r="G931" s="3" t="e">
        <f t="shared" si="113"/>
        <v>#N/A</v>
      </c>
      <c r="H931" s="3" t="e">
        <f t="shared" si="114"/>
        <v>#N/A</v>
      </c>
      <c r="I931" s="3" t="e">
        <f t="shared" si="115"/>
        <v>#N/A</v>
      </c>
      <c r="J931" s="3">
        <v>115931.72119487909</v>
      </c>
      <c r="K931" s="3">
        <v>2419</v>
      </c>
      <c r="L931" s="3" t="e">
        <v>#N/A</v>
      </c>
      <c r="M931" s="3" t="e">
        <v>#N/A</v>
      </c>
      <c r="N931" s="3" t="e">
        <v>#N/A</v>
      </c>
      <c r="O931" s="3" t="e">
        <v>#N/A</v>
      </c>
      <c r="P931" s="3">
        <f>E931*(VLOOKUP(B931,Price_data!A$1:B$190,2,FALSE))</f>
        <v>26.084818617019998</v>
      </c>
      <c r="Q931" s="3" t="e">
        <f>G931*(VLOOKUP(B931,Price_data!A$1:B$190,2,FALSE))</f>
        <v>#N/A</v>
      </c>
      <c r="R931" s="3" t="e">
        <f>I931*(VLOOKUP(B931,Price_data!A$1:B$190,2,FALSE))</f>
        <v>#N/A</v>
      </c>
      <c r="S931" s="4" t="str">
        <f>(VLOOKUP(B931,Price_data!A$1:C$190,3,FALSE))</f>
        <v>Open access</v>
      </c>
      <c r="T931" s="2" t="str">
        <f>IF(C931="Total", (VLOOKUP(B931,Recommended_fish_intake!A$4:D$122,4,FALSE)), "NA")</f>
        <v>NA</v>
      </c>
      <c r="U931" s="2" t="str">
        <f t="shared" si="116"/>
        <v>NA</v>
      </c>
    </row>
    <row r="932" spans="1:21" ht="14.25" customHeight="1">
      <c r="A932" s="2" t="s">
        <v>40</v>
      </c>
      <c r="B932" s="2">
        <v>1967</v>
      </c>
      <c r="C932" s="2" t="s">
        <v>41</v>
      </c>
      <c r="D932" s="3">
        <f t="shared" si="110"/>
        <v>5.5374923795976425</v>
      </c>
      <c r="E932" s="3">
        <f t="shared" si="111"/>
        <v>0.192</v>
      </c>
      <c r="F932" s="3" t="e">
        <f t="shared" si="112"/>
        <v>#N/A</v>
      </c>
      <c r="G932" s="3" t="e">
        <f t="shared" si="113"/>
        <v>#N/A</v>
      </c>
      <c r="H932" s="3" t="e">
        <f t="shared" si="114"/>
        <v>#N/A</v>
      </c>
      <c r="I932" s="3" t="e">
        <f t="shared" si="115"/>
        <v>#N/A</v>
      </c>
      <c r="J932" s="3">
        <v>5537.4923795976429</v>
      </c>
      <c r="K932" s="3">
        <v>192</v>
      </c>
      <c r="L932" s="3" t="e">
        <v>#N/A</v>
      </c>
      <c r="M932" s="3" t="e">
        <v>#N/A</v>
      </c>
      <c r="N932" s="3" t="e">
        <v>#N/A</v>
      </c>
      <c r="O932" s="3" t="e">
        <v>#N/A</v>
      </c>
      <c r="P932" s="3">
        <f>E932*(VLOOKUP(B932,Price_data!A$1:B$190,2,FALSE))</f>
        <v>2.0703948633599998</v>
      </c>
      <c r="Q932" s="3" t="e">
        <f>G932*(VLOOKUP(B932,Price_data!A$1:B$190,2,FALSE))</f>
        <v>#N/A</v>
      </c>
      <c r="R932" s="3" t="e">
        <f>I932*(VLOOKUP(B932,Price_data!A$1:B$190,2,FALSE))</f>
        <v>#N/A</v>
      </c>
      <c r="S932" s="4" t="str">
        <f>(VLOOKUP(B932,Price_data!A$1:C$190,3,FALSE))</f>
        <v>Open access</v>
      </c>
      <c r="T932" s="2" t="str">
        <f>IF(C932="Total", (VLOOKUP(B932,Recommended_fish_intake!A$4:D$122,4,FALSE)), "NA")</f>
        <v>NA</v>
      </c>
      <c r="U932" s="2" t="str">
        <f t="shared" si="116"/>
        <v>NA</v>
      </c>
    </row>
    <row r="933" spans="1:21" ht="14.25" customHeight="1">
      <c r="A933" s="2" t="s">
        <v>40</v>
      </c>
      <c r="B933" s="2">
        <v>1967</v>
      </c>
      <c r="C933" s="2" t="s">
        <v>42</v>
      </c>
      <c r="D933" s="3">
        <f t="shared" si="110"/>
        <v>1.5748831538305221</v>
      </c>
      <c r="E933" s="3">
        <f t="shared" si="111"/>
        <v>3.4000000000000002E-2</v>
      </c>
      <c r="F933" s="3" t="e">
        <f t="shared" si="112"/>
        <v>#N/A</v>
      </c>
      <c r="G933" s="3" t="e">
        <f t="shared" si="113"/>
        <v>#N/A</v>
      </c>
      <c r="H933" s="3" t="e">
        <f t="shared" si="114"/>
        <v>#N/A</v>
      </c>
      <c r="I933" s="3" t="e">
        <f t="shared" si="115"/>
        <v>#N/A</v>
      </c>
      <c r="J933" s="3">
        <v>1574.8831538305221</v>
      </c>
      <c r="K933" s="3">
        <v>34</v>
      </c>
      <c r="L933" s="3" t="e">
        <v>#N/A</v>
      </c>
      <c r="M933" s="3" t="e">
        <v>#N/A</v>
      </c>
      <c r="N933" s="3" t="e">
        <v>#N/A</v>
      </c>
      <c r="O933" s="3" t="e">
        <v>#N/A</v>
      </c>
      <c r="P933" s="3">
        <f>E933*(VLOOKUP(B933,Price_data!A$1:B$190,2,FALSE))</f>
        <v>0.36663242371999999</v>
      </c>
      <c r="Q933" s="3" t="e">
        <f>G933*(VLOOKUP(B933,Price_data!A$1:B$190,2,FALSE))</f>
        <v>#N/A</v>
      </c>
      <c r="R933" s="3" t="e">
        <f>I933*(VLOOKUP(B933,Price_data!A$1:B$190,2,FALSE))</f>
        <v>#N/A</v>
      </c>
      <c r="S933" s="4" t="str">
        <f>(VLOOKUP(B933,Price_data!A$1:C$190,3,FALSE))</f>
        <v>Open access</v>
      </c>
      <c r="T933" s="2" t="str">
        <f>IF(C933="Total", (VLOOKUP(B933,Recommended_fish_intake!A$4:D$122,4,FALSE)), "NA")</f>
        <v>NA</v>
      </c>
      <c r="U933" s="2" t="str">
        <f t="shared" si="116"/>
        <v>NA</v>
      </c>
    </row>
    <row r="934" spans="1:21" ht="14.25" customHeight="1">
      <c r="A934" s="2" t="s">
        <v>15</v>
      </c>
      <c r="B934" s="2">
        <v>1967</v>
      </c>
      <c r="C934" s="2" t="s">
        <v>41</v>
      </c>
      <c r="D934" s="3">
        <f t="shared" si="110"/>
        <v>710.93273724852668</v>
      </c>
      <c r="E934" s="3">
        <f t="shared" si="111"/>
        <v>53.692999999999998</v>
      </c>
      <c r="F934" s="3" t="e">
        <f t="shared" si="112"/>
        <v>#N/A</v>
      </c>
      <c r="G934" s="3" t="e">
        <f t="shared" si="113"/>
        <v>#N/A</v>
      </c>
      <c r="H934" s="3" t="e">
        <f t="shared" si="114"/>
        <v>#N/A</v>
      </c>
      <c r="I934" s="3" t="e">
        <f t="shared" si="115"/>
        <v>#N/A</v>
      </c>
      <c r="J934" s="3">
        <v>710932.73724852665</v>
      </c>
      <c r="K934" s="3">
        <v>53693</v>
      </c>
      <c r="L934" s="3" t="e">
        <v>#N/A</v>
      </c>
      <c r="M934" s="3" t="e">
        <v>#N/A</v>
      </c>
      <c r="N934" s="3" t="e">
        <v>#N/A</v>
      </c>
      <c r="O934" s="3" t="e">
        <v>#N/A</v>
      </c>
      <c r="P934" s="3">
        <f>E934*(VLOOKUP(B934,Price_data!A$1:B$190,2,FALSE))</f>
        <v>578.98808019993999</v>
      </c>
      <c r="Q934" s="3" t="e">
        <f>G934*(VLOOKUP(B934,Price_data!A$1:B$190,2,FALSE))</f>
        <v>#N/A</v>
      </c>
      <c r="R934" s="3" t="e">
        <f>I934*(VLOOKUP(B934,Price_data!A$1:B$190,2,FALSE))</f>
        <v>#N/A</v>
      </c>
      <c r="S934" s="4" t="str">
        <f>(VLOOKUP(B934,Price_data!A$1:C$190,3,FALSE))</f>
        <v>Open access</v>
      </c>
      <c r="T934" s="2" t="str">
        <f>IF(C934="Total", (VLOOKUP(B934,Recommended_fish_intake!A$4:D$122,4,FALSE)), "NA")</f>
        <v>NA</v>
      </c>
      <c r="U934" s="2" t="str">
        <f t="shared" si="116"/>
        <v>NA</v>
      </c>
    </row>
    <row r="935" spans="1:21" ht="14.25" customHeight="1">
      <c r="A935" s="2" t="s">
        <v>15</v>
      </c>
      <c r="B935" s="2">
        <v>1967</v>
      </c>
      <c r="C935" s="2" t="s">
        <v>42</v>
      </c>
      <c r="D935" s="3">
        <f t="shared" si="110"/>
        <v>151.23958545011175</v>
      </c>
      <c r="E935" s="3">
        <f t="shared" si="111"/>
        <v>3.278</v>
      </c>
      <c r="F935" s="3" t="e">
        <f t="shared" si="112"/>
        <v>#N/A</v>
      </c>
      <c r="G935" s="3" t="e">
        <f t="shared" si="113"/>
        <v>#N/A</v>
      </c>
      <c r="H935" s="3" t="e">
        <f t="shared" si="114"/>
        <v>#N/A</v>
      </c>
      <c r="I935" s="3" t="e">
        <f t="shared" si="115"/>
        <v>#N/A</v>
      </c>
      <c r="J935" s="3">
        <v>151239.58545011174</v>
      </c>
      <c r="K935" s="3">
        <v>3278</v>
      </c>
      <c r="L935" s="3" t="e">
        <v>#N/A</v>
      </c>
      <c r="M935" s="3" t="e">
        <v>#N/A</v>
      </c>
      <c r="N935" s="3" t="e">
        <v>#N/A</v>
      </c>
      <c r="O935" s="3" t="e">
        <v>#N/A</v>
      </c>
      <c r="P935" s="3">
        <f>E935*(VLOOKUP(B935,Price_data!A$1:B$190,2,FALSE))</f>
        <v>35.34767896924</v>
      </c>
      <c r="Q935" s="3" t="e">
        <f>G935*(VLOOKUP(B935,Price_data!A$1:B$190,2,FALSE))</f>
        <v>#N/A</v>
      </c>
      <c r="R935" s="3" t="e">
        <f>I935*(VLOOKUP(B935,Price_data!A$1:B$190,2,FALSE))</f>
        <v>#N/A</v>
      </c>
      <c r="S935" s="4" t="str">
        <f>(VLOOKUP(B935,Price_data!A$1:C$190,3,FALSE))</f>
        <v>Open access</v>
      </c>
      <c r="T935" s="2" t="str">
        <f>IF(C935="Total", (VLOOKUP(B935,Recommended_fish_intake!A$4:D$122,4,FALSE)), "NA")</f>
        <v>NA</v>
      </c>
      <c r="U935" s="2" t="str">
        <f t="shared" si="116"/>
        <v>NA</v>
      </c>
    </row>
    <row r="936" spans="1:21" ht="14.25" customHeight="1">
      <c r="A936" s="2" t="s">
        <v>18</v>
      </c>
      <c r="B936" s="2">
        <v>1967</v>
      </c>
      <c r="C936" s="2" t="s">
        <v>20</v>
      </c>
      <c r="D936" s="3">
        <f t="shared" ref="D936:D999" si="117">J936/1000</f>
        <v>2.6925421662263767</v>
      </c>
      <c r="E936" s="3">
        <f t="shared" ref="E936:E999" si="118">K936/1000</f>
        <v>0.158</v>
      </c>
      <c r="F936" s="3" t="e">
        <f t="shared" ref="F936:F999" si="119">IF(L936="", NA(), L936/1000)</f>
        <v>#N/A</v>
      </c>
      <c r="G936" s="3" t="e">
        <f t="shared" ref="G936:G999" si="120">IF(M936="", NA(), M936/1000)</f>
        <v>#N/A</v>
      </c>
      <c r="H936" s="3" t="e">
        <f t="shared" ref="H936:H999" si="121">IF(N936="", NA(), N936/1000)</f>
        <v>#N/A</v>
      </c>
      <c r="I936" s="3" t="e">
        <f t="shared" ref="I936:I999" si="122">IF(O936="", NA(), O936/1000)</f>
        <v>#N/A</v>
      </c>
      <c r="J936" s="2">
        <v>2692.5421662263766</v>
      </c>
      <c r="K936" s="2">
        <v>158</v>
      </c>
      <c r="L936" s="2" t="e">
        <v>#N/A</v>
      </c>
      <c r="M936" s="2" t="e">
        <v>#N/A</v>
      </c>
      <c r="N936" s="2" t="e">
        <v>#N/A</v>
      </c>
      <c r="O936" s="2" t="e">
        <v>#N/A</v>
      </c>
      <c r="P936" s="3">
        <f>E936*(VLOOKUP(B936,Price_data!A$1:B$190,2,FALSE))</f>
        <v>1.70376243964</v>
      </c>
      <c r="Q936" s="3" t="e">
        <f>G936*(VLOOKUP(B936,Price_data!A$1:B$190,2,FALSE))</f>
        <v>#N/A</v>
      </c>
      <c r="R936" s="3" t="e">
        <f>I936*(VLOOKUP(B936,Price_data!A$1:B$190,2,FALSE))</f>
        <v>#N/A</v>
      </c>
      <c r="S936" s="4" t="str">
        <f>(VLOOKUP(B936,Price_data!A$1:C$190,3,FALSE))</f>
        <v>Open access</v>
      </c>
      <c r="T936" s="2" t="str">
        <f>IF(C936="Total", (VLOOKUP(B936,Recommended_fish_intake!A$4:D$122,4,FALSE)), "NA")</f>
        <v>NA</v>
      </c>
      <c r="U936" s="2" t="str">
        <f t="shared" si="116"/>
        <v>NA</v>
      </c>
    </row>
    <row r="937" spans="1:21" ht="14.25" customHeight="1">
      <c r="A937" s="2" t="s">
        <v>39</v>
      </c>
      <c r="B937" s="2">
        <v>1967</v>
      </c>
      <c r="C937" s="2" t="s">
        <v>20</v>
      </c>
      <c r="D937" s="3">
        <f t="shared" si="117"/>
        <v>1.2700670595407437</v>
      </c>
      <c r="E937" s="3">
        <f t="shared" si="118"/>
        <v>3.7999999999999999E-2</v>
      </c>
      <c r="F937" s="3" t="e">
        <f t="shared" si="119"/>
        <v>#N/A</v>
      </c>
      <c r="G937" s="3" t="e">
        <f t="shared" si="120"/>
        <v>#N/A</v>
      </c>
      <c r="H937" s="3" t="e">
        <f t="shared" si="121"/>
        <v>#N/A</v>
      </c>
      <c r="I937" s="3" t="e">
        <f t="shared" si="122"/>
        <v>#N/A</v>
      </c>
      <c r="J937" s="2">
        <v>1270.0670595407437</v>
      </c>
      <c r="K937" s="2">
        <v>38</v>
      </c>
      <c r="L937" s="2" t="e">
        <v>#N/A</v>
      </c>
      <c r="M937" s="2" t="e">
        <v>#N/A</v>
      </c>
      <c r="N937" s="2" t="e">
        <v>#N/A</v>
      </c>
      <c r="O937" s="2" t="e">
        <v>#N/A</v>
      </c>
      <c r="P937" s="3">
        <f>E937*(VLOOKUP(B937,Price_data!A$1:B$190,2,FALSE))</f>
        <v>0.40976565003999998</v>
      </c>
      <c r="Q937" s="3" t="e">
        <f>G937*(VLOOKUP(B937,Price_data!A$1:B$190,2,FALSE))</f>
        <v>#N/A</v>
      </c>
      <c r="R937" s="3" t="e">
        <f>I937*(VLOOKUP(B937,Price_data!A$1:B$190,2,FALSE))</f>
        <v>#N/A</v>
      </c>
      <c r="S937" s="4" t="str">
        <f>(VLOOKUP(B937,Price_data!A$1:C$190,3,FALSE))</f>
        <v>Open access</v>
      </c>
      <c r="T937" s="2" t="str">
        <f>IF(C937="Total", (VLOOKUP(B937,Recommended_fish_intake!A$4:D$122,4,FALSE)), "NA")</f>
        <v>NA</v>
      </c>
      <c r="U937" s="2" t="str">
        <f t="shared" si="116"/>
        <v>NA</v>
      </c>
    </row>
    <row r="938" spans="1:21" ht="14.25" customHeight="1">
      <c r="A938" s="2" t="s">
        <v>40</v>
      </c>
      <c r="B938" s="2">
        <v>1967</v>
      </c>
      <c r="C938" s="2" t="s">
        <v>20</v>
      </c>
      <c r="D938" s="3">
        <f t="shared" si="117"/>
        <v>0.15240804714488923</v>
      </c>
      <c r="E938" s="3">
        <f t="shared" si="118"/>
        <v>3.0000000000000001E-3</v>
      </c>
      <c r="F938" s="3" t="e">
        <f t="shared" si="119"/>
        <v>#N/A</v>
      </c>
      <c r="G938" s="3" t="e">
        <f t="shared" si="120"/>
        <v>#N/A</v>
      </c>
      <c r="H938" s="3" t="e">
        <f t="shared" si="121"/>
        <v>#N/A</v>
      </c>
      <c r="I938" s="3" t="e">
        <f t="shared" si="122"/>
        <v>#N/A</v>
      </c>
      <c r="J938" s="2">
        <v>152.40804714488922</v>
      </c>
      <c r="K938" s="2">
        <v>3</v>
      </c>
      <c r="L938" s="2" t="e">
        <v>#N/A</v>
      </c>
      <c r="M938" s="2" t="e">
        <v>#N/A</v>
      </c>
      <c r="N938" s="2" t="e">
        <v>#N/A</v>
      </c>
      <c r="O938" s="2" t="e">
        <v>#N/A</v>
      </c>
      <c r="P938" s="3">
        <f>E938*(VLOOKUP(B938,Price_data!A$1:B$190,2,FALSE))</f>
        <v>3.2349919739999997E-2</v>
      </c>
      <c r="Q938" s="3" t="e">
        <f>G938*(VLOOKUP(B938,Price_data!A$1:B$190,2,FALSE))</f>
        <v>#N/A</v>
      </c>
      <c r="R938" s="3" t="e">
        <f>I938*(VLOOKUP(B938,Price_data!A$1:B$190,2,FALSE))</f>
        <v>#N/A</v>
      </c>
      <c r="S938" s="4" t="str">
        <f>(VLOOKUP(B938,Price_data!A$1:C$190,3,FALSE))</f>
        <v>Open access</v>
      </c>
      <c r="T938" s="2" t="str">
        <f>IF(C938="Total", (VLOOKUP(B938,Recommended_fish_intake!A$4:D$122,4,FALSE)), "NA")</f>
        <v>NA</v>
      </c>
      <c r="U938" s="2" t="str">
        <f t="shared" si="116"/>
        <v>NA</v>
      </c>
    </row>
    <row r="939" spans="1:21" ht="14.25" customHeight="1">
      <c r="A939" s="2" t="s">
        <v>15</v>
      </c>
      <c r="B939" s="2">
        <v>1967</v>
      </c>
      <c r="C939" s="2" t="s">
        <v>20</v>
      </c>
      <c r="D939" s="3">
        <f t="shared" si="117"/>
        <v>4.1150172729120094</v>
      </c>
      <c r="E939" s="3">
        <f t="shared" si="118"/>
        <v>0.19900000000000001</v>
      </c>
      <c r="F939" s="3" t="e">
        <f t="shared" si="119"/>
        <v>#N/A</v>
      </c>
      <c r="G939" s="3" t="e">
        <f t="shared" si="120"/>
        <v>#N/A</v>
      </c>
      <c r="H939" s="3" t="e">
        <f t="shared" si="121"/>
        <v>#N/A</v>
      </c>
      <c r="I939" s="3" t="e">
        <f t="shared" si="122"/>
        <v>#N/A</v>
      </c>
      <c r="J939" s="2">
        <v>4115.0172729120095</v>
      </c>
      <c r="K939" s="2">
        <v>199</v>
      </c>
      <c r="L939" s="2" t="e">
        <v>#N/A</v>
      </c>
      <c r="M939" s="2" t="e">
        <v>#N/A</v>
      </c>
      <c r="N939" s="2" t="e">
        <v>#N/A</v>
      </c>
      <c r="O939" s="2" t="e">
        <v>#N/A</v>
      </c>
      <c r="P939" s="3">
        <f>E939*(VLOOKUP(B939,Price_data!A$1:B$190,2,FALSE))</f>
        <v>2.1458780094200001</v>
      </c>
      <c r="Q939" s="3" t="e">
        <f>G939*(VLOOKUP(B939,Price_data!A$1:B$190,2,FALSE))</f>
        <v>#N/A</v>
      </c>
      <c r="R939" s="3" t="e">
        <f>I939*(VLOOKUP(B939,Price_data!A$1:B$190,2,FALSE))</f>
        <v>#N/A</v>
      </c>
      <c r="S939" s="4" t="str">
        <f>(VLOOKUP(B939,Price_data!A$1:C$190,3,FALSE))</f>
        <v>Open access</v>
      </c>
      <c r="T939" s="2" t="str">
        <f>IF(C939="Total", (VLOOKUP(B939,Recommended_fish_intake!A$4:D$122,4,FALSE)), "NA")</f>
        <v>NA</v>
      </c>
      <c r="U939" s="2" t="str">
        <f t="shared" si="116"/>
        <v>NA</v>
      </c>
    </row>
    <row r="940" spans="1:21" ht="14.25" customHeight="1">
      <c r="A940" s="2" t="s">
        <v>15</v>
      </c>
      <c r="B940" s="2">
        <v>1967</v>
      </c>
      <c r="C940" s="2" t="s">
        <v>29</v>
      </c>
      <c r="D940" s="3" t="e">
        <f t="shared" si="117"/>
        <v>#N/A</v>
      </c>
      <c r="E940" s="3" t="e">
        <f t="shared" si="118"/>
        <v>#N/A</v>
      </c>
      <c r="F940" s="3" t="e">
        <f t="shared" si="119"/>
        <v>#N/A</v>
      </c>
      <c r="G940" s="3" t="e">
        <f t="shared" si="120"/>
        <v>#N/A</v>
      </c>
      <c r="H940" s="3">
        <f t="shared" si="121"/>
        <v>46.230440967283073</v>
      </c>
      <c r="I940" s="3">
        <f t="shared" si="122"/>
        <v>31.25</v>
      </c>
      <c r="J940" s="3" t="e">
        <v>#N/A</v>
      </c>
      <c r="K940" s="3" t="e">
        <v>#N/A</v>
      </c>
      <c r="L940" s="3" t="e">
        <v>#N/A</v>
      </c>
      <c r="M940" s="3" t="e">
        <v>#N/A</v>
      </c>
      <c r="N940" s="3">
        <v>46230.440967283073</v>
      </c>
      <c r="O940" s="3">
        <v>31250</v>
      </c>
      <c r="P940" s="3" t="e">
        <f>E940*(VLOOKUP(B940,Price_data!A$1:B$190,2,FALSE))</f>
        <v>#N/A</v>
      </c>
      <c r="Q940" s="3" t="e">
        <f>G940*(VLOOKUP(B940,Price_data!A$1:B$190,2,FALSE))</f>
        <v>#N/A</v>
      </c>
      <c r="R940" s="3">
        <f>I940*(VLOOKUP(B940,Price_data!A$1:B$190,2,FALSE))</f>
        <v>336.97833062500001</v>
      </c>
      <c r="S940" s="4" t="str">
        <f>(VLOOKUP(B940,Price_data!A$1:C$190,3,FALSE))</f>
        <v>Open access</v>
      </c>
      <c r="T940" s="2" t="str">
        <f>IF(C940="Total", (VLOOKUP(B940,Recommended_fish_intake!A$4:D$122,4,FALSE)), "NA")</f>
        <v>NA</v>
      </c>
      <c r="U940" s="2" t="str">
        <f t="shared" si="116"/>
        <v>NA</v>
      </c>
    </row>
    <row r="941" spans="1:21" ht="14.25" customHeight="1">
      <c r="A941" s="2" t="s">
        <v>15</v>
      </c>
      <c r="B941" s="2">
        <v>1967</v>
      </c>
      <c r="C941" s="2" t="s">
        <v>43</v>
      </c>
      <c r="D941" s="3" t="e">
        <f t="shared" si="117"/>
        <v>#N/A</v>
      </c>
      <c r="E941" s="3" t="e">
        <f t="shared" si="118"/>
        <v>#N/A</v>
      </c>
      <c r="F941" s="3" t="e">
        <f t="shared" si="119"/>
        <v>#N/A</v>
      </c>
      <c r="G941" s="3" t="e">
        <f t="shared" si="120"/>
        <v>#N/A</v>
      </c>
      <c r="H941" s="3">
        <f t="shared" si="121"/>
        <v>3.6577931314773418</v>
      </c>
      <c r="I941" s="3">
        <f t="shared" si="122"/>
        <v>1.1930000000000001</v>
      </c>
      <c r="J941" s="3" t="e">
        <v>#N/A</v>
      </c>
      <c r="K941" s="3" t="e">
        <v>#N/A</v>
      </c>
      <c r="L941" s="3" t="e">
        <v>#N/A</v>
      </c>
      <c r="M941" s="3" t="e">
        <v>#N/A</v>
      </c>
      <c r="N941" s="3">
        <v>3657.7931314773418</v>
      </c>
      <c r="O941" s="3">
        <v>1193</v>
      </c>
      <c r="P941" s="3" t="e">
        <f>E941*(VLOOKUP(B941,Price_data!A$1:B$190,2,FALSE))</f>
        <v>#N/A</v>
      </c>
      <c r="Q941" s="3" t="e">
        <f>G941*(VLOOKUP(B941,Price_data!A$1:B$190,2,FALSE))</f>
        <v>#N/A</v>
      </c>
      <c r="R941" s="3">
        <f>I941*(VLOOKUP(B941,Price_data!A$1:B$190,2,FALSE))</f>
        <v>12.864484749940001</v>
      </c>
      <c r="S941" s="4" t="str">
        <f>(VLOOKUP(B941,Price_data!A$1:C$190,3,FALSE))</f>
        <v>Open access</v>
      </c>
      <c r="T941" s="2" t="str">
        <f>IF(C941="Total", (VLOOKUP(B941,Recommended_fish_intake!A$4:D$122,4,FALSE)), "NA")</f>
        <v>NA</v>
      </c>
      <c r="U941" s="2" t="str">
        <f t="shared" si="116"/>
        <v>NA</v>
      </c>
    </row>
    <row r="942" spans="1:21" ht="14.25" customHeight="1">
      <c r="A942" s="2" t="s">
        <v>15</v>
      </c>
      <c r="B942" s="2">
        <v>1968</v>
      </c>
      <c r="C942" s="2" t="s">
        <v>16</v>
      </c>
      <c r="D942" s="3">
        <f t="shared" si="117"/>
        <v>912.21296484454376</v>
      </c>
      <c r="E942" s="3">
        <f t="shared" si="118"/>
        <v>62.122999999999998</v>
      </c>
      <c r="F942" s="3">
        <f t="shared" si="119"/>
        <v>57.254623044096725</v>
      </c>
      <c r="G942" s="3">
        <f t="shared" si="120"/>
        <v>10.99</v>
      </c>
      <c r="H942" s="3">
        <f t="shared" si="121"/>
        <v>239.73785815891077</v>
      </c>
      <c r="I942" s="3">
        <f t="shared" si="122"/>
        <v>76.415000000000006</v>
      </c>
      <c r="J942" s="3">
        <v>912212.96484454372</v>
      </c>
      <c r="K942" s="3">
        <v>62123</v>
      </c>
      <c r="L942" s="3">
        <v>57254.623044096727</v>
      </c>
      <c r="M942" s="3">
        <v>10990</v>
      </c>
      <c r="N942" s="3">
        <v>239737.85815891076</v>
      </c>
      <c r="O942" s="3">
        <v>76415</v>
      </c>
      <c r="P942" s="3">
        <f>E942*(VLOOKUP(B942,Price_data!A$1:B$190,2,FALSE))</f>
        <v>640.09557352053992</v>
      </c>
      <c r="Q942" s="3">
        <f>G942*(VLOOKUP(B942,Price_data!A$1:B$190,2,FALSE))</f>
        <v>113.23745397019999</v>
      </c>
      <c r="R942" s="3">
        <f>I942*(VLOOKUP(B942,Price_data!A$1:B$190,2,FALSE))</f>
        <v>787.35578208670006</v>
      </c>
      <c r="S942" s="4" t="str">
        <f>(VLOOKUP(B942,Price_data!A$1:C$190,3,FALSE))</f>
        <v>Open access</v>
      </c>
      <c r="T942" s="2">
        <f>IF(C942="Total", (VLOOKUP(B942,Recommended_fish_intake!A$4:D$122,4,FALSE)), "NA")</f>
        <v>709.8123346860001</v>
      </c>
      <c r="U942" s="2" t="str">
        <f t="shared" si="116"/>
        <v>NA</v>
      </c>
    </row>
    <row r="943" spans="1:21" ht="14.25" customHeight="1">
      <c r="A943" s="2" t="s">
        <v>18</v>
      </c>
      <c r="B943" s="2">
        <v>1968</v>
      </c>
      <c r="C943" s="2" t="s">
        <v>16</v>
      </c>
      <c r="D943" s="3">
        <f t="shared" si="117"/>
        <v>554.30806746596215</v>
      </c>
      <c r="E943" s="3">
        <f t="shared" si="118"/>
        <v>39.96</v>
      </c>
      <c r="F943" s="3" t="e">
        <f t="shared" si="119"/>
        <v>#N/A</v>
      </c>
      <c r="G943" s="3" t="e">
        <f t="shared" si="120"/>
        <v>#N/A</v>
      </c>
      <c r="H943" s="3" t="e">
        <f t="shared" si="121"/>
        <v>#N/A</v>
      </c>
      <c r="I943" s="3" t="e">
        <f t="shared" si="122"/>
        <v>#N/A</v>
      </c>
      <c r="J943" s="3">
        <v>554308.06746596214</v>
      </c>
      <c r="K943" s="3">
        <v>39960</v>
      </c>
      <c r="L943" s="3" t="e">
        <v>#N/A</v>
      </c>
      <c r="M943" s="3" t="e">
        <v>#N/A</v>
      </c>
      <c r="N943" s="3" t="e">
        <v>#N/A</v>
      </c>
      <c r="O943" s="3" t="e">
        <v>#N/A</v>
      </c>
      <c r="P943" s="3">
        <f>E943*(VLOOKUP(B943,Price_data!A$1:B$190,2,FALSE))</f>
        <v>411.73509196079999</v>
      </c>
      <c r="Q943" s="3" t="e">
        <f>G943*(VLOOKUP(B943,Price_data!A$1:B$190,2,FALSE))</f>
        <v>#N/A</v>
      </c>
      <c r="R943" s="3" t="e">
        <f>I943*(VLOOKUP(B943,Price_data!A$1:B$190,2,FALSE))</f>
        <v>#N/A</v>
      </c>
      <c r="S943" s="4" t="str">
        <f>(VLOOKUP(B943,Price_data!A$1:C$190,3,FALSE))</f>
        <v>Open access</v>
      </c>
      <c r="T943" s="2">
        <f>IF(C943="Total", (VLOOKUP(B943,Recommended_fish_intake!A$4:D$122,4,FALSE)), "NA")</f>
        <v>709.8123346860001</v>
      </c>
      <c r="U943" s="2" t="str">
        <f t="shared" si="116"/>
        <v>NA</v>
      </c>
    </row>
    <row r="944" spans="1:21" ht="14.25" customHeight="1">
      <c r="A944" s="2" t="s">
        <v>39</v>
      </c>
      <c r="B944" s="2">
        <v>1968</v>
      </c>
      <c r="C944" s="2" t="s">
        <v>16</v>
      </c>
      <c r="D944" s="3">
        <f t="shared" si="117"/>
        <v>349.26844137370449</v>
      </c>
      <c r="E944" s="3">
        <f t="shared" si="118"/>
        <v>21.706</v>
      </c>
      <c r="F944" s="3" t="e">
        <f t="shared" si="119"/>
        <v>#N/A</v>
      </c>
      <c r="G944" s="3" t="e">
        <f t="shared" si="120"/>
        <v>#N/A</v>
      </c>
      <c r="H944" s="3" t="e">
        <f t="shared" si="121"/>
        <v>#N/A</v>
      </c>
      <c r="I944" s="3" t="e">
        <f t="shared" si="122"/>
        <v>#N/A</v>
      </c>
      <c r="J944" s="3">
        <v>349268.44137370447</v>
      </c>
      <c r="K944" s="3">
        <v>21706</v>
      </c>
      <c r="L944" s="3" t="e">
        <v>#N/A</v>
      </c>
      <c r="M944" s="3" t="e">
        <v>#N/A</v>
      </c>
      <c r="N944" s="3" t="e">
        <v>#N/A</v>
      </c>
      <c r="O944" s="3" t="e">
        <v>#N/A</v>
      </c>
      <c r="P944" s="3">
        <f>E944*(VLOOKUP(B944,Price_data!A$1:B$190,2,FALSE))</f>
        <v>223.65169935187998</v>
      </c>
      <c r="Q944" s="3" t="e">
        <f>G944*(VLOOKUP(B944,Price_data!A$1:B$190,2,FALSE))</f>
        <v>#N/A</v>
      </c>
      <c r="R944" s="3" t="e">
        <f>I944*(VLOOKUP(B944,Price_data!A$1:B$190,2,FALSE))</f>
        <v>#N/A</v>
      </c>
      <c r="S944" s="4" t="str">
        <f>(VLOOKUP(B944,Price_data!A$1:C$190,3,FALSE))</f>
        <v>Open access</v>
      </c>
      <c r="T944" s="2">
        <f>IF(C944="Total", (VLOOKUP(B944,Recommended_fish_intake!A$4:D$122,4,FALSE)), "NA")</f>
        <v>709.8123346860001</v>
      </c>
      <c r="U944" s="2" t="str">
        <f t="shared" si="116"/>
        <v>NA</v>
      </c>
    </row>
    <row r="945" spans="1:21" ht="14.25" customHeight="1">
      <c r="A945" s="2" t="s">
        <v>40</v>
      </c>
      <c r="B945" s="2">
        <v>1968</v>
      </c>
      <c r="C945" s="2" t="s">
        <v>16</v>
      </c>
      <c r="D945" s="3">
        <f t="shared" si="117"/>
        <v>8.6364560048770578</v>
      </c>
      <c r="E945" s="3">
        <f t="shared" si="118"/>
        <v>0.45700000000000002</v>
      </c>
      <c r="F945" s="3" t="e">
        <f t="shared" si="119"/>
        <v>#N/A</v>
      </c>
      <c r="G945" s="3" t="e">
        <f t="shared" si="120"/>
        <v>#N/A</v>
      </c>
      <c r="H945" s="3" t="e">
        <f t="shared" si="121"/>
        <v>#N/A</v>
      </c>
      <c r="I945" s="3" t="e">
        <f t="shared" si="122"/>
        <v>#N/A</v>
      </c>
      <c r="J945" s="3">
        <v>8636.4560048770581</v>
      </c>
      <c r="K945" s="3">
        <v>457</v>
      </c>
      <c r="L945" s="3" t="e">
        <v>#N/A</v>
      </c>
      <c r="M945" s="3" t="e">
        <v>#N/A</v>
      </c>
      <c r="N945" s="3" t="e">
        <v>#N/A</v>
      </c>
      <c r="O945" s="3" t="e">
        <v>#N/A</v>
      </c>
      <c r="P945" s="3">
        <f>E945*(VLOOKUP(B945,Price_data!A$1:B$190,2,FALSE))</f>
        <v>4.7087822078599997</v>
      </c>
      <c r="Q945" s="3" t="e">
        <f>G945*(VLOOKUP(B945,Price_data!A$1:B$190,2,FALSE))</f>
        <v>#N/A</v>
      </c>
      <c r="R945" s="3" t="e">
        <f>I945*(VLOOKUP(B945,Price_data!A$1:B$190,2,FALSE))</f>
        <v>#N/A</v>
      </c>
      <c r="S945" s="4" t="str">
        <f>(VLOOKUP(B945,Price_data!A$1:C$190,3,FALSE))</f>
        <v>Open access</v>
      </c>
      <c r="T945" s="2">
        <f>IF(C945="Total", (VLOOKUP(B945,Recommended_fish_intake!A$4:D$122,4,FALSE)), "NA")</f>
        <v>709.8123346860001</v>
      </c>
      <c r="U945" s="2" t="str">
        <f t="shared" si="116"/>
        <v>NA</v>
      </c>
    </row>
    <row r="946" spans="1:21" ht="14.25" customHeight="1">
      <c r="A946" s="2" t="s">
        <v>15</v>
      </c>
      <c r="B946" s="2">
        <v>1968</v>
      </c>
      <c r="C946" s="2" t="s">
        <v>22</v>
      </c>
      <c r="D946" s="3">
        <f t="shared" si="117"/>
        <v>372.53606990449094</v>
      </c>
      <c r="E946" s="3">
        <f t="shared" si="118"/>
        <v>25.462</v>
      </c>
      <c r="F946" s="3" t="e">
        <f t="shared" si="119"/>
        <v>#N/A</v>
      </c>
      <c r="G946" s="3" t="e">
        <f t="shared" si="120"/>
        <v>#N/A</v>
      </c>
      <c r="H946" s="3">
        <f t="shared" si="121"/>
        <v>37.289168868116235</v>
      </c>
      <c r="I946" s="3">
        <f t="shared" si="122"/>
        <v>4.9169999999999998</v>
      </c>
      <c r="J946" s="3">
        <v>372536.06990449096</v>
      </c>
      <c r="K946" s="3">
        <v>25462</v>
      </c>
      <c r="L946" s="3" t="e">
        <v>#N/A</v>
      </c>
      <c r="M946" s="3" t="e">
        <v>#N/A</v>
      </c>
      <c r="N946" s="3">
        <v>37289.168868116234</v>
      </c>
      <c r="O946" s="3">
        <v>4917</v>
      </c>
      <c r="P946" s="3">
        <f>E946*(VLOOKUP(B946,Price_data!A$1:B$190,2,FALSE))</f>
        <v>262.35232511275996</v>
      </c>
      <c r="Q946" s="3" t="e">
        <f>G946*(VLOOKUP(B946,Price_data!A$1:B$190,2,FALSE))</f>
        <v>#N/A</v>
      </c>
      <c r="R946" s="3">
        <f>I946*(VLOOKUP(B946,Price_data!A$1:B$190,2,FALSE))</f>
        <v>50.663199378659996</v>
      </c>
      <c r="S946" s="4" t="str">
        <f>(VLOOKUP(B946,Price_data!A$1:C$190,3,FALSE))</f>
        <v>Open access</v>
      </c>
      <c r="T946" s="2" t="str">
        <f>IF(C946="Total", (VLOOKUP(B946,Recommended_fish_intake!A$4:D$122,4,FALSE)), "NA")</f>
        <v>NA</v>
      </c>
      <c r="U946" s="2" t="str">
        <f t="shared" si="116"/>
        <v>NA</v>
      </c>
    </row>
    <row r="947" spans="1:21" ht="14.25" customHeight="1">
      <c r="A947" s="2" t="s">
        <v>15</v>
      </c>
      <c r="B947" s="2">
        <v>1968</v>
      </c>
      <c r="C947" s="2" t="s">
        <v>23</v>
      </c>
      <c r="D947" s="3">
        <f t="shared" si="117"/>
        <v>134.47470026417395</v>
      </c>
      <c r="E947" s="3">
        <f t="shared" si="118"/>
        <v>10.885</v>
      </c>
      <c r="F947" s="3" t="e">
        <f t="shared" si="119"/>
        <v>#N/A</v>
      </c>
      <c r="G947" s="3" t="e">
        <f t="shared" si="120"/>
        <v>#N/A</v>
      </c>
      <c r="H947" s="3">
        <f t="shared" si="121"/>
        <v>13.107092054460475</v>
      </c>
      <c r="I947" s="3">
        <f t="shared" si="122"/>
        <v>2.0819999999999999</v>
      </c>
      <c r="J947" s="3">
        <v>134474.70026417394</v>
      </c>
      <c r="K947" s="3">
        <v>10885</v>
      </c>
      <c r="L947" s="3" t="e">
        <v>#N/A</v>
      </c>
      <c r="M947" s="3" t="e">
        <v>#N/A</v>
      </c>
      <c r="N947" s="3">
        <v>13107.092054460474</v>
      </c>
      <c r="O947" s="3">
        <v>2082</v>
      </c>
      <c r="P947" s="3">
        <f>E947*(VLOOKUP(B947,Price_data!A$1:B$190,2,FALSE))</f>
        <v>112.15556746729999</v>
      </c>
      <c r="Q947" s="3" t="e">
        <f>G947*(VLOOKUP(B947,Price_data!A$1:B$190,2,FALSE))</f>
        <v>#N/A</v>
      </c>
      <c r="R947" s="3">
        <f>I947*(VLOOKUP(B947,Price_data!A$1:B$190,2,FALSE))</f>
        <v>21.452263800359997</v>
      </c>
      <c r="S947" s="4" t="str">
        <f>(VLOOKUP(B947,Price_data!A$1:C$190,3,FALSE))</f>
        <v>Open access</v>
      </c>
      <c r="T947" s="2" t="str">
        <f>IF(C947="Total", (VLOOKUP(B947,Recommended_fish_intake!A$4:D$122,4,FALSE)), "NA")</f>
        <v>NA</v>
      </c>
      <c r="U947" s="2" t="str">
        <f t="shared" si="116"/>
        <v>NA</v>
      </c>
    </row>
    <row r="948" spans="1:21" ht="14.25" customHeight="1">
      <c r="A948" s="2" t="s">
        <v>15</v>
      </c>
      <c r="B948" s="2">
        <v>1968</v>
      </c>
      <c r="C948" s="2" t="s">
        <v>25</v>
      </c>
      <c r="D948" s="3">
        <f t="shared" si="117"/>
        <v>42.369437106279207</v>
      </c>
      <c r="E948" s="3">
        <f t="shared" si="118"/>
        <v>5.6219999999999999</v>
      </c>
      <c r="F948" s="3" t="e">
        <f t="shared" si="119"/>
        <v>#N/A</v>
      </c>
      <c r="G948" s="3" t="e">
        <f t="shared" si="120"/>
        <v>#N/A</v>
      </c>
      <c r="H948" s="3">
        <f t="shared" si="121"/>
        <v>14.22475106685633</v>
      </c>
      <c r="I948" s="3">
        <f t="shared" si="122"/>
        <v>2.7949999999999999</v>
      </c>
      <c r="J948" s="3">
        <v>42369.437106279205</v>
      </c>
      <c r="K948" s="3">
        <v>5622</v>
      </c>
      <c r="L948" s="3" t="e">
        <v>#N/A</v>
      </c>
      <c r="M948" s="3" t="e">
        <v>#N/A</v>
      </c>
      <c r="N948" s="3">
        <v>14224.75106685633</v>
      </c>
      <c r="O948" s="3">
        <v>2795</v>
      </c>
      <c r="P948" s="3">
        <f>E948*(VLOOKUP(B948,Price_data!A$1:B$190,2,FALSE))</f>
        <v>57.927294469559996</v>
      </c>
      <c r="Q948" s="3" t="e">
        <f>G948*(VLOOKUP(B948,Price_data!A$1:B$190,2,FALSE))</f>
        <v>#N/A</v>
      </c>
      <c r="R948" s="3">
        <f>I948*(VLOOKUP(B948,Price_data!A$1:B$190,2,FALSE))</f>
        <v>28.798788339099996</v>
      </c>
      <c r="S948" s="4" t="str">
        <f>(VLOOKUP(B948,Price_data!A$1:C$190,3,FALSE))</f>
        <v>Open access</v>
      </c>
      <c r="T948" s="2" t="str">
        <f>IF(C948="Total", (VLOOKUP(B948,Recommended_fish_intake!A$4:D$122,4,FALSE)), "NA")</f>
        <v>NA</v>
      </c>
      <c r="U948" s="2" t="str">
        <f t="shared" si="116"/>
        <v>NA</v>
      </c>
    </row>
    <row r="949" spans="1:21" ht="14.25" customHeight="1">
      <c r="A949" s="2" t="s">
        <v>15</v>
      </c>
      <c r="B949" s="2">
        <v>1968</v>
      </c>
      <c r="C949" s="2" t="s">
        <v>24</v>
      </c>
      <c r="D949" s="3">
        <f t="shared" si="117"/>
        <v>45.417598049176995</v>
      </c>
      <c r="E949" s="3">
        <f t="shared" si="118"/>
        <v>2.778</v>
      </c>
      <c r="F949" s="3" t="e">
        <f t="shared" si="119"/>
        <v>#N/A</v>
      </c>
      <c r="G949" s="3" t="e">
        <f t="shared" si="120"/>
        <v>#N/A</v>
      </c>
      <c r="H949" s="3" t="e">
        <f t="shared" si="121"/>
        <v>#N/A</v>
      </c>
      <c r="I949" s="3" t="e">
        <f t="shared" si="122"/>
        <v>#N/A</v>
      </c>
      <c r="J949" s="3">
        <v>45417.598049176995</v>
      </c>
      <c r="K949" s="3">
        <v>2778</v>
      </c>
      <c r="L949" s="3" t="e">
        <v>#N/A</v>
      </c>
      <c r="M949" s="3" t="e">
        <v>#N/A</v>
      </c>
      <c r="N949" s="3" t="e">
        <v>#N/A</v>
      </c>
      <c r="O949" s="3" t="e">
        <v>#N/A</v>
      </c>
      <c r="P949" s="3">
        <f>E949*(VLOOKUP(B949,Price_data!A$1:B$190,2,FALSE))</f>
        <v>28.62362576244</v>
      </c>
      <c r="Q949" s="3" t="e">
        <f>G949*(VLOOKUP(B949,Price_data!A$1:B$190,2,FALSE))</f>
        <v>#N/A</v>
      </c>
      <c r="R949" s="3" t="e">
        <f>I949*(VLOOKUP(B949,Price_data!A$1:B$190,2,FALSE))</f>
        <v>#N/A</v>
      </c>
      <c r="S949" s="4" t="str">
        <f>(VLOOKUP(B949,Price_data!A$1:C$190,3,FALSE))</f>
        <v>Open access</v>
      </c>
      <c r="T949" s="2" t="str">
        <f>IF(C949="Total", (VLOOKUP(B949,Recommended_fish_intake!A$4:D$122,4,FALSE)), "NA")</f>
        <v>NA</v>
      </c>
      <c r="U949" s="2" t="str">
        <f t="shared" si="116"/>
        <v>NA</v>
      </c>
    </row>
    <row r="950" spans="1:21" ht="14.25" customHeight="1">
      <c r="A950" s="2" t="s">
        <v>15</v>
      </c>
      <c r="B950" s="2">
        <v>1968</v>
      </c>
      <c r="C950" s="2" t="s">
        <v>19</v>
      </c>
      <c r="D950" s="3">
        <f t="shared" si="117"/>
        <v>94.543791912212953</v>
      </c>
      <c r="E950" s="3">
        <f t="shared" si="118"/>
        <v>2.5670000000000002</v>
      </c>
      <c r="F950" s="3" t="e">
        <f t="shared" si="119"/>
        <v>#N/A</v>
      </c>
      <c r="G950" s="3" t="e">
        <f t="shared" si="120"/>
        <v>#N/A</v>
      </c>
      <c r="H950" s="3">
        <f t="shared" si="121"/>
        <v>22.861207071733386</v>
      </c>
      <c r="I950" s="3">
        <f t="shared" si="122"/>
        <v>0.91</v>
      </c>
      <c r="J950" s="3">
        <v>94543.791912212953</v>
      </c>
      <c r="K950" s="3">
        <v>2567</v>
      </c>
      <c r="L950" s="3" t="e">
        <v>#N/A</v>
      </c>
      <c r="M950" s="3" t="e">
        <v>#N/A</v>
      </c>
      <c r="N950" s="3">
        <v>22861.207071733385</v>
      </c>
      <c r="O950" s="3">
        <v>910</v>
      </c>
      <c r="P950" s="3">
        <f>E950*(VLOOKUP(B950,Price_data!A$1:B$190,2,FALSE))</f>
        <v>26.449549075659998</v>
      </c>
      <c r="Q950" s="3" t="e">
        <f>G950*(VLOOKUP(B950,Price_data!A$1:B$190,2,FALSE))</f>
        <v>#N/A</v>
      </c>
      <c r="R950" s="3">
        <f>I950*(VLOOKUP(B950,Price_data!A$1:B$190,2,FALSE))</f>
        <v>9.3763496917999998</v>
      </c>
      <c r="S950" s="4" t="str">
        <f>(VLOOKUP(B950,Price_data!A$1:C$190,3,FALSE))</f>
        <v>Open access</v>
      </c>
      <c r="T950" s="2" t="str">
        <f>IF(C950="Total", (VLOOKUP(B950,Recommended_fish_intake!A$4:D$122,4,FALSE)), "NA")</f>
        <v>NA</v>
      </c>
      <c r="U950" s="2" t="str">
        <f t="shared" si="116"/>
        <v>NA</v>
      </c>
    </row>
    <row r="951" spans="1:21" ht="14.25" customHeight="1">
      <c r="A951" s="2" t="s">
        <v>15</v>
      </c>
      <c r="B951" s="2">
        <v>1968</v>
      </c>
      <c r="C951" s="2" t="s">
        <v>21</v>
      </c>
      <c r="D951" s="3">
        <f t="shared" si="117"/>
        <v>41.404186141028241</v>
      </c>
      <c r="E951" s="3">
        <f t="shared" si="118"/>
        <v>0.36199999999999999</v>
      </c>
      <c r="F951" s="3" t="e">
        <f t="shared" si="119"/>
        <v>#N/A</v>
      </c>
      <c r="G951" s="3" t="e">
        <f t="shared" si="120"/>
        <v>#N/A</v>
      </c>
      <c r="H951" s="3" t="e">
        <f t="shared" si="121"/>
        <v>#N/A</v>
      </c>
      <c r="I951" s="3" t="e">
        <f t="shared" si="122"/>
        <v>#N/A</v>
      </c>
      <c r="J951" s="3">
        <v>41404.186141028244</v>
      </c>
      <c r="K951" s="3">
        <v>362</v>
      </c>
      <c r="L951" s="3" t="e">
        <v>#N/A</v>
      </c>
      <c r="M951" s="3" t="e">
        <v>#N/A</v>
      </c>
      <c r="N951" s="3" t="e">
        <v>#N/A</v>
      </c>
      <c r="O951" s="3" t="e">
        <v>#N/A</v>
      </c>
      <c r="P951" s="3">
        <f>E951*(VLOOKUP(B951,Price_data!A$1:B$190,2,FALSE))</f>
        <v>3.7299325147599998</v>
      </c>
      <c r="Q951" s="3" t="e">
        <f>G951*(VLOOKUP(B951,Price_data!A$1:B$190,2,FALSE))</f>
        <v>#N/A</v>
      </c>
      <c r="R951" s="3" t="e">
        <f>I951*(VLOOKUP(B951,Price_data!A$1:B$190,2,FALSE))</f>
        <v>#N/A</v>
      </c>
      <c r="S951" s="4" t="str">
        <f>(VLOOKUP(B951,Price_data!A$1:C$190,3,FALSE))</f>
        <v>Open access</v>
      </c>
      <c r="T951" s="2" t="str">
        <f>IF(C951="Total", (VLOOKUP(B951,Recommended_fish_intake!A$4:D$122,4,FALSE)), "NA")</f>
        <v>NA</v>
      </c>
      <c r="U951" s="2" t="str">
        <f t="shared" si="116"/>
        <v>NA</v>
      </c>
    </row>
    <row r="952" spans="1:21" ht="14.25" customHeight="1">
      <c r="A952" s="2" t="s">
        <v>15</v>
      </c>
      <c r="B952" s="2">
        <v>1968</v>
      </c>
      <c r="C952" s="2" t="s">
        <v>34</v>
      </c>
      <c r="D952" s="3">
        <f t="shared" si="117"/>
        <v>1.016053647632595</v>
      </c>
      <c r="E952" s="3">
        <f t="shared" si="118"/>
        <v>1.101</v>
      </c>
      <c r="F952" s="3" t="e">
        <f t="shared" si="119"/>
        <v>#N/A</v>
      </c>
      <c r="G952" s="3" t="e">
        <f t="shared" si="120"/>
        <v>#N/A</v>
      </c>
      <c r="H952" s="3">
        <f t="shared" si="121"/>
        <v>0.15240804714488923</v>
      </c>
      <c r="I952" s="3">
        <f t="shared" si="122"/>
        <v>0.21</v>
      </c>
      <c r="J952" s="3">
        <v>1016.053647632595</v>
      </c>
      <c r="K952" s="3">
        <v>1101</v>
      </c>
      <c r="L952" s="3" t="e">
        <v>#N/A</v>
      </c>
      <c r="M952" s="3" t="e">
        <v>#N/A</v>
      </c>
      <c r="N952" s="3">
        <v>152.40804714488922</v>
      </c>
      <c r="O952" s="3">
        <v>210</v>
      </c>
      <c r="P952" s="3">
        <f>E952*(VLOOKUP(B952,Price_data!A$1:B$190,2,FALSE))</f>
        <v>11.34435275898</v>
      </c>
      <c r="Q952" s="3" t="e">
        <f>G952*(VLOOKUP(B952,Price_data!A$1:B$190,2,FALSE))</f>
        <v>#N/A</v>
      </c>
      <c r="R952" s="3">
        <f>I952*(VLOOKUP(B952,Price_data!A$1:B$190,2,FALSE))</f>
        <v>2.1637730058</v>
      </c>
      <c r="S952" s="4" t="str">
        <f>(VLOOKUP(B952,Price_data!A$1:C$190,3,FALSE))</f>
        <v>Open access</v>
      </c>
      <c r="T952" s="2" t="str">
        <f>IF(C952="Total", (VLOOKUP(B952,Recommended_fish_intake!A$4:D$122,4,FALSE)), "NA")</f>
        <v>NA</v>
      </c>
      <c r="U952" s="2" t="str">
        <f t="shared" si="116"/>
        <v>NA</v>
      </c>
    </row>
    <row r="953" spans="1:21" ht="14.25" customHeight="1">
      <c r="A953" s="2" t="s">
        <v>15</v>
      </c>
      <c r="B953" s="2">
        <v>1968</v>
      </c>
      <c r="C953" s="2" t="s">
        <v>35</v>
      </c>
      <c r="D953" s="3">
        <f t="shared" si="117"/>
        <v>10.10973379394432</v>
      </c>
      <c r="E953" s="3">
        <f t="shared" si="118"/>
        <v>2.1139999999999999</v>
      </c>
      <c r="F953" s="3" t="e">
        <f t="shared" si="119"/>
        <v>#N/A</v>
      </c>
      <c r="G953" s="3" t="e">
        <f t="shared" si="120"/>
        <v>#N/A</v>
      </c>
      <c r="H953" s="3" t="e">
        <f t="shared" si="121"/>
        <v>#N/A</v>
      </c>
      <c r="I953" s="3" t="e">
        <f t="shared" si="122"/>
        <v>#N/A</v>
      </c>
      <c r="J953" s="3">
        <v>10109.73379394432</v>
      </c>
      <c r="K953" s="3">
        <v>2114</v>
      </c>
      <c r="L953" s="3" t="e">
        <v>#N/A</v>
      </c>
      <c r="M953" s="3" t="e">
        <v>#N/A</v>
      </c>
      <c r="N953" s="3" t="e">
        <v>#N/A</v>
      </c>
      <c r="O953" s="3" t="e">
        <v>#N/A</v>
      </c>
      <c r="P953" s="3">
        <f>E953*(VLOOKUP(B953,Price_data!A$1:B$190,2,FALSE))</f>
        <v>21.781981591719997</v>
      </c>
      <c r="Q953" s="3" t="e">
        <f>G953*(VLOOKUP(B953,Price_data!A$1:B$190,2,FALSE))</f>
        <v>#N/A</v>
      </c>
      <c r="R953" s="3" t="e">
        <f>I953*(VLOOKUP(B953,Price_data!A$1:B$190,2,FALSE))</f>
        <v>#N/A</v>
      </c>
      <c r="S953" s="4" t="str">
        <f>(VLOOKUP(B953,Price_data!A$1:C$190,3,FALSE))</f>
        <v>Open access</v>
      </c>
      <c r="T953" s="2" t="str">
        <f>IF(C953="Total", (VLOOKUP(B953,Recommended_fish_intake!A$4:D$122,4,FALSE)), "NA")</f>
        <v>NA</v>
      </c>
      <c r="U953" s="2" t="str">
        <f t="shared" si="116"/>
        <v>NA</v>
      </c>
    </row>
    <row r="954" spans="1:21" ht="14.25" customHeight="1">
      <c r="A954" s="2" t="s">
        <v>15</v>
      </c>
      <c r="B954" s="2">
        <v>1968</v>
      </c>
      <c r="C954" s="2" t="s">
        <v>30</v>
      </c>
      <c r="D954" s="3">
        <f t="shared" si="117"/>
        <v>1.3208697419223734</v>
      </c>
      <c r="E954" s="3">
        <f t="shared" si="118"/>
        <v>0.216</v>
      </c>
      <c r="F954" s="3" t="e">
        <f t="shared" si="119"/>
        <v>#N/A</v>
      </c>
      <c r="G954" s="3" t="e">
        <f t="shared" si="120"/>
        <v>#N/A</v>
      </c>
      <c r="H954" s="3">
        <f t="shared" si="121"/>
        <v>4.9786628733997151</v>
      </c>
      <c r="I954" s="3">
        <f t="shared" si="122"/>
        <v>4.569</v>
      </c>
      <c r="J954" s="3">
        <v>1320.8697419223734</v>
      </c>
      <c r="K954" s="3">
        <v>216</v>
      </c>
      <c r="L954" s="3" t="e">
        <v>#N/A</v>
      </c>
      <c r="M954" s="3" t="e">
        <v>#N/A</v>
      </c>
      <c r="N954" s="3">
        <v>4978.662873399715</v>
      </c>
      <c r="O954" s="3">
        <v>4569</v>
      </c>
      <c r="P954" s="3">
        <f>E954*(VLOOKUP(B954,Price_data!A$1:B$190,2,FALSE))</f>
        <v>2.2255950916799998</v>
      </c>
      <c r="Q954" s="3" t="e">
        <f>G954*(VLOOKUP(B954,Price_data!A$1:B$190,2,FALSE))</f>
        <v>#N/A</v>
      </c>
      <c r="R954" s="3">
        <f>I954*(VLOOKUP(B954,Price_data!A$1:B$190,2,FALSE))</f>
        <v>47.077518397619997</v>
      </c>
      <c r="S954" s="4" t="str">
        <f>(VLOOKUP(B954,Price_data!A$1:C$190,3,FALSE))</f>
        <v>Open access</v>
      </c>
      <c r="T954" s="2" t="str">
        <f>IF(C954="Total", (VLOOKUP(B954,Recommended_fish_intake!A$4:D$122,4,FALSE)), "NA")</f>
        <v>NA</v>
      </c>
      <c r="U954" s="2" t="str">
        <f t="shared" si="116"/>
        <v>NA</v>
      </c>
    </row>
    <row r="955" spans="1:21" ht="14.25" customHeight="1">
      <c r="A955" s="2" t="s">
        <v>15</v>
      </c>
      <c r="B955" s="2">
        <v>1968</v>
      </c>
      <c r="C955" s="2" t="s">
        <v>36</v>
      </c>
      <c r="D955" s="3">
        <f t="shared" si="117"/>
        <v>5.0294655557813446</v>
      </c>
      <c r="E955" s="3">
        <f t="shared" si="118"/>
        <v>0.45500000000000002</v>
      </c>
      <c r="F955" s="3" t="e">
        <f t="shared" si="119"/>
        <v>#N/A</v>
      </c>
      <c r="G955" s="3" t="e">
        <f t="shared" si="120"/>
        <v>#N/A</v>
      </c>
      <c r="H955" s="3">
        <f t="shared" si="121"/>
        <v>1.2700670595407437</v>
      </c>
      <c r="I955" s="3">
        <f t="shared" si="122"/>
        <v>1.851</v>
      </c>
      <c r="J955" s="3">
        <v>5029.4655557813448</v>
      </c>
      <c r="K955" s="3">
        <v>455</v>
      </c>
      <c r="L955" s="3" t="e">
        <v>#N/A</v>
      </c>
      <c r="M955" s="3" t="e">
        <v>#N/A</v>
      </c>
      <c r="N955" s="3">
        <v>1270.0670595407437</v>
      </c>
      <c r="O955" s="3">
        <v>1851</v>
      </c>
      <c r="P955" s="3">
        <f>E955*(VLOOKUP(B955,Price_data!A$1:B$190,2,FALSE))</f>
        <v>4.6881748458999999</v>
      </c>
      <c r="Q955" s="3" t="e">
        <f>G955*(VLOOKUP(B955,Price_data!A$1:B$190,2,FALSE))</f>
        <v>#N/A</v>
      </c>
      <c r="R955" s="3">
        <f>I955*(VLOOKUP(B955,Price_data!A$1:B$190,2,FALSE))</f>
        <v>19.072113493979998</v>
      </c>
      <c r="S955" s="4" t="str">
        <f>(VLOOKUP(B955,Price_data!A$1:C$190,3,FALSE))</f>
        <v>Open access</v>
      </c>
      <c r="T955" s="2" t="str">
        <f>IF(C955="Total", (VLOOKUP(B955,Recommended_fish_intake!A$4:D$122,4,FALSE)), "NA")</f>
        <v>NA</v>
      </c>
      <c r="U955" s="2" t="str">
        <f t="shared" si="116"/>
        <v>NA</v>
      </c>
    </row>
    <row r="956" spans="1:21" ht="14.25" customHeight="1">
      <c r="A956" s="2" t="s">
        <v>15</v>
      </c>
      <c r="B956" s="2">
        <v>1968</v>
      </c>
      <c r="C956" s="2" t="s">
        <v>28</v>
      </c>
      <c r="D956" s="3">
        <f t="shared" si="117"/>
        <v>41.810607600081283</v>
      </c>
      <c r="E956" s="3">
        <f t="shared" si="118"/>
        <v>4.8330000000000002</v>
      </c>
      <c r="F956" s="3">
        <f t="shared" si="119"/>
        <v>3.2005689900426741</v>
      </c>
      <c r="G956" s="3">
        <f t="shared" si="120"/>
        <v>2.1709999999999998</v>
      </c>
      <c r="H956" s="3">
        <f t="shared" si="121"/>
        <v>13.615118878276773</v>
      </c>
      <c r="I956" s="3">
        <f t="shared" si="122"/>
        <v>10.994999999999999</v>
      </c>
      <c r="J956" s="3">
        <v>41810.607600081283</v>
      </c>
      <c r="K956" s="3">
        <v>4833</v>
      </c>
      <c r="L956" s="3">
        <v>3200.5689900426742</v>
      </c>
      <c r="M956" s="3">
        <v>2171</v>
      </c>
      <c r="N956" s="3">
        <v>13615.118878276773</v>
      </c>
      <c r="O956" s="3">
        <v>10995</v>
      </c>
      <c r="P956" s="3">
        <f>E956*(VLOOKUP(B956,Price_data!A$1:B$190,2,FALSE))</f>
        <v>49.797690176339998</v>
      </c>
      <c r="Q956" s="3">
        <f>G956*(VLOOKUP(B956,Price_data!A$1:B$190,2,FALSE))</f>
        <v>22.369291407579997</v>
      </c>
      <c r="R956" s="3">
        <f>I956*(VLOOKUP(B956,Price_data!A$1:B$190,2,FALSE))</f>
        <v>113.28897237509999</v>
      </c>
      <c r="S956" s="4" t="str">
        <f>(VLOOKUP(B956,Price_data!A$1:C$190,3,FALSE))</f>
        <v>Open access</v>
      </c>
      <c r="T956" s="2" t="str">
        <f>IF(C956="Total", (VLOOKUP(B956,Recommended_fish_intake!A$4:D$122,4,FALSE)), "NA")</f>
        <v>NA</v>
      </c>
      <c r="U956" s="2">
        <f t="shared" si="116"/>
        <v>11.70697012802276</v>
      </c>
    </row>
    <row r="957" spans="1:21" ht="14.25" customHeight="1">
      <c r="A957" s="2" t="s">
        <v>15</v>
      </c>
      <c r="B957" s="2">
        <v>1968</v>
      </c>
      <c r="C957" s="2" t="s">
        <v>37</v>
      </c>
      <c r="D957" s="3">
        <f t="shared" si="117"/>
        <v>870.40235724446245</v>
      </c>
      <c r="E957" s="3">
        <f t="shared" si="118"/>
        <v>57.29</v>
      </c>
      <c r="F957" s="3">
        <f t="shared" si="119"/>
        <v>54.054054054054049</v>
      </c>
      <c r="G957" s="3">
        <f t="shared" si="120"/>
        <v>8.8190000000000008</v>
      </c>
      <c r="H957" s="3">
        <f t="shared" si="121"/>
        <v>226.12273928063399</v>
      </c>
      <c r="I957" s="3">
        <f t="shared" si="122"/>
        <v>65.42</v>
      </c>
      <c r="J957" s="3">
        <v>870402.35724446247</v>
      </c>
      <c r="K957" s="3">
        <v>57290</v>
      </c>
      <c r="L957" s="3">
        <v>54054.054054054046</v>
      </c>
      <c r="M957" s="3">
        <v>8819</v>
      </c>
      <c r="N957" s="3">
        <v>226122.73928063401</v>
      </c>
      <c r="O957" s="3">
        <v>65420</v>
      </c>
      <c r="P957" s="3">
        <f>E957*(VLOOKUP(B957,Price_data!A$1:B$190,2,FALSE))</f>
        <v>590.29788334419993</v>
      </c>
      <c r="Q957" s="3">
        <f>G957*(VLOOKUP(B957,Price_data!A$1:B$190,2,FALSE))</f>
        <v>90.86816256262</v>
      </c>
      <c r="R957" s="3">
        <f>I957*(VLOOKUP(B957,Price_data!A$1:B$190,2,FALSE))</f>
        <v>674.06680971159994</v>
      </c>
      <c r="S957" s="4" t="str">
        <f>(VLOOKUP(B957,Price_data!A$1:C$190,3,FALSE))</f>
        <v>Open access</v>
      </c>
      <c r="T957" s="2" t="str">
        <f>IF(C957="Total", (VLOOKUP(B957,Recommended_fish_intake!A$4:D$122,4,FALSE)), "NA")</f>
        <v>NA</v>
      </c>
      <c r="U957" s="2">
        <f t="shared" si="116"/>
        <v>426.49715504978661</v>
      </c>
    </row>
    <row r="958" spans="1:21" ht="14.25" customHeight="1">
      <c r="A958" s="2" t="s">
        <v>18</v>
      </c>
      <c r="B958" s="2">
        <v>1968</v>
      </c>
      <c r="C958" s="2" t="s">
        <v>22</v>
      </c>
      <c r="D958" s="3">
        <f t="shared" si="117"/>
        <v>313.96057711847186</v>
      </c>
      <c r="E958" s="3">
        <f t="shared" si="118"/>
        <v>21.163</v>
      </c>
      <c r="F958" s="3" t="e">
        <f t="shared" si="119"/>
        <v>#N/A</v>
      </c>
      <c r="G958" s="3" t="e">
        <f t="shared" si="120"/>
        <v>#N/A</v>
      </c>
      <c r="H958" s="3" t="e">
        <f t="shared" si="121"/>
        <v>#N/A</v>
      </c>
      <c r="I958" s="3" t="e">
        <f t="shared" si="122"/>
        <v>#N/A</v>
      </c>
      <c r="J958" s="3">
        <v>313960.57711847185</v>
      </c>
      <c r="K958" s="3">
        <v>21163</v>
      </c>
      <c r="L958" s="3" t="e">
        <v>#N/A</v>
      </c>
      <c r="M958" s="3" t="e">
        <v>#N/A</v>
      </c>
      <c r="N958" s="3" t="e">
        <v>#N/A</v>
      </c>
      <c r="O958" s="3" t="e">
        <v>#N/A</v>
      </c>
      <c r="P958" s="3">
        <f>E958*(VLOOKUP(B958,Price_data!A$1:B$190,2,FALSE))</f>
        <v>218.05680057973998</v>
      </c>
      <c r="Q958" s="3" t="e">
        <f>G958*(VLOOKUP(B958,Price_data!A$1:B$190,2,FALSE))</f>
        <v>#N/A</v>
      </c>
      <c r="R958" s="3" t="e">
        <f>I958*(VLOOKUP(B958,Price_data!A$1:B$190,2,FALSE))</f>
        <v>#N/A</v>
      </c>
      <c r="S958" s="4" t="str">
        <f>(VLOOKUP(B958,Price_data!A$1:C$190,3,FALSE))</f>
        <v>Open access</v>
      </c>
      <c r="T958" s="2" t="str">
        <f>IF(C958="Total", (VLOOKUP(B958,Recommended_fish_intake!A$4:D$122,4,FALSE)), "NA")</f>
        <v>NA</v>
      </c>
      <c r="U958" s="2" t="str">
        <f t="shared" si="116"/>
        <v>NA</v>
      </c>
    </row>
    <row r="959" spans="1:21" ht="14.25" customHeight="1">
      <c r="A959" s="2" t="s">
        <v>18</v>
      </c>
      <c r="B959" s="2">
        <v>1968</v>
      </c>
      <c r="C959" s="2" t="s">
        <v>23</v>
      </c>
      <c r="D959" s="3">
        <f t="shared" si="117"/>
        <v>55.120910384068274</v>
      </c>
      <c r="E959" s="3">
        <f t="shared" si="118"/>
        <v>4.7480000000000002</v>
      </c>
      <c r="F959" s="3" t="e">
        <f t="shared" si="119"/>
        <v>#N/A</v>
      </c>
      <c r="G959" s="3" t="e">
        <f t="shared" si="120"/>
        <v>#N/A</v>
      </c>
      <c r="H959" s="3" t="e">
        <f t="shared" si="121"/>
        <v>#N/A</v>
      </c>
      <c r="I959" s="3" t="e">
        <f t="shared" si="122"/>
        <v>#N/A</v>
      </c>
      <c r="J959" s="3">
        <v>55120.910384068273</v>
      </c>
      <c r="K959" s="3">
        <v>4748</v>
      </c>
      <c r="L959" s="3" t="e">
        <v>#N/A</v>
      </c>
      <c r="M959" s="3" t="e">
        <v>#N/A</v>
      </c>
      <c r="N959" s="3" t="e">
        <v>#N/A</v>
      </c>
      <c r="O959" s="3" t="e">
        <v>#N/A</v>
      </c>
      <c r="P959" s="3">
        <f>E959*(VLOOKUP(B959,Price_data!A$1:B$190,2,FALSE))</f>
        <v>48.921877293039998</v>
      </c>
      <c r="Q959" s="3" t="e">
        <f>G959*(VLOOKUP(B959,Price_data!A$1:B$190,2,FALSE))</f>
        <v>#N/A</v>
      </c>
      <c r="R959" s="3" t="e">
        <f>I959*(VLOOKUP(B959,Price_data!A$1:B$190,2,FALSE))</f>
        <v>#N/A</v>
      </c>
      <c r="S959" s="4" t="str">
        <f>(VLOOKUP(B959,Price_data!A$1:C$190,3,FALSE))</f>
        <v>Open access</v>
      </c>
      <c r="T959" s="2" t="str">
        <f>IF(C959="Total", (VLOOKUP(B959,Recommended_fish_intake!A$4:D$122,4,FALSE)), "NA")</f>
        <v>NA</v>
      </c>
      <c r="U959" s="2" t="str">
        <f t="shared" si="116"/>
        <v>NA</v>
      </c>
    </row>
    <row r="960" spans="1:21" ht="14.25" customHeight="1">
      <c r="A960" s="2" t="s">
        <v>18</v>
      </c>
      <c r="B960" s="2">
        <v>1968</v>
      </c>
      <c r="C960" s="2" t="s">
        <v>25</v>
      </c>
      <c r="D960" s="3">
        <f t="shared" si="117"/>
        <v>35.612680349522456</v>
      </c>
      <c r="E960" s="3">
        <f t="shared" si="118"/>
        <v>4.8129999999999997</v>
      </c>
      <c r="F960" s="3" t="e">
        <f t="shared" si="119"/>
        <v>#N/A</v>
      </c>
      <c r="G960" s="3" t="e">
        <f t="shared" si="120"/>
        <v>#N/A</v>
      </c>
      <c r="H960" s="3" t="e">
        <f t="shared" si="121"/>
        <v>#N/A</v>
      </c>
      <c r="I960" s="3" t="e">
        <f t="shared" si="122"/>
        <v>#N/A</v>
      </c>
      <c r="J960" s="3">
        <v>35612.680349522459</v>
      </c>
      <c r="K960" s="3">
        <v>4813</v>
      </c>
      <c r="L960" s="3" t="e">
        <v>#N/A</v>
      </c>
      <c r="M960" s="3" t="e">
        <v>#N/A</v>
      </c>
      <c r="N960" s="3" t="e">
        <v>#N/A</v>
      </c>
      <c r="O960" s="3" t="e">
        <v>#N/A</v>
      </c>
      <c r="P960" s="3">
        <f>E960*(VLOOKUP(B960,Price_data!A$1:B$190,2,FALSE))</f>
        <v>49.591616556739993</v>
      </c>
      <c r="Q960" s="3" t="e">
        <f>G960*(VLOOKUP(B960,Price_data!A$1:B$190,2,FALSE))</f>
        <v>#N/A</v>
      </c>
      <c r="R960" s="3" t="e">
        <f>I960*(VLOOKUP(B960,Price_data!A$1:B$190,2,FALSE))</f>
        <v>#N/A</v>
      </c>
      <c r="S960" s="4" t="str">
        <f>(VLOOKUP(B960,Price_data!A$1:C$190,3,FALSE))</f>
        <v>Open access</v>
      </c>
      <c r="T960" s="2" t="str">
        <f>IF(C960="Total", (VLOOKUP(B960,Recommended_fish_intake!A$4:D$122,4,FALSE)), "NA")</f>
        <v>NA</v>
      </c>
      <c r="U960" s="2" t="str">
        <f t="shared" si="116"/>
        <v>NA</v>
      </c>
    </row>
    <row r="961" spans="1:21" ht="14.25" customHeight="1">
      <c r="A961" s="2" t="s">
        <v>18</v>
      </c>
      <c r="B961" s="2">
        <v>1968</v>
      </c>
      <c r="C961" s="2" t="s">
        <v>24</v>
      </c>
      <c r="D961" s="3">
        <f t="shared" si="117"/>
        <v>6.0963218857955699</v>
      </c>
      <c r="E961" s="3">
        <f t="shared" si="118"/>
        <v>0.315</v>
      </c>
      <c r="F961" s="3" t="e">
        <f t="shared" si="119"/>
        <v>#N/A</v>
      </c>
      <c r="G961" s="3" t="e">
        <f t="shared" si="120"/>
        <v>#N/A</v>
      </c>
      <c r="H961" s="3" t="e">
        <f t="shared" si="121"/>
        <v>#N/A</v>
      </c>
      <c r="I961" s="3" t="e">
        <f t="shared" si="122"/>
        <v>#N/A</v>
      </c>
      <c r="J961" s="3">
        <v>6096.3218857955699</v>
      </c>
      <c r="K961" s="3">
        <v>315</v>
      </c>
      <c r="L961" s="3" t="e">
        <v>#N/A</v>
      </c>
      <c r="M961" s="3" t="e">
        <v>#N/A</v>
      </c>
      <c r="N961" s="3" t="e">
        <v>#N/A</v>
      </c>
      <c r="O961" s="3" t="e">
        <v>#N/A</v>
      </c>
      <c r="P961" s="3">
        <f>E961*(VLOOKUP(B961,Price_data!A$1:B$190,2,FALSE))</f>
        <v>3.2456595086999998</v>
      </c>
      <c r="Q961" s="3" t="e">
        <f>G961*(VLOOKUP(B961,Price_data!A$1:B$190,2,FALSE))</f>
        <v>#N/A</v>
      </c>
      <c r="R961" s="3" t="e">
        <f>I961*(VLOOKUP(B961,Price_data!A$1:B$190,2,FALSE))</f>
        <v>#N/A</v>
      </c>
      <c r="S961" s="4" t="str">
        <f>(VLOOKUP(B961,Price_data!A$1:C$190,3,FALSE))</f>
        <v>Open access</v>
      </c>
      <c r="T961" s="2" t="str">
        <f>IF(C961="Total", (VLOOKUP(B961,Recommended_fish_intake!A$4:D$122,4,FALSE)), "NA")</f>
        <v>NA</v>
      </c>
      <c r="U961" s="2" t="str">
        <f t="shared" si="116"/>
        <v>NA</v>
      </c>
    </row>
    <row r="962" spans="1:21" ht="14.25" customHeight="1">
      <c r="A962" s="2" t="s">
        <v>18</v>
      </c>
      <c r="B962" s="2">
        <v>1968</v>
      </c>
      <c r="C962" s="2" t="s">
        <v>19</v>
      </c>
      <c r="D962" s="3">
        <f t="shared" si="117"/>
        <v>9.804917699654542</v>
      </c>
      <c r="E962" s="3">
        <f t="shared" si="118"/>
        <v>0.39100000000000001</v>
      </c>
      <c r="F962" s="3" t="e">
        <f t="shared" si="119"/>
        <v>#N/A</v>
      </c>
      <c r="G962" s="3" t="e">
        <f t="shared" si="120"/>
        <v>#N/A</v>
      </c>
      <c r="H962" s="3" t="e">
        <f t="shared" si="121"/>
        <v>#N/A</v>
      </c>
      <c r="I962" s="3" t="e">
        <f t="shared" si="122"/>
        <v>#N/A</v>
      </c>
      <c r="J962" s="3">
        <v>9804.9176996545411</v>
      </c>
      <c r="K962" s="3">
        <v>391</v>
      </c>
      <c r="L962" s="3" t="e">
        <v>#N/A</v>
      </c>
      <c r="M962" s="3" t="e">
        <v>#N/A</v>
      </c>
      <c r="N962" s="3" t="e">
        <v>#N/A</v>
      </c>
      <c r="O962" s="3" t="e">
        <v>#N/A</v>
      </c>
      <c r="P962" s="3">
        <f>E962*(VLOOKUP(B962,Price_data!A$1:B$190,2,FALSE))</f>
        <v>4.0287392631800003</v>
      </c>
      <c r="Q962" s="3" t="e">
        <f>G962*(VLOOKUP(B962,Price_data!A$1:B$190,2,FALSE))</f>
        <v>#N/A</v>
      </c>
      <c r="R962" s="3" t="e">
        <f>I962*(VLOOKUP(B962,Price_data!A$1:B$190,2,FALSE))</f>
        <v>#N/A</v>
      </c>
      <c r="S962" s="4" t="str">
        <f>(VLOOKUP(B962,Price_data!A$1:C$190,3,FALSE))</f>
        <v>Open access</v>
      </c>
      <c r="T962" s="2" t="str">
        <f>IF(C962="Total", (VLOOKUP(B962,Recommended_fish_intake!A$4:D$122,4,FALSE)), "NA")</f>
        <v>NA</v>
      </c>
      <c r="U962" s="2" t="str">
        <f t="shared" ref="U962:U1025" si="123">IF(C962="Wet fish", D962*0.49, IF(C962="Shellfish", D962*0.28, "NA"))</f>
        <v>NA</v>
      </c>
    </row>
    <row r="963" spans="1:21" ht="14.25" customHeight="1">
      <c r="A963" s="2" t="s">
        <v>18</v>
      </c>
      <c r="B963" s="2">
        <v>1968</v>
      </c>
      <c r="C963" s="2" t="s">
        <v>21</v>
      </c>
      <c r="D963" s="3">
        <f t="shared" si="117"/>
        <v>11.125787441576914</v>
      </c>
      <c r="E963" s="3">
        <f t="shared" si="118"/>
        <v>0.121</v>
      </c>
      <c r="F963" s="3" t="e">
        <f t="shared" si="119"/>
        <v>#N/A</v>
      </c>
      <c r="G963" s="3" t="e">
        <f t="shared" si="120"/>
        <v>#N/A</v>
      </c>
      <c r="H963" s="3" t="e">
        <f t="shared" si="121"/>
        <v>#N/A</v>
      </c>
      <c r="I963" s="3" t="e">
        <f t="shared" si="122"/>
        <v>#N/A</v>
      </c>
      <c r="J963" s="3">
        <v>11125.787441576915</v>
      </c>
      <c r="K963" s="3">
        <v>121</v>
      </c>
      <c r="L963" s="3" t="e">
        <v>#N/A</v>
      </c>
      <c r="M963" s="3" t="e">
        <v>#N/A</v>
      </c>
      <c r="N963" s="3" t="e">
        <v>#N/A</v>
      </c>
      <c r="O963" s="3" t="e">
        <v>#N/A</v>
      </c>
      <c r="P963" s="3">
        <f>E963*(VLOOKUP(B963,Price_data!A$1:B$190,2,FALSE))</f>
        <v>1.2467453985799999</v>
      </c>
      <c r="Q963" s="3" t="e">
        <f>G963*(VLOOKUP(B963,Price_data!A$1:B$190,2,FALSE))</f>
        <v>#N/A</v>
      </c>
      <c r="R963" s="3" t="e">
        <f>I963*(VLOOKUP(B963,Price_data!A$1:B$190,2,FALSE))</f>
        <v>#N/A</v>
      </c>
      <c r="S963" s="4" t="str">
        <f>(VLOOKUP(B963,Price_data!A$1:C$190,3,FALSE))</f>
        <v>Open access</v>
      </c>
      <c r="T963" s="2" t="str">
        <f>IF(C963="Total", (VLOOKUP(B963,Recommended_fish_intake!A$4:D$122,4,FALSE)), "NA")</f>
        <v>NA</v>
      </c>
      <c r="U963" s="2" t="str">
        <f t="shared" si="123"/>
        <v>NA</v>
      </c>
    </row>
    <row r="964" spans="1:21" ht="14.25" customHeight="1">
      <c r="A964" s="2" t="s">
        <v>18</v>
      </c>
      <c r="B964" s="2">
        <v>1968</v>
      </c>
      <c r="C964" s="2" t="s">
        <v>34</v>
      </c>
      <c r="D964" s="3">
        <f t="shared" si="117"/>
        <v>0.406421459053038</v>
      </c>
      <c r="E964" s="3">
        <f t="shared" si="118"/>
        <v>0.38300000000000001</v>
      </c>
      <c r="F964" s="3" t="e">
        <f t="shared" si="119"/>
        <v>#N/A</v>
      </c>
      <c r="G964" s="3" t="e">
        <f t="shared" si="120"/>
        <v>#N/A</v>
      </c>
      <c r="H964" s="3" t="e">
        <f t="shared" si="121"/>
        <v>#N/A</v>
      </c>
      <c r="I964" s="3" t="e">
        <f t="shared" si="122"/>
        <v>#N/A</v>
      </c>
      <c r="J964" s="3">
        <v>406.42145905303801</v>
      </c>
      <c r="K964" s="3">
        <v>383</v>
      </c>
      <c r="L964" s="3" t="e">
        <v>#N/A</v>
      </c>
      <c r="M964" s="3" t="e">
        <v>#N/A</v>
      </c>
      <c r="N964" s="3" t="e">
        <v>#N/A</v>
      </c>
      <c r="O964" s="3" t="e">
        <v>#N/A</v>
      </c>
      <c r="P964" s="3">
        <f>E964*(VLOOKUP(B964,Price_data!A$1:B$190,2,FALSE))</f>
        <v>3.9463098153399998</v>
      </c>
      <c r="Q964" s="3" t="e">
        <f>G964*(VLOOKUP(B964,Price_data!A$1:B$190,2,FALSE))</f>
        <v>#N/A</v>
      </c>
      <c r="R964" s="3" t="e">
        <f>I964*(VLOOKUP(B964,Price_data!A$1:B$190,2,FALSE))</f>
        <v>#N/A</v>
      </c>
      <c r="S964" s="4" t="str">
        <f>(VLOOKUP(B964,Price_data!A$1:C$190,3,FALSE))</f>
        <v>Open access</v>
      </c>
      <c r="T964" s="2" t="str">
        <f>IF(C964="Total", (VLOOKUP(B964,Recommended_fish_intake!A$4:D$122,4,FALSE)), "NA")</f>
        <v>NA</v>
      </c>
      <c r="U964" s="2" t="str">
        <f t="shared" si="123"/>
        <v>NA</v>
      </c>
    </row>
    <row r="965" spans="1:21" ht="14.25" customHeight="1">
      <c r="A965" s="2" t="s">
        <v>18</v>
      </c>
      <c r="B965" s="2">
        <v>1968</v>
      </c>
      <c r="C965" s="2" t="s">
        <v>35</v>
      </c>
      <c r="D965" s="3">
        <f t="shared" si="117"/>
        <v>0.96525096525096521</v>
      </c>
      <c r="E965" s="3">
        <f t="shared" si="118"/>
        <v>0.28599999999999998</v>
      </c>
      <c r="F965" s="3" t="e">
        <f t="shared" si="119"/>
        <v>#N/A</v>
      </c>
      <c r="G965" s="3" t="e">
        <f t="shared" si="120"/>
        <v>#N/A</v>
      </c>
      <c r="H965" s="3" t="e">
        <f t="shared" si="121"/>
        <v>#N/A</v>
      </c>
      <c r="I965" s="3" t="e">
        <f t="shared" si="122"/>
        <v>#N/A</v>
      </c>
      <c r="J965" s="3">
        <v>965.25096525096524</v>
      </c>
      <c r="K965" s="3">
        <v>286</v>
      </c>
      <c r="L965" s="3" t="e">
        <v>#N/A</v>
      </c>
      <c r="M965" s="3" t="e">
        <v>#N/A</v>
      </c>
      <c r="N965" s="3" t="e">
        <v>#N/A</v>
      </c>
      <c r="O965" s="3" t="e">
        <v>#N/A</v>
      </c>
      <c r="P965" s="3">
        <f>E965*(VLOOKUP(B965,Price_data!A$1:B$190,2,FALSE))</f>
        <v>2.9468527602799997</v>
      </c>
      <c r="Q965" s="3" t="e">
        <f>G965*(VLOOKUP(B965,Price_data!A$1:B$190,2,FALSE))</f>
        <v>#N/A</v>
      </c>
      <c r="R965" s="3" t="e">
        <f>I965*(VLOOKUP(B965,Price_data!A$1:B$190,2,FALSE))</f>
        <v>#N/A</v>
      </c>
      <c r="S965" s="4" t="str">
        <f>(VLOOKUP(B965,Price_data!A$1:C$190,3,FALSE))</f>
        <v>Open access</v>
      </c>
      <c r="T965" s="2" t="str">
        <f>IF(C965="Total", (VLOOKUP(B965,Recommended_fish_intake!A$4:D$122,4,FALSE)), "NA")</f>
        <v>NA</v>
      </c>
      <c r="U965" s="2" t="str">
        <f t="shared" si="123"/>
        <v>NA</v>
      </c>
    </row>
    <row r="966" spans="1:21" ht="14.25" customHeight="1">
      <c r="A966" s="2" t="s">
        <v>18</v>
      </c>
      <c r="B966" s="2">
        <v>1968</v>
      </c>
      <c r="C966" s="2" t="s">
        <v>30</v>
      </c>
      <c r="D966" s="3">
        <f t="shared" si="117"/>
        <v>1.3208697419223734</v>
      </c>
      <c r="E966" s="3">
        <f t="shared" si="118"/>
        <v>0.214</v>
      </c>
      <c r="F966" s="3" t="e">
        <f t="shared" si="119"/>
        <v>#N/A</v>
      </c>
      <c r="G966" s="3" t="e">
        <f t="shared" si="120"/>
        <v>#N/A</v>
      </c>
      <c r="H966" s="3" t="e">
        <f t="shared" si="121"/>
        <v>#N/A</v>
      </c>
      <c r="I966" s="3" t="e">
        <f t="shared" si="122"/>
        <v>#N/A</v>
      </c>
      <c r="J966" s="3">
        <v>1320.8697419223734</v>
      </c>
      <c r="K966" s="3">
        <v>214</v>
      </c>
      <c r="L966" s="3" t="e">
        <v>#N/A</v>
      </c>
      <c r="M966" s="3" t="e">
        <v>#N/A</v>
      </c>
      <c r="N966" s="3" t="e">
        <v>#N/A</v>
      </c>
      <c r="O966" s="3" t="e">
        <v>#N/A</v>
      </c>
      <c r="P966" s="3">
        <f>E966*(VLOOKUP(B966,Price_data!A$1:B$190,2,FALSE))</f>
        <v>2.20498772972</v>
      </c>
      <c r="Q966" s="3" t="e">
        <f>G966*(VLOOKUP(B966,Price_data!A$1:B$190,2,FALSE))</f>
        <v>#N/A</v>
      </c>
      <c r="R966" s="3" t="e">
        <f>I966*(VLOOKUP(B966,Price_data!A$1:B$190,2,FALSE))</f>
        <v>#N/A</v>
      </c>
      <c r="S966" s="4" t="str">
        <f>(VLOOKUP(B966,Price_data!A$1:C$190,3,FALSE))</f>
        <v>Open access</v>
      </c>
      <c r="T966" s="2" t="str">
        <f>IF(C966="Total", (VLOOKUP(B966,Recommended_fish_intake!A$4:D$122,4,FALSE)), "NA")</f>
        <v>NA</v>
      </c>
      <c r="U966" s="2" t="str">
        <f t="shared" si="123"/>
        <v>NA</v>
      </c>
    </row>
    <row r="967" spans="1:21" ht="14.25" customHeight="1">
      <c r="A967" s="2" t="s">
        <v>18</v>
      </c>
      <c r="B967" s="2">
        <v>1968</v>
      </c>
      <c r="C967" s="2" t="s">
        <v>36</v>
      </c>
      <c r="D967" s="3">
        <f t="shared" si="117"/>
        <v>2.7433448486080065</v>
      </c>
      <c r="E967" s="3">
        <f t="shared" si="118"/>
        <v>0.31900000000000001</v>
      </c>
      <c r="F967" s="3" t="e">
        <f t="shared" si="119"/>
        <v>#N/A</v>
      </c>
      <c r="G967" s="3" t="e">
        <f t="shared" si="120"/>
        <v>#N/A</v>
      </c>
      <c r="H967" s="3" t="e">
        <f t="shared" si="121"/>
        <v>#N/A</v>
      </c>
      <c r="I967" s="3" t="e">
        <f t="shared" si="122"/>
        <v>#N/A</v>
      </c>
      <c r="J967" s="3">
        <v>2743.3448486080065</v>
      </c>
      <c r="K967" s="3">
        <v>319</v>
      </c>
      <c r="L967" s="3" t="e">
        <v>#N/A</v>
      </c>
      <c r="M967" s="3" t="e">
        <v>#N/A</v>
      </c>
      <c r="N967" s="3" t="e">
        <v>#N/A</v>
      </c>
      <c r="O967" s="3" t="e">
        <v>#N/A</v>
      </c>
      <c r="P967" s="3">
        <f>E967*(VLOOKUP(B967,Price_data!A$1:B$190,2,FALSE))</f>
        <v>3.2868742326199998</v>
      </c>
      <c r="Q967" s="3" t="e">
        <f>G967*(VLOOKUP(B967,Price_data!A$1:B$190,2,FALSE))</f>
        <v>#N/A</v>
      </c>
      <c r="R967" s="3" t="e">
        <f>I967*(VLOOKUP(B967,Price_data!A$1:B$190,2,FALSE))</f>
        <v>#N/A</v>
      </c>
      <c r="S967" s="4" t="str">
        <f>(VLOOKUP(B967,Price_data!A$1:C$190,3,FALSE))</f>
        <v>Open access</v>
      </c>
      <c r="T967" s="2" t="str">
        <f>IF(C967="Total", (VLOOKUP(B967,Recommended_fish_intake!A$4:D$122,4,FALSE)), "NA")</f>
        <v>NA</v>
      </c>
      <c r="U967" s="2" t="str">
        <f t="shared" si="123"/>
        <v>NA</v>
      </c>
    </row>
    <row r="968" spans="1:21" ht="14.25" customHeight="1">
      <c r="A968" s="2" t="s">
        <v>18</v>
      </c>
      <c r="B968" s="2">
        <v>1968</v>
      </c>
      <c r="C968" s="2" t="s">
        <v>28</v>
      </c>
      <c r="D968" s="3">
        <f t="shared" si="117"/>
        <v>25.350538508433242</v>
      </c>
      <c r="E968" s="3">
        <f t="shared" si="118"/>
        <v>1.8169999999999999</v>
      </c>
      <c r="F968" s="3" t="e">
        <f t="shared" si="119"/>
        <v>#N/A</v>
      </c>
      <c r="G968" s="3" t="e">
        <f t="shared" si="120"/>
        <v>#N/A</v>
      </c>
      <c r="H968" s="3" t="e">
        <f t="shared" si="121"/>
        <v>#N/A</v>
      </c>
      <c r="I968" s="3" t="e">
        <f t="shared" si="122"/>
        <v>#N/A</v>
      </c>
      <c r="J968" s="3">
        <v>25350.538508433241</v>
      </c>
      <c r="K968" s="3">
        <v>1817</v>
      </c>
      <c r="L968" s="3" t="e">
        <v>#N/A</v>
      </c>
      <c r="M968" s="3" t="e">
        <v>#N/A</v>
      </c>
      <c r="N968" s="3" t="e">
        <v>#N/A</v>
      </c>
      <c r="O968" s="3" t="e">
        <v>#N/A</v>
      </c>
      <c r="P968" s="3">
        <f>E968*(VLOOKUP(B968,Price_data!A$1:B$190,2,FALSE))</f>
        <v>18.721788340659998</v>
      </c>
      <c r="Q968" s="3" t="e">
        <f>G968*(VLOOKUP(B968,Price_data!A$1:B$190,2,FALSE))</f>
        <v>#N/A</v>
      </c>
      <c r="R968" s="3" t="e">
        <f>I968*(VLOOKUP(B968,Price_data!A$1:B$190,2,FALSE))</f>
        <v>#N/A</v>
      </c>
      <c r="S968" s="4" t="str">
        <f>(VLOOKUP(B968,Price_data!A$1:C$190,3,FALSE))</f>
        <v>Open access</v>
      </c>
      <c r="T968" s="2" t="str">
        <f>IF(C968="Total", (VLOOKUP(B968,Recommended_fish_intake!A$4:D$122,4,FALSE)), "NA")</f>
        <v>NA</v>
      </c>
      <c r="U968" s="2">
        <f t="shared" si="123"/>
        <v>7.0981507823613086</v>
      </c>
    </row>
    <row r="969" spans="1:21" ht="14.25" customHeight="1">
      <c r="A969" s="2" t="s">
        <v>18</v>
      </c>
      <c r="B969" s="2">
        <v>1968</v>
      </c>
      <c r="C969" s="2" t="s">
        <v>37</v>
      </c>
      <c r="D969" s="3">
        <f t="shared" si="117"/>
        <v>528.95752895752889</v>
      </c>
      <c r="E969" s="3">
        <f t="shared" si="118"/>
        <v>38.143000000000001</v>
      </c>
      <c r="F969" s="3" t="e">
        <f t="shared" si="119"/>
        <v>#N/A</v>
      </c>
      <c r="G969" s="3" t="e">
        <f t="shared" si="120"/>
        <v>#N/A</v>
      </c>
      <c r="H969" s="3" t="e">
        <f t="shared" si="121"/>
        <v>#N/A</v>
      </c>
      <c r="I969" s="3" t="e">
        <f t="shared" si="122"/>
        <v>#N/A</v>
      </c>
      <c r="J969" s="3">
        <v>528957.52895752888</v>
      </c>
      <c r="K969" s="3">
        <v>38143</v>
      </c>
      <c r="L969" s="3" t="e">
        <v>#N/A</v>
      </c>
      <c r="M969" s="3" t="e">
        <v>#N/A</v>
      </c>
      <c r="N969" s="3" t="e">
        <v>#N/A</v>
      </c>
      <c r="O969" s="3" t="e">
        <v>#N/A</v>
      </c>
      <c r="P969" s="3">
        <f>E969*(VLOOKUP(B969,Price_data!A$1:B$190,2,FALSE))</f>
        <v>393.01330362013999</v>
      </c>
      <c r="Q969" s="3" t="e">
        <f>G969*(VLOOKUP(B969,Price_data!A$1:B$190,2,FALSE))</f>
        <v>#N/A</v>
      </c>
      <c r="R969" s="3" t="e">
        <f>I969*(VLOOKUP(B969,Price_data!A$1:B$190,2,FALSE))</f>
        <v>#N/A</v>
      </c>
      <c r="S969" s="4" t="str">
        <f>(VLOOKUP(B969,Price_data!A$1:C$190,3,FALSE))</f>
        <v>Open access</v>
      </c>
      <c r="T969" s="2" t="str">
        <f>IF(C969="Total", (VLOOKUP(B969,Recommended_fish_intake!A$4:D$122,4,FALSE)), "NA")</f>
        <v>NA</v>
      </c>
      <c r="U969" s="2">
        <f t="shared" si="123"/>
        <v>259.18918918918916</v>
      </c>
    </row>
    <row r="970" spans="1:21" ht="14.25" customHeight="1">
      <c r="A970" s="2" t="s">
        <v>39</v>
      </c>
      <c r="B970" s="2">
        <v>1968</v>
      </c>
      <c r="C970" s="2" t="s">
        <v>22</v>
      </c>
      <c r="D970" s="3">
        <f t="shared" si="117"/>
        <v>57.559439138386502</v>
      </c>
      <c r="E970" s="3">
        <f t="shared" si="118"/>
        <v>4.2469999999999999</v>
      </c>
      <c r="F970" s="3" t="e">
        <f t="shared" si="119"/>
        <v>#N/A</v>
      </c>
      <c r="G970" s="3" t="e">
        <f t="shared" si="120"/>
        <v>#N/A</v>
      </c>
      <c r="H970" s="3" t="e">
        <f t="shared" si="121"/>
        <v>#N/A</v>
      </c>
      <c r="I970" s="3" t="e">
        <f t="shared" si="122"/>
        <v>#N/A</v>
      </c>
      <c r="J970" s="3">
        <v>57559.4391383865</v>
      </c>
      <c r="K970" s="3">
        <v>4247</v>
      </c>
      <c r="L970" s="3" t="e">
        <v>#N/A</v>
      </c>
      <c r="M970" s="3" t="e">
        <v>#N/A</v>
      </c>
      <c r="N970" s="3" t="e">
        <v>#N/A</v>
      </c>
      <c r="O970" s="3" t="e">
        <v>#N/A</v>
      </c>
      <c r="P970" s="3">
        <f>E970*(VLOOKUP(B970,Price_data!A$1:B$190,2,FALSE))</f>
        <v>43.759733122059998</v>
      </c>
      <c r="Q970" s="3" t="e">
        <f>G970*(VLOOKUP(B970,Price_data!A$1:B$190,2,FALSE))</f>
        <v>#N/A</v>
      </c>
      <c r="R970" s="3" t="e">
        <f>I970*(VLOOKUP(B970,Price_data!A$1:B$190,2,FALSE))</f>
        <v>#N/A</v>
      </c>
      <c r="S970" s="4" t="str">
        <f>(VLOOKUP(B970,Price_data!A$1:C$190,3,FALSE))</f>
        <v>Open access</v>
      </c>
      <c r="T970" s="2" t="str">
        <f>IF(C970="Total", (VLOOKUP(B970,Recommended_fish_intake!A$4:D$122,4,FALSE)), "NA")</f>
        <v>NA</v>
      </c>
      <c r="U970" s="2" t="str">
        <f t="shared" si="123"/>
        <v>NA</v>
      </c>
    </row>
    <row r="971" spans="1:21" ht="14.25" customHeight="1">
      <c r="A971" s="2" t="s">
        <v>39</v>
      </c>
      <c r="B971" s="2">
        <v>1968</v>
      </c>
      <c r="C971" s="2" t="s">
        <v>23</v>
      </c>
      <c r="D971" s="3">
        <f t="shared" si="117"/>
        <v>79.252184515342407</v>
      </c>
      <c r="E971" s="3">
        <f t="shared" si="118"/>
        <v>6.133</v>
      </c>
      <c r="F971" s="3" t="e">
        <f t="shared" si="119"/>
        <v>#N/A</v>
      </c>
      <c r="G971" s="3" t="e">
        <f t="shared" si="120"/>
        <v>#N/A</v>
      </c>
      <c r="H971" s="3" t="e">
        <f t="shared" si="121"/>
        <v>#N/A</v>
      </c>
      <c r="I971" s="3" t="e">
        <f t="shared" si="122"/>
        <v>#N/A</v>
      </c>
      <c r="J971" s="3">
        <v>79252.184515342407</v>
      </c>
      <c r="K971" s="3">
        <v>6133</v>
      </c>
      <c r="L971" s="3" t="e">
        <v>#N/A</v>
      </c>
      <c r="M971" s="3" t="e">
        <v>#N/A</v>
      </c>
      <c r="N971" s="3" t="e">
        <v>#N/A</v>
      </c>
      <c r="O971" s="3" t="e">
        <v>#N/A</v>
      </c>
      <c r="P971" s="3">
        <f>E971*(VLOOKUP(B971,Price_data!A$1:B$190,2,FALSE))</f>
        <v>63.192475450339998</v>
      </c>
      <c r="Q971" s="3" t="e">
        <f>G971*(VLOOKUP(B971,Price_data!A$1:B$190,2,FALSE))</f>
        <v>#N/A</v>
      </c>
      <c r="R971" s="3" t="e">
        <f>I971*(VLOOKUP(B971,Price_data!A$1:B$190,2,FALSE))</f>
        <v>#N/A</v>
      </c>
      <c r="S971" s="4" t="str">
        <f>(VLOOKUP(B971,Price_data!A$1:C$190,3,FALSE))</f>
        <v>Open access</v>
      </c>
      <c r="T971" s="2" t="str">
        <f>IF(C971="Total", (VLOOKUP(B971,Recommended_fish_intake!A$4:D$122,4,FALSE)), "NA")</f>
        <v>NA</v>
      </c>
      <c r="U971" s="2" t="str">
        <f t="shared" si="123"/>
        <v>NA</v>
      </c>
    </row>
    <row r="972" spans="1:21" ht="14.25" customHeight="1">
      <c r="A972" s="2" t="s">
        <v>39</v>
      </c>
      <c r="B972" s="2">
        <v>1968</v>
      </c>
      <c r="C972" s="2" t="s">
        <v>25</v>
      </c>
      <c r="D972" s="3">
        <f t="shared" si="117"/>
        <v>6.5535460272302375</v>
      </c>
      <c r="E972" s="3">
        <f t="shared" si="118"/>
        <v>0.79300000000000004</v>
      </c>
      <c r="F972" s="3" t="e">
        <f t="shared" si="119"/>
        <v>#N/A</v>
      </c>
      <c r="G972" s="3" t="e">
        <f t="shared" si="120"/>
        <v>#N/A</v>
      </c>
      <c r="H972" s="3" t="e">
        <f t="shared" si="121"/>
        <v>#N/A</v>
      </c>
      <c r="I972" s="3" t="e">
        <f t="shared" si="122"/>
        <v>#N/A</v>
      </c>
      <c r="J972" s="3">
        <v>6553.5460272302371</v>
      </c>
      <c r="K972" s="3">
        <v>793</v>
      </c>
      <c r="L972" s="3" t="e">
        <v>#N/A</v>
      </c>
      <c r="M972" s="3" t="e">
        <v>#N/A</v>
      </c>
      <c r="N972" s="3" t="e">
        <v>#N/A</v>
      </c>
      <c r="O972" s="3" t="e">
        <v>#N/A</v>
      </c>
      <c r="P972" s="3">
        <f>E972*(VLOOKUP(B972,Price_data!A$1:B$190,2,FALSE))</f>
        <v>8.1708190171399995</v>
      </c>
      <c r="Q972" s="3" t="e">
        <f>G972*(VLOOKUP(B972,Price_data!A$1:B$190,2,FALSE))</f>
        <v>#N/A</v>
      </c>
      <c r="R972" s="3" t="e">
        <f>I972*(VLOOKUP(B972,Price_data!A$1:B$190,2,FALSE))</f>
        <v>#N/A</v>
      </c>
      <c r="S972" s="4" t="str">
        <f>(VLOOKUP(B972,Price_data!A$1:C$190,3,FALSE))</f>
        <v>Open access</v>
      </c>
      <c r="T972" s="2" t="str">
        <f>IF(C972="Total", (VLOOKUP(B972,Recommended_fish_intake!A$4:D$122,4,FALSE)), "NA")</f>
        <v>NA</v>
      </c>
      <c r="U972" s="2" t="str">
        <f t="shared" si="123"/>
        <v>NA</v>
      </c>
    </row>
    <row r="973" spans="1:21" ht="14.25" customHeight="1">
      <c r="A973" s="2" t="s">
        <v>39</v>
      </c>
      <c r="B973" s="2">
        <v>1968</v>
      </c>
      <c r="C973" s="2" t="s">
        <v>24</v>
      </c>
      <c r="D973" s="3">
        <f t="shared" si="117"/>
        <v>36.17150985572038</v>
      </c>
      <c r="E973" s="3">
        <f t="shared" si="118"/>
        <v>2.37</v>
      </c>
      <c r="F973" s="3" t="e">
        <f t="shared" si="119"/>
        <v>#N/A</v>
      </c>
      <c r="G973" s="3" t="e">
        <f t="shared" si="120"/>
        <v>#N/A</v>
      </c>
      <c r="H973" s="3" t="e">
        <f t="shared" si="121"/>
        <v>#N/A</v>
      </c>
      <c r="I973" s="3" t="e">
        <f t="shared" si="122"/>
        <v>#N/A</v>
      </c>
      <c r="J973" s="3">
        <v>36171.509855720382</v>
      </c>
      <c r="K973" s="3">
        <v>2370</v>
      </c>
      <c r="L973" s="3" t="e">
        <v>#N/A</v>
      </c>
      <c r="M973" s="3" t="e">
        <v>#N/A</v>
      </c>
      <c r="N973" s="3" t="e">
        <v>#N/A</v>
      </c>
      <c r="O973" s="3" t="e">
        <v>#N/A</v>
      </c>
      <c r="P973" s="3">
        <f>E973*(VLOOKUP(B973,Price_data!A$1:B$190,2,FALSE))</f>
        <v>24.419723922599999</v>
      </c>
      <c r="Q973" s="3" t="e">
        <f>G973*(VLOOKUP(B973,Price_data!A$1:B$190,2,FALSE))</f>
        <v>#N/A</v>
      </c>
      <c r="R973" s="3" t="e">
        <f>I973*(VLOOKUP(B973,Price_data!A$1:B$190,2,FALSE))</f>
        <v>#N/A</v>
      </c>
      <c r="S973" s="4" t="str">
        <f>(VLOOKUP(B973,Price_data!A$1:C$190,3,FALSE))</f>
        <v>Open access</v>
      </c>
      <c r="T973" s="2" t="str">
        <f>IF(C973="Total", (VLOOKUP(B973,Recommended_fish_intake!A$4:D$122,4,FALSE)), "NA")</f>
        <v>NA</v>
      </c>
      <c r="U973" s="2" t="str">
        <f t="shared" si="123"/>
        <v>NA</v>
      </c>
    </row>
    <row r="974" spans="1:21" ht="14.25" customHeight="1">
      <c r="A974" s="2" t="s">
        <v>39</v>
      </c>
      <c r="B974" s="2">
        <v>1968</v>
      </c>
      <c r="C974" s="2" t="s">
        <v>19</v>
      </c>
      <c r="D974" s="3">
        <f t="shared" si="117"/>
        <v>83.773623247307455</v>
      </c>
      <c r="E974" s="3">
        <f t="shared" si="118"/>
        <v>2.145</v>
      </c>
      <c r="F974" s="3" t="e">
        <f t="shared" si="119"/>
        <v>#N/A</v>
      </c>
      <c r="G974" s="3" t="e">
        <f t="shared" si="120"/>
        <v>#N/A</v>
      </c>
      <c r="H974" s="3" t="e">
        <f t="shared" si="121"/>
        <v>#N/A</v>
      </c>
      <c r="I974" s="3" t="e">
        <f t="shared" si="122"/>
        <v>#N/A</v>
      </c>
      <c r="J974" s="3">
        <v>83773.623247307449</v>
      </c>
      <c r="K974" s="3">
        <v>2145</v>
      </c>
      <c r="L974" s="3" t="e">
        <v>#N/A</v>
      </c>
      <c r="M974" s="3" t="e">
        <v>#N/A</v>
      </c>
      <c r="N974" s="3" t="e">
        <v>#N/A</v>
      </c>
      <c r="O974" s="3" t="e">
        <v>#N/A</v>
      </c>
      <c r="P974" s="3">
        <f>E974*(VLOOKUP(B974,Price_data!A$1:B$190,2,FALSE))</f>
        <v>22.1013957021</v>
      </c>
      <c r="Q974" s="3" t="e">
        <f>G974*(VLOOKUP(B974,Price_data!A$1:B$190,2,FALSE))</f>
        <v>#N/A</v>
      </c>
      <c r="R974" s="3" t="e">
        <f>I974*(VLOOKUP(B974,Price_data!A$1:B$190,2,FALSE))</f>
        <v>#N/A</v>
      </c>
      <c r="S974" s="4" t="str">
        <f>(VLOOKUP(B974,Price_data!A$1:C$190,3,FALSE))</f>
        <v>Open access</v>
      </c>
      <c r="T974" s="2" t="str">
        <f>IF(C974="Total", (VLOOKUP(B974,Recommended_fish_intake!A$4:D$122,4,FALSE)), "NA")</f>
        <v>NA</v>
      </c>
      <c r="U974" s="2" t="str">
        <f t="shared" si="123"/>
        <v>NA</v>
      </c>
    </row>
    <row r="975" spans="1:21" ht="14.25" customHeight="1">
      <c r="A975" s="2" t="s">
        <v>39</v>
      </c>
      <c r="B975" s="2">
        <v>1968</v>
      </c>
      <c r="C975" s="2" t="s">
        <v>21</v>
      </c>
      <c r="D975" s="3">
        <f t="shared" si="117"/>
        <v>30.27839869945133</v>
      </c>
      <c r="E975" s="3">
        <f t="shared" si="118"/>
        <v>0.24099999999999999</v>
      </c>
      <c r="F975" s="3" t="e">
        <f t="shared" si="119"/>
        <v>#N/A</v>
      </c>
      <c r="G975" s="3" t="e">
        <f t="shared" si="120"/>
        <v>#N/A</v>
      </c>
      <c r="H975" s="3" t="e">
        <f t="shared" si="121"/>
        <v>#N/A</v>
      </c>
      <c r="I975" s="3" t="e">
        <f t="shared" si="122"/>
        <v>#N/A</v>
      </c>
      <c r="J975" s="3">
        <v>30278.398699451329</v>
      </c>
      <c r="K975" s="3">
        <v>241</v>
      </c>
      <c r="L975" s="3" t="e">
        <v>#N/A</v>
      </c>
      <c r="M975" s="3" t="e">
        <v>#N/A</v>
      </c>
      <c r="N975" s="3" t="e">
        <v>#N/A</v>
      </c>
      <c r="O975" s="3" t="e">
        <v>#N/A</v>
      </c>
      <c r="P975" s="3">
        <f>E975*(VLOOKUP(B975,Price_data!A$1:B$190,2,FALSE))</f>
        <v>2.4831871161799999</v>
      </c>
      <c r="Q975" s="3" t="e">
        <f>G975*(VLOOKUP(B975,Price_data!A$1:B$190,2,FALSE))</f>
        <v>#N/A</v>
      </c>
      <c r="R975" s="3" t="e">
        <f>I975*(VLOOKUP(B975,Price_data!A$1:B$190,2,FALSE))</f>
        <v>#N/A</v>
      </c>
      <c r="S975" s="4" t="str">
        <f>(VLOOKUP(B975,Price_data!A$1:C$190,3,FALSE))</f>
        <v>Open access</v>
      </c>
      <c r="T975" s="2" t="str">
        <f>IF(C975="Total", (VLOOKUP(B975,Recommended_fish_intake!A$4:D$122,4,FALSE)), "NA")</f>
        <v>NA</v>
      </c>
      <c r="U975" s="2" t="str">
        <f t="shared" si="123"/>
        <v>NA</v>
      </c>
    </row>
    <row r="976" spans="1:21" ht="14.25" customHeight="1">
      <c r="A976" s="2" t="s">
        <v>39</v>
      </c>
      <c r="B976" s="2">
        <v>1968</v>
      </c>
      <c r="C976" s="2" t="s">
        <v>34</v>
      </c>
      <c r="D976" s="3">
        <f t="shared" si="117"/>
        <v>0.60963218857955692</v>
      </c>
      <c r="E976" s="3">
        <f t="shared" si="118"/>
        <v>0.70899999999999996</v>
      </c>
      <c r="F976" s="3" t="e">
        <f t="shared" si="119"/>
        <v>#N/A</v>
      </c>
      <c r="G976" s="3" t="e">
        <f t="shared" si="120"/>
        <v>#N/A</v>
      </c>
      <c r="H976" s="3" t="e">
        <f t="shared" si="121"/>
        <v>#N/A</v>
      </c>
      <c r="I976" s="3" t="e">
        <f t="shared" si="122"/>
        <v>#N/A</v>
      </c>
      <c r="J976" s="3">
        <v>609.6321885795569</v>
      </c>
      <c r="K976" s="3">
        <v>709</v>
      </c>
      <c r="L976" s="3" t="e">
        <v>#N/A</v>
      </c>
      <c r="M976" s="3" t="e">
        <v>#N/A</v>
      </c>
      <c r="N976" s="3" t="e">
        <v>#N/A</v>
      </c>
      <c r="O976" s="3" t="e">
        <v>#N/A</v>
      </c>
      <c r="P976" s="3">
        <f>E976*(VLOOKUP(B976,Price_data!A$1:B$190,2,FALSE))</f>
        <v>7.3053098148199993</v>
      </c>
      <c r="Q976" s="3" t="e">
        <f>G976*(VLOOKUP(B976,Price_data!A$1:B$190,2,FALSE))</f>
        <v>#N/A</v>
      </c>
      <c r="R976" s="3" t="e">
        <f>I976*(VLOOKUP(B976,Price_data!A$1:B$190,2,FALSE))</f>
        <v>#N/A</v>
      </c>
      <c r="S976" s="4" t="str">
        <f>(VLOOKUP(B976,Price_data!A$1:C$190,3,FALSE))</f>
        <v>Open access</v>
      </c>
      <c r="T976" s="2" t="str">
        <f>IF(C976="Total", (VLOOKUP(B976,Recommended_fish_intake!A$4:D$122,4,FALSE)), "NA")</f>
        <v>NA</v>
      </c>
      <c r="U976" s="2" t="str">
        <f t="shared" si="123"/>
        <v>NA</v>
      </c>
    </row>
    <row r="977" spans="1:21" ht="14.25" customHeight="1">
      <c r="A977" s="2" t="s">
        <v>39</v>
      </c>
      <c r="B977" s="2">
        <v>1968</v>
      </c>
      <c r="C977" s="2" t="s">
        <v>35</v>
      </c>
      <c r="D977" s="3">
        <f t="shared" si="117"/>
        <v>7.2139808981914237</v>
      </c>
      <c r="E977" s="3">
        <f t="shared" si="118"/>
        <v>1.621</v>
      </c>
      <c r="F977" s="3" t="e">
        <f t="shared" si="119"/>
        <v>#N/A</v>
      </c>
      <c r="G977" s="3" t="e">
        <f t="shared" si="120"/>
        <v>#N/A</v>
      </c>
      <c r="H977" s="3" t="e">
        <f t="shared" si="121"/>
        <v>#N/A</v>
      </c>
      <c r="I977" s="3" t="e">
        <f t="shared" si="122"/>
        <v>#N/A</v>
      </c>
      <c r="J977" s="3">
        <v>7213.9808981914239</v>
      </c>
      <c r="K977" s="3">
        <v>1621</v>
      </c>
      <c r="L977" s="3" t="e">
        <v>#N/A</v>
      </c>
      <c r="M977" s="3" t="e">
        <v>#N/A</v>
      </c>
      <c r="N977" s="3" t="e">
        <v>#N/A</v>
      </c>
      <c r="O977" s="3" t="e">
        <v>#N/A</v>
      </c>
      <c r="P977" s="3">
        <f>E977*(VLOOKUP(B977,Price_data!A$1:B$190,2,FALSE))</f>
        <v>16.702266868579997</v>
      </c>
      <c r="Q977" s="3" t="e">
        <f>G977*(VLOOKUP(B977,Price_data!A$1:B$190,2,FALSE))</f>
        <v>#N/A</v>
      </c>
      <c r="R977" s="3" t="e">
        <f>I977*(VLOOKUP(B977,Price_data!A$1:B$190,2,FALSE))</f>
        <v>#N/A</v>
      </c>
      <c r="S977" s="4" t="str">
        <f>(VLOOKUP(B977,Price_data!A$1:C$190,3,FALSE))</f>
        <v>Open access</v>
      </c>
      <c r="T977" s="2" t="str">
        <f>IF(C977="Total", (VLOOKUP(B977,Recommended_fish_intake!A$4:D$122,4,FALSE)), "NA")</f>
        <v>NA</v>
      </c>
      <c r="U977" s="2" t="str">
        <f t="shared" si="123"/>
        <v>NA</v>
      </c>
    </row>
    <row r="978" spans="1:21" ht="14.25" customHeight="1">
      <c r="A978" s="2" t="s">
        <v>39</v>
      </c>
      <c r="B978" s="2">
        <v>1968</v>
      </c>
      <c r="C978" s="2" t="s">
        <v>30</v>
      </c>
      <c r="D978" s="3">
        <f t="shared" si="117"/>
        <v>0</v>
      </c>
      <c r="E978" s="3">
        <f t="shared" si="118"/>
        <v>2E-3</v>
      </c>
      <c r="F978" s="3" t="e">
        <f t="shared" si="119"/>
        <v>#N/A</v>
      </c>
      <c r="G978" s="3" t="e">
        <f t="shared" si="120"/>
        <v>#N/A</v>
      </c>
      <c r="H978" s="3" t="e">
        <f t="shared" si="121"/>
        <v>#N/A</v>
      </c>
      <c r="I978" s="3" t="e">
        <f t="shared" si="122"/>
        <v>#N/A</v>
      </c>
      <c r="J978" s="3">
        <v>0</v>
      </c>
      <c r="K978" s="3">
        <v>2</v>
      </c>
      <c r="L978" s="3" t="e">
        <v>#N/A</v>
      </c>
      <c r="M978" s="3" t="e">
        <v>#N/A</v>
      </c>
      <c r="N978" s="3" t="e">
        <v>#N/A</v>
      </c>
      <c r="O978" s="3" t="e">
        <v>#N/A</v>
      </c>
      <c r="P978" s="3">
        <f>E978*(VLOOKUP(B978,Price_data!A$1:B$190,2,FALSE))</f>
        <v>2.0607361960000001E-2</v>
      </c>
      <c r="Q978" s="3" t="e">
        <f>G978*(VLOOKUP(B978,Price_data!A$1:B$190,2,FALSE))</f>
        <v>#N/A</v>
      </c>
      <c r="R978" s="3" t="e">
        <f>I978*(VLOOKUP(B978,Price_data!A$1:B$190,2,FALSE))</f>
        <v>#N/A</v>
      </c>
      <c r="S978" s="4" t="str">
        <f>(VLOOKUP(B978,Price_data!A$1:C$190,3,FALSE))</f>
        <v>Open access</v>
      </c>
      <c r="T978" s="2" t="str">
        <f>IF(C978="Total", (VLOOKUP(B978,Recommended_fish_intake!A$4:D$122,4,FALSE)), "NA")</f>
        <v>NA</v>
      </c>
      <c r="U978" s="2" t="str">
        <f t="shared" si="123"/>
        <v>NA</v>
      </c>
    </row>
    <row r="979" spans="1:21" ht="14.25" customHeight="1">
      <c r="A979" s="2" t="s">
        <v>39</v>
      </c>
      <c r="B979" s="2">
        <v>1968</v>
      </c>
      <c r="C979" s="2" t="s">
        <v>36</v>
      </c>
      <c r="D979" s="3">
        <f t="shared" si="117"/>
        <v>2.2861207071733385</v>
      </c>
      <c r="E979" s="3">
        <f t="shared" si="118"/>
        <v>0.13600000000000001</v>
      </c>
      <c r="F979" s="3" t="e">
        <f t="shared" si="119"/>
        <v>#N/A</v>
      </c>
      <c r="G979" s="3" t="e">
        <f t="shared" si="120"/>
        <v>#N/A</v>
      </c>
      <c r="H979" s="3" t="e">
        <f t="shared" si="121"/>
        <v>#N/A</v>
      </c>
      <c r="I979" s="3" t="e">
        <f t="shared" si="122"/>
        <v>#N/A</v>
      </c>
      <c r="J979" s="3">
        <v>2286.1207071733384</v>
      </c>
      <c r="K979" s="3">
        <v>136</v>
      </c>
      <c r="L979" s="3" t="e">
        <v>#N/A</v>
      </c>
      <c r="M979" s="3" t="e">
        <v>#N/A</v>
      </c>
      <c r="N979" s="3" t="e">
        <v>#N/A</v>
      </c>
      <c r="O979" s="3" t="e">
        <v>#N/A</v>
      </c>
      <c r="P979" s="3">
        <f>E979*(VLOOKUP(B979,Price_data!A$1:B$190,2,FALSE))</f>
        <v>1.4013006132800001</v>
      </c>
      <c r="Q979" s="3" t="e">
        <f>G979*(VLOOKUP(B979,Price_data!A$1:B$190,2,FALSE))</f>
        <v>#N/A</v>
      </c>
      <c r="R979" s="3" t="e">
        <f>I979*(VLOOKUP(B979,Price_data!A$1:B$190,2,FALSE))</f>
        <v>#N/A</v>
      </c>
      <c r="S979" s="4" t="str">
        <f>(VLOOKUP(B979,Price_data!A$1:C$190,3,FALSE))</f>
        <v>Open access</v>
      </c>
      <c r="T979" s="2" t="str">
        <f>IF(C979="Total", (VLOOKUP(B979,Recommended_fish_intake!A$4:D$122,4,FALSE)), "NA")</f>
        <v>NA</v>
      </c>
      <c r="U979" s="2" t="str">
        <f t="shared" si="123"/>
        <v>NA</v>
      </c>
    </row>
    <row r="980" spans="1:21" ht="14.25" customHeight="1">
      <c r="A980" s="2" t="s">
        <v>39</v>
      </c>
      <c r="B980" s="2">
        <v>1968</v>
      </c>
      <c r="C980" s="2" t="s">
        <v>28</v>
      </c>
      <c r="D980" s="3">
        <f t="shared" si="117"/>
        <v>14.275553749237959</v>
      </c>
      <c r="E980" s="3">
        <f t="shared" si="118"/>
        <v>2.7869999999999999</v>
      </c>
      <c r="F980" s="3" t="e">
        <f t="shared" si="119"/>
        <v>#N/A</v>
      </c>
      <c r="G980" s="3" t="e">
        <f t="shared" si="120"/>
        <v>#N/A</v>
      </c>
      <c r="H980" s="3" t="e">
        <f t="shared" si="121"/>
        <v>#N/A</v>
      </c>
      <c r="I980" s="3" t="e">
        <f t="shared" si="122"/>
        <v>#N/A</v>
      </c>
      <c r="J980" s="3">
        <v>14275.553749237959</v>
      </c>
      <c r="K980" s="3">
        <v>2787</v>
      </c>
      <c r="L980" s="3" t="e">
        <v>#N/A</v>
      </c>
      <c r="M980" s="3" t="e">
        <v>#N/A</v>
      </c>
      <c r="N980" s="3" t="e">
        <v>#N/A</v>
      </c>
      <c r="O980" s="3" t="e">
        <v>#N/A</v>
      </c>
      <c r="P980" s="3">
        <f>E980*(VLOOKUP(B980,Price_data!A$1:B$190,2,FALSE))</f>
        <v>28.716358891259997</v>
      </c>
      <c r="Q980" s="3" t="e">
        <f>G980*(VLOOKUP(B980,Price_data!A$1:B$190,2,FALSE))</f>
        <v>#N/A</v>
      </c>
      <c r="R980" s="3" t="e">
        <f>I980*(VLOOKUP(B980,Price_data!A$1:B$190,2,FALSE))</f>
        <v>#N/A</v>
      </c>
      <c r="S980" s="4" t="str">
        <f>(VLOOKUP(B980,Price_data!A$1:C$190,3,FALSE))</f>
        <v>Open access</v>
      </c>
      <c r="T980" s="2" t="str">
        <f>IF(C980="Total", (VLOOKUP(B980,Recommended_fish_intake!A$4:D$122,4,FALSE)), "NA")</f>
        <v>NA</v>
      </c>
      <c r="U980" s="2">
        <f t="shared" si="123"/>
        <v>3.9971550497866288</v>
      </c>
    </row>
    <row r="981" spans="1:21" ht="14.25" customHeight="1">
      <c r="A981" s="2" t="s">
        <v>39</v>
      </c>
      <c r="B981" s="2">
        <v>1968</v>
      </c>
      <c r="C981" s="2" t="s">
        <v>37</v>
      </c>
      <c r="D981" s="3">
        <f t="shared" si="117"/>
        <v>334.99288762446656</v>
      </c>
      <c r="E981" s="3">
        <f t="shared" si="118"/>
        <v>18.919</v>
      </c>
      <c r="F981" s="3" t="e">
        <f t="shared" si="119"/>
        <v>#N/A</v>
      </c>
      <c r="G981" s="3" t="e">
        <f t="shared" si="120"/>
        <v>#N/A</v>
      </c>
      <c r="H981" s="3" t="e">
        <f t="shared" si="121"/>
        <v>#N/A</v>
      </c>
      <c r="I981" s="3" t="e">
        <f t="shared" si="122"/>
        <v>#N/A</v>
      </c>
      <c r="J981" s="3">
        <v>334992.88762446656</v>
      </c>
      <c r="K981" s="3">
        <v>18919</v>
      </c>
      <c r="L981" s="3" t="e">
        <v>#N/A</v>
      </c>
      <c r="M981" s="3" t="e">
        <v>#N/A</v>
      </c>
      <c r="N981" s="3" t="e">
        <v>#N/A</v>
      </c>
      <c r="O981" s="3" t="e">
        <v>#N/A</v>
      </c>
      <c r="P981" s="3">
        <f>E981*(VLOOKUP(B981,Price_data!A$1:B$190,2,FALSE))</f>
        <v>194.93534046061998</v>
      </c>
      <c r="Q981" s="3" t="e">
        <f>G981*(VLOOKUP(B981,Price_data!A$1:B$190,2,FALSE))</f>
        <v>#N/A</v>
      </c>
      <c r="R981" s="3" t="e">
        <f>I981*(VLOOKUP(B981,Price_data!A$1:B$190,2,FALSE))</f>
        <v>#N/A</v>
      </c>
      <c r="S981" s="4" t="str">
        <f>(VLOOKUP(B981,Price_data!A$1:C$190,3,FALSE))</f>
        <v>Open access</v>
      </c>
      <c r="T981" s="2" t="str">
        <f>IF(C981="Total", (VLOOKUP(B981,Recommended_fish_intake!A$4:D$122,4,FALSE)), "NA")</f>
        <v>NA</v>
      </c>
      <c r="U981" s="2">
        <f t="shared" si="123"/>
        <v>164.14651493598862</v>
      </c>
    </row>
    <row r="982" spans="1:21" ht="14.25" customHeight="1">
      <c r="A982" s="2" t="s">
        <v>40</v>
      </c>
      <c r="B982" s="2">
        <v>1968</v>
      </c>
      <c r="C982" s="2" t="s">
        <v>22</v>
      </c>
      <c r="D982" s="3">
        <f t="shared" si="117"/>
        <v>1.016053647632595</v>
      </c>
      <c r="E982" s="3">
        <f t="shared" si="118"/>
        <v>5.1999999999999998E-2</v>
      </c>
      <c r="F982" s="3" t="e">
        <f t="shared" si="119"/>
        <v>#N/A</v>
      </c>
      <c r="G982" s="3" t="e">
        <f t="shared" si="120"/>
        <v>#N/A</v>
      </c>
      <c r="H982" s="3" t="e">
        <f t="shared" si="121"/>
        <v>#N/A</v>
      </c>
      <c r="I982" s="3" t="e">
        <f t="shared" si="122"/>
        <v>#N/A</v>
      </c>
      <c r="J982" s="3">
        <v>1016.053647632595</v>
      </c>
      <c r="K982" s="3">
        <v>52</v>
      </c>
      <c r="L982" s="3" t="e">
        <v>#N/A</v>
      </c>
      <c r="M982" s="3" t="e">
        <v>#N/A</v>
      </c>
      <c r="N982" s="3" t="e">
        <v>#N/A</v>
      </c>
      <c r="O982" s="3" t="e">
        <v>#N/A</v>
      </c>
      <c r="P982" s="3">
        <f>E982*(VLOOKUP(B982,Price_data!A$1:B$190,2,FALSE))</f>
        <v>0.53579141095999994</v>
      </c>
      <c r="Q982" s="3" t="e">
        <f>G982*(VLOOKUP(B982,Price_data!A$1:B$190,2,FALSE))</f>
        <v>#N/A</v>
      </c>
      <c r="R982" s="3" t="e">
        <f>I982*(VLOOKUP(B982,Price_data!A$1:B$190,2,FALSE))</f>
        <v>#N/A</v>
      </c>
      <c r="S982" s="4" t="str">
        <f>(VLOOKUP(B982,Price_data!A$1:C$190,3,FALSE))</f>
        <v>Open access</v>
      </c>
      <c r="T982" s="2" t="str">
        <f>IF(C982="Total", (VLOOKUP(B982,Recommended_fish_intake!A$4:D$122,4,FALSE)), "NA")</f>
        <v>NA</v>
      </c>
      <c r="U982" s="2" t="str">
        <f t="shared" si="123"/>
        <v>NA</v>
      </c>
    </row>
    <row r="983" spans="1:21" ht="14.25" customHeight="1">
      <c r="A983" s="2" t="s">
        <v>40</v>
      </c>
      <c r="B983" s="2">
        <v>1968</v>
      </c>
      <c r="C983" s="2" t="s">
        <v>23</v>
      </c>
      <c r="D983" s="3">
        <f t="shared" si="117"/>
        <v>0.1016053647632595</v>
      </c>
      <c r="E983" s="3">
        <f t="shared" si="118"/>
        <v>4.0000000000000001E-3</v>
      </c>
      <c r="F983" s="3" t="e">
        <f t="shared" si="119"/>
        <v>#N/A</v>
      </c>
      <c r="G983" s="3" t="e">
        <f t="shared" si="120"/>
        <v>#N/A</v>
      </c>
      <c r="H983" s="3" t="e">
        <f t="shared" si="121"/>
        <v>#N/A</v>
      </c>
      <c r="I983" s="3" t="e">
        <f t="shared" si="122"/>
        <v>#N/A</v>
      </c>
      <c r="J983" s="3">
        <v>101.6053647632595</v>
      </c>
      <c r="K983" s="3">
        <v>4</v>
      </c>
      <c r="L983" s="3" t="e">
        <v>#N/A</v>
      </c>
      <c r="M983" s="3" t="e">
        <v>#N/A</v>
      </c>
      <c r="N983" s="3" t="e">
        <v>#N/A</v>
      </c>
      <c r="O983" s="3" t="e">
        <v>#N/A</v>
      </c>
      <c r="P983" s="3">
        <f>E983*(VLOOKUP(B983,Price_data!A$1:B$190,2,FALSE))</f>
        <v>4.1214723920000002E-2</v>
      </c>
      <c r="Q983" s="3" t="e">
        <f>G983*(VLOOKUP(B983,Price_data!A$1:B$190,2,FALSE))</f>
        <v>#N/A</v>
      </c>
      <c r="R983" s="3" t="e">
        <f>I983*(VLOOKUP(B983,Price_data!A$1:B$190,2,FALSE))</f>
        <v>#N/A</v>
      </c>
      <c r="S983" s="4" t="str">
        <f>(VLOOKUP(B983,Price_data!A$1:C$190,3,FALSE))</f>
        <v>Open access</v>
      </c>
      <c r="T983" s="2" t="str">
        <f>IF(C983="Total", (VLOOKUP(B983,Recommended_fish_intake!A$4:D$122,4,FALSE)), "NA")</f>
        <v>NA</v>
      </c>
      <c r="U983" s="2" t="str">
        <f t="shared" si="123"/>
        <v>NA</v>
      </c>
    </row>
    <row r="984" spans="1:21" ht="14.25" customHeight="1">
      <c r="A984" s="2" t="s">
        <v>40</v>
      </c>
      <c r="B984" s="2">
        <v>1968</v>
      </c>
      <c r="C984" s="2" t="s">
        <v>25</v>
      </c>
      <c r="D984" s="3">
        <f t="shared" si="117"/>
        <v>0.203210729526519</v>
      </c>
      <c r="E984" s="3">
        <f t="shared" si="118"/>
        <v>1.6E-2</v>
      </c>
      <c r="F984" s="3" t="e">
        <f t="shared" si="119"/>
        <v>#N/A</v>
      </c>
      <c r="G984" s="3" t="e">
        <f t="shared" si="120"/>
        <v>#N/A</v>
      </c>
      <c r="H984" s="3" t="e">
        <f t="shared" si="121"/>
        <v>#N/A</v>
      </c>
      <c r="I984" s="3" t="e">
        <f t="shared" si="122"/>
        <v>#N/A</v>
      </c>
      <c r="J984" s="3">
        <v>203.210729526519</v>
      </c>
      <c r="K984" s="3">
        <v>16</v>
      </c>
      <c r="L984" s="3" t="e">
        <v>#N/A</v>
      </c>
      <c r="M984" s="3" t="e">
        <v>#N/A</v>
      </c>
      <c r="N984" s="3" t="e">
        <v>#N/A</v>
      </c>
      <c r="O984" s="3" t="e">
        <v>#N/A</v>
      </c>
      <c r="P984" s="3">
        <f>E984*(VLOOKUP(B984,Price_data!A$1:B$190,2,FALSE))</f>
        <v>0.16485889568000001</v>
      </c>
      <c r="Q984" s="3" t="e">
        <f>G984*(VLOOKUP(B984,Price_data!A$1:B$190,2,FALSE))</f>
        <v>#N/A</v>
      </c>
      <c r="R984" s="3" t="e">
        <f>I984*(VLOOKUP(B984,Price_data!A$1:B$190,2,FALSE))</f>
        <v>#N/A</v>
      </c>
      <c r="S984" s="4" t="str">
        <f>(VLOOKUP(B984,Price_data!A$1:C$190,3,FALSE))</f>
        <v>Open access</v>
      </c>
      <c r="T984" s="2" t="str">
        <f>IF(C984="Total", (VLOOKUP(B984,Recommended_fish_intake!A$4:D$122,4,FALSE)), "NA")</f>
        <v>NA</v>
      </c>
      <c r="U984" s="2" t="str">
        <f t="shared" si="123"/>
        <v>NA</v>
      </c>
    </row>
    <row r="985" spans="1:21" ht="14.25" customHeight="1">
      <c r="A985" s="2" t="s">
        <v>40</v>
      </c>
      <c r="B985" s="2">
        <v>1968</v>
      </c>
      <c r="C985" s="2" t="s">
        <v>24</v>
      </c>
      <c r="D985" s="3">
        <f t="shared" si="117"/>
        <v>3.1497663076610443</v>
      </c>
      <c r="E985" s="3">
        <f t="shared" si="118"/>
        <v>9.2999999999999999E-2</v>
      </c>
      <c r="F985" s="3" t="e">
        <f t="shared" si="119"/>
        <v>#N/A</v>
      </c>
      <c r="G985" s="3" t="e">
        <f t="shared" si="120"/>
        <v>#N/A</v>
      </c>
      <c r="H985" s="3" t="e">
        <f t="shared" si="121"/>
        <v>#N/A</v>
      </c>
      <c r="I985" s="3" t="e">
        <f t="shared" si="122"/>
        <v>#N/A</v>
      </c>
      <c r="J985" s="3">
        <v>3149.7663076610443</v>
      </c>
      <c r="K985" s="3">
        <v>93</v>
      </c>
      <c r="L985" s="3" t="e">
        <v>#N/A</v>
      </c>
      <c r="M985" s="3" t="e">
        <v>#N/A</v>
      </c>
      <c r="N985" s="3" t="e">
        <v>#N/A</v>
      </c>
      <c r="O985" s="3" t="e">
        <v>#N/A</v>
      </c>
      <c r="P985" s="3">
        <f>E985*(VLOOKUP(B985,Price_data!A$1:B$190,2,FALSE))</f>
        <v>0.9582423311399999</v>
      </c>
      <c r="Q985" s="3" t="e">
        <f>G985*(VLOOKUP(B985,Price_data!A$1:B$190,2,FALSE))</f>
        <v>#N/A</v>
      </c>
      <c r="R985" s="3" t="e">
        <f>I985*(VLOOKUP(B985,Price_data!A$1:B$190,2,FALSE))</f>
        <v>#N/A</v>
      </c>
      <c r="S985" s="4" t="str">
        <f>(VLOOKUP(B985,Price_data!A$1:C$190,3,FALSE))</f>
        <v>Open access</v>
      </c>
      <c r="T985" s="2" t="str">
        <f>IF(C985="Total", (VLOOKUP(B985,Recommended_fish_intake!A$4:D$122,4,FALSE)), "NA")</f>
        <v>NA</v>
      </c>
      <c r="U985" s="2" t="str">
        <f t="shared" si="123"/>
        <v>NA</v>
      </c>
    </row>
    <row r="986" spans="1:21" ht="14.25" customHeight="1">
      <c r="A986" s="2" t="s">
        <v>40</v>
      </c>
      <c r="B986" s="2">
        <v>1968</v>
      </c>
      <c r="C986" s="2" t="s">
        <v>19</v>
      </c>
      <c r="D986" s="3">
        <f t="shared" si="117"/>
        <v>0.96525096525096521</v>
      </c>
      <c r="E986" s="3">
        <f t="shared" si="118"/>
        <v>3.1E-2</v>
      </c>
      <c r="F986" s="3" t="e">
        <f t="shared" si="119"/>
        <v>#N/A</v>
      </c>
      <c r="G986" s="3" t="e">
        <f t="shared" si="120"/>
        <v>#N/A</v>
      </c>
      <c r="H986" s="3" t="e">
        <f t="shared" si="121"/>
        <v>#N/A</v>
      </c>
      <c r="I986" s="3" t="e">
        <f t="shared" si="122"/>
        <v>#N/A</v>
      </c>
      <c r="J986" s="3">
        <v>965.25096525096524</v>
      </c>
      <c r="K986" s="3">
        <v>31</v>
      </c>
      <c r="L986" s="3" t="e">
        <v>#N/A</v>
      </c>
      <c r="M986" s="3" t="e">
        <v>#N/A</v>
      </c>
      <c r="N986" s="3" t="e">
        <v>#N/A</v>
      </c>
      <c r="O986" s="3" t="e">
        <v>#N/A</v>
      </c>
      <c r="P986" s="3">
        <f>E986*(VLOOKUP(B986,Price_data!A$1:B$190,2,FALSE))</f>
        <v>0.31941411037999995</v>
      </c>
      <c r="Q986" s="3" t="e">
        <f>G986*(VLOOKUP(B986,Price_data!A$1:B$190,2,FALSE))</f>
        <v>#N/A</v>
      </c>
      <c r="R986" s="3" t="e">
        <f>I986*(VLOOKUP(B986,Price_data!A$1:B$190,2,FALSE))</f>
        <v>#N/A</v>
      </c>
      <c r="S986" s="4" t="str">
        <f>(VLOOKUP(B986,Price_data!A$1:C$190,3,FALSE))</f>
        <v>Open access</v>
      </c>
      <c r="T986" s="2" t="str">
        <f>IF(C986="Total", (VLOOKUP(B986,Recommended_fish_intake!A$4:D$122,4,FALSE)), "NA")</f>
        <v>NA</v>
      </c>
      <c r="U986" s="2" t="str">
        <f t="shared" si="123"/>
        <v>NA</v>
      </c>
    </row>
    <row r="987" spans="1:21" ht="14.25" customHeight="1">
      <c r="A987" s="2" t="s">
        <v>40</v>
      </c>
      <c r="B987" s="2">
        <v>1968</v>
      </c>
      <c r="C987" s="2" t="s">
        <v>21</v>
      </c>
      <c r="D987" s="3">
        <f t="shared" si="117"/>
        <v>0</v>
      </c>
      <c r="E987" s="3">
        <f t="shared" si="118"/>
        <v>0</v>
      </c>
      <c r="F987" s="3" t="e">
        <f t="shared" si="119"/>
        <v>#N/A</v>
      </c>
      <c r="G987" s="3" t="e">
        <f t="shared" si="120"/>
        <v>#N/A</v>
      </c>
      <c r="H987" s="3" t="e">
        <f t="shared" si="121"/>
        <v>#N/A</v>
      </c>
      <c r="I987" s="3" t="e">
        <f t="shared" si="122"/>
        <v>#N/A</v>
      </c>
      <c r="J987" s="3">
        <v>0</v>
      </c>
      <c r="K987" s="3">
        <v>0</v>
      </c>
      <c r="L987" s="3" t="e">
        <v>#N/A</v>
      </c>
      <c r="M987" s="3" t="e">
        <v>#N/A</v>
      </c>
      <c r="N987" s="3" t="e">
        <v>#N/A</v>
      </c>
      <c r="O987" s="3" t="e">
        <v>#N/A</v>
      </c>
      <c r="P987" s="3">
        <f>E987*(VLOOKUP(B987,Price_data!A$1:B$190,2,FALSE))</f>
        <v>0</v>
      </c>
      <c r="Q987" s="3" t="e">
        <f>G987*(VLOOKUP(B987,Price_data!A$1:B$190,2,FALSE))</f>
        <v>#N/A</v>
      </c>
      <c r="R987" s="3" t="e">
        <f>I987*(VLOOKUP(B987,Price_data!A$1:B$190,2,FALSE))</f>
        <v>#N/A</v>
      </c>
      <c r="S987" s="4" t="str">
        <f>(VLOOKUP(B987,Price_data!A$1:C$190,3,FALSE))</f>
        <v>Open access</v>
      </c>
      <c r="T987" s="2" t="str">
        <f>IF(C987="Total", (VLOOKUP(B987,Recommended_fish_intake!A$4:D$122,4,FALSE)), "NA")</f>
        <v>NA</v>
      </c>
      <c r="U987" s="2" t="str">
        <f t="shared" si="123"/>
        <v>NA</v>
      </c>
    </row>
    <row r="988" spans="1:21" ht="14.25" customHeight="1">
      <c r="A988" s="2" t="s">
        <v>40</v>
      </c>
      <c r="B988" s="2">
        <v>1968</v>
      </c>
      <c r="C988" s="2" t="s">
        <v>34</v>
      </c>
      <c r="D988" s="3">
        <f t="shared" si="117"/>
        <v>0</v>
      </c>
      <c r="E988" s="3">
        <f t="shared" si="118"/>
        <v>8.9999999999999993E-3</v>
      </c>
      <c r="F988" s="3" t="e">
        <f t="shared" si="119"/>
        <v>#N/A</v>
      </c>
      <c r="G988" s="3" t="e">
        <f t="shared" si="120"/>
        <v>#N/A</v>
      </c>
      <c r="H988" s="3" t="e">
        <f t="shared" si="121"/>
        <v>#N/A</v>
      </c>
      <c r="I988" s="3" t="e">
        <f t="shared" si="122"/>
        <v>#N/A</v>
      </c>
      <c r="J988" s="3">
        <v>0</v>
      </c>
      <c r="K988" s="3">
        <v>9</v>
      </c>
      <c r="L988" s="3" t="e">
        <v>#N/A</v>
      </c>
      <c r="M988" s="3" t="e">
        <v>#N/A</v>
      </c>
      <c r="N988" s="3" t="e">
        <v>#N/A</v>
      </c>
      <c r="O988" s="3" t="e">
        <v>#N/A</v>
      </c>
      <c r="P988" s="3">
        <f>E988*(VLOOKUP(B988,Price_data!A$1:B$190,2,FALSE))</f>
        <v>9.2733128819999983E-2</v>
      </c>
      <c r="Q988" s="3" t="e">
        <f>G988*(VLOOKUP(B988,Price_data!A$1:B$190,2,FALSE))</f>
        <v>#N/A</v>
      </c>
      <c r="R988" s="3" t="e">
        <f>I988*(VLOOKUP(B988,Price_data!A$1:B$190,2,FALSE))</f>
        <v>#N/A</v>
      </c>
      <c r="S988" s="4" t="str">
        <f>(VLOOKUP(B988,Price_data!A$1:C$190,3,FALSE))</f>
        <v>Open access</v>
      </c>
      <c r="T988" s="2" t="str">
        <f>IF(C988="Total", (VLOOKUP(B988,Recommended_fish_intake!A$4:D$122,4,FALSE)), "NA")</f>
        <v>NA</v>
      </c>
      <c r="U988" s="2" t="str">
        <f t="shared" si="123"/>
        <v>NA</v>
      </c>
    </row>
    <row r="989" spans="1:21" ht="14.25" customHeight="1">
      <c r="A989" s="2" t="s">
        <v>40</v>
      </c>
      <c r="B989" s="2">
        <v>1968</v>
      </c>
      <c r="C989" s="2" t="s">
        <v>35</v>
      </c>
      <c r="D989" s="3">
        <f t="shared" si="117"/>
        <v>1.9305019305019304</v>
      </c>
      <c r="E989" s="3">
        <f t="shared" si="118"/>
        <v>0.20699999999999999</v>
      </c>
      <c r="F989" s="3" t="e">
        <f t="shared" si="119"/>
        <v>#N/A</v>
      </c>
      <c r="G989" s="3" t="e">
        <f t="shared" si="120"/>
        <v>#N/A</v>
      </c>
      <c r="H989" s="3" t="e">
        <f t="shared" si="121"/>
        <v>#N/A</v>
      </c>
      <c r="I989" s="3" t="e">
        <f t="shared" si="122"/>
        <v>#N/A</v>
      </c>
      <c r="J989" s="3">
        <v>1930.5019305019305</v>
      </c>
      <c r="K989" s="3">
        <v>207</v>
      </c>
      <c r="L989" s="3" t="e">
        <v>#N/A</v>
      </c>
      <c r="M989" s="3" t="e">
        <v>#N/A</v>
      </c>
      <c r="N989" s="3" t="e">
        <v>#N/A</v>
      </c>
      <c r="O989" s="3" t="e">
        <v>#N/A</v>
      </c>
      <c r="P989" s="3">
        <f>E989*(VLOOKUP(B989,Price_data!A$1:B$190,2,FALSE))</f>
        <v>2.1328619628599998</v>
      </c>
      <c r="Q989" s="3" t="e">
        <f>G989*(VLOOKUP(B989,Price_data!A$1:B$190,2,FALSE))</f>
        <v>#N/A</v>
      </c>
      <c r="R989" s="3" t="e">
        <f>I989*(VLOOKUP(B989,Price_data!A$1:B$190,2,FALSE))</f>
        <v>#N/A</v>
      </c>
      <c r="S989" s="4" t="str">
        <f>(VLOOKUP(B989,Price_data!A$1:C$190,3,FALSE))</f>
        <v>Open access</v>
      </c>
      <c r="T989" s="2" t="str">
        <f>IF(C989="Total", (VLOOKUP(B989,Recommended_fish_intake!A$4:D$122,4,FALSE)), "NA")</f>
        <v>NA</v>
      </c>
      <c r="U989" s="2" t="str">
        <f t="shared" si="123"/>
        <v>NA</v>
      </c>
    </row>
    <row r="990" spans="1:21" ht="14.25" customHeight="1">
      <c r="A990" s="2" t="s">
        <v>40</v>
      </c>
      <c r="B990" s="2">
        <v>1968</v>
      </c>
      <c r="C990" s="2" t="s">
        <v>30</v>
      </c>
      <c r="D990" s="3">
        <f t="shared" si="117"/>
        <v>0</v>
      </c>
      <c r="E990" s="3">
        <f t="shared" si="118"/>
        <v>0</v>
      </c>
      <c r="F990" s="3" t="e">
        <f t="shared" si="119"/>
        <v>#N/A</v>
      </c>
      <c r="G990" s="3" t="e">
        <f t="shared" si="120"/>
        <v>#N/A</v>
      </c>
      <c r="H990" s="3" t="e">
        <f t="shared" si="121"/>
        <v>#N/A</v>
      </c>
      <c r="I990" s="3" t="e">
        <f t="shared" si="122"/>
        <v>#N/A</v>
      </c>
      <c r="J990" s="3">
        <v>0</v>
      </c>
      <c r="K990" s="3">
        <v>0</v>
      </c>
      <c r="L990" s="3" t="e">
        <v>#N/A</v>
      </c>
      <c r="M990" s="3" t="e">
        <v>#N/A</v>
      </c>
      <c r="N990" s="3" t="e">
        <v>#N/A</v>
      </c>
      <c r="O990" s="3" t="e">
        <v>#N/A</v>
      </c>
      <c r="P990" s="3">
        <f>E990*(VLOOKUP(B990,Price_data!A$1:B$190,2,FALSE))</f>
        <v>0</v>
      </c>
      <c r="Q990" s="3" t="e">
        <f>G990*(VLOOKUP(B990,Price_data!A$1:B$190,2,FALSE))</f>
        <v>#N/A</v>
      </c>
      <c r="R990" s="3" t="e">
        <f>I990*(VLOOKUP(B990,Price_data!A$1:B$190,2,FALSE))</f>
        <v>#N/A</v>
      </c>
      <c r="S990" s="4" t="str">
        <f>(VLOOKUP(B990,Price_data!A$1:C$190,3,FALSE))</f>
        <v>Open access</v>
      </c>
      <c r="T990" s="2" t="str">
        <f>IF(C990="Total", (VLOOKUP(B990,Recommended_fish_intake!A$4:D$122,4,FALSE)), "NA")</f>
        <v>NA</v>
      </c>
      <c r="U990" s="2" t="str">
        <f t="shared" si="123"/>
        <v>NA</v>
      </c>
    </row>
    <row r="991" spans="1:21" ht="14.25" customHeight="1">
      <c r="A991" s="2" t="s">
        <v>40</v>
      </c>
      <c r="B991" s="2">
        <v>1968</v>
      </c>
      <c r="C991" s="2" t="s">
        <v>36</v>
      </c>
      <c r="D991" s="3">
        <f t="shared" si="117"/>
        <v>0</v>
      </c>
      <c r="E991" s="3">
        <f t="shared" si="118"/>
        <v>0</v>
      </c>
      <c r="F991" s="3" t="e">
        <f t="shared" si="119"/>
        <v>#N/A</v>
      </c>
      <c r="G991" s="3" t="e">
        <f t="shared" si="120"/>
        <v>#N/A</v>
      </c>
      <c r="H991" s="3" t="e">
        <f t="shared" si="121"/>
        <v>#N/A</v>
      </c>
      <c r="I991" s="3" t="e">
        <f t="shared" si="122"/>
        <v>#N/A</v>
      </c>
      <c r="J991" s="3">
        <v>0</v>
      </c>
      <c r="K991" s="3">
        <v>0</v>
      </c>
      <c r="L991" s="3" t="e">
        <v>#N/A</v>
      </c>
      <c r="M991" s="3" t="e">
        <v>#N/A</v>
      </c>
      <c r="N991" s="3" t="e">
        <v>#N/A</v>
      </c>
      <c r="O991" s="3" t="e">
        <v>#N/A</v>
      </c>
      <c r="P991" s="3">
        <f>E991*(VLOOKUP(B991,Price_data!A$1:B$190,2,FALSE))</f>
        <v>0</v>
      </c>
      <c r="Q991" s="3" t="e">
        <f>G991*(VLOOKUP(B991,Price_data!A$1:B$190,2,FALSE))</f>
        <v>#N/A</v>
      </c>
      <c r="R991" s="3" t="e">
        <f>I991*(VLOOKUP(B991,Price_data!A$1:B$190,2,FALSE))</f>
        <v>#N/A</v>
      </c>
      <c r="S991" s="4" t="str">
        <f>(VLOOKUP(B991,Price_data!A$1:C$190,3,FALSE))</f>
        <v>Open access</v>
      </c>
      <c r="T991" s="2" t="str">
        <f>IF(C991="Total", (VLOOKUP(B991,Recommended_fish_intake!A$4:D$122,4,FALSE)), "NA")</f>
        <v>NA</v>
      </c>
      <c r="U991" s="2" t="str">
        <f t="shared" si="123"/>
        <v>NA</v>
      </c>
    </row>
    <row r="992" spans="1:21" ht="14.25" customHeight="1">
      <c r="A992" s="2" t="s">
        <v>40</v>
      </c>
      <c r="B992" s="2">
        <v>1968</v>
      </c>
      <c r="C992" s="2" t="s">
        <v>28</v>
      </c>
      <c r="D992" s="3">
        <f t="shared" si="117"/>
        <v>2.1845153424100792</v>
      </c>
      <c r="E992" s="3">
        <f t="shared" si="118"/>
        <v>0.22900000000000001</v>
      </c>
      <c r="F992" s="3" t="e">
        <f t="shared" si="119"/>
        <v>#N/A</v>
      </c>
      <c r="G992" s="3" t="e">
        <f t="shared" si="120"/>
        <v>#N/A</v>
      </c>
      <c r="H992" s="3" t="e">
        <f t="shared" si="121"/>
        <v>#N/A</v>
      </c>
      <c r="I992" s="3" t="e">
        <f t="shared" si="122"/>
        <v>#N/A</v>
      </c>
      <c r="J992" s="3">
        <v>2184.515342410079</v>
      </c>
      <c r="K992" s="3">
        <v>229</v>
      </c>
      <c r="L992" s="3" t="e">
        <v>#N/A</v>
      </c>
      <c r="M992" s="3" t="e">
        <v>#N/A</v>
      </c>
      <c r="N992" s="3" t="e">
        <v>#N/A</v>
      </c>
      <c r="O992" s="3" t="e">
        <v>#N/A</v>
      </c>
      <c r="P992" s="3">
        <f>E992*(VLOOKUP(B992,Price_data!A$1:B$190,2,FALSE))</f>
        <v>2.3595429444199998</v>
      </c>
      <c r="Q992" s="3" t="e">
        <f>G992*(VLOOKUP(B992,Price_data!A$1:B$190,2,FALSE))</f>
        <v>#N/A</v>
      </c>
      <c r="R992" s="3" t="e">
        <f>I992*(VLOOKUP(B992,Price_data!A$1:B$190,2,FALSE))</f>
        <v>#N/A</v>
      </c>
      <c r="S992" s="4" t="str">
        <f>(VLOOKUP(B992,Price_data!A$1:C$190,3,FALSE))</f>
        <v>Open access</v>
      </c>
      <c r="T992" s="2" t="str">
        <f>IF(C992="Total", (VLOOKUP(B992,Recommended_fish_intake!A$4:D$122,4,FALSE)), "NA")</f>
        <v>NA</v>
      </c>
      <c r="U992" s="2">
        <f t="shared" si="123"/>
        <v>0.61166429587482218</v>
      </c>
    </row>
    <row r="993" spans="1:21" ht="14.25" customHeight="1">
      <c r="A993" s="2" t="s">
        <v>40</v>
      </c>
      <c r="B993" s="2">
        <v>1968</v>
      </c>
      <c r="C993" s="2" t="s">
        <v>37</v>
      </c>
      <c r="D993" s="3">
        <f t="shared" si="117"/>
        <v>6.4519406624669777</v>
      </c>
      <c r="E993" s="3">
        <f t="shared" si="118"/>
        <v>0.22800000000000001</v>
      </c>
      <c r="F993" s="3" t="e">
        <f t="shared" si="119"/>
        <v>#N/A</v>
      </c>
      <c r="G993" s="3" t="e">
        <f t="shared" si="120"/>
        <v>#N/A</v>
      </c>
      <c r="H993" s="3" t="e">
        <f t="shared" si="121"/>
        <v>#N/A</v>
      </c>
      <c r="I993" s="3" t="e">
        <f t="shared" si="122"/>
        <v>#N/A</v>
      </c>
      <c r="J993" s="3">
        <v>6451.9406624669773</v>
      </c>
      <c r="K993" s="3">
        <v>228</v>
      </c>
      <c r="L993" s="3" t="e">
        <v>#N/A</v>
      </c>
      <c r="M993" s="3" t="e">
        <v>#N/A</v>
      </c>
      <c r="N993" s="3" t="e">
        <v>#N/A</v>
      </c>
      <c r="O993" s="3" t="e">
        <v>#N/A</v>
      </c>
      <c r="P993" s="3">
        <f>E993*(VLOOKUP(B993,Price_data!A$1:B$190,2,FALSE))</f>
        <v>2.3492392634399999</v>
      </c>
      <c r="Q993" s="3" t="e">
        <f>G993*(VLOOKUP(B993,Price_data!A$1:B$190,2,FALSE))</f>
        <v>#N/A</v>
      </c>
      <c r="R993" s="3" t="e">
        <f>I993*(VLOOKUP(B993,Price_data!A$1:B$190,2,FALSE))</f>
        <v>#N/A</v>
      </c>
      <c r="S993" s="4" t="str">
        <f>(VLOOKUP(B993,Price_data!A$1:C$190,3,FALSE))</f>
        <v>Open access</v>
      </c>
      <c r="T993" s="2" t="str">
        <f>IF(C993="Total", (VLOOKUP(B993,Recommended_fish_intake!A$4:D$122,4,FALSE)), "NA")</f>
        <v>NA</v>
      </c>
      <c r="U993" s="2">
        <f t="shared" si="123"/>
        <v>3.1614509246088192</v>
      </c>
    </row>
    <row r="994" spans="1:21" ht="14.25" customHeight="1">
      <c r="A994" s="2" t="s">
        <v>18</v>
      </c>
      <c r="B994" s="2">
        <v>1968</v>
      </c>
      <c r="C994" s="2" t="s">
        <v>41</v>
      </c>
      <c r="D994" s="3">
        <f t="shared" si="117"/>
        <v>504.4198333672017</v>
      </c>
      <c r="E994" s="3">
        <f t="shared" si="118"/>
        <v>37.412999999999997</v>
      </c>
      <c r="F994" s="3" t="e">
        <f t="shared" si="119"/>
        <v>#N/A</v>
      </c>
      <c r="G994" s="3" t="e">
        <f t="shared" si="120"/>
        <v>#N/A</v>
      </c>
      <c r="H994" s="3" t="e">
        <f t="shared" si="121"/>
        <v>#N/A</v>
      </c>
      <c r="I994" s="3" t="e">
        <f t="shared" si="122"/>
        <v>#N/A</v>
      </c>
      <c r="J994" s="3">
        <v>504419.83336720173</v>
      </c>
      <c r="K994" s="3">
        <v>37413</v>
      </c>
      <c r="L994" s="3" t="e">
        <v>#N/A</v>
      </c>
      <c r="M994" s="3" t="e">
        <v>#N/A</v>
      </c>
      <c r="N994" s="3" t="e">
        <v>#N/A</v>
      </c>
      <c r="O994" s="3" t="e">
        <v>#N/A</v>
      </c>
      <c r="P994" s="3">
        <f>E994*(VLOOKUP(B994,Price_data!A$1:B$190,2,FALSE))</f>
        <v>385.49161650473997</v>
      </c>
      <c r="Q994" s="3" t="e">
        <f>G994*(VLOOKUP(B994,Price_data!A$1:B$190,2,FALSE))</f>
        <v>#N/A</v>
      </c>
      <c r="R994" s="3" t="e">
        <f>I994*(VLOOKUP(B994,Price_data!A$1:B$190,2,FALSE))</f>
        <v>#N/A</v>
      </c>
      <c r="S994" s="4" t="str">
        <f>(VLOOKUP(B994,Price_data!A$1:C$190,3,FALSE))</f>
        <v>Open access</v>
      </c>
      <c r="T994" s="2" t="str">
        <f>IF(C994="Total", (VLOOKUP(B994,Recommended_fish_intake!A$4:D$122,4,FALSE)), "NA")</f>
        <v>NA</v>
      </c>
      <c r="U994" s="2" t="str">
        <f t="shared" si="123"/>
        <v>NA</v>
      </c>
    </row>
    <row r="995" spans="1:21" ht="14.25" customHeight="1">
      <c r="A995" s="2" t="s">
        <v>18</v>
      </c>
      <c r="B995" s="2">
        <v>1968</v>
      </c>
      <c r="C995" s="2" t="s">
        <v>42</v>
      </c>
      <c r="D995" s="3">
        <f t="shared" si="117"/>
        <v>24.537695590327168</v>
      </c>
      <c r="E995" s="3">
        <f t="shared" si="118"/>
        <v>0.73</v>
      </c>
      <c r="F995" s="3" t="e">
        <f t="shared" si="119"/>
        <v>#N/A</v>
      </c>
      <c r="G995" s="3" t="e">
        <f t="shared" si="120"/>
        <v>#N/A</v>
      </c>
      <c r="H995" s="3" t="e">
        <f t="shared" si="121"/>
        <v>#N/A</v>
      </c>
      <c r="I995" s="3" t="e">
        <f t="shared" si="122"/>
        <v>#N/A</v>
      </c>
      <c r="J995" s="3">
        <v>24537.695590327166</v>
      </c>
      <c r="K995" s="3">
        <v>730</v>
      </c>
      <c r="L995" s="3" t="e">
        <v>#N/A</v>
      </c>
      <c r="M995" s="3" t="e">
        <v>#N/A</v>
      </c>
      <c r="N995" s="3" t="e">
        <v>#N/A</v>
      </c>
      <c r="O995" s="3" t="e">
        <v>#N/A</v>
      </c>
      <c r="P995" s="3">
        <f>E995*(VLOOKUP(B995,Price_data!A$1:B$190,2,FALSE))</f>
        <v>7.5216871153999989</v>
      </c>
      <c r="Q995" s="3" t="e">
        <f>G995*(VLOOKUP(B995,Price_data!A$1:B$190,2,FALSE))</f>
        <v>#N/A</v>
      </c>
      <c r="R995" s="3" t="e">
        <f>I995*(VLOOKUP(B995,Price_data!A$1:B$190,2,FALSE))</f>
        <v>#N/A</v>
      </c>
      <c r="S995" s="4" t="str">
        <f>(VLOOKUP(B995,Price_data!A$1:C$190,3,FALSE))</f>
        <v>Open access</v>
      </c>
      <c r="T995" s="2" t="str">
        <f>IF(C995="Total", (VLOOKUP(B995,Recommended_fish_intake!A$4:D$122,4,FALSE)), "NA")</f>
        <v>NA</v>
      </c>
      <c r="U995" s="2" t="str">
        <f t="shared" si="123"/>
        <v>NA</v>
      </c>
    </row>
    <row r="996" spans="1:21" ht="14.25" customHeight="1">
      <c r="A996" s="2" t="s">
        <v>39</v>
      </c>
      <c r="B996" s="2">
        <v>1968</v>
      </c>
      <c r="C996" s="2" t="s">
        <v>41</v>
      </c>
      <c r="D996" s="3">
        <f t="shared" si="117"/>
        <v>219.82320666531191</v>
      </c>
      <c r="E996" s="3">
        <f t="shared" si="118"/>
        <v>16.504000000000001</v>
      </c>
      <c r="F996" s="3" t="e">
        <f t="shared" si="119"/>
        <v>#N/A</v>
      </c>
      <c r="G996" s="3" t="e">
        <f t="shared" si="120"/>
        <v>#N/A</v>
      </c>
      <c r="H996" s="3" t="e">
        <f t="shared" si="121"/>
        <v>#N/A</v>
      </c>
      <c r="I996" s="3" t="e">
        <f t="shared" si="122"/>
        <v>#N/A</v>
      </c>
      <c r="J996" s="3">
        <v>219823.20666531191</v>
      </c>
      <c r="K996" s="3">
        <v>16504</v>
      </c>
      <c r="L996" s="3" t="e">
        <v>#N/A</v>
      </c>
      <c r="M996" s="3" t="e">
        <v>#N/A</v>
      </c>
      <c r="N996" s="3" t="e">
        <v>#N/A</v>
      </c>
      <c r="O996" s="3" t="e">
        <v>#N/A</v>
      </c>
      <c r="P996" s="3">
        <f>E996*(VLOOKUP(B996,Price_data!A$1:B$190,2,FALSE))</f>
        <v>170.05195089392001</v>
      </c>
      <c r="Q996" s="3" t="e">
        <f>G996*(VLOOKUP(B996,Price_data!A$1:B$190,2,FALSE))</f>
        <v>#N/A</v>
      </c>
      <c r="R996" s="3" t="e">
        <f>I996*(VLOOKUP(B996,Price_data!A$1:B$190,2,FALSE))</f>
        <v>#N/A</v>
      </c>
      <c r="S996" s="4" t="str">
        <f>(VLOOKUP(B996,Price_data!A$1:C$190,3,FALSE))</f>
        <v>Open access</v>
      </c>
      <c r="T996" s="2" t="str">
        <f>IF(C996="Total", (VLOOKUP(B996,Recommended_fish_intake!A$4:D$122,4,FALSE)), "NA")</f>
        <v>NA</v>
      </c>
      <c r="U996" s="2" t="str">
        <f t="shared" si="123"/>
        <v>NA</v>
      </c>
    </row>
    <row r="997" spans="1:21" ht="14.25" customHeight="1">
      <c r="A997" s="2" t="s">
        <v>39</v>
      </c>
      <c r="B997" s="2">
        <v>1968</v>
      </c>
      <c r="C997" s="2" t="s">
        <v>42</v>
      </c>
      <c r="D997" s="3">
        <f t="shared" si="117"/>
        <v>115.16968095915463</v>
      </c>
      <c r="E997" s="3">
        <f t="shared" si="118"/>
        <v>2.415</v>
      </c>
      <c r="F997" s="3" t="e">
        <f t="shared" si="119"/>
        <v>#N/A</v>
      </c>
      <c r="G997" s="3" t="e">
        <f t="shared" si="120"/>
        <v>#N/A</v>
      </c>
      <c r="H997" s="3" t="e">
        <f t="shared" si="121"/>
        <v>#N/A</v>
      </c>
      <c r="I997" s="3" t="e">
        <f t="shared" si="122"/>
        <v>#N/A</v>
      </c>
      <c r="J997" s="3">
        <v>115169.68095915463</v>
      </c>
      <c r="K997" s="3">
        <v>2415</v>
      </c>
      <c r="L997" s="3" t="e">
        <v>#N/A</v>
      </c>
      <c r="M997" s="3" t="e">
        <v>#N/A</v>
      </c>
      <c r="N997" s="3" t="e">
        <v>#N/A</v>
      </c>
      <c r="O997" s="3" t="e">
        <v>#N/A</v>
      </c>
      <c r="P997" s="3">
        <f>E997*(VLOOKUP(B997,Price_data!A$1:B$190,2,FALSE))</f>
        <v>24.8833895667</v>
      </c>
      <c r="Q997" s="3" t="e">
        <f>G997*(VLOOKUP(B997,Price_data!A$1:B$190,2,FALSE))</f>
        <v>#N/A</v>
      </c>
      <c r="R997" s="3" t="e">
        <f>I997*(VLOOKUP(B997,Price_data!A$1:B$190,2,FALSE))</f>
        <v>#N/A</v>
      </c>
      <c r="S997" s="4" t="str">
        <f>(VLOOKUP(B997,Price_data!A$1:C$190,3,FALSE))</f>
        <v>Open access</v>
      </c>
      <c r="T997" s="2" t="str">
        <f>IF(C997="Total", (VLOOKUP(B997,Recommended_fish_intake!A$4:D$122,4,FALSE)), "NA")</f>
        <v>NA</v>
      </c>
      <c r="U997" s="2" t="str">
        <f t="shared" si="123"/>
        <v>NA</v>
      </c>
    </row>
    <row r="998" spans="1:21" ht="14.25" customHeight="1">
      <c r="A998" s="2" t="s">
        <v>40</v>
      </c>
      <c r="B998" s="2">
        <v>1968</v>
      </c>
      <c r="C998" s="2" t="s">
        <v>41</v>
      </c>
      <c r="D998" s="3">
        <f t="shared" si="117"/>
        <v>5.3342816500711239</v>
      </c>
      <c r="E998" s="3">
        <f t="shared" si="118"/>
        <v>0.19400000000000001</v>
      </c>
      <c r="F998" s="3" t="e">
        <f t="shared" si="119"/>
        <v>#N/A</v>
      </c>
      <c r="G998" s="3" t="e">
        <f t="shared" si="120"/>
        <v>#N/A</v>
      </c>
      <c r="H998" s="3" t="e">
        <f t="shared" si="121"/>
        <v>#N/A</v>
      </c>
      <c r="I998" s="3" t="e">
        <f t="shared" si="122"/>
        <v>#N/A</v>
      </c>
      <c r="J998" s="3">
        <v>5334.2816500711242</v>
      </c>
      <c r="K998" s="3">
        <v>194</v>
      </c>
      <c r="L998" s="3" t="e">
        <v>#N/A</v>
      </c>
      <c r="M998" s="3" t="e">
        <v>#N/A</v>
      </c>
      <c r="N998" s="3" t="e">
        <v>#N/A</v>
      </c>
      <c r="O998" s="3" t="e">
        <v>#N/A</v>
      </c>
      <c r="P998" s="3">
        <f>E998*(VLOOKUP(B998,Price_data!A$1:B$190,2,FALSE))</f>
        <v>1.9989141101199999</v>
      </c>
      <c r="Q998" s="3" t="e">
        <f>G998*(VLOOKUP(B998,Price_data!A$1:B$190,2,FALSE))</f>
        <v>#N/A</v>
      </c>
      <c r="R998" s="3" t="e">
        <f>I998*(VLOOKUP(B998,Price_data!A$1:B$190,2,FALSE))</f>
        <v>#N/A</v>
      </c>
      <c r="S998" s="4" t="str">
        <f>(VLOOKUP(B998,Price_data!A$1:C$190,3,FALSE))</f>
        <v>Open access</v>
      </c>
      <c r="T998" s="2" t="str">
        <f>IF(C998="Total", (VLOOKUP(B998,Recommended_fish_intake!A$4:D$122,4,FALSE)), "NA")</f>
        <v>NA</v>
      </c>
      <c r="U998" s="2" t="str">
        <f t="shared" si="123"/>
        <v>NA</v>
      </c>
    </row>
    <row r="999" spans="1:21" ht="14.25" customHeight="1">
      <c r="A999" s="2" t="s">
        <v>40</v>
      </c>
      <c r="B999" s="2">
        <v>1968</v>
      </c>
      <c r="C999" s="2" t="s">
        <v>42</v>
      </c>
      <c r="D999" s="3">
        <f t="shared" si="117"/>
        <v>1.1176590123958545</v>
      </c>
      <c r="E999" s="3">
        <f t="shared" si="118"/>
        <v>3.4000000000000002E-2</v>
      </c>
      <c r="F999" s="3" t="e">
        <f t="shared" si="119"/>
        <v>#N/A</v>
      </c>
      <c r="G999" s="3" t="e">
        <f t="shared" si="120"/>
        <v>#N/A</v>
      </c>
      <c r="H999" s="3" t="e">
        <f t="shared" si="121"/>
        <v>#N/A</v>
      </c>
      <c r="I999" s="3" t="e">
        <f t="shared" si="122"/>
        <v>#N/A</v>
      </c>
      <c r="J999" s="3">
        <v>1117.6590123958545</v>
      </c>
      <c r="K999" s="3">
        <v>34</v>
      </c>
      <c r="L999" s="3" t="e">
        <v>#N/A</v>
      </c>
      <c r="M999" s="3" t="e">
        <v>#N/A</v>
      </c>
      <c r="N999" s="3" t="e">
        <v>#N/A</v>
      </c>
      <c r="O999" s="3" t="e">
        <v>#N/A</v>
      </c>
      <c r="P999" s="3">
        <f>E999*(VLOOKUP(B999,Price_data!A$1:B$190,2,FALSE))</f>
        <v>0.35032515332000003</v>
      </c>
      <c r="Q999" s="3" t="e">
        <f>G999*(VLOOKUP(B999,Price_data!A$1:B$190,2,FALSE))</f>
        <v>#N/A</v>
      </c>
      <c r="R999" s="3" t="e">
        <f>I999*(VLOOKUP(B999,Price_data!A$1:B$190,2,FALSE))</f>
        <v>#N/A</v>
      </c>
      <c r="S999" s="4" t="str">
        <f>(VLOOKUP(B999,Price_data!A$1:C$190,3,FALSE))</f>
        <v>Open access</v>
      </c>
      <c r="T999" s="2" t="str">
        <f>IF(C999="Total", (VLOOKUP(B999,Recommended_fish_intake!A$4:D$122,4,FALSE)), "NA")</f>
        <v>NA</v>
      </c>
      <c r="U999" s="2" t="str">
        <f t="shared" si="123"/>
        <v>NA</v>
      </c>
    </row>
    <row r="1000" spans="1:21" ht="14.25" customHeight="1">
      <c r="A1000" s="2" t="s">
        <v>15</v>
      </c>
      <c r="B1000" s="2">
        <v>1968</v>
      </c>
      <c r="C1000" s="2" t="s">
        <v>41</v>
      </c>
      <c r="D1000" s="3">
        <f t="shared" ref="D1000:D1063" si="124">J1000/1000</f>
        <v>729.57732168258485</v>
      </c>
      <c r="E1000" s="3">
        <f t="shared" ref="E1000:E1063" si="125">K1000/1000</f>
        <v>54.110999999999997</v>
      </c>
      <c r="F1000" s="3" t="e">
        <f t="shared" ref="F1000:F1063" si="126">IF(L1000="", NA(), L1000/1000)</f>
        <v>#N/A</v>
      </c>
      <c r="G1000" s="3" t="e">
        <f t="shared" ref="G1000:G1063" si="127">IF(M1000="", NA(), M1000/1000)</f>
        <v>#N/A</v>
      </c>
      <c r="H1000" s="3" t="e">
        <f t="shared" ref="H1000:H1063" si="128">IF(N1000="", NA(), N1000/1000)</f>
        <v>#N/A</v>
      </c>
      <c r="I1000" s="3" t="e">
        <f t="shared" ref="I1000:I1063" si="129">IF(O1000="", NA(), O1000/1000)</f>
        <v>#N/A</v>
      </c>
      <c r="J1000" s="3">
        <v>729577.32168258482</v>
      </c>
      <c r="K1000" s="3">
        <v>54111</v>
      </c>
      <c r="L1000" s="3" t="e">
        <v>#N/A</v>
      </c>
      <c r="M1000" s="3" t="e">
        <v>#N/A</v>
      </c>
      <c r="N1000" s="3" t="e">
        <v>#N/A</v>
      </c>
      <c r="O1000" s="3" t="e">
        <v>#N/A</v>
      </c>
      <c r="P1000" s="3">
        <f>E1000*(VLOOKUP(B1000,Price_data!A$1:B$190,2,FALSE))</f>
        <v>557.54248150877993</v>
      </c>
      <c r="Q1000" s="3" t="e">
        <f>G1000*(VLOOKUP(B1000,Price_data!A$1:B$190,2,FALSE))</f>
        <v>#N/A</v>
      </c>
      <c r="R1000" s="3" t="e">
        <f>I1000*(VLOOKUP(B1000,Price_data!A$1:B$190,2,FALSE))</f>
        <v>#N/A</v>
      </c>
      <c r="S1000" s="4" t="str">
        <f>(VLOOKUP(B1000,Price_data!A$1:C$190,3,FALSE))</f>
        <v>Open access</v>
      </c>
      <c r="T1000" s="2" t="str">
        <f>IF(C1000="Total", (VLOOKUP(B1000,Recommended_fish_intake!A$4:D$122,4,FALSE)), "NA")</f>
        <v>NA</v>
      </c>
      <c r="U1000" s="2" t="str">
        <f t="shared" si="123"/>
        <v>NA</v>
      </c>
    </row>
    <row r="1001" spans="1:21" ht="14.25" customHeight="1">
      <c r="A1001" s="2" t="s">
        <v>15</v>
      </c>
      <c r="B1001" s="2">
        <v>1968</v>
      </c>
      <c r="C1001" s="2" t="s">
        <v>42</v>
      </c>
      <c r="D1001" s="3">
        <f t="shared" si="124"/>
        <v>140.82503556187766</v>
      </c>
      <c r="E1001" s="3">
        <f t="shared" si="125"/>
        <v>3.1789999999999998</v>
      </c>
      <c r="F1001" s="3" t="e">
        <f t="shared" si="126"/>
        <v>#N/A</v>
      </c>
      <c r="G1001" s="3" t="e">
        <f t="shared" si="127"/>
        <v>#N/A</v>
      </c>
      <c r="H1001" s="3" t="e">
        <f t="shared" si="128"/>
        <v>#N/A</v>
      </c>
      <c r="I1001" s="3" t="e">
        <f t="shared" si="129"/>
        <v>#N/A</v>
      </c>
      <c r="J1001" s="3">
        <v>140825.03556187765</v>
      </c>
      <c r="K1001" s="3">
        <v>3179</v>
      </c>
      <c r="L1001" s="3" t="e">
        <v>#N/A</v>
      </c>
      <c r="M1001" s="3" t="e">
        <v>#N/A</v>
      </c>
      <c r="N1001" s="3" t="e">
        <v>#N/A</v>
      </c>
      <c r="O1001" s="3" t="e">
        <v>#N/A</v>
      </c>
      <c r="P1001" s="3">
        <f>E1001*(VLOOKUP(B1001,Price_data!A$1:B$190,2,FALSE))</f>
        <v>32.755401835419995</v>
      </c>
      <c r="Q1001" s="3" t="e">
        <f>G1001*(VLOOKUP(B1001,Price_data!A$1:B$190,2,FALSE))</f>
        <v>#N/A</v>
      </c>
      <c r="R1001" s="3" t="e">
        <f>I1001*(VLOOKUP(B1001,Price_data!A$1:B$190,2,FALSE))</f>
        <v>#N/A</v>
      </c>
      <c r="S1001" s="4" t="str">
        <f>(VLOOKUP(B1001,Price_data!A$1:C$190,3,FALSE))</f>
        <v>Open access</v>
      </c>
      <c r="T1001" s="2" t="str">
        <f>IF(C1001="Total", (VLOOKUP(B1001,Recommended_fish_intake!A$4:D$122,4,FALSE)), "NA")</f>
        <v>NA</v>
      </c>
      <c r="U1001" s="2" t="str">
        <f t="shared" si="123"/>
        <v>NA</v>
      </c>
    </row>
    <row r="1002" spans="1:21" ht="14.25" customHeight="1">
      <c r="A1002" s="2" t="s">
        <v>18</v>
      </c>
      <c r="B1002" s="2">
        <v>1968</v>
      </c>
      <c r="C1002" s="2" t="s">
        <v>20</v>
      </c>
      <c r="D1002" s="3">
        <f t="shared" si="124"/>
        <v>2.6417394838447468</v>
      </c>
      <c r="E1002" s="3">
        <f t="shared" si="125"/>
        <v>0.16500000000000001</v>
      </c>
      <c r="F1002" s="3" t="e">
        <f t="shared" si="126"/>
        <v>#N/A</v>
      </c>
      <c r="G1002" s="3" t="e">
        <f t="shared" si="127"/>
        <v>#N/A</v>
      </c>
      <c r="H1002" s="3" t="e">
        <f t="shared" si="128"/>
        <v>#N/A</v>
      </c>
      <c r="I1002" s="3" t="e">
        <f t="shared" si="129"/>
        <v>#N/A</v>
      </c>
      <c r="J1002" s="2">
        <v>2641.7394838447467</v>
      </c>
      <c r="K1002" s="2">
        <v>165</v>
      </c>
      <c r="L1002" s="2" t="e">
        <v>#N/A</v>
      </c>
      <c r="M1002" s="2" t="e">
        <v>#N/A</v>
      </c>
      <c r="N1002" s="2" t="e">
        <v>#N/A</v>
      </c>
      <c r="O1002" s="2" t="e">
        <v>#N/A</v>
      </c>
      <c r="P1002" s="3">
        <f>E1002*(VLOOKUP(B1002,Price_data!A$1:B$190,2,FALSE))</f>
        <v>1.7001073617</v>
      </c>
      <c r="Q1002" s="3" t="e">
        <f>G1002*(VLOOKUP(B1002,Price_data!A$1:B$190,2,FALSE))</f>
        <v>#N/A</v>
      </c>
      <c r="R1002" s="3" t="e">
        <f>I1002*(VLOOKUP(B1002,Price_data!A$1:B$190,2,FALSE))</f>
        <v>#N/A</v>
      </c>
      <c r="S1002" s="4" t="str">
        <f>(VLOOKUP(B1002,Price_data!A$1:C$190,3,FALSE))</f>
        <v>Open access</v>
      </c>
      <c r="T1002" s="2" t="str">
        <f>IF(C1002="Total", (VLOOKUP(B1002,Recommended_fish_intake!A$4:D$122,4,FALSE)), "NA")</f>
        <v>NA</v>
      </c>
      <c r="U1002" s="2" t="str">
        <f t="shared" si="123"/>
        <v>NA</v>
      </c>
    </row>
    <row r="1003" spans="1:21" ht="14.25" customHeight="1">
      <c r="A1003" s="2" t="s">
        <v>39</v>
      </c>
      <c r="B1003" s="2">
        <v>1968</v>
      </c>
      <c r="C1003" s="2" t="s">
        <v>20</v>
      </c>
      <c r="D1003" s="3">
        <f t="shared" si="124"/>
        <v>1.1176590123958545</v>
      </c>
      <c r="E1003" s="3">
        <f t="shared" si="125"/>
        <v>2.8000000000000001E-2</v>
      </c>
      <c r="F1003" s="3" t="e">
        <f t="shared" si="126"/>
        <v>#N/A</v>
      </c>
      <c r="G1003" s="3" t="e">
        <f t="shared" si="127"/>
        <v>#N/A</v>
      </c>
      <c r="H1003" s="3" t="e">
        <f t="shared" si="128"/>
        <v>#N/A</v>
      </c>
      <c r="I1003" s="3" t="e">
        <f t="shared" si="129"/>
        <v>#N/A</v>
      </c>
      <c r="J1003" s="2">
        <v>1117.6590123958545</v>
      </c>
      <c r="K1003" s="2">
        <v>28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3">
        <f>E1003*(VLOOKUP(B1003,Price_data!A$1:B$190,2,FALSE))</f>
        <v>0.28850306743999998</v>
      </c>
      <c r="Q1003" s="3" t="e">
        <f>G1003*(VLOOKUP(B1003,Price_data!A$1:B$190,2,FALSE))</f>
        <v>#N/A</v>
      </c>
      <c r="R1003" s="3" t="e">
        <f>I1003*(VLOOKUP(B1003,Price_data!A$1:B$190,2,FALSE))</f>
        <v>#N/A</v>
      </c>
      <c r="S1003" s="4" t="str">
        <f>(VLOOKUP(B1003,Price_data!A$1:C$190,3,FALSE))</f>
        <v>Open access</v>
      </c>
      <c r="T1003" s="2" t="str">
        <f>IF(C1003="Total", (VLOOKUP(B1003,Recommended_fish_intake!A$4:D$122,4,FALSE)), "NA")</f>
        <v>NA</v>
      </c>
      <c r="U1003" s="2" t="str">
        <f t="shared" si="123"/>
        <v>NA</v>
      </c>
    </row>
    <row r="1004" spans="1:21" ht="14.25" customHeight="1">
      <c r="A1004" s="2" t="s">
        <v>40</v>
      </c>
      <c r="B1004" s="2">
        <v>1968</v>
      </c>
      <c r="C1004" s="2" t="s">
        <v>20</v>
      </c>
      <c r="D1004" s="3">
        <f t="shared" si="124"/>
        <v>0.15240804714488923</v>
      </c>
      <c r="E1004" s="3">
        <f t="shared" si="125"/>
        <v>3.0000000000000001E-3</v>
      </c>
      <c r="F1004" s="3" t="e">
        <f t="shared" si="126"/>
        <v>#N/A</v>
      </c>
      <c r="G1004" s="3" t="e">
        <f t="shared" si="127"/>
        <v>#N/A</v>
      </c>
      <c r="H1004" s="3" t="e">
        <f t="shared" si="128"/>
        <v>#N/A</v>
      </c>
      <c r="I1004" s="3" t="e">
        <f t="shared" si="129"/>
        <v>#N/A</v>
      </c>
      <c r="J1004" s="2">
        <v>152.40804714488922</v>
      </c>
      <c r="K1004" s="2">
        <v>3</v>
      </c>
      <c r="L1004" s="2" t="e">
        <v>#N/A</v>
      </c>
      <c r="M1004" s="2" t="e">
        <v>#N/A</v>
      </c>
      <c r="N1004" s="2" t="e">
        <v>#N/A</v>
      </c>
      <c r="O1004" s="2" t="e">
        <v>#N/A</v>
      </c>
      <c r="P1004" s="3">
        <f>E1004*(VLOOKUP(B1004,Price_data!A$1:B$190,2,FALSE))</f>
        <v>3.0911042939999998E-2</v>
      </c>
      <c r="Q1004" s="3" t="e">
        <f>G1004*(VLOOKUP(B1004,Price_data!A$1:B$190,2,FALSE))</f>
        <v>#N/A</v>
      </c>
      <c r="R1004" s="3" t="e">
        <f>I1004*(VLOOKUP(B1004,Price_data!A$1:B$190,2,FALSE))</f>
        <v>#N/A</v>
      </c>
      <c r="S1004" s="4" t="str">
        <f>(VLOOKUP(B1004,Price_data!A$1:C$190,3,FALSE))</f>
        <v>Open access</v>
      </c>
      <c r="T1004" s="2" t="str">
        <f>IF(C1004="Total", (VLOOKUP(B1004,Recommended_fish_intake!A$4:D$122,4,FALSE)), "NA")</f>
        <v>NA</v>
      </c>
      <c r="U1004" s="2" t="str">
        <f t="shared" si="123"/>
        <v>NA</v>
      </c>
    </row>
    <row r="1005" spans="1:21" ht="14.25" customHeight="1">
      <c r="A1005" s="2" t="s">
        <v>15</v>
      </c>
      <c r="B1005" s="2">
        <v>1968</v>
      </c>
      <c r="C1005" s="2" t="s">
        <v>20</v>
      </c>
      <c r="D1005" s="3">
        <f t="shared" si="124"/>
        <v>3.9118065433854907</v>
      </c>
      <c r="E1005" s="3">
        <f t="shared" si="125"/>
        <v>0.19600000000000001</v>
      </c>
      <c r="F1005" s="3" t="e">
        <f t="shared" si="126"/>
        <v>#N/A</v>
      </c>
      <c r="G1005" s="3" t="e">
        <f t="shared" si="127"/>
        <v>#N/A</v>
      </c>
      <c r="H1005" s="3" t="e">
        <f t="shared" si="128"/>
        <v>#N/A</v>
      </c>
      <c r="I1005" s="3" t="e">
        <f t="shared" si="129"/>
        <v>#N/A</v>
      </c>
      <c r="J1005" s="2">
        <v>3911.8065433854908</v>
      </c>
      <c r="K1005" s="2">
        <v>196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3">
        <f>E1005*(VLOOKUP(B1005,Price_data!A$1:B$190,2,FALSE))</f>
        <v>2.0195214720800001</v>
      </c>
      <c r="Q1005" s="3" t="e">
        <f>G1005*(VLOOKUP(B1005,Price_data!A$1:B$190,2,FALSE))</f>
        <v>#N/A</v>
      </c>
      <c r="R1005" s="3" t="e">
        <f>I1005*(VLOOKUP(B1005,Price_data!A$1:B$190,2,FALSE))</f>
        <v>#N/A</v>
      </c>
      <c r="S1005" s="4" t="str">
        <f>(VLOOKUP(B1005,Price_data!A$1:C$190,3,FALSE))</f>
        <v>Open access</v>
      </c>
      <c r="T1005" s="2" t="str">
        <f>IF(C1005="Total", (VLOOKUP(B1005,Recommended_fish_intake!A$4:D$122,4,FALSE)), "NA")</f>
        <v>NA</v>
      </c>
      <c r="U1005" s="2" t="str">
        <f t="shared" si="123"/>
        <v>NA</v>
      </c>
    </row>
    <row r="1006" spans="1:21" ht="14.25" customHeight="1">
      <c r="A1006" s="2" t="s">
        <v>15</v>
      </c>
      <c r="B1006" s="2">
        <v>1968</v>
      </c>
      <c r="C1006" s="2" t="s">
        <v>29</v>
      </c>
      <c r="D1006" s="3" t="e">
        <f t="shared" si="124"/>
        <v>#N/A</v>
      </c>
      <c r="E1006" s="3" t="e">
        <f t="shared" si="125"/>
        <v>#N/A</v>
      </c>
      <c r="F1006" s="3" t="e">
        <f t="shared" si="126"/>
        <v>#N/A</v>
      </c>
      <c r="G1006" s="3" t="e">
        <f t="shared" si="127"/>
        <v>#N/A</v>
      </c>
      <c r="H1006" s="3">
        <f t="shared" si="128"/>
        <v>50.142247510668561</v>
      </c>
      <c r="I1006" s="3">
        <f t="shared" si="129"/>
        <v>36.478999999999999</v>
      </c>
      <c r="J1006" s="3" t="e">
        <v>#N/A</v>
      </c>
      <c r="K1006" s="3" t="e">
        <v>#N/A</v>
      </c>
      <c r="L1006" s="3" t="e">
        <v>#N/A</v>
      </c>
      <c r="M1006" s="3" t="e">
        <v>#N/A</v>
      </c>
      <c r="N1006" s="3">
        <v>50142.24751066856</v>
      </c>
      <c r="O1006" s="3">
        <v>36479</v>
      </c>
      <c r="P1006" s="3" t="e">
        <f>E1006*(VLOOKUP(B1006,Price_data!A$1:B$190,2,FALSE))</f>
        <v>#N/A</v>
      </c>
      <c r="Q1006" s="3" t="e">
        <f>G1006*(VLOOKUP(B1006,Price_data!A$1:B$190,2,FALSE))</f>
        <v>#N/A</v>
      </c>
      <c r="R1006" s="3">
        <f>I1006*(VLOOKUP(B1006,Price_data!A$1:B$190,2,FALSE))</f>
        <v>375.86797846942</v>
      </c>
      <c r="S1006" s="4" t="str">
        <f>(VLOOKUP(B1006,Price_data!A$1:C$190,3,FALSE))</f>
        <v>Open access</v>
      </c>
      <c r="T1006" s="2" t="str">
        <f>IF(C1006="Total", (VLOOKUP(B1006,Recommended_fish_intake!A$4:D$122,4,FALSE)), "NA")</f>
        <v>NA</v>
      </c>
      <c r="U1006" s="2" t="str">
        <f t="shared" si="123"/>
        <v>NA</v>
      </c>
    </row>
    <row r="1007" spans="1:21" ht="14.25" customHeight="1">
      <c r="A1007" s="2" t="s">
        <v>15</v>
      </c>
      <c r="B1007" s="2">
        <v>1968</v>
      </c>
      <c r="C1007" s="2" t="s">
        <v>43</v>
      </c>
      <c r="D1007" s="3" t="e">
        <f t="shared" si="124"/>
        <v>#N/A</v>
      </c>
      <c r="E1007" s="3" t="e">
        <f t="shared" si="125"/>
        <v>#N/A</v>
      </c>
      <c r="F1007" s="3" t="e">
        <f t="shared" si="126"/>
        <v>#N/A</v>
      </c>
      <c r="G1007" s="3" t="e">
        <f t="shared" si="127"/>
        <v>#N/A</v>
      </c>
      <c r="H1007" s="3">
        <f t="shared" si="128"/>
        <v>4.2674253200568986</v>
      </c>
      <c r="I1007" s="3">
        <f t="shared" si="129"/>
        <v>1.536</v>
      </c>
      <c r="J1007" s="3" t="e">
        <v>#N/A</v>
      </c>
      <c r="K1007" s="3" t="e">
        <v>#N/A</v>
      </c>
      <c r="L1007" s="3" t="e">
        <v>#N/A</v>
      </c>
      <c r="M1007" s="3" t="e">
        <v>#N/A</v>
      </c>
      <c r="N1007" s="3">
        <v>4267.4253200568983</v>
      </c>
      <c r="O1007" s="3">
        <v>1536</v>
      </c>
      <c r="P1007" s="3" t="e">
        <f>E1007*(VLOOKUP(B1007,Price_data!A$1:B$190,2,FALSE))</f>
        <v>#N/A</v>
      </c>
      <c r="Q1007" s="3" t="e">
        <f>G1007*(VLOOKUP(B1007,Price_data!A$1:B$190,2,FALSE))</f>
        <v>#N/A</v>
      </c>
      <c r="R1007" s="3">
        <f>I1007*(VLOOKUP(B1007,Price_data!A$1:B$190,2,FALSE))</f>
        <v>15.826453985279999</v>
      </c>
      <c r="S1007" s="4" t="str">
        <f>(VLOOKUP(B1007,Price_data!A$1:C$190,3,FALSE))</f>
        <v>Open access</v>
      </c>
      <c r="T1007" s="2" t="str">
        <f>IF(C1007="Total", (VLOOKUP(B1007,Recommended_fish_intake!A$4:D$122,4,FALSE)), "NA")</f>
        <v>NA</v>
      </c>
      <c r="U1007" s="2" t="str">
        <f t="shared" si="123"/>
        <v>NA</v>
      </c>
    </row>
    <row r="1008" spans="1:21" ht="14.25" customHeight="1">
      <c r="A1008" s="2" t="s">
        <v>15</v>
      </c>
      <c r="B1008" s="2">
        <v>1969</v>
      </c>
      <c r="C1008" s="2" t="s">
        <v>16</v>
      </c>
      <c r="D1008" s="3">
        <f t="shared" si="124"/>
        <v>954.02357244462507</v>
      </c>
      <c r="E1008" s="3">
        <f t="shared" si="125"/>
        <v>65.992999999999995</v>
      </c>
      <c r="F1008" s="3">
        <f t="shared" si="126"/>
        <v>78.845763056289371</v>
      </c>
      <c r="G1008" s="3">
        <f t="shared" si="127"/>
        <v>14.127000000000001</v>
      </c>
      <c r="H1008" s="3">
        <f t="shared" si="128"/>
        <v>197.97805324121111</v>
      </c>
      <c r="I1008" s="3">
        <f t="shared" si="129"/>
        <v>69.305000000000007</v>
      </c>
      <c r="J1008" s="3">
        <v>954023.57244462508</v>
      </c>
      <c r="K1008" s="3">
        <v>65993</v>
      </c>
      <c r="L1008" s="3">
        <v>78845.763056289376</v>
      </c>
      <c r="M1008" s="3">
        <v>14127</v>
      </c>
      <c r="N1008" s="3">
        <v>197978.05324121111</v>
      </c>
      <c r="O1008" s="3">
        <v>69305</v>
      </c>
      <c r="P1008" s="3">
        <f>E1008*(VLOOKUP(B1008,Price_data!A$1:B$190,2,FALSE))</f>
        <v>645.32892864273992</v>
      </c>
      <c r="Q1008" s="3">
        <f>G1008*(VLOOKUP(B1008,Price_data!A$1:B$190,2,FALSE))</f>
        <v>138.14437553886</v>
      </c>
      <c r="R1008" s="3">
        <f>I1008*(VLOOKUP(B1008,Price_data!A$1:B$190,2,FALSE))</f>
        <v>677.71614261490004</v>
      </c>
      <c r="S1008" s="4" t="str">
        <f>(VLOOKUP(B1008,Price_data!A$1:C$190,3,FALSE))</f>
        <v>Open access</v>
      </c>
      <c r="T1008" s="2">
        <f>IF(C1008="Total", (VLOOKUP(B1008,Recommended_fish_intake!A$4:D$122,4,FALSE)), "NA")</f>
        <v>712.46224194600006</v>
      </c>
      <c r="U1008" s="2" t="str">
        <f t="shared" si="123"/>
        <v>NA</v>
      </c>
    </row>
    <row r="1009" spans="1:21" ht="14.25" customHeight="1">
      <c r="A1009" s="2" t="s">
        <v>18</v>
      </c>
      <c r="B1009" s="2">
        <v>1969</v>
      </c>
      <c r="C1009" s="2" t="s">
        <v>16</v>
      </c>
      <c r="D1009" s="3">
        <f t="shared" si="124"/>
        <v>569.75208290997762</v>
      </c>
      <c r="E1009" s="3">
        <f t="shared" si="125"/>
        <v>42.848999999999997</v>
      </c>
      <c r="F1009" s="3" t="e">
        <f t="shared" si="126"/>
        <v>#N/A</v>
      </c>
      <c r="G1009" s="3" t="e">
        <f t="shared" si="127"/>
        <v>#N/A</v>
      </c>
      <c r="H1009" s="3" t="e">
        <f t="shared" si="128"/>
        <v>#N/A</v>
      </c>
      <c r="I1009" s="3" t="e">
        <f t="shared" si="129"/>
        <v>#N/A</v>
      </c>
      <c r="J1009" s="3">
        <v>569752.08290997765</v>
      </c>
      <c r="K1009" s="3">
        <v>42849</v>
      </c>
      <c r="L1009" s="3" t="e">
        <v>#N/A</v>
      </c>
      <c r="M1009" s="3" t="e">
        <v>#N/A</v>
      </c>
      <c r="N1009" s="3" t="e">
        <v>#N/A</v>
      </c>
      <c r="O1009" s="3" t="e">
        <v>#N/A</v>
      </c>
      <c r="P1009" s="3">
        <f>E1009*(VLOOKUP(B1009,Price_data!A$1:B$190,2,FALSE))</f>
        <v>419.00958076481993</v>
      </c>
      <c r="Q1009" s="3" t="e">
        <f>G1009*(VLOOKUP(B1009,Price_data!A$1:B$190,2,FALSE))</f>
        <v>#N/A</v>
      </c>
      <c r="R1009" s="3" t="e">
        <f>I1009*(VLOOKUP(B1009,Price_data!A$1:B$190,2,FALSE))</f>
        <v>#N/A</v>
      </c>
      <c r="S1009" s="4" t="str">
        <f>(VLOOKUP(B1009,Price_data!A$1:C$190,3,FALSE))</f>
        <v>Open access</v>
      </c>
      <c r="T1009" s="2">
        <f>IF(C1009="Total", (VLOOKUP(B1009,Recommended_fish_intake!A$4:D$122,4,FALSE)), "NA")</f>
        <v>712.46224194600006</v>
      </c>
      <c r="U1009" s="2" t="str">
        <f t="shared" si="123"/>
        <v>NA</v>
      </c>
    </row>
    <row r="1010" spans="1:21" ht="14.25" customHeight="1">
      <c r="A1010" s="2" t="s">
        <v>39</v>
      </c>
      <c r="B1010" s="2">
        <v>1969</v>
      </c>
      <c r="C1010" s="2" t="s">
        <v>16</v>
      </c>
      <c r="D1010" s="3">
        <f t="shared" si="124"/>
        <v>375.38102011786219</v>
      </c>
      <c r="E1010" s="3">
        <f t="shared" si="125"/>
        <v>22.559000000000001</v>
      </c>
      <c r="F1010" s="3" t="e">
        <f t="shared" si="126"/>
        <v>#N/A</v>
      </c>
      <c r="G1010" s="3" t="e">
        <f t="shared" si="127"/>
        <v>#N/A</v>
      </c>
      <c r="H1010" s="3" t="e">
        <f t="shared" si="128"/>
        <v>#N/A</v>
      </c>
      <c r="I1010" s="3" t="e">
        <f t="shared" si="129"/>
        <v>#N/A</v>
      </c>
      <c r="J1010" s="3">
        <v>375381.02011786221</v>
      </c>
      <c r="K1010" s="3">
        <v>22559</v>
      </c>
      <c r="L1010" s="3" t="e">
        <v>#N/A</v>
      </c>
      <c r="M1010" s="3" t="e">
        <v>#N/A</v>
      </c>
      <c r="N1010" s="3" t="e">
        <v>#N/A</v>
      </c>
      <c r="O1010" s="3" t="e">
        <v>#N/A</v>
      </c>
      <c r="P1010" s="3">
        <f>E1010*(VLOOKUP(B1010,Price_data!A$1:B$190,2,FALSE))</f>
        <v>220.59878019261998</v>
      </c>
      <c r="Q1010" s="3" t="e">
        <f>G1010*(VLOOKUP(B1010,Price_data!A$1:B$190,2,FALSE))</f>
        <v>#N/A</v>
      </c>
      <c r="R1010" s="3" t="e">
        <f>I1010*(VLOOKUP(B1010,Price_data!A$1:B$190,2,FALSE))</f>
        <v>#N/A</v>
      </c>
      <c r="S1010" s="4" t="str">
        <f>(VLOOKUP(B1010,Price_data!A$1:C$190,3,FALSE))</f>
        <v>Open access</v>
      </c>
      <c r="T1010" s="2">
        <f>IF(C1010="Total", (VLOOKUP(B1010,Recommended_fish_intake!A$4:D$122,4,FALSE)), "NA")</f>
        <v>712.46224194600006</v>
      </c>
      <c r="U1010" s="2" t="str">
        <f t="shared" si="123"/>
        <v>NA</v>
      </c>
    </row>
    <row r="1011" spans="1:21" ht="14.25" customHeight="1">
      <c r="A1011" s="2" t="s">
        <v>40</v>
      </c>
      <c r="B1011" s="2">
        <v>1969</v>
      </c>
      <c r="C1011" s="2" t="s">
        <v>16</v>
      </c>
      <c r="D1011" s="3">
        <f t="shared" si="124"/>
        <v>8.890469416785205</v>
      </c>
      <c r="E1011" s="3">
        <f t="shared" si="125"/>
        <v>0.58499999999999996</v>
      </c>
      <c r="F1011" s="3" t="e">
        <f t="shared" si="126"/>
        <v>#N/A</v>
      </c>
      <c r="G1011" s="3" t="e">
        <f t="shared" si="127"/>
        <v>#N/A</v>
      </c>
      <c r="H1011" s="3" t="e">
        <f t="shared" si="128"/>
        <v>#N/A</v>
      </c>
      <c r="I1011" s="3" t="e">
        <f t="shared" si="129"/>
        <v>#N/A</v>
      </c>
      <c r="J1011" s="3">
        <v>8890.4694167852049</v>
      </c>
      <c r="K1011" s="3">
        <v>585</v>
      </c>
      <c r="L1011" s="3" t="e">
        <v>#N/A</v>
      </c>
      <c r="M1011" s="3" t="e">
        <v>#N/A</v>
      </c>
      <c r="N1011" s="3" t="e">
        <v>#N/A</v>
      </c>
      <c r="O1011" s="3" t="e">
        <v>#N/A</v>
      </c>
      <c r="P1011" s="3">
        <f>E1011*(VLOOKUP(B1011,Price_data!A$1:B$190,2,FALSE))</f>
        <v>5.7205676852999989</v>
      </c>
      <c r="Q1011" s="3" t="e">
        <f>G1011*(VLOOKUP(B1011,Price_data!A$1:B$190,2,FALSE))</f>
        <v>#N/A</v>
      </c>
      <c r="R1011" s="3" t="e">
        <f>I1011*(VLOOKUP(B1011,Price_data!A$1:B$190,2,FALSE))</f>
        <v>#N/A</v>
      </c>
      <c r="S1011" s="4" t="str">
        <f>(VLOOKUP(B1011,Price_data!A$1:C$190,3,FALSE))</f>
        <v>Open access</v>
      </c>
      <c r="T1011" s="2">
        <f>IF(C1011="Total", (VLOOKUP(B1011,Recommended_fish_intake!A$4:D$122,4,FALSE)), "NA")</f>
        <v>712.46224194600006</v>
      </c>
      <c r="U1011" s="2" t="str">
        <f t="shared" si="123"/>
        <v>NA</v>
      </c>
    </row>
    <row r="1012" spans="1:21" ht="14.25" customHeight="1">
      <c r="A1012" s="2" t="s">
        <v>15</v>
      </c>
      <c r="B1012" s="2">
        <v>1969</v>
      </c>
      <c r="C1012" s="2" t="s">
        <v>22</v>
      </c>
      <c r="D1012" s="3">
        <f t="shared" si="124"/>
        <v>380.10566957935379</v>
      </c>
      <c r="E1012" s="3">
        <f t="shared" si="125"/>
        <v>27.83</v>
      </c>
      <c r="F1012" s="3" t="e">
        <f t="shared" si="126"/>
        <v>#N/A</v>
      </c>
      <c r="G1012" s="3" t="e">
        <f t="shared" si="127"/>
        <v>#N/A</v>
      </c>
      <c r="H1012" s="3">
        <f t="shared" si="128"/>
        <v>34.139402560455189</v>
      </c>
      <c r="I1012" s="3">
        <f t="shared" si="129"/>
        <v>5.181</v>
      </c>
      <c r="J1012" s="3">
        <v>380105.66957935377</v>
      </c>
      <c r="K1012" s="3">
        <v>27830</v>
      </c>
      <c r="L1012" s="3" t="e">
        <v>#N/A</v>
      </c>
      <c r="M1012" s="3" t="e">
        <v>#N/A</v>
      </c>
      <c r="N1012" s="3">
        <v>34139.402560455186</v>
      </c>
      <c r="O1012" s="3">
        <v>5181</v>
      </c>
      <c r="P1012" s="3">
        <f>E1012*(VLOOKUP(B1012,Price_data!A$1:B$190,2,FALSE))</f>
        <v>272.14256184939995</v>
      </c>
      <c r="Q1012" s="3" t="e">
        <f>G1012*(VLOOKUP(B1012,Price_data!A$1:B$190,2,FALSE))</f>
        <v>#N/A</v>
      </c>
      <c r="R1012" s="3">
        <f>I1012*(VLOOKUP(B1012,Price_data!A$1:B$190,2,FALSE))</f>
        <v>50.663694320579999</v>
      </c>
      <c r="S1012" s="4" t="str">
        <f>(VLOOKUP(B1012,Price_data!A$1:C$190,3,FALSE))</f>
        <v>Open access</v>
      </c>
      <c r="T1012" s="2" t="str">
        <f>IF(C1012="Total", (VLOOKUP(B1012,Recommended_fish_intake!A$4:D$122,4,FALSE)), "NA")</f>
        <v>NA</v>
      </c>
      <c r="U1012" s="2" t="str">
        <f t="shared" si="123"/>
        <v>NA</v>
      </c>
    </row>
    <row r="1013" spans="1:21" ht="14.25" customHeight="1">
      <c r="A1013" s="2" t="s">
        <v>15</v>
      </c>
      <c r="B1013" s="2">
        <v>1969</v>
      </c>
      <c r="C1013" s="2" t="s">
        <v>23</v>
      </c>
      <c r="D1013" s="3">
        <f t="shared" si="124"/>
        <v>143.06035358666938</v>
      </c>
      <c r="E1013" s="3">
        <f t="shared" si="125"/>
        <v>11.412000000000001</v>
      </c>
      <c r="F1013" s="3" t="e">
        <f t="shared" si="126"/>
        <v>#N/A</v>
      </c>
      <c r="G1013" s="3" t="e">
        <f t="shared" si="127"/>
        <v>#N/A</v>
      </c>
      <c r="H1013" s="3">
        <f t="shared" si="128"/>
        <v>11.938630359682991</v>
      </c>
      <c r="I1013" s="3">
        <f t="shared" si="129"/>
        <v>2.0939999999999999</v>
      </c>
      <c r="J1013" s="3">
        <v>143060.35358666937</v>
      </c>
      <c r="K1013" s="3">
        <v>11412</v>
      </c>
      <c r="L1013" s="3" t="e">
        <v>#N/A</v>
      </c>
      <c r="M1013" s="3" t="e">
        <v>#N/A</v>
      </c>
      <c r="N1013" s="3">
        <v>11938.630359682991</v>
      </c>
      <c r="O1013" s="3">
        <v>2094</v>
      </c>
      <c r="P1013" s="3">
        <f>E1013*(VLOOKUP(B1013,Price_data!A$1:B$190,2,FALSE))</f>
        <v>111.59507423015999</v>
      </c>
      <c r="Q1013" s="3" t="e">
        <f>G1013*(VLOOKUP(B1013,Price_data!A$1:B$190,2,FALSE))</f>
        <v>#N/A</v>
      </c>
      <c r="R1013" s="3">
        <f>I1013*(VLOOKUP(B1013,Price_data!A$1:B$190,2,FALSE))</f>
        <v>20.476698688919996</v>
      </c>
      <c r="S1013" s="4" t="str">
        <f>(VLOOKUP(B1013,Price_data!A$1:C$190,3,FALSE))</f>
        <v>Open access</v>
      </c>
      <c r="T1013" s="2" t="str">
        <f>IF(C1013="Total", (VLOOKUP(B1013,Recommended_fish_intake!A$4:D$122,4,FALSE)), "NA")</f>
        <v>NA</v>
      </c>
      <c r="U1013" s="2" t="str">
        <f t="shared" si="123"/>
        <v>NA</v>
      </c>
    </row>
    <row r="1014" spans="1:21" ht="14.25" customHeight="1">
      <c r="A1014" s="2" t="s">
        <v>15</v>
      </c>
      <c r="B1014" s="2">
        <v>1969</v>
      </c>
      <c r="C1014" s="2" t="s">
        <v>25</v>
      </c>
      <c r="D1014" s="3">
        <f t="shared" si="124"/>
        <v>41.658199552936395</v>
      </c>
      <c r="E1014" s="3">
        <f t="shared" si="125"/>
        <v>5.444</v>
      </c>
      <c r="F1014" s="3" t="e">
        <f t="shared" si="126"/>
        <v>#N/A</v>
      </c>
      <c r="G1014" s="3" t="e">
        <f t="shared" si="127"/>
        <v>#N/A</v>
      </c>
      <c r="H1014" s="3">
        <f t="shared" si="128"/>
        <v>15.952042267831741</v>
      </c>
      <c r="I1014" s="3">
        <f t="shared" si="129"/>
        <v>3.0419999999999998</v>
      </c>
      <c r="J1014" s="3">
        <v>41658.199552936392</v>
      </c>
      <c r="K1014" s="3">
        <v>5444</v>
      </c>
      <c r="L1014" s="3" t="e">
        <v>#N/A</v>
      </c>
      <c r="M1014" s="3" t="e">
        <v>#N/A</v>
      </c>
      <c r="N1014" s="3">
        <v>15952.042267831741</v>
      </c>
      <c r="O1014" s="3">
        <v>3042</v>
      </c>
      <c r="P1014" s="3">
        <f>E1014*(VLOOKUP(B1014,Price_data!A$1:B$190,2,FALSE))</f>
        <v>53.235505091919997</v>
      </c>
      <c r="Q1014" s="3" t="e">
        <f>G1014*(VLOOKUP(B1014,Price_data!A$1:B$190,2,FALSE))</f>
        <v>#N/A</v>
      </c>
      <c r="R1014" s="3">
        <f>I1014*(VLOOKUP(B1014,Price_data!A$1:B$190,2,FALSE))</f>
        <v>29.746951963559997</v>
      </c>
      <c r="S1014" s="4" t="str">
        <f>(VLOOKUP(B1014,Price_data!A$1:C$190,3,FALSE))</f>
        <v>Open access</v>
      </c>
      <c r="T1014" s="2" t="str">
        <f>IF(C1014="Total", (VLOOKUP(B1014,Recommended_fish_intake!A$4:D$122,4,FALSE)), "NA")</f>
        <v>NA</v>
      </c>
      <c r="U1014" s="2" t="str">
        <f t="shared" si="123"/>
        <v>NA</v>
      </c>
    </row>
    <row r="1015" spans="1:21" ht="14.25" customHeight="1">
      <c r="A1015" s="2" t="s">
        <v>15</v>
      </c>
      <c r="B1015" s="2">
        <v>1969</v>
      </c>
      <c r="C1015" s="2" t="s">
        <v>24</v>
      </c>
      <c r="D1015" s="3">
        <f t="shared" si="124"/>
        <v>33.580573054257265</v>
      </c>
      <c r="E1015" s="3">
        <f t="shared" si="125"/>
        <v>1.968</v>
      </c>
      <c r="F1015" s="3" t="e">
        <f t="shared" si="126"/>
        <v>#N/A</v>
      </c>
      <c r="G1015" s="3" t="e">
        <f t="shared" si="127"/>
        <v>#N/A</v>
      </c>
      <c r="H1015" s="3" t="e">
        <f t="shared" si="128"/>
        <v>#N/A</v>
      </c>
      <c r="I1015" s="3" t="e">
        <f t="shared" si="129"/>
        <v>#N/A</v>
      </c>
      <c r="J1015" s="3">
        <v>33580.573054257264</v>
      </c>
      <c r="K1015" s="3">
        <v>1968</v>
      </c>
      <c r="L1015" s="3" t="e">
        <v>#N/A</v>
      </c>
      <c r="M1015" s="3" t="e">
        <v>#N/A</v>
      </c>
      <c r="N1015" s="3" t="e">
        <v>#N/A</v>
      </c>
      <c r="O1015" s="3" t="e">
        <v>#N/A</v>
      </c>
      <c r="P1015" s="3">
        <f>E1015*(VLOOKUP(B1015,Price_data!A$1:B$190,2,FALSE))</f>
        <v>19.244576418239998</v>
      </c>
      <c r="Q1015" s="3" t="e">
        <f>G1015*(VLOOKUP(B1015,Price_data!A$1:B$190,2,FALSE))</f>
        <v>#N/A</v>
      </c>
      <c r="R1015" s="3" t="e">
        <f>I1015*(VLOOKUP(B1015,Price_data!A$1:B$190,2,FALSE))</f>
        <v>#N/A</v>
      </c>
      <c r="S1015" s="4" t="str">
        <f>(VLOOKUP(B1015,Price_data!A$1:C$190,3,FALSE))</f>
        <v>Open access</v>
      </c>
      <c r="T1015" s="2" t="str">
        <f>IF(C1015="Total", (VLOOKUP(B1015,Recommended_fish_intake!A$4:D$122,4,FALSE)), "NA")</f>
        <v>NA</v>
      </c>
      <c r="U1015" s="2" t="str">
        <f t="shared" si="123"/>
        <v>NA</v>
      </c>
    </row>
    <row r="1016" spans="1:21" ht="14.25" customHeight="1">
      <c r="A1016" s="2" t="s">
        <v>15</v>
      </c>
      <c r="B1016" s="2">
        <v>1969</v>
      </c>
      <c r="C1016" s="2" t="s">
        <v>19</v>
      </c>
      <c r="D1016" s="3">
        <f t="shared" si="124"/>
        <v>123.70453159926844</v>
      </c>
      <c r="E1016" s="3">
        <f t="shared" si="125"/>
        <v>3.2869999999999999</v>
      </c>
      <c r="F1016" s="3" t="e">
        <f t="shared" si="126"/>
        <v>#N/A</v>
      </c>
      <c r="G1016" s="3" t="e">
        <f t="shared" si="127"/>
        <v>#N/A</v>
      </c>
      <c r="H1016" s="3">
        <f t="shared" si="128"/>
        <v>15.850436903068481</v>
      </c>
      <c r="I1016" s="3">
        <f t="shared" si="129"/>
        <v>0.82499999999999996</v>
      </c>
      <c r="J1016" s="3">
        <v>123704.53159926843</v>
      </c>
      <c r="K1016" s="3">
        <v>3287</v>
      </c>
      <c r="L1016" s="3" t="e">
        <v>#N/A</v>
      </c>
      <c r="M1016" s="3" t="e">
        <v>#N/A</v>
      </c>
      <c r="N1016" s="3">
        <v>15850.436903068481</v>
      </c>
      <c r="O1016" s="3">
        <v>825</v>
      </c>
      <c r="P1016" s="3">
        <f>E1016*(VLOOKUP(B1016,Price_data!A$1:B$190,2,FALSE))</f>
        <v>32.142745267659997</v>
      </c>
      <c r="Q1016" s="3" t="e">
        <f>G1016*(VLOOKUP(B1016,Price_data!A$1:B$190,2,FALSE))</f>
        <v>#N/A</v>
      </c>
      <c r="R1016" s="3">
        <f>I1016*(VLOOKUP(B1016,Price_data!A$1:B$190,2,FALSE))</f>
        <v>8.0674672484999981</v>
      </c>
      <c r="S1016" s="4" t="str">
        <f>(VLOOKUP(B1016,Price_data!A$1:C$190,3,FALSE))</f>
        <v>Open access</v>
      </c>
      <c r="T1016" s="2" t="str">
        <f>IF(C1016="Total", (VLOOKUP(B1016,Recommended_fish_intake!A$4:D$122,4,FALSE)), "NA")</f>
        <v>NA</v>
      </c>
      <c r="U1016" s="2" t="str">
        <f t="shared" si="123"/>
        <v>NA</v>
      </c>
    </row>
    <row r="1017" spans="1:21" ht="14.25" customHeight="1">
      <c r="A1017" s="2" t="s">
        <v>15</v>
      </c>
      <c r="B1017" s="2">
        <v>1969</v>
      </c>
      <c r="C1017" s="2" t="s">
        <v>21</v>
      </c>
      <c r="D1017" s="3">
        <f t="shared" si="124"/>
        <v>47.297297297297298</v>
      </c>
      <c r="E1017" s="3">
        <f t="shared" si="125"/>
        <v>0.50900000000000001</v>
      </c>
      <c r="F1017" s="3" t="e">
        <f t="shared" si="126"/>
        <v>#N/A</v>
      </c>
      <c r="G1017" s="3" t="e">
        <f t="shared" si="127"/>
        <v>#N/A</v>
      </c>
      <c r="H1017" s="3" t="e">
        <f t="shared" si="128"/>
        <v>#N/A</v>
      </c>
      <c r="I1017" s="3" t="e">
        <f t="shared" si="129"/>
        <v>#N/A</v>
      </c>
      <c r="J1017" s="3">
        <v>47297.2972972973</v>
      </c>
      <c r="K1017" s="3">
        <v>509</v>
      </c>
      <c r="L1017" s="3" t="e">
        <v>#N/A</v>
      </c>
      <c r="M1017" s="3" t="e">
        <v>#N/A</v>
      </c>
      <c r="N1017" s="3" t="e">
        <v>#N/A</v>
      </c>
      <c r="O1017" s="3" t="e">
        <v>#N/A</v>
      </c>
      <c r="P1017" s="3">
        <f>E1017*(VLOOKUP(B1017,Price_data!A$1:B$190,2,FALSE))</f>
        <v>4.9773828236199993</v>
      </c>
      <c r="Q1017" s="3" t="e">
        <f>G1017*(VLOOKUP(B1017,Price_data!A$1:B$190,2,FALSE))</f>
        <v>#N/A</v>
      </c>
      <c r="R1017" s="3" t="e">
        <f>I1017*(VLOOKUP(B1017,Price_data!A$1:B$190,2,FALSE))</f>
        <v>#N/A</v>
      </c>
      <c r="S1017" s="4" t="str">
        <f>(VLOOKUP(B1017,Price_data!A$1:C$190,3,FALSE))</f>
        <v>Open access</v>
      </c>
      <c r="T1017" s="2" t="str">
        <f>IF(C1017="Total", (VLOOKUP(B1017,Recommended_fish_intake!A$4:D$122,4,FALSE)), "NA")</f>
        <v>NA</v>
      </c>
      <c r="U1017" s="2" t="str">
        <f t="shared" si="123"/>
        <v>NA</v>
      </c>
    </row>
    <row r="1018" spans="1:21" ht="14.25" customHeight="1">
      <c r="A1018" s="2" t="s">
        <v>15</v>
      </c>
      <c r="B1018" s="2">
        <v>1969</v>
      </c>
      <c r="C1018" s="2" t="s">
        <v>34</v>
      </c>
      <c r="D1018" s="3">
        <f t="shared" si="124"/>
        <v>0.96525096525096521</v>
      </c>
      <c r="E1018" s="3">
        <f t="shared" si="125"/>
        <v>1.173</v>
      </c>
      <c r="F1018" s="3" t="e">
        <f t="shared" si="126"/>
        <v>#N/A</v>
      </c>
      <c r="G1018" s="3" t="e">
        <f t="shared" si="127"/>
        <v>#N/A</v>
      </c>
      <c r="H1018" s="3">
        <f t="shared" si="128"/>
        <v>0.1016053647632595</v>
      </c>
      <c r="I1018" s="3">
        <f t="shared" si="129"/>
        <v>0.13600000000000001</v>
      </c>
      <c r="J1018" s="3">
        <v>965.25096525096524</v>
      </c>
      <c r="K1018" s="3">
        <v>1173</v>
      </c>
      <c r="L1018" s="3" t="e">
        <v>#N/A</v>
      </c>
      <c r="M1018" s="3" t="e">
        <v>#N/A</v>
      </c>
      <c r="N1018" s="3">
        <v>101.6053647632595</v>
      </c>
      <c r="O1018" s="3">
        <v>136</v>
      </c>
      <c r="P1018" s="3">
        <f>E1018*(VLOOKUP(B1018,Price_data!A$1:B$190,2,FALSE))</f>
        <v>11.470471615139999</v>
      </c>
      <c r="Q1018" s="3" t="e">
        <f>G1018*(VLOOKUP(B1018,Price_data!A$1:B$190,2,FALSE))</f>
        <v>#N/A</v>
      </c>
      <c r="R1018" s="3">
        <f>I1018*(VLOOKUP(B1018,Price_data!A$1:B$190,2,FALSE))</f>
        <v>1.3299097524799999</v>
      </c>
      <c r="S1018" s="4" t="str">
        <f>(VLOOKUP(B1018,Price_data!A$1:C$190,3,FALSE))</f>
        <v>Open access</v>
      </c>
      <c r="T1018" s="2" t="str">
        <f>IF(C1018="Total", (VLOOKUP(B1018,Recommended_fish_intake!A$4:D$122,4,FALSE)), "NA")</f>
        <v>NA</v>
      </c>
      <c r="U1018" s="2" t="str">
        <f t="shared" si="123"/>
        <v>NA</v>
      </c>
    </row>
    <row r="1019" spans="1:21" ht="14.25" customHeight="1">
      <c r="A1019" s="2" t="s">
        <v>15</v>
      </c>
      <c r="B1019" s="2">
        <v>1969</v>
      </c>
      <c r="C1019" s="2" t="s">
        <v>35</v>
      </c>
      <c r="D1019" s="3">
        <f t="shared" si="124"/>
        <v>11.684616947774842</v>
      </c>
      <c r="E1019" s="3">
        <f t="shared" si="125"/>
        <v>2.625</v>
      </c>
      <c r="F1019" s="3" t="e">
        <f t="shared" si="126"/>
        <v>#N/A</v>
      </c>
      <c r="G1019" s="3" t="e">
        <f t="shared" si="127"/>
        <v>#N/A</v>
      </c>
      <c r="H1019" s="3" t="e">
        <f t="shared" si="128"/>
        <v>#N/A</v>
      </c>
      <c r="I1019" s="3" t="e">
        <f t="shared" si="129"/>
        <v>#N/A</v>
      </c>
      <c r="J1019" s="3">
        <v>11684.616947774843</v>
      </c>
      <c r="K1019" s="3">
        <v>2625</v>
      </c>
      <c r="L1019" s="3" t="e">
        <v>#N/A</v>
      </c>
      <c r="M1019" s="3" t="e">
        <v>#N/A</v>
      </c>
      <c r="N1019" s="3" t="e">
        <v>#N/A</v>
      </c>
      <c r="O1019" s="3" t="e">
        <v>#N/A</v>
      </c>
      <c r="P1019" s="3">
        <f>E1019*(VLOOKUP(B1019,Price_data!A$1:B$190,2,FALSE))</f>
        <v>25.669213972499996</v>
      </c>
      <c r="Q1019" s="3" t="e">
        <f>G1019*(VLOOKUP(B1019,Price_data!A$1:B$190,2,FALSE))</f>
        <v>#N/A</v>
      </c>
      <c r="R1019" s="3" t="e">
        <f>I1019*(VLOOKUP(B1019,Price_data!A$1:B$190,2,FALSE))</f>
        <v>#N/A</v>
      </c>
      <c r="S1019" s="4" t="str">
        <f>(VLOOKUP(B1019,Price_data!A$1:C$190,3,FALSE))</f>
        <v>Open access</v>
      </c>
      <c r="T1019" s="2" t="str">
        <f>IF(C1019="Total", (VLOOKUP(B1019,Recommended_fish_intake!A$4:D$122,4,FALSE)), "NA")</f>
        <v>NA</v>
      </c>
      <c r="U1019" s="2" t="str">
        <f t="shared" si="123"/>
        <v>NA</v>
      </c>
    </row>
    <row r="1020" spans="1:21" ht="14.25" customHeight="1">
      <c r="A1020" s="2" t="s">
        <v>15</v>
      </c>
      <c r="B1020" s="2">
        <v>1969</v>
      </c>
      <c r="C1020" s="2" t="s">
        <v>30</v>
      </c>
      <c r="D1020" s="3">
        <f t="shared" si="124"/>
        <v>1.2700670595407437</v>
      </c>
      <c r="E1020" s="3">
        <f t="shared" si="125"/>
        <v>0.19500000000000001</v>
      </c>
      <c r="F1020" s="3" t="e">
        <f t="shared" si="126"/>
        <v>#N/A</v>
      </c>
      <c r="G1020" s="3" t="e">
        <f t="shared" si="127"/>
        <v>#N/A</v>
      </c>
      <c r="H1020" s="3">
        <f t="shared" si="128"/>
        <v>4.1150172729120094</v>
      </c>
      <c r="I1020" s="3">
        <f t="shared" si="129"/>
        <v>3.8090000000000002</v>
      </c>
      <c r="J1020" s="3">
        <v>1270.0670595407437</v>
      </c>
      <c r="K1020" s="3">
        <v>195</v>
      </c>
      <c r="L1020" s="3" t="e">
        <v>#N/A</v>
      </c>
      <c r="M1020" s="3" t="e">
        <v>#N/A</v>
      </c>
      <c r="N1020" s="3">
        <v>4115.0172729120095</v>
      </c>
      <c r="O1020" s="3">
        <v>3809</v>
      </c>
      <c r="P1020" s="3">
        <f>E1020*(VLOOKUP(B1020,Price_data!A$1:B$190,2,FALSE))</f>
        <v>1.9068558950999999</v>
      </c>
      <c r="Q1020" s="3" t="e">
        <f>G1020*(VLOOKUP(B1020,Price_data!A$1:B$190,2,FALSE))</f>
        <v>#N/A</v>
      </c>
      <c r="R1020" s="3">
        <f>I1020*(VLOOKUP(B1020,Price_data!A$1:B$190,2,FALSE))</f>
        <v>37.247251817619997</v>
      </c>
      <c r="S1020" s="4" t="str">
        <f>(VLOOKUP(B1020,Price_data!A$1:C$190,3,FALSE))</f>
        <v>Open access</v>
      </c>
      <c r="T1020" s="2" t="str">
        <f>IF(C1020="Total", (VLOOKUP(B1020,Recommended_fish_intake!A$4:D$122,4,FALSE)), "NA")</f>
        <v>NA</v>
      </c>
      <c r="U1020" s="2" t="str">
        <f t="shared" si="123"/>
        <v>NA</v>
      </c>
    </row>
    <row r="1021" spans="1:21" ht="14.25" customHeight="1">
      <c r="A1021" s="2" t="s">
        <v>15</v>
      </c>
      <c r="B1021" s="2">
        <v>1969</v>
      </c>
      <c r="C1021" s="2" t="s">
        <v>36</v>
      </c>
      <c r="D1021" s="3">
        <f t="shared" si="124"/>
        <v>6.5535460272302375</v>
      </c>
      <c r="E1021" s="3">
        <f t="shared" si="125"/>
        <v>0.59499999999999997</v>
      </c>
      <c r="F1021" s="3" t="e">
        <f t="shared" si="126"/>
        <v>#N/A</v>
      </c>
      <c r="G1021" s="3" t="e">
        <f t="shared" si="127"/>
        <v>#N/A</v>
      </c>
      <c r="H1021" s="3">
        <f t="shared" si="128"/>
        <v>0.60963218857955692</v>
      </c>
      <c r="I1021" s="3">
        <f t="shared" si="129"/>
        <v>1.0820000000000001</v>
      </c>
      <c r="J1021" s="3">
        <v>6553.5460272302371</v>
      </c>
      <c r="K1021" s="3">
        <v>595</v>
      </c>
      <c r="L1021" s="3" t="e">
        <v>#N/A</v>
      </c>
      <c r="M1021" s="3" t="e">
        <v>#N/A</v>
      </c>
      <c r="N1021" s="3">
        <v>609.6321885795569</v>
      </c>
      <c r="O1021" s="3">
        <v>1082</v>
      </c>
      <c r="P1021" s="3">
        <f>E1021*(VLOOKUP(B1021,Price_data!A$1:B$190,2,FALSE))</f>
        <v>5.8183551670999991</v>
      </c>
      <c r="Q1021" s="3" t="e">
        <f>G1021*(VLOOKUP(B1021,Price_data!A$1:B$190,2,FALSE))</f>
        <v>#N/A</v>
      </c>
      <c r="R1021" s="3">
        <f>I1021*(VLOOKUP(B1021,Price_data!A$1:B$190,2,FALSE))</f>
        <v>10.58060553076</v>
      </c>
      <c r="S1021" s="4" t="str">
        <f>(VLOOKUP(B1021,Price_data!A$1:C$190,3,FALSE))</f>
        <v>Open access</v>
      </c>
      <c r="T1021" s="2" t="str">
        <f>IF(C1021="Total", (VLOOKUP(B1021,Recommended_fish_intake!A$4:D$122,4,FALSE)), "NA")</f>
        <v>NA</v>
      </c>
      <c r="U1021" s="2" t="str">
        <f t="shared" si="123"/>
        <v>NA</v>
      </c>
    </row>
    <row r="1022" spans="1:21" ht="14.25" customHeight="1">
      <c r="A1022" s="2" t="s">
        <v>15</v>
      </c>
      <c r="B1022" s="2">
        <v>1969</v>
      </c>
      <c r="C1022" s="2" t="s">
        <v>28</v>
      </c>
      <c r="D1022" s="3">
        <f t="shared" si="124"/>
        <v>50.599471652103226</v>
      </c>
      <c r="E1022" s="3">
        <f t="shared" si="125"/>
        <v>6.0309999999999997</v>
      </c>
      <c r="F1022" s="3">
        <f t="shared" si="126"/>
        <v>4.6738467791099367</v>
      </c>
      <c r="G1022" s="3">
        <f t="shared" si="127"/>
        <v>3.1549999999999998</v>
      </c>
      <c r="H1022" s="3">
        <f t="shared" si="128"/>
        <v>13.462710831131883</v>
      </c>
      <c r="I1022" s="3">
        <f t="shared" si="129"/>
        <v>11.385</v>
      </c>
      <c r="J1022" s="3">
        <v>50599.471652103224</v>
      </c>
      <c r="K1022" s="3">
        <v>6031</v>
      </c>
      <c r="L1022" s="3">
        <v>4673.8467791099365</v>
      </c>
      <c r="M1022" s="3">
        <v>3155</v>
      </c>
      <c r="N1022" s="3">
        <v>13462.710831131883</v>
      </c>
      <c r="O1022" s="3">
        <v>11385</v>
      </c>
      <c r="P1022" s="3">
        <f>E1022*(VLOOKUP(B1022,Price_data!A$1:B$190,2,FALSE))</f>
        <v>58.975630273579995</v>
      </c>
      <c r="Q1022" s="3">
        <f>G1022*(VLOOKUP(B1022,Price_data!A$1:B$190,2,FALSE))</f>
        <v>30.851950507899996</v>
      </c>
      <c r="R1022" s="3">
        <f>I1022*(VLOOKUP(B1022,Price_data!A$1:B$190,2,FALSE))</f>
        <v>111.33104802929999</v>
      </c>
      <c r="S1022" s="4" t="str">
        <f>(VLOOKUP(B1022,Price_data!A$1:C$190,3,FALSE))</f>
        <v>Open access</v>
      </c>
      <c r="T1022" s="2" t="str">
        <f>IF(C1022="Total", (VLOOKUP(B1022,Recommended_fish_intake!A$4:D$122,4,FALSE)), "NA")</f>
        <v>NA</v>
      </c>
      <c r="U1022" s="2">
        <f t="shared" si="123"/>
        <v>14.167852062588905</v>
      </c>
    </row>
    <row r="1023" spans="1:21" ht="14.25" customHeight="1">
      <c r="A1023" s="2" t="s">
        <v>15</v>
      </c>
      <c r="B1023" s="2">
        <v>1969</v>
      </c>
      <c r="C1023" s="2" t="s">
        <v>37</v>
      </c>
      <c r="D1023" s="3">
        <f t="shared" si="124"/>
        <v>903.42410079252181</v>
      </c>
      <c r="E1023" s="3">
        <f t="shared" si="125"/>
        <v>59.962000000000003</v>
      </c>
      <c r="F1023" s="3">
        <f t="shared" si="126"/>
        <v>74.222718959561064</v>
      </c>
      <c r="G1023" s="3">
        <f t="shared" si="127"/>
        <v>10.972</v>
      </c>
      <c r="H1023" s="3">
        <f t="shared" si="128"/>
        <v>184.4645397276976</v>
      </c>
      <c r="I1023" s="3">
        <f t="shared" si="129"/>
        <v>57.92</v>
      </c>
      <c r="J1023" s="3">
        <v>903424.10079252184</v>
      </c>
      <c r="K1023" s="3">
        <v>59962</v>
      </c>
      <c r="L1023" s="3">
        <v>74222.718959561069</v>
      </c>
      <c r="M1023" s="3">
        <v>10972</v>
      </c>
      <c r="N1023" s="3">
        <v>184464.53972769759</v>
      </c>
      <c r="O1023" s="3">
        <v>57920</v>
      </c>
      <c r="P1023" s="3">
        <f>E1023*(VLOOKUP(B1023,Price_data!A$1:B$190,2,FALSE))</f>
        <v>586.35329836916003</v>
      </c>
      <c r="Q1023" s="3">
        <f>G1023*(VLOOKUP(B1023,Price_data!A$1:B$190,2,FALSE))</f>
        <v>107.29242503095999</v>
      </c>
      <c r="R1023" s="3">
        <f>I1023*(VLOOKUP(B1023,Price_data!A$1:B$190,2,FALSE))</f>
        <v>566.38509458559997</v>
      </c>
      <c r="S1023" s="4" t="str">
        <f>(VLOOKUP(B1023,Price_data!A$1:C$190,3,FALSE))</f>
        <v>Open access</v>
      </c>
      <c r="T1023" s="2" t="str">
        <f>IF(C1023="Total", (VLOOKUP(B1023,Recommended_fish_intake!A$4:D$122,4,FALSE)), "NA")</f>
        <v>NA</v>
      </c>
      <c r="U1023" s="2">
        <f t="shared" si="123"/>
        <v>442.67780938833567</v>
      </c>
    </row>
    <row r="1024" spans="1:21" ht="14.25" customHeight="1">
      <c r="A1024" s="2" t="s">
        <v>18</v>
      </c>
      <c r="B1024" s="2">
        <v>1969</v>
      </c>
      <c r="C1024" s="2" t="s">
        <v>22</v>
      </c>
      <c r="D1024" s="3">
        <f t="shared" si="124"/>
        <v>328.5917496443812</v>
      </c>
      <c r="E1024" s="3">
        <f t="shared" si="125"/>
        <v>23.72</v>
      </c>
      <c r="F1024" s="3" t="e">
        <f t="shared" si="126"/>
        <v>#N/A</v>
      </c>
      <c r="G1024" s="3" t="e">
        <f t="shared" si="127"/>
        <v>#N/A</v>
      </c>
      <c r="H1024" s="3" t="e">
        <f t="shared" si="128"/>
        <v>#N/A</v>
      </c>
      <c r="I1024" s="3" t="e">
        <f t="shared" si="129"/>
        <v>#N/A</v>
      </c>
      <c r="J1024" s="3">
        <v>328591.74964438117</v>
      </c>
      <c r="K1024" s="3">
        <v>23720</v>
      </c>
      <c r="L1024" s="3" t="e">
        <v>#N/A</v>
      </c>
      <c r="M1024" s="3" t="e">
        <v>#N/A</v>
      </c>
      <c r="N1024" s="3" t="e">
        <v>#N/A</v>
      </c>
      <c r="O1024" s="3" t="e">
        <v>#N/A</v>
      </c>
      <c r="P1024" s="3">
        <f>E1024*(VLOOKUP(B1024,Price_data!A$1:B$190,2,FALSE))</f>
        <v>231.95190682959998</v>
      </c>
      <c r="Q1024" s="3" t="e">
        <f>G1024*(VLOOKUP(B1024,Price_data!A$1:B$190,2,FALSE))</f>
        <v>#N/A</v>
      </c>
      <c r="R1024" s="3" t="e">
        <f>I1024*(VLOOKUP(B1024,Price_data!A$1:B$190,2,FALSE))</f>
        <v>#N/A</v>
      </c>
      <c r="S1024" s="4" t="str">
        <f>(VLOOKUP(B1024,Price_data!A$1:C$190,3,FALSE))</f>
        <v>Open access</v>
      </c>
      <c r="T1024" s="2" t="str">
        <f>IF(C1024="Total", (VLOOKUP(B1024,Recommended_fish_intake!A$4:D$122,4,FALSE)), "NA")</f>
        <v>NA</v>
      </c>
      <c r="U1024" s="2" t="str">
        <f t="shared" si="123"/>
        <v>NA</v>
      </c>
    </row>
    <row r="1025" spans="1:21" ht="14.25" customHeight="1">
      <c r="A1025" s="2" t="s">
        <v>18</v>
      </c>
      <c r="B1025" s="2">
        <v>1969</v>
      </c>
      <c r="C1025" s="2" t="s">
        <v>23</v>
      </c>
      <c r="D1025" s="3">
        <f t="shared" si="124"/>
        <v>54.155659418817308</v>
      </c>
      <c r="E1025" s="3">
        <f t="shared" si="125"/>
        <v>5.0659999999999998</v>
      </c>
      <c r="F1025" s="3" t="e">
        <f t="shared" si="126"/>
        <v>#N/A</v>
      </c>
      <c r="G1025" s="3" t="e">
        <f t="shared" si="127"/>
        <v>#N/A</v>
      </c>
      <c r="H1025" s="3" t="e">
        <f t="shared" si="128"/>
        <v>#N/A</v>
      </c>
      <c r="I1025" s="3" t="e">
        <f t="shared" si="129"/>
        <v>#N/A</v>
      </c>
      <c r="J1025" s="3">
        <v>54155.659418817311</v>
      </c>
      <c r="K1025" s="3">
        <v>5066</v>
      </c>
      <c r="L1025" s="3" t="e">
        <v>#N/A</v>
      </c>
      <c r="M1025" s="3" t="e">
        <v>#N/A</v>
      </c>
      <c r="N1025" s="3" t="e">
        <v>#N/A</v>
      </c>
      <c r="O1025" s="3" t="e">
        <v>#N/A</v>
      </c>
      <c r="P1025" s="3">
        <f>E1025*(VLOOKUP(B1025,Price_data!A$1:B$190,2,FALSE))</f>
        <v>49.539138279879992</v>
      </c>
      <c r="Q1025" s="3" t="e">
        <f>G1025*(VLOOKUP(B1025,Price_data!A$1:B$190,2,FALSE))</f>
        <v>#N/A</v>
      </c>
      <c r="R1025" s="3" t="e">
        <f>I1025*(VLOOKUP(B1025,Price_data!A$1:B$190,2,FALSE))</f>
        <v>#N/A</v>
      </c>
      <c r="S1025" s="4" t="str">
        <f>(VLOOKUP(B1025,Price_data!A$1:C$190,3,FALSE))</f>
        <v>Open access</v>
      </c>
      <c r="T1025" s="2" t="str">
        <f>IF(C1025="Total", (VLOOKUP(B1025,Recommended_fish_intake!A$4:D$122,4,FALSE)), "NA")</f>
        <v>NA</v>
      </c>
      <c r="U1025" s="2" t="str">
        <f t="shared" si="123"/>
        <v>NA</v>
      </c>
    </row>
    <row r="1026" spans="1:21" ht="14.25" customHeight="1">
      <c r="A1026" s="2" t="s">
        <v>18</v>
      </c>
      <c r="B1026" s="2">
        <v>1969</v>
      </c>
      <c r="C1026" s="2" t="s">
        <v>25</v>
      </c>
      <c r="D1026" s="3">
        <f t="shared" si="124"/>
        <v>35.765088396667345</v>
      </c>
      <c r="E1026" s="3">
        <f t="shared" si="125"/>
        <v>4.6989999999999998</v>
      </c>
      <c r="F1026" s="3" t="e">
        <f t="shared" si="126"/>
        <v>#N/A</v>
      </c>
      <c r="G1026" s="3" t="e">
        <f t="shared" si="127"/>
        <v>#N/A</v>
      </c>
      <c r="H1026" s="3" t="e">
        <f t="shared" si="128"/>
        <v>#N/A</v>
      </c>
      <c r="I1026" s="3" t="e">
        <f t="shared" si="129"/>
        <v>#N/A</v>
      </c>
      <c r="J1026" s="3">
        <v>35765.088396667343</v>
      </c>
      <c r="K1026" s="3">
        <v>4699</v>
      </c>
      <c r="L1026" s="3" t="e">
        <v>#N/A</v>
      </c>
      <c r="M1026" s="3" t="e">
        <v>#N/A</v>
      </c>
      <c r="N1026" s="3" t="e">
        <v>#N/A</v>
      </c>
      <c r="O1026" s="3" t="e">
        <v>#N/A</v>
      </c>
      <c r="P1026" s="3">
        <f>E1026*(VLOOKUP(B1026,Price_data!A$1:B$190,2,FALSE))</f>
        <v>45.950337697819997</v>
      </c>
      <c r="Q1026" s="3" t="e">
        <f>G1026*(VLOOKUP(B1026,Price_data!A$1:B$190,2,FALSE))</f>
        <v>#N/A</v>
      </c>
      <c r="R1026" s="3" t="e">
        <f>I1026*(VLOOKUP(B1026,Price_data!A$1:B$190,2,FALSE))</f>
        <v>#N/A</v>
      </c>
      <c r="S1026" s="4" t="str">
        <f>(VLOOKUP(B1026,Price_data!A$1:C$190,3,FALSE))</f>
        <v>Open access</v>
      </c>
      <c r="T1026" s="2" t="str">
        <f>IF(C1026="Total", (VLOOKUP(B1026,Recommended_fish_intake!A$4:D$122,4,FALSE)), "NA")</f>
        <v>NA</v>
      </c>
      <c r="U1026" s="2" t="str">
        <f t="shared" ref="U1026:U1089" si="130">IF(C1026="Wet fish", D1026*0.49, IF(C1026="Shellfish", D1026*0.28, "NA"))</f>
        <v>NA</v>
      </c>
    </row>
    <row r="1027" spans="1:21" ht="14.25" customHeight="1">
      <c r="A1027" s="2" t="s">
        <v>18</v>
      </c>
      <c r="B1027" s="2">
        <v>1969</v>
      </c>
      <c r="C1027" s="2" t="s">
        <v>24</v>
      </c>
      <c r="D1027" s="3">
        <f t="shared" si="124"/>
        <v>4.6738467791099367</v>
      </c>
      <c r="E1027" s="3">
        <f t="shared" si="125"/>
        <v>0.26</v>
      </c>
      <c r="F1027" s="3" t="e">
        <f t="shared" si="126"/>
        <v>#N/A</v>
      </c>
      <c r="G1027" s="3" t="e">
        <f t="shared" si="127"/>
        <v>#N/A</v>
      </c>
      <c r="H1027" s="3" t="e">
        <f t="shared" si="128"/>
        <v>#N/A</v>
      </c>
      <c r="I1027" s="3" t="e">
        <f t="shared" si="129"/>
        <v>#N/A</v>
      </c>
      <c r="J1027" s="3">
        <v>4673.8467791099365</v>
      </c>
      <c r="K1027" s="3">
        <v>260</v>
      </c>
      <c r="L1027" s="3" t="e">
        <v>#N/A</v>
      </c>
      <c r="M1027" s="3" t="e">
        <v>#N/A</v>
      </c>
      <c r="N1027" s="3" t="e">
        <v>#N/A</v>
      </c>
      <c r="O1027" s="3" t="e">
        <v>#N/A</v>
      </c>
      <c r="P1027" s="3">
        <f>E1027*(VLOOKUP(B1027,Price_data!A$1:B$190,2,FALSE))</f>
        <v>2.5424745268</v>
      </c>
      <c r="Q1027" s="3" t="e">
        <f>G1027*(VLOOKUP(B1027,Price_data!A$1:B$190,2,FALSE))</f>
        <v>#N/A</v>
      </c>
      <c r="R1027" s="3" t="e">
        <f>I1027*(VLOOKUP(B1027,Price_data!A$1:B$190,2,FALSE))</f>
        <v>#N/A</v>
      </c>
      <c r="S1027" s="4" t="str">
        <f>(VLOOKUP(B1027,Price_data!A$1:C$190,3,FALSE))</f>
        <v>Open access</v>
      </c>
      <c r="T1027" s="2" t="str">
        <f>IF(C1027="Total", (VLOOKUP(B1027,Recommended_fish_intake!A$4:D$122,4,FALSE)), "NA")</f>
        <v>NA</v>
      </c>
      <c r="U1027" s="2" t="str">
        <f t="shared" si="130"/>
        <v>NA</v>
      </c>
    </row>
    <row r="1028" spans="1:21" ht="14.25" customHeight="1">
      <c r="A1028" s="2" t="s">
        <v>18</v>
      </c>
      <c r="B1028" s="2">
        <v>1969</v>
      </c>
      <c r="C1028" s="2" t="s">
        <v>19</v>
      </c>
      <c r="D1028" s="3">
        <f t="shared" si="124"/>
        <v>10.973379394432026</v>
      </c>
      <c r="E1028" s="3">
        <f t="shared" si="125"/>
        <v>0.34599999999999997</v>
      </c>
      <c r="F1028" s="3" t="e">
        <f t="shared" si="126"/>
        <v>#N/A</v>
      </c>
      <c r="G1028" s="3" t="e">
        <f t="shared" si="127"/>
        <v>#N/A</v>
      </c>
      <c r="H1028" s="3" t="e">
        <f t="shared" si="128"/>
        <v>#N/A</v>
      </c>
      <c r="I1028" s="3" t="e">
        <f t="shared" si="129"/>
        <v>#N/A</v>
      </c>
      <c r="J1028" s="3">
        <v>10973.379394432026</v>
      </c>
      <c r="K1028" s="3">
        <v>346</v>
      </c>
      <c r="L1028" s="3" t="e">
        <v>#N/A</v>
      </c>
      <c r="M1028" s="3" t="e">
        <v>#N/A</v>
      </c>
      <c r="N1028" s="3" t="e">
        <v>#N/A</v>
      </c>
      <c r="O1028" s="3" t="e">
        <v>#N/A</v>
      </c>
      <c r="P1028" s="3">
        <f>E1028*(VLOOKUP(B1028,Price_data!A$1:B$190,2,FALSE))</f>
        <v>3.3834468702799994</v>
      </c>
      <c r="Q1028" s="3" t="e">
        <f>G1028*(VLOOKUP(B1028,Price_data!A$1:B$190,2,FALSE))</f>
        <v>#N/A</v>
      </c>
      <c r="R1028" s="3" t="e">
        <f>I1028*(VLOOKUP(B1028,Price_data!A$1:B$190,2,FALSE))</f>
        <v>#N/A</v>
      </c>
      <c r="S1028" s="4" t="str">
        <f>(VLOOKUP(B1028,Price_data!A$1:C$190,3,FALSE))</f>
        <v>Open access</v>
      </c>
      <c r="T1028" s="2" t="str">
        <f>IF(C1028="Total", (VLOOKUP(B1028,Recommended_fish_intake!A$4:D$122,4,FALSE)), "NA")</f>
        <v>NA</v>
      </c>
      <c r="U1028" s="2" t="str">
        <f t="shared" si="130"/>
        <v>NA</v>
      </c>
    </row>
    <row r="1029" spans="1:21" ht="14.25" customHeight="1">
      <c r="A1029" s="2" t="s">
        <v>18</v>
      </c>
      <c r="B1029" s="2">
        <v>1969</v>
      </c>
      <c r="C1029" s="2" t="s">
        <v>21</v>
      </c>
      <c r="D1029" s="3">
        <f t="shared" si="124"/>
        <v>10.00812842918106</v>
      </c>
      <c r="E1029" s="3">
        <f t="shared" si="125"/>
        <v>0.123</v>
      </c>
      <c r="F1029" s="3" t="e">
        <f t="shared" si="126"/>
        <v>#N/A</v>
      </c>
      <c r="G1029" s="3" t="e">
        <f t="shared" si="127"/>
        <v>#N/A</v>
      </c>
      <c r="H1029" s="3" t="e">
        <f t="shared" si="128"/>
        <v>#N/A</v>
      </c>
      <c r="I1029" s="3" t="e">
        <f t="shared" si="129"/>
        <v>#N/A</v>
      </c>
      <c r="J1029" s="3">
        <v>10008.128429181059</v>
      </c>
      <c r="K1029" s="3">
        <v>123</v>
      </c>
      <c r="L1029" s="3" t="e">
        <v>#N/A</v>
      </c>
      <c r="M1029" s="3" t="e">
        <v>#N/A</v>
      </c>
      <c r="N1029" s="3" t="e">
        <v>#N/A</v>
      </c>
      <c r="O1029" s="3" t="e">
        <v>#N/A</v>
      </c>
      <c r="P1029" s="3">
        <f>E1029*(VLOOKUP(B1029,Price_data!A$1:B$190,2,FALSE))</f>
        <v>1.2027860261399999</v>
      </c>
      <c r="Q1029" s="3" t="e">
        <f>G1029*(VLOOKUP(B1029,Price_data!A$1:B$190,2,FALSE))</f>
        <v>#N/A</v>
      </c>
      <c r="R1029" s="3" t="e">
        <f>I1029*(VLOOKUP(B1029,Price_data!A$1:B$190,2,FALSE))</f>
        <v>#N/A</v>
      </c>
      <c r="S1029" s="4" t="str">
        <f>(VLOOKUP(B1029,Price_data!A$1:C$190,3,FALSE))</f>
        <v>Open access</v>
      </c>
      <c r="T1029" s="2" t="str">
        <f>IF(C1029="Total", (VLOOKUP(B1029,Recommended_fish_intake!A$4:D$122,4,FALSE)), "NA")</f>
        <v>NA</v>
      </c>
      <c r="U1029" s="2" t="str">
        <f t="shared" si="130"/>
        <v>NA</v>
      </c>
    </row>
    <row r="1030" spans="1:21" ht="14.25" customHeight="1">
      <c r="A1030" s="2" t="s">
        <v>18</v>
      </c>
      <c r="B1030" s="2">
        <v>1969</v>
      </c>
      <c r="C1030" s="2" t="s">
        <v>34</v>
      </c>
      <c r="D1030" s="3">
        <f t="shared" si="124"/>
        <v>0.35561877667140823</v>
      </c>
      <c r="E1030" s="3">
        <f t="shared" si="125"/>
        <v>0.44700000000000001</v>
      </c>
      <c r="F1030" s="3" t="e">
        <f t="shared" si="126"/>
        <v>#N/A</v>
      </c>
      <c r="G1030" s="3" t="e">
        <f t="shared" si="127"/>
        <v>#N/A</v>
      </c>
      <c r="H1030" s="3" t="e">
        <f t="shared" si="128"/>
        <v>#N/A</v>
      </c>
      <c r="I1030" s="3" t="e">
        <f t="shared" si="129"/>
        <v>#N/A</v>
      </c>
      <c r="J1030" s="3">
        <v>355.61877667140823</v>
      </c>
      <c r="K1030" s="3">
        <v>447</v>
      </c>
      <c r="L1030" s="3" t="e">
        <v>#N/A</v>
      </c>
      <c r="M1030" s="3" t="e">
        <v>#N/A</v>
      </c>
      <c r="N1030" s="3" t="e">
        <v>#N/A</v>
      </c>
      <c r="O1030" s="3" t="e">
        <v>#N/A</v>
      </c>
      <c r="P1030" s="3">
        <f>E1030*(VLOOKUP(B1030,Price_data!A$1:B$190,2,FALSE))</f>
        <v>4.3711004364599999</v>
      </c>
      <c r="Q1030" s="3" t="e">
        <f>G1030*(VLOOKUP(B1030,Price_data!A$1:B$190,2,FALSE))</f>
        <v>#N/A</v>
      </c>
      <c r="R1030" s="3" t="e">
        <f>I1030*(VLOOKUP(B1030,Price_data!A$1:B$190,2,FALSE))</f>
        <v>#N/A</v>
      </c>
      <c r="S1030" s="4" t="str">
        <f>(VLOOKUP(B1030,Price_data!A$1:C$190,3,FALSE))</f>
        <v>Open access</v>
      </c>
      <c r="T1030" s="2" t="str">
        <f>IF(C1030="Total", (VLOOKUP(B1030,Recommended_fish_intake!A$4:D$122,4,FALSE)), "NA")</f>
        <v>NA</v>
      </c>
      <c r="U1030" s="2" t="str">
        <f t="shared" si="130"/>
        <v>NA</v>
      </c>
    </row>
    <row r="1031" spans="1:21" ht="14.25" customHeight="1">
      <c r="A1031" s="2" t="s">
        <v>18</v>
      </c>
      <c r="B1031" s="2">
        <v>1969</v>
      </c>
      <c r="C1031" s="2" t="s">
        <v>35</v>
      </c>
      <c r="D1031" s="3">
        <f t="shared" si="124"/>
        <v>0.86364560048770567</v>
      </c>
      <c r="E1031" s="3">
        <f t="shared" si="125"/>
        <v>0.26700000000000002</v>
      </c>
      <c r="F1031" s="3" t="e">
        <f t="shared" si="126"/>
        <v>#N/A</v>
      </c>
      <c r="G1031" s="3" t="e">
        <f t="shared" si="127"/>
        <v>#N/A</v>
      </c>
      <c r="H1031" s="3" t="e">
        <f t="shared" si="128"/>
        <v>#N/A</v>
      </c>
      <c r="I1031" s="3" t="e">
        <f t="shared" si="129"/>
        <v>#N/A</v>
      </c>
      <c r="J1031" s="3">
        <v>863.64560048770568</v>
      </c>
      <c r="K1031" s="3">
        <v>267</v>
      </c>
      <c r="L1031" s="3" t="e">
        <v>#N/A</v>
      </c>
      <c r="M1031" s="3" t="e">
        <v>#N/A</v>
      </c>
      <c r="N1031" s="3" t="e">
        <v>#N/A</v>
      </c>
      <c r="O1031" s="3" t="e">
        <v>#N/A</v>
      </c>
      <c r="P1031" s="3">
        <f>E1031*(VLOOKUP(B1031,Price_data!A$1:B$190,2,FALSE))</f>
        <v>2.6109257640600001</v>
      </c>
      <c r="Q1031" s="3" t="e">
        <f>G1031*(VLOOKUP(B1031,Price_data!A$1:B$190,2,FALSE))</f>
        <v>#N/A</v>
      </c>
      <c r="R1031" s="3" t="e">
        <f>I1031*(VLOOKUP(B1031,Price_data!A$1:B$190,2,FALSE))</f>
        <v>#N/A</v>
      </c>
      <c r="S1031" s="4" t="str">
        <f>(VLOOKUP(B1031,Price_data!A$1:C$190,3,FALSE))</f>
        <v>Open access</v>
      </c>
      <c r="T1031" s="2" t="str">
        <f>IF(C1031="Total", (VLOOKUP(B1031,Recommended_fish_intake!A$4:D$122,4,FALSE)), "NA")</f>
        <v>NA</v>
      </c>
      <c r="U1031" s="2" t="str">
        <f t="shared" si="130"/>
        <v>NA</v>
      </c>
    </row>
    <row r="1032" spans="1:21" ht="14.25" customHeight="1">
      <c r="A1032" s="2" t="s">
        <v>18</v>
      </c>
      <c r="B1032" s="2">
        <v>1969</v>
      </c>
      <c r="C1032" s="2" t="s">
        <v>30</v>
      </c>
      <c r="D1032" s="3">
        <f t="shared" si="124"/>
        <v>1.2700670595407437</v>
      </c>
      <c r="E1032" s="3">
        <f t="shared" si="125"/>
        <v>0.19400000000000001</v>
      </c>
      <c r="F1032" s="3" t="e">
        <f t="shared" si="126"/>
        <v>#N/A</v>
      </c>
      <c r="G1032" s="3" t="e">
        <f t="shared" si="127"/>
        <v>#N/A</v>
      </c>
      <c r="H1032" s="3" t="e">
        <f t="shared" si="128"/>
        <v>#N/A</v>
      </c>
      <c r="I1032" s="3" t="e">
        <f t="shared" si="129"/>
        <v>#N/A</v>
      </c>
      <c r="J1032" s="3">
        <v>1270.0670595407437</v>
      </c>
      <c r="K1032" s="3">
        <v>194</v>
      </c>
      <c r="L1032" s="3" t="e">
        <v>#N/A</v>
      </c>
      <c r="M1032" s="3" t="e">
        <v>#N/A</v>
      </c>
      <c r="N1032" s="3" t="e">
        <v>#N/A</v>
      </c>
      <c r="O1032" s="3" t="e">
        <v>#N/A</v>
      </c>
      <c r="P1032" s="3">
        <f>E1032*(VLOOKUP(B1032,Price_data!A$1:B$190,2,FALSE))</f>
        <v>1.8970771469199998</v>
      </c>
      <c r="Q1032" s="3" t="e">
        <f>G1032*(VLOOKUP(B1032,Price_data!A$1:B$190,2,FALSE))</f>
        <v>#N/A</v>
      </c>
      <c r="R1032" s="3" t="e">
        <f>I1032*(VLOOKUP(B1032,Price_data!A$1:B$190,2,FALSE))</f>
        <v>#N/A</v>
      </c>
      <c r="S1032" s="4" t="str">
        <f>(VLOOKUP(B1032,Price_data!A$1:C$190,3,FALSE))</f>
        <v>Open access</v>
      </c>
      <c r="T1032" s="2" t="str">
        <f>IF(C1032="Total", (VLOOKUP(B1032,Recommended_fish_intake!A$4:D$122,4,FALSE)), "NA")</f>
        <v>NA</v>
      </c>
      <c r="U1032" s="2" t="str">
        <f t="shared" si="130"/>
        <v>NA</v>
      </c>
    </row>
    <row r="1033" spans="1:21" ht="14.25" customHeight="1">
      <c r="A1033" s="2" t="s">
        <v>18</v>
      </c>
      <c r="B1033" s="2">
        <v>1969</v>
      </c>
      <c r="C1033" s="2" t="s">
        <v>36</v>
      </c>
      <c r="D1033" s="3">
        <f t="shared" si="124"/>
        <v>4.1658199552936397</v>
      </c>
      <c r="E1033" s="3">
        <f t="shared" si="125"/>
        <v>0.44600000000000001</v>
      </c>
      <c r="F1033" s="3" t="e">
        <f t="shared" si="126"/>
        <v>#N/A</v>
      </c>
      <c r="G1033" s="3" t="e">
        <f t="shared" si="127"/>
        <v>#N/A</v>
      </c>
      <c r="H1033" s="3" t="e">
        <f t="shared" si="128"/>
        <v>#N/A</v>
      </c>
      <c r="I1033" s="3" t="e">
        <f t="shared" si="129"/>
        <v>#N/A</v>
      </c>
      <c r="J1033" s="3">
        <v>4165.8199552936394</v>
      </c>
      <c r="K1033" s="3">
        <v>446</v>
      </c>
      <c r="L1033" s="3" t="e">
        <v>#N/A</v>
      </c>
      <c r="M1033" s="3" t="e">
        <v>#N/A</v>
      </c>
      <c r="N1033" s="3" t="e">
        <v>#N/A</v>
      </c>
      <c r="O1033" s="3" t="e">
        <v>#N/A</v>
      </c>
      <c r="P1033" s="3">
        <f>E1033*(VLOOKUP(B1033,Price_data!A$1:B$190,2,FALSE))</f>
        <v>4.3613216882799994</v>
      </c>
      <c r="Q1033" s="3" t="e">
        <f>G1033*(VLOOKUP(B1033,Price_data!A$1:B$190,2,FALSE))</f>
        <v>#N/A</v>
      </c>
      <c r="R1033" s="3" t="e">
        <f>I1033*(VLOOKUP(B1033,Price_data!A$1:B$190,2,FALSE))</f>
        <v>#N/A</v>
      </c>
      <c r="S1033" s="4" t="str">
        <f>(VLOOKUP(B1033,Price_data!A$1:C$190,3,FALSE))</f>
        <v>Open access</v>
      </c>
      <c r="T1033" s="2" t="str">
        <f>IF(C1033="Total", (VLOOKUP(B1033,Recommended_fish_intake!A$4:D$122,4,FALSE)), "NA")</f>
        <v>NA</v>
      </c>
      <c r="U1033" s="2" t="str">
        <f t="shared" si="130"/>
        <v>NA</v>
      </c>
    </row>
    <row r="1034" spans="1:21" ht="14.25" customHeight="1">
      <c r="A1034" s="2" t="s">
        <v>18</v>
      </c>
      <c r="B1034" s="2">
        <v>1969</v>
      </c>
      <c r="C1034" s="2" t="s">
        <v>28</v>
      </c>
      <c r="D1034" s="3">
        <f t="shared" si="124"/>
        <v>28.754318228002436</v>
      </c>
      <c r="E1034" s="3">
        <f t="shared" si="125"/>
        <v>2.08</v>
      </c>
      <c r="F1034" s="3" t="e">
        <f t="shared" si="126"/>
        <v>#N/A</v>
      </c>
      <c r="G1034" s="3" t="e">
        <f t="shared" si="127"/>
        <v>#N/A</v>
      </c>
      <c r="H1034" s="3" t="e">
        <f t="shared" si="128"/>
        <v>#N/A</v>
      </c>
      <c r="I1034" s="3" t="e">
        <f t="shared" si="129"/>
        <v>#N/A</v>
      </c>
      <c r="J1034" s="3">
        <v>28754.318228002438</v>
      </c>
      <c r="K1034" s="3">
        <v>2080</v>
      </c>
      <c r="L1034" s="3" t="e">
        <v>#N/A</v>
      </c>
      <c r="M1034" s="3" t="e">
        <v>#N/A</v>
      </c>
      <c r="N1034" s="3" t="e">
        <v>#N/A</v>
      </c>
      <c r="O1034" s="3" t="e">
        <v>#N/A</v>
      </c>
      <c r="P1034" s="3">
        <f>E1034*(VLOOKUP(B1034,Price_data!A$1:B$190,2,FALSE))</f>
        <v>20.3397962144</v>
      </c>
      <c r="Q1034" s="3" t="e">
        <f>G1034*(VLOOKUP(B1034,Price_data!A$1:B$190,2,FALSE))</f>
        <v>#N/A</v>
      </c>
      <c r="R1034" s="3" t="e">
        <f>I1034*(VLOOKUP(B1034,Price_data!A$1:B$190,2,FALSE))</f>
        <v>#N/A</v>
      </c>
      <c r="S1034" s="4" t="str">
        <f>(VLOOKUP(B1034,Price_data!A$1:C$190,3,FALSE))</f>
        <v>Open access</v>
      </c>
      <c r="T1034" s="2" t="str">
        <f>IF(C1034="Total", (VLOOKUP(B1034,Recommended_fish_intake!A$4:D$122,4,FALSE)), "NA")</f>
        <v>NA</v>
      </c>
      <c r="U1034" s="2">
        <f t="shared" si="130"/>
        <v>8.0512091038406837</v>
      </c>
    </row>
    <row r="1035" spans="1:21" ht="14.25" customHeight="1">
      <c r="A1035" s="2" t="s">
        <v>18</v>
      </c>
      <c r="B1035" s="2">
        <v>1969</v>
      </c>
      <c r="C1035" s="2" t="s">
        <v>37</v>
      </c>
      <c r="D1035" s="3">
        <f t="shared" si="124"/>
        <v>540.99776468197513</v>
      </c>
      <c r="E1035" s="3">
        <f t="shared" si="125"/>
        <v>40.768999999999998</v>
      </c>
      <c r="F1035" s="3" t="e">
        <f t="shared" si="126"/>
        <v>#N/A</v>
      </c>
      <c r="G1035" s="3" t="e">
        <f t="shared" si="127"/>
        <v>#N/A</v>
      </c>
      <c r="H1035" s="3" t="e">
        <f t="shared" si="128"/>
        <v>#N/A</v>
      </c>
      <c r="I1035" s="3" t="e">
        <f t="shared" si="129"/>
        <v>#N/A</v>
      </c>
      <c r="J1035" s="3">
        <v>540997.76468197512</v>
      </c>
      <c r="K1035" s="3">
        <v>40769</v>
      </c>
      <c r="L1035" s="3" t="e">
        <v>#N/A</v>
      </c>
      <c r="M1035" s="3" t="e">
        <v>#N/A</v>
      </c>
      <c r="N1035" s="3" t="e">
        <v>#N/A</v>
      </c>
      <c r="O1035" s="3" t="e">
        <v>#N/A</v>
      </c>
      <c r="P1035" s="3">
        <f>E1035*(VLOOKUP(B1035,Price_data!A$1:B$190,2,FALSE))</f>
        <v>398.66978455041993</v>
      </c>
      <c r="Q1035" s="3" t="e">
        <f>G1035*(VLOOKUP(B1035,Price_data!A$1:B$190,2,FALSE))</f>
        <v>#N/A</v>
      </c>
      <c r="R1035" s="3" t="e">
        <f>I1035*(VLOOKUP(B1035,Price_data!A$1:B$190,2,FALSE))</f>
        <v>#N/A</v>
      </c>
      <c r="S1035" s="4" t="str">
        <f>(VLOOKUP(B1035,Price_data!A$1:C$190,3,FALSE))</f>
        <v>Open access</v>
      </c>
      <c r="T1035" s="2" t="str">
        <f>IF(C1035="Total", (VLOOKUP(B1035,Recommended_fish_intake!A$4:D$122,4,FALSE)), "NA")</f>
        <v>NA</v>
      </c>
      <c r="U1035" s="2">
        <f t="shared" si="130"/>
        <v>265.08890469416781</v>
      </c>
    </row>
    <row r="1036" spans="1:21" ht="14.25" customHeight="1">
      <c r="A1036" s="2" t="s">
        <v>39</v>
      </c>
      <c r="B1036" s="2">
        <v>1969</v>
      </c>
      <c r="C1036" s="2" t="s">
        <v>22</v>
      </c>
      <c r="D1036" s="3">
        <f t="shared" si="124"/>
        <v>50.345458240195079</v>
      </c>
      <c r="E1036" s="3">
        <f t="shared" si="125"/>
        <v>4.0469999999999997</v>
      </c>
      <c r="F1036" s="3" t="e">
        <f t="shared" si="126"/>
        <v>#N/A</v>
      </c>
      <c r="G1036" s="3" t="e">
        <f t="shared" si="127"/>
        <v>#N/A</v>
      </c>
      <c r="H1036" s="3" t="e">
        <f t="shared" si="128"/>
        <v>#N/A</v>
      </c>
      <c r="I1036" s="3" t="e">
        <f t="shared" si="129"/>
        <v>#N/A</v>
      </c>
      <c r="J1036" s="3">
        <v>50345.458240195076</v>
      </c>
      <c r="K1036" s="3">
        <v>4047</v>
      </c>
      <c r="L1036" s="3" t="e">
        <v>#N/A</v>
      </c>
      <c r="M1036" s="3" t="e">
        <v>#N/A</v>
      </c>
      <c r="N1036" s="3" t="e">
        <v>#N/A</v>
      </c>
      <c r="O1036" s="3" t="e">
        <v>#N/A</v>
      </c>
      <c r="P1036" s="3">
        <f>E1036*(VLOOKUP(B1036,Price_data!A$1:B$190,2,FALSE))</f>
        <v>39.574593884459993</v>
      </c>
      <c r="Q1036" s="3" t="e">
        <f>G1036*(VLOOKUP(B1036,Price_data!A$1:B$190,2,FALSE))</f>
        <v>#N/A</v>
      </c>
      <c r="R1036" s="3" t="e">
        <f>I1036*(VLOOKUP(B1036,Price_data!A$1:B$190,2,FALSE))</f>
        <v>#N/A</v>
      </c>
      <c r="S1036" s="4" t="str">
        <f>(VLOOKUP(B1036,Price_data!A$1:C$190,3,FALSE))</f>
        <v>Open access</v>
      </c>
      <c r="T1036" s="2" t="str">
        <f>IF(C1036="Total", (VLOOKUP(B1036,Recommended_fish_intake!A$4:D$122,4,FALSE)), "NA")</f>
        <v>NA</v>
      </c>
      <c r="U1036" s="2" t="str">
        <f t="shared" si="130"/>
        <v>NA</v>
      </c>
    </row>
    <row r="1037" spans="1:21" ht="14.25" customHeight="1">
      <c r="A1037" s="2" t="s">
        <v>39</v>
      </c>
      <c r="B1037" s="2">
        <v>1969</v>
      </c>
      <c r="C1037" s="2" t="s">
        <v>23</v>
      </c>
      <c r="D1037" s="3">
        <f t="shared" si="124"/>
        <v>88.701483438325539</v>
      </c>
      <c r="E1037" s="3">
        <f t="shared" si="125"/>
        <v>6.3390000000000004</v>
      </c>
      <c r="F1037" s="3" t="e">
        <f t="shared" si="126"/>
        <v>#N/A</v>
      </c>
      <c r="G1037" s="3" t="e">
        <f t="shared" si="127"/>
        <v>#N/A</v>
      </c>
      <c r="H1037" s="3" t="e">
        <f t="shared" si="128"/>
        <v>#N/A</v>
      </c>
      <c r="I1037" s="3" t="e">
        <f t="shared" si="129"/>
        <v>#N/A</v>
      </c>
      <c r="J1037" s="3">
        <v>88701.483438325537</v>
      </c>
      <c r="K1037" s="3">
        <v>6339</v>
      </c>
      <c r="L1037" s="3" t="e">
        <v>#N/A</v>
      </c>
      <c r="M1037" s="3" t="e">
        <v>#N/A</v>
      </c>
      <c r="N1037" s="3" t="e">
        <v>#N/A</v>
      </c>
      <c r="O1037" s="3" t="e">
        <v>#N/A</v>
      </c>
      <c r="P1037" s="3">
        <f>E1037*(VLOOKUP(B1037,Price_data!A$1:B$190,2,FALSE))</f>
        <v>61.987484713019995</v>
      </c>
      <c r="Q1037" s="3" t="e">
        <f>G1037*(VLOOKUP(B1037,Price_data!A$1:B$190,2,FALSE))</f>
        <v>#N/A</v>
      </c>
      <c r="R1037" s="3" t="e">
        <f>I1037*(VLOOKUP(B1037,Price_data!A$1:B$190,2,FALSE))</f>
        <v>#N/A</v>
      </c>
      <c r="S1037" s="4" t="str">
        <f>(VLOOKUP(B1037,Price_data!A$1:C$190,3,FALSE))</f>
        <v>Open access</v>
      </c>
      <c r="T1037" s="2" t="str">
        <f>IF(C1037="Total", (VLOOKUP(B1037,Recommended_fish_intake!A$4:D$122,4,FALSE)), "NA")</f>
        <v>NA</v>
      </c>
      <c r="U1037" s="2" t="str">
        <f t="shared" si="130"/>
        <v>NA</v>
      </c>
    </row>
    <row r="1038" spans="1:21" ht="14.25" customHeight="1">
      <c r="A1038" s="2" t="s">
        <v>39</v>
      </c>
      <c r="B1038" s="2">
        <v>1969</v>
      </c>
      <c r="C1038" s="2" t="s">
        <v>25</v>
      </c>
      <c r="D1038" s="3">
        <f t="shared" si="124"/>
        <v>5.6899004267425317</v>
      </c>
      <c r="E1038" s="3">
        <f t="shared" si="125"/>
        <v>0.73</v>
      </c>
      <c r="F1038" s="3" t="e">
        <f t="shared" si="126"/>
        <v>#N/A</v>
      </c>
      <c r="G1038" s="3" t="e">
        <f t="shared" si="127"/>
        <v>#N/A</v>
      </c>
      <c r="H1038" s="3" t="e">
        <f t="shared" si="128"/>
        <v>#N/A</v>
      </c>
      <c r="I1038" s="3" t="e">
        <f t="shared" si="129"/>
        <v>#N/A</v>
      </c>
      <c r="J1038" s="3">
        <v>5689.9004267425316</v>
      </c>
      <c r="K1038" s="3">
        <v>730</v>
      </c>
      <c r="L1038" s="3" t="e">
        <v>#N/A</v>
      </c>
      <c r="M1038" s="3" t="e">
        <v>#N/A</v>
      </c>
      <c r="N1038" s="3" t="e">
        <v>#N/A</v>
      </c>
      <c r="O1038" s="3" t="e">
        <v>#N/A</v>
      </c>
      <c r="P1038" s="3">
        <f>E1038*(VLOOKUP(B1038,Price_data!A$1:B$190,2,FALSE))</f>
        <v>7.1384861713999994</v>
      </c>
      <c r="Q1038" s="3" t="e">
        <f>G1038*(VLOOKUP(B1038,Price_data!A$1:B$190,2,FALSE))</f>
        <v>#N/A</v>
      </c>
      <c r="R1038" s="3" t="e">
        <f>I1038*(VLOOKUP(B1038,Price_data!A$1:B$190,2,FALSE))</f>
        <v>#N/A</v>
      </c>
      <c r="S1038" s="4" t="str">
        <f>(VLOOKUP(B1038,Price_data!A$1:C$190,3,FALSE))</f>
        <v>Open access</v>
      </c>
      <c r="T1038" s="2" t="str">
        <f>IF(C1038="Total", (VLOOKUP(B1038,Recommended_fish_intake!A$4:D$122,4,FALSE)), "NA")</f>
        <v>NA</v>
      </c>
      <c r="U1038" s="2" t="str">
        <f t="shared" si="130"/>
        <v>NA</v>
      </c>
    </row>
    <row r="1039" spans="1:21" ht="14.25" customHeight="1">
      <c r="A1039" s="2" t="s">
        <v>39</v>
      </c>
      <c r="B1039" s="2">
        <v>1969</v>
      </c>
      <c r="C1039" s="2" t="s">
        <v>24</v>
      </c>
      <c r="D1039" s="3">
        <f t="shared" si="124"/>
        <v>26.773013615118877</v>
      </c>
      <c r="E1039" s="3">
        <f t="shared" si="125"/>
        <v>1.6379999999999999</v>
      </c>
      <c r="F1039" s="3" t="e">
        <f t="shared" si="126"/>
        <v>#N/A</v>
      </c>
      <c r="G1039" s="3" t="e">
        <f t="shared" si="127"/>
        <v>#N/A</v>
      </c>
      <c r="H1039" s="3" t="e">
        <f t="shared" si="128"/>
        <v>#N/A</v>
      </c>
      <c r="I1039" s="3" t="e">
        <f t="shared" si="129"/>
        <v>#N/A</v>
      </c>
      <c r="J1039" s="3">
        <v>26773.013615118878</v>
      </c>
      <c r="K1039" s="3">
        <v>1638</v>
      </c>
      <c r="L1039" s="3" t="e">
        <v>#N/A</v>
      </c>
      <c r="M1039" s="3" t="e">
        <v>#N/A</v>
      </c>
      <c r="N1039" s="3" t="e">
        <v>#N/A</v>
      </c>
      <c r="O1039" s="3" t="e">
        <v>#N/A</v>
      </c>
      <c r="P1039" s="3">
        <f>E1039*(VLOOKUP(B1039,Price_data!A$1:B$190,2,FALSE))</f>
        <v>16.017589518839998</v>
      </c>
      <c r="Q1039" s="3" t="e">
        <f>G1039*(VLOOKUP(B1039,Price_data!A$1:B$190,2,FALSE))</f>
        <v>#N/A</v>
      </c>
      <c r="R1039" s="3" t="e">
        <f>I1039*(VLOOKUP(B1039,Price_data!A$1:B$190,2,FALSE))</f>
        <v>#N/A</v>
      </c>
      <c r="S1039" s="4" t="str">
        <f>(VLOOKUP(B1039,Price_data!A$1:C$190,3,FALSE))</f>
        <v>Open access</v>
      </c>
      <c r="T1039" s="2" t="str">
        <f>IF(C1039="Total", (VLOOKUP(B1039,Recommended_fish_intake!A$4:D$122,4,FALSE)), "NA")</f>
        <v>NA</v>
      </c>
      <c r="U1039" s="2" t="str">
        <f t="shared" si="130"/>
        <v>NA</v>
      </c>
    </row>
    <row r="1040" spans="1:21" ht="14.25" customHeight="1">
      <c r="A1040" s="2" t="s">
        <v>39</v>
      </c>
      <c r="B1040" s="2">
        <v>1969</v>
      </c>
      <c r="C1040" s="2" t="s">
        <v>19</v>
      </c>
      <c r="D1040" s="3">
        <f t="shared" si="124"/>
        <v>111.96911196911196</v>
      </c>
      <c r="E1040" s="3">
        <f t="shared" si="125"/>
        <v>2.9159999999999999</v>
      </c>
      <c r="F1040" s="3" t="e">
        <f t="shared" si="126"/>
        <v>#N/A</v>
      </c>
      <c r="G1040" s="3" t="e">
        <f t="shared" si="127"/>
        <v>#N/A</v>
      </c>
      <c r="H1040" s="3" t="e">
        <f t="shared" si="128"/>
        <v>#N/A</v>
      </c>
      <c r="I1040" s="3" t="e">
        <f t="shared" si="129"/>
        <v>#N/A</v>
      </c>
      <c r="J1040" s="3">
        <v>111969.11196911197</v>
      </c>
      <c r="K1040" s="3">
        <v>2916</v>
      </c>
      <c r="L1040" s="3" t="e">
        <v>#N/A</v>
      </c>
      <c r="M1040" s="3" t="e">
        <v>#N/A</v>
      </c>
      <c r="N1040" s="3" t="e">
        <v>#N/A</v>
      </c>
      <c r="O1040" s="3" t="e">
        <v>#N/A</v>
      </c>
      <c r="P1040" s="3">
        <f>E1040*(VLOOKUP(B1040,Price_data!A$1:B$190,2,FALSE))</f>
        <v>28.514829692879996</v>
      </c>
      <c r="Q1040" s="3" t="e">
        <f>G1040*(VLOOKUP(B1040,Price_data!A$1:B$190,2,FALSE))</f>
        <v>#N/A</v>
      </c>
      <c r="R1040" s="3" t="e">
        <f>I1040*(VLOOKUP(B1040,Price_data!A$1:B$190,2,FALSE))</f>
        <v>#N/A</v>
      </c>
      <c r="S1040" s="4" t="str">
        <f>(VLOOKUP(B1040,Price_data!A$1:C$190,3,FALSE))</f>
        <v>Open access</v>
      </c>
      <c r="T1040" s="2" t="str">
        <f>IF(C1040="Total", (VLOOKUP(B1040,Recommended_fish_intake!A$4:D$122,4,FALSE)), "NA")</f>
        <v>NA</v>
      </c>
      <c r="U1040" s="2" t="str">
        <f t="shared" si="130"/>
        <v>NA</v>
      </c>
    </row>
    <row r="1041" spans="1:21" ht="14.25" customHeight="1">
      <c r="A1041" s="2" t="s">
        <v>39</v>
      </c>
      <c r="B1041" s="2">
        <v>1969</v>
      </c>
      <c r="C1041" s="2" t="s">
        <v>21</v>
      </c>
      <c r="D1041" s="3">
        <f t="shared" si="124"/>
        <v>37.289168868116235</v>
      </c>
      <c r="E1041" s="3">
        <f t="shared" si="125"/>
        <v>0.38600000000000001</v>
      </c>
      <c r="F1041" s="3" t="e">
        <f t="shared" si="126"/>
        <v>#N/A</v>
      </c>
      <c r="G1041" s="3" t="e">
        <f t="shared" si="127"/>
        <v>#N/A</v>
      </c>
      <c r="H1041" s="3" t="e">
        <f t="shared" si="128"/>
        <v>#N/A</v>
      </c>
      <c r="I1041" s="3" t="e">
        <f t="shared" si="129"/>
        <v>#N/A</v>
      </c>
      <c r="J1041" s="3">
        <v>37289.168868116234</v>
      </c>
      <c r="K1041" s="3">
        <v>386</v>
      </c>
      <c r="L1041" s="3" t="e">
        <v>#N/A</v>
      </c>
      <c r="M1041" s="3" t="e">
        <v>#N/A</v>
      </c>
      <c r="N1041" s="3" t="e">
        <v>#N/A</v>
      </c>
      <c r="O1041" s="3" t="e">
        <v>#N/A</v>
      </c>
      <c r="P1041" s="3">
        <f>E1041*(VLOOKUP(B1041,Price_data!A$1:B$190,2,FALSE))</f>
        <v>3.7745967974799997</v>
      </c>
      <c r="Q1041" s="3" t="e">
        <f>G1041*(VLOOKUP(B1041,Price_data!A$1:B$190,2,FALSE))</f>
        <v>#N/A</v>
      </c>
      <c r="R1041" s="3" t="e">
        <f>I1041*(VLOOKUP(B1041,Price_data!A$1:B$190,2,FALSE))</f>
        <v>#N/A</v>
      </c>
      <c r="S1041" s="4" t="str">
        <f>(VLOOKUP(B1041,Price_data!A$1:C$190,3,FALSE))</f>
        <v>Open access</v>
      </c>
      <c r="T1041" s="2" t="str">
        <f>IF(C1041="Total", (VLOOKUP(B1041,Recommended_fish_intake!A$4:D$122,4,FALSE)), "NA")</f>
        <v>NA</v>
      </c>
      <c r="U1041" s="2" t="str">
        <f t="shared" si="130"/>
        <v>NA</v>
      </c>
    </row>
    <row r="1042" spans="1:21" ht="14.25" customHeight="1">
      <c r="A1042" s="2" t="s">
        <v>39</v>
      </c>
      <c r="B1042" s="2">
        <v>1969</v>
      </c>
      <c r="C1042" s="2" t="s">
        <v>34</v>
      </c>
      <c r="D1042" s="3">
        <f t="shared" si="124"/>
        <v>0.55882950619792726</v>
      </c>
      <c r="E1042" s="3">
        <f t="shared" si="125"/>
        <v>0.71299999999999997</v>
      </c>
      <c r="F1042" s="3" t="e">
        <f t="shared" si="126"/>
        <v>#N/A</v>
      </c>
      <c r="G1042" s="3" t="e">
        <f t="shared" si="127"/>
        <v>#N/A</v>
      </c>
      <c r="H1042" s="3" t="e">
        <f t="shared" si="128"/>
        <v>#N/A</v>
      </c>
      <c r="I1042" s="3" t="e">
        <f t="shared" si="129"/>
        <v>#N/A</v>
      </c>
      <c r="J1042" s="3">
        <v>558.82950619792723</v>
      </c>
      <c r="K1042" s="3">
        <v>713</v>
      </c>
      <c r="L1042" s="3" t="e">
        <v>#N/A</v>
      </c>
      <c r="M1042" s="3" t="e">
        <v>#N/A</v>
      </c>
      <c r="N1042" s="3" t="e">
        <v>#N/A</v>
      </c>
      <c r="O1042" s="3" t="e">
        <v>#N/A</v>
      </c>
      <c r="P1042" s="3">
        <f>E1042*(VLOOKUP(B1042,Price_data!A$1:B$190,2,FALSE))</f>
        <v>6.9722474523399987</v>
      </c>
      <c r="Q1042" s="3" t="e">
        <f>G1042*(VLOOKUP(B1042,Price_data!A$1:B$190,2,FALSE))</f>
        <v>#N/A</v>
      </c>
      <c r="R1042" s="3" t="e">
        <f>I1042*(VLOOKUP(B1042,Price_data!A$1:B$190,2,FALSE))</f>
        <v>#N/A</v>
      </c>
      <c r="S1042" s="4" t="str">
        <f>(VLOOKUP(B1042,Price_data!A$1:C$190,3,FALSE))</f>
        <v>Open access</v>
      </c>
      <c r="T1042" s="2" t="str">
        <f>IF(C1042="Total", (VLOOKUP(B1042,Recommended_fish_intake!A$4:D$122,4,FALSE)), "NA")</f>
        <v>NA</v>
      </c>
      <c r="U1042" s="2" t="str">
        <f t="shared" si="130"/>
        <v>NA</v>
      </c>
    </row>
    <row r="1043" spans="1:21" ht="14.25" customHeight="1">
      <c r="A1043" s="2" t="s">
        <v>39</v>
      </c>
      <c r="B1043" s="2">
        <v>1969</v>
      </c>
      <c r="C1043" s="2" t="s">
        <v>35</v>
      </c>
      <c r="D1043" s="3">
        <f t="shared" si="124"/>
        <v>8.1792318634423893</v>
      </c>
      <c r="E1043" s="3">
        <f t="shared" si="125"/>
        <v>2.028</v>
      </c>
      <c r="F1043" s="3" t="e">
        <f t="shared" si="126"/>
        <v>#N/A</v>
      </c>
      <c r="G1043" s="3" t="e">
        <f t="shared" si="127"/>
        <v>#N/A</v>
      </c>
      <c r="H1043" s="3" t="e">
        <f t="shared" si="128"/>
        <v>#N/A</v>
      </c>
      <c r="I1043" s="3" t="e">
        <f t="shared" si="129"/>
        <v>#N/A</v>
      </c>
      <c r="J1043" s="3">
        <v>8179.2318634423891</v>
      </c>
      <c r="K1043" s="3">
        <v>2028</v>
      </c>
      <c r="L1043" s="3" t="e">
        <v>#N/A</v>
      </c>
      <c r="M1043" s="3" t="e">
        <v>#N/A</v>
      </c>
      <c r="N1043" s="3" t="e">
        <v>#N/A</v>
      </c>
      <c r="O1043" s="3" t="e">
        <v>#N/A</v>
      </c>
      <c r="P1043" s="3">
        <f>E1043*(VLOOKUP(B1043,Price_data!A$1:B$190,2,FALSE))</f>
        <v>19.831301309039997</v>
      </c>
      <c r="Q1043" s="3" t="e">
        <f>G1043*(VLOOKUP(B1043,Price_data!A$1:B$190,2,FALSE))</f>
        <v>#N/A</v>
      </c>
      <c r="R1043" s="3" t="e">
        <f>I1043*(VLOOKUP(B1043,Price_data!A$1:B$190,2,FALSE))</f>
        <v>#N/A</v>
      </c>
      <c r="S1043" s="4" t="str">
        <f>(VLOOKUP(B1043,Price_data!A$1:C$190,3,FALSE))</f>
        <v>Open access</v>
      </c>
      <c r="T1043" s="2" t="str">
        <f>IF(C1043="Total", (VLOOKUP(B1043,Recommended_fish_intake!A$4:D$122,4,FALSE)), "NA")</f>
        <v>NA</v>
      </c>
      <c r="U1043" s="2" t="str">
        <f t="shared" si="130"/>
        <v>NA</v>
      </c>
    </row>
    <row r="1044" spans="1:21" ht="14.25" customHeight="1">
      <c r="A1044" s="2" t="s">
        <v>39</v>
      </c>
      <c r="B1044" s="2">
        <v>1969</v>
      </c>
      <c r="C1044" s="2" t="s">
        <v>30</v>
      </c>
      <c r="D1044" s="3">
        <f t="shared" si="124"/>
        <v>0</v>
      </c>
      <c r="E1044" s="3">
        <f t="shared" si="125"/>
        <v>1E-3</v>
      </c>
      <c r="F1044" s="3" t="e">
        <f t="shared" si="126"/>
        <v>#N/A</v>
      </c>
      <c r="G1044" s="3" t="e">
        <f t="shared" si="127"/>
        <v>#N/A</v>
      </c>
      <c r="H1044" s="3" t="e">
        <f t="shared" si="128"/>
        <v>#N/A</v>
      </c>
      <c r="I1044" s="3" t="e">
        <f t="shared" si="129"/>
        <v>#N/A</v>
      </c>
      <c r="J1044" s="3">
        <v>0</v>
      </c>
      <c r="K1044" s="3">
        <v>1</v>
      </c>
      <c r="L1044" s="3" t="e">
        <v>#N/A</v>
      </c>
      <c r="M1044" s="3" t="e">
        <v>#N/A</v>
      </c>
      <c r="N1044" s="3" t="e">
        <v>#N/A</v>
      </c>
      <c r="O1044" s="3" t="e">
        <v>#N/A</v>
      </c>
      <c r="P1044" s="3">
        <f>E1044*(VLOOKUP(B1044,Price_data!A$1:B$190,2,FALSE))</f>
        <v>9.7787481799999996E-3</v>
      </c>
      <c r="Q1044" s="3" t="e">
        <f>G1044*(VLOOKUP(B1044,Price_data!A$1:B$190,2,FALSE))</f>
        <v>#N/A</v>
      </c>
      <c r="R1044" s="3" t="e">
        <f>I1044*(VLOOKUP(B1044,Price_data!A$1:B$190,2,FALSE))</f>
        <v>#N/A</v>
      </c>
      <c r="S1044" s="4" t="str">
        <f>(VLOOKUP(B1044,Price_data!A$1:C$190,3,FALSE))</f>
        <v>Open access</v>
      </c>
      <c r="T1044" s="2" t="str">
        <f>IF(C1044="Total", (VLOOKUP(B1044,Recommended_fish_intake!A$4:D$122,4,FALSE)), "NA")</f>
        <v>NA</v>
      </c>
      <c r="U1044" s="2" t="str">
        <f t="shared" si="130"/>
        <v>NA</v>
      </c>
    </row>
    <row r="1045" spans="1:21" ht="14.25" customHeight="1">
      <c r="A1045" s="2" t="s">
        <v>39</v>
      </c>
      <c r="B1045" s="2">
        <v>1969</v>
      </c>
      <c r="C1045" s="2" t="s">
        <v>36</v>
      </c>
      <c r="D1045" s="3">
        <f t="shared" si="124"/>
        <v>2.3877260719365982</v>
      </c>
      <c r="E1045" s="3">
        <f t="shared" si="125"/>
        <v>0.14899999999999999</v>
      </c>
      <c r="F1045" s="3" t="e">
        <f t="shared" si="126"/>
        <v>#N/A</v>
      </c>
      <c r="G1045" s="3" t="e">
        <f t="shared" si="127"/>
        <v>#N/A</v>
      </c>
      <c r="H1045" s="3" t="e">
        <f t="shared" si="128"/>
        <v>#N/A</v>
      </c>
      <c r="I1045" s="3" t="e">
        <f t="shared" si="129"/>
        <v>#N/A</v>
      </c>
      <c r="J1045" s="3">
        <v>2387.7260719365981</v>
      </c>
      <c r="K1045" s="3">
        <v>149</v>
      </c>
      <c r="L1045" s="3" t="e">
        <v>#N/A</v>
      </c>
      <c r="M1045" s="3" t="e">
        <v>#N/A</v>
      </c>
      <c r="N1045" s="3" t="e">
        <v>#N/A</v>
      </c>
      <c r="O1045" s="3" t="e">
        <v>#N/A</v>
      </c>
      <c r="P1045" s="3">
        <f>E1045*(VLOOKUP(B1045,Price_data!A$1:B$190,2,FALSE))</f>
        <v>1.4570334788199999</v>
      </c>
      <c r="Q1045" s="3" t="e">
        <f>G1045*(VLOOKUP(B1045,Price_data!A$1:B$190,2,FALSE))</f>
        <v>#N/A</v>
      </c>
      <c r="R1045" s="3" t="e">
        <f>I1045*(VLOOKUP(B1045,Price_data!A$1:B$190,2,FALSE))</f>
        <v>#N/A</v>
      </c>
      <c r="S1045" s="4" t="str">
        <f>(VLOOKUP(B1045,Price_data!A$1:C$190,3,FALSE))</f>
        <v>Open access</v>
      </c>
      <c r="T1045" s="2" t="str">
        <f>IF(C1045="Total", (VLOOKUP(B1045,Recommended_fish_intake!A$4:D$122,4,FALSE)), "NA")</f>
        <v>NA</v>
      </c>
      <c r="U1045" s="2" t="str">
        <f t="shared" si="130"/>
        <v>NA</v>
      </c>
    </row>
    <row r="1046" spans="1:21" ht="14.25" customHeight="1">
      <c r="A1046" s="2" t="s">
        <v>39</v>
      </c>
      <c r="B1046" s="2">
        <v>1969</v>
      </c>
      <c r="C1046" s="2" t="s">
        <v>28</v>
      </c>
      <c r="D1046" s="3">
        <f t="shared" si="124"/>
        <v>18.796992481203009</v>
      </c>
      <c r="E1046" s="3">
        <f t="shared" si="125"/>
        <v>3.5840000000000001</v>
      </c>
      <c r="F1046" s="3" t="e">
        <f t="shared" si="126"/>
        <v>#N/A</v>
      </c>
      <c r="G1046" s="3" t="e">
        <f t="shared" si="127"/>
        <v>#N/A</v>
      </c>
      <c r="H1046" s="3" t="e">
        <f t="shared" si="128"/>
        <v>#N/A</v>
      </c>
      <c r="I1046" s="3" t="e">
        <f t="shared" si="129"/>
        <v>#N/A</v>
      </c>
      <c r="J1046" s="3">
        <v>18796.992481203008</v>
      </c>
      <c r="K1046" s="3">
        <v>3584</v>
      </c>
      <c r="L1046" s="3" t="e">
        <v>#N/A</v>
      </c>
      <c r="M1046" s="3" t="e">
        <v>#N/A</v>
      </c>
      <c r="N1046" s="3" t="e">
        <v>#N/A</v>
      </c>
      <c r="O1046" s="3" t="e">
        <v>#N/A</v>
      </c>
      <c r="P1046" s="3">
        <f>E1046*(VLOOKUP(B1046,Price_data!A$1:B$190,2,FALSE))</f>
        <v>35.047033477119996</v>
      </c>
      <c r="Q1046" s="3" t="e">
        <f>G1046*(VLOOKUP(B1046,Price_data!A$1:B$190,2,FALSE))</f>
        <v>#N/A</v>
      </c>
      <c r="R1046" s="3" t="e">
        <f>I1046*(VLOOKUP(B1046,Price_data!A$1:B$190,2,FALSE))</f>
        <v>#N/A</v>
      </c>
      <c r="S1046" s="4" t="str">
        <f>(VLOOKUP(B1046,Price_data!A$1:C$190,3,FALSE))</f>
        <v>Open access</v>
      </c>
      <c r="T1046" s="2" t="str">
        <f>IF(C1046="Total", (VLOOKUP(B1046,Recommended_fish_intake!A$4:D$122,4,FALSE)), "NA")</f>
        <v>NA</v>
      </c>
      <c r="U1046" s="2">
        <f t="shared" si="130"/>
        <v>5.2631578947368434</v>
      </c>
    </row>
    <row r="1047" spans="1:21" ht="14.25" customHeight="1">
      <c r="A1047" s="2" t="s">
        <v>39</v>
      </c>
      <c r="B1047" s="2">
        <v>1969</v>
      </c>
      <c r="C1047" s="2" t="s">
        <v>37</v>
      </c>
      <c r="D1047" s="3">
        <f t="shared" si="124"/>
        <v>356.58402763665924</v>
      </c>
      <c r="E1047" s="3">
        <f t="shared" si="125"/>
        <v>18.975000000000001</v>
      </c>
      <c r="F1047" s="3" t="e">
        <f t="shared" si="126"/>
        <v>#N/A</v>
      </c>
      <c r="G1047" s="3" t="e">
        <f t="shared" si="127"/>
        <v>#N/A</v>
      </c>
      <c r="H1047" s="3" t="e">
        <f t="shared" si="128"/>
        <v>#N/A</v>
      </c>
      <c r="I1047" s="3" t="e">
        <f t="shared" si="129"/>
        <v>#N/A</v>
      </c>
      <c r="J1047" s="3">
        <v>356584.02763665922</v>
      </c>
      <c r="K1047" s="3">
        <v>18975</v>
      </c>
      <c r="L1047" s="3" t="e">
        <v>#N/A</v>
      </c>
      <c r="M1047" s="3" t="e">
        <v>#N/A</v>
      </c>
      <c r="N1047" s="3" t="e">
        <v>#N/A</v>
      </c>
      <c r="O1047" s="3" t="e">
        <v>#N/A</v>
      </c>
      <c r="P1047" s="3">
        <f>E1047*(VLOOKUP(B1047,Price_data!A$1:B$190,2,FALSE))</f>
        <v>185.5517467155</v>
      </c>
      <c r="Q1047" s="3" t="e">
        <f>G1047*(VLOOKUP(B1047,Price_data!A$1:B$190,2,FALSE))</f>
        <v>#N/A</v>
      </c>
      <c r="R1047" s="3" t="e">
        <f>I1047*(VLOOKUP(B1047,Price_data!A$1:B$190,2,FALSE))</f>
        <v>#N/A</v>
      </c>
      <c r="S1047" s="4" t="str">
        <f>(VLOOKUP(B1047,Price_data!A$1:C$190,3,FALSE))</f>
        <v>Open access</v>
      </c>
      <c r="T1047" s="2" t="str">
        <f>IF(C1047="Total", (VLOOKUP(B1047,Recommended_fish_intake!A$4:D$122,4,FALSE)), "NA")</f>
        <v>NA</v>
      </c>
      <c r="U1047" s="2">
        <f t="shared" si="130"/>
        <v>174.72617354196302</v>
      </c>
    </row>
    <row r="1048" spans="1:21" ht="14.25" customHeight="1">
      <c r="A1048" s="2" t="s">
        <v>40</v>
      </c>
      <c r="B1048" s="2">
        <v>1969</v>
      </c>
      <c r="C1048" s="2" t="s">
        <v>22</v>
      </c>
      <c r="D1048" s="3">
        <f t="shared" si="124"/>
        <v>1.1684616947774842</v>
      </c>
      <c r="E1048" s="3">
        <f t="shared" si="125"/>
        <v>6.3E-2</v>
      </c>
      <c r="F1048" s="3" t="e">
        <f t="shared" si="126"/>
        <v>#N/A</v>
      </c>
      <c r="G1048" s="3" t="e">
        <f t="shared" si="127"/>
        <v>#N/A</v>
      </c>
      <c r="H1048" s="3" t="e">
        <f t="shared" si="128"/>
        <v>#N/A</v>
      </c>
      <c r="I1048" s="3" t="e">
        <f t="shared" si="129"/>
        <v>#N/A</v>
      </c>
      <c r="J1048" s="3">
        <v>1168.4616947774841</v>
      </c>
      <c r="K1048" s="3">
        <v>63</v>
      </c>
      <c r="L1048" s="3" t="e">
        <v>#N/A</v>
      </c>
      <c r="M1048" s="3" t="e">
        <v>#N/A</v>
      </c>
      <c r="N1048" s="3" t="e">
        <v>#N/A</v>
      </c>
      <c r="O1048" s="3" t="e">
        <v>#N/A</v>
      </c>
      <c r="P1048" s="3">
        <f>E1048*(VLOOKUP(B1048,Price_data!A$1:B$190,2,FALSE))</f>
        <v>0.61606113533999995</v>
      </c>
      <c r="Q1048" s="3" t="e">
        <f>G1048*(VLOOKUP(B1048,Price_data!A$1:B$190,2,FALSE))</f>
        <v>#N/A</v>
      </c>
      <c r="R1048" s="3" t="e">
        <f>I1048*(VLOOKUP(B1048,Price_data!A$1:B$190,2,FALSE))</f>
        <v>#N/A</v>
      </c>
      <c r="S1048" s="4" t="str">
        <f>(VLOOKUP(B1048,Price_data!A$1:C$190,3,FALSE))</f>
        <v>Open access</v>
      </c>
      <c r="T1048" s="2" t="str">
        <f>IF(C1048="Total", (VLOOKUP(B1048,Recommended_fish_intake!A$4:D$122,4,FALSE)), "NA")</f>
        <v>NA</v>
      </c>
      <c r="U1048" s="2" t="str">
        <f t="shared" si="130"/>
        <v>NA</v>
      </c>
    </row>
    <row r="1049" spans="1:21" ht="14.25" customHeight="1">
      <c r="A1049" s="2" t="s">
        <v>40</v>
      </c>
      <c r="B1049" s="2">
        <v>1969</v>
      </c>
      <c r="C1049" s="2" t="s">
        <v>23</v>
      </c>
      <c r="D1049" s="3">
        <f t="shared" si="124"/>
        <v>0.203210729526519</v>
      </c>
      <c r="E1049" s="3">
        <f t="shared" si="125"/>
        <v>7.0000000000000001E-3</v>
      </c>
      <c r="F1049" s="3" t="e">
        <f t="shared" si="126"/>
        <v>#N/A</v>
      </c>
      <c r="G1049" s="3" t="e">
        <f t="shared" si="127"/>
        <v>#N/A</v>
      </c>
      <c r="H1049" s="3" t="e">
        <f t="shared" si="128"/>
        <v>#N/A</v>
      </c>
      <c r="I1049" s="3" t="e">
        <f t="shared" si="129"/>
        <v>#N/A</v>
      </c>
      <c r="J1049" s="3">
        <v>203.210729526519</v>
      </c>
      <c r="K1049" s="3">
        <v>7</v>
      </c>
      <c r="L1049" s="3" t="e">
        <v>#N/A</v>
      </c>
      <c r="M1049" s="3" t="e">
        <v>#N/A</v>
      </c>
      <c r="N1049" s="3" t="e">
        <v>#N/A</v>
      </c>
      <c r="O1049" s="3" t="e">
        <v>#N/A</v>
      </c>
      <c r="P1049" s="3">
        <f>E1049*(VLOOKUP(B1049,Price_data!A$1:B$190,2,FALSE))</f>
        <v>6.8451237259999992E-2</v>
      </c>
      <c r="Q1049" s="3" t="e">
        <f>G1049*(VLOOKUP(B1049,Price_data!A$1:B$190,2,FALSE))</f>
        <v>#N/A</v>
      </c>
      <c r="R1049" s="3" t="e">
        <f>I1049*(VLOOKUP(B1049,Price_data!A$1:B$190,2,FALSE))</f>
        <v>#N/A</v>
      </c>
      <c r="S1049" s="4" t="str">
        <f>(VLOOKUP(B1049,Price_data!A$1:C$190,3,FALSE))</f>
        <v>Open access</v>
      </c>
      <c r="T1049" s="2" t="str">
        <f>IF(C1049="Total", (VLOOKUP(B1049,Recommended_fish_intake!A$4:D$122,4,FALSE)), "NA")</f>
        <v>NA</v>
      </c>
      <c r="U1049" s="2" t="str">
        <f t="shared" si="130"/>
        <v>NA</v>
      </c>
    </row>
    <row r="1050" spans="1:21" ht="14.25" customHeight="1">
      <c r="A1050" s="2" t="s">
        <v>40</v>
      </c>
      <c r="B1050" s="2">
        <v>1969</v>
      </c>
      <c r="C1050" s="2" t="s">
        <v>25</v>
      </c>
      <c r="D1050" s="3">
        <f t="shared" si="124"/>
        <v>0.203210729526519</v>
      </c>
      <c r="E1050" s="3">
        <f t="shared" si="125"/>
        <v>1.4999999999999999E-2</v>
      </c>
      <c r="F1050" s="3" t="e">
        <f t="shared" si="126"/>
        <v>#N/A</v>
      </c>
      <c r="G1050" s="3" t="e">
        <f t="shared" si="127"/>
        <v>#N/A</v>
      </c>
      <c r="H1050" s="3" t="e">
        <f t="shared" si="128"/>
        <v>#N/A</v>
      </c>
      <c r="I1050" s="3" t="e">
        <f t="shared" si="129"/>
        <v>#N/A</v>
      </c>
      <c r="J1050" s="3">
        <v>203.210729526519</v>
      </c>
      <c r="K1050" s="3">
        <v>15</v>
      </c>
      <c r="L1050" s="3" t="e">
        <v>#N/A</v>
      </c>
      <c r="M1050" s="3" t="e">
        <v>#N/A</v>
      </c>
      <c r="N1050" s="3" t="e">
        <v>#N/A</v>
      </c>
      <c r="O1050" s="3" t="e">
        <v>#N/A</v>
      </c>
      <c r="P1050" s="3">
        <f>E1050*(VLOOKUP(B1050,Price_data!A$1:B$190,2,FALSE))</f>
        <v>0.14668122269999997</v>
      </c>
      <c r="Q1050" s="3" t="e">
        <f>G1050*(VLOOKUP(B1050,Price_data!A$1:B$190,2,FALSE))</f>
        <v>#N/A</v>
      </c>
      <c r="R1050" s="3" t="e">
        <f>I1050*(VLOOKUP(B1050,Price_data!A$1:B$190,2,FALSE))</f>
        <v>#N/A</v>
      </c>
      <c r="S1050" s="4" t="str">
        <f>(VLOOKUP(B1050,Price_data!A$1:C$190,3,FALSE))</f>
        <v>Open access</v>
      </c>
      <c r="T1050" s="2" t="str">
        <f>IF(C1050="Total", (VLOOKUP(B1050,Recommended_fish_intake!A$4:D$122,4,FALSE)), "NA")</f>
        <v>NA</v>
      </c>
      <c r="U1050" s="2" t="str">
        <f t="shared" si="130"/>
        <v>NA</v>
      </c>
    </row>
    <row r="1051" spans="1:21" ht="14.25" customHeight="1">
      <c r="A1051" s="2" t="s">
        <v>40</v>
      </c>
      <c r="B1051" s="2">
        <v>1969</v>
      </c>
      <c r="C1051" s="2" t="s">
        <v>24</v>
      </c>
      <c r="D1051" s="3">
        <f t="shared" si="124"/>
        <v>2.1337126600284493</v>
      </c>
      <c r="E1051" s="3">
        <f t="shared" si="125"/>
        <v>7.0000000000000007E-2</v>
      </c>
      <c r="F1051" s="3" t="e">
        <f t="shared" si="126"/>
        <v>#N/A</v>
      </c>
      <c r="G1051" s="3" t="e">
        <f t="shared" si="127"/>
        <v>#N/A</v>
      </c>
      <c r="H1051" s="3" t="e">
        <f t="shared" si="128"/>
        <v>#N/A</v>
      </c>
      <c r="I1051" s="3" t="e">
        <f t="shared" si="129"/>
        <v>#N/A</v>
      </c>
      <c r="J1051" s="3">
        <v>2133.7126600284491</v>
      </c>
      <c r="K1051" s="3">
        <v>70</v>
      </c>
      <c r="L1051" s="3" t="e">
        <v>#N/A</v>
      </c>
      <c r="M1051" s="3" t="e">
        <v>#N/A</v>
      </c>
      <c r="N1051" s="3" t="e">
        <v>#N/A</v>
      </c>
      <c r="O1051" s="3" t="e">
        <v>#N/A</v>
      </c>
      <c r="P1051" s="3">
        <f>E1051*(VLOOKUP(B1051,Price_data!A$1:B$190,2,FALSE))</f>
        <v>0.68451237259999997</v>
      </c>
      <c r="Q1051" s="3" t="e">
        <f>G1051*(VLOOKUP(B1051,Price_data!A$1:B$190,2,FALSE))</f>
        <v>#N/A</v>
      </c>
      <c r="R1051" s="3" t="e">
        <f>I1051*(VLOOKUP(B1051,Price_data!A$1:B$190,2,FALSE))</f>
        <v>#N/A</v>
      </c>
      <c r="S1051" s="4" t="str">
        <f>(VLOOKUP(B1051,Price_data!A$1:C$190,3,FALSE))</f>
        <v>Open access</v>
      </c>
      <c r="T1051" s="2" t="str">
        <f>IF(C1051="Total", (VLOOKUP(B1051,Recommended_fish_intake!A$4:D$122,4,FALSE)), "NA")</f>
        <v>NA</v>
      </c>
      <c r="U1051" s="2" t="str">
        <f t="shared" si="130"/>
        <v>NA</v>
      </c>
    </row>
    <row r="1052" spans="1:21" ht="14.25" customHeight="1">
      <c r="A1052" s="2" t="s">
        <v>40</v>
      </c>
      <c r="B1052" s="2">
        <v>1969</v>
      </c>
      <c r="C1052" s="2" t="s">
        <v>19</v>
      </c>
      <c r="D1052" s="3">
        <f t="shared" si="124"/>
        <v>0.76204023572444624</v>
      </c>
      <c r="E1052" s="3">
        <f t="shared" si="125"/>
        <v>2.5000000000000001E-2</v>
      </c>
      <c r="F1052" s="3" t="e">
        <f t="shared" si="126"/>
        <v>#N/A</v>
      </c>
      <c r="G1052" s="3" t="e">
        <f t="shared" si="127"/>
        <v>#N/A</v>
      </c>
      <c r="H1052" s="3" t="e">
        <f t="shared" si="128"/>
        <v>#N/A</v>
      </c>
      <c r="I1052" s="3" t="e">
        <f t="shared" si="129"/>
        <v>#N/A</v>
      </c>
      <c r="J1052" s="3">
        <v>762.04023572444623</v>
      </c>
      <c r="K1052" s="3">
        <v>25</v>
      </c>
      <c r="L1052" s="3" t="e">
        <v>#N/A</v>
      </c>
      <c r="M1052" s="3" t="e">
        <v>#N/A</v>
      </c>
      <c r="N1052" s="3" t="e">
        <v>#N/A</v>
      </c>
      <c r="O1052" s="3" t="e">
        <v>#N/A</v>
      </c>
      <c r="P1052" s="3">
        <f>E1052*(VLOOKUP(B1052,Price_data!A$1:B$190,2,FALSE))</f>
        <v>0.24446870449999999</v>
      </c>
      <c r="Q1052" s="3" t="e">
        <f>G1052*(VLOOKUP(B1052,Price_data!A$1:B$190,2,FALSE))</f>
        <v>#N/A</v>
      </c>
      <c r="R1052" s="3" t="e">
        <f>I1052*(VLOOKUP(B1052,Price_data!A$1:B$190,2,FALSE))</f>
        <v>#N/A</v>
      </c>
      <c r="S1052" s="4" t="str">
        <f>(VLOOKUP(B1052,Price_data!A$1:C$190,3,FALSE))</f>
        <v>Open access</v>
      </c>
      <c r="T1052" s="2" t="str">
        <f>IF(C1052="Total", (VLOOKUP(B1052,Recommended_fish_intake!A$4:D$122,4,FALSE)), "NA")</f>
        <v>NA</v>
      </c>
      <c r="U1052" s="2" t="str">
        <f t="shared" si="130"/>
        <v>NA</v>
      </c>
    </row>
    <row r="1053" spans="1:21" ht="14.25" customHeight="1">
      <c r="A1053" s="2" t="s">
        <v>40</v>
      </c>
      <c r="B1053" s="2">
        <v>1969</v>
      </c>
      <c r="C1053" s="2" t="s">
        <v>21</v>
      </c>
      <c r="D1053" s="3">
        <f t="shared" si="124"/>
        <v>0</v>
      </c>
      <c r="E1053" s="3">
        <f t="shared" si="125"/>
        <v>0</v>
      </c>
      <c r="F1053" s="3" t="e">
        <f t="shared" si="126"/>
        <v>#N/A</v>
      </c>
      <c r="G1053" s="3" t="e">
        <f t="shared" si="127"/>
        <v>#N/A</v>
      </c>
      <c r="H1053" s="3" t="e">
        <f t="shared" si="128"/>
        <v>#N/A</v>
      </c>
      <c r="I1053" s="3" t="e">
        <f t="shared" si="129"/>
        <v>#N/A</v>
      </c>
      <c r="J1053" s="3">
        <v>0</v>
      </c>
      <c r="K1053" s="3">
        <v>0</v>
      </c>
      <c r="L1053" s="3" t="e">
        <v>#N/A</v>
      </c>
      <c r="M1053" s="3" t="e">
        <v>#N/A</v>
      </c>
      <c r="N1053" s="3" t="e">
        <v>#N/A</v>
      </c>
      <c r="O1053" s="3" t="e">
        <v>#N/A</v>
      </c>
      <c r="P1053" s="3">
        <f>E1053*(VLOOKUP(B1053,Price_data!A$1:B$190,2,FALSE))</f>
        <v>0</v>
      </c>
      <c r="Q1053" s="3" t="e">
        <f>G1053*(VLOOKUP(B1053,Price_data!A$1:B$190,2,FALSE))</f>
        <v>#N/A</v>
      </c>
      <c r="R1053" s="3" t="e">
        <f>I1053*(VLOOKUP(B1053,Price_data!A$1:B$190,2,FALSE))</f>
        <v>#N/A</v>
      </c>
      <c r="S1053" s="4" t="str">
        <f>(VLOOKUP(B1053,Price_data!A$1:C$190,3,FALSE))</f>
        <v>Open access</v>
      </c>
      <c r="T1053" s="2" t="str">
        <f>IF(C1053="Total", (VLOOKUP(B1053,Recommended_fish_intake!A$4:D$122,4,FALSE)), "NA")</f>
        <v>NA</v>
      </c>
      <c r="U1053" s="2" t="str">
        <f t="shared" si="130"/>
        <v>NA</v>
      </c>
    </row>
    <row r="1054" spans="1:21" ht="14.25" customHeight="1">
      <c r="A1054" s="2" t="s">
        <v>40</v>
      </c>
      <c r="B1054" s="2">
        <v>1969</v>
      </c>
      <c r="C1054" s="2" t="s">
        <v>34</v>
      </c>
      <c r="D1054" s="3">
        <f t="shared" si="124"/>
        <v>0</v>
      </c>
      <c r="E1054" s="3">
        <f t="shared" si="125"/>
        <v>1.2999999999999999E-2</v>
      </c>
      <c r="F1054" s="3" t="e">
        <f t="shared" si="126"/>
        <v>#N/A</v>
      </c>
      <c r="G1054" s="3" t="e">
        <f t="shared" si="127"/>
        <v>#N/A</v>
      </c>
      <c r="H1054" s="3" t="e">
        <f t="shared" si="128"/>
        <v>#N/A</v>
      </c>
      <c r="I1054" s="3" t="e">
        <f t="shared" si="129"/>
        <v>#N/A</v>
      </c>
      <c r="J1054" s="3">
        <v>0</v>
      </c>
      <c r="K1054" s="3">
        <v>13</v>
      </c>
      <c r="L1054" s="3" t="e">
        <v>#N/A</v>
      </c>
      <c r="M1054" s="3" t="e">
        <v>#N/A</v>
      </c>
      <c r="N1054" s="3" t="e">
        <v>#N/A</v>
      </c>
      <c r="O1054" s="3" t="e">
        <v>#N/A</v>
      </c>
      <c r="P1054" s="3">
        <f>E1054*(VLOOKUP(B1054,Price_data!A$1:B$190,2,FALSE))</f>
        <v>0.12712372633999999</v>
      </c>
      <c r="Q1054" s="3" t="e">
        <f>G1054*(VLOOKUP(B1054,Price_data!A$1:B$190,2,FALSE))</f>
        <v>#N/A</v>
      </c>
      <c r="R1054" s="3" t="e">
        <f>I1054*(VLOOKUP(B1054,Price_data!A$1:B$190,2,FALSE))</f>
        <v>#N/A</v>
      </c>
      <c r="S1054" s="4" t="str">
        <f>(VLOOKUP(B1054,Price_data!A$1:C$190,3,FALSE))</f>
        <v>Open access</v>
      </c>
      <c r="T1054" s="2" t="str">
        <f>IF(C1054="Total", (VLOOKUP(B1054,Recommended_fish_intake!A$4:D$122,4,FALSE)), "NA")</f>
        <v>NA</v>
      </c>
      <c r="U1054" s="2" t="str">
        <f t="shared" si="130"/>
        <v>NA</v>
      </c>
    </row>
    <row r="1055" spans="1:21" ht="14.25" customHeight="1">
      <c r="A1055" s="2" t="s">
        <v>40</v>
      </c>
      <c r="B1055" s="2">
        <v>1969</v>
      </c>
      <c r="C1055" s="2" t="s">
        <v>35</v>
      </c>
      <c r="D1055" s="3">
        <f t="shared" si="124"/>
        <v>2.6417394838447468</v>
      </c>
      <c r="E1055" s="3">
        <f t="shared" si="125"/>
        <v>0.33</v>
      </c>
      <c r="F1055" s="3" t="e">
        <f t="shared" si="126"/>
        <v>#N/A</v>
      </c>
      <c r="G1055" s="3" t="e">
        <f t="shared" si="127"/>
        <v>#N/A</v>
      </c>
      <c r="H1055" s="3" t="e">
        <f t="shared" si="128"/>
        <v>#N/A</v>
      </c>
      <c r="I1055" s="3" t="e">
        <f t="shared" si="129"/>
        <v>#N/A</v>
      </c>
      <c r="J1055" s="3">
        <v>2641.7394838447467</v>
      </c>
      <c r="K1055" s="3">
        <v>330</v>
      </c>
      <c r="L1055" s="3" t="e">
        <v>#N/A</v>
      </c>
      <c r="M1055" s="3" t="e">
        <v>#N/A</v>
      </c>
      <c r="N1055" s="3" t="e">
        <v>#N/A</v>
      </c>
      <c r="O1055" s="3" t="e">
        <v>#N/A</v>
      </c>
      <c r="P1055" s="3">
        <f>E1055*(VLOOKUP(B1055,Price_data!A$1:B$190,2,FALSE))</f>
        <v>3.2269868993999999</v>
      </c>
      <c r="Q1055" s="3" t="e">
        <f>G1055*(VLOOKUP(B1055,Price_data!A$1:B$190,2,FALSE))</f>
        <v>#N/A</v>
      </c>
      <c r="R1055" s="3" t="e">
        <f>I1055*(VLOOKUP(B1055,Price_data!A$1:B$190,2,FALSE))</f>
        <v>#N/A</v>
      </c>
      <c r="S1055" s="4" t="str">
        <f>(VLOOKUP(B1055,Price_data!A$1:C$190,3,FALSE))</f>
        <v>Open access</v>
      </c>
      <c r="T1055" s="2" t="str">
        <f>IF(C1055="Total", (VLOOKUP(B1055,Recommended_fish_intake!A$4:D$122,4,FALSE)), "NA")</f>
        <v>NA</v>
      </c>
      <c r="U1055" s="2" t="str">
        <f t="shared" si="130"/>
        <v>NA</v>
      </c>
    </row>
    <row r="1056" spans="1:21" ht="14.25" customHeight="1">
      <c r="A1056" s="2" t="s">
        <v>40</v>
      </c>
      <c r="B1056" s="2">
        <v>1969</v>
      </c>
      <c r="C1056" s="2" t="s">
        <v>30</v>
      </c>
      <c r="D1056" s="3">
        <f t="shared" si="124"/>
        <v>0</v>
      </c>
      <c r="E1056" s="3">
        <f t="shared" si="125"/>
        <v>0</v>
      </c>
      <c r="F1056" s="3" t="e">
        <f t="shared" si="126"/>
        <v>#N/A</v>
      </c>
      <c r="G1056" s="3" t="e">
        <f t="shared" si="127"/>
        <v>#N/A</v>
      </c>
      <c r="H1056" s="3" t="e">
        <f t="shared" si="128"/>
        <v>#N/A</v>
      </c>
      <c r="I1056" s="3" t="e">
        <f t="shared" si="129"/>
        <v>#N/A</v>
      </c>
      <c r="J1056" s="3">
        <v>0</v>
      </c>
      <c r="K1056" s="3">
        <v>0</v>
      </c>
      <c r="L1056" s="3" t="e">
        <v>#N/A</v>
      </c>
      <c r="M1056" s="3" t="e">
        <v>#N/A</v>
      </c>
      <c r="N1056" s="3" t="e">
        <v>#N/A</v>
      </c>
      <c r="O1056" s="3" t="e">
        <v>#N/A</v>
      </c>
      <c r="P1056" s="3">
        <f>E1056*(VLOOKUP(B1056,Price_data!A$1:B$190,2,FALSE))</f>
        <v>0</v>
      </c>
      <c r="Q1056" s="3" t="e">
        <f>G1056*(VLOOKUP(B1056,Price_data!A$1:B$190,2,FALSE))</f>
        <v>#N/A</v>
      </c>
      <c r="R1056" s="3" t="e">
        <f>I1056*(VLOOKUP(B1056,Price_data!A$1:B$190,2,FALSE))</f>
        <v>#N/A</v>
      </c>
      <c r="S1056" s="4" t="str">
        <f>(VLOOKUP(B1056,Price_data!A$1:C$190,3,FALSE))</f>
        <v>Open access</v>
      </c>
      <c r="T1056" s="2" t="str">
        <f>IF(C1056="Total", (VLOOKUP(B1056,Recommended_fish_intake!A$4:D$122,4,FALSE)), "NA")</f>
        <v>NA</v>
      </c>
      <c r="U1056" s="2" t="str">
        <f t="shared" si="130"/>
        <v>NA</v>
      </c>
    </row>
    <row r="1057" spans="1:21" ht="14.25" customHeight="1">
      <c r="A1057" s="2" t="s">
        <v>40</v>
      </c>
      <c r="B1057" s="2">
        <v>1969</v>
      </c>
      <c r="C1057" s="2" t="s">
        <v>36</v>
      </c>
      <c r="D1057" s="3">
        <f t="shared" si="124"/>
        <v>0</v>
      </c>
      <c r="E1057" s="3">
        <f t="shared" si="125"/>
        <v>0</v>
      </c>
      <c r="F1057" s="3" t="e">
        <f t="shared" si="126"/>
        <v>#N/A</v>
      </c>
      <c r="G1057" s="3" t="e">
        <f t="shared" si="127"/>
        <v>#N/A</v>
      </c>
      <c r="H1057" s="3" t="e">
        <f t="shared" si="128"/>
        <v>#N/A</v>
      </c>
      <c r="I1057" s="3" t="e">
        <f t="shared" si="129"/>
        <v>#N/A</v>
      </c>
      <c r="J1057" s="3">
        <v>0</v>
      </c>
      <c r="K1057" s="3">
        <v>0</v>
      </c>
      <c r="L1057" s="3" t="e">
        <v>#N/A</v>
      </c>
      <c r="M1057" s="3" t="e">
        <v>#N/A</v>
      </c>
      <c r="N1057" s="3" t="e">
        <v>#N/A</v>
      </c>
      <c r="O1057" s="3" t="e">
        <v>#N/A</v>
      </c>
      <c r="P1057" s="3">
        <f>E1057*(VLOOKUP(B1057,Price_data!A$1:B$190,2,FALSE))</f>
        <v>0</v>
      </c>
      <c r="Q1057" s="3" t="e">
        <f>G1057*(VLOOKUP(B1057,Price_data!A$1:B$190,2,FALSE))</f>
        <v>#N/A</v>
      </c>
      <c r="R1057" s="3" t="e">
        <f>I1057*(VLOOKUP(B1057,Price_data!A$1:B$190,2,FALSE))</f>
        <v>#N/A</v>
      </c>
      <c r="S1057" s="4" t="str">
        <f>(VLOOKUP(B1057,Price_data!A$1:C$190,3,FALSE))</f>
        <v>Open access</v>
      </c>
      <c r="T1057" s="2" t="str">
        <f>IF(C1057="Total", (VLOOKUP(B1057,Recommended_fish_intake!A$4:D$122,4,FALSE)), "NA")</f>
        <v>NA</v>
      </c>
      <c r="U1057" s="2" t="str">
        <f t="shared" si="130"/>
        <v>NA</v>
      </c>
    </row>
    <row r="1058" spans="1:21" ht="14.25" customHeight="1">
      <c r="A1058" s="2" t="s">
        <v>40</v>
      </c>
      <c r="B1058" s="2">
        <v>1969</v>
      </c>
      <c r="C1058" s="2" t="s">
        <v>28</v>
      </c>
      <c r="D1058" s="3">
        <f t="shared" si="124"/>
        <v>3.0481609428977849</v>
      </c>
      <c r="E1058" s="3">
        <f t="shared" si="125"/>
        <v>0.36699999999999999</v>
      </c>
      <c r="F1058" s="3" t="e">
        <f t="shared" si="126"/>
        <v>#N/A</v>
      </c>
      <c r="G1058" s="3" t="e">
        <f t="shared" si="127"/>
        <v>#N/A</v>
      </c>
      <c r="H1058" s="3" t="e">
        <f t="shared" si="128"/>
        <v>#N/A</v>
      </c>
      <c r="I1058" s="3" t="e">
        <f t="shared" si="129"/>
        <v>#N/A</v>
      </c>
      <c r="J1058" s="3">
        <v>3048.1609428977849</v>
      </c>
      <c r="K1058" s="3">
        <v>367</v>
      </c>
      <c r="L1058" s="3" t="e">
        <v>#N/A</v>
      </c>
      <c r="M1058" s="3" t="e">
        <v>#N/A</v>
      </c>
      <c r="N1058" s="3" t="e">
        <v>#N/A</v>
      </c>
      <c r="O1058" s="3" t="e">
        <v>#N/A</v>
      </c>
      <c r="P1058" s="3">
        <f>E1058*(VLOOKUP(B1058,Price_data!A$1:B$190,2,FALSE))</f>
        <v>3.5888005820599997</v>
      </c>
      <c r="Q1058" s="3" t="e">
        <f>G1058*(VLOOKUP(B1058,Price_data!A$1:B$190,2,FALSE))</f>
        <v>#N/A</v>
      </c>
      <c r="R1058" s="3" t="e">
        <f>I1058*(VLOOKUP(B1058,Price_data!A$1:B$190,2,FALSE))</f>
        <v>#N/A</v>
      </c>
      <c r="S1058" s="4" t="str">
        <f>(VLOOKUP(B1058,Price_data!A$1:C$190,3,FALSE))</f>
        <v>Open access</v>
      </c>
      <c r="T1058" s="2" t="str">
        <f>IF(C1058="Total", (VLOOKUP(B1058,Recommended_fish_intake!A$4:D$122,4,FALSE)), "NA")</f>
        <v>NA</v>
      </c>
      <c r="U1058" s="2">
        <f t="shared" si="130"/>
        <v>0.85348506401137991</v>
      </c>
    </row>
    <row r="1059" spans="1:21" ht="14.25" customHeight="1">
      <c r="A1059" s="2" t="s">
        <v>40</v>
      </c>
      <c r="B1059" s="2">
        <v>1969</v>
      </c>
      <c r="C1059" s="2" t="s">
        <v>37</v>
      </c>
      <c r="D1059" s="3">
        <f t="shared" si="124"/>
        <v>5.8423084738874209</v>
      </c>
      <c r="E1059" s="3">
        <f t="shared" si="125"/>
        <v>0.218</v>
      </c>
      <c r="F1059" s="3" t="e">
        <f t="shared" si="126"/>
        <v>#N/A</v>
      </c>
      <c r="G1059" s="3" t="e">
        <f t="shared" si="127"/>
        <v>#N/A</v>
      </c>
      <c r="H1059" s="3" t="e">
        <f t="shared" si="128"/>
        <v>#N/A</v>
      </c>
      <c r="I1059" s="3" t="e">
        <f t="shared" si="129"/>
        <v>#N/A</v>
      </c>
      <c r="J1059" s="3">
        <v>5842.3084738874213</v>
      </c>
      <c r="K1059" s="3">
        <v>218</v>
      </c>
      <c r="L1059" s="3" t="e">
        <v>#N/A</v>
      </c>
      <c r="M1059" s="3" t="e">
        <v>#N/A</v>
      </c>
      <c r="N1059" s="3" t="e">
        <v>#N/A</v>
      </c>
      <c r="O1059" s="3" t="e">
        <v>#N/A</v>
      </c>
      <c r="P1059" s="3">
        <f>E1059*(VLOOKUP(B1059,Price_data!A$1:B$190,2,FALSE))</f>
        <v>2.1317671032399996</v>
      </c>
      <c r="Q1059" s="3" t="e">
        <f>G1059*(VLOOKUP(B1059,Price_data!A$1:B$190,2,FALSE))</f>
        <v>#N/A</v>
      </c>
      <c r="R1059" s="3" t="e">
        <f>I1059*(VLOOKUP(B1059,Price_data!A$1:B$190,2,FALSE))</f>
        <v>#N/A</v>
      </c>
      <c r="S1059" s="4" t="str">
        <f>(VLOOKUP(B1059,Price_data!A$1:C$190,3,FALSE))</f>
        <v>Open access</v>
      </c>
      <c r="T1059" s="2" t="str">
        <f>IF(C1059="Total", (VLOOKUP(B1059,Recommended_fish_intake!A$4:D$122,4,FALSE)), "NA")</f>
        <v>NA</v>
      </c>
      <c r="U1059" s="2">
        <f t="shared" si="130"/>
        <v>2.862731152204836</v>
      </c>
    </row>
    <row r="1060" spans="1:21" ht="14.25" customHeight="1">
      <c r="A1060" s="2" t="s">
        <v>18</v>
      </c>
      <c r="B1060" s="2">
        <v>1969</v>
      </c>
      <c r="C1060" s="2" t="s">
        <v>41</v>
      </c>
      <c r="D1060" s="3">
        <f t="shared" si="124"/>
        <v>516.40926640926637</v>
      </c>
      <c r="E1060" s="3">
        <f t="shared" si="125"/>
        <v>40.091999999999999</v>
      </c>
      <c r="F1060" s="3" t="e">
        <f t="shared" si="126"/>
        <v>#N/A</v>
      </c>
      <c r="G1060" s="3" t="e">
        <f t="shared" si="127"/>
        <v>#N/A</v>
      </c>
      <c r="H1060" s="3" t="e">
        <f t="shared" si="128"/>
        <v>#N/A</v>
      </c>
      <c r="I1060" s="3" t="e">
        <f t="shared" si="129"/>
        <v>#N/A</v>
      </c>
      <c r="J1060" s="3">
        <v>516409.26640926639</v>
      </c>
      <c r="K1060" s="3">
        <v>40092</v>
      </c>
      <c r="L1060" s="3" t="e">
        <v>#N/A</v>
      </c>
      <c r="M1060" s="3" t="e">
        <v>#N/A</v>
      </c>
      <c r="N1060" s="3" t="e">
        <v>#N/A</v>
      </c>
      <c r="O1060" s="3" t="e">
        <v>#N/A</v>
      </c>
      <c r="P1060" s="3">
        <f>E1060*(VLOOKUP(B1060,Price_data!A$1:B$190,2,FALSE))</f>
        <v>392.04957203255998</v>
      </c>
      <c r="Q1060" s="3" t="e">
        <f>G1060*(VLOOKUP(B1060,Price_data!A$1:B$190,2,FALSE))</f>
        <v>#N/A</v>
      </c>
      <c r="R1060" s="3" t="e">
        <f>I1060*(VLOOKUP(B1060,Price_data!A$1:B$190,2,FALSE))</f>
        <v>#N/A</v>
      </c>
      <c r="S1060" s="4" t="str">
        <f>(VLOOKUP(B1060,Price_data!A$1:C$190,3,FALSE))</f>
        <v>Open access</v>
      </c>
      <c r="T1060" s="2" t="str">
        <f>IF(C1060="Total", (VLOOKUP(B1060,Recommended_fish_intake!A$4:D$122,4,FALSE)), "NA")</f>
        <v>NA</v>
      </c>
      <c r="U1060" s="2" t="str">
        <f t="shared" si="130"/>
        <v>NA</v>
      </c>
    </row>
    <row r="1061" spans="1:21" ht="14.25" customHeight="1">
      <c r="A1061" s="2" t="s">
        <v>18</v>
      </c>
      <c r="B1061" s="2">
        <v>1969</v>
      </c>
      <c r="C1061" s="2" t="s">
        <v>42</v>
      </c>
      <c r="D1061" s="3">
        <f t="shared" si="124"/>
        <v>24.588498272708797</v>
      </c>
      <c r="E1061" s="3">
        <f t="shared" si="125"/>
        <v>0.67700000000000005</v>
      </c>
      <c r="F1061" s="3" t="e">
        <f t="shared" si="126"/>
        <v>#N/A</v>
      </c>
      <c r="G1061" s="3" t="e">
        <f t="shared" si="127"/>
        <v>#N/A</v>
      </c>
      <c r="H1061" s="3" t="e">
        <f t="shared" si="128"/>
        <v>#N/A</v>
      </c>
      <c r="I1061" s="3" t="e">
        <f t="shared" si="129"/>
        <v>#N/A</v>
      </c>
      <c r="J1061" s="3">
        <v>24588.498272708799</v>
      </c>
      <c r="K1061" s="3">
        <v>677</v>
      </c>
      <c r="L1061" s="3" t="e">
        <v>#N/A</v>
      </c>
      <c r="M1061" s="3" t="e">
        <v>#N/A</v>
      </c>
      <c r="N1061" s="3" t="e">
        <v>#N/A</v>
      </c>
      <c r="O1061" s="3" t="e">
        <v>#N/A</v>
      </c>
      <c r="P1061" s="3">
        <f>E1061*(VLOOKUP(B1061,Price_data!A$1:B$190,2,FALSE))</f>
        <v>6.6202125178599998</v>
      </c>
      <c r="Q1061" s="3" t="e">
        <f>G1061*(VLOOKUP(B1061,Price_data!A$1:B$190,2,FALSE))</f>
        <v>#N/A</v>
      </c>
      <c r="R1061" s="3" t="e">
        <f>I1061*(VLOOKUP(B1061,Price_data!A$1:B$190,2,FALSE))</f>
        <v>#N/A</v>
      </c>
      <c r="S1061" s="4" t="str">
        <f>(VLOOKUP(B1061,Price_data!A$1:C$190,3,FALSE))</f>
        <v>Open access</v>
      </c>
      <c r="T1061" s="2" t="str">
        <f>IF(C1061="Total", (VLOOKUP(B1061,Recommended_fish_intake!A$4:D$122,4,FALSE)), "NA")</f>
        <v>NA</v>
      </c>
      <c r="U1061" s="2" t="str">
        <f t="shared" si="130"/>
        <v>NA</v>
      </c>
    </row>
    <row r="1062" spans="1:21" ht="14.25" customHeight="1">
      <c r="A1062" s="2" t="s">
        <v>39</v>
      </c>
      <c r="B1062" s="2">
        <v>1969</v>
      </c>
      <c r="C1062" s="2" t="s">
        <v>41</v>
      </c>
      <c r="D1062" s="3">
        <f t="shared" si="124"/>
        <v>206.71611461085143</v>
      </c>
      <c r="E1062" s="3">
        <f t="shared" si="125"/>
        <v>15.657</v>
      </c>
      <c r="F1062" s="3" t="e">
        <f t="shared" si="126"/>
        <v>#N/A</v>
      </c>
      <c r="G1062" s="3" t="e">
        <f t="shared" si="127"/>
        <v>#N/A</v>
      </c>
      <c r="H1062" s="3" t="e">
        <f t="shared" si="128"/>
        <v>#N/A</v>
      </c>
      <c r="I1062" s="3" t="e">
        <f t="shared" si="129"/>
        <v>#N/A</v>
      </c>
      <c r="J1062" s="3">
        <v>206716.11461085142</v>
      </c>
      <c r="K1062" s="3">
        <v>15657</v>
      </c>
      <c r="L1062" s="3" t="e">
        <v>#N/A</v>
      </c>
      <c r="M1062" s="3" t="e">
        <v>#N/A</v>
      </c>
      <c r="N1062" s="3" t="e">
        <v>#N/A</v>
      </c>
      <c r="O1062" s="3" t="e">
        <v>#N/A</v>
      </c>
      <c r="P1062" s="3">
        <f>E1062*(VLOOKUP(B1062,Price_data!A$1:B$190,2,FALSE))</f>
        <v>153.10586025425999</v>
      </c>
      <c r="Q1062" s="3" t="e">
        <f>G1062*(VLOOKUP(B1062,Price_data!A$1:B$190,2,FALSE))</f>
        <v>#N/A</v>
      </c>
      <c r="R1062" s="3" t="e">
        <f>I1062*(VLOOKUP(B1062,Price_data!A$1:B$190,2,FALSE))</f>
        <v>#N/A</v>
      </c>
      <c r="S1062" s="4" t="str">
        <f>(VLOOKUP(B1062,Price_data!A$1:C$190,3,FALSE))</f>
        <v>Open access</v>
      </c>
      <c r="T1062" s="2" t="str">
        <f>IF(C1062="Total", (VLOOKUP(B1062,Recommended_fish_intake!A$4:D$122,4,FALSE)), "NA")</f>
        <v>NA</v>
      </c>
      <c r="U1062" s="2" t="str">
        <f t="shared" si="130"/>
        <v>NA</v>
      </c>
    </row>
    <row r="1063" spans="1:21" ht="14.25" customHeight="1">
      <c r="A1063" s="2" t="s">
        <v>39</v>
      </c>
      <c r="B1063" s="2">
        <v>1969</v>
      </c>
      <c r="C1063" s="2" t="s">
        <v>42</v>
      </c>
      <c r="D1063" s="3">
        <f t="shared" si="124"/>
        <v>149.86791302580775</v>
      </c>
      <c r="E1063" s="3">
        <f t="shared" si="125"/>
        <v>3.3180000000000001</v>
      </c>
      <c r="F1063" s="3" t="e">
        <f t="shared" si="126"/>
        <v>#N/A</v>
      </c>
      <c r="G1063" s="3" t="e">
        <f t="shared" si="127"/>
        <v>#N/A</v>
      </c>
      <c r="H1063" s="3" t="e">
        <f t="shared" si="128"/>
        <v>#N/A</v>
      </c>
      <c r="I1063" s="3" t="e">
        <f t="shared" si="129"/>
        <v>#N/A</v>
      </c>
      <c r="J1063" s="3">
        <v>149867.91302580776</v>
      </c>
      <c r="K1063" s="3">
        <v>3318</v>
      </c>
      <c r="L1063" s="3" t="e">
        <v>#N/A</v>
      </c>
      <c r="M1063" s="3" t="e">
        <v>#N/A</v>
      </c>
      <c r="N1063" s="3" t="e">
        <v>#N/A</v>
      </c>
      <c r="O1063" s="3" t="e">
        <v>#N/A</v>
      </c>
      <c r="P1063" s="3">
        <f>E1063*(VLOOKUP(B1063,Price_data!A$1:B$190,2,FALSE))</f>
        <v>32.445886461240001</v>
      </c>
      <c r="Q1063" s="3" t="e">
        <f>G1063*(VLOOKUP(B1063,Price_data!A$1:B$190,2,FALSE))</f>
        <v>#N/A</v>
      </c>
      <c r="R1063" s="3" t="e">
        <f>I1063*(VLOOKUP(B1063,Price_data!A$1:B$190,2,FALSE))</f>
        <v>#N/A</v>
      </c>
      <c r="S1063" s="4" t="str">
        <f>(VLOOKUP(B1063,Price_data!A$1:C$190,3,FALSE))</f>
        <v>Open access</v>
      </c>
      <c r="T1063" s="2" t="str">
        <f>IF(C1063="Total", (VLOOKUP(B1063,Recommended_fish_intake!A$4:D$122,4,FALSE)), "NA")</f>
        <v>NA</v>
      </c>
      <c r="U1063" s="2" t="str">
        <f t="shared" si="130"/>
        <v>NA</v>
      </c>
    </row>
    <row r="1064" spans="1:21" ht="14.25" customHeight="1">
      <c r="A1064" s="2" t="s">
        <v>40</v>
      </c>
      <c r="B1064" s="2">
        <v>1969</v>
      </c>
      <c r="C1064" s="2" t="s">
        <v>41</v>
      </c>
      <c r="D1064" s="3">
        <f t="shared" ref="D1064:D1127" si="131">J1064/1000</f>
        <v>4.7754521438731965</v>
      </c>
      <c r="E1064" s="3">
        <f t="shared" ref="E1064:E1127" si="132">K1064/1000</f>
        <v>0.189</v>
      </c>
      <c r="F1064" s="3" t="e">
        <f t="shared" ref="F1064:F1127" si="133">IF(L1064="", NA(), L1064/1000)</f>
        <v>#N/A</v>
      </c>
      <c r="G1064" s="3" t="e">
        <f t="shared" ref="G1064:G1127" si="134">IF(M1064="", NA(), M1064/1000)</f>
        <v>#N/A</v>
      </c>
      <c r="H1064" s="3" t="e">
        <f t="shared" ref="H1064:H1127" si="135">IF(N1064="", NA(), N1064/1000)</f>
        <v>#N/A</v>
      </c>
      <c r="I1064" s="3" t="e">
        <f t="shared" ref="I1064:I1127" si="136">IF(O1064="", NA(), O1064/1000)</f>
        <v>#N/A</v>
      </c>
      <c r="J1064" s="3">
        <v>4775.4521438731963</v>
      </c>
      <c r="K1064" s="3">
        <v>189</v>
      </c>
      <c r="L1064" s="3" t="e">
        <v>#N/A</v>
      </c>
      <c r="M1064" s="3" t="e">
        <v>#N/A</v>
      </c>
      <c r="N1064" s="3" t="e">
        <v>#N/A</v>
      </c>
      <c r="O1064" s="3" t="e">
        <v>#N/A</v>
      </c>
      <c r="P1064" s="3">
        <f>E1064*(VLOOKUP(B1064,Price_data!A$1:B$190,2,FALSE))</f>
        <v>1.8481834060199998</v>
      </c>
      <c r="Q1064" s="3" t="e">
        <f>G1064*(VLOOKUP(B1064,Price_data!A$1:B$190,2,FALSE))</f>
        <v>#N/A</v>
      </c>
      <c r="R1064" s="3" t="e">
        <f>I1064*(VLOOKUP(B1064,Price_data!A$1:B$190,2,FALSE))</f>
        <v>#N/A</v>
      </c>
      <c r="S1064" s="4" t="str">
        <f>(VLOOKUP(B1064,Price_data!A$1:C$190,3,FALSE))</f>
        <v>Open access</v>
      </c>
      <c r="T1064" s="2" t="str">
        <f>IF(C1064="Total", (VLOOKUP(B1064,Recommended_fish_intake!A$4:D$122,4,FALSE)), "NA")</f>
        <v>NA</v>
      </c>
      <c r="U1064" s="2" t="str">
        <f t="shared" si="130"/>
        <v>NA</v>
      </c>
    </row>
    <row r="1065" spans="1:21" ht="14.25" customHeight="1">
      <c r="A1065" s="2" t="s">
        <v>40</v>
      </c>
      <c r="B1065" s="2">
        <v>1969</v>
      </c>
      <c r="C1065" s="2" t="s">
        <v>42</v>
      </c>
      <c r="D1065" s="3">
        <f t="shared" si="131"/>
        <v>1.0668563300142246</v>
      </c>
      <c r="E1065" s="3">
        <f t="shared" si="132"/>
        <v>2.9000000000000001E-2</v>
      </c>
      <c r="F1065" s="3" t="e">
        <f t="shared" si="133"/>
        <v>#N/A</v>
      </c>
      <c r="G1065" s="3" t="e">
        <f t="shared" si="134"/>
        <v>#N/A</v>
      </c>
      <c r="H1065" s="3" t="e">
        <f t="shared" si="135"/>
        <v>#N/A</v>
      </c>
      <c r="I1065" s="3" t="e">
        <f t="shared" si="136"/>
        <v>#N/A</v>
      </c>
      <c r="J1065" s="3">
        <v>1066.8563300142246</v>
      </c>
      <c r="K1065" s="3">
        <v>29</v>
      </c>
      <c r="L1065" s="3" t="e">
        <v>#N/A</v>
      </c>
      <c r="M1065" s="3" t="e">
        <v>#N/A</v>
      </c>
      <c r="N1065" s="3" t="e">
        <v>#N/A</v>
      </c>
      <c r="O1065" s="3" t="e">
        <v>#N/A</v>
      </c>
      <c r="P1065" s="3">
        <f>E1065*(VLOOKUP(B1065,Price_data!A$1:B$190,2,FALSE))</f>
        <v>0.28358369721999999</v>
      </c>
      <c r="Q1065" s="3" t="e">
        <f>G1065*(VLOOKUP(B1065,Price_data!A$1:B$190,2,FALSE))</f>
        <v>#N/A</v>
      </c>
      <c r="R1065" s="3" t="e">
        <f>I1065*(VLOOKUP(B1065,Price_data!A$1:B$190,2,FALSE))</f>
        <v>#N/A</v>
      </c>
      <c r="S1065" s="4" t="str">
        <f>(VLOOKUP(B1065,Price_data!A$1:C$190,3,FALSE))</f>
        <v>Open access</v>
      </c>
      <c r="T1065" s="2" t="str">
        <f>IF(C1065="Total", (VLOOKUP(B1065,Recommended_fish_intake!A$4:D$122,4,FALSE)), "NA")</f>
        <v>NA</v>
      </c>
      <c r="U1065" s="2" t="str">
        <f t="shared" si="130"/>
        <v>NA</v>
      </c>
    </row>
    <row r="1066" spans="1:21" ht="14.25" customHeight="1">
      <c r="A1066" s="2" t="s">
        <v>15</v>
      </c>
      <c r="B1066" s="2">
        <v>1969</v>
      </c>
      <c r="C1066" s="2" t="s">
        <v>41</v>
      </c>
      <c r="D1066" s="3">
        <f t="shared" si="131"/>
        <v>727.90083316399102</v>
      </c>
      <c r="E1066" s="3">
        <f t="shared" si="132"/>
        <v>55.938000000000002</v>
      </c>
      <c r="F1066" s="3" t="e">
        <f t="shared" si="133"/>
        <v>#N/A</v>
      </c>
      <c r="G1066" s="3" t="e">
        <f t="shared" si="134"/>
        <v>#N/A</v>
      </c>
      <c r="H1066" s="3" t="e">
        <f t="shared" si="135"/>
        <v>#N/A</v>
      </c>
      <c r="I1066" s="3" t="e">
        <f t="shared" si="136"/>
        <v>#N/A</v>
      </c>
      <c r="J1066" s="3">
        <v>727900.83316399099</v>
      </c>
      <c r="K1066" s="3">
        <v>55938</v>
      </c>
      <c r="L1066" s="3" t="e">
        <v>#N/A</v>
      </c>
      <c r="M1066" s="3" t="e">
        <v>#N/A</v>
      </c>
      <c r="N1066" s="3" t="e">
        <v>#N/A</v>
      </c>
      <c r="O1066" s="3" t="e">
        <v>#N/A</v>
      </c>
      <c r="P1066" s="3">
        <f>E1066*(VLOOKUP(B1066,Price_data!A$1:B$190,2,FALSE))</f>
        <v>547.00361569283996</v>
      </c>
      <c r="Q1066" s="3" t="e">
        <f>G1066*(VLOOKUP(B1066,Price_data!A$1:B$190,2,FALSE))</f>
        <v>#N/A</v>
      </c>
      <c r="R1066" s="3" t="e">
        <f>I1066*(VLOOKUP(B1066,Price_data!A$1:B$190,2,FALSE))</f>
        <v>#N/A</v>
      </c>
      <c r="S1066" s="4" t="str">
        <f>(VLOOKUP(B1066,Price_data!A$1:C$190,3,FALSE))</f>
        <v>Open access</v>
      </c>
      <c r="T1066" s="2" t="str">
        <f>IF(C1066="Total", (VLOOKUP(B1066,Recommended_fish_intake!A$4:D$122,4,FALSE)), "NA")</f>
        <v>NA</v>
      </c>
      <c r="U1066" s="2" t="str">
        <f t="shared" si="130"/>
        <v>NA</v>
      </c>
    </row>
    <row r="1067" spans="1:21" ht="14.25" customHeight="1">
      <c r="A1067" s="2" t="s">
        <v>15</v>
      </c>
      <c r="B1067" s="2">
        <v>1969</v>
      </c>
      <c r="C1067" s="2" t="s">
        <v>42</v>
      </c>
      <c r="D1067" s="3">
        <f t="shared" si="131"/>
        <v>175.52326762853079</v>
      </c>
      <c r="E1067" s="3">
        <f t="shared" si="132"/>
        <v>4.024</v>
      </c>
      <c r="F1067" s="3" t="e">
        <f t="shared" si="133"/>
        <v>#N/A</v>
      </c>
      <c r="G1067" s="3" t="e">
        <f t="shared" si="134"/>
        <v>#N/A</v>
      </c>
      <c r="H1067" s="3" t="e">
        <f t="shared" si="135"/>
        <v>#N/A</v>
      </c>
      <c r="I1067" s="3" t="e">
        <f t="shared" si="136"/>
        <v>#N/A</v>
      </c>
      <c r="J1067" s="3">
        <v>175523.2676285308</v>
      </c>
      <c r="K1067" s="3">
        <v>4024</v>
      </c>
      <c r="L1067" s="3" t="e">
        <v>#N/A</v>
      </c>
      <c r="M1067" s="3" t="e">
        <v>#N/A</v>
      </c>
      <c r="N1067" s="3" t="e">
        <v>#N/A</v>
      </c>
      <c r="O1067" s="3" t="e">
        <v>#N/A</v>
      </c>
      <c r="P1067" s="3">
        <f>E1067*(VLOOKUP(B1067,Price_data!A$1:B$190,2,FALSE))</f>
        <v>39.349682676319993</v>
      </c>
      <c r="Q1067" s="3" t="e">
        <f>G1067*(VLOOKUP(B1067,Price_data!A$1:B$190,2,FALSE))</f>
        <v>#N/A</v>
      </c>
      <c r="R1067" s="3" t="e">
        <f>I1067*(VLOOKUP(B1067,Price_data!A$1:B$190,2,FALSE))</f>
        <v>#N/A</v>
      </c>
      <c r="S1067" s="4" t="str">
        <f>(VLOOKUP(B1067,Price_data!A$1:C$190,3,FALSE))</f>
        <v>Open access</v>
      </c>
      <c r="T1067" s="2" t="str">
        <f>IF(C1067="Total", (VLOOKUP(B1067,Recommended_fish_intake!A$4:D$122,4,FALSE)), "NA")</f>
        <v>NA</v>
      </c>
      <c r="U1067" s="2" t="str">
        <f t="shared" si="130"/>
        <v>NA</v>
      </c>
    </row>
    <row r="1068" spans="1:21" ht="14.25" customHeight="1">
      <c r="A1068" s="2" t="s">
        <v>18</v>
      </c>
      <c r="B1068" s="2">
        <v>1969</v>
      </c>
      <c r="C1068" s="2" t="s">
        <v>20</v>
      </c>
      <c r="D1068" s="3">
        <f t="shared" si="131"/>
        <v>2.7433448486080065</v>
      </c>
      <c r="E1068" s="3">
        <f t="shared" si="132"/>
        <v>0.16</v>
      </c>
      <c r="F1068" s="3" t="e">
        <f t="shared" si="133"/>
        <v>#N/A</v>
      </c>
      <c r="G1068" s="3" t="e">
        <f t="shared" si="134"/>
        <v>#N/A</v>
      </c>
      <c r="H1068" s="3" t="e">
        <f t="shared" si="135"/>
        <v>#N/A</v>
      </c>
      <c r="I1068" s="3" t="e">
        <f t="shared" si="136"/>
        <v>#N/A</v>
      </c>
      <c r="J1068" s="2">
        <v>2743.3448486080065</v>
      </c>
      <c r="K1068" s="2">
        <v>160</v>
      </c>
      <c r="L1068" s="2" t="e">
        <v>#N/A</v>
      </c>
      <c r="M1068" s="2" t="e">
        <v>#N/A</v>
      </c>
      <c r="N1068" s="2" t="e">
        <v>#N/A</v>
      </c>
      <c r="O1068" s="2" t="e">
        <v>#N/A</v>
      </c>
      <c r="P1068" s="3">
        <f>E1068*(VLOOKUP(B1068,Price_data!A$1:B$190,2,FALSE))</f>
        <v>1.5645997087999999</v>
      </c>
      <c r="Q1068" s="3" t="e">
        <f>G1068*(VLOOKUP(B1068,Price_data!A$1:B$190,2,FALSE))</f>
        <v>#N/A</v>
      </c>
      <c r="R1068" s="3" t="e">
        <f>I1068*(VLOOKUP(B1068,Price_data!A$1:B$190,2,FALSE))</f>
        <v>#N/A</v>
      </c>
      <c r="S1068" s="4" t="str">
        <f>(VLOOKUP(B1068,Price_data!A$1:C$190,3,FALSE))</f>
        <v>Open access</v>
      </c>
      <c r="T1068" s="2" t="str">
        <f>IF(C1068="Total", (VLOOKUP(B1068,Recommended_fish_intake!A$4:D$122,4,FALSE)), "NA")</f>
        <v>NA</v>
      </c>
      <c r="U1068" s="2" t="str">
        <f t="shared" si="130"/>
        <v>NA</v>
      </c>
    </row>
    <row r="1069" spans="1:21" ht="14.25" customHeight="1">
      <c r="A1069" s="2" t="s">
        <v>39</v>
      </c>
      <c r="B1069" s="2">
        <v>1969</v>
      </c>
      <c r="C1069" s="2" t="s">
        <v>20</v>
      </c>
      <c r="D1069" s="3">
        <f t="shared" si="131"/>
        <v>0.60963218857955692</v>
      </c>
      <c r="E1069" s="3">
        <f t="shared" si="132"/>
        <v>1.4999999999999999E-2</v>
      </c>
      <c r="F1069" s="3" t="e">
        <f t="shared" si="133"/>
        <v>#N/A</v>
      </c>
      <c r="G1069" s="3" t="e">
        <f t="shared" si="134"/>
        <v>#N/A</v>
      </c>
      <c r="H1069" s="3" t="e">
        <f t="shared" si="135"/>
        <v>#N/A</v>
      </c>
      <c r="I1069" s="3" t="e">
        <f t="shared" si="136"/>
        <v>#N/A</v>
      </c>
      <c r="J1069" s="2">
        <v>609.6321885795569</v>
      </c>
      <c r="K1069" s="2">
        <v>15</v>
      </c>
      <c r="L1069" s="2" t="e">
        <v>#N/A</v>
      </c>
      <c r="M1069" s="2" t="e">
        <v>#N/A</v>
      </c>
      <c r="N1069" s="2" t="e">
        <v>#N/A</v>
      </c>
      <c r="O1069" s="2" t="e">
        <v>#N/A</v>
      </c>
      <c r="P1069" s="3">
        <f>E1069*(VLOOKUP(B1069,Price_data!A$1:B$190,2,FALSE))</f>
        <v>0.14668122269999997</v>
      </c>
      <c r="Q1069" s="3" t="e">
        <f>G1069*(VLOOKUP(B1069,Price_data!A$1:B$190,2,FALSE))</f>
        <v>#N/A</v>
      </c>
      <c r="R1069" s="3" t="e">
        <f>I1069*(VLOOKUP(B1069,Price_data!A$1:B$190,2,FALSE))</f>
        <v>#N/A</v>
      </c>
      <c r="S1069" s="4" t="str">
        <f>(VLOOKUP(B1069,Price_data!A$1:C$190,3,FALSE))</f>
        <v>Open access</v>
      </c>
      <c r="T1069" s="2" t="str">
        <f>IF(C1069="Total", (VLOOKUP(B1069,Recommended_fish_intake!A$4:D$122,4,FALSE)), "NA")</f>
        <v>NA</v>
      </c>
      <c r="U1069" s="2" t="str">
        <f t="shared" si="130"/>
        <v>NA</v>
      </c>
    </row>
    <row r="1070" spans="1:21" ht="14.25" customHeight="1">
      <c r="A1070" s="2" t="s">
        <v>40</v>
      </c>
      <c r="B1070" s="2">
        <v>1969</v>
      </c>
      <c r="C1070" s="2" t="s">
        <v>20</v>
      </c>
      <c r="D1070" s="3">
        <f t="shared" si="131"/>
        <v>0.30481609428977846</v>
      </c>
      <c r="E1070" s="3">
        <f t="shared" si="132"/>
        <v>4.0000000000000001E-3</v>
      </c>
      <c r="F1070" s="3" t="e">
        <f t="shared" si="133"/>
        <v>#N/A</v>
      </c>
      <c r="G1070" s="3" t="e">
        <f t="shared" si="134"/>
        <v>#N/A</v>
      </c>
      <c r="H1070" s="3" t="e">
        <f t="shared" si="135"/>
        <v>#N/A</v>
      </c>
      <c r="I1070" s="3" t="e">
        <f t="shared" si="136"/>
        <v>#N/A</v>
      </c>
      <c r="J1070" s="2">
        <v>304.81609428977845</v>
      </c>
      <c r="K1070" s="2">
        <v>4</v>
      </c>
      <c r="L1070" s="2" t="e">
        <v>#N/A</v>
      </c>
      <c r="M1070" s="2" t="e">
        <v>#N/A</v>
      </c>
      <c r="N1070" s="2" t="e">
        <v>#N/A</v>
      </c>
      <c r="O1070" s="2" t="e">
        <v>#N/A</v>
      </c>
      <c r="P1070" s="3">
        <f>E1070*(VLOOKUP(B1070,Price_data!A$1:B$190,2,FALSE))</f>
        <v>3.9114992719999998E-2</v>
      </c>
      <c r="Q1070" s="3" t="e">
        <f>G1070*(VLOOKUP(B1070,Price_data!A$1:B$190,2,FALSE))</f>
        <v>#N/A</v>
      </c>
      <c r="R1070" s="3" t="e">
        <f>I1070*(VLOOKUP(B1070,Price_data!A$1:B$190,2,FALSE))</f>
        <v>#N/A</v>
      </c>
      <c r="S1070" s="4" t="str">
        <f>(VLOOKUP(B1070,Price_data!A$1:C$190,3,FALSE))</f>
        <v>Open access</v>
      </c>
      <c r="T1070" s="2" t="str">
        <f>IF(C1070="Total", (VLOOKUP(B1070,Recommended_fish_intake!A$4:D$122,4,FALSE)), "NA")</f>
        <v>NA</v>
      </c>
      <c r="U1070" s="2" t="str">
        <f t="shared" si="130"/>
        <v>NA</v>
      </c>
    </row>
    <row r="1071" spans="1:21" ht="14.25" customHeight="1">
      <c r="A1071" s="2" t="s">
        <v>15</v>
      </c>
      <c r="B1071" s="2">
        <v>1969</v>
      </c>
      <c r="C1071" s="2" t="s">
        <v>20</v>
      </c>
      <c r="D1071" s="3">
        <f t="shared" si="131"/>
        <v>3.6577931314773418</v>
      </c>
      <c r="E1071" s="3">
        <f t="shared" si="132"/>
        <v>0.18</v>
      </c>
      <c r="F1071" s="3" t="e">
        <f t="shared" si="133"/>
        <v>#N/A</v>
      </c>
      <c r="G1071" s="3" t="e">
        <f t="shared" si="134"/>
        <v>#N/A</v>
      </c>
      <c r="H1071" s="3" t="e">
        <f t="shared" si="135"/>
        <v>#N/A</v>
      </c>
      <c r="I1071" s="3" t="e">
        <f t="shared" si="136"/>
        <v>#N/A</v>
      </c>
      <c r="J1071" s="2">
        <v>3657.7931314773418</v>
      </c>
      <c r="K1071" s="2">
        <v>180</v>
      </c>
      <c r="L1071" s="2" t="e">
        <v>#N/A</v>
      </c>
      <c r="M1071" s="2" t="e">
        <v>#N/A</v>
      </c>
      <c r="N1071" s="2" t="e">
        <v>#N/A</v>
      </c>
      <c r="O1071" s="2" t="e">
        <v>#N/A</v>
      </c>
      <c r="P1071" s="3">
        <f>E1071*(VLOOKUP(B1071,Price_data!A$1:B$190,2,FALSE))</f>
        <v>1.7601746723999998</v>
      </c>
      <c r="Q1071" s="3" t="e">
        <f>G1071*(VLOOKUP(B1071,Price_data!A$1:B$190,2,FALSE))</f>
        <v>#N/A</v>
      </c>
      <c r="R1071" s="3" t="e">
        <f>I1071*(VLOOKUP(B1071,Price_data!A$1:B$190,2,FALSE))</f>
        <v>#N/A</v>
      </c>
      <c r="S1071" s="4" t="str">
        <f>(VLOOKUP(B1071,Price_data!A$1:C$190,3,FALSE))</f>
        <v>Open access</v>
      </c>
      <c r="T1071" s="2" t="str">
        <f>IF(C1071="Total", (VLOOKUP(B1071,Recommended_fish_intake!A$4:D$122,4,FALSE)), "NA")</f>
        <v>NA</v>
      </c>
      <c r="U1071" s="2" t="str">
        <f t="shared" si="130"/>
        <v>NA</v>
      </c>
    </row>
    <row r="1072" spans="1:21" ht="14.25" customHeight="1">
      <c r="A1072" s="2" t="s">
        <v>15</v>
      </c>
      <c r="B1072" s="2">
        <v>1969</v>
      </c>
      <c r="C1072" s="2" t="s">
        <v>29</v>
      </c>
      <c r="D1072" s="3" t="e">
        <f t="shared" si="131"/>
        <v>#N/A</v>
      </c>
      <c r="E1072" s="3" t="e">
        <f t="shared" si="132"/>
        <v>#N/A</v>
      </c>
      <c r="F1072" s="3" t="e">
        <f t="shared" si="133"/>
        <v>#N/A</v>
      </c>
      <c r="G1072" s="3" t="e">
        <f t="shared" si="134"/>
        <v>#N/A</v>
      </c>
      <c r="H1072" s="3">
        <f t="shared" si="135"/>
        <v>36.17150985572038</v>
      </c>
      <c r="I1072" s="3">
        <f t="shared" si="136"/>
        <v>28.992999999999999</v>
      </c>
      <c r="J1072" s="3" t="e">
        <v>#N/A</v>
      </c>
      <c r="K1072" s="3" t="e">
        <v>#N/A</v>
      </c>
      <c r="L1072" s="3" t="e">
        <v>#N/A</v>
      </c>
      <c r="M1072" s="3" t="e">
        <v>#N/A</v>
      </c>
      <c r="N1072" s="3">
        <v>36171.509855720382</v>
      </c>
      <c r="O1072" s="3">
        <v>28993</v>
      </c>
      <c r="P1072" s="3" t="e">
        <f>E1072*(VLOOKUP(B1072,Price_data!A$1:B$190,2,FALSE))</f>
        <v>#N/A</v>
      </c>
      <c r="Q1072" s="3" t="e">
        <f>G1072*(VLOOKUP(B1072,Price_data!A$1:B$190,2,FALSE))</f>
        <v>#N/A</v>
      </c>
      <c r="R1072" s="3">
        <f>I1072*(VLOOKUP(B1072,Price_data!A$1:B$190,2,FALSE))</f>
        <v>283.51524598273994</v>
      </c>
      <c r="S1072" s="4" t="str">
        <f>(VLOOKUP(B1072,Price_data!A$1:C$190,3,FALSE))</f>
        <v>Open access</v>
      </c>
      <c r="T1072" s="2" t="str">
        <f>IF(C1072="Total", (VLOOKUP(B1072,Recommended_fish_intake!A$4:D$122,4,FALSE)), "NA")</f>
        <v>NA</v>
      </c>
      <c r="U1072" s="2" t="str">
        <f t="shared" si="130"/>
        <v>NA</v>
      </c>
    </row>
    <row r="1073" spans="1:21" ht="14.25" customHeight="1">
      <c r="A1073" s="2" t="s">
        <v>15</v>
      </c>
      <c r="B1073" s="2">
        <v>1969</v>
      </c>
      <c r="C1073" s="2" t="s">
        <v>43</v>
      </c>
      <c r="D1073" s="3" t="e">
        <f t="shared" si="131"/>
        <v>#N/A</v>
      </c>
      <c r="E1073" s="3" t="e">
        <f t="shared" si="132"/>
        <v>#N/A</v>
      </c>
      <c r="F1073" s="3" t="e">
        <f t="shared" si="133"/>
        <v>#N/A</v>
      </c>
      <c r="G1073" s="3" t="e">
        <f t="shared" si="134"/>
        <v>#N/A</v>
      </c>
      <c r="H1073" s="3">
        <f t="shared" si="135"/>
        <v>4.9278601910180857</v>
      </c>
      <c r="I1073" s="3">
        <f t="shared" si="136"/>
        <v>1.9870000000000001</v>
      </c>
      <c r="J1073" s="3" t="e">
        <v>#N/A</v>
      </c>
      <c r="K1073" s="3" t="e">
        <v>#N/A</v>
      </c>
      <c r="L1073" s="3" t="e">
        <v>#N/A</v>
      </c>
      <c r="M1073" s="3" t="e">
        <v>#N/A</v>
      </c>
      <c r="N1073" s="3">
        <v>4927.860191018086</v>
      </c>
      <c r="O1073" s="3">
        <v>1987</v>
      </c>
      <c r="P1073" s="3" t="e">
        <f>E1073*(VLOOKUP(B1073,Price_data!A$1:B$190,2,FALSE))</f>
        <v>#N/A</v>
      </c>
      <c r="Q1073" s="3" t="e">
        <f>G1073*(VLOOKUP(B1073,Price_data!A$1:B$190,2,FALSE))</f>
        <v>#N/A</v>
      </c>
      <c r="R1073" s="3">
        <f>I1073*(VLOOKUP(B1073,Price_data!A$1:B$190,2,FALSE))</f>
        <v>19.430372633659999</v>
      </c>
      <c r="S1073" s="4" t="str">
        <f>(VLOOKUP(B1073,Price_data!A$1:C$190,3,FALSE))</f>
        <v>Open access</v>
      </c>
      <c r="T1073" s="2" t="str">
        <f>IF(C1073="Total", (VLOOKUP(B1073,Recommended_fish_intake!A$4:D$122,4,FALSE)), "NA")</f>
        <v>NA</v>
      </c>
      <c r="U1073" s="2" t="str">
        <f t="shared" si="130"/>
        <v>NA</v>
      </c>
    </row>
    <row r="1074" spans="1:21" ht="14.25" customHeight="1">
      <c r="A1074" s="2" t="s">
        <v>15</v>
      </c>
      <c r="B1074" s="2">
        <v>1970</v>
      </c>
      <c r="C1074" s="2" t="s">
        <v>16</v>
      </c>
      <c r="D1074" s="3">
        <f t="shared" si="131"/>
        <v>975.10668563300135</v>
      </c>
      <c r="E1074" s="3">
        <f t="shared" si="132"/>
        <v>76.262</v>
      </c>
      <c r="F1074" s="3">
        <f t="shared" si="133"/>
        <v>112.93436293436292</v>
      </c>
      <c r="G1074" s="3">
        <f t="shared" si="134"/>
        <v>20.823</v>
      </c>
      <c r="H1074" s="3">
        <f t="shared" si="135"/>
        <v>185.78540946961999</v>
      </c>
      <c r="I1074" s="3">
        <f t="shared" si="136"/>
        <v>73.388999999999996</v>
      </c>
      <c r="J1074" s="3">
        <v>975106.68563300138</v>
      </c>
      <c r="K1074" s="3">
        <v>76262</v>
      </c>
      <c r="L1074" s="3">
        <v>112934.36293436293</v>
      </c>
      <c r="M1074" s="3">
        <v>20823</v>
      </c>
      <c r="N1074" s="3">
        <v>185785.40946962</v>
      </c>
      <c r="O1074" s="3">
        <v>73389</v>
      </c>
      <c r="P1074" s="3">
        <f>E1074*(VLOOKUP(B1074,Price_data!A$1:B$190,2,FALSE))</f>
        <v>700.85925582949801</v>
      </c>
      <c r="Q1074" s="3">
        <f>G1074*(VLOOKUP(B1074,Price_data!A$1:B$190,2,FALSE))</f>
        <v>191.366503424217</v>
      </c>
      <c r="R1074" s="3">
        <f>I1074*(VLOOKUP(B1074,Price_data!A$1:B$190,2,FALSE))</f>
        <v>674.45595350333099</v>
      </c>
      <c r="S1074" s="4" t="str">
        <f>(VLOOKUP(B1074,Price_data!A$1:C$190,3,FALSE))</f>
        <v>Open access</v>
      </c>
      <c r="T1074" s="2">
        <f>IF(C1074="Total", (VLOOKUP(B1074,Recommended_fish_intake!A$4:D$122,4,FALSE)), "NA")</f>
        <v>714.37192717799996</v>
      </c>
      <c r="U1074" s="2" t="str">
        <f t="shared" si="130"/>
        <v>NA</v>
      </c>
    </row>
    <row r="1075" spans="1:21" ht="14.25" customHeight="1">
      <c r="A1075" s="2" t="s">
        <v>18</v>
      </c>
      <c r="B1075" s="2">
        <v>1970</v>
      </c>
      <c r="C1075" s="2" t="s">
        <v>16</v>
      </c>
      <c r="D1075" s="3">
        <f t="shared" si="131"/>
        <v>543.7919122129648</v>
      </c>
      <c r="E1075" s="3">
        <f t="shared" si="132"/>
        <v>48.244999999999997</v>
      </c>
      <c r="F1075" s="3" t="e">
        <f t="shared" si="133"/>
        <v>#N/A</v>
      </c>
      <c r="G1075" s="3" t="e">
        <f t="shared" si="134"/>
        <v>#N/A</v>
      </c>
      <c r="H1075" s="3" t="e">
        <f t="shared" si="135"/>
        <v>#N/A</v>
      </c>
      <c r="I1075" s="3" t="e">
        <f t="shared" si="136"/>
        <v>#N/A</v>
      </c>
      <c r="J1075" s="3">
        <v>543791.91221296485</v>
      </c>
      <c r="K1075" s="3">
        <v>48245</v>
      </c>
      <c r="L1075" s="3" t="e">
        <v>#N/A</v>
      </c>
      <c r="M1075" s="3" t="e">
        <v>#N/A</v>
      </c>
      <c r="N1075" s="3" t="e">
        <v>#N/A</v>
      </c>
      <c r="O1075" s="3" t="e">
        <v>#N/A</v>
      </c>
      <c r="P1075" s="3">
        <f>E1075*(VLOOKUP(B1075,Price_data!A$1:B$190,2,FALSE))</f>
        <v>443.37880985935499</v>
      </c>
      <c r="Q1075" s="3" t="e">
        <f>G1075*(VLOOKUP(B1075,Price_data!A$1:B$190,2,FALSE))</f>
        <v>#N/A</v>
      </c>
      <c r="R1075" s="3" t="e">
        <f>I1075*(VLOOKUP(B1075,Price_data!A$1:B$190,2,FALSE))</f>
        <v>#N/A</v>
      </c>
      <c r="S1075" s="4" t="str">
        <f>(VLOOKUP(B1075,Price_data!A$1:C$190,3,FALSE))</f>
        <v>Open access</v>
      </c>
      <c r="T1075" s="2">
        <f>IF(C1075="Total", (VLOOKUP(B1075,Recommended_fish_intake!A$4:D$122,4,FALSE)), "NA")</f>
        <v>714.37192717799996</v>
      </c>
      <c r="U1075" s="2" t="str">
        <f t="shared" si="130"/>
        <v>NA</v>
      </c>
    </row>
    <row r="1076" spans="1:21" ht="14.25" customHeight="1">
      <c r="A1076" s="2" t="s">
        <v>39</v>
      </c>
      <c r="B1076" s="2">
        <v>1970</v>
      </c>
      <c r="C1076" s="2" t="s">
        <v>16</v>
      </c>
      <c r="D1076" s="3">
        <f t="shared" si="131"/>
        <v>419.4269457427352</v>
      </c>
      <c r="E1076" s="3">
        <f t="shared" si="132"/>
        <v>27.24</v>
      </c>
      <c r="F1076" s="3" t="e">
        <f t="shared" si="133"/>
        <v>#N/A</v>
      </c>
      <c r="G1076" s="3" t="e">
        <f t="shared" si="134"/>
        <v>#N/A</v>
      </c>
      <c r="H1076" s="3" t="e">
        <f t="shared" si="135"/>
        <v>#N/A</v>
      </c>
      <c r="I1076" s="3" t="e">
        <f t="shared" si="136"/>
        <v>#N/A</v>
      </c>
      <c r="J1076" s="3">
        <v>419426.94574273517</v>
      </c>
      <c r="K1076" s="3">
        <v>27240</v>
      </c>
      <c r="L1076" s="3" t="e">
        <v>#N/A</v>
      </c>
      <c r="M1076" s="3" t="e">
        <v>#N/A</v>
      </c>
      <c r="N1076" s="3" t="e">
        <v>#N/A</v>
      </c>
      <c r="O1076" s="3" t="e">
        <v>#N/A</v>
      </c>
      <c r="P1076" s="3">
        <f>E1076*(VLOOKUP(B1076,Price_data!A$1:B$190,2,FALSE))</f>
        <v>250.33969904795998</v>
      </c>
      <c r="Q1076" s="3" t="e">
        <f>G1076*(VLOOKUP(B1076,Price_data!A$1:B$190,2,FALSE))</f>
        <v>#N/A</v>
      </c>
      <c r="R1076" s="3" t="e">
        <f>I1076*(VLOOKUP(B1076,Price_data!A$1:B$190,2,FALSE))</f>
        <v>#N/A</v>
      </c>
      <c r="S1076" s="4" t="str">
        <f>(VLOOKUP(B1076,Price_data!A$1:C$190,3,FALSE))</f>
        <v>Open access</v>
      </c>
      <c r="T1076" s="2">
        <f>IF(C1076="Total", (VLOOKUP(B1076,Recommended_fish_intake!A$4:D$122,4,FALSE)), "NA")</f>
        <v>714.37192717799996</v>
      </c>
      <c r="U1076" s="2" t="str">
        <f t="shared" si="130"/>
        <v>NA</v>
      </c>
    </row>
    <row r="1077" spans="1:21" ht="14.25" customHeight="1">
      <c r="A1077" s="2" t="s">
        <v>40</v>
      </c>
      <c r="B1077" s="2">
        <v>1970</v>
      </c>
      <c r="C1077" s="2" t="s">
        <v>16</v>
      </c>
      <c r="D1077" s="3">
        <f t="shared" si="131"/>
        <v>11.887827677301361</v>
      </c>
      <c r="E1077" s="3">
        <f t="shared" si="132"/>
        <v>0.77700000000000002</v>
      </c>
      <c r="F1077" s="3" t="e">
        <f t="shared" si="133"/>
        <v>#N/A</v>
      </c>
      <c r="G1077" s="3" t="e">
        <f t="shared" si="134"/>
        <v>#N/A</v>
      </c>
      <c r="H1077" s="3" t="e">
        <f t="shared" si="135"/>
        <v>#N/A</v>
      </c>
      <c r="I1077" s="3" t="e">
        <f t="shared" si="136"/>
        <v>#N/A</v>
      </c>
      <c r="J1077" s="3">
        <v>11887.827677301362</v>
      </c>
      <c r="K1077" s="3">
        <v>777</v>
      </c>
      <c r="L1077" s="3" t="e">
        <v>#N/A</v>
      </c>
      <c r="M1077" s="3" t="e">
        <v>#N/A</v>
      </c>
      <c r="N1077" s="3" t="e">
        <v>#N/A</v>
      </c>
      <c r="O1077" s="3" t="e">
        <v>#N/A</v>
      </c>
      <c r="P1077" s="3">
        <f>E1077*(VLOOKUP(B1077,Price_data!A$1:B$190,2,FALSE))</f>
        <v>7.1407469221830002</v>
      </c>
      <c r="Q1077" s="3" t="e">
        <f>G1077*(VLOOKUP(B1077,Price_data!A$1:B$190,2,FALSE))</f>
        <v>#N/A</v>
      </c>
      <c r="R1077" s="3" t="e">
        <f>I1077*(VLOOKUP(B1077,Price_data!A$1:B$190,2,FALSE))</f>
        <v>#N/A</v>
      </c>
      <c r="S1077" s="4" t="str">
        <f>(VLOOKUP(B1077,Price_data!A$1:C$190,3,FALSE))</f>
        <v>Open access</v>
      </c>
      <c r="T1077" s="2">
        <f>IF(C1077="Total", (VLOOKUP(B1077,Recommended_fish_intake!A$4:D$122,4,FALSE)), "NA")</f>
        <v>714.37192717799996</v>
      </c>
      <c r="U1077" s="2" t="str">
        <f t="shared" si="130"/>
        <v>NA</v>
      </c>
    </row>
    <row r="1078" spans="1:21" ht="14.25" customHeight="1">
      <c r="A1078" s="2" t="s">
        <v>15</v>
      </c>
      <c r="B1078" s="2">
        <v>1970</v>
      </c>
      <c r="C1078" s="2" t="s">
        <v>22</v>
      </c>
      <c r="D1078" s="3">
        <f t="shared" si="131"/>
        <v>345.20422678317414</v>
      </c>
      <c r="E1078" s="3">
        <f t="shared" si="132"/>
        <v>32.384</v>
      </c>
      <c r="F1078" s="3" t="e">
        <f t="shared" si="133"/>
        <v>#N/A</v>
      </c>
      <c r="G1078" s="3" t="e">
        <f t="shared" si="134"/>
        <v>#N/A</v>
      </c>
      <c r="H1078" s="3">
        <f t="shared" si="135"/>
        <v>44.807965860597434</v>
      </c>
      <c r="I1078" s="3">
        <f t="shared" si="136"/>
        <v>8.4990000000000006</v>
      </c>
      <c r="J1078" s="3">
        <v>345204.22678317415</v>
      </c>
      <c r="K1078" s="3">
        <v>32384</v>
      </c>
      <c r="L1078" s="3" t="e">
        <v>#N/A</v>
      </c>
      <c r="M1078" s="3" t="e">
        <v>#N/A</v>
      </c>
      <c r="N1078" s="3">
        <v>44807.965860597433</v>
      </c>
      <c r="O1078" s="3">
        <v>8499</v>
      </c>
      <c r="P1078" s="3">
        <f>E1078*(VLOOKUP(B1078,Price_data!A$1:B$190,2,FALSE))</f>
        <v>297.613833111936</v>
      </c>
      <c r="Q1078" s="3" t="e">
        <f>G1078*(VLOOKUP(B1078,Price_data!A$1:B$190,2,FALSE))</f>
        <v>#N/A</v>
      </c>
      <c r="R1078" s="3">
        <f>I1078*(VLOOKUP(B1078,Price_data!A$1:B$190,2,FALSE))</f>
        <v>78.107088921021003</v>
      </c>
      <c r="S1078" s="4" t="str">
        <f>(VLOOKUP(B1078,Price_data!A$1:C$190,3,FALSE))</f>
        <v>Open access</v>
      </c>
      <c r="T1078" s="2" t="str">
        <f>IF(C1078="Total", (VLOOKUP(B1078,Recommended_fish_intake!A$4:D$122,4,FALSE)), "NA")</f>
        <v>NA</v>
      </c>
      <c r="U1078" s="2" t="str">
        <f t="shared" si="130"/>
        <v>NA</v>
      </c>
    </row>
    <row r="1079" spans="1:21" ht="14.25" customHeight="1">
      <c r="A1079" s="2" t="s">
        <v>15</v>
      </c>
      <c r="B1079" s="2">
        <v>1970</v>
      </c>
      <c r="C1079" s="2" t="s">
        <v>23</v>
      </c>
      <c r="D1079" s="3">
        <f t="shared" si="131"/>
        <v>176.33611054663686</v>
      </c>
      <c r="E1079" s="3">
        <f t="shared" si="132"/>
        <v>13.614000000000001</v>
      </c>
      <c r="F1079" s="3" t="e">
        <f t="shared" si="133"/>
        <v>#N/A</v>
      </c>
      <c r="G1079" s="3" t="e">
        <f t="shared" si="134"/>
        <v>#N/A</v>
      </c>
      <c r="H1079" s="3">
        <f t="shared" si="135"/>
        <v>7.3663889453363129</v>
      </c>
      <c r="I1079" s="3">
        <f t="shared" si="136"/>
        <v>1.494</v>
      </c>
      <c r="J1079" s="3">
        <v>176336.11054663686</v>
      </c>
      <c r="K1079" s="3">
        <v>13614</v>
      </c>
      <c r="L1079" s="3" t="e">
        <v>#N/A</v>
      </c>
      <c r="M1079" s="3" t="e">
        <v>#N/A</v>
      </c>
      <c r="N1079" s="3">
        <v>7366.3889453363126</v>
      </c>
      <c r="O1079" s="3">
        <v>1494</v>
      </c>
      <c r="P1079" s="3">
        <f>E1079*(VLOOKUP(B1079,Price_data!A$1:B$190,2,FALSE))</f>
        <v>125.114708621106</v>
      </c>
      <c r="Q1079" s="3" t="e">
        <f>G1079*(VLOOKUP(B1079,Price_data!A$1:B$190,2,FALSE))</f>
        <v>#N/A</v>
      </c>
      <c r="R1079" s="3">
        <f>I1079*(VLOOKUP(B1079,Price_data!A$1:B$190,2,FALSE))</f>
        <v>13.730084815626</v>
      </c>
      <c r="S1079" s="4" t="str">
        <f>(VLOOKUP(B1079,Price_data!A$1:C$190,3,FALSE))</f>
        <v>Open access</v>
      </c>
      <c r="T1079" s="2" t="str">
        <f>IF(C1079="Total", (VLOOKUP(B1079,Recommended_fish_intake!A$4:D$122,4,FALSE)), "NA")</f>
        <v>NA</v>
      </c>
      <c r="U1079" s="2" t="str">
        <f t="shared" si="130"/>
        <v>NA</v>
      </c>
    </row>
    <row r="1080" spans="1:21" ht="14.25" customHeight="1">
      <c r="A1080" s="2" t="s">
        <v>15</v>
      </c>
      <c r="B1080" s="2">
        <v>1970</v>
      </c>
      <c r="C1080" s="2" t="s">
        <v>25</v>
      </c>
      <c r="D1080" s="3">
        <f t="shared" si="131"/>
        <v>44.147530989636252</v>
      </c>
      <c r="E1080" s="3">
        <f t="shared" si="132"/>
        <v>6.2320000000000002</v>
      </c>
      <c r="F1080" s="3" t="e">
        <f t="shared" si="133"/>
        <v>#N/A</v>
      </c>
      <c r="G1080" s="3" t="e">
        <f t="shared" si="134"/>
        <v>#N/A</v>
      </c>
      <c r="H1080" s="3">
        <f t="shared" si="135"/>
        <v>15.850436903068481</v>
      </c>
      <c r="I1080" s="3">
        <f t="shared" si="136"/>
        <v>3.28</v>
      </c>
      <c r="J1080" s="3">
        <v>44147.530989636252</v>
      </c>
      <c r="K1080" s="3">
        <v>6232</v>
      </c>
      <c r="L1080" s="3" t="e">
        <v>#N/A</v>
      </c>
      <c r="M1080" s="3" t="e">
        <v>#N/A</v>
      </c>
      <c r="N1080" s="3">
        <v>15850.436903068481</v>
      </c>
      <c r="O1080" s="3">
        <v>3280</v>
      </c>
      <c r="P1080" s="3">
        <f>E1080*(VLOOKUP(B1080,Price_data!A$1:B$190,2,FALSE))</f>
        <v>57.273017785127998</v>
      </c>
      <c r="Q1080" s="3" t="e">
        <f>G1080*(VLOOKUP(B1080,Price_data!A$1:B$190,2,FALSE))</f>
        <v>#N/A</v>
      </c>
      <c r="R1080" s="3">
        <f>I1080*(VLOOKUP(B1080,Price_data!A$1:B$190,2,FALSE))</f>
        <v>30.143693571119996</v>
      </c>
      <c r="S1080" s="4" t="str">
        <f>(VLOOKUP(B1080,Price_data!A$1:C$190,3,FALSE))</f>
        <v>Open access</v>
      </c>
      <c r="T1080" s="2" t="str">
        <f>IF(C1080="Total", (VLOOKUP(B1080,Recommended_fish_intake!A$4:D$122,4,FALSE)), "NA")</f>
        <v>NA</v>
      </c>
      <c r="U1080" s="2" t="str">
        <f t="shared" si="130"/>
        <v>NA</v>
      </c>
    </row>
    <row r="1081" spans="1:21" ht="14.25" customHeight="1">
      <c r="A1081" s="2" t="s">
        <v>15</v>
      </c>
      <c r="B1081" s="2">
        <v>1970</v>
      </c>
      <c r="C1081" s="2" t="s">
        <v>38</v>
      </c>
      <c r="D1081" s="3">
        <f t="shared" si="131"/>
        <v>50.548668969721597</v>
      </c>
      <c r="E1081" s="3">
        <f t="shared" si="132"/>
        <v>2.0139999999999998</v>
      </c>
      <c r="F1081" s="3" t="e">
        <f t="shared" si="133"/>
        <v>#N/A</v>
      </c>
      <c r="G1081" s="3" t="e">
        <f t="shared" si="134"/>
        <v>#N/A</v>
      </c>
      <c r="H1081" s="3" t="e">
        <f t="shared" si="135"/>
        <v>#N/A</v>
      </c>
      <c r="I1081" s="3" t="e">
        <f t="shared" si="136"/>
        <v>#N/A</v>
      </c>
      <c r="J1081" s="3">
        <v>50548.668969721599</v>
      </c>
      <c r="K1081" s="3">
        <v>2014</v>
      </c>
      <c r="L1081" s="3" t="e">
        <v>#N/A</v>
      </c>
      <c r="M1081" s="3" t="e">
        <v>#N/A</v>
      </c>
      <c r="N1081" s="3" t="e">
        <v>#N/A</v>
      </c>
      <c r="O1081" s="3" t="e">
        <v>#N/A</v>
      </c>
      <c r="P1081" s="3">
        <f>E1081*(VLOOKUP(B1081,Price_data!A$1:B$190,2,FALSE))</f>
        <v>18.508963064705998</v>
      </c>
      <c r="Q1081" s="3" t="e">
        <f>G1081*(VLOOKUP(B1081,Price_data!A$1:B$190,2,FALSE))</f>
        <v>#N/A</v>
      </c>
      <c r="R1081" s="3" t="e">
        <f>I1081*(VLOOKUP(B1081,Price_data!A$1:B$190,2,FALSE))</f>
        <v>#N/A</v>
      </c>
      <c r="S1081" s="4" t="str">
        <f>(VLOOKUP(B1081,Price_data!A$1:C$190,3,FALSE))</f>
        <v>Open access</v>
      </c>
      <c r="T1081" s="2" t="str">
        <f>IF(C1081="Total", (VLOOKUP(B1081,Recommended_fish_intake!A$4:D$122,4,FALSE)), "NA")</f>
        <v>NA</v>
      </c>
      <c r="U1081" s="2" t="str">
        <f t="shared" si="130"/>
        <v>NA</v>
      </c>
    </row>
    <row r="1082" spans="1:21" ht="14.25" customHeight="1">
      <c r="A1082" s="2" t="s">
        <v>15</v>
      </c>
      <c r="B1082" s="2">
        <v>1970</v>
      </c>
      <c r="C1082" s="2" t="s">
        <v>24</v>
      </c>
      <c r="D1082" s="3">
        <f t="shared" si="131"/>
        <v>31.040438935175775</v>
      </c>
      <c r="E1082" s="3">
        <f t="shared" si="132"/>
        <v>1.7230000000000001</v>
      </c>
      <c r="F1082" s="3" t="e">
        <f t="shared" si="133"/>
        <v>#N/A</v>
      </c>
      <c r="G1082" s="3" t="e">
        <f t="shared" si="134"/>
        <v>#N/A</v>
      </c>
      <c r="H1082" s="3" t="e">
        <f t="shared" si="135"/>
        <v>#N/A</v>
      </c>
      <c r="I1082" s="3" t="e">
        <f t="shared" si="136"/>
        <v>#N/A</v>
      </c>
      <c r="J1082" s="3">
        <v>31040.438935175775</v>
      </c>
      <c r="K1082" s="3">
        <v>1723</v>
      </c>
      <c r="L1082" s="3" t="e">
        <v>#N/A</v>
      </c>
      <c r="M1082" s="3" t="e">
        <v>#N/A</v>
      </c>
      <c r="N1082" s="3" t="e">
        <v>#N/A</v>
      </c>
      <c r="O1082" s="3" t="e">
        <v>#N/A</v>
      </c>
      <c r="P1082" s="3">
        <f>E1082*(VLOOKUP(B1082,Price_data!A$1:B$190,2,FALSE))</f>
        <v>15.834629275317001</v>
      </c>
      <c r="Q1082" s="3" t="e">
        <f>G1082*(VLOOKUP(B1082,Price_data!A$1:B$190,2,FALSE))</f>
        <v>#N/A</v>
      </c>
      <c r="R1082" s="3" t="e">
        <f>I1082*(VLOOKUP(B1082,Price_data!A$1:B$190,2,FALSE))</f>
        <v>#N/A</v>
      </c>
      <c r="S1082" s="4" t="str">
        <f>(VLOOKUP(B1082,Price_data!A$1:C$190,3,FALSE))</f>
        <v>Open access</v>
      </c>
      <c r="T1082" s="2" t="str">
        <f>IF(C1082="Total", (VLOOKUP(B1082,Recommended_fish_intake!A$4:D$122,4,FALSE)), "NA")</f>
        <v>NA</v>
      </c>
      <c r="U1082" s="2" t="str">
        <f t="shared" si="130"/>
        <v>NA</v>
      </c>
    </row>
    <row r="1083" spans="1:21" ht="14.25" customHeight="1">
      <c r="A1083" s="2" t="s">
        <v>15</v>
      </c>
      <c r="B1083" s="2">
        <v>1970</v>
      </c>
      <c r="C1083" s="2" t="s">
        <v>19</v>
      </c>
      <c r="D1083" s="3">
        <f t="shared" si="131"/>
        <v>145.60048770575085</v>
      </c>
      <c r="E1083" s="3">
        <f t="shared" si="132"/>
        <v>4.6829999999999998</v>
      </c>
      <c r="F1083" s="3" t="e">
        <f t="shared" si="133"/>
        <v>#N/A</v>
      </c>
      <c r="G1083" s="3" t="e">
        <f t="shared" si="134"/>
        <v>#N/A</v>
      </c>
      <c r="H1083" s="3">
        <f t="shared" si="135"/>
        <v>10.719365982523877</v>
      </c>
      <c r="I1083" s="3">
        <f t="shared" si="136"/>
        <v>0.96499999999999997</v>
      </c>
      <c r="J1083" s="3">
        <v>145600.48770575086</v>
      </c>
      <c r="K1083" s="3">
        <v>4683</v>
      </c>
      <c r="L1083" s="3" t="e">
        <v>#N/A</v>
      </c>
      <c r="M1083" s="3" t="e">
        <v>#N/A</v>
      </c>
      <c r="N1083" s="3">
        <v>10719.365982523877</v>
      </c>
      <c r="O1083" s="3">
        <v>965</v>
      </c>
      <c r="P1083" s="3">
        <f>E1083*(VLOOKUP(B1083,Price_data!A$1:B$190,2,FALSE))</f>
        <v>43.037474693156994</v>
      </c>
      <c r="Q1083" s="3" t="e">
        <f>G1083*(VLOOKUP(B1083,Price_data!A$1:B$190,2,FALSE))</f>
        <v>#N/A</v>
      </c>
      <c r="R1083" s="3">
        <f>I1083*(VLOOKUP(B1083,Price_data!A$1:B$190,2,FALSE))</f>
        <v>8.8684952122349987</v>
      </c>
      <c r="S1083" s="4" t="str">
        <f>(VLOOKUP(B1083,Price_data!A$1:C$190,3,FALSE))</f>
        <v>Open access</v>
      </c>
      <c r="T1083" s="2" t="str">
        <f>IF(C1083="Total", (VLOOKUP(B1083,Recommended_fish_intake!A$4:D$122,4,FALSE)), "NA")</f>
        <v>NA</v>
      </c>
      <c r="U1083" s="2" t="str">
        <f t="shared" si="130"/>
        <v>NA</v>
      </c>
    </row>
    <row r="1084" spans="1:21" ht="14.25" customHeight="1">
      <c r="A1084" s="2" t="s">
        <v>15</v>
      </c>
      <c r="B1084" s="2">
        <v>1970</v>
      </c>
      <c r="C1084" s="2" t="s">
        <v>21</v>
      </c>
      <c r="D1084" s="3">
        <f t="shared" si="131"/>
        <v>36.323917902865269</v>
      </c>
      <c r="E1084" s="3">
        <f t="shared" si="132"/>
        <v>0.53600000000000003</v>
      </c>
      <c r="F1084" s="3" t="e">
        <f t="shared" si="133"/>
        <v>#N/A</v>
      </c>
      <c r="G1084" s="3" t="e">
        <f t="shared" si="134"/>
        <v>#N/A</v>
      </c>
      <c r="H1084" s="3" t="e">
        <f t="shared" si="135"/>
        <v>#N/A</v>
      </c>
      <c r="I1084" s="3" t="e">
        <f t="shared" si="136"/>
        <v>#N/A</v>
      </c>
      <c r="J1084" s="3">
        <v>36323.917902865265</v>
      </c>
      <c r="K1084" s="3">
        <v>536</v>
      </c>
      <c r="L1084" s="3" t="e">
        <v>#N/A</v>
      </c>
      <c r="M1084" s="3" t="e">
        <v>#N/A</v>
      </c>
      <c r="N1084" s="3" t="e">
        <v>#N/A</v>
      </c>
      <c r="O1084" s="3" t="e">
        <v>#N/A</v>
      </c>
      <c r="P1084" s="3">
        <f>E1084*(VLOOKUP(B1084,Price_data!A$1:B$190,2,FALSE))</f>
        <v>4.9259206567440001</v>
      </c>
      <c r="Q1084" s="3" t="e">
        <f>G1084*(VLOOKUP(B1084,Price_data!A$1:B$190,2,FALSE))</f>
        <v>#N/A</v>
      </c>
      <c r="R1084" s="3" t="e">
        <f>I1084*(VLOOKUP(B1084,Price_data!A$1:B$190,2,FALSE))</f>
        <v>#N/A</v>
      </c>
      <c r="S1084" s="4" t="str">
        <f>(VLOOKUP(B1084,Price_data!A$1:C$190,3,FALSE))</f>
        <v>Open access</v>
      </c>
      <c r="T1084" s="2" t="str">
        <f>IF(C1084="Total", (VLOOKUP(B1084,Recommended_fish_intake!A$4:D$122,4,FALSE)), "NA")</f>
        <v>NA</v>
      </c>
      <c r="U1084" s="2" t="str">
        <f t="shared" si="130"/>
        <v>NA</v>
      </c>
    </row>
    <row r="1085" spans="1:21" ht="14.25" customHeight="1">
      <c r="A1085" s="2" t="s">
        <v>15</v>
      </c>
      <c r="B1085" s="2">
        <v>1970</v>
      </c>
      <c r="C1085" s="2" t="s">
        <v>34</v>
      </c>
      <c r="D1085" s="3">
        <f t="shared" si="131"/>
        <v>1.1176590123958545</v>
      </c>
      <c r="E1085" s="3">
        <f t="shared" si="132"/>
        <v>1.3919999999999999</v>
      </c>
      <c r="F1085" s="3" t="e">
        <f t="shared" si="133"/>
        <v>#N/A</v>
      </c>
      <c r="G1085" s="3" t="e">
        <f t="shared" si="134"/>
        <v>#N/A</v>
      </c>
      <c r="H1085" s="3">
        <f t="shared" si="135"/>
        <v>5.080268238162975E-2</v>
      </c>
      <c r="I1085" s="3">
        <f t="shared" si="136"/>
        <v>5.5E-2</v>
      </c>
      <c r="J1085" s="3">
        <v>1117.6590123958545</v>
      </c>
      <c r="K1085" s="3">
        <v>1392</v>
      </c>
      <c r="L1085" s="3" t="e">
        <v>#N/A</v>
      </c>
      <c r="M1085" s="3" t="e">
        <v>#N/A</v>
      </c>
      <c r="N1085" s="3">
        <v>50.802682381629751</v>
      </c>
      <c r="O1085" s="3">
        <v>55</v>
      </c>
      <c r="P1085" s="3">
        <f>E1085*(VLOOKUP(B1085,Price_data!A$1:B$190,2,FALSE))</f>
        <v>12.792689466768</v>
      </c>
      <c r="Q1085" s="3" t="e">
        <f>G1085*(VLOOKUP(B1085,Price_data!A$1:B$190,2,FALSE))</f>
        <v>#N/A</v>
      </c>
      <c r="R1085" s="3">
        <f>I1085*(VLOOKUP(B1085,Price_data!A$1:B$190,2,FALSE))</f>
        <v>0.50545827634499996</v>
      </c>
      <c r="S1085" s="4" t="str">
        <f>(VLOOKUP(B1085,Price_data!A$1:C$190,3,FALSE))</f>
        <v>Open access</v>
      </c>
      <c r="T1085" s="2" t="str">
        <f>IF(C1085="Total", (VLOOKUP(B1085,Recommended_fish_intake!A$4:D$122,4,FALSE)), "NA")</f>
        <v>NA</v>
      </c>
      <c r="U1085" s="2" t="str">
        <f t="shared" si="130"/>
        <v>NA</v>
      </c>
    </row>
    <row r="1086" spans="1:21" ht="14.25" customHeight="1">
      <c r="A1086" s="2" t="s">
        <v>15</v>
      </c>
      <c r="B1086" s="2">
        <v>1970</v>
      </c>
      <c r="C1086" s="2" t="s">
        <v>35</v>
      </c>
      <c r="D1086" s="3">
        <f t="shared" si="131"/>
        <v>11.583011583011583</v>
      </c>
      <c r="E1086" s="3">
        <f t="shared" si="132"/>
        <v>2.59</v>
      </c>
      <c r="F1086" s="3" t="e">
        <f t="shared" si="133"/>
        <v>#N/A</v>
      </c>
      <c r="G1086" s="3" t="e">
        <f t="shared" si="134"/>
        <v>#N/A</v>
      </c>
      <c r="H1086" s="3" t="e">
        <f t="shared" si="135"/>
        <v>#N/A</v>
      </c>
      <c r="I1086" s="3" t="e">
        <f t="shared" si="136"/>
        <v>#N/A</v>
      </c>
      <c r="J1086" s="3">
        <v>11583.011583011583</v>
      </c>
      <c r="K1086" s="3">
        <v>2590</v>
      </c>
      <c r="L1086" s="3" t="e">
        <v>#N/A</v>
      </c>
      <c r="M1086" s="3" t="e">
        <v>#N/A</v>
      </c>
      <c r="N1086" s="3" t="e">
        <v>#N/A</v>
      </c>
      <c r="O1086" s="3" t="e">
        <v>#N/A</v>
      </c>
      <c r="P1086" s="3">
        <f>E1086*(VLOOKUP(B1086,Price_data!A$1:B$190,2,FALSE))</f>
        <v>23.80248974061</v>
      </c>
      <c r="Q1086" s="3" t="e">
        <f>G1086*(VLOOKUP(B1086,Price_data!A$1:B$190,2,FALSE))</f>
        <v>#N/A</v>
      </c>
      <c r="R1086" s="3" t="e">
        <f>I1086*(VLOOKUP(B1086,Price_data!A$1:B$190,2,FALSE))</f>
        <v>#N/A</v>
      </c>
      <c r="S1086" s="4" t="str">
        <f>(VLOOKUP(B1086,Price_data!A$1:C$190,3,FALSE))</f>
        <v>Open access</v>
      </c>
      <c r="T1086" s="2" t="str">
        <f>IF(C1086="Total", (VLOOKUP(B1086,Recommended_fish_intake!A$4:D$122,4,FALSE)), "NA")</f>
        <v>NA</v>
      </c>
      <c r="U1086" s="2" t="str">
        <f t="shared" si="130"/>
        <v>NA</v>
      </c>
    </row>
    <row r="1087" spans="1:21" ht="14.25" customHeight="1">
      <c r="A1087" s="2" t="s">
        <v>15</v>
      </c>
      <c r="B1087" s="2">
        <v>1970</v>
      </c>
      <c r="C1087" s="2" t="s">
        <v>30</v>
      </c>
      <c r="D1087" s="3">
        <f t="shared" si="131"/>
        <v>1.3716724243040033</v>
      </c>
      <c r="E1087" s="3">
        <f t="shared" si="132"/>
        <v>0.224</v>
      </c>
      <c r="F1087" s="3" t="e">
        <f t="shared" si="133"/>
        <v>#N/A</v>
      </c>
      <c r="G1087" s="3" t="e">
        <f t="shared" si="134"/>
        <v>#N/A</v>
      </c>
      <c r="H1087" s="3">
        <f t="shared" si="135"/>
        <v>4.5214387319650475</v>
      </c>
      <c r="I1087" s="3">
        <f t="shared" si="136"/>
        <v>4.819</v>
      </c>
      <c r="J1087" s="3">
        <v>1371.6724243040032</v>
      </c>
      <c r="K1087" s="3">
        <v>224</v>
      </c>
      <c r="L1087" s="3" t="e">
        <v>#N/A</v>
      </c>
      <c r="M1087" s="3" t="e">
        <v>#N/A</v>
      </c>
      <c r="N1087" s="3">
        <v>4521.4387319650477</v>
      </c>
      <c r="O1087" s="3">
        <v>4819</v>
      </c>
      <c r="P1087" s="3">
        <f>E1087*(VLOOKUP(B1087,Price_data!A$1:B$190,2,FALSE))</f>
        <v>2.0585937072960001</v>
      </c>
      <c r="Q1087" s="3" t="e">
        <f>G1087*(VLOOKUP(B1087,Price_data!A$1:B$190,2,FALSE))</f>
        <v>#N/A</v>
      </c>
      <c r="R1087" s="3">
        <f>I1087*(VLOOKUP(B1087,Price_data!A$1:B$190,2,FALSE))</f>
        <v>44.287335158300998</v>
      </c>
      <c r="S1087" s="4" t="str">
        <f>(VLOOKUP(B1087,Price_data!A$1:C$190,3,FALSE))</f>
        <v>Open access</v>
      </c>
      <c r="T1087" s="2" t="str">
        <f>IF(C1087="Total", (VLOOKUP(B1087,Recommended_fish_intake!A$4:D$122,4,FALSE)), "NA")</f>
        <v>NA</v>
      </c>
      <c r="U1087" s="2" t="str">
        <f t="shared" si="130"/>
        <v>NA</v>
      </c>
    </row>
    <row r="1088" spans="1:21" ht="14.25" customHeight="1">
      <c r="A1088" s="2" t="s">
        <v>15</v>
      </c>
      <c r="B1088" s="2">
        <v>1970</v>
      </c>
      <c r="C1088" s="2" t="s">
        <v>36</v>
      </c>
      <c r="D1088" s="3">
        <f t="shared" si="131"/>
        <v>5.9947165210323101</v>
      </c>
      <c r="E1088" s="3">
        <f t="shared" si="132"/>
        <v>0.58599999999999997</v>
      </c>
      <c r="F1088" s="3" t="e">
        <f t="shared" si="133"/>
        <v>#N/A</v>
      </c>
      <c r="G1088" s="3" t="e">
        <f t="shared" si="134"/>
        <v>#N/A</v>
      </c>
      <c r="H1088" s="3">
        <f t="shared" si="135"/>
        <v>0.45722414143466772</v>
      </c>
      <c r="I1088" s="3">
        <f t="shared" si="136"/>
        <v>0.78300000000000003</v>
      </c>
      <c r="J1088" s="3">
        <v>5994.7165210323101</v>
      </c>
      <c r="K1088" s="3">
        <v>586</v>
      </c>
      <c r="L1088" s="3" t="e">
        <v>#N/A</v>
      </c>
      <c r="M1088" s="3" t="e">
        <v>#N/A</v>
      </c>
      <c r="N1088" s="3">
        <v>457.22414143466773</v>
      </c>
      <c r="O1088" s="3">
        <v>783</v>
      </c>
      <c r="P1088" s="3">
        <f>E1088*(VLOOKUP(B1088,Price_data!A$1:B$190,2,FALSE))</f>
        <v>5.3854281806939994</v>
      </c>
      <c r="Q1088" s="3" t="e">
        <f>G1088*(VLOOKUP(B1088,Price_data!A$1:B$190,2,FALSE))</f>
        <v>#N/A</v>
      </c>
      <c r="R1088" s="3">
        <f>I1088*(VLOOKUP(B1088,Price_data!A$1:B$190,2,FALSE))</f>
        <v>7.1958878250570004</v>
      </c>
      <c r="S1088" s="4" t="str">
        <f>(VLOOKUP(B1088,Price_data!A$1:C$190,3,FALSE))</f>
        <v>Open access</v>
      </c>
      <c r="T1088" s="2" t="str">
        <f>IF(C1088="Total", (VLOOKUP(B1088,Recommended_fish_intake!A$4:D$122,4,FALSE)), "NA")</f>
        <v>NA</v>
      </c>
      <c r="U1088" s="2" t="str">
        <f t="shared" si="130"/>
        <v>NA</v>
      </c>
    </row>
    <row r="1089" spans="1:21" ht="14.25" customHeight="1">
      <c r="A1089" s="2" t="s">
        <v>15</v>
      </c>
      <c r="B1089" s="2">
        <v>1970</v>
      </c>
      <c r="C1089" s="2" t="s">
        <v>28</v>
      </c>
      <c r="D1089" s="3">
        <f t="shared" si="131"/>
        <v>56.441780125990647</v>
      </c>
      <c r="E1089" s="3">
        <f t="shared" si="132"/>
        <v>6.7270000000000003</v>
      </c>
      <c r="F1089" s="3">
        <f t="shared" si="133"/>
        <v>6.7567567567567561</v>
      </c>
      <c r="G1089" s="3">
        <f t="shared" si="134"/>
        <v>4.6580000000000004</v>
      </c>
      <c r="H1089" s="3">
        <f t="shared" si="135"/>
        <v>15.748831538305222</v>
      </c>
      <c r="I1089" s="3">
        <f t="shared" si="136"/>
        <v>14.497999999999999</v>
      </c>
      <c r="J1089" s="3">
        <v>56441.780125990648</v>
      </c>
      <c r="K1089" s="3">
        <v>6727</v>
      </c>
      <c r="L1089" s="3">
        <v>6756.7567567567557</v>
      </c>
      <c r="M1089" s="3">
        <v>4658</v>
      </c>
      <c r="N1089" s="3">
        <v>15748.831538305221</v>
      </c>
      <c r="O1089" s="3">
        <v>14498</v>
      </c>
      <c r="P1089" s="3">
        <f>E1089*(VLOOKUP(B1089,Price_data!A$1:B$190,2,FALSE))</f>
        <v>61.822142272233002</v>
      </c>
      <c r="Q1089" s="3">
        <f>G1089*(VLOOKUP(B1089,Price_data!A$1:B$190,2,FALSE))</f>
        <v>42.807720931182004</v>
      </c>
      <c r="R1089" s="3">
        <f>I1089*(VLOOKUP(B1089,Price_data!A$1:B$190,2,FALSE))</f>
        <v>133.23880164454198</v>
      </c>
      <c r="S1089" s="4" t="str">
        <f>(VLOOKUP(B1089,Price_data!A$1:C$190,3,FALSE))</f>
        <v>Open access</v>
      </c>
      <c r="T1089" s="2" t="str">
        <f>IF(C1089="Total", (VLOOKUP(B1089,Recommended_fish_intake!A$4:D$122,4,FALSE)), "NA")</f>
        <v>NA</v>
      </c>
      <c r="U1089" s="2">
        <f t="shared" si="130"/>
        <v>15.803698435277383</v>
      </c>
    </row>
    <row r="1090" spans="1:21" ht="14.25" customHeight="1">
      <c r="A1090" s="2" t="s">
        <v>15</v>
      </c>
      <c r="B1090" s="2">
        <v>1970</v>
      </c>
      <c r="C1090" s="2" t="s">
        <v>37</v>
      </c>
      <c r="D1090" s="3">
        <f t="shared" si="131"/>
        <v>918.66490550701076</v>
      </c>
      <c r="E1090" s="3">
        <f t="shared" si="132"/>
        <v>69.534999999999997</v>
      </c>
      <c r="F1090" s="3">
        <f t="shared" si="133"/>
        <v>106.17760617760617</v>
      </c>
      <c r="G1090" s="3">
        <f t="shared" si="134"/>
        <v>16.164999999999999</v>
      </c>
      <c r="H1090" s="3">
        <f t="shared" si="135"/>
        <v>170.03657793131475</v>
      </c>
      <c r="I1090" s="3">
        <f t="shared" si="136"/>
        <v>58.892000000000003</v>
      </c>
      <c r="J1090" s="3">
        <v>918664.90550701076</v>
      </c>
      <c r="K1090" s="3">
        <v>69535</v>
      </c>
      <c r="L1090" s="3">
        <v>106177.60617760617</v>
      </c>
      <c r="M1090" s="3">
        <v>16165</v>
      </c>
      <c r="N1090" s="3">
        <v>170036.57793131477</v>
      </c>
      <c r="O1090" s="3">
        <v>58892</v>
      </c>
      <c r="P1090" s="3">
        <f>E1090*(VLOOKUP(B1090,Price_data!A$1:B$190,2,FALSE))</f>
        <v>639.037113557265</v>
      </c>
      <c r="Q1090" s="3">
        <f>G1090*(VLOOKUP(B1090,Price_data!A$1:B$190,2,FALSE))</f>
        <v>148.55878249303498</v>
      </c>
      <c r="R1090" s="3">
        <f>I1090*(VLOOKUP(B1090,Price_data!A$1:B$190,2,FALSE))</f>
        <v>541.22634200926802</v>
      </c>
      <c r="S1090" s="4" t="str">
        <f>(VLOOKUP(B1090,Price_data!A$1:C$190,3,FALSE))</f>
        <v>Open access</v>
      </c>
      <c r="T1090" s="2" t="str">
        <f>IF(C1090="Total", (VLOOKUP(B1090,Recommended_fish_intake!A$4:D$122,4,FALSE)), "NA")</f>
        <v>NA</v>
      </c>
      <c r="U1090" s="2">
        <f t="shared" ref="U1090:U1153" si="137">IF(C1090="Wet fish", D1090*0.49, IF(C1090="Shellfish", D1090*0.28, "NA"))</f>
        <v>450.14580369843526</v>
      </c>
    </row>
    <row r="1091" spans="1:21" ht="14.25" customHeight="1">
      <c r="A1091" s="2" t="s">
        <v>18</v>
      </c>
      <c r="B1091" s="2">
        <v>1970</v>
      </c>
      <c r="C1091" s="2" t="s">
        <v>22</v>
      </c>
      <c r="D1091" s="3">
        <f t="shared" si="131"/>
        <v>298.61816703921966</v>
      </c>
      <c r="E1091" s="3">
        <f t="shared" si="132"/>
        <v>27.684000000000001</v>
      </c>
      <c r="F1091" s="3" t="e">
        <f t="shared" si="133"/>
        <v>#N/A</v>
      </c>
      <c r="G1091" s="3" t="e">
        <f t="shared" si="134"/>
        <v>#N/A</v>
      </c>
      <c r="H1091" s="3" t="e">
        <f t="shared" si="135"/>
        <v>#N/A</v>
      </c>
      <c r="I1091" s="3" t="e">
        <f t="shared" si="136"/>
        <v>#N/A</v>
      </c>
      <c r="J1091" s="3">
        <v>298618.16703921964</v>
      </c>
      <c r="K1091" s="3">
        <v>27684</v>
      </c>
      <c r="L1091" s="3" t="e">
        <v>#N/A</v>
      </c>
      <c r="M1091" s="3" t="e">
        <v>#N/A</v>
      </c>
      <c r="N1091" s="3" t="e">
        <v>#N/A</v>
      </c>
      <c r="O1091" s="3" t="e">
        <v>#N/A</v>
      </c>
      <c r="P1091" s="3">
        <f>E1091*(VLOOKUP(B1091,Price_data!A$1:B$190,2,FALSE))</f>
        <v>254.42012586063601</v>
      </c>
      <c r="Q1091" s="3" t="e">
        <f>G1091*(VLOOKUP(B1091,Price_data!A$1:B$190,2,FALSE))</f>
        <v>#N/A</v>
      </c>
      <c r="R1091" s="3" t="e">
        <f>I1091*(VLOOKUP(B1091,Price_data!A$1:B$190,2,FALSE))</f>
        <v>#N/A</v>
      </c>
      <c r="S1091" s="4" t="str">
        <f>(VLOOKUP(B1091,Price_data!A$1:C$190,3,FALSE))</f>
        <v>Open access</v>
      </c>
      <c r="T1091" s="2" t="str">
        <f>IF(C1091="Total", (VLOOKUP(B1091,Recommended_fish_intake!A$4:D$122,4,FALSE)), "NA")</f>
        <v>NA</v>
      </c>
      <c r="U1091" s="2" t="str">
        <f t="shared" si="137"/>
        <v>NA</v>
      </c>
    </row>
    <row r="1092" spans="1:21" ht="14.25" customHeight="1">
      <c r="A1092" s="2" t="s">
        <v>18</v>
      </c>
      <c r="B1092" s="2">
        <v>1970</v>
      </c>
      <c r="C1092" s="2" t="s">
        <v>23</v>
      </c>
      <c r="D1092" s="3">
        <f t="shared" si="131"/>
        <v>42.369437106279207</v>
      </c>
      <c r="E1092" s="3">
        <f t="shared" si="132"/>
        <v>4.66</v>
      </c>
      <c r="F1092" s="3" t="e">
        <f t="shared" si="133"/>
        <v>#N/A</v>
      </c>
      <c r="G1092" s="3" t="e">
        <f t="shared" si="134"/>
        <v>#N/A</v>
      </c>
      <c r="H1092" s="3" t="e">
        <f t="shared" si="135"/>
        <v>#N/A</v>
      </c>
      <c r="I1092" s="3" t="e">
        <f t="shared" si="136"/>
        <v>#N/A</v>
      </c>
      <c r="J1092" s="3">
        <v>42369.437106279205</v>
      </c>
      <c r="K1092" s="3">
        <v>4660</v>
      </c>
      <c r="L1092" s="3" t="e">
        <v>#N/A</v>
      </c>
      <c r="M1092" s="3" t="e">
        <v>#N/A</v>
      </c>
      <c r="N1092" s="3" t="e">
        <v>#N/A</v>
      </c>
      <c r="O1092" s="3" t="e">
        <v>#N/A</v>
      </c>
      <c r="P1092" s="3">
        <f>E1092*(VLOOKUP(B1092,Price_data!A$1:B$190,2,FALSE))</f>
        <v>42.826101232139997</v>
      </c>
      <c r="Q1092" s="3" t="e">
        <f>G1092*(VLOOKUP(B1092,Price_data!A$1:B$190,2,FALSE))</f>
        <v>#N/A</v>
      </c>
      <c r="R1092" s="3" t="e">
        <f>I1092*(VLOOKUP(B1092,Price_data!A$1:B$190,2,FALSE))</f>
        <v>#N/A</v>
      </c>
      <c r="S1092" s="4" t="str">
        <f>(VLOOKUP(B1092,Price_data!A$1:C$190,3,FALSE))</f>
        <v>Open access</v>
      </c>
      <c r="T1092" s="2" t="str">
        <f>IF(C1092="Total", (VLOOKUP(B1092,Recommended_fish_intake!A$4:D$122,4,FALSE)), "NA")</f>
        <v>NA</v>
      </c>
      <c r="U1092" s="2" t="str">
        <f t="shared" si="137"/>
        <v>NA</v>
      </c>
    </row>
    <row r="1093" spans="1:21" ht="14.25" customHeight="1">
      <c r="A1093" s="2" t="s">
        <v>18</v>
      </c>
      <c r="B1093" s="2">
        <v>1970</v>
      </c>
      <c r="C1093" s="2" t="s">
        <v>25</v>
      </c>
      <c r="D1093" s="3">
        <f t="shared" si="131"/>
        <v>38.660841292420237</v>
      </c>
      <c r="E1093" s="3">
        <f t="shared" si="132"/>
        <v>5.4859999999999998</v>
      </c>
      <c r="F1093" s="3" t="e">
        <f t="shared" si="133"/>
        <v>#N/A</v>
      </c>
      <c r="G1093" s="3" t="e">
        <f t="shared" si="134"/>
        <v>#N/A</v>
      </c>
      <c r="H1093" s="3" t="e">
        <f t="shared" si="135"/>
        <v>#N/A</v>
      </c>
      <c r="I1093" s="3" t="e">
        <f t="shared" si="136"/>
        <v>#N/A</v>
      </c>
      <c r="J1093" s="3">
        <v>38660.841292420235</v>
      </c>
      <c r="K1093" s="3">
        <v>5486</v>
      </c>
      <c r="L1093" s="3" t="e">
        <v>#N/A</v>
      </c>
      <c r="M1093" s="3" t="e">
        <v>#N/A</v>
      </c>
      <c r="N1093" s="3" t="e">
        <v>#N/A</v>
      </c>
      <c r="O1093" s="3" t="e">
        <v>#N/A</v>
      </c>
      <c r="P1093" s="3">
        <f>E1093*(VLOOKUP(B1093,Price_data!A$1:B$190,2,FALSE))</f>
        <v>50.417165527793998</v>
      </c>
      <c r="Q1093" s="3" t="e">
        <f>G1093*(VLOOKUP(B1093,Price_data!A$1:B$190,2,FALSE))</f>
        <v>#N/A</v>
      </c>
      <c r="R1093" s="3" t="e">
        <f>I1093*(VLOOKUP(B1093,Price_data!A$1:B$190,2,FALSE))</f>
        <v>#N/A</v>
      </c>
      <c r="S1093" s="4" t="str">
        <f>(VLOOKUP(B1093,Price_data!A$1:C$190,3,FALSE))</f>
        <v>Open access</v>
      </c>
      <c r="T1093" s="2" t="str">
        <f>IF(C1093="Total", (VLOOKUP(B1093,Recommended_fish_intake!A$4:D$122,4,FALSE)), "NA")</f>
        <v>NA</v>
      </c>
      <c r="U1093" s="2" t="str">
        <f t="shared" si="137"/>
        <v>NA</v>
      </c>
    </row>
    <row r="1094" spans="1:21" ht="14.25" customHeight="1">
      <c r="A1094" s="2" t="s">
        <v>18</v>
      </c>
      <c r="B1094" s="2">
        <v>1970</v>
      </c>
      <c r="C1094" s="2" t="s">
        <v>38</v>
      </c>
      <c r="D1094" s="3">
        <f t="shared" si="131"/>
        <v>31.904084535663483</v>
      </c>
      <c r="E1094" s="3">
        <f t="shared" si="132"/>
        <v>1.3440000000000001</v>
      </c>
      <c r="F1094" s="3" t="e">
        <f t="shared" si="133"/>
        <v>#N/A</v>
      </c>
      <c r="G1094" s="3" t="e">
        <f t="shared" si="134"/>
        <v>#N/A</v>
      </c>
      <c r="H1094" s="3" t="e">
        <f t="shared" si="135"/>
        <v>#N/A</v>
      </c>
      <c r="I1094" s="3" t="e">
        <f t="shared" si="136"/>
        <v>#N/A</v>
      </c>
      <c r="J1094" s="3">
        <v>31904.084535663482</v>
      </c>
      <c r="K1094" s="3">
        <v>1344</v>
      </c>
      <c r="L1094" s="3" t="e">
        <v>#N/A</v>
      </c>
      <c r="M1094" s="3" t="e">
        <v>#N/A</v>
      </c>
      <c r="N1094" s="3" t="e">
        <v>#N/A</v>
      </c>
      <c r="O1094" s="3" t="e">
        <v>#N/A</v>
      </c>
      <c r="P1094" s="3">
        <f>E1094*(VLOOKUP(B1094,Price_data!A$1:B$190,2,FALSE))</f>
        <v>12.351562243776</v>
      </c>
      <c r="Q1094" s="3" t="e">
        <f>G1094*(VLOOKUP(B1094,Price_data!A$1:B$190,2,FALSE))</f>
        <v>#N/A</v>
      </c>
      <c r="R1094" s="3" t="e">
        <f>I1094*(VLOOKUP(B1094,Price_data!A$1:B$190,2,FALSE))</f>
        <v>#N/A</v>
      </c>
      <c r="S1094" s="4" t="str">
        <f>(VLOOKUP(B1094,Price_data!A$1:C$190,3,FALSE))</f>
        <v>Open access</v>
      </c>
      <c r="T1094" s="2" t="str">
        <f>IF(C1094="Total", (VLOOKUP(B1094,Recommended_fish_intake!A$4:D$122,4,FALSE)), "NA")</f>
        <v>NA</v>
      </c>
      <c r="U1094" s="2" t="str">
        <f t="shared" si="137"/>
        <v>NA</v>
      </c>
    </row>
    <row r="1095" spans="1:21" ht="14.25" customHeight="1">
      <c r="A1095" s="2" t="s">
        <v>18</v>
      </c>
      <c r="B1095" s="2">
        <v>1970</v>
      </c>
      <c r="C1095" s="2" t="s">
        <v>24</v>
      </c>
      <c r="D1095" s="3">
        <f t="shared" si="131"/>
        <v>4.7754521438731965</v>
      </c>
      <c r="E1095" s="3">
        <f t="shared" si="132"/>
        <v>0.26800000000000002</v>
      </c>
      <c r="F1095" s="3" t="e">
        <f t="shared" si="133"/>
        <v>#N/A</v>
      </c>
      <c r="G1095" s="3" t="e">
        <f t="shared" si="134"/>
        <v>#N/A</v>
      </c>
      <c r="H1095" s="3" t="e">
        <f t="shared" si="135"/>
        <v>#N/A</v>
      </c>
      <c r="I1095" s="3" t="e">
        <f t="shared" si="136"/>
        <v>#N/A</v>
      </c>
      <c r="J1095" s="3">
        <v>4775.4521438731963</v>
      </c>
      <c r="K1095" s="3">
        <v>268</v>
      </c>
      <c r="L1095" s="3" t="e">
        <v>#N/A</v>
      </c>
      <c r="M1095" s="3" t="e">
        <v>#N/A</v>
      </c>
      <c r="N1095" s="3" t="e">
        <v>#N/A</v>
      </c>
      <c r="O1095" s="3" t="e">
        <v>#N/A</v>
      </c>
      <c r="P1095" s="3">
        <f>E1095*(VLOOKUP(B1095,Price_data!A$1:B$190,2,FALSE))</f>
        <v>2.4629603283720001</v>
      </c>
      <c r="Q1095" s="3" t="e">
        <f>G1095*(VLOOKUP(B1095,Price_data!A$1:B$190,2,FALSE))</f>
        <v>#N/A</v>
      </c>
      <c r="R1095" s="3" t="e">
        <f>I1095*(VLOOKUP(B1095,Price_data!A$1:B$190,2,FALSE))</f>
        <v>#N/A</v>
      </c>
      <c r="S1095" s="4" t="str">
        <f>(VLOOKUP(B1095,Price_data!A$1:C$190,3,FALSE))</f>
        <v>Open access</v>
      </c>
      <c r="T1095" s="2" t="str">
        <f>IF(C1095="Total", (VLOOKUP(B1095,Recommended_fish_intake!A$4:D$122,4,FALSE)), "NA")</f>
        <v>NA</v>
      </c>
      <c r="U1095" s="2" t="str">
        <f t="shared" si="137"/>
        <v>NA</v>
      </c>
    </row>
    <row r="1096" spans="1:21" ht="14.25" customHeight="1">
      <c r="A1096" s="2" t="s">
        <v>18</v>
      </c>
      <c r="B1096" s="2">
        <v>1970</v>
      </c>
      <c r="C1096" s="2" t="s">
        <v>19</v>
      </c>
      <c r="D1096" s="3">
        <f t="shared" si="131"/>
        <v>14.529567161146108</v>
      </c>
      <c r="E1096" s="3">
        <f t="shared" si="132"/>
        <v>0.54200000000000004</v>
      </c>
      <c r="F1096" s="3" t="e">
        <f t="shared" si="133"/>
        <v>#N/A</v>
      </c>
      <c r="G1096" s="3" t="e">
        <f t="shared" si="134"/>
        <v>#N/A</v>
      </c>
      <c r="H1096" s="3" t="e">
        <f t="shared" si="135"/>
        <v>#N/A</v>
      </c>
      <c r="I1096" s="3" t="e">
        <f t="shared" si="136"/>
        <v>#N/A</v>
      </c>
      <c r="J1096" s="3">
        <v>14529.567161146108</v>
      </c>
      <c r="K1096" s="3">
        <v>542</v>
      </c>
      <c r="L1096" s="3" t="e">
        <v>#N/A</v>
      </c>
      <c r="M1096" s="3" t="e">
        <v>#N/A</v>
      </c>
      <c r="N1096" s="3" t="e">
        <v>#N/A</v>
      </c>
      <c r="O1096" s="3" t="e">
        <v>#N/A</v>
      </c>
      <c r="P1096" s="3">
        <f>E1096*(VLOOKUP(B1096,Price_data!A$1:B$190,2,FALSE))</f>
        <v>4.9810615596180003</v>
      </c>
      <c r="Q1096" s="3" t="e">
        <f>G1096*(VLOOKUP(B1096,Price_data!A$1:B$190,2,FALSE))</f>
        <v>#N/A</v>
      </c>
      <c r="R1096" s="3" t="e">
        <f>I1096*(VLOOKUP(B1096,Price_data!A$1:B$190,2,FALSE))</f>
        <v>#N/A</v>
      </c>
      <c r="S1096" s="4" t="str">
        <f>(VLOOKUP(B1096,Price_data!A$1:C$190,3,FALSE))</f>
        <v>Open access</v>
      </c>
      <c r="T1096" s="2" t="str">
        <f>IF(C1096="Total", (VLOOKUP(B1096,Recommended_fish_intake!A$4:D$122,4,FALSE)), "NA")</f>
        <v>NA</v>
      </c>
      <c r="U1096" s="2" t="str">
        <f t="shared" si="137"/>
        <v>NA</v>
      </c>
    </row>
    <row r="1097" spans="1:21" ht="14.25" customHeight="1">
      <c r="A1097" s="2" t="s">
        <v>18</v>
      </c>
      <c r="B1097" s="2">
        <v>1970</v>
      </c>
      <c r="C1097" s="2" t="s">
        <v>21</v>
      </c>
      <c r="D1097" s="3">
        <f t="shared" si="131"/>
        <v>17.78093883357041</v>
      </c>
      <c r="E1097" s="3">
        <f t="shared" si="132"/>
        <v>0.251</v>
      </c>
      <c r="F1097" s="3" t="e">
        <f t="shared" si="133"/>
        <v>#N/A</v>
      </c>
      <c r="G1097" s="3" t="e">
        <f t="shared" si="134"/>
        <v>#N/A</v>
      </c>
      <c r="H1097" s="3" t="e">
        <f t="shared" si="135"/>
        <v>#N/A</v>
      </c>
      <c r="I1097" s="3" t="e">
        <f t="shared" si="136"/>
        <v>#N/A</v>
      </c>
      <c r="J1097" s="3">
        <v>17780.93883357041</v>
      </c>
      <c r="K1097" s="3">
        <v>251</v>
      </c>
      <c r="L1097" s="3" t="e">
        <v>#N/A</v>
      </c>
      <c r="M1097" s="3" t="e">
        <v>#N/A</v>
      </c>
      <c r="N1097" s="3" t="e">
        <v>#N/A</v>
      </c>
      <c r="O1097" s="3" t="e">
        <v>#N/A</v>
      </c>
      <c r="P1097" s="3">
        <f>E1097*(VLOOKUP(B1097,Price_data!A$1:B$190,2,FALSE))</f>
        <v>2.3067277702290001</v>
      </c>
      <c r="Q1097" s="3" t="e">
        <f>G1097*(VLOOKUP(B1097,Price_data!A$1:B$190,2,FALSE))</f>
        <v>#N/A</v>
      </c>
      <c r="R1097" s="3" t="e">
        <f>I1097*(VLOOKUP(B1097,Price_data!A$1:B$190,2,FALSE))</f>
        <v>#N/A</v>
      </c>
      <c r="S1097" s="4" t="str">
        <f>(VLOOKUP(B1097,Price_data!A$1:C$190,3,FALSE))</f>
        <v>Open access</v>
      </c>
      <c r="T1097" s="2" t="str">
        <f>IF(C1097="Total", (VLOOKUP(B1097,Recommended_fish_intake!A$4:D$122,4,FALSE)), "NA")</f>
        <v>NA</v>
      </c>
      <c r="U1097" s="2" t="str">
        <f t="shared" si="137"/>
        <v>NA</v>
      </c>
    </row>
    <row r="1098" spans="1:21" ht="14.25" customHeight="1">
      <c r="A1098" s="2" t="s">
        <v>18</v>
      </c>
      <c r="B1098" s="2">
        <v>1970</v>
      </c>
      <c r="C1098" s="2" t="s">
        <v>34</v>
      </c>
      <c r="D1098" s="3">
        <f t="shared" si="131"/>
        <v>0.50802682381629749</v>
      </c>
      <c r="E1098" s="3">
        <f t="shared" si="132"/>
        <v>0.60899999999999999</v>
      </c>
      <c r="F1098" s="3" t="e">
        <f t="shared" si="133"/>
        <v>#N/A</v>
      </c>
      <c r="G1098" s="3" t="e">
        <f t="shared" si="134"/>
        <v>#N/A</v>
      </c>
      <c r="H1098" s="3" t="e">
        <f t="shared" si="135"/>
        <v>#N/A</v>
      </c>
      <c r="I1098" s="3" t="e">
        <f t="shared" si="136"/>
        <v>#N/A</v>
      </c>
      <c r="J1098" s="3">
        <v>508.02682381629751</v>
      </c>
      <c r="K1098" s="3">
        <v>609</v>
      </c>
      <c r="L1098" s="3" t="e">
        <v>#N/A</v>
      </c>
      <c r="M1098" s="3" t="e">
        <v>#N/A</v>
      </c>
      <c r="N1098" s="3" t="e">
        <v>#N/A</v>
      </c>
      <c r="O1098" s="3" t="e">
        <v>#N/A</v>
      </c>
      <c r="P1098" s="3">
        <f>E1098*(VLOOKUP(B1098,Price_data!A$1:B$190,2,FALSE))</f>
        <v>5.596801641711</v>
      </c>
      <c r="Q1098" s="3" t="e">
        <f>G1098*(VLOOKUP(B1098,Price_data!A$1:B$190,2,FALSE))</f>
        <v>#N/A</v>
      </c>
      <c r="R1098" s="3" t="e">
        <f>I1098*(VLOOKUP(B1098,Price_data!A$1:B$190,2,FALSE))</f>
        <v>#N/A</v>
      </c>
      <c r="S1098" s="4" t="str">
        <f>(VLOOKUP(B1098,Price_data!A$1:C$190,3,FALSE))</f>
        <v>Open access</v>
      </c>
      <c r="T1098" s="2" t="str">
        <f>IF(C1098="Total", (VLOOKUP(B1098,Recommended_fish_intake!A$4:D$122,4,FALSE)), "NA")</f>
        <v>NA</v>
      </c>
      <c r="U1098" s="2" t="str">
        <f t="shared" si="137"/>
        <v>NA</v>
      </c>
    </row>
    <row r="1099" spans="1:21" ht="14.25" customHeight="1">
      <c r="A1099" s="2" t="s">
        <v>18</v>
      </c>
      <c r="B1099" s="2">
        <v>1970</v>
      </c>
      <c r="C1099" s="2" t="s">
        <v>35</v>
      </c>
      <c r="D1099" s="3">
        <f t="shared" si="131"/>
        <v>0.60963218857955692</v>
      </c>
      <c r="E1099" s="3">
        <f t="shared" si="132"/>
        <v>0.19500000000000001</v>
      </c>
      <c r="F1099" s="3" t="e">
        <f t="shared" si="133"/>
        <v>#N/A</v>
      </c>
      <c r="G1099" s="3" t="e">
        <f t="shared" si="134"/>
        <v>#N/A</v>
      </c>
      <c r="H1099" s="3" t="e">
        <f t="shared" si="135"/>
        <v>#N/A</v>
      </c>
      <c r="I1099" s="3" t="e">
        <f t="shared" si="136"/>
        <v>#N/A</v>
      </c>
      <c r="J1099" s="3">
        <v>609.6321885795569</v>
      </c>
      <c r="K1099" s="3">
        <v>195</v>
      </c>
      <c r="L1099" s="3" t="e">
        <v>#N/A</v>
      </c>
      <c r="M1099" s="3" t="e">
        <v>#N/A</v>
      </c>
      <c r="N1099" s="3" t="e">
        <v>#N/A</v>
      </c>
      <c r="O1099" s="3" t="e">
        <v>#N/A</v>
      </c>
      <c r="P1099" s="3">
        <f>E1099*(VLOOKUP(B1099,Price_data!A$1:B$190,2,FALSE))</f>
        <v>1.792079343405</v>
      </c>
      <c r="Q1099" s="3" t="e">
        <f>G1099*(VLOOKUP(B1099,Price_data!A$1:B$190,2,FALSE))</f>
        <v>#N/A</v>
      </c>
      <c r="R1099" s="3" t="e">
        <f>I1099*(VLOOKUP(B1099,Price_data!A$1:B$190,2,FALSE))</f>
        <v>#N/A</v>
      </c>
      <c r="S1099" s="4" t="str">
        <f>(VLOOKUP(B1099,Price_data!A$1:C$190,3,FALSE))</f>
        <v>Open access</v>
      </c>
      <c r="T1099" s="2" t="str">
        <f>IF(C1099="Total", (VLOOKUP(B1099,Recommended_fish_intake!A$4:D$122,4,FALSE)), "NA")</f>
        <v>NA</v>
      </c>
      <c r="U1099" s="2" t="str">
        <f t="shared" si="137"/>
        <v>NA</v>
      </c>
    </row>
    <row r="1100" spans="1:21" ht="14.25" customHeight="1">
      <c r="A1100" s="2" t="s">
        <v>18</v>
      </c>
      <c r="B1100" s="2">
        <v>1970</v>
      </c>
      <c r="C1100" s="2" t="s">
        <v>30</v>
      </c>
      <c r="D1100" s="3">
        <f t="shared" si="131"/>
        <v>1.2700670595407437</v>
      </c>
      <c r="E1100" s="3">
        <f t="shared" si="132"/>
        <v>0.20200000000000001</v>
      </c>
      <c r="F1100" s="3" t="e">
        <f t="shared" si="133"/>
        <v>#N/A</v>
      </c>
      <c r="G1100" s="3" t="e">
        <f t="shared" si="134"/>
        <v>#N/A</v>
      </c>
      <c r="H1100" s="3" t="e">
        <f t="shared" si="135"/>
        <v>#N/A</v>
      </c>
      <c r="I1100" s="3" t="e">
        <f t="shared" si="136"/>
        <v>#N/A</v>
      </c>
      <c r="J1100" s="3">
        <v>1270.0670595407437</v>
      </c>
      <c r="K1100" s="3">
        <v>202</v>
      </c>
      <c r="L1100" s="3" t="e">
        <v>#N/A</v>
      </c>
      <c r="M1100" s="3" t="e">
        <v>#N/A</v>
      </c>
      <c r="N1100" s="3" t="e">
        <v>#N/A</v>
      </c>
      <c r="O1100" s="3" t="e">
        <v>#N/A</v>
      </c>
      <c r="P1100" s="3">
        <f>E1100*(VLOOKUP(B1100,Price_data!A$1:B$190,2,FALSE))</f>
        <v>1.8564103967580001</v>
      </c>
      <c r="Q1100" s="3" t="e">
        <f>G1100*(VLOOKUP(B1100,Price_data!A$1:B$190,2,FALSE))</f>
        <v>#N/A</v>
      </c>
      <c r="R1100" s="3" t="e">
        <f>I1100*(VLOOKUP(B1100,Price_data!A$1:B$190,2,FALSE))</f>
        <v>#N/A</v>
      </c>
      <c r="S1100" s="4" t="str">
        <f>(VLOOKUP(B1100,Price_data!A$1:C$190,3,FALSE))</f>
        <v>Open access</v>
      </c>
      <c r="T1100" s="2" t="str">
        <f>IF(C1100="Total", (VLOOKUP(B1100,Recommended_fish_intake!A$4:D$122,4,FALSE)), "NA")</f>
        <v>NA</v>
      </c>
      <c r="U1100" s="2" t="str">
        <f t="shared" si="137"/>
        <v>NA</v>
      </c>
    </row>
    <row r="1101" spans="1:21" ht="14.25" customHeight="1">
      <c r="A1101" s="2" t="s">
        <v>18</v>
      </c>
      <c r="B1101" s="2">
        <v>1970</v>
      </c>
      <c r="C1101" s="2" t="s">
        <v>36</v>
      </c>
      <c r="D1101" s="3">
        <f t="shared" si="131"/>
        <v>3.7085958138589716</v>
      </c>
      <c r="E1101" s="3">
        <f t="shared" si="132"/>
        <v>0.433</v>
      </c>
      <c r="F1101" s="3" t="e">
        <f t="shared" si="133"/>
        <v>#N/A</v>
      </c>
      <c r="G1101" s="3" t="e">
        <f t="shared" si="134"/>
        <v>#N/A</v>
      </c>
      <c r="H1101" s="3" t="e">
        <f t="shared" si="135"/>
        <v>#N/A</v>
      </c>
      <c r="I1101" s="3" t="e">
        <f t="shared" si="136"/>
        <v>#N/A</v>
      </c>
      <c r="J1101" s="3">
        <v>3708.5958138589717</v>
      </c>
      <c r="K1101" s="3">
        <v>433</v>
      </c>
      <c r="L1101" s="3" t="e">
        <v>#N/A</v>
      </c>
      <c r="M1101" s="3" t="e">
        <v>#N/A</v>
      </c>
      <c r="N1101" s="3" t="e">
        <v>#N/A</v>
      </c>
      <c r="O1101" s="3" t="e">
        <v>#N/A</v>
      </c>
      <c r="P1101" s="3">
        <f>E1101*(VLOOKUP(B1101,Price_data!A$1:B$190,2,FALSE))</f>
        <v>3.9793351574069997</v>
      </c>
      <c r="Q1101" s="3" t="e">
        <f>G1101*(VLOOKUP(B1101,Price_data!A$1:B$190,2,FALSE))</f>
        <v>#N/A</v>
      </c>
      <c r="R1101" s="3" t="e">
        <f>I1101*(VLOOKUP(B1101,Price_data!A$1:B$190,2,FALSE))</f>
        <v>#N/A</v>
      </c>
      <c r="S1101" s="4" t="str">
        <f>(VLOOKUP(B1101,Price_data!A$1:C$190,3,FALSE))</f>
        <v>Open access</v>
      </c>
      <c r="T1101" s="2" t="str">
        <f>IF(C1101="Total", (VLOOKUP(B1101,Recommended_fish_intake!A$4:D$122,4,FALSE)), "NA")</f>
        <v>NA</v>
      </c>
      <c r="U1101" s="2" t="str">
        <f t="shared" si="137"/>
        <v>NA</v>
      </c>
    </row>
    <row r="1102" spans="1:21" ht="14.25" customHeight="1">
      <c r="A1102" s="2" t="s">
        <v>18</v>
      </c>
      <c r="B1102" s="2">
        <v>1970</v>
      </c>
      <c r="C1102" s="2" t="s">
        <v>28</v>
      </c>
      <c r="D1102" s="3">
        <f t="shared" si="131"/>
        <v>30.380004064214589</v>
      </c>
      <c r="E1102" s="3">
        <f t="shared" si="132"/>
        <v>2.3260000000000001</v>
      </c>
      <c r="F1102" s="3" t="e">
        <f t="shared" si="133"/>
        <v>#N/A</v>
      </c>
      <c r="G1102" s="3" t="e">
        <f t="shared" si="134"/>
        <v>#N/A</v>
      </c>
      <c r="H1102" s="3" t="e">
        <f t="shared" si="135"/>
        <v>#N/A</v>
      </c>
      <c r="I1102" s="3" t="e">
        <f t="shared" si="136"/>
        <v>#N/A</v>
      </c>
      <c r="J1102" s="3">
        <v>30380.00406421459</v>
      </c>
      <c r="K1102" s="3">
        <v>2326</v>
      </c>
      <c r="L1102" s="3" t="e">
        <v>#N/A</v>
      </c>
      <c r="M1102" s="3" t="e">
        <v>#N/A</v>
      </c>
      <c r="N1102" s="3" t="e">
        <v>#N/A</v>
      </c>
      <c r="O1102" s="3" t="e">
        <v>#N/A</v>
      </c>
      <c r="P1102" s="3">
        <f>E1102*(VLOOKUP(B1102,Price_data!A$1:B$190,2,FALSE))</f>
        <v>21.376290014154002</v>
      </c>
      <c r="Q1102" s="3" t="e">
        <f>G1102*(VLOOKUP(B1102,Price_data!A$1:B$190,2,FALSE))</f>
        <v>#N/A</v>
      </c>
      <c r="R1102" s="3" t="e">
        <f>I1102*(VLOOKUP(B1102,Price_data!A$1:B$190,2,FALSE))</f>
        <v>#N/A</v>
      </c>
      <c r="S1102" s="4" t="str">
        <f>(VLOOKUP(B1102,Price_data!A$1:C$190,3,FALSE))</f>
        <v>Open access</v>
      </c>
      <c r="T1102" s="2" t="str">
        <f>IF(C1102="Total", (VLOOKUP(B1102,Recommended_fish_intake!A$4:D$122,4,FALSE)), "NA")</f>
        <v>NA</v>
      </c>
      <c r="U1102" s="2">
        <f t="shared" si="137"/>
        <v>8.5064011379800863</v>
      </c>
    </row>
    <row r="1103" spans="1:21" ht="14.25" customHeight="1">
      <c r="A1103" s="2" t="s">
        <v>18</v>
      </c>
      <c r="B1103" s="2">
        <v>1970</v>
      </c>
      <c r="C1103" s="2" t="s">
        <v>37</v>
      </c>
      <c r="D1103" s="3">
        <f t="shared" si="131"/>
        <v>513.41190814875017</v>
      </c>
      <c r="E1103" s="3">
        <f t="shared" si="132"/>
        <v>45.918999999999997</v>
      </c>
      <c r="F1103" s="3" t="e">
        <f t="shared" si="133"/>
        <v>#N/A</v>
      </c>
      <c r="G1103" s="3" t="e">
        <f t="shared" si="134"/>
        <v>#N/A</v>
      </c>
      <c r="H1103" s="3" t="e">
        <f t="shared" si="135"/>
        <v>#N/A</v>
      </c>
      <c r="I1103" s="3" t="e">
        <f t="shared" si="136"/>
        <v>#N/A</v>
      </c>
      <c r="J1103" s="3">
        <v>513411.9081487502</v>
      </c>
      <c r="K1103" s="3">
        <v>45919</v>
      </c>
      <c r="L1103" s="3" t="e">
        <v>#N/A</v>
      </c>
      <c r="M1103" s="3" t="e">
        <v>#N/A</v>
      </c>
      <c r="N1103" s="3" t="e">
        <v>#N/A</v>
      </c>
      <c r="O1103" s="3" t="e">
        <v>#N/A</v>
      </c>
      <c r="P1103" s="3">
        <f>E1103*(VLOOKUP(B1103,Price_data!A$1:B$190,2,FALSE))</f>
        <v>422.00251984520094</v>
      </c>
      <c r="Q1103" s="3" t="e">
        <f>G1103*(VLOOKUP(B1103,Price_data!A$1:B$190,2,FALSE))</f>
        <v>#N/A</v>
      </c>
      <c r="R1103" s="3" t="e">
        <f>I1103*(VLOOKUP(B1103,Price_data!A$1:B$190,2,FALSE))</f>
        <v>#N/A</v>
      </c>
      <c r="S1103" s="4" t="str">
        <f>(VLOOKUP(B1103,Price_data!A$1:C$190,3,FALSE))</f>
        <v>Open access</v>
      </c>
      <c r="T1103" s="2" t="str">
        <f>IF(C1103="Total", (VLOOKUP(B1103,Recommended_fish_intake!A$4:D$122,4,FALSE)), "NA")</f>
        <v>NA</v>
      </c>
      <c r="U1103" s="2">
        <f t="shared" si="137"/>
        <v>251.57183499288757</v>
      </c>
    </row>
    <row r="1104" spans="1:21" ht="14.25" customHeight="1">
      <c r="A1104" s="2" t="s">
        <v>39</v>
      </c>
      <c r="B1104" s="2">
        <v>1970</v>
      </c>
      <c r="C1104" s="2" t="s">
        <v>22</v>
      </c>
      <c r="D1104" s="3">
        <f t="shared" si="131"/>
        <v>45.519203413940254</v>
      </c>
      <c r="E1104" s="3">
        <f t="shared" si="132"/>
        <v>4.6239999999999997</v>
      </c>
      <c r="F1104" s="3" t="e">
        <f t="shared" si="133"/>
        <v>#N/A</v>
      </c>
      <c r="G1104" s="3" t="e">
        <f t="shared" si="134"/>
        <v>#N/A</v>
      </c>
      <c r="H1104" s="3" t="e">
        <f t="shared" si="135"/>
        <v>#N/A</v>
      </c>
      <c r="I1104" s="3" t="e">
        <f t="shared" si="136"/>
        <v>#N/A</v>
      </c>
      <c r="J1104" s="3">
        <v>45519.203413940253</v>
      </c>
      <c r="K1104" s="3">
        <v>4624</v>
      </c>
      <c r="L1104" s="3" t="e">
        <v>#N/A</v>
      </c>
      <c r="M1104" s="3" t="e">
        <v>#N/A</v>
      </c>
      <c r="N1104" s="3" t="e">
        <v>#N/A</v>
      </c>
      <c r="O1104" s="3" t="e">
        <v>#N/A</v>
      </c>
      <c r="P1104" s="3">
        <f>E1104*(VLOOKUP(B1104,Price_data!A$1:B$190,2,FALSE))</f>
        <v>42.495255814895998</v>
      </c>
      <c r="Q1104" s="3" t="e">
        <f>G1104*(VLOOKUP(B1104,Price_data!A$1:B$190,2,FALSE))</f>
        <v>#N/A</v>
      </c>
      <c r="R1104" s="3" t="e">
        <f>I1104*(VLOOKUP(B1104,Price_data!A$1:B$190,2,FALSE))</f>
        <v>#N/A</v>
      </c>
      <c r="S1104" s="4" t="str">
        <f>(VLOOKUP(B1104,Price_data!A$1:C$190,3,FALSE))</f>
        <v>Open access</v>
      </c>
      <c r="T1104" s="2" t="str">
        <f>IF(C1104="Total", (VLOOKUP(B1104,Recommended_fish_intake!A$4:D$122,4,FALSE)), "NA")</f>
        <v>NA</v>
      </c>
      <c r="U1104" s="2" t="str">
        <f t="shared" si="137"/>
        <v>NA</v>
      </c>
    </row>
    <row r="1105" spans="1:21" ht="14.25" customHeight="1">
      <c r="A1105" s="2" t="s">
        <v>39</v>
      </c>
      <c r="B1105" s="2">
        <v>1970</v>
      </c>
      <c r="C1105" s="2" t="s">
        <v>23</v>
      </c>
      <c r="D1105" s="3">
        <f t="shared" si="131"/>
        <v>133.81426539321276</v>
      </c>
      <c r="E1105" s="3">
        <f t="shared" si="132"/>
        <v>8.9450000000000003</v>
      </c>
      <c r="F1105" s="3" t="e">
        <f t="shared" si="133"/>
        <v>#N/A</v>
      </c>
      <c r="G1105" s="3" t="e">
        <f t="shared" si="134"/>
        <v>#N/A</v>
      </c>
      <c r="H1105" s="3" t="e">
        <f t="shared" si="135"/>
        <v>#N/A</v>
      </c>
      <c r="I1105" s="3" t="e">
        <f t="shared" si="136"/>
        <v>#N/A</v>
      </c>
      <c r="J1105" s="3">
        <v>133814.26539321276</v>
      </c>
      <c r="K1105" s="3">
        <v>8945</v>
      </c>
      <c r="L1105" s="3" t="e">
        <v>#N/A</v>
      </c>
      <c r="M1105" s="3" t="e">
        <v>#N/A</v>
      </c>
      <c r="N1105" s="3" t="e">
        <v>#N/A</v>
      </c>
      <c r="O1105" s="3" t="e">
        <v>#N/A</v>
      </c>
      <c r="P1105" s="3">
        <f>E1105*(VLOOKUP(B1105,Price_data!A$1:B$190,2,FALSE))</f>
        <v>82.205896034654998</v>
      </c>
      <c r="Q1105" s="3" t="e">
        <f>G1105*(VLOOKUP(B1105,Price_data!A$1:B$190,2,FALSE))</f>
        <v>#N/A</v>
      </c>
      <c r="R1105" s="3" t="e">
        <f>I1105*(VLOOKUP(B1105,Price_data!A$1:B$190,2,FALSE))</f>
        <v>#N/A</v>
      </c>
      <c r="S1105" s="4" t="str">
        <f>(VLOOKUP(B1105,Price_data!A$1:C$190,3,FALSE))</f>
        <v>Open access</v>
      </c>
      <c r="T1105" s="2" t="str">
        <f>IF(C1105="Total", (VLOOKUP(B1105,Recommended_fish_intake!A$4:D$122,4,FALSE)), "NA")</f>
        <v>NA</v>
      </c>
      <c r="U1105" s="2" t="str">
        <f t="shared" si="137"/>
        <v>NA</v>
      </c>
    </row>
    <row r="1106" spans="1:21" ht="14.25" customHeight="1">
      <c r="A1106" s="2" t="s">
        <v>39</v>
      </c>
      <c r="B1106" s="2">
        <v>1970</v>
      </c>
      <c r="C1106" s="2" t="s">
        <v>25</v>
      </c>
      <c r="D1106" s="3">
        <f t="shared" si="131"/>
        <v>5.3342816500711239</v>
      </c>
      <c r="E1106" s="3">
        <f t="shared" si="132"/>
        <v>0.73</v>
      </c>
      <c r="F1106" s="3" t="e">
        <f t="shared" si="133"/>
        <v>#N/A</v>
      </c>
      <c r="G1106" s="3" t="e">
        <f t="shared" si="134"/>
        <v>#N/A</v>
      </c>
      <c r="H1106" s="3" t="e">
        <f t="shared" si="135"/>
        <v>#N/A</v>
      </c>
      <c r="I1106" s="3" t="e">
        <f t="shared" si="136"/>
        <v>#N/A</v>
      </c>
      <c r="J1106" s="3">
        <v>5334.2816500711242</v>
      </c>
      <c r="K1106" s="3">
        <v>730</v>
      </c>
      <c r="L1106" s="3" t="e">
        <v>#N/A</v>
      </c>
      <c r="M1106" s="3" t="e">
        <v>#N/A</v>
      </c>
      <c r="N1106" s="3" t="e">
        <v>#N/A</v>
      </c>
      <c r="O1106" s="3" t="e">
        <v>#N/A</v>
      </c>
      <c r="P1106" s="3">
        <f>E1106*(VLOOKUP(B1106,Price_data!A$1:B$190,2,FALSE))</f>
        <v>6.7088098496699997</v>
      </c>
      <c r="Q1106" s="3" t="e">
        <f>G1106*(VLOOKUP(B1106,Price_data!A$1:B$190,2,FALSE))</f>
        <v>#N/A</v>
      </c>
      <c r="R1106" s="3" t="e">
        <f>I1106*(VLOOKUP(B1106,Price_data!A$1:B$190,2,FALSE))</f>
        <v>#N/A</v>
      </c>
      <c r="S1106" s="4" t="str">
        <f>(VLOOKUP(B1106,Price_data!A$1:C$190,3,FALSE))</f>
        <v>Open access</v>
      </c>
      <c r="T1106" s="2" t="str">
        <f>IF(C1106="Total", (VLOOKUP(B1106,Recommended_fish_intake!A$4:D$122,4,FALSE)), "NA")</f>
        <v>NA</v>
      </c>
      <c r="U1106" s="2" t="str">
        <f t="shared" si="137"/>
        <v>NA</v>
      </c>
    </row>
    <row r="1107" spans="1:21" ht="14.25" customHeight="1">
      <c r="A1107" s="2" t="s">
        <v>39</v>
      </c>
      <c r="B1107" s="2">
        <v>1970</v>
      </c>
      <c r="C1107" s="2" t="s">
        <v>38</v>
      </c>
      <c r="D1107" s="3">
        <f t="shared" si="131"/>
        <v>18.08575492786019</v>
      </c>
      <c r="E1107" s="3">
        <f t="shared" si="132"/>
        <v>0.65900000000000003</v>
      </c>
      <c r="F1107" s="3" t="e">
        <f t="shared" si="133"/>
        <v>#N/A</v>
      </c>
      <c r="G1107" s="3" t="e">
        <f t="shared" si="134"/>
        <v>#N/A</v>
      </c>
      <c r="H1107" s="3" t="e">
        <f t="shared" si="135"/>
        <v>#N/A</v>
      </c>
      <c r="I1107" s="3" t="e">
        <f t="shared" si="136"/>
        <v>#N/A</v>
      </c>
      <c r="J1107" s="3">
        <v>18085.754927860191</v>
      </c>
      <c r="K1107" s="3">
        <v>659</v>
      </c>
      <c r="L1107" s="3" t="e">
        <v>#N/A</v>
      </c>
      <c r="M1107" s="3" t="e">
        <v>#N/A</v>
      </c>
      <c r="N1107" s="3" t="e">
        <v>#N/A</v>
      </c>
      <c r="O1107" s="3" t="e">
        <v>#N/A</v>
      </c>
      <c r="P1107" s="3">
        <f>E1107*(VLOOKUP(B1107,Price_data!A$1:B$190,2,FALSE))</f>
        <v>6.0563091656610002</v>
      </c>
      <c r="Q1107" s="3" t="e">
        <f>G1107*(VLOOKUP(B1107,Price_data!A$1:B$190,2,FALSE))</f>
        <v>#N/A</v>
      </c>
      <c r="R1107" s="3" t="e">
        <f>I1107*(VLOOKUP(B1107,Price_data!A$1:B$190,2,FALSE))</f>
        <v>#N/A</v>
      </c>
      <c r="S1107" s="4" t="str">
        <f>(VLOOKUP(B1107,Price_data!A$1:C$190,3,FALSE))</f>
        <v>Open access</v>
      </c>
      <c r="T1107" s="2" t="str">
        <f>IF(C1107="Total", (VLOOKUP(B1107,Recommended_fish_intake!A$4:D$122,4,FALSE)), "NA")</f>
        <v>NA</v>
      </c>
      <c r="U1107" s="2" t="str">
        <f t="shared" si="137"/>
        <v>NA</v>
      </c>
    </row>
    <row r="1108" spans="1:21" ht="14.25" customHeight="1">
      <c r="A1108" s="2" t="s">
        <v>39</v>
      </c>
      <c r="B1108" s="2">
        <v>1970</v>
      </c>
      <c r="C1108" s="2" t="s">
        <v>24</v>
      </c>
      <c r="D1108" s="3">
        <f t="shared" si="131"/>
        <v>25.096525096525095</v>
      </c>
      <c r="E1108" s="3">
        <f t="shared" si="132"/>
        <v>1.407</v>
      </c>
      <c r="F1108" s="3" t="e">
        <f t="shared" si="133"/>
        <v>#N/A</v>
      </c>
      <c r="G1108" s="3" t="e">
        <f t="shared" si="134"/>
        <v>#N/A</v>
      </c>
      <c r="H1108" s="3" t="e">
        <f t="shared" si="135"/>
        <v>#N/A</v>
      </c>
      <c r="I1108" s="3" t="e">
        <f t="shared" si="136"/>
        <v>#N/A</v>
      </c>
      <c r="J1108" s="3">
        <v>25096.525096525096</v>
      </c>
      <c r="K1108" s="3">
        <v>1407</v>
      </c>
      <c r="L1108" s="3" t="e">
        <v>#N/A</v>
      </c>
      <c r="M1108" s="3" t="e">
        <v>#N/A</v>
      </c>
      <c r="N1108" s="3" t="e">
        <v>#N/A</v>
      </c>
      <c r="O1108" s="3" t="e">
        <v>#N/A</v>
      </c>
      <c r="P1108" s="3">
        <f>E1108*(VLOOKUP(B1108,Price_data!A$1:B$190,2,FALSE))</f>
        <v>12.930541723953</v>
      </c>
      <c r="Q1108" s="3" t="e">
        <f>G1108*(VLOOKUP(B1108,Price_data!A$1:B$190,2,FALSE))</f>
        <v>#N/A</v>
      </c>
      <c r="R1108" s="3" t="e">
        <f>I1108*(VLOOKUP(B1108,Price_data!A$1:B$190,2,FALSE))</f>
        <v>#N/A</v>
      </c>
      <c r="S1108" s="4" t="str">
        <f>(VLOOKUP(B1108,Price_data!A$1:C$190,3,FALSE))</f>
        <v>Open access</v>
      </c>
      <c r="T1108" s="2" t="str">
        <f>IF(C1108="Total", (VLOOKUP(B1108,Recommended_fish_intake!A$4:D$122,4,FALSE)), "NA")</f>
        <v>NA</v>
      </c>
      <c r="U1108" s="2" t="str">
        <f t="shared" si="137"/>
        <v>NA</v>
      </c>
    </row>
    <row r="1109" spans="1:21" ht="14.25" customHeight="1">
      <c r="A1109" s="2" t="s">
        <v>39</v>
      </c>
      <c r="B1109" s="2">
        <v>1970</v>
      </c>
      <c r="C1109" s="2" t="s">
        <v>19</v>
      </c>
      <c r="D1109" s="3">
        <f t="shared" si="131"/>
        <v>126.70188985978459</v>
      </c>
      <c r="E1109" s="3">
        <f t="shared" si="132"/>
        <v>4.0110000000000001</v>
      </c>
      <c r="F1109" s="3" t="e">
        <f t="shared" si="133"/>
        <v>#N/A</v>
      </c>
      <c r="G1109" s="3" t="e">
        <f t="shared" si="134"/>
        <v>#N/A</v>
      </c>
      <c r="H1109" s="3" t="e">
        <f t="shared" si="135"/>
        <v>#N/A</v>
      </c>
      <c r="I1109" s="3" t="e">
        <f t="shared" si="136"/>
        <v>#N/A</v>
      </c>
      <c r="J1109" s="3">
        <v>126701.88985978458</v>
      </c>
      <c r="K1109" s="3">
        <v>4011</v>
      </c>
      <c r="L1109" s="3" t="e">
        <v>#N/A</v>
      </c>
      <c r="M1109" s="3" t="e">
        <v>#N/A</v>
      </c>
      <c r="N1109" s="3" t="e">
        <v>#N/A</v>
      </c>
      <c r="O1109" s="3" t="e">
        <v>#N/A</v>
      </c>
      <c r="P1109" s="3">
        <f>E1109*(VLOOKUP(B1109,Price_data!A$1:B$190,2,FALSE))</f>
        <v>36.861693571269001</v>
      </c>
      <c r="Q1109" s="3" t="e">
        <f>G1109*(VLOOKUP(B1109,Price_data!A$1:B$190,2,FALSE))</f>
        <v>#N/A</v>
      </c>
      <c r="R1109" s="3" t="e">
        <f>I1109*(VLOOKUP(B1109,Price_data!A$1:B$190,2,FALSE))</f>
        <v>#N/A</v>
      </c>
      <c r="S1109" s="4" t="str">
        <f>(VLOOKUP(B1109,Price_data!A$1:C$190,3,FALSE))</f>
        <v>Open access</v>
      </c>
      <c r="T1109" s="2" t="str">
        <f>IF(C1109="Total", (VLOOKUP(B1109,Recommended_fish_intake!A$4:D$122,4,FALSE)), "NA")</f>
        <v>NA</v>
      </c>
      <c r="U1109" s="2" t="str">
        <f t="shared" si="137"/>
        <v>NA</v>
      </c>
    </row>
    <row r="1110" spans="1:21" ht="14.25" customHeight="1">
      <c r="A1110" s="2" t="s">
        <v>39</v>
      </c>
      <c r="B1110" s="2">
        <v>1970</v>
      </c>
      <c r="C1110" s="2" t="s">
        <v>21</v>
      </c>
      <c r="D1110" s="3">
        <f t="shared" si="131"/>
        <v>18.542979069294859</v>
      </c>
      <c r="E1110" s="3">
        <f t="shared" si="132"/>
        <v>0.28499999999999998</v>
      </c>
      <c r="F1110" s="3" t="e">
        <f t="shared" si="133"/>
        <v>#N/A</v>
      </c>
      <c r="G1110" s="3" t="e">
        <f t="shared" si="134"/>
        <v>#N/A</v>
      </c>
      <c r="H1110" s="3" t="e">
        <f t="shared" si="135"/>
        <v>#N/A</v>
      </c>
      <c r="I1110" s="3" t="e">
        <f t="shared" si="136"/>
        <v>#N/A</v>
      </c>
      <c r="J1110" s="3">
        <v>18542.979069294859</v>
      </c>
      <c r="K1110" s="3">
        <v>285</v>
      </c>
      <c r="L1110" s="3" t="e">
        <v>#N/A</v>
      </c>
      <c r="M1110" s="3" t="e">
        <v>#N/A</v>
      </c>
      <c r="N1110" s="3" t="e">
        <v>#N/A</v>
      </c>
      <c r="O1110" s="3" t="e">
        <v>#N/A</v>
      </c>
      <c r="P1110" s="3">
        <f>E1110*(VLOOKUP(B1110,Price_data!A$1:B$190,2,FALSE))</f>
        <v>2.6191928865149996</v>
      </c>
      <c r="Q1110" s="3" t="e">
        <f>G1110*(VLOOKUP(B1110,Price_data!A$1:B$190,2,FALSE))</f>
        <v>#N/A</v>
      </c>
      <c r="R1110" s="3" t="e">
        <f>I1110*(VLOOKUP(B1110,Price_data!A$1:B$190,2,FALSE))</f>
        <v>#N/A</v>
      </c>
      <c r="S1110" s="4" t="str">
        <f>(VLOOKUP(B1110,Price_data!A$1:C$190,3,FALSE))</f>
        <v>Open access</v>
      </c>
      <c r="T1110" s="2" t="str">
        <f>IF(C1110="Total", (VLOOKUP(B1110,Recommended_fish_intake!A$4:D$122,4,FALSE)), "NA")</f>
        <v>NA</v>
      </c>
      <c r="U1110" s="2" t="str">
        <f t="shared" si="137"/>
        <v>NA</v>
      </c>
    </row>
    <row r="1111" spans="1:21" ht="14.25" customHeight="1">
      <c r="A1111" s="2" t="s">
        <v>39</v>
      </c>
      <c r="B1111" s="2">
        <v>1970</v>
      </c>
      <c r="C1111" s="2" t="s">
        <v>34</v>
      </c>
      <c r="D1111" s="3">
        <f t="shared" si="131"/>
        <v>0.60963218857955692</v>
      </c>
      <c r="E1111" s="3">
        <f t="shared" si="132"/>
        <v>0.77</v>
      </c>
      <c r="F1111" s="3" t="e">
        <f t="shared" si="133"/>
        <v>#N/A</v>
      </c>
      <c r="G1111" s="3" t="e">
        <f t="shared" si="134"/>
        <v>#N/A</v>
      </c>
      <c r="H1111" s="3" t="e">
        <f t="shared" si="135"/>
        <v>#N/A</v>
      </c>
      <c r="I1111" s="3" t="e">
        <f t="shared" si="136"/>
        <v>#N/A</v>
      </c>
      <c r="J1111" s="3">
        <v>609.6321885795569</v>
      </c>
      <c r="K1111" s="3">
        <v>770</v>
      </c>
      <c r="L1111" s="3" t="e">
        <v>#N/A</v>
      </c>
      <c r="M1111" s="3" t="e">
        <v>#N/A</v>
      </c>
      <c r="N1111" s="3" t="e">
        <v>#N/A</v>
      </c>
      <c r="O1111" s="3" t="e">
        <v>#N/A</v>
      </c>
      <c r="P1111" s="3">
        <f>E1111*(VLOOKUP(B1111,Price_data!A$1:B$190,2,FALSE))</f>
        <v>7.0764158688299998</v>
      </c>
      <c r="Q1111" s="3" t="e">
        <f>G1111*(VLOOKUP(B1111,Price_data!A$1:B$190,2,FALSE))</f>
        <v>#N/A</v>
      </c>
      <c r="R1111" s="3" t="e">
        <f>I1111*(VLOOKUP(B1111,Price_data!A$1:B$190,2,FALSE))</f>
        <v>#N/A</v>
      </c>
      <c r="S1111" s="4" t="str">
        <f>(VLOOKUP(B1111,Price_data!A$1:C$190,3,FALSE))</f>
        <v>Open access</v>
      </c>
      <c r="T1111" s="2" t="str">
        <f>IF(C1111="Total", (VLOOKUP(B1111,Recommended_fish_intake!A$4:D$122,4,FALSE)), "NA")</f>
        <v>NA</v>
      </c>
      <c r="U1111" s="2" t="str">
        <f t="shared" si="137"/>
        <v>NA</v>
      </c>
    </row>
    <row r="1112" spans="1:21" ht="14.25" customHeight="1">
      <c r="A1112" s="2" t="s">
        <v>39</v>
      </c>
      <c r="B1112" s="2">
        <v>1970</v>
      </c>
      <c r="C1112" s="2" t="s">
        <v>35</v>
      </c>
      <c r="D1112" s="3">
        <f t="shared" si="131"/>
        <v>8.1792318634423893</v>
      </c>
      <c r="E1112" s="3">
        <f t="shared" si="132"/>
        <v>1.9930000000000001</v>
      </c>
      <c r="F1112" s="3" t="e">
        <f t="shared" si="133"/>
        <v>#N/A</v>
      </c>
      <c r="G1112" s="3" t="e">
        <f t="shared" si="134"/>
        <v>#N/A</v>
      </c>
      <c r="H1112" s="3" t="e">
        <f t="shared" si="135"/>
        <v>#N/A</v>
      </c>
      <c r="I1112" s="3" t="e">
        <f t="shared" si="136"/>
        <v>#N/A</v>
      </c>
      <c r="J1112" s="3">
        <v>8179.2318634423891</v>
      </c>
      <c r="K1112" s="3">
        <v>1993</v>
      </c>
      <c r="L1112" s="3" t="e">
        <v>#N/A</v>
      </c>
      <c r="M1112" s="3" t="e">
        <v>#N/A</v>
      </c>
      <c r="N1112" s="3" t="e">
        <v>#N/A</v>
      </c>
      <c r="O1112" s="3" t="e">
        <v>#N/A</v>
      </c>
      <c r="P1112" s="3">
        <f>E1112*(VLOOKUP(B1112,Price_data!A$1:B$190,2,FALSE))</f>
        <v>18.315969904647002</v>
      </c>
      <c r="Q1112" s="3" t="e">
        <f>G1112*(VLOOKUP(B1112,Price_data!A$1:B$190,2,FALSE))</f>
        <v>#N/A</v>
      </c>
      <c r="R1112" s="3" t="e">
        <f>I1112*(VLOOKUP(B1112,Price_data!A$1:B$190,2,FALSE))</f>
        <v>#N/A</v>
      </c>
      <c r="S1112" s="4" t="str">
        <f>(VLOOKUP(B1112,Price_data!A$1:C$190,3,FALSE))</f>
        <v>Open access</v>
      </c>
      <c r="T1112" s="2" t="str">
        <f>IF(C1112="Total", (VLOOKUP(B1112,Recommended_fish_intake!A$4:D$122,4,FALSE)), "NA")</f>
        <v>NA</v>
      </c>
      <c r="U1112" s="2" t="str">
        <f t="shared" si="137"/>
        <v>NA</v>
      </c>
    </row>
    <row r="1113" spans="1:21" ht="14.25" customHeight="1">
      <c r="A1113" s="2" t="s">
        <v>39</v>
      </c>
      <c r="B1113" s="2">
        <v>1970</v>
      </c>
      <c r="C1113" s="2" t="s">
        <v>30</v>
      </c>
      <c r="D1113" s="3">
        <f t="shared" si="131"/>
        <v>0.1016053647632595</v>
      </c>
      <c r="E1113" s="3">
        <f t="shared" si="132"/>
        <v>2.1999999999999999E-2</v>
      </c>
      <c r="F1113" s="3" t="e">
        <f t="shared" si="133"/>
        <v>#N/A</v>
      </c>
      <c r="G1113" s="3" t="e">
        <f t="shared" si="134"/>
        <v>#N/A</v>
      </c>
      <c r="H1113" s="3" t="e">
        <f t="shared" si="135"/>
        <v>#N/A</v>
      </c>
      <c r="I1113" s="3" t="e">
        <f t="shared" si="136"/>
        <v>#N/A</v>
      </c>
      <c r="J1113" s="3">
        <v>101.6053647632595</v>
      </c>
      <c r="K1113" s="3">
        <v>22</v>
      </c>
      <c r="L1113" s="3" t="e">
        <v>#N/A</v>
      </c>
      <c r="M1113" s="3" t="e">
        <v>#N/A</v>
      </c>
      <c r="N1113" s="3" t="e">
        <v>#N/A</v>
      </c>
      <c r="O1113" s="3" t="e">
        <v>#N/A</v>
      </c>
      <c r="P1113" s="3">
        <f>E1113*(VLOOKUP(B1113,Price_data!A$1:B$190,2,FALSE))</f>
        <v>0.20218331053799998</v>
      </c>
      <c r="Q1113" s="3" t="e">
        <f>G1113*(VLOOKUP(B1113,Price_data!A$1:B$190,2,FALSE))</f>
        <v>#N/A</v>
      </c>
      <c r="R1113" s="3" t="e">
        <f>I1113*(VLOOKUP(B1113,Price_data!A$1:B$190,2,FALSE))</f>
        <v>#N/A</v>
      </c>
      <c r="S1113" s="4" t="str">
        <f>(VLOOKUP(B1113,Price_data!A$1:C$190,3,FALSE))</f>
        <v>Open access</v>
      </c>
      <c r="T1113" s="2" t="str">
        <f>IF(C1113="Total", (VLOOKUP(B1113,Recommended_fish_intake!A$4:D$122,4,FALSE)), "NA")</f>
        <v>NA</v>
      </c>
      <c r="U1113" s="2" t="str">
        <f t="shared" si="137"/>
        <v>NA</v>
      </c>
    </row>
    <row r="1114" spans="1:21" ht="14.25" customHeight="1">
      <c r="A1114" s="2" t="s">
        <v>39</v>
      </c>
      <c r="B1114" s="2">
        <v>1970</v>
      </c>
      <c r="C1114" s="2" t="s">
        <v>36</v>
      </c>
      <c r="D1114" s="3">
        <f t="shared" si="131"/>
        <v>2.235318024791709</v>
      </c>
      <c r="E1114" s="3">
        <f t="shared" si="132"/>
        <v>0.153</v>
      </c>
      <c r="F1114" s="3" t="e">
        <f t="shared" si="133"/>
        <v>#N/A</v>
      </c>
      <c r="G1114" s="3" t="e">
        <f t="shared" si="134"/>
        <v>#N/A</v>
      </c>
      <c r="H1114" s="3" t="e">
        <f t="shared" si="135"/>
        <v>#N/A</v>
      </c>
      <c r="I1114" s="3" t="e">
        <f t="shared" si="136"/>
        <v>#N/A</v>
      </c>
      <c r="J1114" s="3">
        <v>2235.3180247917089</v>
      </c>
      <c r="K1114" s="3">
        <v>153</v>
      </c>
      <c r="L1114" s="3" t="e">
        <v>#N/A</v>
      </c>
      <c r="M1114" s="3" t="e">
        <v>#N/A</v>
      </c>
      <c r="N1114" s="3" t="e">
        <v>#N/A</v>
      </c>
      <c r="O1114" s="3" t="e">
        <v>#N/A</v>
      </c>
      <c r="P1114" s="3">
        <f>E1114*(VLOOKUP(B1114,Price_data!A$1:B$190,2,FALSE))</f>
        <v>1.4060930232869999</v>
      </c>
      <c r="Q1114" s="3" t="e">
        <f>G1114*(VLOOKUP(B1114,Price_data!A$1:B$190,2,FALSE))</f>
        <v>#N/A</v>
      </c>
      <c r="R1114" s="3" t="e">
        <f>I1114*(VLOOKUP(B1114,Price_data!A$1:B$190,2,FALSE))</f>
        <v>#N/A</v>
      </c>
      <c r="S1114" s="4" t="str">
        <f>(VLOOKUP(B1114,Price_data!A$1:C$190,3,FALSE))</f>
        <v>Open access</v>
      </c>
      <c r="T1114" s="2" t="str">
        <f>IF(C1114="Total", (VLOOKUP(B1114,Recommended_fish_intake!A$4:D$122,4,FALSE)), "NA")</f>
        <v>NA</v>
      </c>
      <c r="U1114" s="2" t="str">
        <f t="shared" si="137"/>
        <v>NA</v>
      </c>
    </row>
    <row r="1115" spans="1:21" ht="14.25" customHeight="1">
      <c r="A1115" s="2" t="s">
        <v>39</v>
      </c>
      <c r="B1115" s="2">
        <v>1970</v>
      </c>
      <c r="C1115" s="2" t="s">
        <v>28</v>
      </c>
      <c r="D1115" s="3">
        <f t="shared" si="131"/>
        <v>22.607193659825239</v>
      </c>
      <c r="E1115" s="3">
        <f t="shared" si="132"/>
        <v>3.9529999999999998</v>
      </c>
      <c r="F1115" s="3" t="e">
        <f t="shared" si="133"/>
        <v>#N/A</v>
      </c>
      <c r="G1115" s="3" t="e">
        <f t="shared" si="134"/>
        <v>#N/A</v>
      </c>
      <c r="H1115" s="3" t="e">
        <f t="shared" si="135"/>
        <v>#N/A</v>
      </c>
      <c r="I1115" s="3" t="e">
        <f t="shared" si="136"/>
        <v>#N/A</v>
      </c>
      <c r="J1115" s="3">
        <v>22607.19365982524</v>
      </c>
      <c r="K1115" s="3">
        <v>3953</v>
      </c>
      <c r="L1115" s="3" t="e">
        <v>#N/A</v>
      </c>
      <c r="M1115" s="3" t="e">
        <v>#N/A</v>
      </c>
      <c r="N1115" s="3" t="e">
        <v>#N/A</v>
      </c>
      <c r="O1115" s="3" t="e">
        <v>#N/A</v>
      </c>
      <c r="P1115" s="3">
        <f>E1115*(VLOOKUP(B1115,Price_data!A$1:B$190,2,FALSE))</f>
        <v>36.328664843486997</v>
      </c>
      <c r="Q1115" s="3" t="e">
        <f>G1115*(VLOOKUP(B1115,Price_data!A$1:B$190,2,FALSE))</f>
        <v>#N/A</v>
      </c>
      <c r="R1115" s="3" t="e">
        <f>I1115*(VLOOKUP(B1115,Price_data!A$1:B$190,2,FALSE))</f>
        <v>#N/A</v>
      </c>
      <c r="S1115" s="4" t="str">
        <f>(VLOOKUP(B1115,Price_data!A$1:C$190,3,FALSE))</f>
        <v>Open access</v>
      </c>
      <c r="T1115" s="2" t="str">
        <f>IF(C1115="Total", (VLOOKUP(B1115,Recommended_fish_intake!A$4:D$122,4,FALSE)), "NA")</f>
        <v>NA</v>
      </c>
      <c r="U1115" s="2">
        <f t="shared" si="137"/>
        <v>6.3300142247510678</v>
      </c>
    </row>
    <row r="1116" spans="1:21" ht="14.25" customHeight="1">
      <c r="A1116" s="2" t="s">
        <v>39</v>
      </c>
      <c r="B1116" s="2">
        <v>1970</v>
      </c>
      <c r="C1116" s="2" t="s">
        <v>37</v>
      </c>
      <c r="D1116" s="3">
        <f t="shared" si="131"/>
        <v>396.81975208290993</v>
      </c>
      <c r="E1116" s="3">
        <f t="shared" si="132"/>
        <v>23.286999999999999</v>
      </c>
      <c r="F1116" s="3" t="e">
        <f t="shared" si="133"/>
        <v>#N/A</v>
      </c>
      <c r="G1116" s="3" t="e">
        <f t="shared" si="134"/>
        <v>#N/A</v>
      </c>
      <c r="H1116" s="3" t="e">
        <f t="shared" si="135"/>
        <v>#N/A</v>
      </c>
      <c r="I1116" s="3" t="e">
        <f t="shared" si="136"/>
        <v>#N/A</v>
      </c>
      <c r="J1116" s="3">
        <v>396819.75208290992</v>
      </c>
      <c r="K1116" s="3">
        <v>23287</v>
      </c>
      <c r="L1116" s="3" t="e">
        <v>#N/A</v>
      </c>
      <c r="M1116" s="3" t="e">
        <v>#N/A</v>
      </c>
      <c r="N1116" s="3" t="e">
        <v>#N/A</v>
      </c>
      <c r="O1116" s="3" t="e">
        <v>#N/A</v>
      </c>
      <c r="P1116" s="3">
        <f>E1116*(VLOOKUP(B1116,Price_data!A$1:B$190,2,FALSE))</f>
        <v>214.01103420447299</v>
      </c>
      <c r="Q1116" s="3" t="e">
        <f>G1116*(VLOOKUP(B1116,Price_data!A$1:B$190,2,FALSE))</f>
        <v>#N/A</v>
      </c>
      <c r="R1116" s="3" t="e">
        <f>I1116*(VLOOKUP(B1116,Price_data!A$1:B$190,2,FALSE))</f>
        <v>#N/A</v>
      </c>
      <c r="S1116" s="4" t="str">
        <f>(VLOOKUP(B1116,Price_data!A$1:C$190,3,FALSE))</f>
        <v>Open access</v>
      </c>
      <c r="T1116" s="2" t="str">
        <f>IF(C1116="Total", (VLOOKUP(B1116,Recommended_fish_intake!A$4:D$122,4,FALSE)), "NA")</f>
        <v>NA</v>
      </c>
      <c r="U1116" s="2">
        <f t="shared" si="137"/>
        <v>194.44167852062586</v>
      </c>
    </row>
    <row r="1117" spans="1:21" ht="14.25" customHeight="1">
      <c r="A1117" s="2" t="s">
        <v>40</v>
      </c>
      <c r="B1117" s="2">
        <v>1970</v>
      </c>
      <c r="C1117" s="2" t="s">
        <v>22</v>
      </c>
      <c r="D1117" s="3">
        <f t="shared" si="131"/>
        <v>1.0668563300142246</v>
      </c>
      <c r="E1117" s="3">
        <f t="shared" si="132"/>
        <v>7.5999999999999998E-2</v>
      </c>
      <c r="F1117" s="3" t="e">
        <f t="shared" si="133"/>
        <v>#N/A</v>
      </c>
      <c r="G1117" s="3" t="e">
        <f t="shared" si="134"/>
        <v>#N/A</v>
      </c>
      <c r="H1117" s="3" t="e">
        <f t="shared" si="135"/>
        <v>#N/A</v>
      </c>
      <c r="I1117" s="3" t="e">
        <f t="shared" si="136"/>
        <v>#N/A</v>
      </c>
      <c r="J1117" s="3">
        <v>1066.8563300142246</v>
      </c>
      <c r="K1117" s="3">
        <v>76</v>
      </c>
      <c r="L1117" s="3" t="e">
        <v>#N/A</v>
      </c>
      <c r="M1117" s="3" t="e">
        <v>#N/A</v>
      </c>
      <c r="N1117" s="3" t="e">
        <v>#N/A</v>
      </c>
      <c r="O1117" s="3" t="e">
        <v>#N/A</v>
      </c>
      <c r="P1117" s="3">
        <f>E1117*(VLOOKUP(B1117,Price_data!A$1:B$190,2,FALSE))</f>
        <v>0.69845143640399998</v>
      </c>
      <c r="Q1117" s="3" t="e">
        <f>G1117*(VLOOKUP(B1117,Price_data!A$1:B$190,2,FALSE))</f>
        <v>#N/A</v>
      </c>
      <c r="R1117" s="3" t="e">
        <f>I1117*(VLOOKUP(B1117,Price_data!A$1:B$190,2,FALSE))</f>
        <v>#N/A</v>
      </c>
      <c r="S1117" s="4" t="str">
        <f>(VLOOKUP(B1117,Price_data!A$1:C$190,3,FALSE))</f>
        <v>Open access</v>
      </c>
      <c r="T1117" s="2" t="str">
        <f>IF(C1117="Total", (VLOOKUP(B1117,Recommended_fish_intake!A$4:D$122,4,FALSE)), "NA")</f>
        <v>NA</v>
      </c>
      <c r="U1117" s="2" t="str">
        <f t="shared" si="137"/>
        <v>NA</v>
      </c>
    </row>
    <row r="1118" spans="1:21" ht="14.25" customHeight="1">
      <c r="A1118" s="2" t="s">
        <v>40</v>
      </c>
      <c r="B1118" s="2">
        <v>1970</v>
      </c>
      <c r="C1118" s="2" t="s">
        <v>23</v>
      </c>
      <c r="D1118" s="3">
        <f t="shared" si="131"/>
        <v>0.15240804714488923</v>
      </c>
      <c r="E1118" s="3">
        <f t="shared" si="132"/>
        <v>8.9999999999999993E-3</v>
      </c>
      <c r="F1118" s="3" t="e">
        <f t="shared" si="133"/>
        <v>#N/A</v>
      </c>
      <c r="G1118" s="3" t="e">
        <f t="shared" si="134"/>
        <v>#N/A</v>
      </c>
      <c r="H1118" s="3" t="e">
        <f t="shared" si="135"/>
        <v>#N/A</v>
      </c>
      <c r="I1118" s="3" t="e">
        <f t="shared" si="136"/>
        <v>#N/A</v>
      </c>
      <c r="J1118" s="3">
        <v>152.40804714488922</v>
      </c>
      <c r="K1118" s="3">
        <v>9</v>
      </c>
      <c r="L1118" s="3" t="e">
        <v>#N/A</v>
      </c>
      <c r="M1118" s="3" t="e">
        <v>#N/A</v>
      </c>
      <c r="N1118" s="3" t="e">
        <v>#N/A</v>
      </c>
      <c r="O1118" s="3" t="e">
        <v>#N/A</v>
      </c>
      <c r="P1118" s="3">
        <f>E1118*(VLOOKUP(B1118,Price_data!A$1:B$190,2,FALSE))</f>
        <v>8.271135431099999E-2</v>
      </c>
      <c r="Q1118" s="3" t="e">
        <f>G1118*(VLOOKUP(B1118,Price_data!A$1:B$190,2,FALSE))</f>
        <v>#N/A</v>
      </c>
      <c r="R1118" s="3" t="e">
        <f>I1118*(VLOOKUP(B1118,Price_data!A$1:B$190,2,FALSE))</f>
        <v>#N/A</v>
      </c>
      <c r="S1118" s="4" t="str">
        <f>(VLOOKUP(B1118,Price_data!A$1:C$190,3,FALSE))</f>
        <v>Open access</v>
      </c>
      <c r="T1118" s="2" t="str">
        <f>IF(C1118="Total", (VLOOKUP(B1118,Recommended_fish_intake!A$4:D$122,4,FALSE)), "NA")</f>
        <v>NA</v>
      </c>
      <c r="U1118" s="2" t="str">
        <f t="shared" si="137"/>
        <v>NA</v>
      </c>
    </row>
    <row r="1119" spans="1:21" ht="14.25" customHeight="1">
      <c r="A1119" s="2" t="s">
        <v>40</v>
      </c>
      <c r="B1119" s="2">
        <v>1970</v>
      </c>
      <c r="C1119" s="2" t="s">
        <v>25</v>
      </c>
      <c r="D1119" s="3">
        <f t="shared" si="131"/>
        <v>0.15240804714488923</v>
      </c>
      <c r="E1119" s="3">
        <f t="shared" si="132"/>
        <v>1.6E-2</v>
      </c>
      <c r="F1119" s="3" t="e">
        <f t="shared" si="133"/>
        <v>#N/A</v>
      </c>
      <c r="G1119" s="3" t="e">
        <f t="shared" si="134"/>
        <v>#N/A</v>
      </c>
      <c r="H1119" s="3" t="e">
        <f t="shared" si="135"/>
        <v>#N/A</v>
      </c>
      <c r="I1119" s="3" t="e">
        <f t="shared" si="136"/>
        <v>#N/A</v>
      </c>
      <c r="J1119" s="3">
        <v>152.40804714488922</v>
      </c>
      <c r="K1119" s="3">
        <v>16</v>
      </c>
      <c r="L1119" s="3" t="e">
        <v>#N/A</v>
      </c>
      <c r="M1119" s="3" t="e">
        <v>#N/A</v>
      </c>
      <c r="N1119" s="3" t="e">
        <v>#N/A</v>
      </c>
      <c r="O1119" s="3" t="e">
        <v>#N/A</v>
      </c>
      <c r="P1119" s="3">
        <f>E1119*(VLOOKUP(B1119,Price_data!A$1:B$190,2,FALSE))</f>
        <v>0.14704240766400001</v>
      </c>
      <c r="Q1119" s="3" t="e">
        <f>G1119*(VLOOKUP(B1119,Price_data!A$1:B$190,2,FALSE))</f>
        <v>#N/A</v>
      </c>
      <c r="R1119" s="3" t="e">
        <f>I1119*(VLOOKUP(B1119,Price_data!A$1:B$190,2,FALSE))</f>
        <v>#N/A</v>
      </c>
      <c r="S1119" s="4" t="str">
        <f>(VLOOKUP(B1119,Price_data!A$1:C$190,3,FALSE))</f>
        <v>Open access</v>
      </c>
      <c r="T1119" s="2" t="str">
        <f>IF(C1119="Total", (VLOOKUP(B1119,Recommended_fish_intake!A$4:D$122,4,FALSE)), "NA")</f>
        <v>NA</v>
      </c>
      <c r="U1119" s="2" t="str">
        <f t="shared" si="137"/>
        <v>NA</v>
      </c>
    </row>
    <row r="1120" spans="1:21" ht="14.25" customHeight="1">
      <c r="A1120" s="2" t="s">
        <v>40</v>
      </c>
      <c r="B1120" s="2">
        <v>1970</v>
      </c>
      <c r="C1120" s="2" t="s">
        <v>38</v>
      </c>
      <c r="D1120" s="3">
        <f t="shared" si="131"/>
        <v>0.55882950619792726</v>
      </c>
      <c r="E1120" s="3">
        <f t="shared" si="132"/>
        <v>1.0999999999999999E-2</v>
      </c>
      <c r="F1120" s="3" t="e">
        <f t="shared" si="133"/>
        <v>#N/A</v>
      </c>
      <c r="G1120" s="3" t="e">
        <f t="shared" si="134"/>
        <v>#N/A</v>
      </c>
      <c r="H1120" s="3" t="e">
        <f t="shared" si="135"/>
        <v>#N/A</v>
      </c>
      <c r="I1120" s="3" t="e">
        <f t="shared" si="136"/>
        <v>#N/A</v>
      </c>
      <c r="J1120" s="3">
        <v>558.82950619792723</v>
      </c>
      <c r="K1120" s="3">
        <v>11</v>
      </c>
      <c r="L1120" s="3" t="e">
        <v>#N/A</v>
      </c>
      <c r="M1120" s="3" t="e">
        <v>#N/A</v>
      </c>
      <c r="N1120" s="3" t="e">
        <v>#N/A</v>
      </c>
      <c r="O1120" s="3" t="e">
        <v>#N/A</v>
      </c>
      <c r="P1120" s="3">
        <f>E1120*(VLOOKUP(B1120,Price_data!A$1:B$190,2,FALSE))</f>
        <v>0.10109165526899999</v>
      </c>
      <c r="Q1120" s="3" t="e">
        <f>G1120*(VLOOKUP(B1120,Price_data!A$1:B$190,2,FALSE))</f>
        <v>#N/A</v>
      </c>
      <c r="R1120" s="3" t="e">
        <f>I1120*(VLOOKUP(B1120,Price_data!A$1:B$190,2,FALSE))</f>
        <v>#N/A</v>
      </c>
      <c r="S1120" s="4" t="str">
        <f>(VLOOKUP(B1120,Price_data!A$1:C$190,3,FALSE))</f>
        <v>Open access</v>
      </c>
      <c r="T1120" s="2" t="str">
        <f>IF(C1120="Total", (VLOOKUP(B1120,Recommended_fish_intake!A$4:D$122,4,FALSE)), "NA")</f>
        <v>NA</v>
      </c>
      <c r="U1120" s="2" t="str">
        <f t="shared" si="137"/>
        <v>NA</v>
      </c>
    </row>
    <row r="1121" spans="1:21" ht="14.25" customHeight="1">
      <c r="A1121" s="2" t="s">
        <v>40</v>
      </c>
      <c r="B1121" s="2">
        <v>1970</v>
      </c>
      <c r="C1121" s="2" t="s">
        <v>24</v>
      </c>
      <c r="D1121" s="3">
        <f t="shared" si="131"/>
        <v>1.1684616947774842</v>
      </c>
      <c r="E1121" s="3">
        <f t="shared" si="132"/>
        <v>4.8000000000000001E-2</v>
      </c>
      <c r="F1121" s="3" t="e">
        <f t="shared" si="133"/>
        <v>#N/A</v>
      </c>
      <c r="G1121" s="3" t="e">
        <f t="shared" si="134"/>
        <v>#N/A</v>
      </c>
      <c r="H1121" s="3" t="e">
        <f t="shared" si="135"/>
        <v>#N/A</v>
      </c>
      <c r="I1121" s="3" t="e">
        <f t="shared" si="136"/>
        <v>#N/A</v>
      </c>
      <c r="J1121" s="3">
        <v>1168.4616947774841</v>
      </c>
      <c r="K1121" s="3">
        <v>48</v>
      </c>
      <c r="L1121" s="3" t="e">
        <v>#N/A</v>
      </c>
      <c r="M1121" s="3" t="e">
        <v>#N/A</v>
      </c>
      <c r="N1121" s="3" t="e">
        <v>#N/A</v>
      </c>
      <c r="O1121" s="3" t="e">
        <v>#N/A</v>
      </c>
      <c r="P1121" s="3">
        <f>E1121*(VLOOKUP(B1121,Price_data!A$1:B$190,2,FALSE))</f>
        <v>0.44112722299199997</v>
      </c>
      <c r="Q1121" s="3" t="e">
        <f>G1121*(VLOOKUP(B1121,Price_data!A$1:B$190,2,FALSE))</f>
        <v>#N/A</v>
      </c>
      <c r="R1121" s="3" t="e">
        <f>I1121*(VLOOKUP(B1121,Price_data!A$1:B$190,2,FALSE))</f>
        <v>#N/A</v>
      </c>
      <c r="S1121" s="4" t="str">
        <f>(VLOOKUP(B1121,Price_data!A$1:C$190,3,FALSE))</f>
        <v>Open access</v>
      </c>
      <c r="T1121" s="2" t="str">
        <f>IF(C1121="Total", (VLOOKUP(B1121,Recommended_fish_intake!A$4:D$122,4,FALSE)), "NA")</f>
        <v>NA</v>
      </c>
      <c r="U1121" s="2" t="str">
        <f t="shared" si="137"/>
        <v>NA</v>
      </c>
    </row>
    <row r="1122" spans="1:21" ht="14.25" customHeight="1">
      <c r="A1122" s="2" t="s">
        <v>40</v>
      </c>
      <c r="B1122" s="2">
        <v>1970</v>
      </c>
      <c r="C1122" s="2" t="s">
        <v>19</v>
      </c>
      <c r="D1122" s="3">
        <f t="shared" si="131"/>
        <v>4.3690306848201583</v>
      </c>
      <c r="E1122" s="3">
        <f t="shared" si="132"/>
        <v>0.13</v>
      </c>
      <c r="F1122" s="3" t="e">
        <f t="shared" si="133"/>
        <v>#N/A</v>
      </c>
      <c r="G1122" s="3" t="e">
        <f t="shared" si="134"/>
        <v>#N/A</v>
      </c>
      <c r="H1122" s="3" t="e">
        <f t="shared" si="135"/>
        <v>#N/A</v>
      </c>
      <c r="I1122" s="3" t="e">
        <f t="shared" si="136"/>
        <v>#N/A</v>
      </c>
      <c r="J1122" s="3">
        <v>4369.0306848201581</v>
      </c>
      <c r="K1122" s="3">
        <v>130</v>
      </c>
      <c r="L1122" s="3" t="e">
        <v>#N/A</v>
      </c>
      <c r="M1122" s="3" t="e">
        <v>#N/A</v>
      </c>
      <c r="N1122" s="3" t="e">
        <v>#N/A</v>
      </c>
      <c r="O1122" s="3" t="e">
        <v>#N/A</v>
      </c>
      <c r="P1122" s="3">
        <f>E1122*(VLOOKUP(B1122,Price_data!A$1:B$190,2,FALSE))</f>
        <v>1.19471956227</v>
      </c>
      <c r="Q1122" s="3" t="e">
        <f>G1122*(VLOOKUP(B1122,Price_data!A$1:B$190,2,FALSE))</f>
        <v>#N/A</v>
      </c>
      <c r="R1122" s="3" t="e">
        <f>I1122*(VLOOKUP(B1122,Price_data!A$1:B$190,2,FALSE))</f>
        <v>#N/A</v>
      </c>
      <c r="S1122" s="4" t="str">
        <f>(VLOOKUP(B1122,Price_data!A$1:C$190,3,FALSE))</f>
        <v>Open access</v>
      </c>
      <c r="T1122" s="2" t="str">
        <f>IF(C1122="Total", (VLOOKUP(B1122,Recommended_fish_intake!A$4:D$122,4,FALSE)), "NA")</f>
        <v>NA</v>
      </c>
      <c r="U1122" s="2" t="str">
        <f t="shared" si="137"/>
        <v>NA</v>
      </c>
    </row>
    <row r="1123" spans="1:21" ht="14.25" customHeight="1">
      <c r="A1123" s="2" t="s">
        <v>40</v>
      </c>
      <c r="B1123" s="2">
        <v>1970</v>
      </c>
      <c r="C1123" s="2" t="s">
        <v>21</v>
      </c>
      <c r="D1123" s="3">
        <f t="shared" si="131"/>
        <v>0</v>
      </c>
      <c r="E1123" s="3">
        <f t="shared" si="132"/>
        <v>0</v>
      </c>
      <c r="F1123" s="3" t="e">
        <f t="shared" si="133"/>
        <v>#N/A</v>
      </c>
      <c r="G1123" s="3" t="e">
        <f t="shared" si="134"/>
        <v>#N/A</v>
      </c>
      <c r="H1123" s="3" t="e">
        <f t="shared" si="135"/>
        <v>#N/A</v>
      </c>
      <c r="I1123" s="3" t="e">
        <f t="shared" si="136"/>
        <v>#N/A</v>
      </c>
      <c r="J1123" s="3">
        <v>0</v>
      </c>
      <c r="K1123" s="3">
        <v>0</v>
      </c>
      <c r="L1123" s="3" t="e">
        <v>#N/A</v>
      </c>
      <c r="M1123" s="3" t="e">
        <v>#N/A</v>
      </c>
      <c r="N1123" s="3" t="e">
        <v>#N/A</v>
      </c>
      <c r="O1123" s="3" t="e">
        <v>#N/A</v>
      </c>
      <c r="P1123" s="3">
        <f>E1123*(VLOOKUP(B1123,Price_data!A$1:B$190,2,FALSE))</f>
        <v>0</v>
      </c>
      <c r="Q1123" s="3" t="e">
        <f>G1123*(VLOOKUP(B1123,Price_data!A$1:B$190,2,FALSE))</f>
        <v>#N/A</v>
      </c>
      <c r="R1123" s="3" t="e">
        <f>I1123*(VLOOKUP(B1123,Price_data!A$1:B$190,2,FALSE))</f>
        <v>#N/A</v>
      </c>
      <c r="S1123" s="4" t="str">
        <f>(VLOOKUP(B1123,Price_data!A$1:C$190,3,FALSE))</f>
        <v>Open access</v>
      </c>
      <c r="T1123" s="2" t="str">
        <f>IF(C1123="Total", (VLOOKUP(B1123,Recommended_fish_intake!A$4:D$122,4,FALSE)), "NA")</f>
        <v>NA</v>
      </c>
      <c r="U1123" s="2" t="str">
        <f t="shared" si="137"/>
        <v>NA</v>
      </c>
    </row>
    <row r="1124" spans="1:21" ht="14.25" customHeight="1">
      <c r="A1124" s="2" t="s">
        <v>40</v>
      </c>
      <c r="B1124" s="2">
        <v>1970</v>
      </c>
      <c r="C1124" s="2" t="s">
        <v>34</v>
      </c>
      <c r="D1124" s="3">
        <f t="shared" si="131"/>
        <v>0</v>
      </c>
      <c r="E1124" s="3">
        <f t="shared" si="132"/>
        <v>1.2999999999999999E-2</v>
      </c>
      <c r="F1124" s="3" t="e">
        <f t="shared" si="133"/>
        <v>#N/A</v>
      </c>
      <c r="G1124" s="3" t="e">
        <f t="shared" si="134"/>
        <v>#N/A</v>
      </c>
      <c r="H1124" s="3" t="e">
        <f t="shared" si="135"/>
        <v>#N/A</v>
      </c>
      <c r="I1124" s="3" t="e">
        <f t="shared" si="136"/>
        <v>#N/A</v>
      </c>
      <c r="J1124" s="3">
        <v>0</v>
      </c>
      <c r="K1124" s="3">
        <v>13</v>
      </c>
      <c r="L1124" s="3" t="e">
        <v>#N/A</v>
      </c>
      <c r="M1124" s="3" t="e">
        <v>#N/A</v>
      </c>
      <c r="N1124" s="3" t="e">
        <v>#N/A</v>
      </c>
      <c r="O1124" s="3" t="e">
        <v>#N/A</v>
      </c>
      <c r="P1124" s="3">
        <f>E1124*(VLOOKUP(B1124,Price_data!A$1:B$190,2,FALSE))</f>
        <v>0.11947195622699999</v>
      </c>
      <c r="Q1124" s="3" t="e">
        <f>G1124*(VLOOKUP(B1124,Price_data!A$1:B$190,2,FALSE))</f>
        <v>#N/A</v>
      </c>
      <c r="R1124" s="3" t="e">
        <f>I1124*(VLOOKUP(B1124,Price_data!A$1:B$190,2,FALSE))</f>
        <v>#N/A</v>
      </c>
      <c r="S1124" s="4" t="str">
        <f>(VLOOKUP(B1124,Price_data!A$1:C$190,3,FALSE))</f>
        <v>Open access</v>
      </c>
      <c r="T1124" s="2" t="str">
        <f>IF(C1124="Total", (VLOOKUP(B1124,Recommended_fish_intake!A$4:D$122,4,FALSE)), "NA")</f>
        <v>NA</v>
      </c>
      <c r="U1124" s="2" t="str">
        <f t="shared" si="137"/>
        <v>NA</v>
      </c>
    </row>
    <row r="1125" spans="1:21" ht="14.25" customHeight="1">
      <c r="A1125" s="2" t="s">
        <v>40</v>
      </c>
      <c r="B1125" s="2">
        <v>1970</v>
      </c>
      <c r="C1125" s="2" t="s">
        <v>35</v>
      </c>
      <c r="D1125" s="3">
        <f t="shared" si="131"/>
        <v>2.794147530989636</v>
      </c>
      <c r="E1125" s="3">
        <f t="shared" si="132"/>
        <v>0.40200000000000002</v>
      </c>
      <c r="F1125" s="3" t="e">
        <f t="shared" si="133"/>
        <v>#N/A</v>
      </c>
      <c r="G1125" s="3" t="e">
        <f t="shared" si="134"/>
        <v>#N/A</v>
      </c>
      <c r="H1125" s="3" t="e">
        <f t="shared" si="135"/>
        <v>#N/A</v>
      </c>
      <c r="I1125" s="3" t="e">
        <f t="shared" si="136"/>
        <v>#N/A</v>
      </c>
      <c r="J1125" s="3">
        <v>2794.1475309896359</v>
      </c>
      <c r="K1125" s="3">
        <v>402</v>
      </c>
      <c r="L1125" s="3" t="e">
        <v>#N/A</v>
      </c>
      <c r="M1125" s="3" t="e">
        <v>#N/A</v>
      </c>
      <c r="N1125" s="3" t="e">
        <v>#N/A</v>
      </c>
      <c r="O1125" s="3" t="e">
        <v>#N/A</v>
      </c>
      <c r="P1125" s="3">
        <f>E1125*(VLOOKUP(B1125,Price_data!A$1:B$190,2,FALSE))</f>
        <v>3.6944404925579999</v>
      </c>
      <c r="Q1125" s="3" t="e">
        <f>G1125*(VLOOKUP(B1125,Price_data!A$1:B$190,2,FALSE))</f>
        <v>#N/A</v>
      </c>
      <c r="R1125" s="3" t="e">
        <f>I1125*(VLOOKUP(B1125,Price_data!A$1:B$190,2,FALSE))</f>
        <v>#N/A</v>
      </c>
      <c r="S1125" s="4" t="str">
        <f>(VLOOKUP(B1125,Price_data!A$1:C$190,3,FALSE))</f>
        <v>Open access</v>
      </c>
      <c r="T1125" s="2" t="str">
        <f>IF(C1125="Total", (VLOOKUP(B1125,Recommended_fish_intake!A$4:D$122,4,FALSE)), "NA")</f>
        <v>NA</v>
      </c>
      <c r="U1125" s="2" t="str">
        <f t="shared" si="137"/>
        <v>NA</v>
      </c>
    </row>
    <row r="1126" spans="1:21" ht="14.25" customHeight="1">
      <c r="A1126" s="2" t="s">
        <v>40</v>
      </c>
      <c r="B1126" s="2">
        <v>1970</v>
      </c>
      <c r="C1126" s="2" t="s">
        <v>30</v>
      </c>
      <c r="D1126" s="3">
        <f t="shared" si="131"/>
        <v>0</v>
      </c>
      <c r="E1126" s="3">
        <f t="shared" si="132"/>
        <v>0</v>
      </c>
      <c r="F1126" s="3" t="e">
        <f t="shared" si="133"/>
        <v>#N/A</v>
      </c>
      <c r="G1126" s="3" t="e">
        <f t="shared" si="134"/>
        <v>#N/A</v>
      </c>
      <c r="H1126" s="3" t="e">
        <f t="shared" si="135"/>
        <v>#N/A</v>
      </c>
      <c r="I1126" s="3" t="e">
        <f t="shared" si="136"/>
        <v>#N/A</v>
      </c>
      <c r="J1126" s="3">
        <v>0</v>
      </c>
      <c r="K1126" s="3">
        <v>0</v>
      </c>
      <c r="L1126" s="3" t="e">
        <v>#N/A</v>
      </c>
      <c r="M1126" s="3" t="e">
        <v>#N/A</v>
      </c>
      <c r="N1126" s="3" t="e">
        <v>#N/A</v>
      </c>
      <c r="O1126" s="3" t="e">
        <v>#N/A</v>
      </c>
      <c r="P1126" s="3">
        <f>E1126*(VLOOKUP(B1126,Price_data!A$1:B$190,2,FALSE))</f>
        <v>0</v>
      </c>
      <c r="Q1126" s="3" t="e">
        <f>G1126*(VLOOKUP(B1126,Price_data!A$1:B$190,2,FALSE))</f>
        <v>#N/A</v>
      </c>
      <c r="R1126" s="3" t="e">
        <f>I1126*(VLOOKUP(B1126,Price_data!A$1:B$190,2,FALSE))</f>
        <v>#N/A</v>
      </c>
      <c r="S1126" s="4" t="str">
        <f>(VLOOKUP(B1126,Price_data!A$1:C$190,3,FALSE))</f>
        <v>Open access</v>
      </c>
      <c r="T1126" s="2" t="str">
        <f>IF(C1126="Total", (VLOOKUP(B1126,Recommended_fish_intake!A$4:D$122,4,FALSE)), "NA")</f>
        <v>NA</v>
      </c>
      <c r="U1126" s="2" t="str">
        <f t="shared" si="137"/>
        <v>NA</v>
      </c>
    </row>
    <row r="1127" spans="1:21" ht="14.25" customHeight="1">
      <c r="A1127" s="2" t="s">
        <v>40</v>
      </c>
      <c r="B1127" s="2">
        <v>1970</v>
      </c>
      <c r="C1127" s="2" t="s">
        <v>36</v>
      </c>
      <c r="D1127" s="3">
        <f t="shared" si="131"/>
        <v>0</v>
      </c>
      <c r="E1127" s="3">
        <f t="shared" si="132"/>
        <v>0</v>
      </c>
      <c r="F1127" s="3" t="e">
        <f t="shared" si="133"/>
        <v>#N/A</v>
      </c>
      <c r="G1127" s="3" t="e">
        <f t="shared" si="134"/>
        <v>#N/A</v>
      </c>
      <c r="H1127" s="3" t="e">
        <f t="shared" si="135"/>
        <v>#N/A</v>
      </c>
      <c r="I1127" s="3" t="e">
        <f t="shared" si="136"/>
        <v>#N/A</v>
      </c>
      <c r="J1127" s="3">
        <v>0</v>
      </c>
      <c r="K1127" s="3">
        <v>0</v>
      </c>
      <c r="L1127" s="3" t="e">
        <v>#N/A</v>
      </c>
      <c r="M1127" s="3" t="e">
        <v>#N/A</v>
      </c>
      <c r="N1127" s="3" t="e">
        <v>#N/A</v>
      </c>
      <c r="O1127" s="3" t="e">
        <v>#N/A</v>
      </c>
      <c r="P1127" s="3">
        <f>E1127*(VLOOKUP(B1127,Price_data!A$1:B$190,2,FALSE))</f>
        <v>0</v>
      </c>
      <c r="Q1127" s="3" t="e">
        <f>G1127*(VLOOKUP(B1127,Price_data!A$1:B$190,2,FALSE))</f>
        <v>#N/A</v>
      </c>
      <c r="R1127" s="3" t="e">
        <f>I1127*(VLOOKUP(B1127,Price_data!A$1:B$190,2,FALSE))</f>
        <v>#N/A</v>
      </c>
      <c r="S1127" s="4" t="str">
        <f>(VLOOKUP(B1127,Price_data!A$1:C$190,3,FALSE))</f>
        <v>Open access</v>
      </c>
      <c r="T1127" s="2" t="str">
        <f>IF(C1127="Total", (VLOOKUP(B1127,Recommended_fish_intake!A$4:D$122,4,FALSE)), "NA")</f>
        <v>NA</v>
      </c>
      <c r="U1127" s="2" t="str">
        <f t="shared" si="137"/>
        <v>NA</v>
      </c>
    </row>
    <row r="1128" spans="1:21" ht="14.25" customHeight="1">
      <c r="A1128" s="2" t="s">
        <v>40</v>
      </c>
      <c r="B1128" s="2">
        <v>1970</v>
      </c>
      <c r="C1128" s="2" t="s">
        <v>28</v>
      </c>
      <c r="D1128" s="3">
        <f t="shared" ref="D1128:D1191" si="138">J1128/1000</f>
        <v>3.4545824019508227</v>
      </c>
      <c r="E1128" s="3">
        <f t="shared" ref="E1128:E1191" si="139">K1128/1000</f>
        <v>0.44800000000000001</v>
      </c>
      <c r="F1128" s="3" t="e">
        <f t="shared" ref="F1128:F1191" si="140">IF(L1128="", NA(), L1128/1000)</f>
        <v>#N/A</v>
      </c>
      <c r="G1128" s="3" t="e">
        <f t="shared" ref="G1128:G1191" si="141">IF(M1128="", NA(), M1128/1000)</f>
        <v>#N/A</v>
      </c>
      <c r="H1128" s="3" t="e">
        <f t="shared" ref="H1128:H1191" si="142">IF(N1128="", NA(), N1128/1000)</f>
        <v>#N/A</v>
      </c>
      <c r="I1128" s="3" t="e">
        <f t="shared" ref="I1128:I1191" si="143">IF(O1128="", NA(), O1128/1000)</f>
        <v>#N/A</v>
      </c>
      <c r="J1128" s="3">
        <v>3454.5824019508227</v>
      </c>
      <c r="K1128" s="3">
        <v>448</v>
      </c>
      <c r="L1128" s="3" t="e">
        <v>#N/A</v>
      </c>
      <c r="M1128" s="3" t="e">
        <v>#N/A</v>
      </c>
      <c r="N1128" s="3" t="e">
        <v>#N/A</v>
      </c>
      <c r="O1128" s="3" t="e">
        <v>#N/A</v>
      </c>
      <c r="P1128" s="3">
        <f>E1128*(VLOOKUP(B1128,Price_data!A$1:B$190,2,FALSE))</f>
        <v>4.1171874145920002</v>
      </c>
      <c r="Q1128" s="3" t="e">
        <f>G1128*(VLOOKUP(B1128,Price_data!A$1:B$190,2,FALSE))</f>
        <v>#N/A</v>
      </c>
      <c r="R1128" s="3" t="e">
        <f>I1128*(VLOOKUP(B1128,Price_data!A$1:B$190,2,FALSE))</f>
        <v>#N/A</v>
      </c>
      <c r="S1128" s="4" t="str">
        <f>(VLOOKUP(B1128,Price_data!A$1:C$190,3,FALSE))</f>
        <v>Open access</v>
      </c>
      <c r="T1128" s="2" t="str">
        <f>IF(C1128="Total", (VLOOKUP(B1128,Recommended_fish_intake!A$4:D$122,4,FALSE)), "NA")</f>
        <v>NA</v>
      </c>
      <c r="U1128" s="2">
        <f t="shared" si="137"/>
        <v>0.96728307254623047</v>
      </c>
    </row>
    <row r="1129" spans="1:21" ht="14.25" customHeight="1">
      <c r="A1129" s="2" t="s">
        <v>40</v>
      </c>
      <c r="B1129" s="2">
        <v>1970</v>
      </c>
      <c r="C1129" s="2" t="s">
        <v>37</v>
      </c>
      <c r="D1129" s="3">
        <f t="shared" si="138"/>
        <v>8.4332452753505383</v>
      </c>
      <c r="E1129" s="3">
        <f t="shared" si="139"/>
        <v>0.32900000000000001</v>
      </c>
      <c r="F1129" s="3" t="e">
        <f t="shared" si="140"/>
        <v>#N/A</v>
      </c>
      <c r="G1129" s="3" t="e">
        <f t="shared" si="141"/>
        <v>#N/A</v>
      </c>
      <c r="H1129" s="3" t="e">
        <f t="shared" si="142"/>
        <v>#N/A</v>
      </c>
      <c r="I1129" s="3" t="e">
        <f t="shared" si="143"/>
        <v>#N/A</v>
      </c>
      <c r="J1129" s="3">
        <v>8433.2452753505386</v>
      </c>
      <c r="K1129" s="3">
        <v>329</v>
      </c>
      <c r="L1129" s="3" t="e">
        <v>#N/A</v>
      </c>
      <c r="M1129" s="3" t="e">
        <v>#N/A</v>
      </c>
      <c r="N1129" s="3" t="e">
        <v>#N/A</v>
      </c>
      <c r="O1129" s="3" t="e">
        <v>#N/A</v>
      </c>
      <c r="P1129" s="3">
        <f>E1129*(VLOOKUP(B1129,Price_data!A$1:B$190,2,FALSE))</f>
        <v>3.023559507591</v>
      </c>
      <c r="Q1129" s="3" t="e">
        <f>G1129*(VLOOKUP(B1129,Price_data!A$1:B$190,2,FALSE))</f>
        <v>#N/A</v>
      </c>
      <c r="R1129" s="3" t="e">
        <f>I1129*(VLOOKUP(B1129,Price_data!A$1:B$190,2,FALSE))</f>
        <v>#N/A</v>
      </c>
      <c r="S1129" s="4" t="str">
        <f>(VLOOKUP(B1129,Price_data!A$1:C$190,3,FALSE))</f>
        <v>Open access</v>
      </c>
      <c r="T1129" s="2" t="str">
        <f>IF(C1129="Total", (VLOOKUP(B1129,Recommended_fish_intake!A$4:D$122,4,FALSE)), "NA")</f>
        <v>NA</v>
      </c>
      <c r="U1129" s="2">
        <f t="shared" si="137"/>
        <v>4.1322901849217635</v>
      </c>
    </row>
    <row r="1130" spans="1:21" ht="14.25" customHeight="1">
      <c r="A1130" s="2" t="s">
        <v>18</v>
      </c>
      <c r="B1130" s="2">
        <v>1970</v>
      </c>
      <c r="C1130" s="2" t="s">
        <v>41</v>
      </c>
      <c r="D1130" s="3">
        <f t="shared" si="138"/>
        <v>476.57996342206866</v>
      </c>
      <c r="E1130" s="3">
        <f t="shared" si="139"/>
        <v>44.872999999999998</v>
      </c>
      <c r="F1130" s="3" t="e">
        <f t="shared" si="140"/>
        <v>#N/A</v>
      </c>
      <c r="G1130" s="3" t="e">
        <f t="shared" si="141"/>
        <v>#N/A</v>
      </c>
      <c r="H1130" s="3" t="e">
        <f t="shared" si="142"/>
        <v>#N/A</v>
      </c>
      <c r="I1130" s="3" t="e">
        <f t="shared" si="143"/>
        <v>#N/A</v>
      </c>
      <c r="J1130" s="3">
        <v>476579.96342206869</v>
      </c>
      <c r="K1130" s="3">
        <v>44873</v>
      </c>
      <c r="L1130" s="3" t="e">
        <v>#N/A</v>
      </c>
      <c r="M1130" s="3" t="e">
        <v>#N/A</v>
      </c>
      <c r="N1130" s="3" t="e">
        <v>#N/A</v>
      </c>
      <c r="O1130" s="3" t="e">
        <v>#N/A</v>
      </c>
      <c r="P1130" s="3">
        <f>E1130*(VLOOKUP(B1130,Price_data!A$1:B$190,2,FALSE))</f>
        <v>412.38962244416695</v>
      </c>
      <c r="Q1130" s="3" t="e">
        <f>G1130*(VLOOKUP(B1130,Price_data!A$1:B$190,2,FALSE))</f>
        <v>#N/A</v>
      </c>
      <c r="R1130" s="3" t="e">
        <f>I1130*(VLOOKUP(B1130,Price_data!A$1:B$190,2,FALSE))</f>
        <v>#N/A</v>
      </c>
      <c r="S1130" s="4" t="str">
        <f>(VLOOKUP(B1130,Price_data!A$1:C$190,3,FALSE))</f>
        <v>Open access</v>
      </c>
      <c r="T1130" s="2" t="str">
        <f>IF(C1130="Total", (VLOOKUP(B1130,Recommended_fish_intake!A$4:D$122,4,FALSE)), "NA")</f>
        <v>NA</v>
      </c>
      <c r="U1130" s="2" t="str">
        <f t="shared" si="137"/>
        <v>NA</v>
      </c>
    </row>
    <row r="1131" spans="1:21" ht="14.25" customHeight="1">
      <c r="A1131" s="2" t="s">
        <v>18</v>
      </c>
      <c r="B1131" s="2">
        <v>1970</v>
      </c>
      <c r="C1131" s="2" t="s">
        <v>42</v>
      </c>
      <c r="D1131" s="3">
        <f t="shared" si="138"/>
        <v>36.83194472668157</v>
      </c>
      <c r="E1131" s="3">
        <f t="shared" si="139"/>
        <v>1.046</v>
      </c>
      <c r="F1131" s="3" t="e">
        <f t="shared" si="140"/>
        <v>#N/A</v>
      </c>
      <c r="G1131" s="3" t="e">
        <f t="shared" si="141"/>
        <v>#N/A</v>
      </c>
      <c r="H1131" s="3" t="e">
        <f t="shared" si="142"/>
        <v>#N/A</v>
      </c>
      <c r="I1131" s="3" t="e">
        <f t="shared" si="143"/>
        <v>#N/A</v>
      </c>
      <c r="J1131" s="3">
        <v>36831.94472668157</v>
      </c>
      <c r="K1131" s="3">
        <v>1046</v>
      </c>
      <c r="L1131" s="3" t="e">
        <v>#N/A</v>
      </c>
      <c r="M1131" s="3" t="e">
        <v>#N/A</v>
      </c>
      <c r="N1131" s="3" t="e">
        <v>#N/A</v>
      </c>
      <c r="O1131" s="3" t="e">
        <v>#N/A</v>
      </c>
      <c r="P1131" s="3">
        <f>E1131*(VLOOKUP(B1131,Price_data!A$1:B$190,2,FALSE))</f>
        <v>9.6128974010340009</v>
      </c>
      <c r="Q1131" s="3" t="e">
        <f>G1131*(VLOOKUP(B1131,Price_data!A$1:B$190,2,FALSE))</f>
        <v>#N/A</v>
      </c>
      <c r="R1131" s="3" t="e">
        <f>I1131*(VLOOKUP(B1131,Price_data!A$1:B$190,2,FALSE))</f>
        <v>#N/A</v>
      </c>
      <c r="S1131" s="4" t="str">
        <f>(VLOOKUP(B1131,Price_data!A$1:C$190,3,FALSE))</f>
        <v>Open access</v>
      </c>
      <c r="T1131" s="2" t="str">
        <f>IF(C1131="Total", (VLOOKUP(B1131,Recommended_fish_intake!A$4:D$122,4,FALSE)), "NA")</f>
        <v>NA</v>
      </c>
      <c r="U1131" s="2" t="str">
        <f t="shared" si="137"/>
        <v>NA</v>
      </c>
    </row>
    <row r="1132" spans="1:21" ht="14.25" customHeight="1">
      <c r="A1132" s="2" t="s">
        <v>39</v>
      </c>
      <c r="B1132" s="2">
        <v>1970</v>
      </c>
      <c r="C1132" s="2" t="s">
        <v>41</v>
      </c>
      <c r="D1132" s="3">
        <f t="shared" si="138"/>
        <v>250.60963218857955</v>
      </c>
      <c r="E1132" s="3">
        <f t="shared" si="139"/>
        <v>18.957000000000001</v>
      </c>
      <c r="F1132" s="3" t="e">
        <f t="shared" si="140"/>
        <v>#N/A</v>
      </c>
      <c r="G1132" s="3" t="e">
        <f t="shared" si="141"/>
        <v>#N/A</v>
      </c>
      <c r="H1132" s="3" t="e">
        <f t="shared" si="142"/>
        <v>#N/A</v>
      </c>
      <c r="I1132" s="3" t="e">
        <f t="shared" si="143"/>
        <v>#N/A</v>
      </c>
      <c r="J1132" s="3">
        <v>250609.63218857956</v>
      </c>
      <c r="K1132" s="3">
        <v>18957</v>
      </c>
      <c r="L1132" s="3" t="e">
        <v>#N/A</v>
      </c>
      <c r="M1132" s="3" t="e">
        <v>#N/A</v>
      </c>
      <c r="N1132" s="3" t="e">
        <v>#N/A</v>
      </c>
      <c r="O1132" s="3" t="e">
        <v>#N/A</v>
      </c>
      <c r="P1132" s="3">
        <f>E1132*(VLOOKUP(B1132,Price_data!A$1:B$190,2,FALSE))</f>
        <v>174.217682630403</v>
      </c>
      <c r="Q1132" s="3" t="e">
        <f>G1132*(VLOOKUP(B1132,Price_data!A$1:B$190,2,FALSE))</f>
        <v>#N/A</v>
      </c>
      <c r="R1132" s="3" t="e">
        <f>I1132*(VLOOKUP(B1132,Price_data!A$1:B$190,2,FALSE))</f>
        <v>#N/A</v>
      </c>
      <c r="S1132" s="4" t="str">
        <f>(VLOOKUP(B1132,Price_data!A$1:C$190,3,FALSE))</f>
        <v>Open access</v>
      </c>
      <c r="T1132" s="2" t="str">
        <f>IF(C1132="Total", (VLOOKUP(B1132,Recommended_fish_intake!A$4:D$122,4,FALSE)), "NA")</f>
        <v>NA</v>
      </c>
      <c r="U1132" s="2" t="str">
        <f t="shared" si="137"/>
        <v>NA</v>
      </c>
    </row>
    <row r="1133" spans="1:21" ht="14.25" customHeight="1">
      <c r="A1133" s="2" t="s">
        <v>39</v>
      </c>
      <c r="B1133" s="2">
        <v>1970</v>
      </c>
      <c r="C1133" s="2" t="s">
        <v>42</v>
      </c>
      <c r="D1133" s="3">
        <f t="shared" si="138"/>
        <v>146.21011989433038</v>
      </c>
      <c r="E1133" s="3">
        <f t="shared" si="139"/>
        <v>4.33</v>
      </c>
      <c r="F1133" s="3" t="e">
        <f t="shared" si="140"/>
        <v>#N/A</v>
      </c>
      <c r="G1133" s="3" t="e">
        <f t="shared" si="141"/>
        <v>#N/A</v>
      </c>
      <c r="H1133" s="3" t="e">
        <f t="shared" si="142"/>
        <v>#N/A</v>
      </c>
      <c r="I1133" s="3" t="e">
        <f t="shared" si="143"/>
        <v>#N/A</v>
      </c>
      <c r="J1133" s="3">
        <v>146210.11989433039</v>
      </c>
      <c r="K1133" s="3">
        <v>4330</v>
      </c>
      <c r="L1133" s="3" t="e">
        <v>#N/A</v>
      </c>
      <c r="M1133" s="3" t="e">
        <v>#N/A</v>
      </c>
      <c r="N1133" s="3" t="e">
        <v>#N/A</v>
      </c>
      <c r="O1133" s="3" t="e">
        <v>#N/A</v>
      </c>
      <c r="P1133" s="3">
        <f>E1133*(VLOOKUP(B1133,Price_data!A$1:B$190,2,FALSE))</f>
        <v>39.793351574070002</v>
      </c>
      <c r="Q1133" s="3" t="e">
        <f>G1133*(VLOOKUP(B1133,Price_data!A$1:B$190,2,FALSE))</f>
        <v>#N/A</v>
      </c>
      <c r="R1133" s="3" t="e">
        <f>I1133*(VLOOKUP(B1133,Price_data!A$1:B$190,2,FALSE))</f>
        <v>#N/A</v>
      </c>
      <c r="S1133" s="4" t="str">
        <f>(VLOOKUP(B1133,Price_data!A$1:C$190,3,FALSE))</f>
        <v>Open access</v>
      </c>
      <c r="T1133" s="2" t="str">
        <f>IF(C1133="Total", (VLOOKUP(B1133,Recommended_fish_intake!A$4:D$122,4,FALSE)), "NA")</f>
        <v>NA</v>
      </c>
      <c r="U1133" s="2" t="str">
        <f t="shared" si="137"/>
        <v>NA</v>
      </c>
    </row>
    <row r="1134" spans="1:21" ht="14.25" customHeight="1">
      <c r="A1134" s="2" t="s">
        <v>40</v>
      </c>
      <c r="B1134" s="2">
        <v>1970</v>
      </c>
      <c r="C1134" s="2" t="s">
        <v>41</v>
      </c>
      <c r="D1134" s="3">
        <f t="shared" si="138"/>
        <v>3.810201178622231</v>
      </c>
      <c r="E1134" s="3">
        <f t="shared" si="139"/>
        <v>0.19500000000000001</v>
      </c>
      <c r="F1134" s="3" t="e">
        <f t="shared" si="140"/>
        <v>#N/A</v>
      </c>
      <c r="G1134" s="3" t="e">
        <f t="shared" si="141"/>
        <v>#N/A</v>
      </c>
      <c r="H1134" s="3" t="e">
        <f t="shared" si="142"/>
        <v>#N/A</v>
      </c>
      <c r="I1134" s="3" t="e">
        <f t="shared" si="143"/>
        <v>#N/A</v>
      </c>
      <c r="J1134" s="3">
        <v>3810.2011786222311</v>
      </c>
      <c r="K1134" s="3">
        <v>195</v>
      </c>
      <c r="L1134" s="3" t="e">
        <v>#N/A</v>
      </c>
      <c r="M1134" s="3" t="e">
        <v>#N/A</v>
      </c>
      <c r="N1134" s="3" t="e">
        <v>#N/A</v>
      </c>
      <c r="O1134" s="3" t="e">
        <v>#N/A</v>
      </c>
      <c r="P1134" s="3">
        <f>E1134*(VLOOKUP(B1134,Price_data!A$1:B$190,2,FALSE))</f>
        <v>1.792079343405</v>
      </c>
      <c r="Q1134" s="3" t="e">
        <f>G1134*(VLOOKUP(B1134,Price_data!A$1:B$190,2,FALSE))</f>
        <v>#N/A</v>
      </c>
      <c r="R1134" s="3" t="e">
        <f>I1134*(VLOOKUP(B1134,Price_data!A$1:B$190,2,FALSE))</f>
        <v>#N/A</v>
      </c>
      <c r="S1134" s="4" t="str">
        <f>(VLOOKUP(B1134,Price_data!A$1:C$190,3,FALSE))</f>
        <v>Open access</v>
      </c>
      <c r="T1134" s="2" t="str">
        <f>IF(C1134="Total", (VLOOKUP(B1134,Recommended_fish_intake!A$4:D$122,4,FALSE)), "NA")</f>
        <v>NA</v>
      </c>
      <c r="U1134" s="2" t="str">
        <f t="shared" si="137"/>
        <v>NA</v>
      </c>
    </row>
    <row r="1135" spans="1:21" ht="14.25" customHeight="1">
      <c r="A1135" s="2" t="s">
        <v>40</v>
      </c>
      <c r="B1135" s="2">
        <v>1970</v>
      </c>
      <c r="C1135" s="2" t="s">
        <v>42</v>
      </c>
      <c r="D1135" s="3">
        <f t="shared" si="138"/>
        <v>4.6230440967283073</v>
      </c>
      <c r="E1135" s="3">
        <f t="shared" si="139"/>
        <v>0.13400000000000001</v>
      </c>
      <c r="F1135" s="3" t="e">
        <f t="shared" si="140"/>
        <v>#N/A</v>
      </c>
      <c r="G1135" s="3" t="e">
        <f t="shared" si="141"/>
        <v>#N/A</v>
      </c>
      <c r="H1135" s="3" t="e">
        <f t="shared" si="142"/>
        <v>#N/A</v>
      </c>
      <c r="I1135" s="3" t="e">
        <f t="shared" si="143"/>
        <v>#N/A</v>
      </c>
      <c r="J1135" s="3">
        <v>4623.0440967283075</v>
      </c>
      <c r="K1135" s="3">
        <v>134</v>
      </c>
      <c r="L1135" s="3" t="e">
        <v>#N/A</v>
      </c>
      <c r="M1135" s="3" t="e">
        <v>#N/A</v>
      </c>
      <c r="N1135" s="3" t="e">
        <v>#N/A</v>
      </c>
      <c r="O1135" s="3" t="e">
        <v>#N/A</v>
      </c>
      <c r="P1135" s="3">
        <f>E1135*(VLOOKUP(B1135,Price_data!A$1:B$190,2,FALSE))</f>
        <v>1.231480164186</v>
      </c>
      <c r="Q1135" s="3" t="e">
        <f>G1135*(VLOOKUP(B1135,Price_data!A$1:B$190,2,FALSE))</f>
        <v>#N/A</v>
      </c>
      <c r="R1135" s="3" t="e">
        <f>I1135*(VLOOKUP(B1135,Price_data!A$1:B$190,2,FALSE))</f>
        <v>#N/A</v>
      </c>
      <c r="S1135" s="4" t="str">
        <f>(VLOOKUP(B1135,Price_data!A$1:C$190,3,FALSE))</f>
        <v>Open access</v>
      </c>
      <c r="T1135" s="2" t="str">
        <f>IF(C1135="Total", (VLOOKUP(B1135,Recommended_fish_intake!A$4:D$122,4,FALSE)), "NA")</f>
        <v>NA</v>
      </c>
      <c r="U1135" s="2" t="str">
        <f t="shared" si="137"/>
        <v>NA</v>
      </c>
    </row>
    <row r="1136" spans="1:21" ht="14.25" customHeight="1">
      <c r="A1136" s="2" t="s">
        <v>15</v>
      </c>
      <c r="B1136" s="2">
        <v>1970</v>
      </c>
      <c r="C1136" s="2" t="s">
        <v>41</v>
      </c>
      <c r="D1136" s="3">
        <f t="shared" si="138"/>
        <v>730.99979678927048</v>
      </c>
      <c r="E1136" s="3">
        <f t="shared" si="139"/>
        <v>64.025000000000006</v>
      </c>
      <c r="F1136" s="3" t="e">
        <f t="shared" si="140"/>
        <v>#N/A</v>
      </c>
      <c r="G1136" s="3" t="e">
        <f t="shared" si="141"/>
        <v>#N/A</v>
      </c>
      <c r="H1136" s="3" t="e">
        <f t="shared" si="142"/>
        <v>#N/A</v>
      </c>
      <c r="I1136" s="3" t="e">
        <f t="shared" si="143"/>
        <v>#N/A</v>
      </c>
      <c r="J1136" s="3">
        <v>730999.79678927048</v>
      </c>
      <c r="K1136" s="3">
        <v>64025</v>
      </c>
      <c r="L1136" s="3" t="e">
        <v>#N/A</v>
      </c>
      <c r="M1136" s="3" t="e">
        <v>#N/A</v>
      </c>
      <c r="N1136" s="3" t="e">
        <v>#N/A</v>
      </c>
      <c r="O1136" s="3" t="e">
        <v>#N/A</v>
      </c>
      <c r="P1136" s="3">
        <f>E1136*(VLOOKUP(B1136,Price_data!A$1:B$190,2,FALSE))</f>
        <v>588.39938441797506</v>
      </c>
      <c r="Q1136" s="3" t="e">
        <f>G1136*(VLOOKUP(B1136,Price_data!A$1:B$190,2,FALSE))</f>
        <v>#N/A</v>
      </c>
      <c r="R1136" s="3" t="e">
        <f>I1136*(VLOOKUP(B1136,Price_data!A$1:B$190,2,FALSE))</f>
        <v>#N/A</v>
      </c>
      <c r="S1136" s="4" t="str">
        <f>(VLOOKUP(B1136,Price_data!A$1:C$190,3,FALSE))</f>
        <v>Open access</v>
      </c>
      <c r="T1136" s="2" t="str">
        <f>IF(C1136="Total", (VLOOKUP(B1136,Recommended_fish_intake!A$4:D$122,4,FALSE)), "NA")</f>
        <v>NA</v>
      </c>
      <c r="U1136" s="2" t="str">
        <f t="shared" si="137"/>
        <v>NA</v>
      </c>
    </row>
    <row r="1137" spans="1:21" ht="14.25" customHeight="1">
      <c r="A1137" s="2" t="s">
        <v>15</v>
      </c>
      <c r="B1137" s="2">
        <v>1970</v>
      </c>
      <c r="C1137" s="2" t="s">
        <v>42</v>
      </c>
      <c r="D1137" s="3">
        <f t="shared" si="138"/>
        <v>187.66510871774028</v>
      </c>
      <c r="E1137" s="3">
        <f t="shared" si="139"/>
        <v>5.51</v>
      </c>
      <c r="F1137" s="3" t="e">
        <f t="shared" si="140"/>
        <v>#N/A</v>
      </c>
      <c r="G1137" s="3" t="e">
        <f t="shared" si="141"/>
        <v>#N/A</v>
      </c>
      <c r="H1137" s="3" t="e">
        <f t="shared" si="142"/>
        <v>#N/A</v>
      </c>
      <c r="I1137" s="3" t="e">
        <f t="shared" si="143"/>
        <v>#N/A</v>
      </c>
      <c r="J1137" s="3">
        <v>187665.10871774028</v>
      </c>
      <c r="K1137" s="3">
        <v>5510</v>
      </c>
      <c r="L1137" s="3" t="e">
        <v>#N/A</v>
      </c>
      <c r="M1137" s="3" t="e">
        <v>#N/A</v>
      </c>
      <c r="N1137" s="3" t="e">
        <v>#N/A</v>
      </c>
      <c r="O1137" s="3" t="e">
        <v>#N/A</v>
      </c>
      <c r="P1137" s="3">
        <f>E1137*(VLOOKUP(B1137,Price_data!A$1:B$190,2,FALSE))</f>
        <v>50.637729139289995</v>
      </c>
      <c r="Q1137" s="3" t="e">
        <f>G1137*(VLOOKUP(B1137,Price_data!A$1:B$190,2,FALSE))</f>
        <v>#N/A</v>
      </c>
      <c r="R1137" s="3" t="e">
        <f>I1137*(VLOOKUP(B1137,Price_data!A$1:B$190,2,FALSE))</f>
        <v>#N/A</v>
      </c>
      <c r="S1137" s="4" t="str">
        <f>(VLOOKUP(B1137,Price_data!A$1:C$190,3,FALSE))</f>
        <v>Open access</v>
      </c>
      <c r="T1137" s="2" t="str">
        <f>IF(C1137="Total", (VLOOKUP(B1137,Recommended_fish_intake!A$4:D$122,4,FALSE)), "NA")</f>
        <v>NA</v>
      </c>
      <c r="U1137" s="2" t="str">
        <f t="shared" si="137"/>
        <v>NA</v>
      </c>
    </row>
    <row r="1138" spans="1:21" ht="14.25" customHeight="1">
      <c r="A1138" s="2" t="s">
        <v>18</v>
      </c>
      <c r="B1138" s="2">
        <v>1970</v>
      </c>
      <c r="C1138" s="2" t="s">
        <v>20</v>
      </c>
      <c r="D1138" s="3">
        <f t="shared" si="138"/>
        <v>3.4037797195691932</v>
      </c>
      <c r="E1138" s="3">
        <f t="shared" si="139"/>
        <v>0.20699999999999999</v>
      </c>
      <c r="F1138" s="3" t="e">
        <f t="shared" si="140"/>
        <v>#N/A</v>
      </c>
      <c r="G1138" s="3" t="e">
        <f t="shared" si="141"/>
        <v>#N/A</v>
      </c>
      <c r="H1138" s="3" t="e">
        <f t="shared" si="142"/>
        <v>#N/A</v>
      </c>
      <c r="I1138" s="3" t="e">
        <f t="shared" si="143"/>
        <v>#N/A</v>
      </c>
      <c r="J1138" s="2">
        <v>3403.7797195691933</v>
      </c>
      <c r="K1138" s="2">
        <v>207</v>
      </c>
      <c r="L1138" s="2" t="e">
        <v>#N/A</v>
      </c>
      <c r="M1138" s="2" t="e">
        <v>#N/A</v>
      </c>
      <c r="N1138" s="2" t="e">
        <v>#N/A</v>
      </c>
      <c r="O1138" s="2" t="e">
        <v>#N/A</v>
      </c>
      <c r="P1138" s="3">
        <f>E1138*(VLOOKUP(B1138,Price_data!A$1:B$190,2,FALSE))</f>
        <v>1.9023611491529999</v>
      </c>
      <c r="Q1138" s="3" t="e">
        <f>G1138*(VLOOKUP(B1138,Price_data!A$1:B$190,2,FALSE))</f>
        <v>#N/A</v>
      </c>
      <c r="R1138" s="3" t="e">
        <f>I1138*(VLOOKUP(B1138,Price_data!A$1:B$190,2,FALSE))</f>
        <v>#N/A</v>
      </c>
      <c r="S1138" s="4" t="str">
        <f>(VLOOKUP(B1138,Price_data!A$1:C$190,3,FALSE))</f>
        <v>Open access</v>
      </c>
      <c r="T1138" s="2" t="str">
        <f>IF(C1138="Total", (VLOOKUP(B1138,Recommended_fish_intake!A$4:D$122,4,FALSE)), "NA")</f>
        <v>NA</v>
      </c>
      <c r="U1138" s="2" t="str">
        <f t="shared" si="137"/>
        <v>NA</v>
      </c>
    </row>
    <row r="1139" spans="1:21" ht="14.25" customHeight="1">
      <c r="A1139" s="2" t="s">
        <v>39</v>
      </c>
      <c r="B1139" s="2">
        <v>1970</v>
      </c>
      <c r="C1139" s="2" t="s">
        <v>20</v>
      </c>
      <c r="D1139" s="3">
        <f t="shared" si="138"/>
        <v>0.96525096525096521</v>
      </c>
      <c r="E1139" s="3">
        <f t="shared" si="139"/>
        <v>3.4000000000000002E-2</v>
      </c>
      <c r="F1139" s="3" t="e">
        <f t="shared" si="140"/>
        <v>#N/A</v>
      </c>
      <c r="G1139" s="3" t="e">
        <f t="shared" si="141"/>
        <v>#N/A</v>
      </c>
      <c r="H1139" s="3" t="e">
        <f t="shared" si="142"/>
        <v>#N/A</v>
      </c>
      <c r="I1139" s="3" t="e">
        <f t="shared" si="143"/>
        <v>#N/A</v>
      </c>
      <c r="J1139" s="2">
        <v>965.25096525096524</v>
      </c>
      <c r="K1139" s="2">
        <v>34</v>
      </c>
      <c r="L1139" s="2" t="e">
        <v>#N/A</v>
      </c>
      <c r="M1139" s="2" t="e">
        <v>#N/A</v>
      </c>
      <c r="N1139" s="2" t="e">
        <v>#N/A</v>
      </c>
      <c r="O1139" s="2" t="e">
        <v>#N/A</v>
      </c>
      <c r="P1139" s="3">
        <f>E1139*(VLOOKUP(B1139,Price_data!A$1:B$190,2,FALSE))</f>
        <v>0.31246511628599999</v>
      </c>
      <c r="Q1139" s="3" t="e">
        <f>G1139*(VLOOKUP(B1139,Price_data!A$1:B$190,2,FALSE))</f>
        <v>#N/A</v>
      </c>
      <c r="R1139" s="3" t="e">
        <f>I1139*(VLOOKUP(B1139,Price_data!A$1:B$190,2,FALSE))</f>
        <v>#N/A</v>
      </c>
      <c r="S1139" s="4" t="str">
        <f>(VLOOKUP(B1139,Price_data!A$1:C$190,3,FALSE))</f>
        <v>Open access</v>
      </c>
      <c r="T1139" s="2" t="str">
        <f>IF(C1139="Total", (VLOOKUP(B1139,Recommended_fish_intake!A$4:D$122,4,FALSE)), "NA")</f>
        <v>NA</v>
      </c>
      <c r="U1139" s="2" t="str">
        <f t="shared" si="137"/>
        <v>NA</v>
      </c>
    </row>
    <row r="1140" spans="1:21" ht="14.25" customHeight="1">
      <c r="A1140" s="2" t="s">
        <v>40</v>
      </c>
      <c r="B1140" s="2">
        <v>1970</v>
      </c>
      <c r="C1140" s="2" t="s">
        <v>20</v>
      </c>
      <c r="D1140" s="3">
        <f t="shared" si="138"/>
        <v>0.25401341190814875</v>
      </c>
      <c r="E1140" s="3">
        <f t="shared" si="139"/>
        <v>4.0000000000000001E-3</v>
      </c>
      <c r="F1140" s="3" t="e">
        <f t="shared" si="140"/>
        <v>#N/A</v>
      </c>
      <c r="G1140" s="3" t="e">
        <f t="shared" si="141"/>
        <v>#N/A</v>
      </c>
      <c r="H1140" s="3" t="e">
        <f t="shared" si="142"/>
        <v>#N/A</v>
      </c>
      <c r="I1140" s="3" t="e">
        <f t="shared" si="143"/>
        <v>#N/A</v>
      </c>
      <c r="J1140" s="2">
        <v>254.01341190814875</v>
      </c>
      <c r="K1140" s="2">
        <v>4</v>
      </c>
      <c r="L1140" s="2" t="e">
        <v>#N/A</v>
      </c>
      <c r="M1140" s="2" t="e">
        <v>#N/A</v>
      </c>
      <c r="N1140" s="2" t="e">
        <v>#N/A</v>
      </c>
      <c r="O1140" s="2" t="e">
        <v>#N/A</v>
      </c>
      <c r="P1140" s="3">
        <f>E1140*(VLOOKUP(B1140,Price_data!A$1:B$190,2,FALSE))</f>
        <v>3.6760601916000002E-2</v>
      </c>
      <c r="Q1140" s="3" t="e">
        <f>G1140*(VLOOKUP(B1140,Price_data!A$1:B$190,2,FALSE))</f>
        <v>#N/A</v>
      </c>
      <c r="R1140" s="3" t="e">
        <f>I1140*(VLOOKUP(B1140,Price_data!A$1:B$190,2,FALSE))</f>
        <v>#N/A</v>
      </c>
      <c r="S1140" s="4" t="str">
        <f>(VLOOKUP(B1140,Price_data!A$1:C$190,3,FALSE))</f>
        <v>Open access</v>
      </c>
      <c r="T1140" s="2" t="str">
        <f>IF(C1140="Total", (VLOOKUP(B1140,Recommended_fish_intake!A$4:D$122,4,FALSE)), "NA")</f>
        <v>NA</v>
      </c>
      <c r="U1140" s="2" t="str">
        <f t="shared" si="137"/>
        <v>NA</v>
      </c>
    </row>
    <row r="1141" spans="1:21" ht="14.25" customHeight="1">
      <c r="A1141" s="2" t="s">
        <v>15</v>
      </c>
      <c r="B1141" s="2">
        <v>1970</v>
      </c>
      <c r="C1141" s="2" t="s">
        <v>20</v>
      </c>
      <c r="D1141" s="3">
        <f t="shared" si="138"/>
        <v>4.6230440967283073</v>
      </c>
      <c r="E1141" s="3">
        <f t="shared" si="139"/>
        <v>0.245</v>
      </c>
      <c r="F1141" s="3" t="e">
        <f t="shared" si="140"/>
        <v>#N/A</v>
      </c>
      <c r="G1141" s="3" t="e">
        <f t="shared" si="141"/>
        <v>#N/A</v>
      </c>
      <c r="H1141" s="3" t="e">
        <f t="shared" si="142"/>
        <v>#N/A</v>
      </c>
      <c r="I1141" s="3" t="e">
        <f t="shared" si="143"/>
        <v>#N/A</v>
      </c>
      <c r="J1141" s="2">
        <v>4623.0440967283075</v>
      </c>
      <c r="K1141" s="2">
        <v>245</v>
      </c>
      <c r="L1141" s="2" t="e">
        <v>#N/A</v>
      </c>
      <c r="M1141" s="2" t="e">
        <v>#N/A</v>
      </c>
      <c r="N1141" s="2" t="e">
        <v>#N/A</v>
      </c>
      <c r="O1141" s="2" t="e">
        <v>#N/A</v>
      </c>
      <c r="P1141" s="3">
        <f>E1141*(VLOOKUP(B1141,Price_data!A$1:B$190,2,FALSE))</f>
        <v>2.2515868673549999</v>
      </c>
      <c r="Q1141" s="3" t="e">
        <f>G1141*(VLOOKUP(B1141,Price_data!A$1:B$190,2,FALSE))</f>
        <v>#N/A</v>
      </c>
      <c r="R1141" s="3" t="e">
        <f>I1141*(VLOOKUP(B1141,Price_data!A$1:B$190,2,FALSE))</f>
        <v>#N/A</v>
      </c>
      <c r="S1141" s="4" t="str">
        <f>(VLOOKUP(B1141,Price_data!A$1:C$190,3,FALSE))</f>
        <v>Open access</v>
      </c>
      <c r="T1141" s="2" t="str">
        <f>IF(C1141="Total", (VLOOKUP(B1141,Recommended_fish_intake!A$4:D$122,4,FALSE)), "NA")</f>
        <v>NA</v>
      </c>
      <c r="U1141" s="2" t="str">
        <f t="shared" si="137"/>
        <v>NA</v>
      </c>
    </row>
    <row r="1142" spans="1:21" ht="14.25" customHeight="1">
      <c r="A1142" s="2" t="s">
        <v>15</v>
      </c>
      <c r="B1142" s="2">
        <v>1970</v>
      </c>
      <c r="C1142" s="2" t="s">
        <v>29</v>
      </c>
      <c r="D1142" s="3" t="e">
        <f t="shared" si="138"/>
        <v>#N/A</v>
      </c>
      <c r="E1142" s="3" t="e">
        <f t="shared" si="139"/>
        <v>#N/A</v>
      </c>
      <c r="F1142" s="3" t="e">
        <f t="shared" si="140"/>
        <v>#N/A</v>
      </c>
      <c r="G1142" s="3" t="e">
        <f t="shared" si="141"/>
        <v>#N/A</v>
      </c>
      <c r="H1142" s="3">
        <f t="shared" si="142"/>
        <v>28.805120910384066</v>
      </c>
      <c r="I1142" s="3">
        <f t="shared" si="143"/>
        <v>25.039000000000001</v>
      </c>
      <c r="J1142" s="3" t="e">
        <v>#N/A</v>
      </c>
      <c r="K1142" s="3" t="e">
        <v>#N/A</v>
      </c>
      <c r="L1142" s="3" t="e">
        <v>#N/A</v>
      </c>
      <c r="M1142" s="3" t="e">
        <v>#N/A</v>
      </c>
      <c r="N1142" s="3">
        <v>28805.120910384067</v>
      </c>
      <c r="O1142" s="3">
        <v>25039</v>
      </c>
      <c r="P1142" s="3" t="e">
        <f>E1142*(VLOOKUP(B1142,Price_data!A$1:B$190,2,FALSE))</f>
        <v>#N/A</v>
      </c>
      <c r="Q1142" s="3" t="e">
        <f>G1142*(VLOOKUP(B1142,Price_data!A$1:B$190,2,FALSE))</f>
        <v>#N/A</v>
      </c>
      <c r="R1142" s="3">
        <f>I1142*(VLOOKUP(B1142,Price_data!A$1:B$190,2,FALSE))</f>
        <v>230.112177843681</v>
      </c>
      <c r="S1142" s="4" t="str">
        <f>(VLOOKUP(B1142,Price_data!A$1:C$190,3,FALSE))</f>
        <v>Open access</v>
      </c>
      <c r="T1142" s="2" t="str">
        <f>IF(C1142="Total", (VLOOKUP(B1142,Recommended_fish_intake!A$4:D$122,4,FALSE)), "NA")</f>
        <v>NA</v>
      </c>
      <c r="U1142" s="2" t="str">
        <f t="shared" si="137"/>
        <v>NA</v>
      </c>
    </row>
    <row r="1143" spans="1:21" ht="14.25" customHeight="1">
      <c r="A1143" s="2" t="s">
        <v>15</v>
      </c>
      <c r="B1143" s="2">
        <v>1970</v>
      </c>
      <c r="C1143" s="2" t="s">
        <v>43</v>
      </c>
      <c r="D1143" s="3" t="e">
        <f t="shared" si="138"/>
        <v>#N/A</v>
      </c>
      <c r="E1143" s="3" t="e">
        <f t="shared" si="139"/>
        <v>#N/A</v>
      </c>
      <c r="F1143" s="3" t="e">
        <f t="shared" si="140"/>
        <v>#N/A</v>
      </c>
      <c r="G1143" s="3" t="e">
        <f t="shared" si="141"/>
        <v>#N/A</v>
      </c>
      <c r="H1143" s="3">
        <f t="shared" si="142"/>
        <v>5.1310709205446043</v>
      </c>
      <c r="I1143" s="3">
        <f t="shared" si="143"/>
        <v>2.286</v>
      </c>
      <c r="J1143" s="3" t="e">
        <v>#N/A</v>
      </c>
      <c r="K1143" s="3" t="e">
        <v>#N/A</v>
      </c>
      <c r="L1143" s="3" t="e">
        <v>#N/A</v>
      </c>
      <c r="M1143" s="3" t="e">
        <v>#N/A</v>
      </c>
      <c r="N1143" s="3">
        <v>5131.0709205446046</v>
      </c>
      <c r="O1143" s="3">
        <v>2286</v>
      </c>
      <c r="P1143" s="3" t="e">
        <f>E1143*(VLOOKUP(B1143,Price_data!A$1:B$190,2,FALSE))</f>
        <v>#N/A</v>
      </c>
      <c r="Q1143" s="3" t="e">
        <f>G1143*(VLOOKUP(B1143,Price_data!A$1:B$190,2,FALSE))</f>
        <v>#N/A</v>
      </c>
      <c r="R1143" s="3">
        <f>I1143*(VLOOKUP(B1143,Price_data!A$1:B$190,2,FALSE))</f>
        <v>21.008683994993998</v>
      </c>
      <c r="S1143" s="4" t="str">
        <f>(VLOOKUP(B1143,Price_data!A$1:C$190,3,FALSE))</f>
        <v>Open access</v>
      </c>
      <c r="T1143" s="2" t="str">
        <f>IF(C1143="Total", (VLOOKUP(B1143,Recommended_fish_intake!A$4:D$122,4,FALSE)), "NA")</f>
        <v>NA</v>
      </c>
      <c r="U1143" s="2" t="str">
        <f t="shared" si="137"/>
        <v>NA</v>
      </c>
    </row>
    <row r="1144" spans="1:21" ht="14.25" customHeight="1">
      <c r="A1144" s="2" t="s">
        <v>15</v>
      </c>
      <c r="B1144" s="2">
        <v>1971</v>
      </c>
      <c r="C1144" s="2" t="s">
        <v>16</v>
      </c>
      <c r="D1144" s="3">
        <f t="shared" si="138"/>
        <v>975.61471245681764</v>
      </c>
      <c r="E1144" s="3">
        <f t="shared" si="139"/>
        <v>92.634</v>
      </c>
      <c r="F1144" s="3">
        <f t="shared" si="140"/>
        <v>121.36760820971347</v>
      </c>
      <c r="G1144" s="3">
        <f t="shared" si="141"/>
        <v>26.759</v>
      </c>
      <c r="H1144" s="3">
        <f t="shared" si="142"/>
        <v>176.03129445234708</v>
      </c>
      <c r="I1144" s="3">
        <f t="shared" si="143"/>
        <v>82.277000000000001</v>
      </c>
      <c r="J1144" s="3">
        <v>975614.71245681762</v>
      </c>
      <c r="K1144" s="3">
        <v>92634</v>
      </c>
      <c r="L1144" s="3">
        <v>121367.60820971346</v>
      </c>
      <c r="M1144" s="3">
        <v>26759</v>
      </c>
      <c r="N1144" s="3">
        <v>176031.29445234709</v>
      </c>
      <c r="O1144" s="3">
        <v>82277</v>
      </c>
      <c r="P1144" s="3">
        <f>E1144*(VLOOKUP(B1144,Price_data!A$1:B$190,2,FALSE))</f>
        <v>777.89401500000008</v>
      </c>
      <c r="Q1144" s="3">
        <f>G1144*(VLOOKUP(B1144,Price_data!A$1:B$190,2,FALSE))</f>
        <v>224.70870250000002</v>
      </c>
      <c r="R1144" s="3">
        <f>I1144*(VLOOKUP(B1144,Price_data!A$1:B$190,2,FALSE))</f>
        <v>690.92110750000006</v>
      </c>
      <c r="S1144" s="4" t="str">
        <f>(VLOOKUP(B1144,Price_data!A$1:C$190,3,FALSE))</f>
        <v>Open access</v>
      </c>
      <c r="T1144" s="2">
        <f>IF(C1144="Total", (VLOOKUP(B1144,Recommended_fish_intake!A$4:D$122,4,FALSE)), "NA")</f>
        <v>718.22969574720003</v>
      </c>
      <c r="U1144" s="2" t="str">
        <f t="shared" si="137"/>
        <v>NA</v>
      </c>
    </row>
    <row r="1145" spans="1:21" ht="14.25" customHeight="1">
      <c r="A1145" s="2" t="s">
        <v>18</v>
      </c>
      <c r="B1145" s="2">
        <v>1971</v>
      </c>
      <c r="C1145" s="2" t="s">
        <v>16</v>
      </c>
      <c r="D1145" s="3">
        <f t="shared" si="138"/>
        <v>510.7701686649055</v>
      </c>
      <c r="E1145" s="3">
        <f t="shared" si="139"/>
        <v>56.805999999999997</v>
      </c>
      <c r="F1145" s="3" t="e">
        <f t="shared" si="140"/>
        <v>#N/A</v>
      </c>
      <c r="G1145" s="3" t="e">
        <f t="shared" si="141"/>
        <v>#N/A</v>
      </c>
      <c r="H1145" s="3" t="e">
        <f t="shared" si="142"/>
        <v>#N/A</v>
      </c>
      <c r="I1145" s="3" t="e">
        <f t="shared" si="143"/>
        <v>#N/A</v>
      </c>
      <c r="J1145" s="3">
        <v>510770.16866490548</v>
      </c>
      <c r="K1145" s="3">
        <v>56806</v>
      </c>
      <c r="L1145" s="3" t="e">
        <v>#N/A</v>
      </c>
      <c r="M1145" s="3" t="e">
        <v>#N/A</v>
      </c>
      <c r="N1145" s="3" t="e">
        <v>#N/A</v>
      </c>
      <c r="O1145" s="3" t="e">
        <v>#N/A</v>
      </c>
      <c r="P1145" s="3">
        <f>E1145*(VLOOKUP(B1145,Price_data!A$1:B$190,2,FALSE))</f>
        <v>477.02838500000001</v>
      </c>
      <c r="Q1145" s="3" t="e">
        <f>G1145*(VLOOKUP(B1145,Price_data!A$1:B$190,2,FALSE))</f>
        <v>#N/A</v>
      </c>
      <c r="R1145" s="3" t="e">
        <f>I1145*(VLOOKUP(B1145,Price_data!A$1:B$190,2,FALSE))</f>
        <v>#N/A</v>
      </c>
      <c r="S1145" s="4" t="str">
        <f>(VLOOKUP(B1145,Price_data!A$1:C$190,3,FALSE))</f>
        <v>Open access</v>
      </c>
      <c r="T1145" s="2">
        <f>IF(C1145="Total", (VLOOKUP(B1145,Recommended_fish_intake!A$4:D$122,4,FALSE)), "NA")</f>
        <v>718.22969574720003</v>
      </c>
      <c r="U1145" s="2" t="str">
        <f t="shared" si="137"/>
        <v>NA</v>
      </c>
    </row>
    <row r="1146" spans="1:21" ht="14.25" customHeight="1">
      <c r="A1146" s="2" t="s">
        <v>39</v>
      </c>
      <c r="B1146" s="2">
        <v>1971</v>
      </c>
      <c r="C1146" s="2" t="s">
        <v>16</v>
      </c>
      <c r="D1146" s="3">
        <f t="shared" si="138"/>
        <v>453.210729526519</v>
      </c>
      <c r="E1146" s="3">
        <f t="shared" si="139"/>
        <v>35.005000000000003</v>
      </c>
      <c r="F1146" s="3" t="e">
        <f t="shared" si="140"/>
        <v>#N/A</v>
      </c>
      <c r="G1146" s="3" t="e">
        <f t="shared" si="141"/>
        <v>#N/A</v>
      </c>
      <c r="H1146" s="3" t="e">
        <f t="shared" si="142"/>
        <v>#N/A</v>
      </c>
      <c r="I1146" s="3" t="e">
        <f t="shared" si="143"/>
        <v>#N/A</v>
      </c>
      <c r="J1146" s="3">
        <v>453210.72952651902</v>
      </c>
      <c r="K1146" s="3">
        <v>35005</v>
      </c>
      <c r="L1146" s="3" t="e">
        <v>#N/A</v>
      </c>
      <c r="M1146" s="3" t="e">
        <v>#N/A</v>
      </c>
      <c r="N1146" s="3" t="e">
        <v>#N/A</v>
      </c>
      <c r="O1146" s="3" t="e">
        <v>#N/A</v>
      </c>
      <c r="P1146" s="3">
        <f>E1146*(VLOOKUP(B1146,Price_data!A$1:B$190,2,FALSE))</f>
        <v>293.95448750000003</v>
      </c>
      <c r="Q1146" s="3" t="e">
        <f>G1146*(VLOOKUP(B1146,Price_data!A$1:B$190,2,FALSE))</f>
        <v>#N/A</v>
      </c>
      <c r="R1146" s="3" t="e">
        <f>I1146*(VLOOKUP(B1146,Price_data!A$1:B$190,2,FALSE))</f>
        <v>#N/A</v>
      </c>
      <c r="S1146" s="4" t="str">
        <f>(VLOOKUP(B1146,Price_data!A$1:C$190,3,FALSE))</f>
        <v>Open access</v>
      </c>
      <c r="T1146" s="2">
        <f>IF(C1146="Total", (VLOOKUP(B1146,Recommended_fish_intake!A$4:D$122,4,FALSE)), "NA")</f>
        <v>718.22969574720003</v>
      </c>
      <c r="U1146" s="2" t="str">
        <f t="shared" si="137"/>
        <v>NA</v>
      </c>
    </row>
    <row r="1147" spans="1:21" ht="14.25" customHeight="1">
      <c r="A1147" s="2" t="s">
        <v>40</v>
      </c>
      <c r="B1147" s="2">
        <v>1971</v>
      </c>
      <c r="C1147" s="2" t="s">
        <v>16</v>
      </c>
      <c r="D1147" s="3">
        <f t="shared" si="138"/>
        <v>11.633814265393212</v>
      </c>
      <c r="E1147" s="3">
        <f t="shared" si="139"/>
        <v>0.82299999999999995</v>
      </c>
      <c r="F1147" s="3" t="e">
        <f t="shared" si="140"/>
        <v>#N/A</v>
      </c>
      <c r="G1147" s="3" t="e">
        <f t="shared" si="141"/>
        <v>#N/A</v>
      </c>
      <c r="H1147" s="3" t="e">
        <f t="shared" si="142"/>
        <v>#N/A</v>
      </c>
      <c r="I1147" s="3" t="e">
        <f t="shared" si="143"/>
        <v>#N/A</v>
      </c>
      <c r="J1147" s="3">
        <v>11633.814265393212</v>
      </c>
      <c r="K1147" s="3">
        <v>823</v>
      </c>
      <c r="L1147" s="3" t="e">
        <v>#N/A</v>
      </c>
      <c r="M1147" s="3" t="e">
        <v>#N/A</v>
      </c>
      <c r="N1147" s="3" t="e">
        <v>#N/A</v>
      </c>
      <c r="O1147" s="3" t="e">
        <v>#N/A</v>
      </c>
      <c r="P1147" s="3">
        <f>E1147*(VLOOKUP(B1147,Price_data!A$1:B$190,2,FALSE))</f>
        <v>6.9111425000000004</v>
      </c>
      <c r="Q1147" s="3" t="e">
        <f>G1147*(VLOOKUP(B1147,Price_data!A$1:B$190,2,FALSE))</f>
        <v>#N/A</v>
      </c>
      <c r="R1147" s="3" t="e">
        <f>I1147*(VLOOKUP(B1147,Price_data!A$1:B$190,2,FALSE))</f>
        <v>#N/A</v>
      </c>
      <c r="S1147" s="4" t="str">
        <f>(VLOOKUP(B1147,Price_data!A$1:C$190,3,FALSE))</f>
        <v>Open access</v>
      </c>
      <c r="T1147" s="2">
        <f>IF(C1147="Total", (VLOOKUP(B1147,Recommended_fish_intake!A$4:D$122,4,FALSE)), "NA")</f>
        <v>718.22969574720003</v>
      </c>
      <c r="U1147" s="2" t="str">
        <f t="shared" si="137"/>
        <v>NA</v>
      </c>
    </row>
    <row r="1148" spans="1:21" ht="14.25" customHeight="1">
      <c r="A1148" s="2" t="s">
        <v>15</v>
      </c>
      <c r="B1148" s="2">
        <v>1971</v>
      </c>
      <c r="C1148" s="2" t="s">
        <v>22</v>
      </c>
      <c r="D1148" s="3">
        <f t="shared" si="138"/>
        <v>305.88295061979272</v>
      </c>
      <c r="E1148" s="3">
        <f t="shared" si="139"/>
        <v>39.698999999999998</v>
      </c>
      <c r="F1148" s="3" t="e">
        <f t="shared" si="140"/>
        <v>#N/A</v>
      </c>
      <c r="G1148" s="3" t="e">
        <f t="shared" si="141"/>
        <v>#N/A</v>
      </c>
      <c r="H1148" s="3">
        <f t="shared" si="142"/>
        <v>41.099370046738464</v>
      </c>
      <c r="I1148" s="3">
        <f t="shared" si="143"/>
        <v>10.814</v>
      </c>
      <c r="J1148" s="3">
        <v>305882.95061979274</v>
      </c>
      <c r="K1148" s="3">
        <v>39699</v>
      </c>
      <c r="L1148" s="3" t="e">
        <v>#N/A</v>
      </c>
      <c r="M1148" s="3" t="e">
        <v>#N/A</v>
      </c>
      <c r="N1148" s="3">
        <v>41099.370046738462</v>
      </c>
      <c r="O1148" s="3">
        <v>10814</v>
      </c>
      <c r="P1148" s="3">
        <f>E1148*(VLOOKUP(B1148,Price_data!A$1:B$190,2,FALSE))</f>
        <v>333.37235250000003</v>
      </c>
      <c r="Q1148" s="3" t="e">
        <f>G1148*(VLOOKUP(B1148,Price_data!A$1:B$190,2,FALSE))</f>
        <v>#N/A</v>
      </c>
      <c r="R1148" s="3">
        <f>I1148*(VLOOKUP(B1148,Price_data!A$1:B$190,2,FALSE))</f>
        <v>90.810565000000011</v>
      </c>
      <c r="S1148" s="4" t="str">
        <f>(VLOOKUP(B1148,Price_data!A$1:C$190,3,FALSE))</f>
        <v>Open access</v>
      </c>
      <c r="T1148" s="2" t="str">
        <f>IF(C1148="Total", (VLOOKUP(B1148,Recommended_fish_intake!A$4:D$122,4,FALSE)), "NA")</f>
        <v>NA</v>
      </c>
      <c r="U1148" s="2" t="str">
        <f t="shared" si="137"/>
        <v>NA</v>
      </c>
    </row>
    <row r="1149" spans="1:21" ht="14.25" customHeight="1">
      <c r="A1149" s="2" t="s">
        <v>15</v>
      </c>
      <c r="B1149" s="2">
        <v>1971</v>
      </c>
      <c r="C1149" s="2" t="s">
        <v>23</v>
      </c>
      <c r="D1149" s="3">
        <f t="shared" si="138"/>
        <v>181.26397073765494</v>
      </c>
      <c r="E1149" s="3">
        <f t="shared" si="139"/>
        <v>17.292000000000002</v>
      </c>
      <c r="F1149" s="3" t="e">
        <f t="shared" si="140"/>
        <v>#N/A</v>
      </c>
      <c r="G1149" s="3" t="e">
        <f t="shared" si="141"/>
        <v>#N/A</v>
      </c>
      <c r="H1149" s="3">
        <f t="shared" si="142"/>
        <v>6.3503352977037189</v>
      </c>
      <c r="I1149" s="3">
        <f t="shared" si="143"/>
        <v>1.623</v>
      </c>
      <c r="J1149" s="3">
        <v>181263.97073765495</v>
      </c>
      <c r="K1149" s="3">
        <v>17292</v>
      </c>
      <c r="L1149" s="3" t="e">
        <v>#N/A</v>
      </c>
      <c r="M1149" s="3" t="e">
        <v>#N/A</v>
      </c>
      <c r="N1149" s="3">
        <v>6350.3352977037184</v>
      </c>
      <c r="O1149" s="3">
        <v>1623</v>
      </c>
      <c r="P1149" s="3">
        <f>E1149*(VLOOKUP(B1149,Price_data!A$1:B$190,2,FALSE))</f>
        <v>145.20957000000004</v>
      </c>
      <c r="Q1149" s="3" t="e">
        <f>G1149*(VLOOKUP(B1149,Price_data!A$1:B$190,2,FALSE))</f>
        <v>#N/A</v>
      </c>
      <c r="R1149" s="3">
        <f>I1149*(VLOOKUP(B1149,Price_data!A$1:B$190,2,FALSE))</f>
        <v>13.629142500000002</v>
      </c>
      <c r="S1149" s="4" t="str">
        <f>(VLOOKUP(B1149,Price_data!A$1:C$190,3,FALSE))</f>
        <v>Open access</v>
      </c>
      <c r="T1149" s="2" t="str">
        <f>IF(C1149="Total", (VLOOKUP(B1149,Recommended_fish_intake!A$4:D$122,4,FALSE)), "NA")</f>
        <v>NA</v>
      </c>
      <c r="U1149" s="2" t="str">
        <f t="shared" si="137"/>
        <v>NA</v>
      </c>
    </row>
    <row r="1150" spans="1:21" ht="14.25" customHeight="1">
      <c r="A1150" s="2" t="s">
        <v>15</v>
      </c>
      <c r="B1150" s="2">
        <v>1971</v>
      </c>
      <c r="C1150" s="2" t="s">
        <v>25</v>
      </c>
      <c r="D1150" s="3">
        <f t="shared" si="138"/>
        <v>44.35074171916277</v>
      </c>
      <c r="E1150" s="3">
        <f t="shared" si="139"/>
        <v>7.0810000000000004</v>
      </c>
      <c r="F1150" s="3" t="e">
        <f t="shared" si="140"/>
        <v>#N/A</v>
      </c>
      <c r="G1150" s="3" t="e">
        <f t="shared" si="141"/>
        <v>#N/A</v>
      </c>
      <c r="H1150" s="3">
        <f t="shared" si="142"/>
        <v>17.374517374517374</v>
      </c>
      <c r="I1150" s="3">
        <f t="shared" si="143"/>
        <v>3.7930000000000001</v>
      </c>
      <c r="J1150" s="3">
        <v>44350.741719162768</v>
      </c>
      <c r="K1150" s="3">
        <v>7081</v>
      </c>
      <c r="L1150" s="3" t="e">
        <v>#N/A</v>
      </c>
      <c r="M1150" s="3" t="e">
        <v>#N/A</v>
      </c>
      <c r="N1150" s="3">
        <v>17374.517374517374</v>
      </c>
      <c r="O1150" s="3">
        <v>3793</v>
      </c>
      <c r="P1150" s="3">
        <f>E1150*(VLOOKUP(B1150,Price_data!A$1:B$190,2,FALSE))</f>
        <v>59.462697500000012</v>
      </c>
      <c r="Q1150" s="3" t="e">
        <f>G1150*(VLOOKUP(B1150,Price_data!A$1:B$190,2,FALSE))</f>
        <v>#N/A</v>
      </c>
      <c r="R1150" s="3">
        <f>I1150*(VLOOKUP(B1150,Price_data!A$1:B$190,2,FALSE))</f>
        <v>31.851717500000003</v>
      </c>
      <c r="S1150" s="4" t="str">
        <f>(VLOOKUP(B1150,Price_data!A$1:C$190,3,FALSE))</f>
        <v>Open access</v>
      </c>
      <c r="T1150" s="2" t="str">
        <f>IF(C1150="Total", (VLOOKUP(B1150,Recommended_fish_intake!A$4:D$122,4,FALSE)), "NA")</f>
        <v>NA</v>
      </c>
      <c r="U1150" s="2" t="str">
        <f t="shared" si="137"/>
        <v>NA</v>
      </c>
    </row>
    <row r="1151" spans="1:21" ht="14.25" customHeight="1">
      <c r="A1151" s="2" t="s">
        <v>15</v>
      </c>
      <c r="B1151" s="2">
        <v>1971</v>
      </c>
      <c r="C1151" s="2" t="s">
        <v>38</v>
      </c>
      <c r="D1151" s="3">
        <f t="shared" si="138"/>
        <v>53.342816500711237</v>
      </c>
      <c r="E1151" s="3">
        <f t="shared" si="139"/>
        <v>2.9689999999999999</v>
      </c>
      <c r="F1151" s="3" t="e">
        <f t="shared" si="140"/>
        <v>#N/A</v>
      </c>
      <c r="G1151" s="3" t="e">
        <f t="shared" si="141"/>
        <v>#N/A</v>
      </c>
      <c r="H1151" s="3" t="e">
        <f t="shared" si="142"/>
        <v>#N/A</v>
      </c>
      <c r="I1151" s="3" t="e">
        <f t="shared" si="143"/>
        <v>#N/A</v>
      </c>
      <c r="J1151" s="3">
        <v>53342.81650071124</v>
      </c>
      <c r="K1151" s="3">
        <v>2969</v>
      </c>
      <c r="L1151" s="3" t="e">
        <v>#N/A</v>
      </c>
      <c r="M1151" s="3" t="e">
        <v>#N/A</v>
      </c>
      <c r="N1151" s="3" t="e">
        <v>#N/A</v>
      </c>
      <c r="O1151" s="3" t="e">
        <v>#N/A</v>
      </c>
      <c r="P1151" s="3">
        <f>E1151*(VLOOKUP(B1151,Price_data!A$1:B$190,2,FALSE))</f>
        <v>24.932177500000002</v>
      </c>
      <c r="Q1151" s="3" t="e">
        <f>G1151*(VLOOKUP(B1151,Price_data!A$1:B$190,2,FALSE))</f>
        <v>#N/A</v>
      </c>
      <c r="R1151" s="3" t="e">
        <f>I1151*(VLOOKUP(B1151,Price_data!A$1:B$190,2,FALSE))</f>
        <v>#N/A</v>
      </c>
      <c r="S1151" s="4" t="str">
        <f>(VLOOKUP(B1151,Price_data!A$1:C$190,3,FALSE))</f>
        <v>Open access</v>
      </c>
      <c r="T1151" s="2" t="str">
        <f>IF(C1151="Total", (VLOOKUP(B1151,Recommended_fish_intake!A$4:D$122,4,FALSE)), "NA")</f>
        <v>NA</v>
      </c>
      <c r="U1151" s="2" t="str">
        <f t="shared" si="137"/>
        <v>NA</v>
      </c>
    </row>
    <row r="1152" spans="1:21" ht="14.25" customHeight="1">
      <c r="A1152" s="2" t="s">
        <v>15</v>
      </c>
      <c r="B1152" s="2">
        <v>1971</v>
      </c>
      <c r="C1152" s="2" t="s">
        <v>24</v>
      </c>
      <c r="D1152" s="3">
        <f t="shared" si="138"/>
        <v>40.997764681975205</v>
      </c>
      <c r="E1152" s="3">
        <f t="shared" si="139"/>
        <v>2.8959999999999999</v>
      </c>
      <c r="F1152" s="3" t="e">
        <f t="shared" si="140"/>
        <v>#N/A</v>
      </c>
      <c r="G1152" s="3" t="e">
        <f t="shared" si="141"/>
        <v>#N/A</v>
      </c>
      <c r="H1152" s="3" t="e">
        <f t="shared" si="142"/>
        <v>#N/A</v>
      </c>
      <c r="I1152" s="3" t="e">
        <f t="shared" si="143"/>
        <v>#N/A</v>
      </c>
      <c r="J1152" s="3">
        <v>40997.764681975204</v>
      </c>
      <c r="K1152" s="3">
        <v>2896</v>
      </c>
      <c r="L1152" s="3" t="e">
        <v>#N/A</v>
      </c>
      <c r="M1152" s="3" t="e">
        <v>#N/A</v>
      </c>
      <c r="N1152" s="3" t="e">
        <v>#N/A</v>
      </c>
      <c r="O1152" s="3" t="e">
        <v>#N/A</v>
      </c>
      <c r="P1152" s="3">
        <f>E1152*(VLOOKUP(B1152,Price_data!A$1:B$190,2,FALSE))</f>
        <v>24.31916</v>
      </c>
      <c r="Q1152" s="3" t="e">
        <f>G1152*(VLOOKUP(B1152,Price_data!A$1:B$190,2,FALSE))</f>
        <v>#N/A</v>
      </c>
      <c r="R1152" s="3" t="e">
        <f>I1152*(VLOOKUP(B1152,Price_data!A$1:B$190,2,FALSE))</f>
        <v>#N/A</v>
      </c>
      <c r="S1152" s="4" t="str">
        <f>(VLOOKUP(B1152,Price_data!A$1:C$190,3,FALSE))</f>
        <v>Open access</v>
      </c>
      <c r="T1152" s="2" t="str">
        <f>IF(C1152="Total", (VLOOKUP(B1152,Recommended_fish_intake!A$4:D$122,4,FALSE)), "NA")</f>
        <v>NA</v>
      </c>
      <c r="U1152" s="2" t="str">
        <f t="shared" si="137"/>
        <v>NA</v>
      </c>
    </row>
    <row r="1153" spans="1:21" ht="14.25" customHeight="1">
      <c r="A1153" s="2" t="s">
        <v>15</v>
      </c>
      <c r="B1153" s="2">
        <v>1971</v>
      </c>
      <c r="C1153" s="2" t="s">
        <v>19</v>
      </c>
      <c r="D1153" s="3">
        <f t="shared" si="138"/>
        <v>146.46413330623855</v>
      </c>
      <c r="E1153" s="3">
        <f t="shared" si="139"/>
        <v>4.9809999999999999</v>
      </c>
      <c r="F1153" s="3" t="e">
        <f t="shared" si="140"/>
        <v>#N/A</v>
      </c>
      <c r="G1153" s="3" t="e">
        <f t="shared" si="141"/>
        <v>#N/A</v>
      </c>
      <c r="H1153" s="3">
        <f t="shared" si="142"/>
        <v>8.1284291810607598</v>
      </c>
      <c r="I1153" s="3">
        <f t="shared" si="143"/>
        <v>0.82799999999999996</v>
      </c>
      <c r="J1153" s="3">
        <v>146464.13330623854</v>
      </c>
      <c r="K1153" s="3">
        <v>4981</v>
      </c>
      <c r="L1153" s="3" t="e">
        <v>#N/A</v>
      </c>
      <c r="M1153" s="3" t="e">
        <v>#N/A</v>
      </c>
      <c r="N1153" s="3">
        <v>8128.4291810607601</v>
      </c>
      <c r="O1153" s="3">
        <v>828</v>
      </c>
      <c r="P1153" s="3">
        <f>E1153*(VLOOKUP(B1153,Price_data!A$1:B$190,2,FALSE))</f>
        <v>41.827947500000001</v>
      </c>
      <c r="Q1153" s="3" t="e">
        <f>G1153*(VLOOKUP(B1153,Price_data!A$1:B$190,2,FALSE))</f>
        <v>#N/A</v>
      </c>
      <c r="R1153" s="3">
        <f>I1153*(VLOOKUP(B1153,Price_data!A$1:B$190,2,FALSE))</f>
        <v>6.9531300000000007</v>
      </c>
      <c r="S1153" s="4" t="str">
        <f>(VLOOKUP(B1153,Price_data!A$1:C$190,3,FALSE))</f>
        <v>Open access</v>
      </c>
      <c r="T1153" s="2" t="str">
        <f>IF(C1153="Total", (VLOOKUP(B1153,Recommended_fish_intake!A$4:D$122,4,FALSE)), "NA")</f>
        <v>NA</v>
      </c>
      <c r="U1153" s="2" t="str">
        <f t="shared" si="137"/>
        <v>NA</v>
      </c>
    </row>
    <row r="1154" spans="1:21" ht="14.25" customHeight="1">
      <c r="A1154" s="2" t="s">
        <v>15</v>
      </c>
      <c r="B1154" s="2">
        <v>1971</v>
      </c>
      <c r="C1154" s="2" t="s">
        <v>21</v>
      </c>
      <c r="D1154" s="3">
        <f t="shared" si="138"/>
        <v>51.412314570209304</v>
      </c>
      <c r="E1154" s="3">
        <f t="shared" si="139"/>
        <v>0.80300000000000005</v>
      </c>
      <c r="F1154" s="3" t="e">
        <f t="shared" si="140"/>
        <v>#N/A</v>
      </c>
      <c r="G1154" s="3" t="e">
        <f t="shared" si="141"/>
        <v>#N/A</v>
      </c>
      <c r="H1154" s="3" t="e">
        <f t="shared" si="142"/>
        <v>#N/A</v>
      </c>
      <c r="I1154" s="3" t="e">
        <f t="shared" si="143"/>
        <v>#N/A</v>
      </c>
      <c r="J1154" s="3">
        <v>51412.314570209302</v>
      </c>
      <c r="K1154" s="3">
        <v>803</v>
      </c>
      <c r="L1154" s="3" t="e">
        <v>#N/A</v>
      </c>
      <c r="M1154" s="3" t="e">
        <v>#N/A</v>
      </c>
      <c r="N1154" s="3" t="e">
        <v>#N/A</v>
      </c>
      <c r="O1154" s="3" t="e">
        <v>#N/A</v>
      </c>
      <c r="P1154" s="3">
        <f>E1154*(VLOOKUP(B1154,Price_data!A$1:B$190,2,FALSE))</f>
        <v>6.743192500000001</v>
      </c>
      <c r="Q1154" s="3" t="e">
        <f>G1154*(VLOOKUP(B1154,Price_data!A$1:B$190,2,FALSE))</f>
        <v>#N/A</v>
      </c>
      <c r="R1154" s="3" t="e">
        <f>I1154*(VLOOKUP(B1154,Price_data!A$1:B$190,2,FALSE))</f>
        <v>#N/A</v>
      </c>
      <c r="S1154" s="4" t="str">
        <f>(VLOOKUP(B1154,Price_data!A$1:C$190,3,FALSE))</f>
        <v>Open access</v>
      </c>
      <c r="T1154" s="2" t="str">
        <f>IF(C1154="Total", (VLOOKUP(B1154,Recommended_fish_intake!A$4:D$122,4,FALSE)), "NA")</f>
        <v>NA</v>
      </c>
      <c r="U1154" s="2" t="str">
        <f t="shared" ref="U1154:U1217" si="144">IF(C1154="Wet fish", D1154*0.49, IF(C1154="Shellfish", D1154*0.28, "NA"))</f>
        <v>NA</v>
      </c>
    </row>
    <row r="1155" spans="1:21" ht="14.25" customHeight="1">
      <c r="A1155" s="2" t="s">
        <v>15</v>
      </c>
      <c r="B1155" s="2">
        <v>1971</v>
      </c>
      <c r="C1155" s="2" t="s">
        <v>34</v>
      </c>
      <c r="D1155" s="3">
        <f t="shared" si="138"/>
        <v>1.1176590123958545</v>
      </c>
      <c r="E1155" s="3">
        <f t="shared" si="139"/>
        <v>1.5189999999999999</v>
      </c>
      <c r="F1155" s="3" t="e">
        <f t="shared" si="140"/>
        <v>#N/A</v>
      </c>
      <c r="G1155" s="3" t="e">
        <f t="shared" si="141"/>
        <v>#N/A</v>
      </c>
      <c r="H1155" s="3">
        <f t="shared" si="142"/>
        <v>0.15240804714488923</v>
      </c>
      <c r="I1155" s="3">
        <f t="shared" si="143"/>
        <v>0.20899999999999999</v>
      </c>
      <c r="J1155" s="3">
        <v>1117.6590123958545</v>
      </c>
      <c r="K1155" s="3">
        <v>1519</v>
      </c>
      <c r="L1155" s="3" t="e">
        <v>#N/A</v>
      </c>
      <c r="M1155" s="3" t="e">
        <v>#N/A</v>
      </c>
      <c r="N1155" s="3">
        <v>152.40804714488922</v>
      </c>
      <c r="O1155" s="3">
        <v>209</v>
      </c>
      <c r="P1155" s="3">
        <f>E1155*(VLOOKUP(B1155,Price_data!A$1:B$190,2,FALSE))</f>
        <v>12.7558025</v>
      </c>
      <c r="Q1155" s="3" t="e">
        <f>G1155*(VLOOKUP(B1155,Price_data!A$1:B$190,2,FALSE))</f>
        <v>#N/A</v>
      </c>
      <c r="R1155" s="3">
        <f>I1155*(VLOOKUP(B1155,Price_data!A$1:B$190,2,FALSE))</f>
        <v>1.7550775000000001</v>
      </c>
      <c r="S1155" s="4" t="str">
        <f>(VLOOKUP(B1155,Price_data!A$1:C$190,3,FALSE))</f>
        <v>Open access</v>
      </c>
      <c r="T1155" s="2" t="str">
        <f>IF(C1155="Total", (VLOOKUP(B1155,Recommended_fish_intake!A$4:D$122,4,FALSE)), "NA")</f>
        <v>NA</v>
      </c>
      <c r="U1155" s="2" t="str">
        <f t="shared" si="144"/>
        <v>NA</v>
      </c>
    </row>
    <row r="1156" spans="1:21" ht="14.25" customHeight="1">
      <c r="A1156" s="2" t="s">
        <v>15</v>
      </c>
      <c r="B1156" s="2">
        <v>1971</v>
      </c>
      <c r="C1156" s="2" t="s">
        <v>35</v>
      </c>
      <c r="D1156" s="3">
        <f t="shared" si="138"/>
        <v>13.005486689697216</v>
      </c>
      <c r="E1156" s="3">
        <f t="shared" si="139"/>
        <v>2.8159999999999998</v>
      </c>
      <c r="F1156" s="3" t="e">
        <f t="shared" si="140"/>
        <v>#N/A</v>
      </c>
      <c r="G1156" s="3" t="e">
        <f t="shared" si="141"/>
        <v>#N/A</v>
      </c>
      <c r="H1156" s="3" t="e">
        <f t="shared" si="142"/>
        <v>#N/A</v>
      </c>
      <c r="I1156" s="3" t="e">
        <f t="shared" si="143"/>
        <v>#N/A</v>
      </c>
      <c r="J1156" s="3">
        <v>13005.486689697216</v>
      </c>
      <c r="K1156" s="3">
        <v>2816</v>
      </c>
      <c r="L1156" s="3" t="e">
        <v>#N/A</v>
      </c>
      <c r="M1156" s="3" t="e">
        <v>#N/A</v>
      </c>
      <c r="N1156" s="3" t="e">
        <v>#N/A</v>
      </c>
      <c r="O1156" s="3" t="e">
        <v>#N/A</v>
      </c>
      <c r="P1156" s="3">
        <f>E1156*(VLOOKUP(B1156,Price_data!A$1:B$190,2,FALSE))</f>
        <v>23.647360000000003</v>
      </c>
      <c r="Q1156" s="3" t="e">
        <f>G1156*(VLOOKUP(B1156,Price_data!A$1:B$190,2,FALSE))</f>
        <v>#N/A</v>
      </c>
      <c r="R1156" s="3" t="e">
        <f>I1156*(VLOOKUP(B1156,Price_data!A$1:B$190,2,FALSE))</f>
        <v>#N/A</v>
      </c>
      <c r="S1156" s="4" t="str">
        <f>(VLOOKUP(B1156,Price_data!A$1:C$190,3,FALSE))</f>
        <v>Open access</v>
      </c>
      <c r="T1156" s="2" t="str">
        <f>IF(C1156="Total", (VLOOKUP(B1156,Recommended_fish_intake!A$4:D$122,4,FALSE)), "NA")</f>
        <v>NA</v>
      </c>
      <c r="U1156" s="2" t="str">
        <f t="shared" si="144"/>
        <v>NA</v>
      </c>
    </row>
    <row r="1157" spans="1:21" ht="14.25" customHeight="1">
      <c r="A1157" s="2" t="s">
        <v>15</v>
      </c>
      <c r="B1157" s="2">
        <v>1971</v>
      </c>
      <c r="C1157" s="2" t="s">
        <v>30</v>
      </c>
      <c r="D1157" s="3">
        <f t="shared" si="138"/>
        <v>1.625685836212152</v>
      </c>
      <c r="E1157" s="3">
        <f t="shared" si="139"/>
        <v>0.30299999999999999</v>
      </c>
      <c r="F1157" s="3" t="e">
        <f t="shared" si="140"/>
        <v>#N/A</v>
      </c>
      <c r="G1157" s="3" t="e">
        <f t="shared" si="141"/>
        <v>#N/A</v>
      </c>
      <c r="H1157" s="3">
        <f t="shared" si="142"/>
        <v>4.8262548262548259</v>
      </c>
      <c r="I1157" s="3">
        <f t="shared" si="143"/>
        <v>5.3070000000000004</v>
      </c>
      <c r="J1157" s="3">
        <v>1625.685836212152</v>
      </c>
      <c r="K1157" s="3">
        <v>303</v>
      </c>
      <c r="L1157" s="3" t="e">
        <v>#N/A</v>
      </c>
      <c r="M1157" s="3" t="e">
        <v>#N/A</v>
      </c>
      <c r="N1157" s="3">
        <v>4826.2548262548262</v>
      </c>
      <c r="O1157" s="3">
        <v>5307</v>
      </c>
      <c r="P1157" s="3">
        <f>E1157*(VLOOKUP(B1157,Price_data!A$1:B$190,2,FALSE))</f>
        <v>2.5444425000000002</v>
      </c>
      <c r="Q1157" s="3" t="e">
        <f>G1157*(VLOOKUP(B1157,Price_data!A$1:B$190,2,FALSE))</f>
        <v>#N/A</v>
      </c>
      <c r="R1157" s="3">
        <f>I1157*(VLOOKUP(B1157,Price_data!A$1:B$190,2,FALSE))</f>
        <v>44.56553250000001</v>
      </c>
      <c r="S1157" s="4" t="str">
        <f>(VLOOKUP(B1157,Price_data!A$1:C$190,3,FALSE))</f>
        <v>Open access</v>
      </c>
      <c r="T1157" s="2" t="str">
        <f>IF(C1157="Total", (VLOOKUP(B1157,Recommended_fish_intake!A$4:D$122,4,FALSE)), "NA")</f>
        <v>NA</v>
      </c>
      <c r="U1157" s="2" t="str">
        <f t="shared" si="144"/>
        <v>NA</v>
      </c>
    </row>
    <row r="1158" spans="1:21" ht="14.25" customHeight="1">
      <c r="A1158" s="2" t="s">
        <v>15</v>
      </c>
      <c r="B1158" s="2">
        <v>1971</v>
      </c>
      <c r="C1158" s="2" t="s">
        <v>36</v>
      </c>
      <c r="D1158" s="3">
        <f t="shared" si="138"/>
        <v>5.8423084738874209</v>
      </c>
      <c r="E1158" s="3">
        <f t="shared" si="139"/>
        <v>0.67</v>
      </c>
      <c r="F1158" s="3" t="e">
        <f t="shared" si="140"/>
        <v>#N/A</v>
      </c>
      <c r="G1158" s="3" t="e">
        <f t="shared" si="141"/>
        <v>#N/A</v>
      </c>
      <c r="H1158" s="3">
        <f t="shared" si="142"/>
        <v>0.71123755334281646</v>
      </c>
      <c r="I1158" s="3">
        <f t="shared" si="143"/>
        <v>0.94</v>
      </c>
      <c r="J1158" s="3">
        <v>5842.3084738874213</v>
      </c>
      <c r="K1158" s="3">
        <v>670</v>
      </c>
      <c r="L1158" s="3" t="e">
        <v>#N/A</v>
      </c>
      <c r="M1158" s="3" t="e">
        <v>#N/A</v>
      </c>
      <c r="N1158" s="3">
        <v>711.23755334281645</v>
      </c>
      <c r="O1158" s="3">
        <v>940</v>
      </c>
      <c r="P1158" s="3">
        <f>E1158*(VLOOKUP(B1158,Price_data!A$1:B$190,2,FALSE))</f>
        <v>5.6263250000000005</v>
      </c>
      <c r="Q1158" s="3" t="e">
        <f>G1158*(VLOOKUP(B1158,Price_data!A$1:B$190,2,FALSE))</f>
        <v>#N/A</v>
      </c>
      <c r="R1158" s="3">
        <f>I1158*(VLOOKUP(B1158,Price_data!A$1:B$190,2,FALSE))</f>
        <v>7.8936500000000001</v>
      </c>
      <c r="S1158" s="4" t="str">
        <f>(VLOOKUP(B1158,Price_data!A$1:C$190,3,FALSE))</f>
        <v>Open access</v>
      </c>
      <c r="T1158" s="2" t="str">
        <f>IF(C1158="Total", (VLOOKUP(B1158,Recommended_fish_intake!A$4:D$122,4,FALSE)), "NA")</f>
        <v>NA</v>
      </c>
      <c r="U1158" s="2" t="str">
        <f t="shared" si="144"/>
        <v>NA</v>
      </c>
    </row>
    <row r="1159" spans="1:21" ht="14.25" customHeight="1">
      <c r="A1159" s="2" t="s">
        <v>15</v>
      </c>
      <c r="B1159" s="2">
        <v>1971</v>
      </c>
      <c r="C1159" s="2" t="s">
        <v>28</v>
      </c>
      <c r="D1159" s="3">
        <f t="shared" si="138"/>
        <v>54.460475513107092</v>
      </c>
      <c r="E1159" s="3">
        <f t="shared" si="139"/>
        <v>7.468</v>
      </c>
      <c r="F1159" s="3">
        <f t="shared" si="140"/>
        <v>8.890469416785205</v>
      </c>
      <c r="G1159" s="3">
        <f t="shared" si="141"/>
        <v>6.3979999999999997</v>
      </c>
      <c r="H1159" s="3">
        <f t="shared" si="142"/>
        <v>16.561674456411296</v>
      </c>
      <c r="I1159" s="3">
        <f t="shared" si="143"/>
        <v>14.779</v>
      </c>
      <c r="J1159" s="3">
        <v>54460.475513107092</v>
      </c>
      <c r="K1159" s="3">
        <v>7468</v>
      </c>
      <c r="L1159" s="3">
        <v>8890.4694167852049</v>
      </c>
      <c r="M1159" s="3">
        <v>6398</v>
      </c>
      <c r="N1159" s="3">
        <v>16561.674456411296</v>
      </c>
      <c r="O1159" s="3">
        <v>14779</v>
      </c>
      <c r="P1159" s="3">
        <f>E1159*(VLOOKUP(B1159,Price_data!A$1:B$190,2,FALSE))</f>
        <v>62.712530000000008</v>
      </c>
      <c r="Q1159" s="3">
        <f>G1159*(VLOOKUP(B1159,Price_data!A$1:B$190,2,FALSE))</f>
        <v>53.727205000000005</v>
      </c>
      <c r="R1159" s="3">
        <f>I1159*(VLOOKUP(B1159,Price_data!A$1:B$190,2,FALSE))</f>
        <v>124.10665250000001</v>
      </c>
      <c r="S1159" s="4" t="str">
        <f>(VLOOKUP(B1159,Price_data!A$1:C$190,3,FALSE))</f>
        <v>Open access</v>
      </c>
      <c r="T1159" s="2" t="str">
        <f>IF(C1159="Total", (VLOOKUP(B1159,Recommended_fish_intake!A$4:D$122,4,FALSE)), "NA")</f>
        <v>NA</v>
      </c>
      <c r="U1159" s="2">
        <f t="shared" si="144"/>
        <v>15.248933143669987</v>
      </c>
    </row>
    <row r="1160" spans="1:21" ht="14.25" customHeight="1">
      <c r="A1160" s="2" t="s">
        <v>15</v>
      </c>
      <c r="B1160" s="2">
        <v>1971</v>
      </c>
      <c r="C1160" s="2" t="s">
        <v>37</v>
      </c>
      <c r="D1160" s="3">
        <f t="shared" si="138"/>
        <v>921.15423694371054</v>
      </c>
      <c r="E1160" s="3">
        <f t="shared" si="139"/>
        <v>85.165999999999997</v>
      </c>
      <c r="F1160" s="3">
        <f t="shared" si="140"/>
        <v>112.52794147530989</v>
      </c>
      <c r="G1160" s="3">
        <f t="shared" si="141"/>
        <v>20.361000000000001</v>
      </c>
      <c r="H1160" s="3">
        <f t="shared" si="142"/>
        <v>159.46961999593577</v>
      </c>
      <c r="I1160" s="3">
        <f t="shared" si="143"/>
        <v>67.498000000000005</v>
      </c>
      <c r="J1160" s="3">
        <v>921154.2369437106</v>
      </c>
      <c r="K1160" s="3">
        <v>85166</v>
      </c>
      <c r="L1160" s="3">
        <v>112527.94147530988</v>
      </c>
      <c r="M1160" s="3">
        <v>20361</v>
      </c>
      <c r="N1160" s="3">
        <v>159469.61999593576</v>
      </c>
      <c r="O1160" s="3">
        <v>67498</v>
      </c>
      <c r="P1160" s="3">
        <f>E1160*(VLOOKUP(B1160,Price_data!A$1:B$190,2,FALSE))</f>
        <v>715.18148500000007</v>
      </c>
      <c r="Q1160" s="3">
        <f>G1160*(VLOOKUP(B1160,Price_data!A$1:B$190,2,FALSE))</f>
        <v>170.98149750000002</v>
      </c>
      <c r="R1160" s="3">
        <f>I1160*(VLOOKUP(B1160,Price_data!A$1:B$190,2,FALSE))</f>
        <v>566.81445500000007</v>
      </c>
      <c r="S1160" s="4" t="str">
        <f>(VLOOKUP(B1160,Price_data!A$1:C$190,3,FALSE))</f>
        <v>Open access</v>
      </c>
      <c r="T1160" s="2" t="str">
        <f>IF(C1160="Total", (VLOOKUP(B1160,Recommended_fish_intake!A$4:D$122,4,FALSE)), "NA")</f>
        <v>NA</v>
      </c>
      <c r="U1160" s="2">
        <f t="shared" si="144"/>
        <v>451.36557610241817</v>
      </c>
    </row>
    <row r="1161" spans="1:21" ht="14.25" customHeight="1">
      <c r="A1161" s="2" t="s">
        <v>18</v>
      </c>
      <c r="B1161" s="2">
        <v>1971</v>
      </c>
      <c r="C1161" s="2" t="s">
        <v>22</v>
      </c>
      <c r="D1161" s="3">
        <f t="shared" si="138"/>
        <v>257.11237553342818</v>
      </c>
      <c r="E1161" s="3">
        <f t="shared" si="139"/>
        <v>33.56</v>
      </c>
      <c r="F1161" s="3" t="e">
        <f t="shared" si="140"/>
        <v>#N/A</v>
      </c>
      <c r="G1161" s="3" t="e">
        <f t="shared" si="141"/>
        <v>#N/A</v>
      </c>
      <c r="H1161" s="3" t="e">
        <f t="shared" si="142"/>
        <v>#N/A</v>
      </c>
      <c r="I1161" s="3" t="e">
        <f t="shared" si="143"/>
        <v>#N/A</v>
      </c>
      <c r="J1161" s="3">
        <v>257112.37553342819</v>
      </c>
      <c r="K1161" s="3">
        <v>33560</v>
      </c>
      <c r="L1161" s="3" t="e">
        <v>#N/A</v>
      </c>
      <c r="M1161" s="3" t="e">
        <v>#N/A</v>
      </c>
      <c r="N1161" s="3" t="e">
        <v>#N/A</v>
      </c>
      <c r="O1161" s="3" t="e">
        <v>#N/A</v>
      </c>
      <c r="P1161" s="3">
        <f>E1161*(VLOOKUP(B1161,Price_data!A$1:B$190,2,FALSE))</f>
        <v>281.82010000000002</v>
      </c>
      <c r="Q1161" s="3" t="e">
        <f>G1161*(VLOOKUP(B1161,Price_data!A$1:B$190,2,FALSE))</f>
        <v>#N/A</v>
      </c>
      <c r="R1161" s="3" t="e">
        <f>I1161*(VLOOKUP(B1161,Price_data!A$1:B$190,2,FALSE))</f>
        <v>#N/A</v>
      </c>
      <c r="S1161" s="4" t="str">
        <f>(VLOOKUP(B1161,Price_data!A$1:C$190,3,FALSE))</f>
        <v>Open access</v>
      </c>
      <c r="T1161" s="2" t="str">
        <f>IF(C1161="Total", (VLOOKUP(B1161,Recommended_fish_intake!A$4:D$122,4,FALSE)), "NA")</f>
        <v>NA</v>
      </c>
      <c r="U1161" s="2" t="str">
        <f t="shared" si="144"/>
        <v>NA</v>
      </c>
    </row>
    <row r="1162" spans="1:21" ht="14.25" customHeight="1">
      <c r="A1162" s="2" t="s">
        <v>18</v>
      </c>
      <c r="B1162" s="2">
        <v>1971</v>
      </c>
      <c r="C1162" s="2" t="s">
        <v>23</v>
      </c>
      <c r="D1162" s="3">
        <f t="shared" si="138"/>
        <v>37.543182280024382</v>
      </c>
      <c r="E1162" s="3">
        <f t="shared" si="139"/>
        <v>4.7409999999999997</v>
      </c>
      <c r="F1162" s="3" t="e">
        <f t="shared" si="140"/>
        <v>#N/A</v>
      </c>
      <c r="G1162" s="3" t="e">
        <f t="shared" si="141"/>
        <v>#N/A</v>
      </c>
      <c r="H1162" s="3" t="e">
        <f t="shared" si="142"/>
        <v>#N/A</v>
      </c>
      <c r="I1162" s="3" t="e">
        <f t="shared" si="143"/>
        <v>#N/A</v>
      </c>
      <c r="J1162" s="3">
        <v>37543.182280024383</v>
      </c>
      <c r="K1162" s="3">
        <v>4741</v>
      </c>
      <c r="L1162" s="3" t="e">
        <v>#N/A</v>
      </c>
      <c r="M1162" s="3" t="e">
        <v>#N/A</v>
      </c>
      <c r="N1162" s="3" t="e">
        <v>#N/A</v>
      </c>
      <c r="O1162" s="3" t="e">
        <v>#N/A</v>
      </c>
      <c r="P1162" s="3">
        <f>E1162*(VLOOKUP(B1162,Price_data!A$1:B$190,2,FALSE))</f>
        <v>39.812547500000001</v>
      </c>
      <c r="Q1162" s="3" t="e">
        <f>G1162*(VLOOKUP(B1162,Price_data!A$1:B$190,2,FALSE))</f>
        <v>#N/A</v>
      </c>
      <c r="R1162" s="3" t="e">
        <f>I1162*(VLOOKUP(B1162,Price_data!A$1:B$190,2,FALSE))</f>
        <v>#N/A</v>
      </c>
      <c r="S1162" s="4" t="str">
        <f>(VLOOKUP(B1162,Price_data!A$1:C$190,3,FALSE))</f>
        <v>Open access</v>
      </c>
      <c r="T1162" s="2" t="str">
        <f>IF(C1162="Total", (VLOOKUP(B1162,Recommended_fish_intake!A$4:D$122,4,FALSE)), "NA")</f>
        <v>NA</v>
      </c>
      <c r="U1162" s="2" t="str">
        <f t="shared" si="144"/>
        <v>NA</v>
      </c>
    </row>
    <row r="1163" spans="1:21" ht="14.25" customHeight="1">
      <c r="A1163" s="2" t="s">
        <v>18</v>
      </c>
      <c r="B1163" s="2">
        <v>1971</v>
      </c>
      <c r="C1163" s="2" t="s">
        <v>25</v>
      </c>
      <c r="D1163" s="3">
        <f t="shared" si="138"/>
        <v>39.422881528144686</v>
      </c>
      <c r="E1163" s="3">
        <f t="shared" si="139"/>
        <v>6.3040000000000003</v>
      </c>
      <c r="F1163" s="3" t="e">
        <f t="shared" si="140"/>
        <v>#N/A</v>
      </c>
      <c r="G1163" s="3" t="e">
        <f t="shared" si="141"/>
        <v>#N/A</v>
      </c>
      <c r="H1163" s="3" t="e">
        <f t="shared" si="142"/>
        <v>#N/A</v>
      </c>
      <c r="I1163" s="3" t="e">
        <f t="shared" si="143"/>
        <v>#N/A</v>
      </c>
      <c r="J1163" s="3">
        <v>39422.881528144688</v>
      </c>
      <c r="K1163" s="3">
        <v>6304</v>
      </c>
      <c r="L1163" s="3" t="e">
        <v>#N/A</v>
      </c>
      <c r="M1163" s="3" t="e">
        <v>#N/A</v>
      </c>
      <c r="N1163" s="3" t="e">
        <v>#N/A</v>
      </c>
      <c r="O1163" s="3" t="e">
        <v>#N/A</v>
      </c>
      <c r="P1163" s="3">
        <f>E1163*(VLOOKUP(B1163,Price_data!A$1:B$190,2,FALSE))</f>
        <v>52.937840000000008</v>
      </c>
      <c r="Q1163" s="3" t="e">
        <f>G1163*(VLOOKUP(B1163,Price_data!A$1:B$190,2,FALSE))</f>
        <v>#N/A</v>
      </c>
      <c r="R1163" s="3" t="e">
        <f>I1163*(VLOOKUP(B1163,Price_data!A$1:B$190,2,FALSE))</f>
        <v>#N/A</v>
      </c>
      <c r="S1163" s="4" t="str">
        <f>(VLOOKUP(B1163,Price_data!A$1:C$190,3,FALSE))</f>
        <v>Open access</v>
      </c>
      <c r="T1163" s="2" t="str">
        <f>IF(C1163="Total", (VLOOKUP(B1163,Recommended_fish_intake!A$4:D$122,4,FALSE)), "NA")</f>
        <v>NA</v>
      </c>
      <c r="U1163" s="2" t="str">
        <f t="shared" si="144"/>
        <v>NA</v>
      </c>
    </row>
    <row r="1164" spans="1:21" ht="14.25" customHeight="1">
      <c r="A1164" s="2" t="s">
        <v>18</v>
      </c>
      <c r="B1164" s="2">
        <v>1971</v>
      </c>
      <c r="C1164" s="2" t="s">
        <v>38</v>
      </c>
      <c r="D1164" s="3">
        <f t="shared" si="138"/>
        <v>36.476325950010157</v>
      </c>
      <c r="E1164" s="3">
        <f t="shared" si="139"/>
        <v>2.1030000000000002</v>
      </c>
      <c r="F1164" s="3" t="e">
        <f t="shared" si="140"/>
        <v>#N/A</v>
      </c>
      <c r="G1164" s="3" t="e">
        <f t="shared" si="141"/>
        <v>#N/A</v>
      </c>
      <c r="H1164" s="3" t="e">
        <f t="shared" si="142"/>
        <v>#N/A</v>
      </c>
      <c r="I1164" s="3" t="e">
        <f t="shared" si="143"/>
        <v>#N/A</v>
      </c>
      <c r="J1164" s="3">
        <v>36476.325950010156</v>
      </c>
      <c r="K1164" s="3">
        <v>2103</v>
      </c>
      <c r="L1164" s="3" t="e">
        <v>#N/A</v>
      </c>
      <c r="M1164" s="3" t="e">
        <v>#N/A</v>
      </c>
      <c r="N1164" s="3" t="e">
        <v>#N/A</v>
      </c>
      <c r="O1164" s="3" t="e">
        <v>#N/A</v>
      </c>
      <c r="P1164" s="3">
        <f>E1164*(VLOOKUP(B1164,Price_data!A$1:B$190,2,FALSE))</f>
        <v>17.659942500000003</v>
      </c>
      <c r="Q1164" s="3" t="e">
        <f>G1164*(VLOOKUP(B1164,Price_data!A$1:B$190,2,FALSE))</f>
        <v>#N/A</v>
      </c>
      <c r="R1164" s="3" t="e">
        <f>I1164*(VLOOKUP(B1164,Price_data!A$1:B$190,2,FALSE))</f>
        <v>#N/A</v>
      </c>
      <c r="S1164" s="4" t="str">
        <f>(VLOOKUP(B1164,Price_data!A$1:C$190,3,FALSE))</f>
        <v>Open access</v>
      </c>
      <c r="T1164" s="2" t="str">
        <f>IF(C1164="Total", (VLOOKUP(B1164,Recommended_fish_intake!A$4:D$122,4,FALSE)), "NA")</f>
        <v>NA</v>
      </c>
      <c r="U1164" s="2" t="str">
        <f t="shared" si="144"/>
        <v>NA</v>
      </c>
    </row>
    <row r="1165" spans="1:21" ht="14.25" customHeight="1">
      <c r="A1165" s="2" t="s">
        <v>18</v>
      </c>
      <c r="B1165" s="2">
        <v>1971</v>
      </c>
      <c r="C1165" s="2" t="s">
        <v>24</v>
      </c>
      <c r="D1165" s="3">
        <f t="shared" si="138"/>
        <v>5.1818736029262347</v>
      </c>
      <c r="E1165" s="3">
        <f t="shared" si="139"/>
        <v>0.35799999999999998</v>
      </c>
      <c r="F1165" s="3" t="e">
        <f t="shared" si="140"/>
        <v>#N/A</v>
      </c>
      <c r="G1165" s="3" t="e">
        <f t="shared" si="141"/>
        <v>#N/A</v>
      </c>
      <c r="H1165" s="3" t="e">
        <f t="shared" si="142"/>
        <v>#N/A</v>
      </c>
      <c r="I1165" s="3" t="e">
        <f t="shared" si="143"/>
        <v>#N/A</v>
      </c>
      <c r="J1165" s="3">
        <v>5181.8736029262345</v>
      </c>
      <c r="K1165" s="3">
        <v>358</v>
      </c>
      <c r="L1165" s="3" t="e">
        <v>#N/A</v>
      </c>
      <c r="M1165" s="3" t="e">
        <v>#N/A</v>
      </c>
      <c r="N1165" s="3" t="e">
        <v>#N/A</v>
      </c>
      <c r="O1165" s="3" t="e">
        <v>#N/A</v>
      </c>
      <c r="P1165" s="3">
        <f>E1165*(VLOOKUP(B1165,Price_data!A$1:B$190,2,FALSE))</f>
        <v>3.0063050000000002</v>
      </c>
      <c r="Q1165" s="3" t="e">
        <f>G1165*(VLOOKUP(B1165,Price_data!A$1:B$190,2,FALSE))</f>
        <v>#N/A</v>
      </c>
      <c r="R1165" s="3" t="e">
        <f>I1165*(VLOOKUP(B1165,Price_data!A$1:B$190,2,FALSE))</f>
        <v>#N/A</v>
      </c>
      <c r="S1165" s="4" t="str">
        <f>(VLOOKUP(B1165,Price_data!A$1:C$190,3,FALSE))</f>
        <v>Open access</v>
      </c>
      <c r="T1165" s="2" t="str">
        <f>IF(C1165="Total", (VLOOKUP(B1165,Recommended_fish_intake!A$4:D$122,4,FALSE)), "NA")</f>
        <v>NA</v>
      </c>
      <c r="U1165" s="2" t="str">
        <f t="shared" si="144"/>
        <v>NA</v>
      </c>
    </row>
    <row r="1166" spans="1:21" ht="14.25" customHeight="1">
      <c r="A1166" s="2" t="s">
        <v>18</v>
      </c>
      <c r="B1166" s="2">
        <v>1971</v>
      </c>
      <c r="C1166" s="2" t="s">
        <v>19</v>
      </c>
      <c r="D1166" s="3">
        <f t="shared" si="138"/>
        <v>9.9065230644178008</v>
      </c>
      <c r="E1166" s="3">
        <f t="shared" si="139"/>
        <v>0.42</v>
      </c>
      <c r="F1166" s="3" t="e">
        <f t="shared" si="140"/>
        <v>#N/A</v>
      </c>
      <c r="G1166" s="3" t="e">
        <f t="shared" si="141"/>
        <v>#N/A</v>
      </c>
      <c r="H1166" s="3" t="e">
        <f t="shared" si="142"/>
        <v>#N/A</v>
      </c>
      <c r="I1166" s="3" t="e">
        <f t="shared" si="143"/>
        <v>#N/A</v>
      </c>
      <c r="J1166" s="3">
        <v>9906.5230644178009</v>
      </c>
      <c r="K1166" s="3">
        <v>420</v>
      </c>
      <c r="L1166" s="3" t="e">
        <v>#N/A</v>
      </c>
      <c r="M1166" s="3" t="e">
        <v>#N/A</v>
      </c>
      <c r="N1166" s="3" t="e">
        <v>#N/A</v>
      </c>
      <c r="O1166" s="3" t="e">
        <v>#N/A</v>
      </c>
      <c r="P1166" s="3">
        <f>E1166*(VLOOKUP(B1166,Price_data!A$1:B$190,2,FALSE))</f>
        <v>3.5269500000000003</v>
      </c>
      <c r="Q1166" s="3" t="e">
        <f>G1166*(VLOOKUP(B1166,Price_data!A$1:B$190,2,FALSE))</f>
        <v>#N/A</v>
      </c>
      <c r="R1166" s="3" t="e">
        <f>I1166*(VLOOKUP(B1166,Price_data!A$1:B$190,2,FALSE))</f>
        <v>#N/A</v>
      </c>
      <c r="S1166" s="4" t="str">
        <f>(VLOOKUP(B1166,Price_data!A$1:C$190,3,FALSE))</f>
        <v>Open access</v>
      </c>
      <c r="T1166" s="2" t="str">
        <f>IF(C1166="Total", (VLOOKUP(B1166,Recommended_fish_intake!A$4:D$122,4,FALSE)), "NA")</f>
        <v>NA</v>
      </c>
      <c r="U1166" s="2" t="str">
        <f t="shared" si="144"/>
        <v>NA</v>
      </c>
    </row>
    <row r="1167" spans="1:21" ht="14.25" customHeight="1">
      <c r="A1167" s="2" t="s">
        <v>18</v>
      </c>
      <c r="B1167" s="2">
        <v>1971</v>
      </c>
      <c r="C1167" s="2" t="s">
        <v>21</v>
      </c>
      <c r="D1167" s="3">
        <f t="shared" si="138"/>
        <v>27.941475309896362</v>
      </c>
      <c r="E1167" s="3">
        <f t="shared" si="139"/>
        <v>0.377</v>
      </c>
      <c r="F1167" s="3" t="e">
        <f t="shared" si="140"/>
        <v>#N/A</v>
      </c>
      <c r="G1167" s="3" t="e">
        <f t="shared" si="141"/>
        <v>#N/A</v>
      </c>
      <c r="H1167" s="3" t="e">
        <f t="shared" si="142"/>
        <v>#N/A</v>
      </c>
      <c r="I1167" s="3" t="e">
        <f t="shared" si="143"/>
        <v>#N/A</v>
      </c>
      <c r="J1167" s="3">
        <v>27941.475309896363</v>
      </c>
      <c r="K1167" s="3">
        <v>377</v>
      </c>
      <c r="L1167" s="3" t="e">
        <v>#N/A</v>
      </c>
      <c r="M1167" s="3" t="e">
        <v>#N/A</v>
      </c>
      <c r="N1167" s="3" t="e">
        <v>#N/A</v>
      </c>
      <c r="O1167" s="3" t="e">
        <v>#N/A</v>
      </c>
      <c r="P1167" s="3">
        <f>E1167*(VLOOKUP(B1167,Price_data!A$1:B$190,2,FALSE))</f>
        <v>3.1658575000000004</v>
      </c>
      <c r="Q1167" s="3" t="e">
        <f>G1167*(VLOOKUP(B1167,Price_data!A$1:B$190,2,FALSE))</f>
        <v>#N/A</v>
      </c>
      <c r="R1167" s="3" t="e">
        <f>I1167*(VLOOKUP(B1167,Price_data!A$1:B$190,2,FALSE))</f>
        <v>#N/A</v>
      </c>
      <c r="S1167" s="4" t="str">
        <f>(VLOOKUP(B1167,Price_data!A$1:C$190,3,FALSE))</f>
        <v>Open access</v>
      </c>
      <c r="T1167" s="2" t="str">
        <f>IF(C1167="Total", (VLOOKUP(B1167,Recommended_fish_intake!A$4:D$122,4,FALSE)), "NA")</f>
        <v>NA</v>
      </c>
      <c r="U1167" s="2" t="str">
        <f t="shared" si="144"/>
        <v>NA</v>
      </c>
    </row>
    <row r="1168" spans="1:21" ht="14.25" customHeight="1">
      <c r="A1168" s="2" t="s">
        <v>18</v>
      </c>
      <c r="B1168" s="2">
        <v>1971</v>
      </c>
      <c r="C1168" s="2" t="s">
        <v>34</v>
      </c>
      <c r="D1168" s="3">
        <f t="shared" si="138"/>
        <v>0.45722414143466772</v>
      </c>
      <c r="E1168" s="3">
        <f t="shared" si="139"/>
        <v>0.6</v>
      </c>
      <c r="F1168" s="3" t="e">
        <f t="shared" si="140"/>
        <v>#N/A</v>
      </c>
      <c r="G1168" s="3" t="e">
        <f t="shared" si="141"/>
        <v>#N/A</v>
      </c>
      <c r="H1168" s="3" t="e">
        <f t="shared" si="142"/>
        <v>#N/A</v>
      </c>
      <c r="I1168" s="3" t="e">
        <f t="shared" si="143"/>
        <v>#N/A</v>
      </c>
      <c r="J1168" s="3">
        <v>457.22414143466773</v>
      </c>
      <c r="K1168" s="3">
        <v>600</v>
      </c>
      <c r="L1168" s="3" t="e">
        <v>#N/A</v>
      </c>
      <c r="M1168" s="3" t="e">
        <v>#N/A</v>
      </c>
      <c r="N1168" s="3" t="e">
        <v>#N/A</v>
      </c>
      <c r="O1168" s="3" t="e">
        <v>#N/A</v>
      </c>
      <c r="P1168" s="3">
        <f>E1168*(VLOOKUP(B1168,Price_data!A$1:B$190,2,FALSE))</f>
        <v>5.0385</v>
      </c>
      <c r="Q1168" s="3" t="e">
        <f>G1168*(VLOOKUP(B1168,Price_data!A$1:B$190,2,FALSE))</f>
        <v>#N/A</v>
      </c>
      <c r="R1168" s="3" t="e">
        <f>I1168*(VLOOKUP(B1168,Price_data!A$1:B$190,2,FALSE))</f>
        <v>#N/A</v>
      </c>
      <c r="S1168" s="4" t="str">
        <f>(VLOOKUP(B1168,Price_data!A$1:C$190,3,FALSE))</f>
        <v>Open access</v>
      </c>
      <c r="T1168" s="2" t="str">
        <f>IF(C1168="Total", (VLOOKUP(B1168,Recommended_fish_intake!A$4:D$122,4,FALSE)), "NA")</f>
        <v>NA</v>
      </c>
      <c r="U1168" s="2" t="str">
        <f t="shared" si="144"/>
        <v>NA</v>
      </c>
    </row>
    <row r="1169" spans="1:21" ht="14.25" customHeight="1">
      <c r="A1169" s="2" t="s">
        <v>18</v>
      </c>
      <c r="B1169" s="2">
        <v>1971</v>
      </c>
      <c r="C1169" s="2" t="s">
        <v>35</v>
      </c>
      <c r="D1169" s="3">
        <f t="shared" si="138"/>
        <v>1.0668563300142246</v>
      </c>
      <c r="E1169" s="3">
        <f t="shared" si="139"/>
        <v>0.28599999999999998</v>
      </c>
      <c r="F1169" s="3" t="e">
        <f t="shared" si="140"/>
        <v>#N/A</v>
      </c>
      <c r="G1169" s="3" t="e">
        <f t="shared" si="141"/>
        <v>#N/A</v>
      </c>
      <c r="H1169" s="3" t="e">
        <f t="shared" si="142"/>
        <v>#N/A</v>
      </c>
      <c r="I1169" s="3" t="e">
        <f t="shared" si="143"/>
        <v>#N/A</v>
      </c>
      <c r="J1169" s="3">
        <v>1066.8563300142246</v>
      </c>
      <c r="K1169" s="3">
        <v>286</v>
      </c>
      <c r="L1169" s="3" t="e">
        <v>#N/A</v>
      </c>
      <c r="M1169" s="3" t="e">
        <v>#N/A</v>
      </c>
      <c r="N1169" s="3" t="e">
        <v>#N/A</v>
      </c>
      <c r="O1169" s="3" t="e">
        <v>#N/A</v>
      </c>
      <c r="P1169" s="3">
        <f>E1169*(VLOOKUP(B1169,Price_data!A$1:B$190,2,FALSE))</f>
        <v>2.4016850000000001</v>
      </c>
      <c r="Q1169" s="3" t="e">
        <f>G1169*(VLOOKUP(B1169,Price_data!A$1:B$190,2,FALSE))</f>
        <v>#N/A</v>
      </c>
      <c r="R1169" s="3" t="e">
        <f>I1169*(VLOOKUP(B1169,Price_data!A$1:B$190,2,FALSE))</f>
        <v>#N/A</v>
      </c>
      <c r="S1169" s="4" t="str">
        <f>(VLOOKUP(B1169,Price_data!A$1:C$190,3,FALSE))</f>
        <v>Open access</v>
      </c>
      <c r="T1169" s="2" t="str">
        <f>IF(C1169="Total", (VLOOKUP(B1169,Recommended_fish_intake!A$4:D$122,4,FALSE)), "NA")</f>
        <v>NA</v>
      </c>
      <c r="U1169" s="2" t="str">
        <f t="shared" si="144"/>
        <v>NA</v>
      </c>
    </row>
    <row r="1170" spans="1:21" ht="14.25" customHeight="1">
      <c r="A1170" s="2" t="s">
        <v>18</v>
      </c>
      <c r="B1170" s="2">
        <v>1971</v>
      </c>
      <c r="C1170" s="2" t="s">
        <v>30</v>
      </c>
      <c r="D1170" s="3">
        <f t="shared" si="138"/>
        <v>1.1684616947774842</v>
      </c>
      <c r="E1170" s="3">
        <f t="shared" si="139"/>
        <v>0.217</v>
      </c>
      <c r="F1170" s="3" t="e">
        <f t="shared" si="140"/>
        <v>#N/A</v>
      </c>
      <c r="G1170" s="3" t="e">
        <f t="shared" si="141"/>
        <v>#N/A</v>
      </c>
      <c r="H1170" s="3" t="e">
        <f t="shared" si="142"/>
        <v>#N/A</v>
      </c>
      <c r="I1170" s="3" t="e">
        <f t="shared" si="143"/>
        <v>#N/A</v>
      </c>
      <c r="J1170" s="3">
        <v>1168.4616947774841</v>
      </c>
      <c r="K1170" s="3">
        <v>217</v>
      </c>
      <c r="L1170" s="3" t="e">
        <v>#N/A</v>
      </c>
      <c r="M1170" s="3" t="e">
        <v>#N/A</v>
      </c>
      <c r="N1170" s="3" t="e">
        <v>#N/A</v>
      </c>
      <c r="O1170" s="3" t="e">
        <v>#N/A</v>
      </c>
      <c r="P1170" s="3">
        <f>E1170*(VLOOKUP(B1170,Price_data!A$1:B$190,2,FALSE))</f>
        <v>1.8222575000000001</v>
      </c>
      <c r="Q1170" s="3" t="e">
        <f>G1170*(VLOOKUP(B1170,Price_data!A$1:B$190,2,FALSE))</f>
        <v>#N/A</v>
      </c>
      <c r="R1170" s="3" t="e">
        <f>I1170*(VLOOKUP(B1170,Price_data!A$1:B$190,2,FALSE))</f>
        <v>#N/A</v>
      </c>
      <c r="S1170" s="4" t="str">
        <f>(VLOOKUP(B1170,Price_data!A$1:C$190,3,FALSE))</f>
        <v>Open access</v>
      </c>
      <c r="T1170" s="2" t="str">
        <f>IF(C1170="Total", (VLOOKUP(B1170,Recommended_fish_intake!A$4:D$122,4,FALSE)), "NA")</f>
        <v>NA</v>
      </c>
      <c r="U1170" s="2" t="str">
        <f t="shared" si="144"/>
        <v>NA</v>
      </c>
    </row>
    <row r="1171" spans="1:21" ht="14.25" customHeight="1">
      <c r="A1171" s="2" t="s">
        <v>18</v>
      </c>
      <c r="B1171" s="2">
        <v>1971</v>
      </c>
      <c r="C1171" s="2" t="s">
        <v>36</v>
      </c>
      <c r="D1171" s="3">
        <f t="shared" si="138"/>
        <v>4.1150172729120094</v>
      </c>
      <c r="E1171" s="3">
        <f t="shared" si="139"/>
        <v>0.54400000000000004</v>
      </c>
      <c r="F1171" s="3" t="e">
        <f t="shared" si="140"/>
        <v>#N/A</v>
      </c>
      <c r="G1171" s="3" t="e">
        <f t="shared" si="141"/>
        <v>#N/A</v>
      </c>
      <c r="H1171" s="3" t="e">
        <f t="shared" si="142"/>
        <v>#N/A</v>
      </c>
      <c r="I1171" s="3" t="e">
        <f t="shared" si="143"/>
        <v>#N/A</v>
      </c>
      <c r="J1171" s="3">
        <v>4115.0172729120095</v>
      </c>
      <c r="K1171" s="3">
        <v>544</v>
      </c>
      <c r="L1171" s="3" t="e">
        <v>#N/A</v>
      </c>
      <c r="M1171" s="3" t="e">
        <v>#N/A</v>
      </c>
      <c r="N1171" s="3" t="e">
        <v>#N/A</v>
      </c>
      <c r="O1171" s="3" t="e">
        <v>#N/A</v>
      </c>
      <c r="P1171" s="3">
        <f>E1171*(VLOOKUP(B1171,Price_data!A$1:B$190,2,FALSE))</f>
        <v>4.5682400000000012</v>
      </c>
      <c r="Q1171" s="3" t="e">
        <f>G1171*(VLOOKUP(B1171,Price_data!A$1:B$190,2,FALSE))</f>
        <v>#N/A</v>
      </c>
      <c r="R1171" s="3" t="e">
        <f>I1171*(VLOOKUP(B1171,Price_data!A$1:B$190,2,FALSE))</f>
        <v>#N/A</v>
      </c>
      <c r="S1171" s="4" t="str">
        <f>(VLOOKUP(B1171,Price_data!A$1:C$190,3,FALSE))</f>
        <v>Open access</v>
      </c>
      <c r="T1171" s="2" t="str">
        <f>IF(C1171="Total", (VLOOKUP(B1171,Recommended_fish_intake!A$4:D$122,4,FALSE)), "NA")</f>
        <v>NA</v>
      </c>
      <c r="U1171" s="2" t="str">
        <f t="shared" si="144"/>
        <v>NA</v>
      </c>
    </row>
    <row r="1172" spans="1:21" ht="14.25" customHeight="1">
      <c r="A1172" s="2" t="s">
        <v>18</v>
      </c>
      <c r="B1172" s="2">
        <v>1971</v>
      </c>
      <c r="C1172" s="2" t="s">
        <v>28</v>
      </c>
      <c r="D1172" s="3">
        <f t="shared" si="138"/>
        <v>28.195488721804509</v>
      </c>
      <c r="E1172" s="3">
        <f t="shared" si="139"/>
        <v>2.5790000000000002</v>
      </c>
      <c r="F1172" s="3" t="e">
        <f t="shared" si="140"/>
        <v>#N/A</v>
      </c>
      <c r="G1172" s="3" t="e">
        <f t="shared" si="141"/>
        <v>#N/A</v>
      </c>
      <c r="H1172" s="3" t="e">
        <f t="shared" si="142"/>
        <v>#N/A</v>
      </c>
      <c r="I1172" s="3" t="e">
        <f t="shared" si="143"/>
        <v>#N/A</v>
      </c>
      <c r="J1172" s="3">
        <v>28195.488721804508</v>
      </c>
      <c r="K1172" s="3">
        <v>2579</v>
      </c>
      <c r="L1172" s="3" t="e">
        <v>#N/A</v>
      </c>
      <c r="M1172" s="3" t="e">
        <v>#N/A</v>
      </c>
      <c r="N1172" s="3" t="e">
        <v>#N/A</v>
      </c>
      <c r="O1172" s="3" t="e">
        <v>#N/A</v>
      </c>
      <c r="P1172" s="3">
        <f>E1172*(VLOOKUP(B1172,Price_data!A$1:B$190,2,FALSE))</f>
        <v>21.657152500000002</v>
      </c>
      <c r="Q1172" s="3" t="e">
        <f>G1172*(VLOOKUP(B1172,Price_data!A$1:B$190,2,FALSE))</f>
        <v>#N/A</v>
      </c>
      <c r="R1172" s="3" t="e">
        <f>I1172*(VLOOKUP(B1172,Price_data!A$1:B$190,2,FALSE))</f>
        <v>#N/A</v>
      </c>
      <c r="S1172" s="4" t="str">
        <f>(VLOOKUP(B1172,Price_data!A$1:C$190,3,FALSE))</f>
        <v>Open access</v>
      </c>
      <c r="T1172" s="2" t="str">
        <f>IF(C1172="Total", (VLOOKUP(B1172,Recommended_fish_intake!A$4:D$122,4,FALSE)), "NA")</f>
        <v>NA</v>
      </c>
      <c r="U1172" s="2">
        <f t="shared" si="144"/>
        <v>7.8947368421052628</v>
      </c>
    </row>
    <row r="1173" spans="1:21" ht="14.25" customHeight="1">
      <c r="A1173" s="2" t="s">
        <v>18</v>
      </c>
      <c r="B1173" s="2">
        <v>1971</v>
      </c>
      <c r="C1173" s="2" t="s">
        <v>37</v>
      </c>
      <c r="D1173" s="3">
        <f t="shared" si="138"/>
        <v>482.57467994310099</v>
      </c>
      <c r="E1173" s="3">
        <f t="shared" si="139"/>
        <v>54.226999999999997</v>
      </c>
      <c r="F1173" s="3" t="e">
        <f t="shared" si="140"/>
        <v>#N/A</v>
      </c>
      <c r="G1173" s="3" t="e">
        <f t="shared" si="141"/>
        <v>#N/A</v>
      </c>
      <c r="H1173" s="3" t="e">
        <f t="shared" si="142"/>
        <v>#N/A</v>
      </c>
      <c r="I1173" s="3" t="e">
        <f t="shared" si="143"/>
        <v>#N/A</v>
      </c>
      <c r="J1173" s="3">
        <v>482574.67994310101</v>
      </c>
      <c r="K1173" s="3">
        <v>54227</v>
      </c>
      <c r="L1173" s="3" t="e">
        <v>#N/A</v>
      </c>
      <c r="M1173" s="3" t="e">
        <v>#N/A</v>
      </c>
      <c r="N1173" s="3" t="e">
        <v>#N/A</v>
      </c>
      <c r="O1173" s="3" t="e">
        <v>#N/A</v>
      </c>
      <c r="P1173" s="3">
        <f>E1173*(VLOOKUP(B1173,Price_data!A$1:B$190,2,FALSE))</f>
        <v>455.37123250000002</v>
      </c>
      <c r="Q1173" s="3" t="e">
        <f>G1173*(VLOOKUP(B1173,Price_data!A$1:B$190,2,FALSE))</f>
        <v>#N/A</v>
      </c>
      <c r="R1173" s="3" t="e">
        <f>I1173*(VLOOKUP(B1173,Price_data!A$1:B$190,2,FALSE))</f>
        <v>#N/A</v>
      </c>
      <c r="S1173" s="4" t="str">
        <f>(VLOOKUP(B1173,Price_data!A$1:C$190,3,FALSE))</f>
        <v>Open access</v>
      </c>
      <c r="T1173" s="2" t="str">
        <f>IF(C1173="Total", (VLOOKUP(B1173,Recommended_fish_intake!A$4:D$122,4,FALSE)), "NA")</f>
        <v>NA</v>
      </c>
      <c r="U1173" s="2">
        <f t="shared" si="144"/>
        <v>236.46159317211948</v>
      </c>
    </row>
    <row r="1174" spans="1:21" ht="14.25" customHeight="1">
      <c r="A1174" s="2" t="s">
        <v>39</v>
      </c>
      <c r="B1174" s="2">
        <v>1971</v>
      </c>
      <c r="C1174" s="2" t="s">
        <v>22</v>
      </c>
      <c r="D1174" s="3">
        <f t="shared" si="138"/>
        <v>47.856126803495222</v>
      </c>
      <c r="E1174" s="3">
        <f t="shared" si="139"/>
        <v>6.0679999999999996</v>
      </c>
      <c r="F1174" s="3" t="e">
        <f t="shared" si="140"/>
        <v>#N/A</v>
      </c>
      <c r="G1174" s="3" t="e">
        <f t="shared" si="141"/>
        <v>#N/A</v>
      </c>
      <c r="H1174" s="3" t="e">
        <f t="shared" si="142"/>
        <v>#N/A</v>
      </c>
      <c r="I1174" s="3" t="e">
        <f t="shared" si="143"/>
        <v>#N/A</v>
      </c>
      <c r="J1174" s="3">
        <v>47856.126803495223</v>
      </c>
      <c r="K1174" s="3">
        <v>6068</v>
      </c>
      <c r="L1174" s="3" t="e">
        <v>#N/A</v>
      </c>
      <c r="M1174" s="3" t="e">
        <v>#N/A</v>
      </c>
      <c r="N1174" s="3" t="e">
        <v>#N/A</v>
      </c>
      <c r="O1174" s="3" t="e">
        <v>#N/A</v>
      </c>
      <c r="P1174" s="3">
        <f>E1174*(VLOOKUP(B1174,Price_data!A$1:B$190,2,FALSE))</f>
        <v>50.956030000000005</v>
      </c>
      <c r="Q1174" s="3" t="e">
        <f>G1174*(VLOOKUP(B1174,Price_data!A$1:B$190,2,FALSE))</f>
        <v>#N/A</v>
      </c>
      <c r="R1174" s="3" t="e">
        <f>I1174*(VLOOKUP(B1174,Price_data!A$1:B$190,2,FALSE))</f>
        <v>#N/A</v>
      </c>
      <c r="S1174" s="4" t="str">
        <f>(VLOOKUP(B1174,Price_data!A$1:C$190,3,FALSE))</f>
        <v>Open access</v>
      </c>
      <c r="T1174" s="2" t="str">
        <f>IF(C1174="Total", (VLOOKUP(B1174,Recommended_fish_intake!A$4:D$122,4,FALSE)), "NA")</f>
        <v>NA</v>
      </c>
      <c r="U1174" s="2" t="str">
        <f t="shared" si="144"/>
        <v>NA</v>
      </c>
    </row>
    <row r="1175" spans="1:21" ht="14.25" customHeight="1">
      <c r="A1175" s="2" t="s">
        <v>39</v>
      </c>
      <c r="B1175" s="2">
        <v>1971</v>
      </c>
      <c r="C1175" s="2" t="s">
        <v>23</v>
      </c>
      <c r="D1175" s="3">
        <f t="shared" si="138"/>
        <v>143.66998577524893</v>
      </c>
      <c r="E1175" s="3">
        <f t="shared" si="139"/>
        <v>12.547000000000001</v>
      </c>
      <c r="F1175" s="3" t="e">
        <f t="shared" si="140"/>
        <v>#N/A</v>
      </c>
      <c r="G1175" s="3" t="e">
        <f t="shared" si="141"/>
        <v>#N/A</v>
      </c>
      <c r="H1175" s="3" t="e">
        <f t="shared" si="142"/>
        <v>#N/A</v>
      </c>
      <c r="I1175" s="3" t="e">
        <f t="shared" si="143"/>
        <v>#N/A</v>
      </c>
      <c r="J1175" s="3">
        <v>143669.98577524893</v>
      </c>
      <c r="K1175" s="3">
        <v>12547</v>
      </c>
      <c r="L1175" s="3" t="e">
        <v>#N/A</v>
      </c>
      <c r="M1175" s="3" t="e">
        <v>#N/A</v>
      </c>
      <c r="N1175" s="3" t="e">
        <v>#N/A</v>
      </c>
      <c r="O1175" s="3" t="e">
        <v>#N/A</v>
      </c>
      <c r="P1175" s="3">
        <f>E1175*(VLOOKUP(B1175,Price_data!A$1:B$190,2,FALSE))</f>
        <v>105.36343250000002</v>
      </c>
      <c r="Q1175" s="3" t="e">
        <f>G1175*(VLOOKUP(B1175,Price_data!A$1:B$190,2,FALSE))</f>
        <v>#N/A</v>
      </c>
      <c r="R1175" s="3" t="e">
        <f>I1175*(VLOOKUP(B1175,Price_data!A$1:B$190,2,FALSE))</f>
        <v>#N/A</v>
      </c>
      <c r="S1175" s="4" t="str">
        <f>(VLOOKUP(B1175,Price_data!A$1:C$190,3,FALSE))</f>
        <v>Open access</v>
      </c>
      <c r="T1175" s="2" t="str">
        <f>IF(C1175="Total", (VLOOKUP(B1175,Recommended_fish_intake!A$4:D$122,4,FALSE)), "NA")</f>
        <v>NA</v>
      </c>
      <c r="U1175" s="2" t="str">
        <f t="shared" si="144"/>
        <v>NA</v>
      </c>
    </row>
    <row r="1176" spans="1:21" ht="14.25" customHeight="1">
      <c r="A1176" s="2" t="s">
        <v>39</v>
      </c>
      <c r="B1176" s="2">
        <v>1971</v>
      </c>
      <c r="C1176" s="2" t="s">
        <v>25</v>
      </c>
      <c r="D1176" s="3">
        <f t="shared" si="138"/>
        <v>4.7754521438731965</v>
      </c>
      <c r="E1176" s="3">
        <f t="shared" si="139"/>
        <v>0.76500000000000001</v>
      </c>
      <c r="F1176" s="3" t="e">
        <f t="shared" si="140"/>
        <v>#N/A</v>
      </c>
      <c r="G1176" s="3" t="e">
        <f t="shared" si="141"/>
        <v>#N/A</v>
      </c>
      <c r="H1176" s="3" t="e">
        <f t="shared" si="142"/>
        <v>#N/A</v>
      </c>
      <c r="I1176" s="3" t="e">
        <f t="shared" si="143"/>
        <v>#N/A</v>
      </c>
      <c r="J1176" s="3">
        <v>4775.4521438731963</v>
      </c>
      <c r="K1176" s="3">
        <v>765</v>
      </c>
      <c r="L1176" s="3" t="e">
        <v>#N/A</v>
      </c>
      <c r="M1176" s="3" t="e">
        <v>#N/A</v>
      </c>
      <c r="N1176" s="3" t="e">
        <v>#N/A</v>
      </c>
      <c r="O1176" s="3" t="e">
        <v>#N/A</v>
      </c>
      <c r="P1176" s="3">
        <f>E1176*(VLOOKUP(B1176,Price_data!A$1:B$190,2,FALSE))</f>
        <v>6.4240875000000006</v>
      </c>
      <c r="Q1176" s="3" t="e">
        <f>G1176*(VLOOKUP(B1176,Price_data!A$1:B$190,2,FALSE))</f>
        <v>#N/A</v>
      </c>
      <c r="R1176" s="3" t="e">
        <f>I1176*(VLOOKUP(B1176,Price_data!A$1:B$190,2,FALSE))</f>
        <v>#N/A</v>
      </c>
      <c r="S1176" s="4" t="str">
        <f>(VLOOKUP(B1176,Price_data!A$1:C$190,3,FALSE))</f>
        <v>Open access</v>
      </c>
      <c r="T1176" s="2" t="str">
        <f>IF(C1176="Total", (VLOOKUP(B1176,Recommended_fish_intake!A$4:D$122,4,FALSE)), "NA")</f>
        <v>NA</v>
      </c>
      <c r="U1176" s="2" t="str">
        <f t="shared" si="144"/>
        <v>NA</v>
      </c>
    </row>
    <row r="1177" spans="1:21" ht="14.25" customHeight="1">
      <c r="A1177" s="2" t="s">
        <v>39</v>
      </c>
      <c r="B1177" s="2">
        <v>1971</v>
      </c>
      <c r="C1177" s="2" t="s">
        <v>38</v>
      </c>
      <c r="D1177" s="3">
        <f t="shared" si="138"/>
        <v>16.510871774029667</v>
      </c>
      <c r="E1177" s="3">
        <f t="shared" si="139"/>
        <v>0.85399999999999998</v>
      </c>
      <c r="F1177" s="3" t="e">
        <f t="shared" si="140"/>
        <v>#N/A</v>
      </c>
      <c r="G1177" s="3" t="e">
        <f t="shared" si="141"/>
        <v>#N/A</v>
      </c>
      <c r="H1177" s="3" t="e">
        <f t="shared" si="142"/>
        <v>#N/A</v>
      </c>
      <c r="I1177" s="3" t="e">
        <f t="shared" si="143"/>
        <v>#N/A</v>
      </c>
      <c r="J1177" s="3">
        <v>16510.871774029667</v>
      </c>
      <c r="K1177" s="3">
        <v>854</v>
      </c>
      <c r="L1177" s="3" t="e">
        <v>#N/A</v>
      </c>
      <c r="M1177" s="3" t="e">
        <v>#N/A</v>
      </c>
      <c r="N1177" s="3" t="e">
        <v>#N/A</v>
      </c>
      <c r="O1177" s="3" t="e">
        <v>#N/A</v>
      </c>
      <c r="P1177" s="3">
        <f>E1177*(VLOOKUP(B1177,Price_data!A$1:B$190,2,FALSE))</f>
        <v>7.1714650000000004</v>
      </c>
      <c r="Q1177" s="3" t="e">
        <f>G1177*(VLOOKUP(B1177,Price_data!A$1:B$190,2,FALSE))</f>
        <v>#N/A</v>
      </c>
      <c r="R1177" s="3" t="e">
        <f>I1177*(VLOOKUP(B1177,Price_data!A$1:B$190,2,FALSE))</f>
        <v>#N/A</v>
      </c>
      <c r="S1177" s="4" t="str">
        <f>(VLOOKUP(B1177,Price_data!A$1:C$190,3,FALSE))</f>
        <v>Open access</v>
      </c>
      <c r="T1177" s="2" t="str">
        <f>IF(C1177="Total", (VLOOKUP(B1177,Recommended_fish_intake!A$4:D$122,4,FALSE)), "NA")</f>
        <v>NA</v>
      </c>
      <c r="U1177" s="2" t="str">
        <f t="shared" si="144"/>
        <v>NA</v>
      </c>
    </row>
    <row r="1178" spans="1:21" ht="14.25" customHeight="1">
      <c r="A1178" s="2" t="s">
        <v>39</v>
      </c>
      <c r="B1178" s="2">
        <v>1971</v>
      </c>
      <c r="C1178" s="2" t="s">
        <v>24</v>
      </c>
      <c r="D1178" s="3">
        <f t="shared" si="138"/>
        <v>34.139402560455189</v>
      </c>
      <c r="E1178" s="3">
        <f t="shared" si="139"/>
        <v>2.4750000000000001</v>
      </c>
      <c r="F1178" s="3" t="e">
        <f t="shared" si="140"/>
        <v>#N/A</v>
      </c>
      <c r="G1178" s="3" t="e">
        <f t="shared" si="141"/>
        <v>#N/A</v>
      </c>
      <c r="H1178" s="3" t="e">
        <f t="shared" si="142"/>
        <v>#N/A</v>
      </c>
      <c r="I1178" s="3" t="e">
        <f t="shared" si="143"/>
        <v>#N/A</v>
      </c>
      <c r="J1178" s="3">
        <v>34139.402560455186</v>
      </c>
      <c r="K1178" s="3">
        <v>2475</v>
      </c>
      <c r="L1178" s="3" t="e">
        <v>#N/A</v>
      </c>
      <c r="M1178" s="3" t="e">
        <v>#N/A</v>
      </c>
      <c r="N1178" s="3" t="e">
        <v>#N/A</v>
      </c>
      <c r="O1178" s="3" t="e">
        <v>#N/A</v>
      </c>
      <c r="P1178" s="3">
        <f>E1178*(VLOOKUP(B1178,Price_data!A$1:B$190,2,FALSE))</f>
        <v>20.783812500000003</v>
      </c>
      <c r="Q1178" s="3" t="e">
        <f>G1178*(VLOOKUP(B1178,Price_data!A$1:B$190,2,FALSE))</f>
        <v>#N/A</v>
      </c>
      <c r="R1178" s="3" t="e">
        <f>I1178*(VLOOKUP(B1178,Price_data!A$1:B$190,2,FALSE))</f>
        <v>#N/A</v>
      </c>
      <c r="S1178" s="4" t="str">
        <f>(VLOOKUP(B1178,Price_data!A$1:C$190,3,FALSE))</f>
        <v>Open access</v>
      </c>
      <c r="T1178" s="2" t="str">
        <f>IF(C1178="Total", (VLOOKUP(B1178,Recommended_fish_intake!A$4:D$122,4,FALSE)), "NA")</f>
        <v>NA</v>
      </c>
      <c r="U1178" s="2" t="str">
        <f t="shared" si="144"/>
        <v>NA</v>
      </c>
    </row>
    <row r="1179" spans="1:21" ht="14.25" customHeight="1">
      <c r="A1179" s="2" t="s">
        <v>39</v>
      </c>
      <c r="B1179" s="2">
        <v>1971</v>
      </c>
      <c r="C1179" s="2" t="s">
        <v>19</v>
      </c>
      <c r="D1179" s="3">
        <f t="shared" si="138"/>
        <v>132.84901442796178</v>
      </c>
      <c r="E1179" s="3">
        <f t="shared" si="139"/>
        <v>4.4290000000000003</v>
      </c>
      <c r="F1179" s="3" t="e">
        <f t="shared" si="140"/>
        <v>#N/A</v>
      </c>
      <c r="G1179" s="3" t="e">
        <f t="shared" si="141"/>
        <v>#N/A</v>
      </c>
      <c r="H1179" s="3" t="e">
        <f t="shared" si="142"/>
        <v>#N/A</v>
      </c>
      <c r="I1179" s="3" t="e">
        <f t="shared" si="143"/>
        <v>#N/A</v>
      </c>
      <c r="J1179" s="3">
        <v>132849.01442796178</v>
      </c>
      <c r="K1179" s="3">
        <v>4429</v>
      </c>
      <c r="L1179" s="3" t="e">
        <v>#N/A</v>
      </c>
      <c r="M1179" s="3" t="e">
        <v>#N/A</v>
      </c>
      <c r="N1179" s="3" t="e">
        <v>#N/A</v>
      </c>
      <c r="O1179" s="3" t="e">
        <v>#N/A</v>
      </c>
      <c r="P1179" s="3">
        <f>E1179*(VLOOKUP(B1179,Price_data!A$1:B$190,2,FALSE))</f>
        <v>37.192527500000004</v>
      </c>
      <c r="Q1179" s="3" t="e">
        <f>G1179*(VLOOKUP(B1179,Price_data!A$1:B$190,2,FALSE))</f>
        <v>#N/A</v>
      </c>
      <c r="R1179" s="3" t="e">
        <f>I1179*(VLOOKUP(B1179,Price_data!A$1:B$190,2,FALSE))</f>
        <v>#N/A</v>
      </c>
      <c r="S1179" s="4" t="str">
        <f>(VLOOKUP(B1179,Price_data!A$1:C$190,3,FALSE))</f>
        <v>Open access</v>
      </c>
      <c r="T1179" s="2" t="str">
        <f>IF(C1179="Total", (VLOOKUP(B1179,Recommended_fish_intake!A$4:D$122,4,FALSE)), "NA")</f>
        <v>NA</v>
      </c>
      <c r="U1179" s="2" t="str">
        <f t="shared" si="144"/>
        <v>NA</v>
      </c>
    </row>
    <row r="1180" spans="1:21" ht="14.25" customHeight="1">
      <c r="A1180" s="2" t="s">
        <v>39</v>
      </c>
      <c r="B1180" s="2">
        <v>1971</v>
      </c>
      <c r="C1180" s="2" t="s">
        <v>21</v>
      </c>
      <c r="D1180" s="3">
        <f t="shared" si="138"/>
        <v>23.470839260312943</v>
      </c>
      <c r="E1180" s="3">
        <f t="shared" si="139"/>
        <v>0.42599999999999999</v>
      </c>
      <c r="F1180" s="3" t="e">
        <f t="shared" si="140"/>
        <v>#N/A</v>
      </c>
      <c r="G1180" s="3" t="e">
        <f t="shared" si="141"/>
        <v>#N/A</v>
      </c>
      <c r="H1180" s="3" t="e">
        <f t="shared" si="142"/>
        <v>#N/A</v>
      </c>
      <c r="I1180" s="3" t="e">
        <f t="shared" si="143"/>
        <v>#N/A</v>
      </c>
      <c r="J1180" s="3">
        <v>23470.839260312943</v>
      </c>
      <c r="K1180" s="3">
        <v>426</v>
      </c>
      <c r="L1180" s="3" t="e">
        <v>#N/A</v>
      </c>
      <c r="M1180" s="3" t="e">
        <v>#N/A</v>
      </c>
      <c r="N1180" s="3" t="e">
        <v>#N/A</v>
      </c>
      <c r="O1180" s="3" t="e">
        <v>#N/A</v>
      </c>
      <c r="P1180" s="3">
        <f>E1180*(VLOOKUP(B1180,Price_data!A$1:B$190,2,FALSE))</f>
        <v>3.5773350000000002</v>
      </c>
      <c r="Q1180" s="3" t="e">
        <f>G1180*(VLOOKUP(B1180,Price_data!A$1:B$190,2,FALSE))</f>
        <v>#N/A</v>
      </c>
      <c r="R1180" s="3" t="e">
        <f>I1180*(VLOOKUP(B1180,Price_data!A$1:B$190,2,FALSE))</f>
        <v>#N/A</v>
      </c>
      <c r="S1180" s="4" t="str">
        <f>(VLOOKUP(B1180,Price_data!A$1:C$190,3,FALSE))</f>
        <v>Open access</v>
      </c>
      <c r="T1180" s="2" t="str">
        <f>IF(C1180="Total", (VLOOKUP(B1180,Recommended_fish_intake!A$4:D$122,4,FALSE)), "NA")</f>
        <v>NA</v>
      </c>
      <c r="U1180" s="2" t="str">
        <f t="shared" si="144"/>
        <v>NA</v>
      </c>
    </row>
    <row r="1181" spans="1:21" ht="14.25" customHeight="1">
      <c r="A1181" s="2" t="s">
        <v>39</v>
      </c>
      <c r="B1181" s="2">
        <v>1971</v>
      </c>
      <c r="C1181" s="2" t="s">
        <v>34</v>
      </c>
      <c r="D1181" s="3">
        <f t="shared" si="138"/>
        <v>0.66043487096118669</v>
      </c>
      <c r="E1181" s="3">
        <f t="shared" si="139"/>
        <v>0.90500000000000003</v>
      </c>
      <c r="F1181" s="3" t="e">
        <f t="shared" si="140"/>
        <v>#N/A</v>
      </c>
      <c r="G1181" s="3" t="e">
        <f t="shared" si="141"/>
        <v>#N/A</v>
      </c>
      <c r="H1181" s="3" t="e">
        <f t="shared" si="142"/>
        <v>#N/A</v>
      </c>
      <c r="I1181" s="3" t="e">
        <f t="shared" si="143"/>
        <v>#N/A</v>
      </c>
      <c r="J1181" s="3">
        <v>660.43487096118668</v>
      </c>
      <c r="K1181" s="3">
        <v>905</v>
      </c>
      <c r="L1181" s="3" t="e">
        <v>#N/A</v>
      </c>
      <c r="M1181" s="3" t="e">
        <v>#N/A</v>
      </c>
      <c r="N1181" s="3" t="e">
        <v>#N/A</v>
      </c>
      <c r="O1181" s="3" t="e">
        <v>#N/A</v>
      </c>
      <c r="P1181" s="3">
        <f>E1181*(VLOOKUP(B1181,Price_data!A$1:B$190,2,FALSE))</f>
        <v>7.5997375000000007</v>
      </c>
      <c r="Q1181" s="3" t="e">
        <f>G1181*(VLOOKUP(B1181,Price_data!A$1:B$190,2,FALSE))</f>
        <v>#N/A</v>
      </c>
      <c r="R1181" s="3" t="e">
        <f>I1181*(VLOOKUP(B1181,Price_data!A$1:B$190,2,FALSE))</f>
        <v>#N/A</v>
      </c>
      <c r="S1181" s="4" t="str">
        <f>(VLOOKUP(B1181,Price_data!A$1:C$190,3,FALSE))</f>
        <v>Open access</v>
      </c>
      <c r="T1181" s="2" t="str">
        <f>IF(C1181="Total", (VLOOKUP(B1181,Recommended_fish_intake!A$4:D$122,4,FALSE)), "NA")</f>
        <v>NA</v>
      </c>
      <c r="U1181" s="2" t="str">
        <f t="shared" si="144"/>
        <v>NA</v>
      </c>
    </row>
    <row r="1182" spans="1:21" ht="14.25" customHeight="1">
      <c r="A1182" s="2" t="s">
        <v>39</v>
      </c>
      <c r="B1182" s="2">
        <v>1971</v>
      </c>
      <c r="C1182" s="2" t="s">
        <v>35</v>
      </c>
      <c r="D1182" s="3">
        <f t="shared" si="138"/>
        <v>9.0428774639300951</v>
      </c>
      <c r="E1182" s="3">
        <f t="shared" si="139"/>
        <v>2.1150000000000002</v>
      </c>
      <c r="F1182" s="3" t="e">
        <f t="shared" si="140"/>
        <v>#N/A</v>
      </c>
      <c r="G1182" s="3" t="e">
        <f t="shared" si="141"/>
        <v>#N/A</v>
      </c>
      <c r="H1182" s="3" t="e">
        <f t="shared" si="142"/>
        <v>#N/A</v>
      </c>
      <c r="I1182" s="3" t="e">
        <f t="shared" si="143"/>
        <v>#N/A</v>
      </c>
      <c r="J1182" s="3">
        <v>9042.8774639300955</v>
      </c>
      <c r="K1182" s="3">
        <v>2115</v>
      </c>
      <c r="L1182" s="3" t="e">
        <v>#N/A</v>
      </c>
      <c r="M1182" s="3" t="e">
        <v>#N/A</v>
      </c>
      <c r="N1182" s="3" t="e">
        <v>#N/A</v>
      </c>
      <c r="O1182" s="3" t="e">
        <v>#N/A</v>
      </c>
      <c r="P1182" s="3">
        <f>E1182*(VLOOKUP(B1182,Price_data!A$1:B$190,2,FALSE))</f>
        <v>17.760712500000004</v>
      </c>
      <c r="Q1182" s="3" t="e">
        <f>G1182*(VLOOKUP(B1182,Price_data!A$1:B$190,2,FALSE))</f>
        <v>#N/A</v>
      </c>
      <c r="R1182" s="3" t="e">
        <f>I1182*(VLOOKUP(B1182,Price_data!A$1:B$190,2,FALSE))</f>
        <v>#N/A</v>
      </c>
      <c r="S1182" s="4" t="str">
        <f>(VLOOKUP(B1182,Price_data!A$1:C$190,3,FALSE))</f>
        <v>Open access</v>
      </c>
      <c r="T1182" s="2" t="str">
        <f>IF(C1182="Total", (VLOOKUP(B1182,Recommended_fish_intake!A$4:D$122,4,FALSE)), "NA")</f>
        <v>NA</v>
      </c>
      <c r="U1182" s="2" t="str">
        <f t="shared" si="144"/>
        <v>NA</v>
      </c>
    </row>
    <row r="1183" spans="1:21" ht="14.25" customHeight="1">
      <c r="A1183" s="2" t="s">
        <v>39</v>
      </c>
      <c r="B1183" s="2">
        <v>1971</v>
      </c>
      <c r="C1183" s="2" t="s">
        <v>30</v>
      </c>
      <c r="D1183" s="3">
        <f t="shared" si="138"/>
        <v>0.45722414143466772</v>
      </c>
      <c r="E1183" s="3">
        <f t="shared" si="139"/>
        <v>8.5999999999999993E-2</v>
      </c>
      <c r="F1183" s="3" t="e">
        <f t="shared" si="140"/>
        <v>#N/A</v>
      </c>
      <c r="G1183" s="3" t="e">
        <f t="shared" si="141"/>
        <v>#N/A</v>
      </c>
      <c r="H1183" s="3" t="e">
        <f t="shared" si="142"/>
        <v>#N/A</v>
      </c>
      <c r="I1183" s="3" t="e">
        <f t="shared" si="143"/>
        <v>#N/A</v>
      </c>
      <c r="J1183" s="3">
        <v>457.22414143466773</v>
      </c>
      <c r="K1183" s="3">
        <v>86</v>
      </c>
      <c r="L1183" s="3" t="e">
        <v>#N/A</v>
      </c>
      <c r="M1183" s="3" t="e">
        <v>#N/A</v>
      </c>
      <c r="N1183" s="3" t="e">
        <v>#N/A</v>
      </c>
      <c r="O1183" s="3" t="e">
        <v>#N/A</v>
      </c>
      <c r="P1183" s="3">
        <f>E1183*(VLOOKUP(B1183,Price_data!A$1:B$190,2,FALSE))</f>
        <v>0.72218499999999997</v>
      </c>
      <c r="Q1183" s="3" t="e">
        <f>G1183*(VLOOKUP(B1183,Price_data!A$1:B$190,2,FALSE))</f>
        <v>#N/A</v>
      </c>
      <c r="R1183" s="3" t="e">
        <f>I1183*(VLOOKUP(B1183,Price_data!A$1:B$190,2,FALSE))</f>
        <v>#N/A</v>
      </c>
      <c r="S1183" s="4" t="str">
        <f>(VLOOKUP(B1183,Price_data!A$1:C$190,3,FALSE))</f>
        <v>Open access</v>
      </c>
      <c r="T1183" s="2" t="str">
        <f>IF(C1183="Total", (VLOOKUP(B1183,Recommended_fish_intake!A$4:D$122,4,FALSE)), "NA")</f>
        <v>NA</v>
      </c>
      <c r="U1183" s="2" t="str">
        <f t="shared" si="144"/>
        <v>NA</v>
      </c>
    </row>
    <row r="1184" spans="1:21" ht="14.25" customHeight="1">
      <c r="A1184" s="2" t="s">
        <v>39</v>
      </c>
      <c r="B1184" s="2">
        <v>1971</v>
      </c>
      <c r="C1184" s="2" t="s">
        <v>36</v>
      </c>
      <c r="D1184" s="3">
        <f t="shared" si="138"/>
        <v>1.7272912009754113</v>
      </c>
      <c r="E1184" s="3">
        <f t="shared" si="139"/>
        <v>0.126</v>
      </c>
      <c r="F1184" s="3" t="e">
        <f t="shared" si="140"/>
        <v>#N/A</v>
      </c>
      <c r="G1184" s="3" t="e">
        <f t="shared" si="141"/>
        <v>#N/A</v>
      </c>
      <c r="H1184" s="3" t="e">
        <f t="shared" si="142"/>
        <v>#N/A</v>
      </c>
      <c r="I1184" s="3" t="e">
        <f t="shared" si="143"/>
        <v>#N/A</v>
      </c>
      <c r="J1184" s="3">
        <v>1727.2912009754114</v>
      </c>
      <c r="K1184" s="3">
        <v>126</v>
      </c>
      <c r="L1184" s="3" t="e">
        <v>#N/A</v>
      </c>
      <c r="M1184" s="3" t="e">
        <v>#N/A</v>
      </c>
      <c r="N1184" s="3" t="e">
        <v>#N/A</v>
      </c>
      <c r="O1184" s="3" t="e">
        <v>#N/A</v>
      </c>
      <c r="P1184" s="3">
        <f>E1184*(VLOOKUP(B1184,Price_data!A$1:B$190,2,FALSE))</f>
        <v>1.0580850000000002</v>
      </c>
      <c r="Q1184" s="3" t="e">
        <f>G1184*(VLOOKUP(B1184,Price_data!A$1:B$190,2,FALSE))</f>
        <v>#N/A</v>
      </c>
      <c r="R1184" s="3" t="e">
        <f>I1184*(VLOOKUP(B1184,Price_data!A$1:B$190,2,FALSE))</f>
        <v>#N/A</v>
      </c>
      <c r="S1184" s="4" t="str">
        <f>(VLOOKUP(B1184,Price_data!A$1:C$190,3,FALSE))</f>
        <v>Open access</v>
      </c>
      <c r="T1184" s="2" t="str">
        <f>IF(C1184="Total", (VLOOKUP(B1184,Recommended_fish_intake!A$4:D$122,4,FALSE)), "NA")</f>
        <v>NA</v>
      </c>
      <c r="U1184" s="2" t="str">
        <f t="shared" si="144"/>
        <v>NA</v>
      </c>
    </row>
    <row r="1185" spans="1:21" ht="14.25" customHeight="1">
      <c r="A1185" s="2" t="s">
        <v>39</v>
      </c>
      <c r="B1185" s="2">
        <v>1971</v>
      </c>
      <c r="C1185" s="2" t="s">
        <v>28</v>
      </c>
      <c r="D1185" s="3">
        <f t="shared" si="138"/>
        <v>22.556390977443609</v>
      </c>
      <c r="E1185" s="3">
        <f t="shared" si="139"/>
        <v>4.4059999999999997</v>
      </c>
      <c r="F1185" s="3" t="e">
        <f t="shared" si="140"/>
        <v>#N/A</v>
      </c>
      <c r="G1185" s="3" t="e">
        <f t="shared" si="141"/>
        <v>#N/A</v>
      </c>
      <c r="H1185" s="3" t="e">
        <f t="shared" si="142"/>
        <v>#N/A</v>
      </c>
      <c r="I1185" s="3" t="e">
        <f t="shared" si="143"/>
        <v>#N/A</v>
      </c>
      <c r="J1185" s="3">
        <v>22556.390977443611</v>
      </c>
      <c r="K1185" s="3">
        <v>4406</v>
      </c>
      <c r="L1185" s="3" t="e">
        <v>#N/A</v>
      </c>
      <c r="M1185" s="3" t="e">
        <v>#N/A</v>
      </c>
      <c r="N1185" s="3" t="e">
        <v>#N/A</v>
      </c>
      <c r="O1185" s="3" t="e">
        <v>#N/A</v>
      </c>
      <c r="P1185" s="3">
        <f>E1185*(VLOOKUP(B1185,Price_data!A$1:B$190,2,FALSE))</f>
        <v>36.999385000000004</v>
      </c>
      <c r="Q1185" s="3" t="e">
        <f>G1185*(VLOOKUP(B1185,Price_data!A$1:B$190,2,FALSE))</f>
        <v>#N/A</v>
      </c>
      <c r="R1185" s="3" t="e">
        <f>I1185*(VLOOKUP(B1185,Price_data!A$1:B$190,2,FALSE))</f>
        <v>#N/A</v>
      </c>
      <c r="S1185" s="4" t="str">
        <f>(VLOOKUP(B1185,Price_data!A$1:C$190,3,FALSE))</f>
        <v>Open access</v>
      </c>
      <c r="T1185" s="2" t="str">
        <f>IF(C1185="Total", (VLOOKUP(B1185,Recommended_fish_intake!A$4:D$122,4,FALSE)), "NA")</f>
        <v>NA</v>
      </c>
      <c r="U1185" s="2">
        <f t="shared" si="144"/>
        <v>6.3157894736842115</v>
      </c>
    </row>
    <row r="1186" spans="1:21" ht="14.25" customHeight="1">
      <c r="A1186" s="2" t="s">
        <v>39</v>
      </c>
      <c r="B1186" s="2">
        <v>1971</v>
      </c>
      <c r="C1186" s="2" t="s">
        <v>37</v>
      </c>
      <c r="D1186" s="3">
        <f t="shared" si="138"/>
        <v>430.65433854907536</v>
      </c>
      <c r="E1186" s="3">
        <f t="shared" si="139"/>
        <v>30.599</v>
      </c>
      <c r="F1186" s="3" t="e">
        <f t="shared" si="140"/>
        <v>#N/A</v>
      </c>
      <c r="G1186" s="3" t="e">
        <f t="shared" si="141"/>
        <v>#N/A</v>
      </c>
      <c r="H1186" s="3" t="e">
        <f t="shared" si="142"/>
        <v>#N/A</v>
      </c>
      <c r="I1186" s="3" t="e">
        <f t="shared" si="143"/>
        <v>#N/A</v>
      </c>
      <c r="J1186" s="3">
        <v>430654.33854907536</v>
      </c>
      <c r="K1186" s="3">
        <v>30599</v>
      </c>
      <c r="L1186" s="3" t="e">
        <v>#N/A</v>
      </c>
      <c r="M1186" s="3" t="e">
        <v>#N/A</v>
      </c>
      <c r="N1186" s="3" t="e">
        <v>#N/A</v>
      </c>
      <c r="O1186" s="3" t="e">
        <v>#N/A</v>
      </c>
      <c r="P1186" s="3">
        <f>E1186*(VLOOKUP(B1186,Price_data!A$1:B$190,2,FALSE))</f>
        <v>256.95510250000001</v>
      </c>
      <c r="Q1186" s="3" t="e">
        <f>G1186*(VLOOKUP(B1186,Price_data!A$1:B$190,2,FALSE))</f>
        <v>#N/A</v>
      </c>
      <c r="R1186" s="3" t="e">
        <f>I1186*(VLOOKUP(B1186,Price_data!A$1:B$190,2,FALSE))</f>
        <v>#N/A</v>
      </c>
      <c r="S1186" s="4" t="str">
        <f>(VLOOKUP(B1186,Price_data!A$1:C$190,3,FALSE))</f>
        <v>Open access</v>
      </c>
      <c r="T1186" s="2" t="str">
        <f>IF(C1186="Total", (VLOOKUP(B1186,Recommended_fish_intake!A$4:D$122,4,FALSE)), "NA")</f>
        <v>NA</v>
      </c>
      <c r="U1186" s="2">
        <f t="shared" si="144"/>
        <v>211.02062588904693</v>
      </c>
    </row>
    <row r="1187" spans="1:21" ht="14.25" customHeight="1">
      <c r="A1187" s="2" t="s">
        <v>40</v>
      </c>
      <c r="B1187" s="2">
        <v>1971</v>
      </c>
      <c r="C1187" s="2" t="s">
        <v>22</v>
      </c>
      <c r="D1187" s="3">
        <f t="shared" si="138"/>
        <v>0.91444828286933544</v>
      </c>
      <c r="E1187" s="3">
        <f t="shared" si="139"/>
        <v>7.0999999999999994E-2</v>
      </c>
      <c r="F1187" s="3" t="e">
        <f t="shared" si="140"/>
        <v>#N/A</v>
      </c>
      <c r="G1187" s="3" t="e">
        <f t="shared" si="141"/>
        <v>#N/A</v>
      </c>
      <c r="H1187" s="3" t="e">
        <f t="shared" si="142"/>
        <v>#N/A</v>
      </c>
      <c r="I1187" s="3" t="e">
        <f t="shared" si="143"/>
        <v>#N/A</v>
      </c>
      <c r="J1187" s="3">
        <v>914.44828286933546</v>
      </c>
      <c r="K1187" s="3">
        <v>71</v>
      </c>
      <c r="L1187" s="3" t="e">
        <v>#N/A</v>
      </c>
      <c r="M1187" s="3" t="e">
        <v>#N/A</v>
      </c>
      <c r="N1187" s="3" t="e">
        <v>#N/A</v>
      </c>
      <c r="O1187" s="3" t="e">
        <v>#N/A</v>
      </c>
      <c r="P1187" s="3">
        <f>E1187*(VLOOKUP(B1187,Price_data!A$1:B$190,2,FALSE))</f>
        <v>0.59622249999999999</v>
      </c>
      <c r="Q1187" s="3" t="e">
        <f>G1187*(VLOOKUP(B1187,Price_data!A$1:B$190,2,FALSE))</f>
        <v>#N/A</v>
      </c>
      <c r="R1187" s="3" t="e">
        <f>I1187*(VLOOKUP(B1187,Price_data!A$1:B$190,2,FALSE))</f>
        <v>#N/A</v>
      </c>
      <c r="S1187" s="4" t="str">
        <f>(VLOOKUP(B1187,Price_data!A$1:C$190,3,FALSE))</f>
        <v>Open access</v>
      </c>
      <c r="T1187" s="2" t="str">
        <f>IF(C1187="Total", (VLOOKUP(B1187,Recommended_fish_intake!A$4:D$122,4,FALSE)), "NA")</f>
        <v>NA</v>
      </c>
      <c r="U1187" s="2" t="str">
        <f t="shared" si="144"/>
        <v>NA</v>
      </c>
    </row>
    <row r="1188" spans="1:21" ht="14.25" customHeight="1">
      <c r="A1188" s="2" t="s">
        <v>40</v>
      </c>
      <c r="B1188" s="2">
        <v>1971</v>
      </c>
      <c r="C1188" s="2" t="s">
        <v>23</v>
      </c>
      <c r="D1188" s="3">
        <f t="shared" si="138"/>
        <v>5.080268238162975E-2</v>
      </c>
      <c r="E1188" s="3">
        <f t="shared" si="139"/>
        <v>4.0000000000000001E-3</v>
      </c>
      <c r="F1188" s="3" t="e">
        <f t="shared" si="140"/>
        <v>#N/A</v>
      </c>
      <c r="G1188" s="3" t="e">
        <f t="shared" si="141"/>
        <v>#N/A</v>
      </c>
      <c r="H1188" s="3" t="e">
        <f t="shared" si="142"/>
        <v>#N/A</v>
      </c>
      <c r="I1188" s="3" t="e">
        <f t="shared" si="143"/>
        <v>#N/A</v>
      </c>
      <c r="J1188" s="3">
        <v>50.802682381629751</v>
      </c>
      <c r="K1188" s="3">
        <v>4</v>
      </c>
      <c r="L1188" s="3" t="e">
        <v>#N/A</v>
      </c>
      <c r="M1188" s="3" t="e">
        <v>#N/A</v>
      </c>
      <c r="N1188" s="3" t="e">
        <v>#N/A</v>
      </c>
      <c r="O1188" s="3" t="e">
        <v>#N/A</v>
      </c>
      <c r="P1188" s="3">
        <f>E1188*(VLOOKUP(B1188,Price_data!A$1:B$190,2,FALSE))</f>
        <v>3.3590000000000002E-2</v>
      </c>
      <c r="Q1188" s="3" t="e">
        <f>G1188*(VLOOKUP(B1188,Price_data!A$1:B$190,2,FALSE))</f>
        <v>#N/A</v>
      </c>
      <c r="R1188" s="3" t="e">
        <f>I1188*(VLOOKUP(B1188,Price_data!A$1:B$190,2,FALSE))</f>
        <v>#N/A</v>
      </c>
      <c r="S1188" s="4" t="str">
        <f>(VLOOKUP(B1188,Price_data!A$1:C$190,3,FALSE))</f>
        <v>Open access</v>
      </c>
      <c r="T1188" s="2" t="str">
        <f>IF(C1188="Total", (VLOOKUP(B1188,Recommended_fish_intake!A$4:D$122,4,FALSE)), "NA")</f>
        <v>NA</v>
      </c>
      <c r="U1188" s="2" t="str">
        <f t="shared" si="144"/>
        <v>NA</v>
      </c>
    </row>
    <row r="1189" spans="1:21" ht="14.25" customHeight="1">
      <c r="A1189" s="2" t="s">
        <v>40</v>
      </c>
      <c r="B1189" s="2">
        <v>1971</v>
      </c>
      <c r="C1189" s="2" t="s">
        <v>25</v>
      </c>
      <c r="D1189" s="3">
        <f t="shared" si="138"/>
        <v>0.15240804714488923</v>
      </c>
      <c r="E1189" s="3">
        <f t="shared" si="139"/>
        <v>1.2E-2</v>
      </c>
      <c r="F1189" s="3" t="e">
        <f t="shared" si="140"/>
        <v>#N/A</v>
      </c>
      <c r="G1189" s="3" t="e">
        <f t="shared" si="141"/>
        <v>#N/A</v>
      </c>
      <c r="H1189" s="3" t="e">
        <f t="shared" si="142"/>
        <v>#N/A</v>
      </c>
      <c r="I1189" s="3" t="e">
        <f t="shared" si="143"/>
        <v>#N/A</v>
      </c>
      <c r="J1189" s="3">
        <v>152.40804714488922</v>
      </c>
      <c r="K1189" s="3">
        <v>12</v>
      </c>
      <c r="L1189" s="3" t="e">
        <v>#N/A</v>
      </c>
      <c r="M1189" s="3" t="e">
        <v>#N/A</v>
      </c>
      <c r="N1189" s="3" t="e">
        <v>#N/A</v>
      </c>
      <c r="O1189" s="3" t="e">
        <v>#N/A</v>
      </c>
      <c r="P1189" s="3">
        <f>E1189*(VLOOKUP(B1189,Price_data!A$1:B$190,2,FALSE))</f>
        <v>0.10077000000000001</v>
      </c>
      <c r="Q1189" s="3" t="e">
        <f>G1189*(VLOOKUP(B1189,Price_data!A$1:B$190,2,FALSE))</f>
        <v>#N/A</v>
      </c>
      <c r="R1189" s="3" t="e">
        <f>I1189*(VLOOKUP(B1189,Price_data!A$1:B$190,2,FALSE))</f>
        <v>#N/A</v>
      </c>
      <c r="S1189" s="4" t="str">
        <f>(VLOOKUP(B1189,Price_data!A$1:C$190,3,FALSE))</f>
        <v>Open access</v>
      </c>
      <c r="T1189" s="2" t="str">
        <f>IF(C1189="Total", (VLOOKUP(B1189,Recommended_fish_intake!A$4:D$122,4,FALSE)), "NA")</f>
        <v>NA</v>
      </c>
      <c r="U1189" s="2" t="str">
        <f t="shared" si="144"/>
        <v>NA</v>
      </c>
    </row>
    <row r="1190" spans="1:21" ht="14.25" customHeight="1">
      <c r="A1190" s="2" t="s">
        <v>40</v>
      </c>
      <c r="B1190" s="2">
        <v>1971</v>
      </c>
      <c r="C1190" s="2" t="s">
        <v>38</v>
      </c>
      <c r="D1190" s="3">
        <f t="shared" si="138"/>
        <v>0.35561877667140823</v>
      </c>
      <c r="E1190" s="3">
        <f t="shared" si="139"/>
        <v>1.2E-2</v>
      </c>
      <c r="F1190" s="3" t="e">
        <f t="shared" si="140"/>
        <v>#N/A</v>
      </c>
      <c r="G1190" s="3" t="e">
        <f t="shared" si="141"/>
        <v>#N/A</v>
      </c>
      <c r="H1190" s="3" t="e">
        <f t="shared" si="142"/>
        <v>#N/A</v>
      </c>
      <c r="I1190" s="3" t="e">
        <f t="shared" si="143"/>
        <v>#N/A</v>
      </c>
      <c r="J1190" s="3">
        <v>355.61877667140823</v>
      </c>
      <c r="K1190" s="3">
        <v>12</v>
      </c>
      <c r="L1190" s="3" t="e">
        <v>#N/A</v>
      </c>
      <c r="M1190" s="3" t="e">
        <v>#N/A</v>
      </c>
      <c r="N1190" s="3" t="e">
        <v>#N/A</v>
      </c>
      <c r="O1190" s="3" t="e">
        <v>#N/A</v>
      </c>
      <c r="P1190" s="3">
        <f>E1190*(VLOOKUP(B1190,Price_data!A$1:B$190,2,FALSE))</f>
        <v>0.10077000000000001</v>
      </c>
      <c r="Q1190" s="3" t="e">
        <f>G1190*(VLOOKUP(B1190,Price_data!A$1:B$190,2,FALSE))</f>
        <v>#N/A</v>
      </c>
      <c r="R1190" s="3" t="e">
        <f>I1190*(VLOOKUP(B1190,Price_data!A$1:B$190,2,FALSE))</f>
        <v>#N/A</v>
      </c>
      <c r="S1190" s="4" t="str">
        <f>(VLOOKUP(B1190,Price_data!A$1:C$190,3,FALSE))</f>
        <v>Open access</v>
      </c>
      <c r="T1190" s="2" t="str">
        <f>IF(C1190="Total", (VLOOKUP(B1190,Recommended_fish_intake!A$4:D$122,4,FALSE)), "NA")</f>
        <v>NA</v>
      </c>
      <c r="U1190" s="2" t="str">
        <f t="shared" si="144"/>
        <v>NA</v>
      </c>
    </row>
    <row r="1191" spans="1:21" ht="14.25" customHeight="1">
      <c r="A1191" s="2" t="s">
        <v>40</v>
      </c>
      <c r="B1191" s="2">
        <v>1971</v>
      </c>
      <c r="C1191" s="2" t="s">
        <v>24</v>
      </c>
      <c r="D1191" s="3">
        <f t="shared" si="138"/>
        <v>1.6764885185937817</v>
      </c>
      <c r="E1191" s="3">
        <f t="shared" si="139"/>
        <v>6.3E-2</v>
      </c>
      <c r="F1191" s="3" t="e">
        <f t="shared" si="140"/>
        <v>#N/A</v>
      </c>
      <c r="G1191" s="3" t="e">
        <f t="shared" si="141"/>
        <v>#N/A</v>
      </c>
      <c r="H1191" s="3" t="e">
        <f t="shared" si="142"/>
        <v>#N/A</v>
      </c>
      <c r="I1191" s="3" t="e">
        <f t="shared" si="143"/>
        <v>#N/A</v>
      </c>
      <c r="J1191" s="3">
        <v>1676.4885185937817</v>
      </c>
      <c r="K1191" s="3">
        <v>63</v>
      </c>
      <c r="L1191" s="3" t="e">
        <v>#N/A</v>
      </c>
      <c r="M1191" s="3" t="e">
        <v>#N/A</v>
      </c>
      <c r="N1191" s="3" t="e">
        <v>#N/A</v>
      </c>
      <c r="O1191" s="3" t="e">
        <v>#N/A</v>
      </c>
      <c r="P1191" s="3">
        <f>E1191*(VLOOKUP(B1191,Price_data!A$1:B$190,2,FALSE))</f>
        <v>0.52904250000000008</v>
      </c>
      <c r="Q1191" s="3" t="e">
        <f>G1191*(VLOOKUP(B1191,Price_data!A$1:B$190,2,FALSE))</f>
        <v>#N/A</v>
      </c>
      <c r="R1191" s="3" t="e">
        <f>I1191*(VLOOKUP(B1191,Price_data!A$1:B$190,2,FALSE))</f>
        <v>#N/A</v>
      </c>
      <c r="S1191" s="4" t="str">
        <f>(VLOOKUP(B1191,Price_data!A$1:C$190,3,FALSE))</f>
        <v>Open access</v>
      </c>
      <c r="T1191" s="2" t="str">
        <f>IF(C1191="Total", (VLOOKUP(B1191,Recommended_fish_intake!A$4:D$122,4,FALSE)), "NA")</f>
        <v>NA</v>
      </c>
      <c r="U1191" s="2" t="str">
        <f t="shared" si="144"/>
        <v>NA</v>
      </c>
    </row>
    <row r="1192" spans="1:21" ht="14.25" customHeight="1">
      <c r="A1192" s="2" t="s">
        <v>40</v>
      </c>
      <c r="B1192" s="2">
        <v>1971</v>
      </c>
      <c r="C1192" s="2" t="s">
        <v>19</v>
      </c>
      <c r="D1192" s="3">
        <f t="shared" ref="D1192:D1255" si="145">J1192/1000</f>
        <v>3.7085958138589716</v>
      </c>
      <c r="E1192" s="3">
        <f t="shared" ref="E1192:E1255" si="146">K1192/1000</f>
        <v>0.13200000000000001</v>
      </c>
      <c r="F1192" s="3" t="e">
        <f t="shared" ref="F1192:F1255" si="147">IF(L1192="", NA(), L1192/1000)</f>
        <v>#N/A</v>
      </c>
      <c r="G1192" s="3" t="e">
        <f t="shared" ref="G1192:G1255" si="148">IF(M1192="", NA(), M1192/1000)</f>
        <v>#N/A</v>
      </c>
      <c r="H1192" s="3" t="e">
        <f t="shared" ref="H1192:H1255" si="149">IF(N1192="", NA(), N1192/1000)</f>
        <v>#N/A</v>
      </c>
      <c r="I1192" s="3" t="e">
        <f t="shared" ref="I1192:I1255" si="150">IF(O1192="", NA(), O1192/1000)</f>
        <v>#N/A</v>
      </c>
      <c r="J1192" s="3">
        <v>3708.5958138589717</v>
      </c>
      <c r="K1192" s="3">
        <v>132</v>
      </c>
      <c r="L1192" s="3" t="e">
        <v>#N/A</v>
      </c>
      <c r="M1192" s="3" t="e">
        <v>#N/A</v>
      </c>
      <c r="N1192" s="3" t="e">
        <v>#N/A</v>
      </c>
      <c r="O1192" s="3" t="e">
        <v>#N/A</v>
      </c>
      <c r="P1192" s="3">
        <f>E1192*(VLOOKUP(B1192,Price_data!A$1:B$190,2,FALSE))</f>
        <v>1.1084700000000001</v>
      </c>
      <c r="Q1192" s="3" t="e">
        <f>G1192*(VLOOKUP(B1192,Price_data!A$1:B$190,2,FALSE))</f>
        <v>#N/A</v>
      </c>
      <c r="R1192" s="3" t="e">
        <f>I1192*(VLOOKUP(B1192,Price_data!A$1:B$190,2,FALSE))</f>
        <v>#N/A</v>
      </c>
      <c r="S1192" s="4" t="str">
        <f>(VLOOKUP(B1192,Price_data!A$1:C$190,3,FALSE))</f>
        <v>Open access</v>
      </c>
      <c r="T1192" s="2" t="str">
        <f>IF(C1192="Total", (VLOOKUP(B1192,Recommended_fish_intake!A$4:D$122,4,FALSE)), "NA")</f>
        <v>NA</v>
      </c>
      <c r="U1192" s="2" t="str">
        <f t="shared" si="144"/>
        <v>NA</v>
      </c>
    </row>
    <row r="1193" spans="1:21" ht="14.25" customHeight="1">
      <c r="A1193" s="2" t="s">
        <v>40</v>
      </c>
      <c r="B1193" s="2">
        <v>1971</v>
      </c>
      <c r="C1193" s="2" t="s">
        <v>21</v>
      </c>
      <c r="D1193" s="3">
        <f t="shared" si="145"/>
        <v>0</v>
      </c>
      <c r="E1193" s="3">
        <f t="shared" si="146"/>
        <v>0</v>
      </c>
      <c r="F1193" s="3" t="e">
        <f t="shared" si="147"/>
        <v>#N/A</v>
      </c>
      <c r="G1193" s="3" t="e">
        <f t="shared" si="148"/>
        <v>#N/A</v>
      </c>
      <c r="H1193" s="3" t="e">
        <f t="shared" si="149"/>
        <v>#N/A</v>
      </c>
      <c r="I1193" s="3" t="e">
        <f t="shared" si="150"/>
        <v>#N/A</v>
      </c>
      <c r="J1193" s="3">
        <v>0</v>
      </c>
      <c r="K1193" s="3">
        <v>0</v>
      </c>
      <c r="L1193" s="3" t="e">
        <v>#N/A</v>
      </c>
      <c r="M1193" s="3" t="e">
        <v>#N/A</v>
      </c>
      <c r="N1193" s="3" t="e">
        <v>#N/A</v>
      </c>
      <c r="O1193" s="3" t="e">
        <v>#N/A</v>
      </c>
      <c r="P1193" s="3">
        <f>E1193*(VLOOKUP(B1193,Price_data!A$1:B$190,2,FALSE))</f>
        <v>0</v>
      </c>
      <c r="Q1193" s="3" t="e">
        <f>G1193*(VLOOKUP(B1193,Price_data!A$1:B$190,2,FALSE))</f>
        <v>#N/A</v>
      </c>
      <c r="R1193" s="3" t="e">
        <f>I1193*(VLOOKUP(B1193,Price_data!A$1:B$190,2,FALSE))</f>
        <v>#N/A</v>
      </c>
      <c r="S1193" s="4" t="str">
        <f>(VLOOKUP(B1193,Price_data!A$1:C$190,3,FALSE))</f>
        <v>Open access</v>
      </c>
      <c r="T1193" s="2" t="str">
        <f>IF(C1193="Total", (VLOOKUP(B1193,Recommended_fish_intake!A$4:D$122,4,FALSE)), "NA")</f>
        <v>NA</v>
      </c>
      <c r="U1193" s="2" t="str">
        <f t="shared" si="144"/>
        <v>NA</v>
      </c>
    </row>
    <row r="1194" spans="1:21" ht="14.25" customHeight="1">
      <c r="A1194" s="2" t="s">
        <v>40</v>
      </c>
      <c r="B1194" s="2">
        <v>1971</v>
      </c>
      <c r="C1194" s="2" t="s">
        <v>34</v>
      </c>
      <c r="D1194" s="3">
        <f t="shared" si="145"/>
        <v>0</v>
      </c>
      <c r="E1194" s="3">
        <f t="shared" si="146"/>
        <v>1.4E-2</v>
      </c>
      <c r="F1194" s="3" t="e">
        <f t="shared" si="147"/>
        <v>#N/A</v>
      </c>
      <c r="G1194" s="3" t="e">
        <f t="shared" si="148"/>
        <v>#N/A</v>
      </c>
      <c r="H1194" s="3" t="e">
        <f t="shared" si="149"/>
        <v>#N/A</v>
      </c>
      <c r="I1194" s="3" t="e">
        <f t="shared" si="150"/>
        <v>#N/A</v>
      </c>
      <c r="J1194" s="3">
        <v>0</v>
      </c>
      <c r="K1194" s="3">
        <v>14</v>
      </c>
      <c r="L1194" s="3" t="e">
        <v>#N/A</v>
      </c>
      <c r="M1194" s="3" t="e">
        <v>#N/A</v>
      </c>
      <c r="N1194" s="3" t="e">
        <v>#N/A</v>
      </c>
      <c r="O1194" s="3" t="e">
        <v>#N/A</v>
      </c>
      <c r="P1194" s="3">
        <f>E1194*(VLOOKUP(B1194,Price_data!A$1:B$190,2,FALSE))</f>
        <v>0.11756500000000002</v>
      </c>
      <c r="Q1194" s="3" t="e">
        <f>G1194*(VLOOKUP(B1194,Price_data!A$1:B$190,2,FALSE))</f>
        <v>#N/A</v>
      </c>
      <c r="R1194" s="3" t="e">
        <f>I1194*(VLOOKUP(B1194,Price_data!A$1:B$190,2,FALSE))</f>
        <v>#N/A</v>
      </c>
      <c r="S1194" s="4" t="str">
        <f>(VLOOKUP(B1194,Price_data!A$1:C$190,3,FALSE))</f>
        <v>Open access</v>
      </c>
      <c r="T1194" s="2" t="str">
        <f>IF(C1194="Total", (VLOOKUP(B1194,Recommended_fish_intake!A$4:D$122,4,FALSE)), "NA")</f>
        <v>NA</v>
      </c>
      <c r="U1194" s="2" t="str">
        <f t="shared" si="144"/>
        <v>NA</v>
      </c>
    </row>
    <row r="1195" spans="1:21" ht="14.25" customHeight="1">
      <c r="A1195" s="2" t="s">
        <v>40</v>
      </c>
      <c r="B1195" s="2">
        <v>1971</v>
      </c>
      <c r="C1195" s="2" t="s">
        <v>35</v>
      </c>
      <c r="D1195" s="3">
        <f t="shared" si="145"/>
        <v>2.8957528957528957</v>
      </c>
      <c r="E1195" s="3">
        <f t="shared" si="146"/>
        <v>0.41499999999999998</v>
      </c>
      <c r="F1195" s="3" t="e">
        <f t="shared" si="147"/>
        <v>#N/A</v>
      </c>
      <c r="G1195" s="3" t="e">
        <f t="shared" si="148"/>
        <v>#N/A</v>
      </c>
      <c r="H1195" s="3" t="e">
        <f t="shared" si="149"/>
        <v>#N/A</v>
      </c>
      <c r="I1195" s="3" t="e">
        <f t="shared" si="150"/>
        <v>#N/A</v>
      </c>
      <c r="J1195" s="3">
        <v>2895.7528957528957</v>
      </c>
      <c r="K1195" s="3">
        <v>415</v>
      </c>
      <c r="L1195" s="3" t="e">
        <v>#N/A</v>
      </c>
      <c r="M1195" s="3" t="e">
        <v>#N/A</v>
      </c>
      <c r="N1195" s="3" t="e">
        <v>#N/A</v>
      </c>
      <c r="O1195" s="3" t="e">
        <v>#N/A</v>
      </c>
      <c r="P1195" s="3">
        <f>E1195*(VLOOKUP(B1195,Price_data!A$1:B$190,2,FALSE))</f>
        <v>3.4849625000000004</v>
      </c>
      <c r="Q1195" s="3" t="e">
        <f>G1195*(VLOOKUP(B1195,Price_data!A$1:B$190,2,FALSE))</f>
        <v>#N/A</v>
      </c>
      <c r="R1195" s="3" t="e">
        <f>I1195*(VLOOKUP(B1195,Price_data!A$1:B$190,2,FALSE))</f>
        <v>#N/A</v>
      </c>
      <c r="S1195" s="4" t="str">
        <f>(VLOOKUP(B1195,Price_data!A$1:C$190,3,FALSE))</f>
        <v>Open access</v>
      </c>
      <c r="T1195" s="2" t="str">
        <f>IF(C1195="Total", (VLOOKUP(B1195,Recommended_fish_intake!A$4:D$122,4,FALSE)), "NA")</f>
        <v>NA</v>
      </c>
      <c r="U1195" s="2" t="str">
        <f t="shared" si="144"/>
        <v>NA</v>
      </c>
    </row>
    <row r="1196" spans="1:21" ht="14.25" customHeight="1">
      <c r="A1196" s="2" t="s">
        <v>40</v>
      </c>
      <c r="B1196" s="2">
        <v>1971</v>
      </c>
      <c r="C1196" s="2" t="s">
        <v>30</v>
      </c>
      <c r="D1196" s="3">
        <f t="shared" si="145"/>
        <v>0</v>
      </c>
      <c r="E1196" s="3">
        <f t="shared" si="146"/>
        <v>0</v>
      </c>
      <c r="F1196" s="3" t="e">
        <f t="shared" si="147"/>
        <v>#N/A</v>
      </c>
      <c r="G1196" s="3" t="e">
        <f t="shared" si="148"/>
        <v>#N/A</v>
      </c>
      <c r="H1196" s="3" t="e">
        <f t="shared" si="149"/>
        <v>#N/A</v>
      </c>
      <c r="I1196" s="3" t="e">
        <f t="shared" si="150"/>
        <v>#N/A</v>
      </c>
      <c r="J1196" s="3">
        <v>0</v>
      </c>
      <c r="K1196" s="3">
        <v>0</v>
      </c>
      <c r="L1196" s="3" t="e">
        <v>#N/A</v>
      </c>
      <c r="M1196" s="3" t="e">
        <v>#N/A</v>
      </c>
      <c r="N1196" s="3" t="e">
        <v>#N/A</v>
      </c>
      <c r="O1196" s="3" t="e">
        <v>#N/A</v>
      </c>
      <c r="P1196" s="3">
        <f>E1196*(VLOOKUP(B1196,Price_data!A$1:B$190,2,FALSE))</f>
        <v>0</v>
      </c>
      <c r="Q1196" s="3" t="e">
        <f>G1196*(VLOOKUP(B1196,Price_data!A$1:B$190,2,FALSE))</f>
        <v>#N/A</v>
      </c>
      <c r="R1196" s="3" t="e">
        <f>I1196*(VLOOKUP(B1196,Price_data!A$1:B$190,2,FALSE))</f>
        <v>#N/A</v>
      </c>
      <c r="S1196" s="4" t="str">
        <f>(VLOOKUP(B1196,Price_data!A$1:C$190,3,FALSE))</f>
        <v>Open access</v>
      </c>
      <c r="T1196" s="2" t="str">
        <f>IF(C1196="Total", (VLOOKUP(B1196,Recommended_fish_intake!A$4:D$122,4,FALSE)), "NA")</f>
        <v>NA</v>
      </c>
      <c r="U1196" s="2" t="str">
        <f t="shared" si="144"/>
        <v>NA</v>
      </c>
    </row>
    <row r="1197" spans="1:21" ht="14.25" customHeight="1">
      <c r="A1197" s="2" t="s">
        <v>40</v>
      </c>
      <c r="B1197" s="2">
        <v>1971</v>
      </c>
      <c r="C1197" s="2" t="s">
        <v>36</v>
      </c>
      <c r="D1197" s="3">
        <f t="shared" si="145"/>
        <v>0</v>
      </c>
      <c r="E1197" s="3">
        <f t="shared" si="146"/>
        <v>0</v>
      </c>
      <c r="F1197" s="3" t="e">
        <f t="shared" si="147"/>
        <v>#N/A</v>
      </c>
      <c r="G1197" s="3" t="e">
        <f t="shared" si="148"/>
        <v>#N/A</v>
      </c>
      <c r="H1197" s="3" t="e">
        <f t="shared" si="149"/>
        <v>#N/A</v>
      </c>
      <c r="I1197" s="3" t="e">
        <f t="shared" si="150"/>
        <v>#N/A</v>
      </c>
      <c r="J1197" s="3">
        <v>0</v>
      </c>
      <c r="K1197" s="3">
        <v>0</v>
      </c>
      <c r="L1197" s="3" t="e">
        <v>#N/A</v>
      </c>
      <c r="M1197" s="3" t="e">
        <v>#N/A</v>
      </c>
      <c r="N1197" s="3" t="e">
        <v>#N/A</v>
      </c>
      <c r="O1197" s="3" t="e">
        <v>#N/A</v>
      </c>
      <c r="P1197" s="3">
        <f>E1197*(VLOOKUP(B1197,Price_data!A$1:B$190,2,FALSE))</f>
        <v>0</v>
      </c>
      <c r="Q1197" s="3" t="e">
        <f>G1197*(VLOOKUP(B1197,Price_data!A$1:B$190,2,FALSE))</f>
        <v>#N/A</v>
      </c>
      <c r="R1197" s="3" t="e">
        <f>I1197*(VLOOKUP(B1197,Price_data!A$1:B$190,2,FALSE))</f>
        <v>#N/A</v>
      </c>
      <c r="S1197" s="4" t="str">
        <f>(VLOOKUP(B1197,Price_data!A$1:C$190,3,FALSE))</f>
        <v>Open access</v>
      </c>
      <c r="T1197" s="2" t="str">
        <f>IF(C1197="Total", (VLOOKUP(B1197,Recommended_fish_intake!A$4:D$122,4,FALSE)), "NA")</f>
        <v>NA</v>
      </c>
      <c r="U1197" s="2" t="str">
        <f t="shared" si="144"/>
        <v>NA</v>
      </c>
    </row>
    <row r="1198" spans="1:21" ht="14.25" customHeight="1">
      <c r="A1198" s="2" t="s">
        <v>40</v>
      </c>
      <c r="B1198" s="2">
        <v>1971</v>
      </c>
      <c r="C1198" s="2" t="s">
        <v>28</v>
      </c>
      <c r="D1198" s="3">
        <f t="shared" si="145"/>
        <v>3.7085958138589716</v>
      </c>
      <c r="E1198" s="3">
        <f t="shared" si="146"/>
        <v>0.48299999999999998</v>
      </c>
      <c r="F1198" s="3" t="e">
        <f t="shared" si="147"/>
        <v>#N/A</v>
      </c>
      <c r="G1198" s="3" t="e">
        <f t="shared" si="148"/>
        <v>#N/A</v>
      </c>
      <c r="H1198" s="3" t="e">
        <f t="shared" si="149"/>
        <v>#N/A</v>
      </c>
      <c r="I1198" s="3" t="e">
        <f t="shared" si="150"/>
        <v>#N/A</v>
      </c>
      <c r="J1198" s="3">
        <v>3708.5958138589717</v>
      </c>
      <c r="K1198" s="3">
        <v>483</v>
      </c>
      <c r="L1198" s="3" t="e">
        <v>#N/A</v>
      </c>
      <c r="M1198" s="3" t="e">
        <v>#N/A</v>
      </c>
      <c r="N1198" s="3" t="e">
        <v>#N/A</v>
      </c>
      <c r="O1198" s="3" t="e">
        <v>#N/A</v>
      </c>
      <c r="P1198" s="3">
        <f>E1198*(VLOOKUP(B1198,Price_data!A$1:B$190,2,FALSE))</f>
        <v>4.0559925000000003</v>
      </c>
      <c r="Q1198" s="3" t="e">
        <f>G1198*(VLOOKUP(B1198,Price_data!A$1:B$190,2,FALSE))</f>
        <v>#N/A</v>
      </c>
      <c r="R1198" s="3" t="e">
        <f>I1198*(VLOOKUP(B1198,Price_data!A$1:B$190,2,FALSE))</f>
        <v>#N/A</v>
      </c>
      <c r="S1198" s="4" t="str">
        <f>(VLOOKUP(B1198,Price_data!A$1:C$190,3,FALSE))</f>
        <v>Open access</v>
      </c>
      <c r="T1198" s="2" t="str">
        <f>IF(C1198="Total", (VLOOKUP(B1198,Recommended_fish_intake!A$4:D$122,4,FALSE)), "NA")</f>
        <v>NA</v>
      </c>
      <c r="U1198" s="2">
        <f t="shared" si="144"/>
        <v>1.0384068278805121</v>
      </c>
    </row>
    <row r="1199" spans="1:21" ht="14.25" customHeight="1">
      <c r="A1199" s="2" t="s">
        <v>40</v>
      </c>
      <c r="B1199" s="2">
        <v>1971</v>
      </c>
      <c r="C1199" s="2" t="s">
        <v>37</v>
      </c>
      <c r="D1199" s="3">
        <f t="shared" si="145"/>
        <v>7.9252184515342403</v>
      </c>
      <c r="E1199" s="3">
        <f t="shared" si="146"/>
        <v>0.34</v>
      </c>
      <c r="F1199" s="3" t="e">
        <f t="shared" si="147"/>
        <v>#N/A</v>
      </c>
      <c r="G1199" s="3" t="e">
        <f t="shared" si="148"/>
        <v>#N/A</v>
      </c>
      <c r="H1199" s="3" t="e">
        <f t="shared" si="149"/>
        <v>#N/A</v>
      </c>
      <c r="I1199" s="3" t="e">
        <f t="shared" si="150"/>
        <v>#N/A</v>
      </c>
      <c r="J1199" s="3">
        <v>7925.2184515342406</v>
      </c>
      <c r="K1199" s="3">
        <v>340</v>
      </c>
      <c r="L1199" s="3" t="e">
        <v>#N/A</v>
      </c>
      <c r="M1199" s="3" t="e">
        <v>#N/A</v>
      </c>
      <c r="N1199" s="3" t="e">
        <v>#N/A</v>
      </c>
      <c r="O1199" s="3" t="e">
        <v>#N/A</v>
      </c>
      <c r="P1199" s="3">
        <f>E1199*(VLOOKUP(B1199,Price_data!A$1:B$190,2,FALSE))</f>
        <v>2.8551500000000005</v>
      </c>
      <c r="Q1199" s="3" t="e">
        <f>G1199*(VLOOKUP(B1199,Price_data!A$1:B$190,2,FALSE))</f>
        <v>#N/A</v>
      </c>
      <c r="R1199" s="3" t="e">
        <f>I1199*(VLOOKUP(B1199,Price_data!A$1:B$190,2,FALSE))</f>
        <v>#N/A</v>
      </c>
      <c r="S1199" s="4" t="str">
        <f>(VLOOKUP(B1199,Price_data!A$1:C$190,3,FALSE))</f>
        <v>Open access</v>
      </c>
      <c r="T1199" s="2" t="str">
        <f>IF(C1199="Total", (VLOOKUP(B1199,Recommended_fish_intake!A$4:D$122,4,FALSE)), "NA")</f>
        <v>NA</v>
      </c>
      <c r="U1199" s="2">
        <f t="shared" si="144"/>
        <v>3.8833570412517777</v>
      </c>
    </row>
    <row r="1200" spans="1:21" ht="14.25" customHeight="1">
      <c r="A1200" s="2" t="s">
        <v>18</v>
      </c>
      <c r="B1200" s="2">
        <v>1971</v>
      </c>
      <c r="C1200" s="2" t="s">
        <v>41</v>
      </c>
      <c r="D1200" s="3">
        <f t="shared" si="145"/>
        <v>438.32554358870146</v>
      </c>
      <c r="E1200" s="3">
        <f t="shared" si="146"/>
        <v>53.027999999999999</v>
      </c>
      <c r="F1200" s="3" t="e">
        <f t="shared" si="147"/>
        <v>#N/A</v>
      </c>
      <c r="G1200" s="3" t="e">
        <f t="shared" si="148"/>
        <v>#N/A</v>
      </c>
      <c r="H1200" s="3" t="e">
        <f t="shared" si="149"/>
        <v>#N/A</v>
      </c>
      <c r="I1200" s="3" t="e">
        <f t="shared" si="150"/>
        <v>#N/A</v>
      </c>
      <c r="J1200" s="3">
        <v>438325.54358870146</v>
      </c>
      <c r="K1200" s="3">
        <v>53028</v>
      </c>
      <c r="L1200" s="3" t="e">
        <v>#N/A</v>
      </c>
      <c r="M1200" s="3" t="e">
        <v>#N/A</v>
      </c>
      <c r="N1200" s="3" t="e">
        <v>#N/A</v>
      </c>
      <c r="O1200" s="3" t="e">
        <v>#N/A</v>
      </c>
      <c r="P1200" s="3">
        <f>E1200*(VLOOKUP(B1200,Price_data!A$1:B$190,2,FALSE))</f>
        <v>445.30263000000002</v>
      </c>
      <c r="Q1200" s="3" t="e">
        <f>G1200*(VLOOKUP(B1200,Price_data!A$1:B$190,2,FALSE))</f>
        <v>#N/A</v>
      </c>
      <c r="R1200" s="3" t="e">
        <f>I1200*(VLOOKUP(B1200,Price_data!A$1:B$190,2,FALSE))</f>
        <v>#N/A</v>
      </c>
      <c r="S1200" s="4" t="str">
        <f>(VLOOKUP(B1200,Price_data!A$1:C$190,3,FALSE))</f>
        <v>Open access</v>
      </c>
      <c r="T1200" s="2" t="str">
        <f>IF(C1200="Total", (VLOOKUP(B1200,Recommended_fish_intake!A$4:D$122,4,FALSE)), "NA")</f>
        <v>NA</v>
      </c>
      <c r="U1200" s="2" t="str">
        <f t="shared" si="144"/>
        <v>NA</v>
      </c>
    </row>
    <row r="1201" spans="1:21" ht="14.25" customHeight="1">
      <c r="A1201" s="2" t="s">
        <v>18</v>
      </c>
      <c r="B1201" s="2">
        <v>1971</v>
      </c>
      <c r="C1201" s="2" t="s">
        <v>42</v>
      </c>
      <c r="D1201" s="3">
        <f t="shared" si="145"/>
        <v>44.249136354399511</v>
      </c>
      <c r="E1201" s="3">
        <f t="shared" si="146"/>
        <v>1.1990000000000001</v>
      </c>
      <c r="F1201" s="3" t="e">
        <f t="shared" si="147"/>
        <v>#N/A</v>
      </c>
      <c r="G1201" s="3" t="e">
        <f t="shared" si="148"/>
        <v>#N/A</v>
      </c>
      <c r="H1201" s="3" t="e">
        <f t="shared" si="149"/>
        <v>#N/A</v>
      </c>
      <c r="I1201" s="3" t="e">
        <f t="shared" si="150"/>
        <v>#N/A</v>
      </c>
      <c r="J1201" s="3">
        <v>44249.13635439951</v>
      </c>
      <c r="K1201" s="3">
        <v>1199</v>
      </c>
      <c r="L1201" s="3" t="e">
        <v>#N/A</v>
      </c>
      <c r="M1201" s="3" t="e">
        <v>#N/A</v>
      </c>
      <c r="N1201" s="3" t="e">
        <v>#N/A</v>
      </c>
      <c r="O1201" s="3" t="e">
        <v>#N/A</v>
      </c>
      <c r="P1201" s="3">
        <f>E1201*(VLOOKUP(B1201,Price_data!A$1:B$190,2,FALSE))</f>
        <v>10.068602500000001</v>
      </c>
      <c r="Q1201" s="3" t="e">
        <f>G1201*(VLOOKUP(B1201,Price_data!A$1:B$190,2,FALSE))</f>
        <v>#N/A</v>
      </c>
      <c r="R1201" s="3" t="e">
        <f>I1201*(VLOOKUP(B1201,Price_data!A$1:B$190,2,FALSE))</f>
        <v>#N/A</v>
      </c>
      <c r="S1201" s="4" t="str">
        <f>(VLOOKUP(B1201,Price_data!A$1:C$190,3,FALSE))</f>
        <v>Open access</v>
      </c>
      <c r="T1201" s="2" t="str">
        <f>IF(C1201="Total", (VLOOKUP(B1201,Recommended_fish_intake!A$4:D$122,4,FALSE)), "NA")</f>
        <v>NA</v>
      </c>
      <c r="U1201" s="2" t="str">
        <f t="shared" si="144"/>
        <v>NA</v>
      </c>
    </row>
    <row r="1202" spans="1:21" ht="14.25" customHeight="1">
      <c r="A1202" s="2" t="s">
        <v>39</v>
      </c>
      <c r="B1202" s="2">
        <v>1971</v>
      </c>
      <c r="C1202" s="2" t="s">
        <v>41</v>
      </c>
      <c r="D1202" s="3">
        <f t="shared" si="145"/>
        <v>272.91200975411499</v>
      </c>
      <c r="E1202" s="3">
        <f t="shared" si="146"/>
        <v>25.704999999999998</v>
      </c>
      <c r="F1202" s="3" t="e">
        <f t="shared" si="147"/>
        <v>#N/A</v>
      </c>
      <c r="G1202" s="3" t="e">
        <f t="shared" si="148"/>
        <v>#N/A</v>
      </c>
      <c r="H1202" s="3" t="e">
        <f t="shared" si="149"/>
        <v>#N/A</v>
      </c>
      <c r="I1202" s="3" t="e">
        <f t="shared" si="150"/>
        <v>#N/A</v>
      </c>
      <c r="J1202" s="3">
        <v>272912.00975411502</v>
      </c>
      <c r="K1202" s="3">
        <v>25705</v>
      </c>
      <c r="L1202" s="3" t="e">
        <v>#N/A</v>
      </c>
      <c r="M1202" s="3" t="e">
        <v>#N/A</v>
      </c>
      <c r="N1202" s="3" t="e">
        <v>#N/A</v>
      </c>
      <c r="O1202" s="3" t="e">
        <v>#N/A</v>
      </c>
      <c r="P1202" s="3">
        <f>E1202*(VLOOKUP(B1202,Price_data!A$1:B$190,2,FALSE))</f>
        <v>215.85773750000001</v>
      </c>
      <c r="Q1202" s="3" t="e">
        <f>G1202*(VLOOKUP(B1202,Price_data!A$1:B$190,2,FALSE))</f>
        <v>#N/A</v>
      </c>
      <c r="R1202" s="3" t="e">
        <f>I1202*(VLOOKUP(B1202,Price_data!A$1:B$190,2,FALSE))</f>
        <v>#N/A</v>
      </c>
      <c r="S1202" s="4" t="str">
        <f>(VLOOKUP(B1202,Price_data!A$1:C$190,3,FALSE))</f>
        <v>Open access</v>
      </c>
      <c r="T1202" s="2" t="str">
        <f>IF(C1202="Total", (VLOOKUP(B1202,Recommended_fish_intake!A$4:D$122,4,FALSE)), "NA")</f>
        <v>NA</v>
      </c>
      <c r="U1202" s="2" t="str">
        <f t="shared" si="144"/>
        <v>NA</v>
      </c>
    </row>
    <row r="1203" spans="1:21" ht="14.25" customHeight="1">
      <c r="A1203" s="2" t="s">
        <v>39</v>
      </c>
      <c r="B1203" s="2">
        <v>1971</v>
      </c>
      <c r="C1203" s="2" t="s">
        <v>42</v>
      </c>
      <c r="D1203" s="3">
        <f t="shared" si="145"/>
        <v>157.74232879496037</v>
      </c>
      <c r="E1203" s="3">
        <f t="shared" si="146"/>
        <v>4.8940000000000001</v>
      </c>
      <c r="F1203" s="3" t="e">
        <f t="shared" si="147"/>
        <v>#N/A</v>
      </c>
      <c r="G1203" s="3" t="e">
        <f t="shared" si="148"/>
        <v>#N/A</v>
      </c>
      <c r="H1203" s="3" t="e">
        <f t="shared" si="149"/>
        <v>#N/A</v>
      </c>
      <c r="I1203" s="3" t="e">
        <f t="shared" si="150"/>
        <v>#N/A</v>
      </c>
      <c r="J1203" s="3">
        <v>157742.32879496037</v>
      </c>
      <c r="K1203" s="3">
        <v>4894</v>
      </c>
      <c r="L1203" s="3" t="e">
        <v>#N/A</v>
      </c>
      <c r="M1203" s="3" t="e">
        <v>#N/A</v>
      </c>
      <c r="N1203" s="3" t="e">
        <v>#N/A</v>
      </c>
      <c r="O1203" s="3" t="e">
        <v>#N/A</v>
      </c>
      <c r="P1203" s="3">
        <f>E1203*(VLOOKUP(B1203,Price_data!A$1:B$190,2,FALSE))</f>
        <v>41.097365000000003</v>
      </c>
      <c r="Q1203" s="3" t="e">
        <f>G1203*(VLOOKUP(B1203,Price_data!A$1:B$190,2,FALSE))</f>
        <v>#N/A</v>
      </c>
      <c r="R1203" s="3" t="e">
        <f>I1203*(VLOOKUP(B1203,Price_data!A$1:B$190,2,FALSE))</f>
        <v>#N/A</v>
      </c>
      <c r="S1203" s="4" t="str">
        <f>(VLOOKUP(B1203,Price_data!A$1:C$190,3,FALSE))</f>
        <v>Open access</v>
      </c>
      <c r="T1203" s="2" t="str">
        <f>IF(C1203="Total", (VLOOKUP(B1203,Recommended_fish_intake!A$4:D$122,4,FALSE)), "NA")</f>
        <v>NA</v>
      </c>
      <c r="U1203" s="2" t="str">
        <f t="shared" si="144"/>
        <v>NA</v>
      </c>
    </row>
    <row r="1204" spans="1:21" ht="14.25" customHeight="1">
      <c r="A1204" s="2" t="s">
        <v>40</v>
      </c>
      <c r="B1204" s="2">
        <v>1971</v>
      </c>
      <c r="C1204" s="2" t="s">
        <v>41</v>
      </c>
      <c r="D1204" s="3">
        <f t="shared" si="145"/>
        <v>3.9118065433854907</v>
      </c>
      <c r="E1204" s="3">
        <f t="shared" si="146"/>
        <v>0.20300000000000001</v>
      </c>
      <c r="F1204" s="3" t="e">
        <f t="shared" si="147"/>
        <v>#N/A</v>
      </c>
      <c r="G1204" s="3" t="e">
        <f t="shared" si="148"/>
        <v>#N/A</v>
      </c>
      <c r="H1204" s="3" t="e">
        <f t="shared" si="149"/>
        <v>#N/A</v>
      </c>
      <c r="I1204" s="3" t="e">
        <f t="shared" si="150"/>
        <v>#N/A</v>
      </c>
      <c r="J1204" s="3">
        <v>3911.8065433854908</v>
      </c>
      <c r="K1204" s="3">
        <v>203</v>
      </c>
      <c r="L1204" s="3" t="e">
        <v>#N/A</v>
      </c>
      <c r="M1204" s="3" t="e">
        <v>#N/A</v>
      </c>
      <c r="N1204" s="3" t="e">
        <v>#N/A</v>
      </c>
      <c r="O1204" s="3" t="e">
        <v>#N/A</v>
      </c>
      <c r="P1204" s="3">
        <f>E1204*(VLOOKUP(B1204,Price_data!A$1:B$190,2,FALSE))</f>
        <v>1.7046925000000004</v>
      </c>
      <c r="Q1204" s="3" t="e">
        <f>G1204*(VLOOKUP(B1204,Price_data!A$1:B$190,2,FALSE))</f>
        <v>#N/A</v>
      </c>
      <c r="R1204" s="3" t="e">
        <f>I1204*(VLOOKUP(B1204,Price_data!A$1:B$190,2,FALSE))</f>
        <v>#N/A</v>
      </c>
      <c r="S1204" s="4" t="str">
        <f>(VLOOKUP(B1204,Price_data!A$1:C$190,3,FALSE))</f>
        <v>Open access</v>
      </c>
      <c r="T1204" s="2" t="str">
        <f>IF(C1204="Total", (VLOOKUP(B1204,Recommended_fish_intake!A$4:D$122,4,FALSE)), "NA")</f>
        <v>NA</v>
      </c>
      <c r="U1204" s="2" t="str">
        <f t="shared" si="144"/>
        <v>NA</v>
      </c>
    </row>
    <row r="1205" spans="1:21" ht="14.25" customHeight="1">
      <c r="A1205" s="2" t="s">
        <v>40</v>
      </c>
      <c r="B1205" s="2">
        <v>1971</v>
      </c>
      <c r="C1205" s="2" t="s">
        <v>42</v>
      </c>
      <c r="D1205" s="3">
        <f t="shared" si="145"/>
        <v>4.0134119081487496</v>
      </c>
      <c r="E1205" s="3">
        <f t="shared" si="146"/>
        <v>0.13700000000000001</v>
      </c>
      <c r="F1205" s="3" t="e">
        <f t="shared" si="147"/>
        <v>#N/A</v>
      </c>
      <c r="G1205" s="3" t="e">
        <f t="shared" si="148"/>
        <v>#N/A</v>
      </c>
      <c r="H1205" s="3" t="e">
        <f t="shared" si="149"/>
        <v>#N/A</v>
      </c>
      <c r="I1205" s="3" t="e">
        <f t="shared" si="150"/>
        <v>#N/A</v>
      </c>
      <c r="J1205" s="3">
        <v>4013.4119081487497</v>
      </c>
      <c r="K1205" s="3">
        <v>137</v>
      </c>
      <c r="L1205" s="3" t="e">
        <v>#N/A</v>
      </c>
      <c r="M1205" s="3" t="e">
        <v>#N/A</v>
      </c>
      <c r="N1205" s="3" t="e">
        <v>#N/A</v>
      </c>
      <c r="O1205" s="3" t="e">
        <v>#N/A</v>
      </c>
      <c r="P1205" s="3">
        <f>E1205*(VLOOKUP(B1205,Price_data!A$1:B$190,2,FALSE))</f>
        <v>1.1504575000000001</v>
      </c>
      <c r="Q1205" s="3" t="e">
        <f>G1205*(VLOOKUP(B1205,Price_data!A$1:B$190,2,FALSE))</f>
        <v>#N/A</v>
      </c>
      <c r="R1205" s="3" t="e">
        <f>I1205*(VLOOKUP(B1205,Price_data!A$1:B$190,2,FALSE))</f>
        <v>#N/A</v>
      </c>
      <c r="S1205" s="4" t="str">
        <f>(VLOOKUP(B1205,Price_data!A$1:C$190,3,FALSE))</f>
        <v>Open access</v>
      </c>
      <c r="T1205" s="2" t="str">
        <f>IF(C1205="Total", (VLOOKUP(B1205,Recommended_fish_intake!A$4:D$122,4,FALSE)), "NA")</f>
        <v>NA</v>
      </c>
      <c r="U1205" s="2" t="str">
        <f t="shared" si="144"/>
        <v>NA</v>
      </c>
    </row>
    <row r="1206" spans="1:21" ht="14.25" customHeight="1">
      <c r="A1206" s="2" t="s">
        <v>15</v>
      </c>
      <c r="B1206" s="2">
        <v>1971</v>
      </c>
      <c r="C1206" s="2" t="s">
        <v>41</v>
      </c>
      <c r="D1206" s="3">
        <f t="shared" si="145"/>
        <v>715.14935988620198</v>
      </c>
      <c r="E1206" s="3">
        <f t="shared" si="146"/>
        <v>78.936000000000007</v>
      </c>
      <c r="F1206" s="3" t="e">
        <f t="shared" si="147"/>
        <v>#N/A</v>
      </c>
      <c r="G1206" s="3" t="e">
        <f t="shared" si="148"/>
        <v>#N/A</v>
      </c>
      <c r="H1206" s="3" t="e">
        <f t="shared" si="149"/>
        <v>#N/A</v>
      </c>
      <c r="I1206" s="3" t="e">
        <f t="shared" si="150"/>
        <v>#N/A</v>
      </c>
      <c r="J1206" s="3">
        <v>715149.35988620203</v>
      </c>
      <c r="K1206" s="3">
        <v>78936</v>
      </c>
      <c r="L1206" s="3" t="e">
        <v>#N/A</v>
      </c>
      <c r="M1206" s="3" t="e">
        <v>#N/A</v>
      </c>
      <c r="N1206" s="3" t="e">
        <v>#N/A</v>
      </c>
      <c r="O1206" s="3" t="e">
        <v>#N/A</v>
      </c>
      <c r="P1206" s="3">
        <f>E1206*(VLOOKUP(B1206,Price_data!A$1:B$190,2,FALSE))</f>
        <v>662.86506000000008</v>
      </c>
      <c r="Q1206" s="3" t="e">
        <f>G1206*(VLOOKUP(B1206,Price_data!A$1:B$190,2,FALSE))</f>
        <v>#N/A</v>
      </c>
      <c r="R1206" s="3" t="e">
        <f>I1206*(VLOOKUP(B1206,Price_data!A$1:B$190,2,FALSE))</f>
        <v>#N/A</v>
      </c>
      <c r="S1206" s="4" t="str">
        <f>(VLOOKUP(B1206,Price_data!A$1:C$190,3,FALSE))</f>
        <v>Open access</v>
      </c>
      <c r="T1206" s="2" t="str">
        <f>IF(C1206="Total", (VLOOKUP(B1206,Recommended_fish_intake!A$4:D$122,4,FALSE)), "NA")</f>
        <v>NA</v>
      </c>
      <c r="U1206" s="2" t="str">
        <f t="shared" si="144"/>
        <v>NA</v>
      </c>
    </row>
    <row r="1207" spans="1:21" ht="14.25" customHeight="1">
      <c r="A1207" s="2" t="s">
        <v>15</v>
      </c>
      <c r="B1207" s="2">
        <v>1971</v>
      </c>
      <c r="C1207" s="2" t="s">
        <v>42</v>
      </c>
      <c r="D1207" s="3">
        <f t="shared" si="145"/>
        <v>206.00487705750862</v>
      </c>
      <c r="E1207" s="3">
        <f t="shared" si="146"/>
        <v>6.23</v>
      </c>
      <c r="F1207" s="3" t="e">
        <f t="shared" si="147"/>
        <v>#N/A</v>
      </c>
      <c r="G1207" s="3" t="e">
        <f t="shared" si="148"/>
        <v>#N/A</v>
      </c>
      <c r="H1207" s="3" t="e">
        <f t="shared" si="149"/>
        <v>#N/A</v>
      </c>
      <c r="I1207" s="3" t="e">
        <f t="shared" si="150"/>
        <v>#N/A</v>
      </c>
      <c r="J1207" s="3">
        <v>206004.87705750862</v>
      </c>
      <c r="K1207" s="3">
        <v>6230</v>
      </c>
      <c r="L1207" s="3" t="e">
        <v>#N/A</v>
      </c>
      <c r="M1207" s="3" t="e">
        <v>#N/A</v>
      </c>
      <c r="N1207" s="3" t="e">
        <v>#N/A</v>
      </c>
      <c r="O1207" s="3" t="e">
        <v>#N/A</v>
      </c>
      <c r="P1207" s="3">
        <f>E1207*(VLOOKUP(B1207,Price_data!A$1:B$190,2,FALSE))</f>
        <v>52.31642500000001</v>
      </c>
      <c r="Q1207" s="3" t="e">
        <f>G1207*(VLOOKUP(B1207,Price_data!A$1:B$190,2,FALSE))</f>
        <v>#N/A</v>
      </c>
      <c r="R1207" s="3" t="e">
        <f>I1207*(VLOOKUP(B1207,Price_data!A$1:B$190,2,FALSE))</f>
        <v>#N/A</v>
      </c>
      <c r="S1207" s="4" t="str">
        <f>(VLOOKUP(B1207,Price_data!A$1:C$190,3,FALSE))</f>
        <v>Open access</v>
      </c>
      <c r="T1207" s="2" t="str">
        <f>IF(C1207="Total", (VLOOKUP(B1207,Recommended_fish_intake!A$4:D$122,4,FALSE)), "NA")</f>
        <v>NA</v>
      </c>
      <c r="U1207" s="2" t="str">
        <f t="shared" si="144"/>
        <v>NA</v>
      </c>
    </row>
    <row r="1208" spans="1:21" ht="14.25" customHeight="1">
      <c r="A1208" s="2" t="s">
        <v>18</v>
      </c>
      <c r="B1208" s="2">
        <v>1971</v>
      </c>
      <c r="C1208" s="2" t="s">
        <v>20</v>
      </c>
      <c r="D1208" s="3">
        <f t="shared" si="145"/>
        <v>4.8262548262548259</v>
      </c>
      <c r="E1208" s="3">
        <f t="shared" si="146"/>
        <v>0.29799999999999999</v>
      </c>
      <c r="F1208" s="3" t="e">
        <f t="shared" si="147"/>
        <v>#N/A</v>
      </c>
      <c r="G1208" s="3" t="e">
        <f t="shared" si="148"/>
        <v>#N/A</v>
      </c>
      <c r="H1208" s="3" t="e">
        <f t="shared" si="149"/>
        <v>#N/A</v>
      </c>
      <c r="I1208" s="3" t="e">
        <f t="shared" si="150"/>
        <v>#N/A</v>
      </c>
      <c r="J1208" s="2">
        <v>4826.2548262548262</v>
      </c>
      <c r="K1208" s="2">
        <v>298</v>
      </c>
      <c r="L1208" s="2" t="e">
        <v>#N/A</v>
      </c>
      <c r="M1208" s="2" t="e">
        <v>#N/A</v>
      </c>
      <c r="N1208" s="2" t="e">
        <v>#N/A</v>
      </c>
      <c r="O1208" s="2" t="e">
        <v>#N/A</v>
      </c>
      <c r="P1208" s="3">
        <f>E1208*(VLOOKUP(B1208,Price_data!A$1:B$190,2,FALSE))</f>
        <v>2.5024550000000003</v>
      </c>
      <c r="Q1208" s="3" t="e">
        <f>G1208*(VLOOKUP(B1208,Price_data!A$1:B$190,2,FALSE))</f>
        <v>#N/A</v>
      </c>
      <c r="R1208" s="3" t="e">
        <f>I1208*(VLOOKUP(B1208,Price_data!A$1:B$190,2,FALSE))</f>
        <v>#N/A</v>
      </c>
      <c r="S1208" s="4" t="str">
        <f>(VLOOKUP(B1208,Price_data!A$1:C$190,3,FALSE))</f>
        <v>Open access</v>
      </c>
      <c r="T1208" s="2" t="str">
        <f>IF(C1208="Total", (VLOOKUP(B1208,Recommended_fish_intake!A$4:D$122,4,FALSE)), "NA")</f>
        <v>NA</v>
      </c>
      <c r="U1208" s="2" t="str">
        <f t="shared" si="144"/>
        <v>NA</v>
      </c>
    </row>
    <row r="1209" spans="1:21" ht="14.25" customHeight="1">
      <c r="A1209" s="2" t="s">
        <v>39</v>
      </c>
      <c r="B1209" s="2">
        <v>1971</v>
      </c>
      <c r="C1209" s="2" t="s">
        <v>20</v>
      </c>
      <c r="D1209" s="3">
        <f t="shared" si="145"/>
        <v>1.4224751066856329</v>
      </c>
      <c r="E1209" s="3">
        <f t="shared" si="146"/>
        <v>3.9E-2</v>
      </c>
      <c r="F1209" s="3" t="e">
        <f t="shared" si="147"/>
        <v>#N/A</v>
      </c>
      <c r="G1209" s="3" t="e">
        <f t="shared" si="148"/>
        <v>#N/A</v>
      </c>
      <c r="H1209" s="3" t="e">
        <f t="shared" si="149"/>
        <v>#N/A</v>
      </c>
      <c r="I1209" s="3" t="e">
        <f t="shared" si="150"/>
        <v>#N/A</v>
      </c>
      <c r="J1209" s="2">
        <v>1422.4751066856329</v>
      </c>
      <c r="K1209" s="2">
        <v>39</v>
      </c>
      <c r="L1209" s="2" t="e">
        <v>#N/A</v>
      </c>
      <c r="M1209" s="2" t="e">
        <v>#N/A</v>
      </c>
      <c r="N1209" s="2" t="e">
        <v>#N/A</v>
      </c>
      <c r="O1209" s="2" t="e">
        <v>#N/A</v>
      </c>
      <c r="P1209" s="3">
        <f>E1209*(VLOOKUP(B1209,Price_data!A$1:B$190,2,FALSE))</f>
        <v>0.32750250000000003</v>
      </c>
      <c r="Q1209" s="3" t="e">
        <f>G1209*(VLOOKUP(B1209,Price_data!A$1:B$190,2,FALSE))</f>
        <v>#N/A</v>
      </c>
      <c r="R1209" s="3" t="e">
        <f>I1209*(VLOOKUP(B1209,Price_data!A$1:B$190,2,FALSE))</f>
        <v>#N/A</v>
      </c>
      <c r="S1209" s="4" t="str">
        <f>(VLOOKUP(B1209,Price_data!A$1:C$190,3,FALSE))</f>
        <v>Open access</v>
      </c>
      <c r="T1209" s="2" t="str">
        <f>IF(C1209="Total", (VLOOKUP(B1209,Recommended_fish_intake!A$4:D$122,4,FALSE)), "NA")</f>
        <v>NA</v>
      </c>
      <c r="U1209" s="2" t="str">
        <f t="shared" si="144"/>
        <v>NA</v>
      </c>
    </row>
    <row r="1210" spans="1:21" ht="14.25" customHeight="1">
      <c r="A1210" s="2" t="s">
        <v>40</v>
      </c>
      <c r="B1210" s="2">
        <v>1971</v>
      </c>
      <c r="C1210" s="2" t="s">
        <v>20</v>
      </c>
      <c r="D1210" s="3">
        <f t="shared" si="145"/>
        <v>0.30481609428977846</v>
      </c>
      <c r="E1210" s="3">
        <f t="shared" si="146"/>
        <v>5.0000000000000001E-3</v>
      </c>
      <c r="F1210" s="3" t="e">
        <f t="shared" si="147"/>
        <v>#N/A</v>
      </c>
      <c r="G1210" s="3" t="e">
        <f t="shared" si="148"/>
        <v>#N/A</v>
      </c>
      <c r="H1210" s="3" t="e">
        <f t="shared" si="149"/>
        <v>#N/A</v>
      </c>
      <c r="I1210" s="3" t="e">
        <f t="shared" si="150"/>
        <v>#N/A</v>
      </c>
      <c r="J1210" s="2">
        <v>304.81609428977845</v>
      </c>
      <c r="K1210" s="2">
        <v>5</v>
      </c>
      <c r="L1210" s="2" t="e">
        <v>#N/A</v>
      </c>
      <c r="M1210" s="2" t="e">
        <v>#N/A</v>
      </c>
      <c r="N1210" s="2" t="e">
        <v>#N/A</v>
      </c>
      <c r="O1210" s="2" t="e">
        <v>#N/A</v>
      </c>
      <c r="P1210" s="3">
        <f>E1210*(VLOOKUP(B1210,Price_data!A$1:B$190,2,FALSE))</f>
        <v>4.1987500000000004E-2</v>
      </c>
      <c r="Q1210" s="3" t="e">
        <f>G1210*(VLOOKUP(B1210,Price_data!A$1:B$190,2,FALSE))</f>
        <v>#N/A</v>
      </c>
      <c r="R1210" s="3" t="e">
        <f>I1210*(VLOOKUP(B1210,Price_data!A$1:B$190,2,FALSE))</f>
        <v>#N/A</v>
      </c>
      <c r="S1210" s="4" t="str">
        <f>(VLOOKUP(B1210,Price_data!A$1:C$190,3,FALSE))</f>
        <v>Open access</v>
      </c>
      <c r="T1210" s="2" t="str">
        <f>IF(C1210="Total", (VLOOKUP(B1210,Recommended_fish_intake!A$4:D$122,4,FALSE)), "NA")</f>
        <v>NA</v>
      </c>
      <c r="U1210" s="2" t="str">
        <f t="shared" si="144"/>
        <v>NA</v>
      </c>
    </row>
    <row r="1211" spans="1:21" ht="14.25" customHeight="1">
      <c r="A1211" s="2" t="s">
        <v>15</v>
      </c>
      <c r="B1211" s="2">
        <v>1971</v>
      </c>
      <c r="C1211" s="2" t="s">
        <v>20</v>
      </c>
      <c r="D1211" s="3">
        <f t="shared" si="145"/>
        <v>6.5535460272302375</v>
      </c>
      <c r="E1211" s="3">
        <f t="shared" si="146"/>
        <v>0.34200000000000003</v>
      </c>
      <c r="F1211" s="3" t="e">
        <f t="shared" si="147"/>
        <v>#N/A</v>
      </c>
      <c r="G1211" s="3" t="e">
        <f t="shared" si="148"/>
        <v>#N/A</v>
      </c>
      <c r="H1211" s="3" t="e">
        <f t="shared" si="149"/>
        <v>#N/A</v>
      </c>
      <c r="I1211" s="3" t="e">
        <f t="shared" si="150"/>
        <v>#N/A</v>
      </c>
      <c r="J1211" s="2">
        <v>6553.5460272302371</v>
      </c>
      <c r="K1211" s="2">
        <v>342</v>
      </c>
      <c r="L1211" s="2" t="e">
        <v>#N/A</v>
      </c>
      <c r="M1211" s="2" t="e">
        <v>#N/A</v>
      </c>
      <c r="N1211" s="2" t="e">
        <v>#N/A</v>
      </c>
      <c r="O1211" s="2" t="e">
        <v>#N/A</v>
      </c>
      <c r="P1211" s="3">
        <f>E1211*(VLOOKUP(B1211,Price_data!A$1:B$190,2,FALSE))</f>
        <v>2.8719450000000006</v>
      </c>
      <c r="Q1211" s="3" t="e">
        <f>G1211*(VLOOKUP(B1211,Price_data!A$1:B$190,2,FALSE))</f>
        <v>#N/A</v>
      </c>
      <c r="R1211" s="3" t="e">
        <f>I1211*(VLOOKUP(B1211,Price_data!A$1:B$190,2,FALSE))</f>
        <v>#N/A</v>
      </c>
      <c r="S1211" s="4" t="str">
        <f>(VLOOKUP(B1211,Price_data!A$1:C$190,3,FALSE))</f>
        <v>Open access</v>
      </c>
      <c r="T1211" s="2" t="str">
        <f>IF(C1211="Total", (VLOOKUP(B1211,Recommended_fish_intake!A$4:D$122,4,FALSE)), "NA")</f>
        <v>NA</v>
      </c>
      <c r="U1211" s="2" t="str">
        <f t="shared" si="144"/>
        <v>NA</v>
      </c>
    </row>
    <row r="1212" spans="1:21" ht="14.25" customHeight="1">
      <c r="A1212" s="2" t="s">
        <v>15</v>
      </c>
      <c r="B1212" s="2">
        <v>1971</v>
      </c>
      <c r="C1212" s="2" t="s">
        <v>29</v>
      </c>
      <c r="D1212" s="3" t="e">
        <f t="shared" si="145"/>
        <v>#N/A</v>
      </c>
      <c r="E1212" s="3" t="e">
        <f t="shared" si="146"/>
        <v>#N/A</v>
      </c>
      <c r="F1212" s="3" t="e">
        <f t="shared" si="147"/>
        <v>#N/A</v>
      </c>
      <c r="G1212" s="3" t="e">
        <f t="shared" si="148"/>
        <v>#N/A</v>
      </c>
      <c r="H1212" s="3">
        <f t="shared" si="149"/>
        <v>38.203617150985572</v>
      </c>
      <c r="I1212" s="3">
        <f t="shared" si="150"/>
        <v>33.807000000000002</v>
      </c>
      <c r="J1212" s="3" t="e">
        <v>#N/A</v>
      </c>
      <c r="K1212" s="3" t="e">
        <v>#N/A</v>
      </c>
      <c r="L1212" s="3" t="e">
        <v>#N/A</v>
      </c>
      <c r="M1212" s="3" t="e">
        <v>#N/A</v>
      </c>
      <c r="N1212" s="3">
        <v>38203.61715098557</v>
      </c>
      <c r="O1212" s="3">
        <v>33807</v>
      </c>
      <c r="P1212" s="3" t="e">
        <f>E1212*(VLOOKUP(B1212,Price_data!A$1:B$190,2,FALSE))</f>
        <v>#N/A</v>
      </c>
      <c r="Q1212" s="3" t="e">
        <f>G1212*(VLOOKUP(B1212,Price_data!A$1:B$190,2,FALSE))</f>
        <v>#N/A</v>
      </c>
      <c r="R1212" s="3">
        <f>I1212*(VLOOKUP(B1212,Price_data!A$1:B$190,2,FALSE))</f>
        <v>283.89428250000003</v>
      </c>
      <c r="S1212" s="4" t="str">
        <f>(VLOOKUP(B1212,Price_data!A$1:C$190,3,FALSE))</f>
        <v>Open access</v>
      </c>
      <c r="T1212" s="2" t="str">
        <f>IF(C1212="Total", (VLOOKUP(B1212,Recommended_fish_intake!A$4:D$122,4,FALSE)), "NA")</f>
        <v>NA</v>
      </c>
      <c r="U1212" s="2" t="str">
        <f t="shared" si="144"/>
        <v>NA</v>
      </c>
    </row>
    <row r="1213" spans="1:21" ht="14.25" customHeight="1">
      <c r="A1213" s="2" t="s">
        <v>15</v>
      </c>
      <c r="B1213" s="2">
        <v>1971</v>
      </c>
      <c r="C1213" s="2" t="s">
        <v>43</v>
      </c>
      <c r="D1213" s="3" t="e">
        <f t="shared" si="145"/>
        <v>#N/A</v>
      </c>
      <c r="E1213" s="3" t="e">
        <f t="shared" si="146"/>
        <v>#N/A</v>
      </c>
      <c r="F1213" s="3" t="e">
        <f t="shared" si="147"/>
        <v>#N/A</v>
      </c>
      <c r="G1213" s="3" t="e">
        <f t="shared" si="148"/>
        <v>#N/A</v>
      </c>
      <c r="H1213" s="3">
        <f t="shared" si="149"/>
        <v>2.3369233895549684</v>
      </c>
      <c r="I1213" s="3">
        <f t="shared" si="150"/>
        <v>1.1639999999999999</v>
      </c>
      <c r="J1213" s="3" t="e">
        <v>#N/A</v>
      </c>
      <c r="K1213" s="3" t="e">
        <v>#N/A</v>
      </c>
      <c r="L1213" s="3" t="e">
        <v>#N/A</v>
      </c>
      <c r="M1213" s="3" t="e">
        <v>#N/A</v>
      </c>
      <c r="N1213" s="3">
        <v>2336.9233895549683</v>
      </c>
      <c r="O1213" s="3">
        <v>1164</v>
      </c>
      <c r="P1213" s="3" t="e">
        <f>E1213*(VLOOKUP(B1213,Price_data!A$1:B$190,2,FALSE))</f>
        <v>#N/A</v>
      </c>
      <c r="Q1213" s="3" t="e">
        <f>G1213*(VLOOKUP(B1213,Price_data!A$1:B$190,2,FALSE))</f>
        <v>#N/A</v>
      </c>
      <c r="R1213" s="3">
        <f>I1213*(VLOOKUP(B1213,Price_data!A$1:B$190,2,FALSE))</f>
        <v>9.7746899999999997</v>
      </c>
      <c r="S1213" s="4" t="str">
        <f>(VLOOKUP(B1213,Price_data!A$1:C$190,3,FALSE))</f>
        <v>Open access</v>
      </c>
      <c r="T1213" s="2" t="str">
        <f>IF(C1213="Total", (VLOOKUP(B1213,Recommended_fish_intake!A$4:D$122,4,FALSE)), "NA")</f>
        <v>NA</v>
      </c>
      <c r="U1213" s="2" t="str">
        <f t="shared" si="144"/>
        <v>NA</v>
      </c>
    </row>
    <row r="1214" spans="1:21" ht="14.25" customHeight="1">
      <c r="A1214" s="2" t="s">
        <v>15</v>
      </c>
      <c r="B1214" s="2">
        <v>1972</v>
      </c>
      <c r="C1214" s="2" t="s">
        <v>16</v>
      </c>
      <c r="D1214" s="3">
        <f t="shared" si="145"/>
        <v>954.88721804511272</v>
      </c>
      <c r="E1214" s="3">
        <f t="shared" si="146"/>
        <v>108.83499999999999</v>
      </c>
      <c r="F1214" s="3">
        <f t="shared" si="147"/>
        <v>121.72322698638487</v>
      </c>
      <c r="G1214" s="3">
        <f t="shared" si="148"/>
        <v>29.271000000000001</v>
      </c>
      <c r="H1214" s="3">
        <f t="shared" si="149"/>
        <v>196.25076204023571</v>
      </c>
      <c r="I1214" s="3">
        <f t="shared" si="150"/>
        <v>95.028000000000006</v>
      </c>
      <c r="J1214" s="3">
        <v>954887.21804511268</v>
      </c>
      <c r="K1214" s="3">
        <v>108835</v>
      </c>
      <c r="L1214" s="3">
        <v>121723.22698638488</v>
      </c>
      <c r="M1214" s="3">
        <v>29271</v>
      </c>
      <c r="N1214" s="3">
        <v>196250.76204023571</v>
      </c>
      <c r="O1214" s="3">
        <v>95028</v>
      </c>
      <c r="P1214" s="3">
        <f>E1214*(VLOOKUP(B1214,Price_data!A$1:B$190,2,FALSE))</f>
        <v>853.15464408626997</v>
      </c>
      <c r="Q1214" s="3">
        <f>G1214*(VLOOKUP(B1214,Price_data!A$1:B$190,2,FALSE))</f>
        <v>229.45458342490201</v>
      </c>
      <c r="R1214" s="3">
        <f>I1214*(VLOOKUP(B1214,Price_data!A$1:B$190,2,FALSE))</f>
        <v>744.92194163853605</v>
      </c>
      <c r="S1214" s="4" t="str">
        <f>(VLOOKUP(B1214,Price_data!A$1:C$190,3,FALSE))</f>
        <v>Open access</v>
      </c>
      <c r="T1214" s="2">
        <f>IF(C1214="Total", (VLOOKUP(B1214,Recommended_fish_intake!A$4:D$122,4,FALSE)), "NA")</f>
        <v>720.50424327882001</v>
      </c>
      <c r="U1214" s="2" t="str">
        <f t="shared" si="144"/>
        <v>NA</v>
      </c>
    </row>
    <row r="1215" spans="1:21" ht="14.25" customHeight="1">
      <c r="A1215" s="2" t="s">
        <v>18</v>
      </c>
      <c r="B1215" s="2">
        <v>1972</v>
      </c>
      <c r="C1215" s="2" t="s">
        <v>16</v>
      </c>
      <c r="D1215" s="3">
        <f t="shared" si="145"/>
        <v>478.71367608209709</v>
      </c>
      <c r="E1215" s="3">
        <f t="shared" si="146"/>
        <v>63.856000000000002</v>
      </c>
      <c r="F1215" s="3" t="e">
        <f t="shared" si="147"/>
        <v>#N/A</v>
      </c>
      <c r="G1215" s="3" t="e">
        <f t="shared" si="148"/>
        <v>#N/A</v>
      </c>
      <c r="H1215" s="3" t="e">
        <f t="shared" si="149"/>
        <v>#N/A</v>
      </c>
      <c r="I1215" s="3" t="e">
        <f t="shared" si="150"/>
        <v>#N/A</v>
      </c>
      <c r="J1215" s="3">
        <v>478713.67608209711</v>
      </c>
      <c r="K1215" s="3">
        <v>63856</v>
      </c>
      <c r="L1215" s="3" t="e">
        <v>#N/A</v>
      </c>
      <c r="M1215" s="3" t="e">
        <v>#N/A</v>
      </c>
      <c r="N1215" s="3" t="e">
        <v>#N/A</v>
      </c>
      <c r="O1215" s="3" t="e">
        <v>#N/A</v>
      </c>
      <c r="P1215" s="3">
        <f>E1215*(VLOOKUP(B1215,Price_data!A$1:B$190,2,FALSE))</f>
        <v>500.56547023267206</v>
      </c>
      <c r="Q1215" s="3" t="e">
        <f>G1215*(VLOOKUP(B1215,Price_data!A$1:B$190,2,FALSE))</f>
        <v>#N/A</v>
      </c>
      <c r="R1215" s="3" t="e">
        <f>I1215*(VLOOKUP(B1215,Price_data!A$1:B$190,2,FALSE))</f>
        <v>#N/A</v>
      </c>
      <c r="S1215" s="4" t="str">
        <f>(VLOOKUP(B1215,Price_data!A$1:C$190,3,FALSE))</f>
        <v>Open access</v>
      </c>
      <c r="T1215" s="2">
        <f>IF(C1215="Total", (VLOOKUP(B1215,Recommended_fish_intake!A$4:D$122,4,FALSE)), "NA")</f>
        <v>720.50424327882001</v>
      </c>
      <c r="U1215" s="2" t="str">
        <f t="shared" si="144"/>
        <v>NA</v>
      </c>
    </row>
    <row r="1216" spans="1:21" ht="14.25" customHeight="1">
      <c r="A1216" s="2" t="s">
        <v>39</v>
      </c>
      <c r="B1216" s="2">
        <v>1972</v>
      </c>
      <c r="C1216" s="2" t="s">
        <v>16</v>
      </c>
      <c r="D1216" s="3">
        <f t="shared" si="145"/>
        <v>463.06644990855517</v>
      </c>
      <c r="E1216" s="3">
        <f t="shared" si="146"/>
        <v>43.728999999999999</v>
      </c>
      <c r="F1216" s="3" t="e">
        <f t="shared" si="147"/>
        <v>#N/A</v>
      </c>
      <c r="G1216" s="3" t="e">
        <f t="shared" si="148"/>
        <v>#N/A</v>
      </c>
      <c r="H1216" s="3" t="e">
        <f t="shared" si="149"/>
        <v>#N/A</v>
      </c>
      <c r="I1216" s="3" t="e">
        <f t="shared" si="150"/>
        <v>#N/A</v>
      </c>
      <c r="J1216" s="3">
        <v>463066.44990855519</v>
      </c>
      <c r="K1216" s="3">
        <v>43729</v>
      </c>
      <c r="L1216" s="3" t="e">
        <v>#N/A</v>
      </c>
      <c r="M1216" s="3" t="e">
        <v>#N/A</v>
      </c>
      <c r="N1216" s="3" t="e">
        <v>#N/A</v>
      </c>
      <c r="O1216" s="3" t="e">
        <v>#N/A</v>
      </c>
      <c r="P1216" s="3">
        <f>E1216*(VLOOKUP(B1216,Price_data!A$1:B$190,2,FALSE))</f>
        <v>342.79045740109802</v>
      </c>
      <c r="Q1216" s="3" t="e">
        <f>G1216*(VLOOKUP(B1216,Price_data!A$1:B$190,2,FALSE))</f>
        <v>#N/A</v>
      </c>
      <c r="R1216" s="3" t="e">
        <f>I1216*(VLOOKUP(B1216,Price_data!A$1:B$190,2,FALSE))</f>
        <v>#N/A</v>
      </c>
      <c r="S1216" s="4" t="str">
        <f>(VLOOKUP(B1216,Price_data!A$1:C$190,3,FALSE))</f>
        <v>Open access</v>
      </c>
      <c r="T1216" s="2">
        <f>IF(C1216="Total", (VLOOKUP(B1216,Recommended_fish_intake!A$4:D$122,4,FALSE)), "NA")</f>
        <v>720.50424327882001</v>
      </c>
      <c r="U1216" s="2" t="str">
        <f t="shared" si="144"/>
        <v>NA</v>
      </c>
    </row>
    <row r="1217" spans="1:21" ht="14.25" customHeight="1">
      <c r="A1217" s="2" t="s">
        <v>40</v>
      </c>
      <c r="B1217" s="2">
        <v>1972</v>
      </c>
      <c r="C1217" s="2" t="s">
        <v>16</v>
      </c>
      <c r="D1217" s="3">
        <f t="shared" si="145"/>
        <v>13.107092054460475</v>
      </c>
      <c r="E1217" s="3">
        <f t="shared" si="146"/>
        <v>1.25</v>
      </c>
      <c r="F1217" s="3" t="e">
        <f t="shared" si="147"/>
        <v>#N/A</v>
      </c>
      <c r="G1217" s="3" t="e">
        <f t="shared" si="148"/>
        <v>#N/A</v>
      </c>
      <c r="H1217" s="3" t="e">
        <f t="shared" si="149"/>
        <v>#N/A</v>
      </c>
      <c r="I1217" s="3" t="e">
        <f t="shared" si="150"/>
        <v>#N/A</v>
      </c>
      <c r="J1217" s="3">
        <v>13107.092054460474</v>
      </c>
      <c r="K1217" s="3">
        <v>1250</v>
      </c>
      <c r="L1217" s="3" t="e">
        <v>#N/A</v>
      </c>
      <c r="M1217" s="3" t="e">
        <v>#N/A</v>
      </c>
      <c r="N1217" s="3" t="e">
        <v>#N/A</v>
      </c>
      <c r="O1217" s="3" t="e">
        <v>#N/A</v>
      </c>
      <c r="P1217" s="3">
        <f>E1217*(VLOOKUP(B1217,Price_data!A$1:B$190,2,FALSE))</f>
        <v>9.7987164525000008</v>
      </c>
      <c r="Q1217" s="3" t="e">
        <f>G1217*(VLOOKUP(B1217,Price_data!A$1:B$190,2,FALSE))</f>
        <v>#N/A</v>
      </c>
      <c r="R1217" s="3" t="e">
        <f>I1217*(VLOOKUP(B1217,Price_data!A$1:B$190,2,FALSE))</f>
        <v>#N/A</v>
      </c>
      <c r="S1217" s="4" t="str">
        <f>(VLOOKUP(B1217,Price_data!A$1:C$190,3,FALSE))</f>
        <v>Open access</v>
      </c>
      <c r="T1217" s="2">
        <f>IF(C1217="Total", (VLOOKUP(B1217,Recommended_fish_intake!A$4:D$122,4,FALSE)), "NA")</f>
        <v>720.50424327882001</v>
      </c>
      <c r="U1217" s="2" t="str">
        <f t="shared" si="144"/>
        <v>NA</v>
      </c>
    </row>
    <row r="1218" spans="1:21" ht="14.25" customHeight="1">
      <c r="A1218" s="2" t="s">
        <v>15</v>
      </c>
      <c r="B1218" s="2">
        <v>1972</v>
      </c>
      <c r="C1218" s="2" t="s">
        <v>22</v>
      </c>
      <c r="D1218" s="3">
        <f t="shared" si="145"/>
        <v>301.81873602926231</v>
      </c>
      <c r="E1218" s="3">
        <f t="shared" si="146"/>
        <v>46.539000000000001</v>
      </c>
      <c r="F1218" s="3" t="e">
        <f t="shared" si="147"/>
        <v>#N/A</v>
      </c>
      <c r="G1218" s="3" t="e">
        <f t="shared" si="148"/>
        <v>#N/A</v>
      </c>
      <c r="H1218" s="3">
        <f t="shared" si="149"/>
        <v>43.893517577728105</v>
      </c>
      <c r="I1218" s="3">
        <f t="shared" si="150"/>
        <v>12.036</v>
      </c>
      <c r="J1218" s="3">
        <v>301818.73602926231</v>
      </c>
      <c r="K1218" s="3">
        <v>46539</v>
      </c>
      <c r="L1218" s="3" t="e">
        <v>#N/A</v>
      </c>
      <c r="M1218" s="3" t="e">
        <v>#N/A</v>
      </c>
      <c r="N1218" s="3">
        <v>43893.517577728104</v>
      </c>
      <c r="O1218" s="3">
        <v>12036</v>
      </c>
      <c r="P1218" s="3">
        <f>E1218*(VLOOKUP(B1218,Price_data!A$1:B$190,2,FALSE))</f>
        <v>364.81797198631801</v>
      </c>
      <c r="Q1218" s="3" t="e">
        <f>G1218*(VLOOKUP(B1218,Price_data!A$1:B$190,2,FALSE))</f>
        <v>#N/A</v>
      </c>
      <c r="R1218" s="3">
        <f>I1218*(VLOOKUP(B1218,Price_data!A$1:B$190,2,FALSE))</f>
        <v>94.349880977832001</v>
      </c>
      <c r="S1218" s="4" t="str">
        <f>(VLOOKUP(B1218,Price_data!A$1:C$190,3,FALSE))</f>
        <v>Open access</v>
      </c>
      <c r="T1218" s="2" t="str">
        <f>IF(C1218="Total", (VLOOKUP(B1218,Recommended_fish_intake!A$4:D$122,4,FALSE)), "NA")</f>
        <v>NA</v>
      </c>
      <c r="U1218" s="2" t="str">
        <f t="shared" ref="U1218:U1281" si="151">IF(C1218="Wet fish", D1218*0.49, IF(C1218="Shellfish", D1218*0.28, "NA"))</f>
        <v>NA</v>
      </c>
    </row>
    <row r="1219" spans="1:21" ht="14.25" customHeight="1">
      <c r="A1219" s="2" t="s">
        <v>15</v>
      </c>
      <c r="B1219" s="2">
        <v>1972</v>
      </c>
      <c r="C1219" s="2" t="s">
        <v>23</v>
      </c>
      <c r="D1219" s="3">
        <f t="shared" si="145"/>
        <v>156.6246697825645</v>
      </c>
      <c r="E1219" s="3">
        <f t="shared" si="146"/>
        <v>20.789000000000001</v>
      </c>
      <c r="F1219" s="3" t="e">
        <f t="shared" si="147"/>
        <v>#N/A</v>
      </c>
      <c r="G1219" s="3" t="e">
        <f t="shared" si="148"/>
        <v>#N/A</v>
      </c>
      <c r="H1219" s="3">
        <f t="shared" si="149"/>
        <v>4.9278601910180857</v>
      </c>
      <c r="I1219" s="3">
        <f t="shared" si="150"/>
        <v>1.4670000000000001</v>
      </c>
      <c r="J1219" s="3">
        <v>156624.66978256451</v>
      </c>
      <c r="K1219" s="3">
        <v>20789</v>
      </c>
      <c r="L1219" s="3" t="e">
        <v>#N/A</v>
      </c>
      <c r="M1219" s="3" t="e">
        <v>#N/A</v>
      </c>
      <c r="N1219" s="3">
        <v>4927.860191018086</v>
      </c>
      <c r="O1219" s="3">
        <v>1467</v>
      </c>
      <c r="P1219" s="3">
        <f>E1219*(VLOOKUP(B1219,Price_data!A$1:B$190,2,FALSE))</f>
        <v>162.96441306481802</v>
      </c>
      <c r="Q1219" s="3" t="e">
        <f>G1219*(VLOOKUP(B1219,Price_data!A$1:B$190,2,FALSE))</f>
        <v>#N/A</v>
      </c>
      <c r="R1219" s="3">
        <f>I1219*(VLOOKUP(B1219,Price_data!A$1:B$190,2,FALSE))</f>
        <v>11.499773628654001</v>
      </c>
      <c r="S1219" s="4" t="str">
        <f>(VLOOKUP(B1219,Price_data!A$1:C$190,3,FALSE))</f>
        <v>Open access</v>
      </c>
      <c r="T1219" s="2" t="str">
        <f>IF(C1219="Total", (VLOOKUP(B1219,Recommended_fish_intake!A$4:D$122,4,FALSE)), "NA")</f>
        <v>NA</v>
      </c>
      <c r="U1219" s="2" t="str">
        <f t="shared" si="151"/>
        <v>NA</v>
      </c>
    </row>
    <row r="1220" spans="1:21" ht="14.25" customHeight="1">
      <c r="A1220" s="2" t="s">
        <v>15</v>
      </c>
      <c r="B1220" s="2">
        <v>1972</v>
      </c>
      <c r="C1220" s="2" t="s">
        <v>25</v>
      </c>
      <c r="D1220" s="3">
        <f t="shared" si="145"/>
        <v>40.134119081487498</v>
      </c>
      <c r="E1220" s="3">
        <f t="shared" si="146"/>
        <v>7.5149999999999997</v>
      </c>
      <c r="F1220" s="3" t="e">
        <f t="shared" si="147"/>
        <v>#N/A</v>
      </c>
      <c r="G1220" s="3" t="e">
        <f t="shared" si="148"/>
        <v>#N/A</v>
      </c>
      <c r="H1220" s="3">
        <f t="shared" si="149"/>
        <v>17.425320056899004</v>
      </c>
      <c r="I1220" s="3">
        <f t="shared" si="150"/>
        <v>4.54</v>
      </c>
      <c r="J1220" s="3">
        <v>40134.119081487501</v>
      </c>
      <c r="K1220" s="3">
        <v>7515</v>
      </c>
      <c r="L1220" s="3" t="e">
        <v>#N/A</v>
      </c>
      <c r="M1220" s="3" t="e">
        <v>#N/A</v>
      </c>
      <c r="N1220" s="3">
        <v>17425.320056899003</v>
      </c>
      <c r="O1220" s="3">
        <v>4540</v>
      </c>
      <c r="P1220" s="3">
        <f>E1220*(VLOOKUP(B1220,Price_data!A$1:B$190,2,FALSE))</f>
        <v>58.909883312429997</v>
      </c>
      <c r="Q1220" s="3" t="e">
        <f>G1220*(VLOOKUP(B1220,Price_data!A$1:B$190,2,FALSE))</f>
        <v>#N/A</v>
      </c>
      <c r="R1220" s="3">
        <f>I1220*(VLOOKUP(B1220,Price_data!A$1:B$190,2,FALSE))</f>
        <v>35.588938155480001</v>
      </c>
      <c r="S1220" s="4" t="str">
        <f>(VLOOKUP(B1220,Price_data!A$1:C$190,3,FALSE))</f>
        <v>Open access</v>
      </c>
      <c r="T1220" s="2" t="str">
        <f>IF(C1220="Total", (VLOOKUP(B1220,Recommended_fish_intake!A$4:D$122,4,FALSE)), "NA")</f>
        <v>NA</v>
      </c>
      <c r="U1220" s="2" t="str">
        <f t="shared" si="151"/>
        <v>NA</v>
      </c>
    </row>
    <row r="1221" spans="1:21" ht="14.25" customHeight="1">
      <c r="A1221" s="2" t="s">
        <v>15</v>
      </c>
      <c r="B1221" s="2">
        <v>1972</v>
      </c>
      <c r="C1221" s="2" t="s">
        <v>38</v>
      </c>
      <c r="D1221" s="3">
        <f t="shared" si="145"/>
        <v>47.551310709205445</v>
      </c>
      <c r="E1221" s="3">
        <f t="shared" si="146"/>
        <v>2.9710000000000001</v>
      </c>
      <c r="F1221" s="3" t="e">
        <f t="shared" si="147"/>
        <v>#N/A</v>
      </c>
      <c r="G1221" s="3" t="e">
        <f t="shared" si="148"/>
        <v>#N/A</v>
      </c>
      <c r="H1221" s="3" t="e">
        <f t="shared" si="149"/>
        <v>#N/A</v>
      </c>
      <c r="I1221" s="3" t="e">
        <f t="shared" si="150"/>
        <v>#N/A</v>
      </c>
      <c r="J1221" s="3">
        <v>47551.310709205449</v>
      </c>
      <c r="K1221" s="3">
        <v>2971</v>
      </c>
      <c r="L1221" s="3" t="e">
        <v>#N/A</v>
      </c>
      <c r="M1221" s="3" t="e">
        <v>#N/A</v>
      </c>
      <c r="N1221" s="3" t="e">
        <v>#N/A</v>
      </c>
      <c r="O1221" s="3" t="e">
        <v>#N/A</v>
      </c>
      <c r="P1221" s="3">
        <f>E1221*(VLOOKUP(B1221,Price_data!A$1:B$190,2,FALSE))</f>
        <v>23.289589264302002</v>
      </c>
      <c r="Q1221" s="3" t="e">
        <f>G1221*(VLOOKUP(B1221,Price_data!A$1:B$190,2,FALSE))</f>
        <v>#N/A</v>
      </c>
      <c r="R1221" s="3" t="e">
        <f>I1221*(VLOOKUP(B1221,Price_data!A$1:B$190,2,FALSE))</f>
        <v>#N/A</v>
      </c>
      <c r="S1221" s="4" t="str">
        <f>(VLOOKUP(B1221,Price_data!A$1:C$190,3,FALSE))</f>
        <v>Open access</v>
      </c>
      <c r="T1221" s="2" t="str">
        <f>IF(C1221="Total", (VLOOKUP(B1221,Recommended_fish_intake!A$4:D$122,4,FALSE)), "NA")</f>
        <v>NA</v>
      </c>
      <c r="U1221" s="2" t="str">
        <f t="shared" si="151"/>
        <v>NA</v>
      </c>
    </row>
    <row r="1222" spans="1:21" ht="14.25" customHeight="1">
      <c r="A1222" s="2" t="s">
        <v>15</v>
      </c>
      <c r="B1222" s="2">
        <v>1972</v>
      </c>
      <c r="C1222" s="2" t="s">
        <v>24</v>
      </c>
      <c r="D1222" s="3">
        <f t="shared" si="145"/>
        <v>37.390774232879494</v>
      </c>
      <c r="E1222" s="3">
        <f t="shared" si="146"/>
        <v>3.8679999999999999</v>
      </c>
      <c r="F1222" s="3" t="e">
        <f t="shared" si="147"/>
        <v>#N/A</v>
      </c>
      <c r="G1222" s="3" t="e">
        <f t="shared" si="148"/>
        <v>#N/A</v>
      </c>
      <c r="H1222" s="3" t="e">
        <f t="shared" si="149"/>
        <v>#N/A</v>
      </c>
      <c r="I1222" s="3" t="e">
        <f t="shared" si="150"/>
        <v>#N/A</v>
      </c>
      <c r="J1222" s="3">
        <v>37390.774232879492</v>
      </c>
      <c r="K1222" s="3">
        <v>3868</v>
      </c>
      <c r="L1222" s="3" t="e">
        <v>#N/A</v>
      </c>
      <c r="M1222" s="3" t="e">
        <v>#N/A</v>
      </c>
      <c r="N1222" s="3" t="e">
        <v>#N/A</v>
      </c>
      <c r="O1222" s="3" t="e">
        <v>#N/A</v>
      </c>
      <c r="P1222" s="3">
        <f>E1222*(VLOOKUP(B1222,Price_data!A$1:B$190,2,FALSE))</f>
        <v>30.321148190616</v>
      </c>
      <c r="Q1222" s="3" t="e">
        <f>G1222*(VLOOKUP(B1222,Price_data!A$1:B$190,2,FALSE))</f>
        <v>#N/A</v>
      </c>
      <c r="R1222" s="3" t="e">
        <f>I1222*(VLOOKUP(B1222,Price_data!A$1:B$190,2,FALSE))</f>
        <v>#N/A</v>
      </c>
      <c r="S1222" s="4" t="str">
        <f>(VLOOKUP(B1222,Price_data!A$1:C$190,3,FALSE))</f>
        <v>Open access</v>
      </c>
      <c r="T1222" s="2" t="str">
        <f>IF(C1222="Total", (VLOOKUP(B1222,Recommended_fish_intake!A$4:D$122,4,FALSE)), "NA")</f>
        <v>NA</v>
      </c>
      <c r="U1222" s="2" t="str">
        <f t="shared" si="151"/>
        <v>NA</v>
      </c>
    </row>
    <row r="1223" spans="1:21" ht="14.25" customHeight="1">
      <c r="A1223" s="2" t="s">
        <v>15</v>
      </c>
      <c r="B1223" s="2">
        <v>1972</v>
      </c>
      <c r="C1223" s="2" t="s">
        <v>19</v>
      </c>
      <c r="D1223" s="3">
        <f t="shared" si="145"/>
        <v>149.71550497866286</v>
      </c>
      <c r="E1223" s="3">
        <f t="shared" si="146"/>
        <v>5.6109999999999998</v>
      </c>
      <c r="F1223" s="3" t="e">
        <f t="shared" si="147"/>
        <v>#N/A</v>
      </c>
      <c r="G1223" s="3" t="e">
        <f t="shared" si="148"/>
        <v>#N/A</v>
      </c>
      <c r="H1223" s="3">
        <f t="shared" si="149"/>
        <v>12.751473277789067</v>
      </c>
      <c r="I1223" s="3">
        <f t="shared" si="150"/>
        <v>0.92200000000000004</v>
      </c>
      <c r="J1223" s="3">
        <v>149715.50497866285</v>
      </c>
      <c r="K1223" s="3">
        <v>5611</v>
      </c>
      <c r="L1223" s="3" t="e">
        <v>#N/A</v>
      </c>
      <c r="M1223" s="3" t="e">
        <v>#N/A</v>
      </c>
      <c r="N1223" s="3">
        <v>12751.473277789068</v>
      </c>
      <c r="O1223" s="3">
        <v>922</v>
      </c>
      <c r="P1223" s="3">
        <f>E1223*(VLOOKUP(B1223,Price_data!A$1:B$190,2,FALSE))</f>
        <v>43.984478411981996</v>
      </c>
      <c r="Q1223" s="3" t="e">
        <f>G1223*(VLOOKUP(B1223,Price_data!A$1:B$190,2,FALSE))</f>
        <v>#N/A</v>
      </c>
      <c r="R1223" s="3">
        <f>I1223*(VLOOKUP(B1223,Price_data!A$1:B$190,2,FALSE))</f>
        <v>7.2275332553640004</v>
      </c>
      <c r="S1223" s="4" t="str">
        <f>(VLOOKUP(B1223,Price_data!A$1:C$190,3,FALSE))</f>
        <v>Open access</v>
      </c>
      <c r="T1223" s="2" t="str">
        <f>IF(C1223="Total", (VLOOKUP(B1223,Recommended_fish_intake!A$4:D$122,4,FALSE)), "NA")</f>
        <v>NA</v>
      </c>
      <c r="U1223" s="2" t="str">
        <f t="shared" si="151"/>
        <v>NA</v>
      </c>
    </row>
    <row r="1224" spans="1:21" ht="14.25" customHeight="1">
      <c r="A1224" s="2" t="s">
        <v>15</v>
      </c>
      <c r="B1224" s="2">
        <v>1972</v>
      </c>
      <c r="C1224" s="2" t="s">
        <v>21</v>
      </c>
      <c r="D1224" s="3">
        <f t="shared" si="145"/>
        <v>61.776061776061773</v>
      </c>
      <c r="E1224" s="3">
        <f t="shared" si="146"/>
        <v>1.006</v>
      </c>
      <c r="F1224" s="3" t="e">
        <f t="shared" si="147"/>
        <v>#N/A</v>
      </c>
      <c r="G1224" s="3" t="e">
        <f t="shared" si="148"/>
        <v>#N/A</v>
      </c>
      <c r="H1224" s="3" t="e">
        <f t="shared" si="149"/>
        <v>#N/A</v>
      </c>
      <c r="I1224" s="3" t="e">
        <f t="shared" si="150"/>
        <v>#N/A</v>
      </c>
      <c r="J1224" s="3">
        <v>61776.061776061775</v>
      </c>
      <c r="K1224" s="3">
        <v>1006</v>
      </c>
      <c r="L1224" s="3" t="e">
        <v>#N/A</v>
      </c>
      <c r="M1224" s="3" t="e">
        <v>#N/A</v>
      </c>
      <c r="N1224" s="3" t="e">
        <v>#N/A</v>
      </c>
      <c r="O1224" s="3" t="e">
        <v>#N/A</v>
      </c>
      <c r="P1224" s="3">
        <f>E1224*(VLOOKUP(B1224,Price_data!A$1:B$190,2,FALSE))</f>
        <v>7.8860070009720005</v>
      </c>
      <c r="Q1224" s="3" t="e">
        <f>G1224*(VLOOKUP(B1224,Price_data!A$1:B$190,2,FALSE))</f>
        <v>#N/A</v>
      </c>
      <c r="R1224" s="3" t="e">
        <f>I1224*(VLOOKUP(B1224,Price_data!A$1:B$190,2,FALSE))</f>
        <v>#N/A</v>
      </c>
      <c r="S1224" s="4" t="str">
        <f>(VLOOKUP(B1224,Price_data!A$1:C$190,3,FALSE))</f>
        <v>Open access</v>
      </c>
      <c r="T1224" s="2" t="str">
        <f>IF(C1224="Total", (VLOOKUP(B1224,Recommended_fish_intake!A$4:D$122,4,FALSE)), "NA")</f>
        <v>NA</v>
      </c>
      <c r="U1224" s="2" t="str">
        <f t="shared" si="151"/>
        <v>NA</v>
      </c>
    </row>
    <row r="1225" spans="1:21" ht="14.25" customHeight="1">
      <c r="A1225" s="2" t="s">
        <v>15</v>
      </c>
      <c r="B1225" s="2">
        <v>1972</v>
      </c>
      <c r="C1225" s="2" t="s">
        <v>34</v>
      </c>
      <c r="D1225" s="3">
        <f t="shared" si="145"/>
        <v>1.016053647632595</v>
      </c>
      <c r="E1225" s="3">
        <f t="shared" si="146"/>
        <v>1.653</v>
      </c>
      <c r="F1225" s="3" t="e">
        <f t="shared" si="147"/>
        <v>#N/A</v>
      </c>
      <c r="G1225" s="3" t="e">
        <f t="shared" si="148"/>
        <v>#N/A</v>
      </c>
      <c r="H1225" s="3">
        <f t="shared" si="149"/>
        <v>0.1016053647632595</v>
      </c>
      <c r="I1225" s="3">
        <f t="shared" si="150"/>
        <v>0.161</v>
      </c>
      <c r="J1225" s="3">
        <v>1016.053647632595</v>
      </c>
      <c r="K1225" s="3">
        <v>1653</v>
      </c>
      <c r="L1225" s="3" t="e">
        <v>#N/A</v>
      </c>
      <c r="M1225" s="3" t="e">
        <v>#N/A</v>
      </c>
      <c r="N1225" s="3">
        <v>101.6053647632595</v>
      </c>
      <c r="O1225" s="3">
        <v>161</v>
      </c>
      <c r="P1225" s="3">
        <f>E1225*(VLOOKUP(B1225,Price_data!A$1:B$190,2,FALSE))</f>
        <v>12.957822636786</v>
      </c>
      <c r="Q1225" s="3" t="e">
        <f>G1225*(VLOOKUP(B1225,Price_data!A$1:B$190,2,FALSE))</f>
        <v>#N/A</v>
      </c>
      <c r="R1225" s="3">
        <f>I1225*(VLOOKUP(B1225,Price_data!A$1:B$190,2,FALSE))</f>
        <v>1.2620746790820001</v>
      </c>
      <c r="S1225" s="4" t="str">
        <f>(VLOOKUP(B1225,Price_data!A$1:C$190,3,FALSE))</f>
        <v>Open access</v>
      </c>
      <c r="T1225" s="2" t="str">
        <f>IF(C1225="Total", (VLOOKUP(B1225,Recommended_fish_intake!A$4:D$122,4,FALSE)), "NA")</f>
        <v>NA</v>
      </c>
      <c r="U1225" s="2" t="str">
        <f t="shared" si="151"/>
        <v>NA</v>
      </c>
    </row>
    <row r="1226" spans="1:21" ht="14.25" customHeight="1">
      <c r="A1226" s="2" t="s">
        <v>15</v>
      </c>
      <c r="B1226" s="2">
        <v>1972</v>
      </c>
      <c r="C1226" s="2" t="s">
        <v>35</v>
      </c>
      <c r="D1226" s="3">
        <f t="shared" si="145"/>
        <v>15.748831538305222</v>
      </c>
      <c r="E1226" s="3">
        <f t="shared" si="146"/>
        <v>4.96</v>
      </c>
      <c r="F1226" s="3" t="e">
        <f t="shared" si="147"/>
        <v>#N/A</v>
      </c>
      <c r="G1226" s="3" t="e">
        <f t="shared" si="148"/>
        <v>#N/A</v>
      </c>
      <c r="H1226" s="3" t="e">
        <f t="shared" si="149"/>
        <v>#N/A</v>
      </c>
      <c r="I1226" s="3" t="e">
        <f t="shared" si="150"/>
        <v>#N/A</v>
      </c>
      <c r="J1226" s="3">
        <v>15748.831538305221</v>
      </c>
      <c r="K1226" s="3">
        <v>4960</v>
      </c>
      <c r="L1226" s="3" t="e">
        <v>#N/A</v>
      </c>
      <c r="M1226" s="3" t="e">
        <v>#N/A</v>
      </c>
      <c r="N1226" s="3" t="e">
        <v>#N/A</v>
      </c>
      <c r="O1226" s="3" t="e">
        <v>#N/A</v>
      </c>
      <c r="P1226" s="3">
        <f>E1226*(VLOOKUP(B1226,Price_data!A$1:B$190,2,FALSE))</f>
        <v>38.881306883520004</v>
      </c>
      <c r="Q1226" s="3" t="e">
        <f>G1226*(VLOOKUP(B1226,Price_data!A$1:B$190,2,FALSE))</f>
        <v>#N/A</v>
      </c>
      <c r="R1226" s="3" t="e">
        <f>I1226*(VLOOKUP(B1226,Price_data!A$1:B$190,2,FALSE))</f>
        <v>#N/A</v>
      </c>
      <c r="S1226" s="4" t="str">
        <f>(VLOOKUP(B1226,Price_data!A$1:C$190,3,FALSE))</f>
        <v>Open access</v>
      </c>
      <c r="T1226" s="2" t="str">
        <f>IF(C1226="Total", (VLOOKUP(B1226,Recommended_fish_intake!A$4:D$122,4,FALSE)), "NA")</f>
        <v>NA</v>
      </c>
      <c r="U1226" s="2" t="str">
        <f t="shared" si="151"/>
        <v>NA</v>
      </c>
    </row>
    <row r="1227" spans="1:21" ht="14.25" customHeight="1">
      <c r="A1227" s="2" t="s">
        <v>15</v>
      </c>
      <c r="B1227" s="2">
        <v>1972</v>
      </c>
      <c r="C1227" s="2" t="s">
        <v>30</v>
      </c>
      <c r="D1227" s="3">
        <f t="shared" si="145"/>
        <v>1.3716724243040033</v>
      </c>
      <c r="E1227" s="3">
        <f t="shared" si="146"/>
        <v>0.25</v>
      </c>
      <c r="F1227" s="3" t="e">
        <f t="shared" si="147"/>
        <v>#N/A</v>
      </c>
      <c r="G1227" s="3" t="e">
        <f t="shared" si="148"/>
        <v>#N/A</v>
      </c>
      <c r="H1227" s="3">
        <f t="shared" si="149"/>
        <v>5.0294655557813446</v>
      </c>
      <c r="I1227" s="3">
        <f t="shared" si="150"/>
        <v>5.57</v>
      </c>
      <c r="J1227" s="3">
        <v>1371.6724243040032</v>
      </c>
      <c r="K1227" s="3">
        <v>250</v>
      </c>
      <c r="L1227" s="3" t="e">
        <v>#N/A</v>
      </c>
      <c r="M1227" s="3" t="e">
        <v>#N/A</v>
      </c>
      <c r="N1227" s="3">
        <v>5029.4655557813448</v>
      </c>
      <c r="O1227" s="3">
        <v>5570</v>
      </c>
      <c r="P1227" s="3">
        <f>E1227*(VLOOKUP(B1227,Price_data!A$1:B$190,2,FALSE))</f>
        <v>1.9597432905000001</v>
      </c>
      <c r="Q1227" s="3" t="e">
        <f>G1227*(VLOOKUP(B1227,Price_data!A$1:B$190,2,FALSE))</f>
        <v>#N/A</v>
      </c>
      <c r="R1227" s="3">
        <f>I1227*(VLOOKUP(B1227,Price_data!A$1:B$190,2,FALSE))</f>
        <v>43.663080512340002</v>
      </c>
      <c r="S1227" s="4" t="str">
        <f>(VLOOKUP(B1227,Price_data!A$1:C$190,3,FALSE))</f>
        <v>Open access</v>
      </c>
      <c r="T1227" s="2" t="str">
        <f>IF(C1227="Total", (VLOOKUP(B1227,Recommended_fish_intake!A$4:D$122,4,FALSE)), "NA")</f>
        <v>NA</v>
      </c>
      <c r="U1227" s="2" t="str">
        <f t="shared" si="151"/>
        <v>NA</v>
      </c>
    </row>
    <row r="1228" spans="1:21" ht="14.25" customHeight="1">
      <c r="A1228" s="2" t="s">
        <v>15</v>
      </c>
      <c r="B1228" s="2">
        <v>1972</v>
      </c>
      <c r="C1228" s="2" t="s">
        <v>36</v>
      </c>
      <c r="D1228" s="3">
        <f t="shared" si="145"/>
        <v>6.4011379800853483</v>
      </c>
      <c r="E1228" s="3">
        <f t="shared" si="146"/>
        <v>0.75800000000000001</v>
      </c>
      <c r="F1228" s="3" t="e">
        <f t="shared" si="147"/>
        <v>#N/A</v>
      </c>
      <c r="G1228" s="3" t="e">
        <f t="shared" si="148"/>
        <v>#N/A</v>
      </c>
      <c r="H1228" s="3">
        <f t="shared" si="149"/>
        <v>0.60963218857955692</v>
      </c>
      <c r="I1228" s="3">
        <f t="shared" si="150"/>
        <v>0.91100000000000003</v>
      </c>
      <c r="J1228" s="3">
        <v>6401.1379800853483</v>
      </c>
      <c r="K1228" s="3">
        <v>758</v>
      </c>
      <c r="L1228" s="3" t="e">
        <v>#N/A</v>
      </c>
      <c r="M1228" s="3" t="e">
        <v>#N/A</v>
      </c>
      <c r="N1228" s="3">
        <v>609.6321885795569</v>
      </c>
      <c r="O1228" s="3">
        <v>911</v>
      </c>
      <c r="P1228" s="3">
        <f>E1228*(VLOOKUP(B1228,Price_data!A$1:B$190,2,FALSE))</f>
        <v>5.9419416567960006</v>
      </c>
      <c r="Q1228" s="3" t="e">
        <f>G1228*(VLOOKUP(B1228,Price_data!A$1:B$190,2,FALSE))</f>
        <v>#N/A</v>
      </c>
      <c r="R1228" s="3">
        <f>I1228*(VLOOKUP(B1228,Price_data!A$1:B$190,2,FALSE))</f>
        <v>7.1413045505820003</v>
      </c>
      <c r="S1228" s="4" t="str">
        <f>(VLOOKUP(B1228,Price_data!A$1:C$190,3,FALSE))</f>
        <v>Open access</v>
      </c>
      <c r="T1228" s="2" t="str">
        <f>IF(C1228="Total", (VLOOKUP(B1228,Recommended_fish_intake!A$4:D$122,4,FALSE)), "NA")</f>
        <v>NA</v>
      </c>
      <c r="U1228" s="2" t="str">
        <f t="shared" si="151"/>
        <v>NA</v>
      </c>
    </row>
    <row r="1229" spans="1:21" ht="14.25" customHeight="1">
      <c r="A1229" s="2" t="s">
        <v>15</v>
      </c>
      <c r="B1229" s="2">
        <v>1972</v>
      </c>
      <c r="C1229" s="2" t="s">
        <v>28</v>
      </c>
      <c r="D1229" s="3">
        <f t="shared" si="145"/>
        <v>59.337533021743546</v>
      </c>
      <c r="E1229" s="3">
        <f t="shared" si="146"/>
        <v>9.7769999999999992</v>
      </c>
      <c r="F1229" s="3">
        <f t="shared" si="147"/>
        <v>10.211339158707579</v>
      </c>
      <c r="G1229" s="3">
        <f t="shared" si="148"/>
        <v>7.7869999999999999</v>
      </c>
      <c r="H1229" s="3">
        <f t="shared" si="149"/>
        <v>17.679333468807151</v>
      </c>
      <c r="I1229" s="3">
        <f t="shared" si="150"/>
        <v>18.007000000000001</v>
      </c>
      <c r="J1229" s="3">
        <v>59337.533021743548</v>
      </c>
      <c r="K1229" s="3">
        <v>9777</v>
      </c>
      <c r="L1229" s="3">
        <v>10211.339158707578</v>
      </c>
      <c r="M1229" s="3">
        <v>7787</v>
      </c>
      <c r="N1229" s="3">
        <v>17679.333468807152</v>
      </c>
      <c r="O1229" s="3">
        <v>18007</v>
      </c>
      <c r="P1229" s="3">
        <f>E1229*(VLOOKUP(B1229,Price_data!A$1:B$190,2,FALSE))</f>
        <v>76.641640604873999</v>
      </c>
      <c r="Q1229" s="3">
        <f>G1229*(VLOOKUP(B1229,Price_data!A$1:B$190,2,FALSE))</f>
        <v>61.042084012494001</v>
      </c>
      <c r="R1229" s="3">
        <f>I1229*(VLOOKUP(B1229,Price_data!A$1:B$190,2,FALSE))</f>
        <v>141.15638972813403</v>
      </c>
      <c r="S1229" s="4" t="str">
        <f>(VLOOKUP(B1229,Price_data!A$1:C$190,3,FALSE))</f>
        <v>Open access</v>
      </c>
      <c r="T1229" s="2" t="str">
        <f>IF(C1229="Total", (VLOOKUP(B1229,Recommended_fish_intake!A$4:D$122,4,FALSE)), "NA")</f>
        <v>NA</v>
      </c>
      <c r="U1229" s="2">
        <f t="shared" si="151"/>
        <v>16.614509246088193</v>
      </c>
    </row>
    <row r="1230" spans="1:21" ht="14.25" customHeight="1">
      <c r="A1230" s="2" t="s">
        <v>15</v>
      </c>
      <c r="B1230" s="2">
        <v>1972</v>
      </c>
      <c r="C1230" s="2" t="s">
        <v>37</v>
      </c>
      <c r="D1230" s="3">
        <f t="shared" si="145"/>
        <v>895.54968502336919</v>
      </c>
      <c r="E1230" s="3">
        <f t="shared" si="146"/>
        <v>99.058000000000007</v>
      </c>
      <c r="F1230" s="3">
        <f t="shared" si="147"/>
        <v>111.5118878276773</v>
      </c>
      <c r="G1230" s="3">
        <f t="shared" si="148"/>
        <v>21.474</v>
      </c>
      <c r="H1230" s="3">
        <f t="shared" si="149"/>
        <v>178.57142857142856</v>
      </c>
      <c r="I1230" s="3">
        <f t="shared" si="150"/>
        <v>77.02</v>
      </c>
      <c r="J1230" s="3">
        <v>895549.68502336915</v>
      </c>
      <c r="K1230" s="3">
        <v>99058</v>
      </c>
      <c r="L1230" s="3">
        <v>111511.8878276773</v>
      </c>
      <c r="M1230" s="3">
        <v>21474</v>
      </c>
      <c r="N1230" s="3">
        <v>178571.42857142855</v>
      </c>
      <c r="O1230" s="3">
        <v>77020</v>
      </c>
      <c r="P1230" s="3">
        <f>E1230*(VLOOKUP(B1230,Price_data!A$1:B$190,2,FALSE))</f>
        <v>776.51300348139603</v>
      </c>
      <c r="Q1230" s="3">
        <f>G1230*(VLOOKUP(B1230,Price_data!A$1:B$190,2,FALSE))</f>
        <v>168.334109680788</v>
      </c>
      <c r="R1230" s="3">
        <f>I1230*(VLOOKUP(B1230,Price_data!A$1:B$190,2,FALSE))</f>
        <v>603.75771293723994</v>
      </c>
      <c r="S1230" s="4" t="str">
        <f>(VLOOKUP(B1230,Price_data!A$1:C$190,3,FALSE))</f>
        <v>Open access</v>
      </c>
      <c r="T1230" s="2" t="str">
        <f>IF(C1230="Total", (VLOOKUP(B1230,Recommended_fish_intake!A$4:D$122,4,FALSE)), "NA")</f>
        <v>NA</v>
      </c>
      <c r="U1230" s="2">
        <f t="shared" si="151"/>
        <v>438.81934566145088</v>
      </c>
    </row>
    <row r="1231" spans="1:21" ht="14.25" customHeight="1">
      <c r="A1231" s="2" t="s">
        <v>18</v>
      </c>
      <c r="B1231" s="2">
        <v>1972</v>
      </c>
      <c r="C1231" s="2" t="s">
        <v>22</v>
      </c>
      <c r="D1231" s="3">
        <f t="shared" si="145"/>
        <v>239.33143669985773</v>
      </c>
      <c r="E1231" s="3">
        <f t="shared" si="146"/>
        <v>37.433</v>
      </c>
      <c r="F1231" s="3" t="e">
        <f t="shared" si="147"/>
        <v>#N/A</v>
      </c>
      <c r="G1231" s="3" t="e">
        <f t="shared" si="148"/>
        <v>#N/A</v>
      </c>
      <c r="H1231" s="3" t="e">
        <f t="shared" si="149"/>
        <v>#N/A</v>
      </c>
      <c r="I1231" s="3" t="e">
        <f t="shared" si="150"/>
        <v>#N/A</v>
      </c>
      <c r="J1231" s="3">
        <v>239331.43669985773</v>
      </c>
      <c r="K1231" s="3">
        <v>37433</v>
      </c>
      <c r="L1231" s="3" t="e">
        <v>#N/A</v>
      </c>
      <c r="M1231" s="3" t="e">
        <v>#N/A</v>
      </c>
      <c r="N1231" s="3" t="e">
        <v>#N/A</v>
      </c>
      <c r="O1231" s="3" t="e">
        <v>#N/A</v>
      </c>
      <c r="P1231" s="3">
        <f>E1231*(VLOOKUP(B1231,Price_data!A$1:B$190,2,FALSE))</f>
        <v>293.43628237314601</v>
      </c>
      <c r="Q1231" s="3" t="e">
        <f>G1231*(VLOOKUP(B1231,Price_data!A$1:B$190,2,FALSE))</f>
        <v>#N/A</v>
      </c>
      <c r="R1231" s="3" t="e">
        <f>I1231*(VLOOKUP(B1231,Price_data!A$1:B$190,2,FALSE))</f>
        <v>#N/A</v>
      </c>
      <c r="S1231" s="4" t="str">
        <f>(VLOOKUP(B1231,Price_data!A$1:C$190,3,FALSE))</f>
        <v>Open access</v>
      </c>
      <c r="T1231" s="2" t="str">
        <f>IF(C1231="Total", (VLOOKUP(B1231,Recommended_fish_intake!A$4:D$122,4,FALSE)), "NA")</f>
        <v>NA</v>
      </c>
      <c r="U1231" s="2" t="str">
        <f t="shared" si="151"/>
        <v>NA</v>
      </c>
    </row>
    <row r="1232" spans="1:21" ht="14.25" customHeight="1">
      <c r="A1232" s="2" t="s">
        <v>18</v>
      </c>
      <c r="B1232" s="2">
        <v>1972</v>
      </c>
      <c r="C1232" s="2" t="s">
        <v>23</v>
      </c>
      <c r="D1232" s="3">
        <f t="shared" si="145"/>
        <v>41.607396870554766</v>
      </c>
      <c r="E1232" s="3">
        <f t="shared" si="146"/>
        <v>6.4489999999999998</v>
      </c>
      <c r="F1232" s="3" t="e">
        <f t="shared" si="147"/>
        <v>#N/A</v>
      </c>
      <c r="G1232" s="3" t="e">
        <f t="shared" si="148"/>
        <v>#N/A</v>
      </c>
      <c r="H1232" s="3" t="e">
        <f t="shared" si="149"/>
        <v>#N/A</v>
      </c>
      <c r="I1232" s="3" t="e">
        <f t="shared" si="150"/>
        <v>#N/A</v>
      </c>
      <c r="J1232" s="3">
        <v>41607.396870554767</v>
      </c>
      <c r="K1232" s="3">
        <v>6449</v>
      </c>
      <c r="L1232" s="3" t="e">
        <v>#N/A</v>
      </c>
      <c r="M1232" s="3" t="e">
        <v>#N/A</v>
      </c>
      <c r="N1232" s="3" t="e">
        <v>#N/A</v>
      </c>
      <c r="O1232" s="3" t="e">
        <v>#N/A</v>
      </c>
      <c r="P1232" s="3">
        <f>E1232*(VLOOKUP(B1232,Price_data!A$1:B$190,2,FALSE))</f>
        <v>50.553537921737998</v>
      </c>
      <c r="Q1232" s="3" t="e">
        <f>G1232*(VLOOKUP(B1232,Price_data!A$1:B$190,2,FALSE))</f>
        <v>#N/A</v>
      </c>
      <c r="R1232" s="3" t="e">
        <f>I1232*(VLOOKUP(B1232,Price_data!A$1:B$190,2,FALSE))</f>
        <v>#N/A</v>
      </c>
      <c r="S1232" s="4" t="str">
        <f>(VLOOKUP(B1232,Price_data!A$1:C$190,3,FALSE))</f>
        <v>Open access</v>
      </c>
      <c r="T1232" s="2" t="str">
        <f>IF(C1232="Total", (VLOOKUP(B1232,Recommended_fish_intake!A$4:D$122,4,FALSE)), "NA")</f>
        <v>NA</v>
      </c>
      <c r="U1232" s="2" t="str">
        <f t="shared" si="151"/>
        <v>NA</v>
      </c>
    </row>
    <row r="1233" spans="1:21" ht="14.25" customHeight="1">
      <c r="A1233" s="2" t="s">
        <v>18</v>
      </c>
      <c r="B1233" s="2">
        <v>1972</v>
      </c>
      <c r="C1233" s="2" t="s">
        <v>25</v>
      </c>
      <c r="D1233" s="3">
        <f t="shared" si="145"/>
        <v>36.17150985572038</v>
      </c>
      <c r="E1233" s="3">
        <f t="shared" si="146"/>
        <v>6.8040000000000003</v>
      </c>
      <c r="F1233" s="3" t="e">
        <f t="shared" si="147"/>
        <v>#N/A</v>
      </c>
      <c r="G1233" s="3" t="e">
        <f t="shared" si="148"/>
        <v>#N/A</v>
      </c>
      <c r="H1233" s="3" t="e">
        <f t="shared" si="149"/>
        <v>#N/A</v>
      </c>
      <c r="I1233" s="3" t="e">
        <f t="shared" si="150"/>
        <v>#N/A</v>
      </c>
      <c r="J1233" s="3">
        <v>36171.509855720382</v>
      </c>
      <c r="K1233" s="3">
        <v>6804</v>
      </c>
      <c r="L1233" s="3" t="e">
        <v>#N/A</v>
      </c>
      <c r="M1233" s="3" t="e">
        <v>#N/A</v>
      </c>
      <c r="N1233" s="3" t="e">
        <v>#N/A</v>
      </c>
      <c r="O1233" s="3" t="e">
        <v>#N/A</v>
      </c>
      <c r="P1233" s="3">
        <f>E1233*(VLOOKUP(B1233,Price_data!A$1:B$190,2,FALSE))</f>
        <v>53.336373394248007</v>
      </c>
      <c r="Q1233" s="3" t="e">
        <f>G1233*(VLOOKUP(B1233,Price_data!A$1:B$190,2,FALSE))</f>
        <v>#N/A</v>
      </c>
      <c r="R1233" s="3" t="e">
        <f>I1233*(VLOOKUP(B1233,Price_data!A$1:B$190,2,FALSE))</f>
        <v>#N/A</v>
      </c>
      <c r="S1233" s="4" t="str">
        <f>(VLOOKUP(B1233,Price_data!A$1:C$190,3,FALSE))</f>
        <v>Open access</v>
      </c>
      <c r="T1233" s="2" t="str">
        <f>IF(C1233="Total", (VLOOKUP(B1233,Recommended_fish_intake!A$4:D$122,4,FALSE)), "NA")</f>
        <v>NA</v>
      </c>
      <c r="U1233" s="2" t="str">
        <f t="shared" si="151"/>
        <v>NA</v>
      </c>
    </row>
    <row r="1234" spans="1:21" ht="14.25" customHeight="1">
      <c r="A1234" s="2" t="s">
        <v>18</v>
      </c>
      <c r="B1234" s="2">
        <v>1972</v>
      </c>
      <c r="C1234" s="2" t="s">
        <v>38</v>
      </c>
      <c r="D1234" s="3">
        <f t="shared" si="145"/>
        <v>26.925421662263766</v>
      </c>
      <c r="E1234" s="3">
        <f t="shared" si="146"/>
        <v>1.823</v>
      </c>
      <c r="F1234" s="3" t="e">
        <f t="shared" si="147"/>
        <v>#N/A</v>
      </c>
      <c r="G1234" s="3" t="e">
        <f t="shared" si="148"/>
        <v>#N/A</v>
      </c>
      <c r="H1234" s="3" t="e">
        <f t="shared" si="149"/>
        <v>#N/A</v>
      </c>
      <c r="I1234" s="3" t="e">
        <f t="shared" si="150"/>
        <v>#N/A</v>
      </c>
      <c r="J1234" s="3">
        <v>26925.421662263765</v>
      </c>
      <c r="K1234" s="3">
        <v>1823</v>
      </c>
      <c r="L1234" s="3" t="e">
        <v>#N/A</v>
      </c>
      <c r="M1234" s="3" t="e">
        <v>#N/A</v>
      </c>
      <c r="N1234" s="3" t="e">
        <v>#N/A</v>
      </c>
      <c r="O1234" s="3" t="e">
        <v>#N/A</v>
      </c>
      <c r="P1234" s="3">
        <f>E1234*(VLOOKUP(B1234,Price_data!A$1:B$190,2,FALSE))</f>
        <v>14.290448074326001</v>
      </c>
      <c r="Q1234" s="3" t="e">
        <f>G1234*(VLOOKUP(B1234,Price_data!A$1:B$190,2,FALSE))</f>
        <v>#N/A</v>
      </c>
      <c r="R1234" s="3" t="e">
        <f>I1234*(VLOOKUP(B1234,Price_data!A$1:B$190,2,FALSE))</f>
        <v>#N/A</v>
      </c>
      <c r="S1234" s="4" t="str">
        <f>(VLOOKUP(B1234,Price_data!A$1:C$190,3,FALSE))</f>
        <v>Open access</v>
      </c>
      <c r="T1234" s="2" t="str">
        <f>IF(C1234="Total", (VLOOKUP(B1234,Recommended_fish_intake!A$4:D$122,4,FALSE)), "NA")</f>
        <v>NA</v>
      </c>
      <c r="U1234" s="2" t="str">
        <f t="shared" si="151"/>
        <v>NA</v>
      </c>
    </row>
    <row r="1235" spans="1:21" ht="14.25" customHeight="1">
      <c r="A1235" s="2" t="s">
        <v>18</v>
      </c>
      <c r="B1235" s="2">
        <v>1972</v>
      </c>
      <c r="C1235" s="2" t="s">
        <v>24</v>
      </c>
      <c r="D1235" s="3">
        <f t="shared" si="145"/>
        <v>4.7246494614915662</v>
      </c>
      <c r="E1235" s="3">
        <f t="shared" si="146"/>
        <v>0.45200000000000001</v>
      </c>
      <c r="F1235" s="3" t="e">
        <f t="shared" si="147"/>
        <v>#N/A</v>
      </c>
      <c r="G1235" s="3" t="e">
        <f t="shared" si="148"/>
        <v>#N/A</v>
      </c>
      <c r="H1235" s="3" t="e">
        <f t="shared" si="149"/>
        <v>#N/A</v>
      </c>
      <c r="I1235" s="3" t="e">
        <f t="shared" si="150"/>
        <v>#N/A</v>
      </c>
      <c r="J1235" s="3">
        <v>4724.6494614915664</v>
      </c>
      <c r="K1235" s="3">
        <v>452</v>
      </c>
      <c r="L1235" s="3" t="e">
        <v>#N/A</v>
      </c>
      <c r="M1235" s="3" t="e">
        <v>#N/A</v>
      </c>
      <c r="N1235" s="3" t="e">
        <v>#N/A</v>
      </c>
      <c r="O1235" s="3" t="e">
        <v>#N/A</v>
      </c>
      <c r="P1235" s="3">
        <f>E1235*(VLOOKUP(B1235,Price_data!A$1:B$190,2,FALSE))</f>
        <v>3.5432158692240003</v>
      </c>
      <c r="Q1235" s="3" t="e">
        <f>G1235*(VLOOKUP(B1235,Price_data!A$1:B$190,2,FALSE))</f>
        <v>#N/A</v>
      </c>
      <c r="R1235" s="3" t="e">
        <f>I1235*(VLOOKUP(B1235,Price_data!A$1:B$190,2,FALSE))</f>
        <v>#N/A</v>
      </c>
      <c r="S1235" s="4" t="str">
        <f>(VLOOKUP(B1235,Price_data!A$1:C$190,3,FALSE))</f>
        <v>Open access</v>
      </c>
      <c r="T1235" s="2" t="str">
        <f>IF(C1235="Total", (VLOOKUP(B1235,Recommended_fish_intake!A$4:D$122,4,FALSE)), "NA")</f>
        <v>NA</v>
      </c>
      <c r="U1235" s="2" t="str">
        <f t="shared" si="151"/>
        <v>NA</v>
      </c>
    </row>
    <row r="1236" spans="1:21" ht="14.25" customHeight="1">
      <c r="A1236" s="2" t="s">
        <v>18</v>
      </c>
      <c r="B1236" s="2">
        <v>1972</v>
      </c>
      <c r="C1236" s="2" t="s">
        <v>19</v>
      </c>
      <c r="D1236" s="3">
        <f t="shared" si="145"/>
        <v>7.7220077220077217</v>
      </c>
      <c r="E1236" s="3">
        <f t="shared" si="146"/>
        <v>0.371</v>
      </c>
      <c r="F1236" s="3" t="e">
        <f t="shared" si="147"/>
        <v>#N/A</v>
      </c>
      <c r="G1236" s="3" t="e">
        <f t="shared" si="148"/>
        <v>#N/A</v>
      </c>
      <c r="H1236" s="3" t="e">
        <f t="shared" si="149"/>
        <v>#N/A</v>
      </c>
      <c r="I1236" s="3" t="e">
        <f t="shared" si="150"/>
        <v>#N/A</v>
      </c>
      <c r="J1236" s="3">
        <v>7722.0077220077219</v>
      </c>
      <c r="K1236" s="3">
        <v>371</v>
      </c>
      <c r="L1236" s="3" t="e">
        <v>#N/A</v>
      </c>
      <c r="M1236" s="3" t="e">
        <v>#N/A</v>
      </c>
      <c r="N1236" s="3" t="e">
        <v>#N/A</v>
      </c>
      <c r="O1236" s="3" t="e">
        <v>#N/A</v>
      </c>
      <c r="P1236" s="3">
        <f>E1236*(VLOOKUP(B1236,Price_data!A$1:B$190,2,FALSE))</f>
        <v>2.9082590431019999</v>
      </c>
      <c r="Q1236" s="3" t="e">
        <f>G1236*(VLOOKUP(B1236,Price_data!A$1:B$190,2,FALSE))</f>
        <v>#N/A</v>
      </c>
      <c r="R1236" s="3" t="e">
        <f>I1236*(VLOOKUP(B1236,Price_data!A$1:B$190,2,FALSE))</f>
        <v>#N/A</v>
      </c>
      <c r="S1236" s="4" t="str">
        <f>(VLOOKUP(B1236,Price_data!A$1:C$190,3,FALSE))</f>
        <v>Open access</v>
      </c>
      <c r="T1236" s="2" t="str">
        <f>IF(C1236="Total", (VLOOKUP(B1236,Recommended_fish_intake!A$4:D$122,4,FALSE)), "NA")</f>
        <v>NA</v>
      </c>
      <c r="U1236" s="2" t="str">
        <f t="shared" si="151"/>
        <v>NA</v>
      </c>
    </row>
    <row r="1237" spans="1:21" ht="14.25" customHeight="1">
      <c r="A1237" s="2" t="s">
        <v>18</v>
      </c>
      <c r="B1237" s="2">
        <v>1972</v>
      </c>
      <c r="C1237" s="2" t="s">
        <v>21</v>
      </c>
      <c r="D1237" s="3">
        <f t="shared" si="145"/>
        <v>23.166023166023166</v>
      </c>
      <c r="E1237" s="3">
        <f t="shared" si="146"/>
        <v>0.35399999999999998</v>
      </c>
      <c r="F1237" s="3" t="e">
        <f t="shared" si="147"/>
        <v>#N/A</v>
      </c>
      <c r="G1237" s="3" t="e">
        <f t="shared" si="148"/>
        <v>#N/A</v>
      </c>
      <c r="H1237" s="3" t="e">
        <f t="shared" si="149"/>
        <v>#N/A</v>
      </c>
      <c r="I1237" s="3" t="e">
        <f t="shared" si="150"/>
        <v>#N/A</v>
      </c>
      <c r="J1237" s="3">
        <v>23166.023166023166</v>
      </c>
      <c r="K1237" s="3">
        <v>354</v>
      </c>
      <c r="L1237" s="3" t="e">
        <v>#N/A</v>
      </c>
      <c r="M1237" s="3" t="e">
        <v>#N/A</v>
      </c>
      <c r="N1237" s="3" t="e">
        <v>#N/A</v>
      </c>
      <c r="O1237" s="3" t="e">
        <v>#N/A</v>
      </c>
      <c r="P1237" s="3">
        <f>E1237*(VLOOKUP(B1237,Price_data!A$1:B$190,2,FALSE))</f>
        <v>2.7749964993480001</v>
      </c>
      <c r="Q1237" s="3" t="e">
        <f>G1237*(VLOOKUP(B1237,Price_data!A$1:B$190,2,FALSE))</f>
        <v>#N/A</v>
      </c>
      <c r="R1237" s="3" t="e">
        <f>I1237*(VLOOKUP(B1237,Price_data!A$1:B$190,2,FALSE))</f>
        <v>#N/A</v>
      </c>
      <c r="S1237" s="4" t="str">
        <f>(VLOOKUP(B1237,Price_data!A$1:C$190,3,FALSE))</f>
        <v>Open access</v>
      </c>
      <c r="T1237" s="2" t="str">
        <f>IF(C1237="Total", (VLOOKUP(B1237,Recommended_fish_intake!A$4:D$122,4,FALSE)), "NA")</f>
        <v>NA</v>
      </c>
      <c r="U1237" s="2" t="str">
        <f t="shared" si="151"/>
        <v>NA</v>
      </c>
    </row>
    <row r="1238" spans="1:21" ht="14.25" customHeight="1">
      <c r="A1238" s="2" t="s">
        <v>18</v>
      </c>
      <c r="B1238" s="2">
        <v>1972</v>
      </c>
      <c r="C1238" s="2" t="s">
        <v>34</v>
      </c>
      <c r="D1238" s="3">
        <f t="shared" si="145"/>
        <v>0.406421459053038</v>
      </c>
      <c r="E1238" s="3">
        <f t="shared" si="146"/>
        <v>0.63900000000000001</v>
      </c>
      <c r="F1238" s="3" t="e">
        <f t="shared" si="147"/>
        <v>#N/A</v>
      </c>
      <c r="G1238" s="3" t="e">
        <f t="shared" si="148"/>
        <v>#N/A</v>
      </c>
      <c r="H1238" s="3" t="e">
        <f t="shared" si="149"/>
        <v>#N/A</v>
      </c>
      <c r="I1238" s="3" t="e">
        <f t="shared" si="150"/>
        <v>#N/A</v>
      </c>
      <c r="J1238" s="3">
        <v>406.42145905303801</v>
      </c>
      <c r="K1238" s="3">
        <v>639</v>
      </c>
      <c r="L1238" s="3" t="e">
        <v>#N/A</v>
      </c>
      <c r="M1238" s="3" t="e">
        <v>#N/A</v>
      </c>
      <c r="N1238" s="3" t="e">
        <v>#N/A</v>
      </c>
      <c r="O1238" s="3" t="e">
        <v>#N/A</v>
      </c>
      <c r="P1238" s="3">
        <f>E1238*(VLOOKUP(B1238,Price_data!A$1:B$190,2,FALSE))</f>
        <v>5.0091038505180006</v>
      </c>
      <c r="Q1238" s="3" t="e">
        <f>G1238*(VLOOKUP(B1238,Price_data!A$1:B$190,2,FALSE))</f>
        <v>#N/A</v>
      </c>
      <c r="R1238" s="3" t="e">
        <f>I1238*(VLOOKUP(B1238,Price_data!A$1:B$190,2,FALSE))</f>
        <v>#N/A</v>
      </c>
      <c r="S1238" s="4" t="str">
        <f>(VLOOKUP(B1238,Price_data!A$1:C$190,3,FALSE))</f>
        <v>Open access</v>
      </c>
      <c r="T1238" s="2" t="str">
        <f>IF(C1238="Total", (VLOOKUP(B1238,Recommended_fish_intake!A$4:D$122,4,FALSE)), "NA")</f>
        <v>NA</v>
      </c>
      <c r="U1238" s="2" t="str">
        <f t="shared" si="151"/>
        <v>NA</v>
      </c>
    </row>
    <row r="1239" spans="1:21" ht="14.25" customHeight="1">
      <c r="A1239" s="2" t="s">
        <v>18</v>
      </c>
      <c r="B1239" s="2">
        <v>1972</v>
      </c>
      <c r="C1239" s="2" t="s">
        <v>35</v>
      </c>
      <c r="D1239" s="3">
        <f t="shared" si="145"/>
        <v>0.96525096525096521</v>
      </c>
      <c r="E1239" s="3">
        <f t="shared" si="146"/>
        <v>0.38700000000000001</v>
      </c>
      <c r="F1239" s="3" t="e">
        <f t="shared" si="147"/>
        <v>#N/A</v>
      </c>
      <c r="G1239" s="3" t="e">
        <f t="shared" si="148"/>
        <v>#N/A</v>
      </c>
      <c r="H1239" s="3" t="e">
        <f t="shared" si="149"/>
        <v>#N/A</v>
      </c>
      <c r="I1239" s="3" t="e">
        <f t="shared" si="150"/>
        <v>#N/A</v>
      </c>
      <c r="J1239" s="3">
        <v>965.25096525096524</v>
      </c>
      <c r="K1239" s="3">
        <v>387</v>
      </c>
      <c r="L1239" s="3" t="e">
        <v>#N/A</v>
      </c>
      <c r="M1239" s="3" t="e">
        <v>#N/A</v>
      </c>
      <c r="N1239" s="3" t="e">
        <v>#N/A</v>
      </c>
      <c r="O1239" s="3" t="e">
        <v>#N/A</v>
      </c>
      <c r="P1239" s="3">
        <f>E1239*(VLOOKUP(B1239,Price_data!A$1:B$190,2,FALSE))</f>
        <v>3.0336826136940003</v>
      </c>
      <c r="Q1239" s="3" t="e">
        <f>G1239*(VLOOKUP(B1239,Price_data!A$1:B$190,2,FALSE))</f>
        <v>#N/A</v>
      </c>
      <c r="R1239" s="3" t="e">
        <f>I1239*(VLOOKUP(B1239,Price_data!A$1:B$190,2,FALSE))</f>
        <v>#N/A</v>
      </c>
      <c r="S1239" s="4" t="str">
        <f>(VLOOKUP(B1239,Price_data!A$1:C$190,3,FALSE))</f>
        <v>Open access</v>
      </c>
      <c r="T1239" s="2" t="str">
        <f>IF(C1239="Total", (VLOOKUP(B1239,Recommended_fish_intake!A$4:D$122,4,FALSE)), "NA")</f>
        <v>NA</v>
      </c>
      <c r="U1239" s="2" t="str">
        <f t="shared" si="151"/>
        <v>NA</v>
      </c>
    </row>
    <row r="1240" spans="1:21" ht="14.25" customHeight="1">
      <c r="A1240" s="2" t="s">
        <v>18</v>
      </c>
      <c r="B1240" s="2">
        <v>1972</v>
      </c>
      <c r="C1240" s="2" t="s">
        <v>30</v>
      </c>
      <c r="D1240" s="3">
        <f t="shared" si="145"/>
        <v>1.1684616947774842</v>
      </c>
      <c r="E1240" s="3">
        <f t="shared" si="146"/>
        <v>0.214</v>
      </c>
      <c r="F1240" s="3" t="e">
        <f t="shared" si="147"/>
        <v>#N/A</v>
      </c>
      <c r="G1240" s="3" t="e">
        <f t="shared" si="148"/>
        <v>#N/A</v>
      </c>
      <c r="H1240" s="3" t="e">
        <f t="shared" si="149"/>
        <v>#N/A</v>
      </c>
      <c r="I1240" s="3" t="e">
        <f t="shared" si="150"/>
        <v>#N/A</v>
      </c>
      <c r="J1240" s="3">
        <v>1168.4616947774841</v>
      </c>
      <c r="K1240" s="3">
        <v>214</v>
      </c>
      <c r="L1240" s="3" t="e">
        <v>#N/A</v>
      </c>
      <c r="M1240" s="3" t="e">
        <v>#N/A</v>
      </c>
      <c r="N1240" s="3" t="e">
        <v>#N/A</v>
      </c>
      <c r="O1240" s="3" t="e">
        <v>#N/A</v>
      </c>
      <c r="P1240" s="3">
        <f>E1240*(VLOOKUP(B1240,Price_data!A$1:B$190,2,FALSE))</f>
        <v>1.677540256668</v>
      </c>
      <c r="Q1240" s="3" t="e">
        <f>G1240*(VLOOKUP(B1240,Price_data!A$1:B$190,2,FALSE))</f>
        <v>#N/A</v>
      </c>
      <c r="R1240" s="3" t="e">
        <f>I1240*(VLOOKUP(B1240,Price_data!A$1:B$190,2,FALSE))</f>
        <v>#N/A</v>
      </c>
      <c r="S1240" s="4" t="str">
        <f>(VLOOKUP(B1240,Price_data!A$1:C$190,3,FALSE))</f>
        <v>Open access</v>
      </c>
      <c r="T1240" s="2" t="str">
        <f>IF(C1240="Total", (VLOOKUP(B1240,Recommended_fish_intake!A$4:D$122,4,FALSE)), "NA")</f>
        <v>NA</v>
      </c>
      <c r="U1240" s="2" t="str">
        <f t="shared" si="151"/>
        <v>NA</v>
      </c>
    </row>
    <row r="1241" spans="1:21" ht="14.25" customHeight="1">
      <c r="A1241" s="2" t="s">
        <v>18</v>
      </c>
      <c r="B1241" s="2">
        <v>1972</v>
      </c>
      <c r="C1241" s="2" t="s">
        <v>36</v>
      </c>
      <c r="D1241" s="3">
        <f t="shared" si="145"/>
        <v>4.5214387319650475</v>
      </c>
      <c r="E1241" s="3">
        <f t="shared" si="146"/>
        <v>0.60099999999999998</v>
      </c>
      <c r="F1241" s="3" t="e">
        <f t="shared" si="147"/>
        <v>#N/A</v>
      </c>
      <c r="G1241" s="3" t="e">
        <f t="shared" si="148"/>
        <v>#N/A</v>
      </c>
      <c r="H1241" s="3" t="e">
        <f t="shared" si="149"/>
        <v>#N/A</v>
      </c>
      <c r="I1241" s="3" t="e">
        <f t="shared" si="150"/>
        <v>#N/A</v>
      </c>
      <c r="J1241" s="3">
        <v>4521.4387319650477</v>
      </c>
      <c r="K1241" s="3">
        <v>601</v>
      </c>
      <c r="L1241" s="3" t="e">
        <v>#N/A</v>
      </c>
      <c r="M1241" s="3" t="e">
        <v>#N/A</v>
      </c>
      <c r="N1241" s="3" t="e">
        <v>#N/A</v>
      </c>
      <c r="O1241" s="3" t="e">
        <v>#N/A</v>
      </c>
      <c r="P1241" s="3">
        <f>E1241*(VLOOKUP(B1241,Price_data!A$1:B$190,2,FALSE))</f>
        <v>4.7112228703619996</v>
      </c>
      <c r="Q1241" s="3" t="e">
        <f>G1241*(VLOOKUP(B1241,Price_data!A$1:B$190,2,FALSE))</f>
        <v>#N/A</v>
      </c>
      <c r="R1241" s="3" t="e">
        <f>I1241*(VLOOKUP(B1241,Price_data!A$1:B$190,2,FALSE))</f>
        <v>#N/A</v>
      </c>
      <c r="S1241" s="4" t="str">
        <f>(VLOOKUP(B1241,Price_data!A$1:C$190,3,FALSE))</f>
        <v>Open access</v>
      </c>
      <c r="T1241" s="2" t="str">
        <f>IF(C1241="Total", (VLOOKUP(B1241,Recommended_fish_intake!A$4:D$122,4,FALSE)), "NA")</f>
        <v>NA</v>
      </c>
      <c r="U1241" s="2" t="str">
        <f t="shared" si="151"/>
        <v>NA</v>
      </c>
    </row>
    <row r="1242" spans="1:21" ht="14.25" customHeight="1">
      <c r="A1242" s="2" t="s">
        <v>18</v>
      </c>
      <c r="B1242" s="2">
        <v>1972</v>
      </c>
      <c r="C1242" s="2" t="s">
        <v>28</v>
      </c>
      <c r="D1242" s="3">
        <f t="shared" si="145"/>
        <v>31.853281853281853</v>
      </c>
      <c r="E1242" s="3">
        <f t="shared" si="146"/>
        <v>2.9470000000000001</v>
      </c>
      <c r="F1242" s="3" t="e">
        <f t="shared" si="147"/>
        <v>#N/A</v>
      </c>
      <c r="G1242" s="3" t="e">
        <f t="shared" si="148"/>
        <v>#N/A</v>
      </c>
      <c r="H1242" s="3" t="e">
        <f t="shared" si="149"/>
        <v>#N/A</v>
      </c>
      <c r="I1242" s="3" t="e">
        <f t="shared" si="150"/>
        <v>#N/A</v>
      </c>
      <c r="J1242" s="3">
        <v>31853.281853281853</v>
      </c>
      <c r="K1242" s="3">
        <v>2947</v>
      </c>
      <c r="L1242" s="3" t="e">
        <v>#N/A</v>
      </c>
      <c r="M1242" s="3" t="e">
        <v>#N/A</v>
      </c>
      <c r="N1242" s="3" t="e">
        <v>#N/A</v>
      </c>
      <c r="O1242" s="3" t="e">
        <v>#N/A</v>
      </c>
      <c r="P1242" s="3">
        <f>E1242*(VLOOKUP(B1242,Price_data!A$1:B$190,2,FALSE))</f>
        <v>23.101453908414001</v>
      </c>
      <c r="Q1242" s="3" t="e">
        <f>G1242*(VLOOKUP(B1242,Price_data!A$1:B$190,2,FALSE))</f>
        <v>#N/A</v>
      </c>
      <c r="R1242" s="3" t="e">
        <f>I1242*(VLOOKUP(B1242,Price_data!A$1:B$190,2,FALSE))</f>
        <v>#N/A</v>
      </c>
      <c r="S1242" s="4" t="str">
        <f>(VLOOKUP(B1242,Price_data!A$1:C$190,3,FALSE))</f>
        <v>Open access</v>
      </c>
      <c r="T1242" s="2" t="str">
        <f>IF(C1242="Total", (VLOOKUP(B1242,Recommended_fish_intake!A$4:D$122,4,FALSE)), "NA")</f>
        <v>NA</v>
      </c>
      <c r="U1242" s="2">
        <f t="shared" si="151"/>
        <v>8.9189189189189193</v>
      </c>
    </row>
    <row r="1243" spans="1:21" ht="14.25" customHeight="1">
      <c r="A1243" s="2" t="s">
        <v>18</v>
      </c>
      <c r="B1243" s="2">
        <v>1972</v>
      </c>
      <c r="C1243" s="2" t="s">
        <v>37</v>
      </c>
      <c r="D1243" s="3">
        <f t="shared" si="145"/>
        <v>446.86039422881527</v>
      </c>
      <c r="E1243" s="3">
        <f t="shared" si="146"/>
        <v>60.908999999999999</v>
      </c>
      <c r="F1243" s="3" t="e">
        <f t="shared" si="147"/>
        <v>#N/A</v>
      </c>
      <c r="G1243" s="3" t="e">
        <f t="shared" si="148"/>
        <v>#N/A</v>
      </c>
      <c r="H1243" s="3" t="e">
        <f t="shared" si="149"/>
        <v>#N/A</v>
      </c>
      <c r="I1243" s="3" t="e">
        <f t="shared" si="150"/>
        <v>#N/A</v>
      </c>
      <c r="J1243" s="3">
        <v>446860.39422881528</v>
      </c>
      <c r="K1243" s="3">
        <v>60909</v>
      </c>
      <c r="L1243" s="3" t="e">
        <v>#N/A</v>
      </c>
      <c r="M1243" s="3" t="e">
        <v>#N/A</v>
      </c>
      <c r="N1243" s="3" t="e">
        <v>#N/A</v>
      </c>
      <c r="O1243" s="3" t="e">
        <v>#N/A</v>
      </c>
      <c r="P1243" s="3">
        <f>E1243*(VLOOKUP(B1243,Price_data!A$1:B$190,2,FALSE))</f>
        <v>477.46401632425801</v>
      </c>
      <c r="Q1243" s="3" t="e">
        <f>G1243*(VLOOKUP(B1243,Price_data!A$1:B$190,2,FALSE))</f>
        <v>#N/A</v>
      </c>
      <c r="R1243" s="3" t="e">
        <f>I1243*(VLOOKUP(B1243,Price_data!A$1:B$190,2,FALSE))</f>
        <v>#N/A</v>
      </c>
      <c r="S1243" s="4" t="str">
        <f>(VLOOKUP(B1243,Price_data!A$1:C$190,3,FALSE))</f>
        <v>Open access</v>
      </c>
      <c r="T1243" s="2" t="str">
        <f>IF(C1243="Total", (VLOOKUP(B1243,Recommended_fish_intake!A$4:D$122,4,FALSE)), "NA")</f>
        <v>NA</v>
      </c>
      <c r="U1243" s="2">
        <f t="shared" si="151"/>
        <v>218.96159317211948</v>
      </c>
    </row>
    <row r="1244" spans="1:21" ht="14.25" customHeight="1">
      <c r="A1244" s="2" t="s">
        <v>39</v>
      </c>
      <c r="B1244" s="2">
        <v>1972</v>
      </c>
      <c r="C1244" s="2" t="s">
        <v>22</v>
      </c>
      <c r="D1244" s="3">
        <f t="shared" si="145"/>
        <v>61.369640317008738</v>
      </c>
      <c r="E1244" s="3">
        <f t="shared" si="146"/>
        <v>8.9979999999999993</v>
      </c>
      <c r="F1244" s="3" t="e">
        <f t="shared" si="147"/>
        <v>#N/A</v>
      </c>
      <c r="G1244" s="3" t="e">
        <f t="shared" si="148"/>
        <v>#N/A</v>
      </c>
      <c r="H1244" s="3" t="e">
        <f t="shared" si="149"/>
        <v>#N/A</v>
      </c>
      <c r="I1244" s="3" t="e">
        <f t="shared" si="150"/>
        <v>#N/A</v>
      </c>
      <c r="J1244" s="3">
        <v>61369.640317008736</v>
      </c>
      <c r="K1244" s="3">
        <v>8998</v>
      </c>
      <c r="L1244" s="3" t="e">
        <v>#N/A</v>
      </c>
      <c r="M1244" s="3" t="e">
        <v>#N/A</v>
      </c>
      <c r="N1244" s="3" t="e">
        <v>#N/A</v>
      </c>
      <c r="O1244" s="3" t="e">
        <v>#N/A</v>
      </c>
      <c r="P1244" s="3">
        <f>E1244*(VLOOKUP(B1244,Price_data!A$1:B$190,2,FALSE))</f>
        <v>70.535080511676</v>
      </c>
      <c r="Q1244" s="3" t="e">
        <f>G1244*(VLOOKUP(B1244,Price_data!A$1:B$190,2,FALSE))</f>
        <v>#N/A</v>
      </c>
      <c r="R1244" s="3" t="e">
        <f>I1244*(VLOOKUP(B1244,Price_data!A$1:B$190,2,FALSE))</f>
        <v>#N/A</v>
      </c>
      <c r="S1244" s="4" t="str">
        <f>(VLOOKUP(B1244,Price_data!A$1:C$190,3,FALSE))</f>
        <v>Open access</v>
      </c>
      <c r="T1244" s="2" t="str">
        <f>IF(C1244="Total", (VLOOKUP(B1244,Recommended_fish_intake!A$4:D$122,4,FALSE)), "NA")</f>
        <v>NA</v>
      </c>
      <c r="U1244" s="2" t="str">
        <f t="shared" si="151"/>
        <v>NA</v>
      </c>
    </row>
    <row r="1245" spans="1:21" ht="14.25" customHeight="1">
      <c r="A1245" s="2" t="s">
        <v>39</v>
      </c>
      <c r="B1245" s="2">
        <v>1972</v>
      </c>
      <c r="C1245" s="2" t="s">
        <v>23</v>
      </c>
      <c r="D1245" s="3">
        <f t="shared" si="145"/>
        <v>114.96647022962811</v>
      </c>
      <c r="E1245" s="3">
        <f t="shared" si="146"/>
        <v>14.336</v>
      </c>
      <c r="F1245" s="3" t="e">
        <f t="shared" si="147"/>
        <v>#N/A</v>
      </c>
      <c r="G1245" s="3" t="e">
        <f t="shared" si="148"/>
        <v>#N/A</v>
      </c>
      <c r="H1245" s="3" t="e">
        <f t="shared" si="149"/>
        <v>#N/A</v>
      </c>
      <c r="I1245" s="3" t="e">
        <f t="shared" si="150"/>
        <v>#N/A</v>
      </c>
      <c r="J1245" s="3">
        <v>114966.47022962812</v>
      </c>
      <c r="K1245" s="3">
        <v>14336</v>
      </c>
      <c r="L1245" s="3" t="e">
        <v>#N/A</v>
      </c>
      <c r="M1245" s="3" t="e">
        <v>#N/A</v>
      </c>
      <c r="N1245" s="3" t="e">
        <v>#N/A</v>
      </c>
      <c r="O1245" s="3" t="e">
        <v>#N/A</v>
      </c>
      <c r="P1245" s="3">
        <f>E1245*(VLOOKUP(B1245,Price_data!A$1:B$190,2,FALSE))</f>
        <v>112.37951925043201</v>
      </c>
      <c r="Q1245" s="3" t="e">
        <f>G1245*(VLOOKUP(B1245,Price_data!A$1:B$190,2,FALSE))</f>
        <v>#N/A</v>
      </c>
      <c r="R1245" s="3" t="e">
        <f>I1245*(VLOOKUP(B1245,Price_data!A$1:B$190,2,FALSE))</f>
        <v>#N/A</v>
      </c>
      <c r="S1245" s="4" t="str">
        <f>(VLOOKUP(B1245,Price_data!A$1:C$190,3,FALSE))</f>
        <v>Open access</v>
      </c>
      <c r="T1245" s="2" t="str">
        <f>IF(C1245="Total", (VLOOKUP(B1245,Recommended_fish_intake!A$4:D$122,4,FALSE)), "NA")</f>
        <v>NA</v>
      </c>
      <c r="U1245" s="2" t="str">
        <f t="shared" si="151"/>
        <v>NA</v>
      </c>
    </row>
    <row r="1246" spans="1:21" ht="14.25" customHeight="1">
      <c r="A1246" s="2" t="s">
        <v>39</v>
      </c>
      <c r="B1246" s="2">
        <v>1972</v>
      </c>
      <c r="C1246" s="2" t="s">
        <v>25</v>
      </c>
      <c r="D1246" s="3">
        <f t="shared" si="145"/>
        <v>3.8610038610038608</v>
      </c>
      <c r="E1246" s="3">
        <f t="shared" si="146"/>
        <v>0.69899999999999995</v>
      </c>
      <c r="F1246" s="3" t="e">
        <f t="shared" si="147"/>
        <v>#N/A</v>
      </c>
      <c r="G1246" s="3" t="e">
        <f t="shared" si="148"/>
        <v>#N/A</v>
      </c>
      <c r="H1246" s="3" t="e">
        <f t="shared" si="149"/>
        <v>#N/A</v>
      </c>
      <c r="I1246" s="3" t="e">
        <f t="shared" si="150"/>
        <v>#N/A</v>
      </c>
      <c r="J1246" s="3">
        <v>3861.0038610038609</v>
      </c>
      <c r="K1246" s="3">
        <v>699</v>
      </c>
      <c r="L1246" s="3" t="e">
        <v>#N/A</v>
      </c>
      <c r="M1246" s="3" t="e">
        <v>#N/A</v>
      </c>
      <c r="N1246" s="3" t="e">
        <v>#N/A</v>
      </c>
      <c r="O1246" s="3" t="e">
        <v>#N/A</v>
      </c>
      <c r="P1246" s="3">
        <f>E1246*(VLOOKUP(B1246,Price_data!A$1:B$190,2,FALSE))</f>
        <v>5.4794422402379999</v>
      </c>
      <c r="Q1246" s="3" t="e">
        <f>G1246*(VLOOKUP(B1246,Price_data!A$1:B$190,2,FALSE))</f>
        <v>#N/A</v>
      </c>
      <c r="R1246" s="3" t="e">
        <f>I1246*(VLOOKUP(B1246,Price_data!A$1:B$190,2,FALSE))</f>
        <v>#N/A</v>
      </c>
      <c r="S1246" s="4" t="str">
        <f>(VLOOKUP(B1246,Price_data!A$1:C$190,3,FALSE))</f>
        <v>Open access</v>
      </c>
      <c r="T1246" s="2" t="str">
        <f>IF(C1246="Total", (VLOOKUP(B1246,Recommended_fish_intake!A$4:D$122,4,FALSE)), "NA")</f>
        <v>NA</v>
      </c>
      <c r="U1246" s="2" t="str">
        <f t="shared" si="151"/>
        <v>NA</v>
      </c>
    </row>
    <row r="1247" spans="1:21" ht="14.25" customHeight="1">
      <c r="A1247" s="2" t="s">
        <v>39</v>
      </c>
      <c r="B1247" s="2">
        <v>1972</v>
      </c>
      <c r="C1247" s="2" t="s">
        <v>38</v>
      </c>
      <c r="D1247" s="3">
        <f t="shared" si="145"/>
        <v>20.3210729526519</v>
      </c>
      <c r="E1247" s="3">
        <f t="shared" si="146"/>
        <v>1.1359999999999999</v>
      </c>
      <c r="F1247" s="3" t="e">
        <f t="shared" si="147"/>
        <v>#N/A</v>
      </c>
      <c r="G1247" s="3" t="e">
        <f t="shared" si="148"/>
        <v>#N/A</v>
      </c>
      <c r="H1247" s="3" t="e">
        <f t="shared" si="149"/>
        <v>#N/A</v>
      </c>
      <c r="I1247" s="3" t="e">
        <f t="shared" si="150"/>
        <v>#N/A</v>
      </c>
      <c r="J1247" s="3">
        <v>20321.072952651899</v>
      </c>
      <c r="K1247" s="3">
        <v>1136</v>
      </c>
      <c r="L1247" s="3" t="e">
        <v>#N/A</v>
      </c>
      <c r="M1247" s="3" t="e">
        <v>#N/A</v>
      </c>
      <c r="N1247" s="3" t="e">
        <v>#N/A</v>
      </c>
      <c r="O1247" s="3" t="e">
        <v>#N/A</v>
      </c>
      <c r="P1247" s="3">
        <f>E1247*(VLOOKUP(B1247,Price_data!A$1:B$190,2,FALSE))</f>
        <v>8.9050735120319988</v>
      </c>
      <c r="Q1247" s="3" t="e">
        <f>G1247*(VLOOKUP(B1247,Price_data!A$1:B$190,2,FALSE))</f>
        <v>#N/A</v>
      </c>
      <c r="R1247" s="3" t="e">
        <f>I1247*(VLOOKUP(B1247,Price_data!A$1:B$190,2,FALSE))</f>
        <v>#N/A</v>
      </c>
      <c r="S1247" s="4" t="str">
        <f>(VLOOKUP(B1247,Price_data!A$1:C$190,3,FALSE))</f>
        <v>Open access</v>
      </c>
      <c r="T1247" s="2" t="str">
        <f>IF(C1247="Total", (VLOOKUP(B1247,Recommended_fish_intake!A$4:D$122,4,FALSE)), "NA")</f>
        <v>NA</v>
      </c>
      <c r="U1247" s="2" t="str">
        <f t="shared" si="151"/>
        <v>NA</v>
      </c>
    </row>
    <row r="1248" spans="1:21" ht="14.25" customHeight="1">
      <c r="A1248" s="2" t="s">
        <v>39</v>
      </c>
      <c r="B1248" s="2">
        <v>1972</v>
      </c>
      <c r="C1248" s="2" t="s">
        <v>24</v>
      </c>
      <c r="D1248" s="3">
        <f t="shared" si="145"/>
        <v>30.888030888030887</v>
      </c>
      <c r="E1248" s="3">
        <f t="shared" si="146"/>
        <v>3.323</v>
      </c>
      <c r="F1248" s="3" t="e">
        <f t="shared" si="147"/>
        <v>#N/A</v>
      </c>
      <c r="G1248" s="3" t="e">
        <f t="shared" si="148"/>
        <v>#N/A</v>
      </c>
      <c r="H1248" s="3" t="e">
        <f t="shared" si="149"/>
        <v>#N/A</v>
      </c>
      <c r="I1248" s="3" t="e">
        <f t="shared" si="150"/>
        <v>#N/A</v>
      </c>
      <c r="J1248" s="3">
        <v>30888.030888030888</v>
      </c>
      <c r="K1248" s="3">
        <v>3323</v>
      </c>
      <c r="L1248" s="3" t="e">
        <v>#N/A</v>
      </c>
      <c r="M1248" s="3" t="e">
        <v>#N/A</v>
      </c>
      <c r="N1248" s="3" t="e">
        <v>#N/A</v>
      </c>
      <c r="O1248" s="3" t="e">
        <v>#N/A</v>
      </c>
      <c r="P1248" s="3">
        <f>E1248*(VLOOKUP(B1248,Price_data!A$1:B$190,2,FALSE))</f>
        <v>26.048907817326</v>
      </c>
      <c r="Q1248" s="3" t="e">
        <f>G1248*(VLOOKUP(B1248,Price_data!A$1:B$190,2,FALSE))</f>
        <v>#N/A</v>
      </c>
      <c r="R1248" s="3" t="e">
        <f>I1248*(VLOOKUP(B1248,Price_data!A$1:B$190,2,FALSE))</f>
        <v>#N/A</v>
      </c>
      <c r="S1248" s="4" t="str">
        <f>(VLOOKUP(B1248,Price_data!A$1:C$190,3,FALSE))</f>
        <v>Open access</v>
      </c>
      <c r="T1248" s="2" t="str">
        <f>IF(C1248="Total", (VLOOKUP(B1248,Recommended_fish_intake!A$4:D$122,4,FALSE)), "NA")</f>
        <v>NA</v>
      </c>
      <c r="U1248" s="2" t="str">
        <f t="shared" si="151"/>
        <v>NA</v>
      </c>
    </row>
    <row r="1249" spans="1:21" ht="14.25" customHeight="1">
      <c r="A1249" s="2" t="s">
        <v>39</v>
      </c>
      <c r="B1249" s="2">
        <v>1972</v>
      </c>
      <c r="C1249" s="2" t="s">
        <v>19</v>
      </c>
      <c r="D1249" s="3">
        <f t="shared" si="145"/>
        <v>137.92928266612478</v>
      </c>
      <c r="E1249" s="3">
        <f t="shared" si="146"/>
        <v>5.0730000000000004</v>
      </c>
      <c r="F1249" s="3" t="e">
        <f t="shared" si="147"/>
        <v>#N/A</v>
      </c>
      <c r="G1249" s="3" t="e">
        <f t="shared" si="148"/>
        <v>#N/A</v>
      </c>
      <c r="H1249" s="3" t="e">
        <f t="shared" si="149"/>
        <v>#N/A</v>
      </c>
      <c r="I1249" s="3" t="e">
        <f t="shared" si="150"/>
        <v>#N/A</v>
      </c>
      <c r="J1249" s="3">
        <v>137929.28266612478</v>
      </c>
      <c r="K1249" s="3">
        <v>5073</v>
      </c>
      <c r="L1249" s="3" t="e">
        <v>#N/A</v>
      </c>
      <c r="M1249" s="3" t="e">
        <v>#N/A</v>
      </c>
      <c r="N1249" s="3" t="e">
        <v>#N/A</v>
      </c>
      <c r="O1249" s="3" t="e">
        <v>#N/A</v>
      </c>
      <c r="P1249" s="3">
        <f>E1249*(VLOOKUP(B1249,Price_data!A$1:B$190,2,FALSE))</f>
        <v>39.767110850826008</v>
      </c>
      <c r="Q1249" s="3" t="e">
        <f>G1249*(VLOOKUP(B1249,Price_data!A$1:B$190,2,FALSE))</f>
        <v>#N/A</v>
      </c>
      <c r="R1249" s="3" t="e">
        <f>I1249*(VLOOKUP(B1249,Price_data!A$1:B$190,2,FALSE))</f>
        <v>#N/A</v>
      </c>
      <c r="S1249" s="4" t="str">
        <f>(VLOOKUP(B1249,Price_data!A$1:C$190,3,FALSE))</f>
        <v>Open access</v>
      </c>
      <c r="T1249" s="2" t="str">
        <f>IF(C1249="Total", (VLOOKUP(B1249,Recommended_fish_intake!A$4:D$122,4,FALSE)), "NA")</f>
        <v>NA</v>
      </c>
      <c r="U1249" s="2" t="str">
        <f t="shared" si="151"/>
        <v>NA</v>
      </c>
    </row>
    <row r="1250" spans="1:21" ht="14.25" customHeight="1">
      <c r="A1250" s="2" t="s">
        <v>39</v>
      </c>
      <c r="B1250" s="2">
        <v>1972</v>
      </c>
      <c r="C1250" s="2" t="s">
        <v>21</v>
      </c>
      <c r="D1250" s="3">
        <f t="shared" si="145"/>
        <v>38.610038610038607</v>
      </c>
      <c r="E1250" s="3">
        <f t="shared" si="146"/>
        <v>0.65200000000000002</v>
      </c>
      <c r="F1250" s="3" t="e">
        <f t="shared" si="147"/>
        <v>#N/A</v>
      </c>
      <c r="G1250" s="3" t="e">
        <f t="shared" si="148"/>
        <v>#N/A</v>
      </c>
      <c r="H1250" s="3" t="e">
        <f t="shared" si="149"/>
        <v>#N/A</v>
      </c>
      <c r="I1250" s="3" t="e">
        <f t="shared" si="150"/>
        <v>#N/A</v>
      </c>
      <c r="J1250" s="3">
        <v>38610.038610038609</v>
      </c>
      <c r="K1250" s="3">
        <v>652</v>
      </c>
      <c r="L1250" s="3" t="e">
        <v>#N/A</v>
      </c>
      <c r="M1250" s="3" t="e">
        <v>#N/A</v>
      </c>
      <c r="N1250" s="3" t="e">
        <v>#N/A</v>
      </c>
      <c r="O1250" s="3" t="e">
        <v>#N/A</v>
      </c>
      <c r="P1250" s="3">
        <f>E1250*(VLOOKUP(B1250,Price_data!A$1:B$190,2,FALSE))</f>
        <v>5.1110105016240004</v>
      </c>
      <c r="Q1250" s="3" t="e">
        <f>G1250*(VLOOKUP(B1250,Price_data!A$1:B$190,2,FALSE))</f>
        <v>#N/A</v>
      </c>
      <c r="R1250" s="3" t="e">
        <f>I1250*(VLOOKUP(B1250,Price_data!A$1:B$190,2,FALSE))</f>
        <v>#N/A</v>
      </c>
      <c r="S1250" s="4" t="str">
        <f>(VLOOKUP(B1250,Price_data!A$1:C$190,3,FALSE))</f>
        <v>Open access</v>
      </c>
      <c r="T1250" s="2" t="str">
        <f>IF(C1250="Total", (VLOOKUP(B1250,Recommended_fish_intake!A$4:D$122,4,FALSE)), "NA")</f>
        <v>NA</v>
      </c>
      <c r="U1250" s="2" t="str">
        <f t="shared" si="151"/>
        <v>NA</v>
      </c>
    </row>
    <row r="1251" spans="1:21" ht="14.25" customHeight="1">
      <c r="A1251" s="2" t="s">
        <v>39</v>
      </c>
      <c r="B1251" s="2">
        <v>1972</v>
      </c>
      <c r="C1251" s="2" t="s">
        <v>34</v>
      </c>
      <c r="D1251" s="3">
        <f t="shared" si="145"/>
        <v>0.60963218857955692</v>
      </c>
      <c r="E1251" s="3">
        <f t="shared" si="146"/>
        <v>0.99199999999999999</v>
      </c>
      <c r="F1251" s="3" t="e">
        <f t="shared" si="147"/>
        <v>#N/A</v>
      </c>
      <c r="G1251" s="3" t="e">
        <f t="shared" si="148"/>
        <v>#N/A</v>
      </c>
      <c r="H1251" s="3" t="e">
        <f t="shared" si="149"/>
        <v>#N/A</v>
      </c>
      <c r="I1251" s="3" t="e">
        <f t="shared" si="150"/>
        <v>#N/A</v>
      </c>
      <c r="J1251" s="3">
        <v>609.6321885795569</v>
      </c>
      <c r="K1251" s="3">
        <v>992</v>
      </c>
      <c r="L1251" s="3" t="e">
        <v>#N/A</v>
      </c>
      <c r="M1251" s="3" t="e">
        <v>#N/A</v>
      </c>
      <c r="N1251" s="3" t="e">
        <v>#N/A</v>
      </c>
      <c r="O1251" s="3" t="e">
        <v>#N/A</v>
      </c>
      <c r="P1251" s="3">
        <f>E1251*(VLOOKUP(B1251,Price_data!A$1:B$190,2,FALSE))</f>
        <v>7.7762613767040003</v>
      </c>
      <c r="Q1251" s="3" t="e">
        <f>G1251*(VLOOKUP(B1251,Price_data!A$1:B$190,2,FALSE))</f>
        <v>#N/A</v>
      </c>
      <c r="R1251" s="3" t="e">
        <f>I1251*(VLOOKUP(B1251,Price_data!A$1:B$190,2,FALSE))</f>
        <v>#N/A</v>
      </c>
      <c r="S1251" s="4" t="str">
        <f>(VLOOKUP(B1251,Price_data!A$1:C$190,3,FALSE))</f>
        <v>Open access</v>
      </c>
      <c r="T1251" s="2" t="str">
        <f>IF(C1251="Total", (VLOOKUP(B1251,Recommended_fish_intake!A$4:D$122,4,FALSE)), "NA")</f>
        <v>NA</v>
      </c>
      <c r="U1251" s="2" t="str">
        <f t="shared" si="151"/>
        <v>NA</v>
      </c>
    </row>
    <row r="1252" spans="1:21" ht="14.25" customHeight="1">
      <c r="A1252" s="2" t="s">
        <v>39</v>
      </c>
      <c r="B1252" s="2">
        <v>1972</v>
      </c>
      <c r="C1252" s="2" t="s">
        <v>35</v>
      </c>
      <c r="D1252" s="3">
        <f t="shared" si="145"/>
        <v>10.770168664905507</v>
      </c>
      <c r="E1252" s="3">
        <f t="shared" si="146"/>
        <v>3.855</v>
      </c>
      <c r="F1252" s="3" t="e">
        <f t="shared" si="147"/>
        <v>#N/A</v>
      </c>
      <c r="G1252" s="3" t="e">
        <f t="shared" si="148"/>
        <v>#N/A</v>
      </c>
      <c r="H1252" s="3" t="e">
        <f t="shared" si="149"/>
        <v>#N/A</v>
      </c>
      <c r="I1252" s="3" t="e">
        <f t="shared" si="150"/>
        <v>#N/A</v>
      </c>
      <c r="J1252" s="3">
        <v>10770.168664905506</v>
      </c>
      <c r="K1252" s="3">
        <v>3855</v>
      </c>
      <c r="L1252" s="3" t="e">
        <v>#N/A</v>
      </c>
      <c r="M1252" s="3" t="e">
        <v>#N/A</v>
      </c>
      <c r="N1252" s="3" t="e">
        <v>#N/A</v>
      </c>
      <c r="O1252" s="3" t="e">
        <v>#N/A</v>
      </c>
      <c r="P1252" s="3">
        <f>E1252*(VLOOKUP(B1252,Price_data!A$1:B$190,2,FALSE))</f>
        <v>30.219241539510001</v>
      </c>
      <c r="Q1252" s="3" t="e">
        <f>G1252*(VLOOKUP(B1252,Price_data!A$1:B$190,2,FALSE))</f>
        <v>#N/A</v>
      </c>
      <c r="R1252" s="3" t="e">
        <f>I1252*(VLOOKUP(B1252,Price_data!A$1:B$190,2,FALSE))</f>
        <v>#N/A</v>
      </c>
      <c r="S1252" s="4" t="str">
        <f>(VLOOKUP(B1252,Price_data!A$1:C$190,3,FALSE))</f>
        <v>Open access</v>
      </c>
      <c r="T1252" s="2" t="str">
        <f>IF(C1252="Total", (VLOOKUP(B1252,Recommended_fish_intake!A$4:D$122,4,FALSE)), "NA")</f>
        <v>NA</v>
      </c>
      <c r="U1252" s="2" t="str">
        <f t="shared" si="151"/>
        <v>NA</v>
      </c>
    </row>
    <row r="1253" spans="1:21" ht="14.25" customHeight="1">
      <c r="A1253" s="2" t="s">
        <v>39</v>
      </c>
      <c r="B1253" s="2">
        <v>1972</v>
      </c>
      <c r="C1253" s="2" t="s">
        <v>30</v>
      </c>
      <c r="D1253" s="3">
        <f t="shared" si="145"/>
        <v>0.203210729526519</v>
      </c>
      <c r="E1253" s="3">
        <f t="shared" si="146"/>
        <v>3.5999999999999997E-2</v>
      </c>
      <c r="F1253" s="3" t="e">
        <f t="shared" si="147"/>
        <v>#N/A</v>
      </c>
      <c r="G1253" s="3" t="e">
        <f t="shared" si="148"/>
        <v>#N/A</v>
      </c>
      <c r="H1253" s="3" t="e">
        <f t="shared" si="149"/>
        <v>#N/A</v>
      </c>
      <c r="I1253" s="3" t="e">
        <f t="shared" si="150"/>
        <v>#N/A</v>
      </c>
      <c r="J1253" s="3">
        <v>203.210729526519</v>
      </c>
      <c r="K1253" s="3">
        <v>36</v>
      </c>
      <c r="L1253" s="3" t="e">
        <v>#N/A</v>
      </c>
      <c r="M1253" s="3" t="e">
        <v>#N/A</v>
      </c>
      <c r="N1253" s="3" t="e">
        <v>#N/A</v>
      </c>
      <c r="O1253" s="3" t="e">
        <v>#N/A</v>
      </c>
      <c r="P1253" s="3">
        <f>E1253*(VLOOKUP(B1253,Price_data!A$1:B$190,2,FALSE))</f>
        <v>0.28220303383199996</v>
      </c>
      <c r="Q1253" s="3" t="e">
        <f>G1253*(VLOOKUP(B1253,Price_data!A$1:B$190,2,FALSE))</f>
        <v>#N/A</v>
      </c>
      <c r="R1253" s="3" t="e">
        <f>I1253*(VLOOKUP(B1253,Price_data!A$1:B$190,2,FALSE))</f>
        <v>#N/A</v>
      </c>
      <c r="S1253" s="4" t="str">
        <f>(VLOOKUP(B1253,Price_data!A$1:C$190,3,FALSE))</f>
        <v>Open access</v>
      </c>
      <c r="T1253" s="2" t="str">
        <f>IF(C1253="Total", (VLOOKUP(B1253,Recommended_fish_intake!A$4:D$122,4,FALSE)), "NA")</f>
        <v>NA</v>
      </c>
      <c r="U1253" s="2" t="str">
        <f t="shared" si="151"/>
        <v>NA</v>
      </c>
    </row>
    <row r="1254" spans="1:21" ht="14.25" customHeight="1">
      <c r="A1254" s="2" t="s">
        <v>39</v>
      </c>
      <c r="B1254" s="2">
        <v>1972</v>
      </c>
      <c r="C1254" s="2" t="s">
        <v>36</v>
      </c>
      <c r="D1254" s="3">
        <f t="shared" si="145"/>
        <v>1.8796992481203008</v>
      </c>
      <c r="E1254" s="3">
        <f t="shared" si="146"/>
        <v>0.157</v>
      </c>
      <c r="F1254" s="3" t="e">
        <f t="shared" si="147"/>
        <v>#N/A</v>
      </c>
      <c r="G1254" s="3" t="e">
        <f t="shared" si="148"/>
        <v>#N/A</v>
      </c>
      <c r="H1254" s="3" t="e">
        <f t="shared" si="149"/>
        <v>#N/A</v>
      </c>
      <c r="I1254" s="3" t="e">
        <f t="shared" si="150"/>
        <v>#N/A</v>
      </c>
      <c r="J1254" s="3">
        <v>1879.6992481203008</v>
      </c>
      <c r="K1254" s="3">
        <v>157</v>
      </c>
      <c r="L1254" s="3" t="e">
        <v>#N/A</v>
      </c>
      <c r="M1254" s="3" t="e">
        <v>#N/A</v>
      </c>
      <c r="N1254" s="3" t="e">
        <v>#N/A</v>
      </c>
      <c r="O1254" s="3" t="e">
        <v>#N/A</v>
      </c>
      <c r="P1254" s="3">
        <f>E1254*(VLOOKUP(B1254,Price_data!A$1:B$190,2,FALSE))</f>
        <v>1.2307187864340001</v>
      </c>
      <c r="Q1254" s="3" t="e">
        <f>G1254*(VLOOKUP(B1254,Price_data!A$1:B$190,2,FALSE))</f>
        <v>#N/A</v>
      </c>
      <c r="R1254" s="3" t="e">
        <f>I1254*(VLOOKUP(B1254,Price_data!A$1:B$190,2,FALSE))</f>
        <v>#N/A</v>
      </c>
      <c r="S1254" s="4" t="str">
        <f>(VLOOKUP(B1254,Price_data!A$1:C$190,3,FALSE))</f>
        <v>Open access</v>
      </c>
      <c r="T1254" s="2" t="str">
        <f>IF(C1254="Total", (VLOOKUP(B1254,Recommended_fish_intake!A$4:D$122,4,FALSE)), "NA")</f>
        <v>NA</v>
      </c>
      <c r="U1254" s="2" t="str">
        <f t="shared" si="151"/>
        <v>NA</v>
      </c>
    </row>
    <row r="1255" spans="1:21" ht="14.25" customHeight="1">
      <c r="A1255" s="2" t="s">
        <v>39</v>
      </c>
      <c r="B1255" s="2">
        <v>1972</v>
      </c>
      <c r="C1255" s="2" t="s">
        <v>28</v>
      </c>
      <c r="D1255" s="3">
        <f t="shared" si="145"/>
        <v>22.657996342206868</v>
      </c>
      <c r="E1255" s="3">
        <f t="shared" si="146"/>
        <v>6.0250000000000004</v>
      </c>
      <c r="F1255" s="3" t="e">
        <f t="shared" si="147"/>
        <v>#N/A</v>
      </c>
      <c r="G1255" s="3" t="e">
        <f t="shared" si="148"/>
        <v>#N/A</v>
      </c>
      <c r="H1255" s="3" t="e">
        <f t="shared" si="149"/>
        <v>#N/A</v>
      </c>
      <c r="I1255" s="3" t="e">
        <f t="shared" si="150"/>
        <v>#N/A</v>
      </c>
      <c r="J1255" s="3">
        <v>22657.996342206869</v>
      </c>
      <c r="K1255" s="3">
        <v>6025</v>
      </c>
      <c r="L1255" s="3" t="e">
        <v>#N/A</v>
      </c>
      <c r="M1255" s="3" t="e">
        <v>#N/A</v>
      </c>
      <c r="N1255" s="3" t="e">
        <v>#N/A</v>
      </c>
      <c r="O1255" s="3" t="e">
        <v>#N/A</v>
      </c>
      <c r="P1255" s="3">
        <f>E1255*(VLOOKUP(B1255,Price_data!A$1:B$190,2,FALSE))</f>
        <v>47.229813301050001</v>
      </c>
      <c r="Q1255" s="3" t="e">
        <f>G1255*(VLOOKUP(B1255,Price_data!A$1:B$190,2,FALSE))</f>
        <v>#N/A</v>
      </c>
      <c r="R1255" s="3" t="e">
        <f>I1255*(VLOOKUP(B1255,Price_data!A$1:B$190,2,FALSE))</f>
        <v>#N/A</v>
      </c>
      <c r="S1255" s="4" t="str">
        <f>(VLOOKUP(B1255,Price_data!A$1:C$190,3,FALSE))</f>
        <v>Open access</v>
      </c>
      <c r="T1255" s="2" t="str">
        <f>IF(C1255="Total", (VLOOKUP(B1255,Recommended_fish_intake!A$4:D$122,4,FALSE)), "NA")</f>
        <v>NA</v>
      </c>
      <c r="U1255" s="2">
        <f t="shared" si="151"/>
        <v>6.3442389758179241</v>
      </c>
    </row>
    <row r="1256" spans="1:21" ht="14.25" customHeight="1">
      <c r="A1256" s="2" t="s">
        <v>39</v>
      </c>
      <c r="B1256" s="2">
        <v>1972</v>
      </c>
      <c r="C1256" s="2" t="s">
        <v>37</v>
      </c>
      <c r="D1256" s="3">
        <f t="shared" ref="D1256:D1319" si="152">J1256/1000</f>
        <v>440.40845356634827</v>
      </c>
      <c r="E1256" s="3">
        <f t="shared" ref="E1256:E1319" si="153">K1256/1000</f>
        <v>37.704000000000001</v>
      </c>
      <c r="F1256" s="3" t="e">
        <f t="shared" ref="F1256:F1319" si="154">IF(L1256="", NA(), L1256/1000)</f>
        <v>#N/A</v>
      </c>
      <c r="G1256" s="3" t="e">
        <f t="shared" ref="G1256:G1319" si="155">IF(M1256="", NA(), M1256/1000)</f>
        <v>#N/A</v>
      </c>
      <c r="H1256" s="3" t="e">
        <f t="shared" ref="H1256:H1319" si="156">IF(N1256="", NA(), N1256/1000)</f>
        <v>#N/A</v>
      </c>
      <c r="I1256" s="3" t="e">
        <f t="shared" ref="I1256:I1319" si="157">IF(O1256="", NA(), O1256/1000)</f>
        <v>#N/A</v>
      </c>
      <c r="J1256" s="3">
        <v>440408.4535663483</v>
      </c>
      <c r="K1256" s="3">
        <v>37704</v>
      </c>
      <c r="L1256" s="3" t="e">
        <v>#N/A</v>
      </c>
      <c r="M1256" s="3" t="e">
        <v>#N/A</v>
      </c>
      <c r="N1256" s="3" t="e">
        <v>#N/A</v>
      </c>
      <c r="O1256" s="3" t="e">
        <v>#N/A</v>
      </c>
      <c r="P1256" s="3">
        <f>E1256*(VLOOKUP(B1256,Price_data!A$1:B$190,2,FALSE))</f>
        <v>295.56064410004802</v>
      </c>
      <c r="Q1256" s="3" t="e">
        <f>G1256*(VLOOKUP(B1256,Price_data!A$1:B$190,2,FALSE))</f>
        <v>#N/A</v>
      </c>
      <c r="R1256" s="3" t="e">
        <f>I1256*(VLOOKUP(B1256,Price_data!A$1:B$190,2,FALSE))</f>
        <v>#N/A</v>
      </c>
      <c r="S1256" s="4" t="str">
        <f>(VLOOKUP(B1256,Price_data!A$1:C$190,3,FALSE))</f>
        <v>Open access</v>
      </c>
      <c r="T1256" s="2" t="str">
        <f>IF(C1256="Total", (VLOOKUP(B1256,Recommended_fish_intake!A$4:D$122,4,FALSE)), "NA")</f>
        <v>NA</v>
      </c>
      <c r="U1256" s="2">
        <f t="shared" si="151"/>
        <v>215.80014224751065</v>
      </c>
    </row>
    <row r="1257" spans="1:21" ht="14.25" customHeight="1">
      <c r="A1257" s="2" t="s">
        <v>40</v>
      </c>
      <c r="B1257" s="2">
        <v>1972</v>
      </c>
      <c r="C1257" s="2" t="s">
        <v>22</v>
      </c>
      <c r="D1257" s="3">
        <f t="shared" si="152"/>
        <v>1.1176590123958545</v>
      </c>
      <c r="E1257" s="3">
        <f t="shared" si="153"/>
        <v>0.108</v>
      </c>
      <c r="F1257" s="3" t="e">
        <f t="shared" si="154"/>
        <v>#N/A</v>
      </c>
      <c r="G1257" s="3" t="e">
        <f t="shared" si="155"/>
        <v>#N/A</v>
      </c>
      <c r="H1257" s="3" t="e">
        <f t="shared" si="156"/>
        <v>#N/A</v>
      </c>
      <c r="I1257" s="3" t="e">
        <f t="shared" si="157"/>
        <v>#N/A</v>
      </c>
      <c r="J1257" s="3">
        <v>1117.6590123958545</v>
      </c>
      <c r="K1257" s="3">
        <v>108</v>
      </c>
      <c r="L1257" s="3" t="e">
        <v>#N/A</v>
      </c>
      <c r="M1257" s="3" t="e">
        <v>#N/A</v>
      </c>
      <c r="N1257" s="3" t="e">
        <v>#N/A</v>
      </c>
      <c r="O1257" s="3" t="e">
        <v>#N/A</v>
      </c>
      <c r="P1257" s="3">
        <f>E1257*(VLOOKUP(B1257,Price_data!A$1:B$190,2,FALSE))</f>
        <v>0.84660910149599999</v>
      </c>
      <c r="Q1257" s="3" t="e">
        <f>G1257*(VLOOKUP(B1257,Price_data!A$1:B$190,2,FALSE))</f>
        <v>#N/A</v>
      </c>
      <c r="R1257" s="3" t="e">
        <f>I1257*(VLOOKUP(B1257,Price_data!A$1:B$190,2,FALSE))</f>
        <v>#N/A</v>
      </c>
      <c r="S1257" s="4" t="str">
        <f>(VLOOKUP(B1257,Price_data!A$1:C$190,3,FALSE))</f>
        <v>Open access</v>
      </c>
      <c r="T1257" s="2" t="str">
        <f>IF(C1257="Total", (VLOOKUP(B1257,Recommended_fish_intake!A$4:D$122,4,FALSE)), "NA")</f>
        <v>NA</v>
      </c>
      <c r="U1257" s="2" t="str">
        <f t="shared" si="151"/>
        <v>NA</v>
      </c>
    </row>
    <row r="1258" spans="1:21" ht="14.25" customHeight="1">
      <c r="A1258" s="2" t="s">
        <v>40</v>
      </c>
      <c r="B1258" s="2">
        <v>1972</v>
      </c>
      <c r="C1258" s="2" t="s">
        <v>23</v>
      </c>
      <c r="D1258" s="3">
        <f t="shared" si="152"/>
        <v>5.080268238162975E-2</v>
      </c>
      <c r="E1258" s="3">
        <f t="shared" si="153"/>
        <v>4.0000000000000001E-3</v>
      </c>
      <c r="F1258" s="3" t="e">
        <f t="shared" si="154"/>
        <v>#N/A</v>
      </c>
      <c r="G1258" s="3" t="e">
        <f t="shared" si="155"/>
        <v>#N/A</v>
      </c>
      <c r="H1258" s="3" t="e">
        <f t="shared" si="156"/>
        <v>#N/A</v>
      </c>
      <c r="I1258" s="3" t="e">
        <f t="shared" si="157"/>
        <v>#N/A</v>
      </c>
      <c r="J1258" s="3">
        <v>50.802682381629751</v>
      </c>
      <c r="K1258" s="3">
        <v>4</v>
      </c>
      <c r="L1258" s="3" t="e">
        <v>#N/A</v>
      </c>
      <c r="M1258" s="3" t="e">
        <v>#N/A</v>
      </c>
      <c r="N1258" s="3" t="e">
        <v>#N/A</v>
      </c>
      <c r="O1258" s="3" t="e">
        <v>#N/A</v>
      </c>
      <c r="P1258" s="3">
        <f>E1258*(VLOOKUP(B1258,Price_data!A$1:B$190,2,FALSE))</f>
        <v>3.1355892648000004E-2</v>
      </c>
      <c r="Q1258" s="3" t="e">
        <f>G1258*(VLOOKUP(B1258,Price_data!A$1:B$190,2,FALSE))</f>
        <v>#N/A</v>
      </c>
      <c r="R1258" s="3" t="e">
        <f>I1258*(VLOOKUP(B1258,Price_data!A$1:B$190,2,FALSE))</f>
        <v>#N/A</v>
      </c>
      <c r="S1258" s="4" t="str">
        <f>(VLOOKUP(B1258,Price_data!A$1:C$190,3,FALSE))</f>
        <v>Open access</v>
      </c>
      <c r="T1258" s="2" t="str">
        <f>IF(C1258="Total", (VLOOKUP(B1258,Recommended_fish_intake!A$4:D$122,4,FALSE)), "NA")</f>
        <v>NA</v>
      </c>
      <c r="U1258" s="2" t="str">
        <f t="shared" si="151"/>
        <v>NA</v>
      </c>
    </row>
    <row r="1259" spans="1:21" ht="14.25" customHeight="1">
      <c r="A1259" s="2" t="s">
        <v>40</v>
      </c>
      <c r="B1259" s="2">
        <v>1972</v>
      </c>
      <c r="C1259" s="2" t="s">
        <v>25</v>
      </c>
      <c r="D1259" s="3">
        <f t="shared" si="152"/>
        <v>0.1016053647632595</v>
      </c>
      <c r="E1259" s="3">
        <f t="shared" si="153"/>
        <v>1.2E-2</v>
      </c>
      <c r="F1259" s="3" t="e">
        <f t="shared" si="154"/>
        <v>#N/A</v>
      </c>
      <c r="G1259" s="3" t="e">
        <f t="shared" si="155"/>
        <v>#N/A</v>
      </c>
      <c r="H1259" s="3" t="e">
        <f t="shared" si="156"/>
        <v>#N/A</v>
      </c>
      <c r="I1259" s="3" t="e">
        <f t="shared" si="157"/>
        <v>#N/A</v>
      </c>
      <c r="J1259" s="3">
        <v>101.6053647632595</v>
      </c>
      <c r="K1259" s="3">
        <v>12</v>
      </c>
      <c r="L1259" s="3" t="e">
        <v>#N/A</v>
      </c>
      <c r="M1259" s="3" t="e">
        <v>#N/A</v>
      </c>
      <c r="N1259" s="3" t="e">
        <v>#N/A</v>
      </c>
      <c r="O1259" s="3" t="e">
        <v>#N/A</v>
      </c>
      <c r="P1259" s="3">
        <f>E1259*(VLOOKUP(B1259,Price_data!A$1:B$190,2,FALSE))</f>
        <v>9.4067677944000005E-2</v>
      </c>
      <c r="Q1259" s="3" t="e">
        <f>G1259*(VLOOKUP(B1259,Price_data!A$1:B$190,2,FALSE))</f>
        <v>#N/A</v>
      </c>
      <c r="R1259" s="3" t="e">
        <f>I1259*(VLOOKUP(B1259,Price_data!A$1:B$190,2,FALSE))</f>
        <v>#N/A</v>
      </c>
      <c r="S1259" s="4" t="str">
        <f>(VLOOKUP(B1259,Price_data!A$1:C$190,3,FALSE))</f>
        <v>Open access</v>
      </c>
      <c r="T1259" s="2" t="str">
        <f>IF(C1259="Total", (VLOOKUP(B1259,Recommended_fish_intake!A$4:D$122,4,FALSE)), "NA")</f>
        <v>NA</v>
      </c>
      <c r="U1259" s="2" t="str">
        <f t="shared" si="151"/>
        <v>NA</v>
      </c>
    </row>
    <row r="1260" spans="1:21" ht="14.25" customHeight="1">
      <c r="A1260" s="2" t="s">
        <v>40</v>
      </c>
      <c r="B1260" s="2">
        <v>1972</v>
      </c>
      <c r="C1260" s="2" t="s">
        <v>38</v>
      </c>
      <c r="D1260" s="3">
        <f t="shared" si="152"/>
        <v>0.30481609428977846</v>
      </c>
      <c r="E1260" s="3">
        <f t="shared" si="153"/>
        <v>1.2E-2</v>
      </c>
      <c r="F1260" s="3" t="e">
        <f t="shared" si="154"/>
        <v>#N/A</v>
      </c>
      <c r="G1260" s="3" t="e">
        <f t="shared" si="155"/>
        <v>#N/A</v>
      </c>
      <c r="H1260" s="3" t="e">
        <f t="shared" si="156"/>
        <v>#N/A</v>
      </c>
      <c r="I1260" s="3" t="e">
        <f t="shared" si="157"/>
        <v>#N/A</v>
      </c>
      <c r="J1260" s="3">
        <v>304.81609428977845</v>
      </c>
      <c r="K1260" s="3">
        <v>12</v>
      </c>
      <c r="L1260" s="3" t="e">
        <v>#N/A</v>
      </c>
      <c r="M1260" s="3" t="e">
        <v>#N/A</v>
      </c>
      <c r="N1260" s="3" t="e">
        <v>#N/A</v>
      </c>
      <c r="O1260" s="3" t="e">
        <v>#N/A</v>
      </c>
      <c r="P1260" s="3">
        <f>E1260*(VLOOKUP(B1260,Price_data!A$1:B$190,2,FALSE))</f>
        <v>9.4067677944000005E-2</v>
      </c>
      <c r="Q1260" s="3" t="e">
        <f>G1260*(VLOOKUP(B1260,Price_data!A$1:B$190,2,FALSE))</f>
        <v>#N/A</v>
      </c>
      <c r="R1260" s="3" t="e">
        <f>I1260*(VLOOKUP(B1260,Price_data!A$1:B$190,2,FALSE))</f>
        <v>#N/A</v>
      </c>
      <c r="S1260" s="4" t="str">
        <f>(VLOOKUP(B1260,Price_data!A$1:C$190,3,FALSE))</f>
        <v>Open access</v>
      </c>
      <c r="T1260" s="2" t="str">
        <f>IF(C1260="Total", (VLOOKUP(B1260,Recommended_fish_intake!A$4:D$122,4,FALSE)), "NA")</f>
        <v>NA</v>
      </c>
      <c r="U1260" s="2" t="str">
        <f t="shared" si="151"/>
        <v>NA</v>
      </c>
    </row>
    <row r="1261" spans="1:21" ht="14.25" customHeight="1">
      <c r="A1261" s="2" t="s">
        <v>40</v>
      </c>
      <c r="B1261" s="2">
        <v>1972</v>
      </c>
      <c r="C1261" s="2" t="s">
        <v>24</v>
      </c>
      <c r="D1261" s="3">
        <f t="shared" si="152"/>
        <v>1.7780938833570412</v>
      </c>
      <c r="E1261" s="3">
        <f t="shared" si="153"/>
        <v>9.2999999999999999E-2</v>
      </c>
      <c r="F1261" s="3" t="e">
        <f t="shared" si="154"/>
        <v>#N/A</v>
      </c>
      <c r="G1261" s="3" t="e">
        <f t="shared" si="155"/>
        <v>#N/A</v>
      </c>
      <c r="H1261" s="3" t="e">
        <f t="shared" si="156"/>
        <v>#N/A</v>
      </c>
      <c r="I1261" s="3" t="e">
        <f t="shared" si="157"/>
        <v>#N/A</v>
      </c>
      <c r="J1261" s="3">
        <v>1778.0938833570412</v>
      </c>
      <c r="K1261" s="3">
        <v>93</v>
      </c>
      <c r="L1261" s="3" t="e">
        <v>#N/A</v>
      </c>
      <c r="M1261" s="3" t="e">
        <v>#N/A</v>
      </c>
      <c r="N1261" s="3" t="e">
        <v>#N/A</v>
      </c>
      <c r="O1261" s="3" t="e">
        <v>#N/A</v>
      </c>
      <c r="P1261" s="3">
        <f>E1261*(VLOOKUP(B1261,Price_data!A$1:B$190,2,FALSE))</f>
        <v>0.72902450406600006</v>
      </c>
      <c r="Q1261" s="3" t="e">
        <f>G1261*(VLOOKUP(B1261,Price_data!A$1:B$190,2,FALSE))</f>
        <v>#N/A</v>
      </c>
      <c r="R1261" s="3" t="e">
        <f>I1261*(VLOOKUP(B1261,Price_data!A$1:B$190,2,FALSE))</f>
        <v>#N/A</v>
      </c>
      <c r="S1261" s="4" t="str">
        <f>(VLOOKUP(B1261,Price_data!A$1:C$190,3,FALSE))</f>
        <v>Open access</v>
      </c>
      <c r="T1261" s="2" t="str">
        <f>IF(C1261="Total", (VLOOKUP(B1261,Recommended_fish_intake!A$4:D$122,4,FALSE)), "NA")</f>
        <v>NA</v>
      </c>
      <c r="U1261" s="2" t="str">
        <f t="shared" si="151"/>
        <v>NA</v>
      </c>
    </row>
    <row r="1262" spans="1:21" ht="14.25" customHeight="1">
      <c r="A1262" s="2" t="s">
        <v>40</v>
      </c>
      <c r="B1262" s="2">
        <v>1972</v>
      </c>
      <c r="C1262" s="2" t="s">
        <v>19</v>
      </c>
      <c r="D1262" s="3">
        <f t="shared" si="152"/>
        <v>4.0642145905303799</v>
      </c>
      <c r="E1262" s="3">
        <f t="shared" si="153"/>
        <v>0.16700000000000001</v>
      </c>
      <c r="F1262" s="3" t="e">
        <f t="shared" si="154"/>
        <v>#N/A</v>
      </c>
      <c r="G1262" s="3" t="e">
        <f t="shared" si="155"/>
        <v>#N/A</v>
      </c>
      <c r="H1262" s="3" t="e">
        <f t="shared" si="156"/>
        <v>#N/A</v>
      </c>
      <c r="I1262" s="3" t="e">
        <f t="shared" si="157"/>
        <v>#N/A</v>
      </c>
      <c r="J1262" s="3">
        <v>4064.2145905303801</v>
      </c>
      <c r="K1262" s="3">
        <v>167</v>
      </c>
      <c r="L1262" s="3" t="e">
        <v>#N/A</v>
      </c>
      <c r="M1262" s="3" t="e">
        <v>#N/A</v>
      </c>
      <c r="N1262" s="3" t="e">
        <v>#N/A</v>
      </c>
      <c r="O1262" s="3" t="e">
        <v>#N/A</v>
      </c>
      <c r="P1262" s="3">
        <f>E1262*(VLOOKUP(B1262,Price_data!A$1:B$190,2,FALSE))</f>
        <v>1.3091085180540001</v>
      </c>
      <c r="Q1262" s="3" t="e">
        <f>G1262*(VLOOKUP(B1262,Price_data!A$1:B$190,2,FALSE))</f>
        <v>#N/A</v>
      </c>
      <c r="R1262" s="3" t="e">
        <f>I1262*(VLOOKUP(B1262,Price_data!A$1:B$190,2,FALSE))</f>
        <v>#N/A</v>
      </c>
      <c r="S1262" s="4" t="str">
        <f>(VLOOKUP(B1262,Price_data!A$1:C$190,3,FALSE))</f>
        <v>Open access</v>
      </c>
      <c r="T1262" s="2" t="str">
        <f>IF(C1262="Total", (VLOOKUP(B1262,Recommended_fish_intake!A$4:D$122,4,FALSE)), "NA")</f>
        <v>NA</v>
      </c>
      <c r="U1262" s="2" t="str">
        <f t="shared" si="151"/>
        <v>NA</v>
      </c>
    </row>
    <row r="1263" spans="1:21" ht="14.25" customHeight="1">
      <c r="A1263" s="2" t="s">
        <v>40</v>
      </c>
      <c r="B1263" s="2">
        <v>1972</v>
      </c>
      <c r="C1263" s="2" t="s">
        <v>21</v>
      </c>
      <c r="D1263" s="3">
        <f t="shared" si="152"/>
        <v>0</v>
      </c>
      <c r="E1263" s="3">
        <f t="shared" si="153"/>
        <v>0</v>
      </c>
      <c r="F1263" s="3" t="e">
        <f t="shared" si="154"/>
        <v>#N/A</v>
      </c>
      <c r="G1263" s="3" t="e">
        <f t="shared" si="155"/>
        <v>#N/A</v>
      </c>
      <c r="H1263" s="3" t="e">
        <f t="shared" si="156"/>
        <v>#N/A</v>
      </c>
      <c r="I1263" s="3" t="e">
        <f t="shared" si="157"/>
        <v>#N/A</v>
      </c>
      <c r="J1263" s="3">
        <v>0</v>
      </c>
      <c r="K1263" s="3">
        <v>0</v>
      </c>
      <c r="L1263" s="3" t="e">
        <v>#N/A</v>
      </c>
      <c r="M1263" s="3" t="e">
        <v>#N/A</v>
      </c>
      <c r="N1263" s="3" t="e">
        <v>#N/A</v>
      </c>
      <c r="O1263" s="3" t="e">
        <v>#N/A</v>
      </c>
      <c r="P1263" s="3">
        <f>E1263*(VLOOKUP(B1263,Price_data!A$1:B$190,2,FALSE))</f>
        <v>0</v>
      </c>
      <c r="Q1263" s="3" t="e">
        <f>G1263*(VLOOKUP(B1263,Price_data!A$1:B$190,2,FALSE))</f>
        <v>#N/A</v>
      </c>
      <c r="R1263" s="3" t="e">
        <f>I1263*(VLOOKUP(B1263,Price_data!A$1:B$190,2,FALSE))</f>
        <v>#N/A</v>
      </c>
      <c r="S1263" s="4" t="str">
        <f>(VLOOKUP(B1263,Price_data!A$1:C$190,3,FALSE))</f>
        <v>Open access</v>
      </c>
      <c r="T1263" s="2" t="str">
        <f>IF(C1263="Total", (VLOOKUP(B1263,Recommended_fish_intake!A$4:D$122,4,FALSE)), "NA")</f>
        <v>NA</v>
      </c>
      <c r="U1263" s="2" t="str">
        <f t="shared" si="151"/>
        <v>NA</v>
      </c>
    </row>
    <row r="1264" spans="1:21" ht="14.25" customHeight="1">
      <c r="A1264" s="2" t="s">
        <v>40</v>
      </c>
      <c r="B1264" s="2">
        <v>1972</v>
      </c>
      <c r="C1264" s="2" t="s">
        <v>34</v>
      </c>
      <c r="D1264" s="3">
        <f t="shared" si="152"/>
        <v>0</v>
      </c>
      <c r="E1264" s="3">
        <f t="shared" si="153"/>
        <v>2.1999999999999999E-2</v>
      </c>
      <c r="F1264" s="3" t="e">
        <f t="shared" si="154"/>
        <v>#N/A</v>
      </c>
      <c r="G1264" s="3" t="e">
        <f t="shared" si="155"/>
        <v>#N/A</v>
      </c>
      <c r="H1264" s="3" t="e">
        <f t="shared" si="156"/>
        <v>#N/A</v>
      </c>
      <c r="I1264" s="3" t="e">
        <f t="shared" si="157"/>
        <v>#N/A</v>
      </c>
      <c r="J1264" s="3">
        <v>0</v>
      </c>
      <c r="K1264" s="3">
        <v>22</v>
      </c>
      <c r="L1264" s="3" t="e">
        <v>#N/A</v>
      </c>
      <c r="M1264" s="3" t="e">
        <v>#N/A</v>
      </c>
      <c r="N1264" s="3" t="e">
        <v>#N/A</v>
      </c>
      <c r="O1264" s="3" t="e">
        <v>#N/A</v>
      </c>
      <c r="P1264" s="3">
        <f>E1264*(VLOOKUP(B1264,Price_data!A$1:B$190,2,FALSE))</f>
        <v>0.17245740956399999</v>
      </c>
      <c r="Q1264" s="3" t="e">
        <f>G1264*(VLOOKUP(B1264,Price_data!A$1:B$190,2,FALSE))</f>
        <v>#N/A</v>
      </c>
      <c r="R1264" s="3" t="e">
        <f>I1264*(VLOOKUP(B1264,Price_data!A$1:B$190,2,FALSE))</f>
        <v>#N/A</v>
      </c>
      <c r="S1264" s="4" t="str">
        <f>(VLOOKUP(B1264,Price_data!A$1:C$190,3,FALSE))</f>
        <v>Open access</v>
      </c>
      <c r="T1264" s="2" t="str">
        <f>IF(C1264="Total", (VLOOKUP(B1264,Recommended_fish_intake!A$4:D$122,4,FALSE)), "NA")</f>
        <v>NA</v>
      </c>
      <c r="U1264" s="2" t="str">
        <f t="shared" si="151"/>
        <v>NA</v>
      </c>
    </row>
    <row r="1265" spans="1:21" ht="14.25" customHeight="1">
      <c r="A1265" s="2" t="s">
        <v>40</v>
      </c>
      <c r="B1265" s="2">
        <v>1972</v>
      </c>
      <c r="C1265" s="2" t="s">
        <v>35</v>
      </c>
      <c r="D1265" s="3">
        <f t="shared" si="152"/>
        <v>4.0134119081487496</v>
      </c>
      <c r="E1265" s="3">
        <f t="shared" si="153"/>
        <v>0.71799999999999997</v>
      </c>
      <c r="F1265" s="3" t="e">
        <f t="shared" si="154"/>
        <v>#N/A</v>
      </c>
      <c r="G1265" s="3" t="e">
        <f t="shared" si="155"/>
        <v>#N/A</v>
      </c>
      <c r="H1265" s="3" t="e">
        <f t="shared" si="156"/>
        <v>#N/A</v>
      </c>
      <c r="I1265" s="3" t="e">
        <f t="shared" si="157"/>
        <v>#N/A</v>
      </c>
      <c r="J1265" s="3">
        <v>4013.4119081487497</v>
      </c>
      <c r="K1265" s="3">
        <v>718</v>
      </c>
      <c r="L1265" s="3" t="e">
        <v>#N/A</v>
      </c>
      <c r="M1265" s="3" t="e">
        <v>#N/A</v>
      </c>
      <c r="N1265" s="3" t="e">
        <v>#N/A</v>
      </c>
      <c r="O1265" s="3" t="e">
        <v>#N/A</v>
      </c>
      <c r="P1265" s="3">
        <f>E1265*(VLOOKUP(B1265,Price_data!A$1:B$190,2,FALSE))</f>
        <v>5.6283827303159999</v>
      </c>
      <c r="Q1265" s="3" t="e">
        <f>G1265*(VLOOKUP(B1265,Price_data!A$1:B$190,2,FALSE))</f>
        <v>#N/A</v>
      </c>
      <c r="R1265" s="3" t="e">
        <f>I1265*(VLOOKUP(B1265,Price_data!A$1:B$190,2,FALSE))</f>
        <v>#N/A</v>
      </c>
      <c r="S1265" s="4" t="str">
        <f>(VLOOKUP(B1265,Price_data!A$1:C$190,3,FALSE))</f>
        <v>Open access</v>
      </c>
      <c r="T1265" s="2" t="str">
        <f>IF(C1265="Total", (VLOOKUP(B1265,Recommended_fish_intake!A$4:D$122,4,FALSE)), "NA")</f>
        <v>NA</v>
      </c>
      <c r="U1265" s="2" t="str">
        <f t="shared" si="151"/>
        <v>NA</v>
      </c>
    </row>
    <row r="1266" spans="1:21" ht="14.25" customHeight="1">
      <c r="A1266" s="2" t="s">
        <v>40</v>
      </c>
      <c r="B1266" s="2">
        <v>1972</v>
      </c>
      <c r="C1266" s="2" t="s">
        <v>30</v>
      </c>
      <c r="D1266" s="3">
        <f t="shared" si="152"/>
        <v>0</v>
      </c>
      <c r="E1266" s="3">
        <f t="shared" si="153"/>
        <v>0</v>
      </c>
      <c r="F1266" s="3" t="e">
        <f t="shared" si="154"/>
        <v>#N/A</v>
      </c>
      <c r="G1266" s="3" t="e">
        <f t="shared" si="155"/>
        <v>#N/A</v>
      </c>
      <c r="H1266" s="3" t="e">
        <f t="shared" si="156"/>
        <v>#N/A</v>
      </c>
      <c r="I1266" s="3" t="e">
        <f t="shared" si="157"/>
        <v>#N/A</v>
      </c>
      <c r="J1266" s="3">
        <v>0</v>
      </c>
      <c r="K1266" s="3">
        <v>0</v>
      </c>
      <c r="L1266" s="3" t="e">
        <v>#N/A</v>
      </c>
      <c r="M1266" s="3" t="e">
        <v>#N/A</v>
      </c>
      <c r="N1266" s="3" t="e">
        <v>#N/A</v>
      </c>
      <c r="O1266" s="3" t="e">
        <v>#N/A</v>
      </c>
      <c r="P1266" s="3">
        <f>E1266*(VLOOKUP(B1266,Price_data!A$1:B$190,2,FALSE))</f>
        <v>0</v>
      </c>
      <c r="Q1266" s="3" t="e">
        <f>G1266*(VLOOKUP(B1266,Price_data!A$1:B$190,2,FALSE))</f>
        <v>#N/A</v>
      </c>
      <c r="R1266" s="3" t="e">
        <f>I1266*(VLOOKUP(B1266,Price_data!A$1:B$190,2,FALSE))</f>
        <v>#N/A</v>
      </c>
      <c r="S1266" s="4" t="str">
        <f>(VLOOKUP(B1266,Price_data!A$1:C$190,3,FALSE))</f>
        <v>Open access</v>
      </c>
      <c r="T1266" s="2" t="str">
        <f>IF(C1266="Total", (VLOOKUP(B1266,Recommended_fish_intake!A$4:D$122,4,FALSE)), "NA")</f>
        <v>NA</v>
      </c>
      <c r="U1266" s="2" t="str">
        <f t="shared" si="151"/>
        <v>NA</v>
      </c>
    </row>
    <row r="1267" spans="1:21" ht="14.25" customHeight="1">
      <c r="A1267" s="2" t="s">
        <v>40</v>
      </c>
      <c r="B1267" s="2">
        <v>1972</v>
      </c>
      <c r="C1267" s="2" t="s">
        <v>36</v>
      </c>
      <c r="D1267" s="3">
        <f t="shared" si="152"/>
        <v>0</v>
      </c>
      <c r="E1267" s="3">
        <f t="shared" si="153"/>
        <v>0</v>
      </c>
      <c r="F1267" s="3" t="e">
        <f t="shared" si="154"/>
        <v>#N/A</v>
      </c>
      <c r="G1267" s="3" t="e">
        <f t="shared" si="155"/>
        <v>#N/A</v>
      </c>
      <c r="H1267" s="3" t="e">
        <f t="shared" si="156"/>
        <v>#N/A</v>
      </c>
      <c r="I1267" s="3" t="e">
        <f t="shared" si="157"/>
        <v>#N/A</v>
      </c>
      <c r="J1267" s="3">
        <v>0</v>
      </c>
      <c r="K1267" s="3">
        <v>0</v>
      </c>
      <c r="L1267" s="3" t="e">
        <v>#N/A</v>
      </c>
      <c r="M1267" s="3" t="e">
        <v>#N/A</v>
      </c>
      <c r="N1267" s="3" t="e">
        <v>#N/A</v>
      </c>
      <c r="O1267" s="3" t="e">
        <v>#N/A</v>
      </c>
      <c r="P1267" s="3">
        <f>E1267*(VLOOKUP(B1267,Price_data!A$1:B$190,2,FALSE))</f>
        <v>0</v>
      </c>
      <c r="Q1267" s="3" t="e">
        <f>G1267*(VLOOKUP(B1267,Price_data!A$1:B$190,2,FALSE))</f>
        <v>#N/A</v>
      </c>
      <c r="R1267" s="3" t="e">
        <f>I1267*(VLOOKUP(B1267,Price_data!A$1:B$190,2,FALSE))</f>
        <v>#N/A</v>
      </c>
      <c r="S1267" s="4" t="str">
        <f>(VLOOKUP(B1267,Price_data!A$1:C$190,3,FALSE))</f>
        <v>Open access</v>
      </c>
      <c r="T1267" s="2" t="str">
        <f>IF(C1267="Total", (VLOOKUP(B1267,Recommended_fish_intake!A$4:D$122,4,FALSE)), "NA")</f>
        <v>NA</v>
      </c>
      <c r="U1267" s="2" t="str">
        <f t="shared" si="151"/>
        <v>NA</v>
      </c>
    </row>
    <row r="1268" spans="1:21" ht="14.25" customHeight="1">
      <c r="A1268" s="2" t="s">
        <v>40</v>
      </c>
      <c r="B1268" s="2">
        <v>1972</v>
      </c>
      <c r="C1268" s="2" t="s">
        <v>28</v>
      </c>
      <c r="D1268" s="3">
        <f t="shared" si="152"/>
        <v>4.8262548262548259</v>
      </c>
      <c r="E1268" s="3">
        <f t="shared" si="153"/>
        <v>0.80500000000000005</v>
      </c>
      <c r="F1268" s="3" t="e">
        <f t="shared" si="154"/>
        <v>#N/A</v>
      </c>
      <c r="G1268" s="3" t="e">
        <f t="shared" si="155"/>
        <v>#N/A</v>
      </c>
      <c r="H1268" s="3" t="e">
        <f t="shared" si="156"/>
        <v>#N/A</v>
      </c>
      <c r="I1268" s="3" t="e">
        <f t="shared" si="157"/>
        <v>#N/A</v>
      </c>
      <c r="J1268" s="3">
        <v>4826.2548262548262</v>
      </c>
      <c r="K1268" s="3">
        <v>805</v>
      </c>
      <c r="L1268" s="3" t="e">
        <v>#N/A</v>
      </c>
      <c r="M1268" s="3" t="e">
        <v>#N/A</v>
      </c>
      <c r="N1268" s="3" t="e">
        <v>#N/A</v>
      </c>
      <c r="O1268" s="3" t="e">
        <v>#N/A</v>
      </c>
      <c r="P1268" s="3">
        <f>E1268*(VLOOKUP(B1268,Price_data!A$1:B$190,2,FALSE))</f>
        <v>6.310373395410001</v>
      </c>
      <c r="Q1268" s="3" t="e">
        <f>G1268*(VLOOKUP(B1268,Price_data!A$1:B$190,2,FALSE))</f>
        <v>#N/A</v>
      </c>
      <c r="R1268" s="3" t="e">
        <f>I1268*(VLOOKUP(B1268,Price_data!A$1:B$190,2,FALSE))</f>
        <v>#N/A</v>
      </c>
      <c r="S1268" s="4" t="str">
        <f>(VLOOKUP(B1268,Price_data!A$1:C$190,3,FALSE))</f>
        <v>Open access</v>
      </c>
      <c r="T1268" s="2" t="str">
        <f>IF(C1268="Total", (VLOOKUP(B1268,Recommended_fish_intake!A$4:D$122,4,FALSE)), "NA")</f>
        <v>NA</v>
      </c>
      <c r="U1268" s="2">
        <f t="shared" si="151"/>
        <v>1.3513513513513513</v>
      </c>
    </row>
    <row r="1269" spans="1:21" ht="14.25" customHeight="1">
      <c r="A1269" s="2" t="s">
        <v>40</v>
      </c>
      <c r="B1269" s="2">
        <v>1972</v>
      </c>
      <c r="C1269" s="2" t="s">
        <v>37</v>
      </c>
      <c r="D1269" s="3">
        <f t="shared" si="152"/>
        <v>8.2808372282056482</v>
      </c>
      <c r="E1269" s="3">
        <f t="shared" si="153"/>
        <v>0.44500000000000001</v>
      </c>
      <c r="F1269" s="3" t="e">
        <f t="shared" si="154"/>
        <v>#N/A</v>
      </c>
      <c r="G1269" s="3" t="e">
        <f t="shared" si="155"/>
        <v>#N/A</v>
      </c>
      <c r="H1269" s="3" t="e">
        <f t="shared" si="156"/>
        <v>#N/A</v>
      </c>
      <c r="I1269" s="3" t="e">
        <f t="shared" si="157"/>
        <v>#N/A</v>
      </c>
      <c r="J1269" s="3">
        <v>8280.837228205648</v>
      </c>
      <c r="K1269" s="3">
        <v>445</v>
      </c>
      <c r="L1269" s="3" t="e">
        <v>#N/A</v>
      </c>
      <c r="M1269" s="3" t="e">
        <v>#N/A</v>
      </c>
      <c r="N1269" s="3" t="e">
        <v>#N/A</v>
      </c>
      <c r="O1269" s="3" t="e">
        <v>#N/A</v>
      </c>
      <c r="P1269" s="3">
        <f>E1269*(VLOOKUP(B1269,Price_data!A$1:B$190,2,FALSE))</f>
        <v>3.4883430570900003</v>
      </c>
      <c r="Q1269" s="3" t="e">
        <f>G1269*(VLOOKUP(B1269,Price_data!A$1:B$190,2,FALSE))</f>
        <v>#N/A</v>
      </c>
      <c r="R1269" s="3" t="e">
        <f>I1269*(VLOOKUP(B1269,Price_data!A$1:B$190,2,FALSE))</f>
        <v>#N/A</v>
      </c>
      <c r="S1269" s="4" t="str">
        <f>(VLOOKUP(B1269,Price_data!A$1:C$190,3,FALSE))</f>
        <v>Open access</v>
      </c>
      <c r="T1269" s="2" t="str">
        <f>IF(C1269="Total", (VLOOKUP(B1269,Recommended_fish_intake!A$4:D$122,4,FALSE)), "NA")</f>
        <v>NA</v>
      </c>
      <c r="U1269" s="2">
        <f t="shared" si="151"/>
        <v>4.0576102418207673</v>
      </c>
    </row>
    <row r="1270" spans="1:21" ht="14.25" customHeight="1">
      <c r="A1270" s="2" t="s">
        <v>18</v>
      </c>
      <c r="B1270" s="2">
        <v>1972</v>
      </c>
      <c r="C1270" s="2" t="s">
        <v>41</v>
      </c>
      <c r="D1270" s="3">
        <f t="shared" si="152"/>
        <v>406.42145905303801</v>
      </c>
      <c r="E1270" s="3">
        <f t="shared" si="153"/>
        <v>59.685000000000002</v>
      </c>
      <c r="F1270" s="3" t="e">
        <f t="shared" si="154"/>
        <v>#N/A</v>
      </c>
      <c r="G1270" s="3" t="e">
        <f t="shared" si="155"/>
        <v>#N/A</v>
      </c>
      <c r="H1270" s="3" t="e">
        <f t="shared" si="156"/>
        <v>#N/A</v>
      </c>
      <c r="I1270" s="3" t="e">
        <f t="shared" si="157"/>
        <v>#N/A</v>
      </c>
      <c r="J1270" s="3">
        <v>406421.45905303798</v>
      </c>
      <c r="K1270" s="3">
        <v>59685</v>
      </c>
      <c r="L1270" s="3" t="e">
        <v>#N/A</v>
      </c>
      <c r="M1270" s="3" t="e">
        <v>#N/A</v>
      </c>
      <c r="N1270" s="3" t="e">
        <v>#N/A</v>
      </c>
      <c r="O1270" s="3" t="e">
        <v>#N/A</v>
      </c>
      <c r="P1270" s="3">
        <f>E1270*(VLOOKUP(B1270,Price_data!A$1:B$190,2,FALSE))</f>
        <v>467.86911317397005</v>
      </c>
      <c r="Q1270" s="3" t="e">
        <f>G1270*(VLOOKUP(B1270,Price_data!A$1:B$190,2,FALSE))</f>
        <v>#N/A</v>
      </c>
      <c r="R1270" s="3" t="e">
        <f>I1270*(VLOOKUP(B1270,Price_data!A$1:B$190,2,FALSE))</f>
        <v>#N/A</v>
      </c>
      <c r="S1270" s="4" t="str">
        <f>(VLOOKUP(B1270,Price_data!A$1:C$190,3,FALSE))</f>
        <v>Open access</v>
      </c>
      <c r="T1270" s="2" t="str">
        <f>IF(C1270="Total", (VLOOKUP(B1270,Recommended_fish_intake!A$4:D$122,4,FALSE)), "NA")</f>
        <v>NA</v>
      </c>
      <c r="U1270" s="2" t="str">
        <f t="shared" si="151"/>
        <v>NA</v>
      </c>
    </row>
    <row r="1271" spans="1:21" ht="14.25" customHeight="1">
      <c r="A1271" s="2" t="s">
        <v>18</v>
      </c>
      <c r="B1271" s="2">
        <v>1972</v>
      </c>
      <c r="C1271" s="2" t="s">
        <v>42</v>
      </c>
      <c r="D1271" s="3">
        <f t="shared" si="152"/>
        <v>40.438935175777281</v>
      </c>
      <c r="E1271" s="3">
        <f t="shared" si="153"/>
        <v>1.224</v>
      </c>
      <c r="F1271" s="3" t="e">
        <f t="shared" si="154"/>
        <v>#N/A</v>
      </c>
      <c r="G1271" s="3" t="e">
        <f t="shared" si="155"/>
        <v>#N/A</v>
      </c>
      <c r="H1271" s="3" t="e">
        <f t="shared" si="156"/>
        <v>#N/A</v>
      </c>
      <c r="I1271" s="3" t="e">
        <f t="shared" si="157"/>
        <v>#N/A</v>
      </c>
      <c r="J1271" s="3">
        <v>40438.935175777282</v>
      </c>
      <c r="K1271" s="3">
        <v>1224</v>
      </c>
      <c r="L1271" s="3" t="e">
        <v>#N/A</v>
      </c>
      <c r="M1271" s="3" t="e">
        <v>#N/A</v>
      </c>
      <c r="N1271" s="3" t="e">
        <v>#N/A</v>
      </c>
      <c r="O1271" s="3" t="e">
        <v>#N/A</v>
      </c>
      <c r="P1271" s="3">
        <f>E1271*(VLOOKUP(B1271,Price_data!A$1:B$190,2,FALSE))</f>
        <v>9.5949031502879993</v>
      </c>
      <c r="Q1271" s="3" t="e">
        <f>G1271*(VLOOKUP(B1271,Price_data!A$1:B$190,2,FALSE))</f>
        <v>#N/A</v>
      </c>
      <c r="R1271" s="3" t="e">
        <f>I1271*(VLOOKUP(B1271,Price_data!A$1:B$190,2,FALSE))</f>
        <v>#N/A</v>
      </c>
      <c r="S1271" s="4" t="str">
        <f>(VLOOKUP(B1271,Price_data!A$1:C$190,3,FALSE))</f>
        <v>Open access</v>
      </c>
      <c r="T1271" s="2" t="str">
        <f>IF(C1271="Total", (VLOOKUP(B1271,Recommended_fish_intake!A$4:D$122,4,FALSE)), "NA")</f>
        <v>NA</v>
      </c>
      <c r="U1271" s="2" t="str">
        <f t="shared" si="151"/>
        <v>NA</v>
      </c>
    </row>
    <row r="1272" spans="1:21" ht="14.25" customHeight="1">
      <c r="A1272" s="2" t="s">
        <v>39</v>
      </c>
      <c r="B1272" s="2">
        <v>1972</v>
      </c>
      <c r="C1272" s="2" t="s">
        <v>41</v>
      </c>
      <c r="D1272" s="3">
        <f t="shared" si="152"/>
        <v>262.09103840682786</v>
      </c>
      <c r="E1272" s="3">
        <f t="shared" si="153"/>
        <v>31.923999999999999</v>
      </c>
      <c r="F1272" s="3" t="e">
        <f t="shared" si="154"/>
        <v>#N/A</v>
      </c>
      <c r="G1272" s="3" t="e">
        <f t="shared" si="155"/>
        <v>#N/A</v>
      </c>
      <c r="H1272" s="3" t="e">
        <f t="shared" si="156"/>
        <v>#N/A</v>
      </c>
      <c r="I1272" s="3" t="e">
        <f t="shared" si="157"/>
        <v>#N/A</v>
      </c>
      <c r="J1272" s="3">
        <v>262091.03840682787</v>
      </c>
      <c r="K1272" s="3">
        <v>31924</v>
      </c>
      <c r="L1272" s="3" t="e">
        <v>#N/A</v>
      </c>
      <c r="M1272" s="3" t="e">
        <v>#N/A</v>
      </c>
      <c r="N1272" s="3" t="e">
        <v>#N/A</v>
      </c>
      <c r="O1272" s="3" t="e">
        <v>#N/A</v>
      </c>
      <c r="P1272" s="3">
        <f>E1272*(VLOOKUP(B1272,Price_data!A$1:B$190,2,FALSE))</f>
        <v>250.25137922368799</v>
      </c>
      <c r="Q1272" s="3" t="e">
        <f>G1272*(VLOOKUP(B1272,Price_data!A$1:B$190,2,FALSE))</f>
        <v>#N/A</v>
      </c>
      <c r="R1272" s="3" t="e">
        <f>I1272*(VLOOKUP(B1272,Price_data!A$1:B$190,2,FALSE))</f>
        <v>#N/A</v>
      </c>
      <c r="S1272" s="4" t="str">
        <f>(VLOOKUP(B1272,Price_data!A$1:C$190,3,FALSE))</f>
        <v>Open access</v>
      </c>
      <c r="T1272" s="2" t="str">
        <f>IF(C1272="Total", (VLOOKUP(B1272,Recommended_fish_intake!A$4:D$122,4,FALSE)), "NA")</f>
        <v>NA</v>
      </c>
      <c r="U1272" s="2" t="str">
        <f t="shared" si="151"/>
        <v>NA</v>
      </c>
    </row>
    <row r="1273" spans="1:21" ht="14.25" customHeight="1">
      <c r="A1273" s="2" t="s">
        <v>39</v>
      </c>
      <c r="B1273" s="2">
        <v>1972</v>
      </c>
      <c r="C1273" s="2" t="s">
        <v>42</v>
      </c>
      <c r="D1273" s="3">
        <f t="shared" si="152"/>
        <v>178.31741515952041</v>
      </c>
      <c r="E1273" s="3">
        <f t="shared" si="153"/>
        <v>5.78</v>
      </c>
      <c r="F1273" s="3" t="e">
        <f t="shared" si="154"/>
        <v>#N/A</v>
      </c>
      <c r="G1273" s="3" t="e">
        <f t="shared" si="155"/>
        <v>#N/A</v>
      </c>
      <c r="H1273" s="3" t="e">
        <f t="shared" si="156"/>
        <v>#N/A</v>
      </c>
      <c r="I1273" s="3" t="e">
        <f t="shared" si="157"/>
        <v>#N/A</v>
      </c>
      <c r="J1273" s="3">
        <v>178317.4151595204</v>
      </c>
      <c r="K1273" s="3">
        <v>5780</v>
      </c>
      <c r="L1273" s="3" t="e">
        <v>#N/A</v>
      </c>
      <c r="M1273" s="3" t="e">
        <v>#N/A</v>
      </c>
      <c r="N1273" s="3" t="e">
        <v>#N/A</v>
      </c>
      <c r="O1273" s="3" t="e">
        <v>#N/A</v>
      </c>
      <c r="P1273" s="3">
        <f>E1273*(VLOOKUP(B1273,Price_data!A$1:B$190,2,FALSE))</f>
        <v>45.309264876360004</v>
      </c>
      <c r="Q1273" s="3" t="e">
        <f>G1273*(VLOOKUP(B1273,Price_data!A$1:B$190,2,FALSE))</f>
        <v>#N/A</v>
      </c>
      <c r="R1273" s="3" t="e">
        <f>I1273*(VLOOKUP(B1273,Price_data!A$1:B$190,2,FALSE))</f>
        <v>#N/A</v>
      </c>
      <c r="S1273" s="4" t="str">
        <f>(VLOOKUP(B1273,Price_data!A$1:C$190,3,FALSE))</f>
        <v>Open access</v>
      </c>
      <c r="T1273" s="2" t="str">
        <f>IF(C1273="Total", (VLOOKUP(B1273,Recommended_fish_intake!A$4:D$122,4,FALSE)), "NA")</f>
        <v>NA</v>
      </c>
      <c r="U1273" s="2" t="str">
        <f t="shared" si="151"/>
        <v>NA</v>
      </c>
    </row>
    <row r="1274" spans="1:21" ht="14.25" customHeight="1">
      <c r="A1274" s="2" t="s">
        <v>40</v>
      </c>
      <c r="B1274" s="2">
        <v>1972</v>
      </c>
      <c r="C1274" s="2" t="s">
        <v>41</v>
      </c>
      <c r="D1274" s="3">
        <f t="shared" si="152"/>
        <v>4.1658199552936397</v>
      </c>
      <c r="E1274" s="3">
        <f t="shared" si="153"/>
        <v>0.27700000000000002</v>
      </c>
      <c r="F1274" s="3" t="e">
        <f t="shared" si="154"/>
        <v>#N/A</v>
      </c>
      <c r="G1274" s="3" t="e">
        <f t="shared" si="155"/>
        <v>#N/A</v>
      </c>
      <c r="H1274" s="3" t="e">
        <f t="shared" si="156"/>
        <v>#N/A</v>
      </c>
      <c r="I1274" s="3" t="e">
        <f t="shared" si="157"/>
        <v>#N/A</v>
      </c>
      <c r="J1274" s="3">
        <v>4165.8199552936394</v>
      </c>
      <c r="K1274" s="3">
        <v>277</v>
      </c>
      <c r="L1274" s="3" t="e">
        <v>#N/A</v>
      </c>
      <c r="M1274" s="3" t="e">
        <v>#N/A</v>
      </c>
      <c r="N1274" s="3" t="e">
        <v>#N/A</v>
      </c>
      <c r="O1274" s="3" t="e">
        <v>#N/A</v>
      </c>
      <c r="P1274" s="3">
        <f>E1274*(VLOOKUP(B1274,Price_data!A$1:B$190,2,FALSE))</f>
        <v>2.1713955658740001</v>
      </c>
      <c r="Q1274" s="3" t="e">
        <f>G1274*(VLOOKUP(B1274,Price_data!A$1:B$190,2,FALSE))</f>
        <v>#N/A</v>
      </c>
      <c r="R1274" s="3" t="e">
        <f>I1274*(VLOOKUP(B1274,Price_data!A$1:B$190,2,FALSE))</f>
        <v>#N/A</v>
      </c>
      <c r="S1274" s="4" t="str">
        <f>(VLOOKUP(B1274,Price_data!A$1:C$190,3,FALSE))</f>
        <v>Open access</v>
      </c>
      <c r="T1274" s="2" t="str">
        <f>IF(C1274="Total", (VLOOKUP(B1274,Recommended_fish_intake!A$4:D$122,4,FALSE)), "NA")</f>
        <v>NA</v>
      </c>
      <c r="U1274" s="2" t="str">
        <f t="shared" si="151"/>
        <v>NA</v>
      </c>
    </row>
    <row r="1275" spans="1:21" ht="14.25" customHeight="1">
      <c r="A1275" s="2" t="s">
        <v>40</v>
      </c>
      <c r="B1275" s="2">
        <v>1972</v>
      </c>
      <c r="C1275" s="2" t="s">
        <v>42</v>
      </c>
      <c r="D1275" s="3">
        <f t="shared" si="152"/>
        <v>4.1150172729120094</v>
      </c>
      <c r="E1275" s="3">
        <f t="shared" si="153"/>
        <v>0.16800000000000001</v>
      </c>
      <c r="F1275" s="3" t="e">
        <f t="shared" si="154"/>
        <v>#N/A</v>
      </c>
      <c r="G1275" s="3" t="e">
        <f t="shared" si="155"/>
        <v>#N/A</v>
      </c>
      <c r="H1275" s="3" t="e">
        <f t="shared" si="156"/>
        <v>#N/A</v>
      </c>
      <c r="I1275" s="3" t="e">
        <f t="shared" si="157"/>
        <v>#N/A</v>
      </c>
      <c r="J1275" s="3">
        <v>4115.0172729120095</v>
      </c>
      <c r="K1275" s="3">
        <v>168</v>
      </c>
      <c r="L1275" s="3" t="e">
        <v>#N/A</v>
      </c>
      <c r="M1275" s="3" t="e">
        <v>#N/A</v>
      </c>
      <c r="N1275" s="3" t="e">
        <v>#N/A</v>
      </c>
      <c r="O1275" s="3" t="e">
        <v>#N/A</v>
      </c>
      <c r="P1275" s="3">
        <f>E1275*(VLOOKUP(B1275,Price_data!A$1:B$190,2,FALSE))</f>
        <v>1.3169474912160002</v>
      </c>
      <c r="Q1275" s="3" t="e">
        <f>G1275*(VLOOKUP(B1275,Price_data!A$1:B$190,2,FALSE))</f>
        <v>#N/A</v>
      </c>
      <c r="R1275" s="3" t="e">
        <f>I1275*(VLOOKUP(B1275,Price_data!A$1:B$190,2,FALSE))</f>
        <v>#N/A</v>
      </c>
      <c r="S1275" s="4" t="str">
        <f>(VLOOKUP(B1275,Price_data!A$1:C$190,3,FALSE))</f>
        <v>Open access</v>
      </c>
      <c r="T1275" s="2" t="str">
        <f>IF(C1275="Total", (VLOOKUP(B1275,Recommended_fish_intake!A$4:D$122,4,FALSE)), "NA")</f>
        <v>NA</v>
      </c>
      <c r="U1275" s="2" t="str">
        <f t="shared" si="151"/>
        <v>NA</v>
      </c>
    </row>
    <row r="1276" spans="1:21" ht="14.25" customHeight="1">
      <c r="A1276" s="2" t="s">
        <v>15</v>
      </c>
      <c r="B1276" s="2">
        <v>1972</v>
      </c>
      <c r="C1276" s="2" t="s">
        <v>41</v>
      </c>
      <c r="D1276" s="3">
        <f t="shared" si="152"/>
        <v>672.67831741515954</v>
      </c>
      <c r="E1276" s="3">
        <f t="shared" si="153"/>
        <v>91.885999999999996</v>
      </c>
      <c r="F1276" s="3" t="e">
        <f t="shared" si="154"/>
        <v>#N/A</v>
      </c>
      <c r="G1276" s="3" t="e">
        <f t="shared" si="155"/>
        <v>#N/A</v>
      </c>
      <c r="H1276" s="3" t="e">
        <f t="shared" si="156"/>
        <v>#N/A</v>
      </c>
      <c r="I1276" s="3" t="e">
        <f t="shared" si="157"/>
        <v>#N/A</v>
      </c>
      <c r="J1276" s="3">
        <v>672678.31741515954</v>
      </c>
      <c r="K1276" s="3">
        <v>91886</v>
      </c>
      <c r="L1276" s="3" t="e">
        <v>#N/A</v>
      </c>
      <c r="M1276" s="3" t="e">
        <v>#N/A</v>
      </c>
      <c r="N1276" s="3" t="e">
        <v>#N/A</v>
      </c>
      <c r="O1276" s="3" t="e">
        <v>#N/A</v>
      </c>
      <c r="P1276" s="3">
        <f>E1276*(VLOOKUP(B1276,Price_data!A$1:B$190,2,FALSE))</f>
        <v>720.29188796353196</v>
      </c>
      <c r="Q1276" s="3" t="e">
        <f>G1276*(VLOOKUP(B1276,Price_data!A$1:B$190,2,FALSE))</f>
        <v>#N/A</v>
      </c>
      <c r="R1276" s="3" t="e">
        <f>I1276*(VLOOKUP(B1276,Price_data!A$1:B$190,2,FALSE))</f>
        <v>#N/A</v>
      </c>
      <c r="S1276" s="4" t="str">
        <f>(VLOOKUP(B1276,Price_data!A$1:C$190,3,FALSE))</f>
        <v>Open access</v>
      </c>
      <c r="T1276" s="2" t="str">
        <f>IF(C1276="Total", (VLOOKUP(B1276,Recommended_fish_intake!A$4:D$122,4,FALSE)), "NA")</f>
        <v>NA</v>
      </c>
      <c r="U1276" s="2" t="str">
        <f t="shared" si="151"/>
        <v>NA</v>
      </c>
    </row>
    <row r="1277" spans="1:21" ht="14.25" customHeight="1">
      <c r="A1277" s="2" t="s">
        <v>15</v>
      </c>
      <c r="B1277" s="2">
        <v>1972</v>
      </c>
      <c r="C1277" s="2" t="s">
        <v>42</v>
      </c>
      <c r="D1277" s="3">
        <f t="shared" si="152"/>
        <v>222.87136760820971</v>
      </c>
      <c r="E1277" s="3">
        <f t="shared" si="153"/>
        <v>7.1719999999999997</v>
      </c>
      <c r="F1277" s="3" t="e">
        <f t="shared" si="154"/>
        <v>#N/A</v>
      </c>
      <c r="G1277" s="3" t="e">
        <f t="shared" si="155"/>
        <v>#N/A</v>
      </c>
      <c r="H1277" s="3" t="e">
        <f t="shared" si="156"/>
        <v>#N/A</v>
      </c>
      <c r="I1277" s="3" t="e">
        <f t="shared" si="157"/>
        <v>#N/A</v>
      </c>
      <c r="J1277" s="3">
        <v>222871.36760820972</v>
      </c>
      <c r="K1277" s="3">
        <v>7172</v>
      </c>
      <c r="L1277" s="3" t="e">
        <v>#N/A</v>
      </c>
      <c r="M1277" s="3" t="e">
        <v>#N/A</v>
      </c>
      <c r="N1277" s="3" t="e">
        <v>#N/A</v>
      </c>
      <c r="O1277" s="3" t="e">
        <v>#N/A</v>
      </c>
      <c r="P1277" s="3">
        <f>E1277*(VLOOKUP(B1277,Price_data!A$1:B$190,2,FALSE))</f>
        <v>56.221115517864</v>
      </c>
      <c r="Q1277" s="3" t="e">
        <f>G1277*(VLOOKUP(B1277,Price_data!A$1:B$190,2,FALSE))</f>
        <v>#N/A</v>
      </c>
      <c r="R1277" s="3" t="e">
        <f>I1277*(VLOOKUP(B1277,Price_data!A$1:B$190,2,FALSE))</f>
        <v>#N/A</v>
      </c>
      <c r="S1277" s="4" t="str">
        <f>(VLOOKUP(B1277,Price_data!A$1:C$190,3,FALSE))</f>
        <v>Open access</v>
      </c>
      <c r="T1277" s="2" t="str">
        <f>IF(C1277="Total", (VLOOKUP(B1277,Recommended_fish_intake!A$4:D$122,4,FALSE)), "NA")</f>
        <v>NA</v>
      </c>
      <c r="U1277" s="2" t="str">
        <f t="shared" si="151"/>
        <v>NA</v>
      </c>
    </row>
    <row r="1278" spans="1:21" ht="14.25" customHeight="1">
      <c r="A1278" s="2" t="s">
        <v>18</v>
      </c>
      <c r="B1278" s="2">
        <v>1972</v>
      </c>
      <c r="C1278" s="2" t="s">
        <v>20</v>
      </c>
      <c r="D1278" s="3">
        <f t="shared" si="152"/>
        <v>6.9599674862832757</v>
      </c>
      <c r="E1278" s="3">
        <f t="shared" si="153"/>
        <v>0.375</v>
      </c>
      <c r="F1278" s="3" t="e">
        <f t="shared" si="154"/>
        <v>#N/A</v>
      </c>
      <c r="G1278" s="3" t="e">
        <f t="shared" si="155"/>
        <v>#N/A</v>
      </c>
      <c r="H1278" s="3" t="e">
        <f t="shared" si="156"/>
        <v>#N/A</v>
      </c>
      <c r="I1278" s="3" t="e">
        <f t="shared" si="157"/>
        <v>#N/A</v>
      </c>
      <c r="J1278" s="2">
        <v>6959.9674862832753</v>
      </c>
      <c r="K1278" s="2">
        <v>375</v>
      </c>
      <c r="L1278" s="2" t="e">
        <v>#N/A</v>
      </c>
      <c r="M1278" s="2" t="e">
        <v>#N/A</v>
      </c>
      <c r="N1278" s="2" t="e">
        <v>#N/A</v>
      </c>
      <c r="O1278" s="2" t="e">
        <v>#N/A</v>
      </c>
      <c r="P1278" s="3">
        <f>E1278*(VLOOKUP(B1278,Price_data!A$1:B$190,2,FALSE))</f>
        <v>2.9396149357499999</v>
      </c>
      <c r="Q1278" s="3" t="e">
        <f>G1278*(VLOOKUP(B1278,Price_data!A$1:B$190,2,FALSE))</f>
        <v>#N/A</v>
      </c>
      <c r="R1278" s="3" t="e">
        <f>I1278*(VLOOKUP(B1278,Price_data!A$1:B$190,2,FALSE))</f>
        <v>#N/A</v>
      </c>
      <c r="S1278" s="4" t="str">
        <f>(VLOOKUP(B1278,Price_data!A$1:C$190,3,FALSE))</f>
        <v>Open access</v>
      </c>
      <c r="T1278" s="2" t="str">
        <f>IF(C1278="Total", (VLOOKUP(B1278,Recommended_fish_intake!A$4:D$122,4,FALSE)), "NA")</f>
        <v>NA</v>
      </c>
      <c r="U1278" s="2" t="str">
        <f t="shared" si="151"/>
        <v>NA</v>
      </c>
    </row>
    <row r="1279" spans="1:21" ht="14.25" customHeight="1">
      <c r="A1279" s="2" t="s">
        <v>39</v>
      </c>
      <c r="B1279" s="2">
        <v>1972</v>
      </c>
      <c r="C1279" s="2" t="s">
        <v>20</v>
      </c>
      <c r="D1279" s="3">
        <f t="shared" si="152"/>
        <v>1.7780938833570412</v>
      </c>
      <c r="E1279" s="3">
        <f t="shared" si="153"/>
        <v>5.5E-2</v>
      </c>
      <c r="F1279" s="3" t="e">
        <f t="shared" si="154"/>
        <v>#N/A</v>
      </c>
      <c r="G1279" s="3" t="e">
        <f t="shared" si="155"/>
        <v>#N/A</v>
      </c>
      <c r="H1279" s="3" t="e">
        <f t="shared" si="156"/>
        <v>#N/A</v>
      </c>
      <c r="I1279" s="3" t="e">
        <f t="shared" si="157"/>
        <v>#N/A</v>
      </c>
      <c r="J1279" s="2">
        <v>1778.0938833570412</v>
      </c>
      <c r="K1279" s="2">
        <v>55</v>
      </c>
      <c r="L1279" s="2" t="e">
        <v>#N/A</v>
      </c>
      <c r="M1279" s="2" t="e">
        <v>#N/A</v>
      </c>
      <c r="N1279" s="2" t="e">
        <v>#N/A</v>
      </c>
      <c r="O1279" s="2" t="e">
        <v>#N/A</v>
      </c>
      <c r="P1279" s="3">
        <f>E1279*(VLOOKUP(B1279,Price_data!A$1:B$190,2,FALSE))</f>
        <v>0.43114352390999999</v>
      </c>
      <c r="Q1279" s="3" t="e">
        <f>G1279*(VLOOKUP(B1279,Price_data!A$1:B$190,2,FALSE))</f>
        <v>#N/A</v>
      </c>
      <c r="R1279" s="3" t="e">
        <f>I1279*(VLOOKUP(B1279,Price_data!A$1:B$190,2,FALSE))</f>
        <v>#N/A</v>
      </c>
      <c r="S1279" s="4" t="str">
        <f>(VLOOKUP(B1279,Price_data!A$1:C$190,3,FALSE))</f>
        <v>Open access</v>
      </c>
      <c r="T1279" s="2" t="str">
        <f>IF(C1279="Total", (VLOOKUP(B1279,Recommended_fish_intake!A$4:D$122,4,FALSE)), "NA")</f>
        <v>NA</v>
      </c>
      <c r="U1279" s="2" t="str">
        <f t="shared" si="151"/>
        <v>NA</v>
      </c>
    </row>
    <row r="1280" spans="1:21" ht="14.25" customHeight="1">
      <c r="A1280" s="2" t="s">
        <v>40</v>
      </c>
      <c r="B1280" s="2">
        <v>1972</v>
      </c>
      <c r="C1280" s="2" t="s">
        <v>20</v>
      </c>
      <c r="D1280" s="3">
        <f t="shared" si="152"/>
        <v>5.080268238162975E-2</v>
      </c>
      <c r="E1280" s="3">
        <f t="shared" si="153"/>
        <v>1E-3</v>
      </c>
      <c r="F1280" s="3" t="e">
        <f t="shared" si="154"/>
        <v>#N/A</v>
      </c>
      <c r="G1280" s="3" t="e">
        <f t="shared" si="155"/>
        <v>#N/A</v>
      </c>
      <c r="H1280" s="3" t="e">
        <f t="shared" si="156"/>
        <v>#N/A</v>
      </c>
      <c r="I1280" s="3" t="e">
        <f t="shared" si="157"/>
        <v>#N/A</v>
      </c>
      <c r="J1280" s="2">
        <v>50.802682381629751</v>
      </c>
      <c r="K1280" s="2">
        <v>1</v>
      </c>
      <c r="L1280" s="2" t="e">
        <v>#N/A</v>
      </c>
      <c r="M1280" s="2" t="e">
        <v>#N/A</v>
      </c>
      <c r="N1280" s="2" t="e">
        <v>#N/A</v>
      </c>
      <c r="O1280" s="2" t="e">
        <v>#N/A</v>
      </c>
      <c r="P1280" s="3">
        <f>E1280*(VLOOKUP(B1280,Price_data!A$1:B$190,2,FALSE))</f>
        <v>7.838973162000001E-3</v>
      </c>
      <c r="Q1280" s="3" t="e">
        <f>G1280*(VLOOKUP(B1280,Price_data!A$1:B$190,2,FALSE))</f>
        <v>#N/A</v>
      </c>
      <c r="R1280" s="3" t="e">
        <f>I1280*(VLOOKUP(B1280,Price_data!A$1:B$190,2,FALSE))</f>
        <v>#N/A</v>
      </c>
      <c r="S1280" s="4" t="str">
        <f>(VLOOKUP(B1280,Price_data!A$1:C$190,3,FALSE))</f>
        <v>Open access</v>
      </c>
      <c r="T1280" s="2" t="str">
        <f>IF(C1280="Total", (VLOOKUP(B1280,Recommended_fish_intake!A$4:D$122,4,FALSE)), "NA")</f>
        <v>NA</v>
      </c>
      <c r="U1280" s="2" t="str">
        <f t="shared" si="151"/>
        <v>NA</v>
      </c>
    </row>
    <row r="1281" spans="1:21" ht="14.25" customHeight="1">
      <c r="A1281" s="2" t="s">
        <v>15</v>
      </c>
      <c r="B1281" s="2">
        <v>1972</v>
      </c>
      <c r="C1281" s="2" t="s">
        <v>20</v>
      </c>
      <c r="D1281" s="3">
        <f t="shared" si="152"/>
        <v>8.7888640520219461</v>
      </c>
      <c r="E1281" s="3">
        <f t="shared" si="153"/>
        <v>0.43099999999999999</v>
      </c>
      <c r="F1281" s="3" t="e">
        <f t="shared" si="154"/>
        <v>#N/A</v>
      </c>
      <c r="G1281" s="3" t="e">
        <f t="shared" si="155"/>
        <v>#N/A</v>
      </c>
      <c r="H1281" s="3">
        <f t="shared" si="156"/>
        <v>3.3529770371875633</v>
      </c>
      <c r="I1281" s="3">
        <f t="shared" si="157"/>
        <v>0.64</v>
      </c>
      <c r="J1281" s="2">
        <v>8788.8640520219469</v>
      </c>
      <c r="K1281" s="2">
        <v>431</v>
      </c>
      <c r="L1281" s="2" t="e">
        <v>#N/A</v>
      </c>
      <c r="M1281" s="2" t="e">
        <v>#N/A</v>
      </c>
      <c r="N1281" s="2">
        <v>3352.9770371875634</v>
      </c>
      <c r="O1281" s="2">
        <v>640</v>
      </c>
      <c r="P1281" s="3">
        <f>E1281*(VLOOKUP(B1281,Price_data!A$1:B$190,2,FALSE))</f>
        <v>3.3785974328220001</v>
      </c>
      <c r="Q1281" s="3" t="e">
        <f>G1281*(VLOOKUP(B1281,Price_data!A$1:B$190,2,FALSE))</f>
        <v>#N/A</v>
      </c>
      <c r="R1281" s="3">
        <f>I1281*(VLOOKUP(B1281,Price_data!A$1:B$190,2,FALSE))</f>
        <v>5.01694282368</v>
      </c>
      <c r="S1281" s="4" t="str">
        <f>(VLOOKUP(B1281,Price_data!A$1:C$190,3,FALSE))</f>
        <v>Open access</v>
      </c>
      <c r="T1281" s="2" t="str">
        <f>IF(C1281="Total", (VLOOKUP(B1281,Recommended_fish_intake!A$4:D$122,4,FALSE)), "NA")</f>
        <v>NA</v>
      </c>
      <c r="U1281" s="2" t="str">
        <f t="shared" si="151"/>
        <v>NA</v>
      </c>
    </row>
    <row r="1282" spans="1:21" ht="14.25" customHeight="1">
      <c r="A1282" s="2" t="s">
        <v>15</v>
      </c>
      <c r="B1282" s="2">
        <v>1972</v>
      </c>
      <c r="C1282" s="2" t="s">
        <v>29</v>
      </c>
      <c r="D1282" s="3" t="e">
        <f t="shared" si="152"/>
        <v>#N/A</v>
      </c>
      <c r="E1282" s="3" t="e">
        <f t="shared" si="153"/>
        <v>#N/A</v>
      </c>
      <c r="F1282" s="3" t="e">
        <f t="shared" si="154"/>
        <v>#N/A</v>
      </c>
      <c r="G1282" s="3" t="e">
        <f t="shared" si="155"/>
        <v>#N/A</v>
      </c>
      <c r="H1282" s="3">
        <f t="shared" si="156"/>
        <v>39.321276163381427</v>
      </c>
      <c r="I1282" s="3">
        <f t="shared" si="157"/>
        <v>37.070999999999998</v>
      </c>
      <c r="J1282" s="3" t="e">
        <v>#N/A</v>
      </c>
      <c r="K1282" s="3" t="e">
        <v>#N/A</v>
      </c>
      <c r="L1282" s="3" t="e">
        <v>#N/A</v>
      </c>
      <c r="M1282" s="3" t="e">
        <v>#N/A</v>
      </c>
      <c r="N1282" s="3">
        <v>39321.27616338143</v>
      </c>
      <c r="O1282" s="3">
        <v>37071</v>
      </c>
      <c r="P1282" s="3" t="e">
        <f>E1282*(VLOOKUP(B1282,Price_data!A$1:B$190,2,FALSE))</f>
        <v>#N/A</v>
      </c>
      <c r="Q1282" s="3" t="e">
        <f>G1282*(VLOOKUP(B1282,Price_data!A$1:B$190,2,FALSE))</f>
        <v>#N/A</v>
      </c>
      <c r="R1282" s="3">
        <f>I1282*(VLOOKUP(B1282,Price_data!A$1:B$190,2,FALSE))</f>
        <v>290.598574088502</v>
      </c>
      <c r="S1282" s="4" t="str">
        <f>(VLOOKUP(B1282,Price_data!A$1:C$190,3,FALSE))</f>
        <v>Open access</v>
      </c>
      <c r="T1282" s="2" t="str">
        <f>IF(C1282="Total", (VLOOKUP(B1282,Recommended_fish_intake!A$4:D$122,4,FALSE)), "NA")</f>
        <v>NA</v>
      </c>
      <c r="U1282" s="2" t="str">
        <f t="shared" ref="U1282:U1345" si="158">IF(C1282="Wet fish", D1282*0.49, IF(C1282="Shellfish", D1282*0.28, "NA"))</f>
        <v>NA</v>
      </c>
    </row>
    <row r="1283" spans="1:21" ht="14.25" customHeight="1">
      <c r="A1283" s="2" t="s">
        <v>15</v>
      </c>
      <c r="B1283" s="2">
        <v>1972</v>
      </c>
      <c r="C1283" s="2" t="s">
        <v>43</v>
      </c>
      <c r="D1283" s="3" t="e">
        <f t="shared" si="152"/>
        <v>#N/A</v>
      </c>
      <c r="E1283" s="3" t="e">
        <f t="shared" si="153"/>
        <v>#N/A</v>
      </c>
      <c r="F1283" s="3" t="e">
        <f t="shared" si="154"/>
        <v>#N/A</v>
      </c>
      <c r="G1283" s="3" t="e">
        <f t="shared" si="155"/>
        <v>#N/A</v>
      </c>
      <c r="H1283" s="3">
        <f t="shared" si="156"/>
        <v>3.3021743548059335</v>
      </c>
      <c r="I1283" s="3">
        <f t="shared" si="157"/>
        <v>1.903</v>
      </c>
      <c r="J1283" s="3" t="e">
        <v>#N/A</v>
      </c>
      <c r="K1283" s="3" t="e">
        <v>#N/A</v>
      </c>
      <c r="L1283" s="3" t="e">
        <v>#N/A</v>
      </c>
      <c r="M1283" s="3" t="e">
        <v>#N/A</v>
      </c>
      <c r="N1283" s="3">
        <v>3302.1743548059335</v>
      </c>
      <c r="O1283" s="3">
        <v>1903</v>
      </c>
      <c r="P1283" s="3" t="e">
        <f>E1283*(VLOOKUP(B1283,Price_data!A$1:B$190,2,FALSE))</f>
        <v>#N/A</v>
      </c>
      <c r="Q1283" s="3" t="e">
        <f>G1283*(VLOOKUP(B1283,Price_data!A$1:B$190,2,FALSE))</f>
        <v>#N/A</v>
      </c>
      <c r="R1283" s="3">
        <f>I1283*(VLOOKUP(B1283,Price_data!A$1:B$190,2,FALSE))</f>
        <v>14.917565927286001</v>
      </c>
      <c r="S1283" s="4" t="str">
        <f>(VLOOKUP(B1283,Price_data!A$1:C$190,3,FALSE))</f>
        <v>Open access</v>
      </c>
      <c r="T1283" s="2" t="str">
        <f>IF(C1283="Total", (VLOOKUP(B1283,Recommended_fish_intake!A$4:D$122,4,FALSE)), "NA")</f>
        <v>NA</v>
      </c>
      <c r="U1283" s="2" t="str">
        <f t="shared" si="158"/>
        <v>NA</v>
      </c>
    </row>
    <row r="1284" spans="1:21" ht="14.25" customHeight="1">
      <c r="A1284" s="2" t="s">
        <v>18</v>
      </c>
      <c r="B1284" s="2">
        <v>1973</v>
      </c>
      <c r="C1284" s="2" t="s">
        <v>16</v>
      </c>
      <c r="D1284" s="3">
        <f t="shared" si="152"/>
        <v>497.20585246901032</v>
      </c>
      <c r="E1284" s="3">
        <f t="shared" si="153"/>
        <v>89.534000000000006</v>
      </c>
      <c r="F1284" s="3" t="e">
        <f t="shared" si="154"/>
        <v>#N/A</v>
      </c>
      <c r="G1284" s="3" t="e">
        <f t="shared" si="155"/>
        <v>#N/A</v>
      </c>
      <c r="H1284" s="3" t="e">
        <f t="shared" si="156"/>
        <v>#N/A</v>
      </c>
      <c r="I1284" s="3" t="e">
        <f t="shared" si="157"/>
        <v>#N/A</v>
      </c>
      <c r="J1284" s="3">
        <v>497205.85246901034</v>
      </c>
      <c r="K1284" s="3">
        <v>89534</v>
      </c>
      <c r="L1284" s="3" t="e">
        <v>#N/A</v>
      </c>
      <c r="M1284" s="3" t="e">
        <v>#N/A</v>
      </c>
      <c r="N1284" s="3" t="e">
        <v>#N/A</v>
      </c>
      <c r="O1284" s="3" t="e">
        <v>#N/A</v>
      </c>
      <c r="P1284" s="3">
        <f>E1284*(VLOOKUP(B1284,Price_data!A$1:B$190,2,FALSE))</f>
        <v>643.30418396009213</v>
      </c>
      <c r="Q1284" s="3" t="e">
        <f>G1284*(VLOOKUP(B1284,Price_data!A$1:B$190,2,FALSE))</f>
        <v>#N/A</v>
      </c>
      <c r="R1284" s="3" t="e">
        <f>I1284*(VLOOKUP(B1284,Price_data!A$1:B$190,2,FALSE))</f>
        <v>#N/A</v>
      </c>
      <c r="S1284" s="4" t="str">
        <f>(VLOOKUP(B1284,Price_data!A$1:C$190,3,FALSE))</f>
        <v>Open access</v>
      </c>
      <c r="T1284" s="2">
        <f>IF(C1284="Total", (VLOOKUP(B1284,Recommended_fish_intake!A$4:D$122,4,FALSE)), "NA")</f>
        <v>722.64226583640004</v>
      </c>
      <c r="U1284" s="2" t="str">
        <f t="shared" si="158"/>
        <v>NA</v>
      </c>
    </row>
    <row r="1285" spans="1:21" ht="14.25" customHeight="1">
      <c r="A1285" s="2" t="s">
        <v>39</v>
      </c>
      <c r="B1285" s="2">
        <v>1973</v>
      </c>
      <c r="C1285" s="2" t="s">
        <v>16</v>
      </c>
      <c r="D1285" s="3">
        <f t="shared" si="152"/>
        <v>500.8636456004877</v>
      </c>
      <c r="E1285" s="3">
        <f t="shared" si="153"/>
        <v>60.832000000000001</v>
      </c>
      <c r="F1285" s="3" t="e">
        <f t="shared" si="154"/>
        <v>#N/A</v>
      </c>
      <c r="G1285" s="3" t="e">
        <f t="shared" si="155"/>
        <v>#N/A</v>
      </c>
      <c r="H1285" s="3" t="e">
        <f t="shared" si="156"/>
        <v>#N/A</v>
      </c>
      <c r="I1285" s="3" t="e">
        <f t="shared" si="157"/>
        <v>#N/A</v>
      </c>
      <c r="J1285" s="3">
        <v>500863.64560048771</v>
      </c>
      <c r="K1285" s="3">
        <v>60832</v>
      </c>
      <c r="L1285" s="3" t="e">
        <v>#N/A</v>
      </c>
      <c r="M1285" s="3" t="e">
        <v>#N/A</v>
      </c>
      <c r="N1285" s="3" t="e">
        <v>#N/A</v>
      </c>
      <c r="O1285" s="3" t="e">
        <v>#N/A</v>
      </c>
      <c r="P1285" s="3">
        <f>E1285*(VLOOKUP(B1285,Price_data!A$1:B$190,2,FALSE))</f>
        <v>437.07954652601603</v>
      </c>
      <c r="Q1285" s="3" t="e">
        <f>G1285*(VLOOKUP(B1285,Price_data!A$1:B$190,2,FALSE))</f>
        <v>#N/A</v>
      </c>
      <c r="R1285" s="3" t="e">
        <f>I1285*(VLOOKUP(B1285,Price_data!A$1:B$190,2,FALSE))</f>
        <v>#N/A</v>
      </c>
      <c r="S1285" s="4" t="str">
        <f>(VLOOKUP(B1285,Price_data!A$1:C$190,3,FALSE))</f>
        <v>Open access</v>
      </c>
      <c r="T1285" s="2">
        <f>IF(C1285="Total", (VLOOKUP(B1285,Recommended_fish_intake!A$4:D$122,4,FALSE)), "NA")</f>
        <v>722.64226583640004</v>
      </c>
      <c r="U1285" s="2" t="str">
        <f t="shared" si="158"/>
        <v>NA</v>
      </c>
    </row>
    <row r="1286" spans="1:21" ht="14.25" customHeight="1">
      <c r="A1286" s="2" t="s">
        <v>40</v>
      </c>
      <c r="B1286" s="2">
        <v>1973</v>
      </c>
      <c r="C1286" s="2" t="s">
        <v>16</v>
      </c>
      <c r="D1286" s="3">
        <f t="shared" si="152"/>
        <v>15.291607396870553</v>
      </c>
      <c r="E1286" s="3">
        <f t="shared" si="153"/>
        <v>1.8680000000000001</v>
      </c>
      <c r="F1286" s="3" t="e">
        <f t="shared" si="154"/>
        <v>#N/A</v>
      </c>
      <c r="G1286" s="3" t="e">
        <f t="shared" si="155"/>
        <v>#N/A</v>
      </c>
      <c r="H1286" s="3" t="e">
        <f t="shared" si="156"/>
        <v>#N/A</v>
      </c>
      <c r="I1286" s="3" t="e">
        <f t="shared" si="157"/>
        <v>#N/A</v>
      </c>
      <c r="J1286" s="3">
        <v>15291.607396870553</v>
      </c>
      <c r="K1286" s="3">
        <v>1868</v>
      </c>
      <c r="L1286" s="3" t="e">
        <v>#N/A</v>
      </c>
      <c r="M1286" s="3" t="e">
        <v>#N/A</v>
      </c>
      <c r="N1286" s="3" t="e">
        <v>#N/A</v>
      </c>
      <c r="O1286" s="3" t="e">
        <v>#N/A</v>
      </c>
      <c r="P1286" s="3">
        <f>E1286*(VLOOKUP(B1286,Price_data!A$1:B$190,2,FALSE))</f>
        <v>13.421629946584002</v>
      </c>
      <c r="Q1286" s="3" t="e">
        <f>G1286*(VLOOKUP(B1286,Price_data!A$1:B$190,2,FALSE))</f>
        <v>#N/A</v>
      </c>
      <c r="R1286" s="3" t="e">
        <f>I1286*(VLOOKUP(B1286,Price_data!A$1:B$190,2,FALSE))</f>
        <v>#N/A</v>
      </c>
      <c r="S1286" s="4" t="str">
        <f>(VLOOKUP(B1286,Price_data!A$1:C$190,3,FALSE))</f>
        <v>Open access</v>
      </c>
      <c r="T1286" s="2">
        <f>IF(C1286="Total", (VLOOKUP(B1286,Recommended_fish_intake!A$4:D$122,4,FALSE)), "NA")</f>
        <v>722.64226583640004</v>
      </c>
      <c r="U1286" s="2" t="str">
        <f t="shared" si="158"/>
        <v>NA</v>
      </c>
    </row>
    <row r="1287" spans="1:21" ht="14.25" customHeight="1">
      <c r="A1287" s="2" t="s">
        <v>15</v>
      </c>
      <c r="B1287" s="2">
        <v>1973</v>
      </c>
      <c r="C1287" s="2" t="s">
        <v>16</v>
      </c>
      <c r="D1287" s="3">
        <f t="shared" si="152"/>
        <v>1013.3611054663686</v>
      </c>
      <c r="E1287" s="3">
        <f t="shared" si="153"/>
        <v>152.23400000000001</v>
      </c>
      <c r="F1287" s="3">
        <f t="shared" si="154"/>
        <v>169.12212964844542</v>
      </c>
      <c r="G1287" s="3">
        <f t="shared" si="155"/>
        <v>43.122999999999998</v>
      </c>
      <c r="H1287" s="3">
        <f t="shared" si="156"/>
        <v>209.7134728713676</v>
      </c>
      <c r="I1287" s="3">
        <f t="shared" si="157"/>
        <v>130.63800000000001</v>
      </c>
      <c r="J1287" s="3">
        <v>1013361.1054663686</v>
      </c>
      <c r="K1287" s="3">
        <v>152234</v>
      </c>
      <c r="L1287" s="3">
        <v>169122.12964844544</v>
      </c>
      <c r="M1287" s="3">
        <v>43123</v>
      </c>
      <c r="N1287" s="3">
        <v>209713.47287136759</v>
      </c>
      <c r="O1287" s="3">
        <v>130638</v>
      </c>
      <c r="P1287" s="3">
        <f>E1287*(VLOOKUP(B1287,Price_data!A$1:B$190,2,FALSE))</f>
        <v>1093.8053604326922</v>
      </c>
      <c r="Q1287" s="3">
        <f>G1287*(VLOOKUP(B1287,Price_data!A$1:B$190,2,FALSE))</f>
        <v>309.83990802277401</v>
      </c>
      <c r="R1287" s="3">
        <f>I1287*(VLOOKUP(B1287,Price_data!A$1:B$190,2,FALSE))</f>
        <v>938.63752299884413</v>
      </c>
      <c r="S1287" s="4" t="str">
        <f>(VLOOKUP(B1287,Price_data!A$1:C$190,3,FALSE))</f>
        <v>Open access</v>
      </c>
      <c r="T1287" s="2">
        <f>IF(C1287="Total", (VLOOKUP(B1287,Recommended_fish_intake!A$4:D$122,4,FALSE)), "NA")</f>
        <v>722.64226583640004</v>
      </c>
      <c r="U1287" s="2" t="str">
        <f t="shared" si="158"/>
        <v>NA</v>
      </c>
    </row>
    <row r="1288" spans="1:21" ht="14.25" customHeight="1">
      <c r="A1288" s="2" t="s">
        <v>18</v>
      </c>
      <c r="B1288" s="2">
        <v>1973</v>
      </c>
      <c r="C1288" s="2" t="s">
        <v>22</v>
      </c>
      <c r="D1288" s="3">
        <f t="shared" si="152"/>
        <v>218.90875838244258</v>
      </c>
      <c r="E1288" s="3">
        <f t="shared" si="153"/>
        <v>51.692999999999998</v>
      </c>
      <c r="F1288" s="3" t="e">
        <f t="shared" si="154"/>
        <v>#N/A</v>
      </c>
      <c r="G1288" s="3" t="e">
        <f t="shared" si="155"/>
        <v>#N/A</v>
      </c>
      <c r="H1288" s="3" t="e">
        <f t="shared" si="156"/>
        <v>#N/A</v>
      </c>
      <c r="I1288" s="3" t="e">
        <f t="shared" si="157"/>
        <v>#N/A</v>
      </c>
      <c r="J1288" s="3">
        <v>218908.75838244258</v>
      </c>
      <c r="K1288" s="3">
        <v>51693</v>
      </c>
      <c r="L1288" s="3" t="e">
        <v>#N/A</v>
      </c>
      <c r="M1288" s="3" t="e">
        <v>#N/A</v>
      </c>
      <c r="N1288" s="3" t="e">
        <v>#N/A</v>
      </c>
      <c r="O1288" s="3" t="e">
        <v>#N/A</v>
      </c>
      <c r="P1288" s="3">
        <f>E1288*(VLOOKUP(B1288,Price_data!A$1:B$190,2,FALSE))</f>
        <v>371.41558716743401</v>
      </c>
      <c r="Q1288" s="3" t="e">
        <f>G1288*(VLOOKUP(B1288,Price_data!A$1:B$190,2,FALSE))</f>
        <v>#N/A</v>
      </c>
      <c r="R1288" s="3" t="e">
        <f>I1288*(VLOOKUP(B1288,Price_data!A$1:B$190,2,FALSE))</f>
        <v>#N/A</v>
      </c>
      <c r="S1288" s="4" t="str">
        <f>(VLOOKUP(B1288,Price_data!A$1:C$190,3,FALSE))</f>
        <v>Open access</v>
      </c>
      <c r="T1288" s="2" t="str">
        <f>IF(C1288="Total", (VLOOKUP(B1288,Recommended_fish_intake!A$4:D$122,4,FALSE)), "NA")</f>
        <v>NA</v>
      </c>
      <c r="U1288" s="2" t="str">
        <f t="shared" si="158"/>
        <v>NA</v>
      </c>
    </row>
    <row r="1289" spans="1:21" ht="14.25" customHeight="1">
      <c r="A1289" s="2" t="s">
        <v>18</v>
      </c>
      <c r="B1289" s="2">
        <v>1973</v>
      </c>
      <c r="C1289" s="2" t="s">
        <v>23</v>
      </c>
      <c r="D1289" s="3">
        <f t="shared" si="152"/>
        <v>50.19305019305019</v>
      </c>
      <c r="E1289" s="3">
        <f t="shared" si="153"/>
        <v>10.343999999999999</v>
      </c>
      <c r="F1289" s="3" t="e">
        <f t="shared" si="154"/>
        <v>#N/A</v>
      </c>
      <c r="G1289" s="3" t="e">
        <f t="shared" si="155"/>
        <v>#N/A</v>
      </c>
      <c r="H1289" s="3" t="e">
        <f t="shared" si="156"/>
        <v>#N/A</v>
      </c>
      <c r="I1289" s="3" t="e">
        <f t="shared" si="157"/>
        <v>#N/A</v>
      </c>
      <c r="J1289" s="3">
        <v>50193.050193050192</v>
      </c>
      <c r="K1289" s="3">
        <v>10344</v>
      </c>
      <c r="L1289" s="3" t="e">
        <v>#N/A</v>
      </c>
      <c r="M1289" s="3" t="e">
        <v>#N/A</v>
      </c>
      <c r="N1289" s="3" t="e">
        <v>#N/A</v>
      </c>
      <c r="O1289" s="3" t="e">
        <v>#N/A</v>
      </c>
      <c r="P1289" s="3">
        <f>E1289*(VLOOKUP(B1289,Price_data!A$1:B$190,2,FALSE))</f>
        <v>74.321916577872003</v>
      </c>
      <c r="Q1289" s="3" t="e">
        <f>G1289*(VLOOKUP(B1289,Price_data!A$1:B$190,2,FALSE))</f>
        <v>#N/A</v>
      </c>
      <c r="R1289" s="3" t="e">
        <f>I1289*(VLOOKUP(B1289,Price_data!A$1:B$190,2,FALSE))</f>
        <v>#N/A</v>
      </c>
      <c r="S1289" s="4" t="str">
        <f>(VLOOKUP(B1289,Price_data!A$1:C$190,3,FALSE))</f>
        <v>Open access</v>
      </c>
      <c r="T1289" s="2" t="str">
        <f>IF(C1289="Total", (VLOOKUP(B1289,Recommended_fish_intake!A$4:D$122,4,FALSE)), "NA")</f>
        <v>NA</v>
      </c>
      <c r="U1289" s="2" t="str">
        <f t="shared" si="158"/>
        <v>NA</v>
      </c>
    </row>
    <row r="1290" spans="1:21" ht="14.25" customHeight="1">
      <c r="A1290" s="2" t="s">
        <v>18</v>
      </c>
      <c r="B1290" s="2">
        <v>1973</v>
      </c>
      <c r="C1290" s="2" t="s">
        <v>25</v>
      </c>
      <c r="D1290" s="3">
        <f t="shared" si="152"/>
        <v>32.818532818532816</v>
      </c>
      <c r="E1290" s="3">
        <f t="shared" si="153"/>
        <v>8.6300000000000008</v>
      </c>
      <c r="F1290" s="3" t="e">
        <f t="shared" si="154"/>
        <v>#N/A</v>
      </c>
      <c r="G1290" s="3" t="e">
        <f t="shared" si="155"/>
        <v>#N/A</v>
      </c>
      <c r="H1290" s="3" t="e">
        <f t="shared" si="156"/>
        <v>#N/A</v>
      </c>
      <c r="I1290" s="3" t="e">
        <f t="shared" si="157"/>
        <v>#N/A</v>
      </c>
      <c r="J1290" s="3">
        <v>32818.532818532818</v>
      </c>
      <c r="K1290" s="3">
        <v>8630</v>
      </c>
      <c r="L1290" s="3" t="e">
        <v>#N/A</v>
      </c>
      <c r="M1290" s="3" t="e">
        <v>#N/A</v>
      </c>
      <c r="N1290" s="3" t="e">
        <v>#N/A</v>
      </c>
      <c r="O1290" s="3" t="e">
        <v>#N/A</v>
      </c>
      <c r="P1290" s="3">
        <f>E1290*(VLOOKUP(B1290,Price_data!A$1:B$190,2,FALSE))</f>
        <v>62.00678074894001</v>
      </c>
      <c r="Q1290" s="3" t="e">
        <f>G1290*(VLOOKUP(B1290,Price_data!A$1:B$190,2,FALSE))</f>
        <v>#N/A</v>
      </c>
      <c r="R1290" s="3" t="e">
        <f>I1290*(VLOOKUP(B1290,Price_data!A$1:B$190,2,FALSE))</f>
        <v>#N/A</v>
      </c>
      <c r="S1290" s="4" t="str">
        <f>(VLOOKUP(B1290,Price_data!A$1:C$190,3,FALSE))</f>
        <v>Open access</v>
      </c>
      <c r="T1290" s="2" t="str">
        <f>IF(C1290="Total", (VLOOKUP(B1290,Recommended_fish_intake!A$4:D$122,4,FALSE)), "NA")</f>
        <v>NA</v>
      </c>
      <c r="U1290" s="2" t="str">
        <f t="shared" si="158"/>
        <v>NA</v>
      </c>
    </row>
    <row r="1291" spans="1:21" ht="14.25" customHeight="1">
      <c r="A1291" s="2" t="s">
        <v>18</v>
      </c>
      <c r="B1291" s="2">
        <v>1973</v>
      </c>
      <c r="C1291" s="2" t="s">
        <v>38</v>
      </c>
      <c r="D1291" s="3">
        <f t="shared" si="152"/>
        <v>28.347896768949401</v>
      </c>
      <c r="E1291" s="3">
        <f t="shared" si="153"/>
        <v>2.6509999999999998</v>
      </c>
      <c r="F1291" s="3" t="e">
        <f t="shared" si="154"/>
        <v>#N/A</v>
      </c>
      <c r="G1291" s="3" t="e">
        <f t="shared" si="155"/>
        <v>#N/A</v>
      </c>
      <c r="H1291" s="3" t="e">
        <f t="shared" si="156"/>
        <v>#N/A</v>
      </c>
      <c r="I1291" s="3" t="e">
        <f t="shared" si="157"/>
        <v>#N/A</v>
      </c>
      <c r="J1291" s="3">
        <v>28347.896768949402</v>
      </c>
      <c r="K1291" s="3">
        <v>2651</v>
      </c>
      <c r="L1291" s="3" t="e">
        <v>#N/A</v>
      </c>
      <c r="M1291" s="3" t="e">
        <v>#N/A</v>
      </c>
      <c r="N1291" s="3" t="e">
        <v>#N/A</v>
      </c>
      <c r="O1291" s="3" t="e">
        <v>#N/A</v>
      </c>
      <c r="P1291" s="3">
        <f>E1291*(VLOOKUP(B1291,Price_data!A$1:B$190,2,FALSE))</f>
        <v>19.047505882437999</v>
      </c>
      <c r="Q1291" s="3" t="e">
        <f>G1291*(VLOOKUP(B1291,Price_data!A$1:B$190,2,FALSE))</f>
        <v>#N/A</v>
      </c>
      <c r="R1291" s="3" t="e">
        <f>I1291*(VLOOKUP(B1291,Price_data!A$1:B$190,2,FALSE))</f>
        <v>#N/A</v>
      </c>
      <c r="S1291" s="4" t="str">
        <f>(VLOOKUP(B1291,Price_data!A$1:C$190,3,FALSE))</f>
        <v>Open access</v>
      </c>
      <c r="T1291" s="2" t="str">
        <f>IF(C1291="Total", (VLOOKUP(B1291,Recommended_fish_intake!A$4:D$122,4,FALSE)), "NA")</f>
        <v>NA</v>
      </c>
      <c r="U1291" s="2" t="str">
        <f t="shared" si="158"/>
        <v>NA</v>
      </c>
    </row>
    <row r="1292" spans="1:21" ht="14.25" customHeight="1">
      <c r="A1292" s="2" t="s">
        <v>18</v>
      </c>
      <c r="B1292" s="2">
        <v>1973</v>
      </c>
      <c r="C1292" s="2" t="s">
        <v>24</v>
      </c>
      <c r="D1292" s="3">
        <f t="shared" si="152"/>
        <v>6.1471245681771993</v>
      </c>
      <c r="E1292" s="3">
        <f t="shared" si="153"/>
        <v>0.73399999999999999</v>
      </c>
      <c r="F1292" s="3" t="e">
        <f t="shared" si="154"/>
        <v>#N/A</v>
      </c>
      <c r="G1292" s="3" t="e">
        <f t="shared" si="155"/>
        <v>#N/A</v>
      </c>
      <c r="H1292" s="3" t="e">
        <f t="shared" si="156"/>
        <v>#N/A</v>
      </c>
      <c r="I1292" s="3" t="e">
        <f t="shared" si="157"/>
        <v>#N/A</v>
      </c>
      <c r="J1292" s="3">
        <v>6147.1245681771998</v>
      </c>
      <c r="K1292" s="3">
        <v>734</v>
      </c>
      <c r="L1292" s="3" t="e">
        <v>#N/A</v>
      </c>
      <c r="M1292" s="3" t="e">
        <v>#N/A</v>
      </c>
      <c r="N1292" s="3" t="e">
        <v>#N/A</v>
      </c>
      <c r="O1292" s="3" t="e">
        <v>#N/A</v>
      </c>
      <c r="P1292" s="3">
        <f>E1292*(VLOOKUP(B1292,Price_data!A$1:B$190,2,FALSE))</f>
        <v>5.2738096256920004</v>
      </c>
      <c r="Q1292" s="3" t="e">
        <f>G1292*(VLOOKUP(B1292,Price_data!A$1:B$190,2,FALSE))</f>
        <v>#N/A</v>
      </c>
      <c r="R1292" s="3" t="e">
        <f>I1292*(VLOOKUP(B1292,Price_data!A$1:B$190,2,FALSE))</f>
        <v>#N/A</v>
      </c>
      <c r="S1292" s="4" t="str">
        <f>(VLOOKUP(B1292,Price_data!A$1:C$190,3,FALSE))</f>
        <v>Open access</v>
      </c>
      <c r="T1292" s="2" t="str">
        <f>IF(C1292="Total", (VLOOKUP(B1292,Recommended_fish_intake!A$4:D$122,4,FALSE)), "NA")</f>
        <v>NA</v>
      </c>
      <c r="U1292" s="2" t="str">
        <f t="shared" si="158"/>
        <v>NA</v>
      </c>
    </row>
    <row r="1293" spans="1:21" ht="14.25" customHeight="1">
      <c r="A1293" s="2" t="s">
        <v>18</v>
      </c>
      <c r="B1293" s="2">
        <v>1973</v>
      </c>
      <c r="C1293" s="2" t="s">
        <v>19</v>
      </c>
      <c r="D1293" s="3">
        <f t="shared" si="152"/>
        <v>5.6899004267425317</v>
      </c>
      <c r="E1293" s="3">
        <f t="shared" si="153"/>
        <v>0.42799999999999999</v>
      </c>
      <c r="F1293" s="3" t="e">
        <f t="shared" si="154"/>
        <v>#N/A</v>
      </c>
      <c r="G1293" s="3" t="e">
        <f t="shared" si="155"/>
        <v>#N/A</v>
      </c>
      <c r="H1293" s="3" t="e">
        <f t="shared" si="156"/>
        <v>#N/A</v>
      </c>
      <c r="I1293" s="3" t="e">
        <f t="shared" si="157"/>
        <v>#N/A</v>
      </c>
      <c r="J1293" s="3">
        <v>5689.9004267425316</v>
      </c>
      <c r="K1293" s="3">
        <v>428</v>
      </c>
      <c r="L1293" s="3" t="e">
        <v>#N/A</v>
      </c>
      <c r="M1293" s="3" t="e">
        <v>#N/A</v>
      </c>
      <c r="N1293" s="3" t="e">
        <v>#N/A</v>
      </c>
      <c r="O1293" s="3" t="e">
        <v>#N/A</v>
      </c>
      <c r="P1293" s="3">
        <f>E1293*(VLOOKUP(B1293,Price_data!A$1:B$190,2,FALSE))</f>
        <v>3.075191443864</v>
      </c>
      <c r="Q1293" s="3" t="e">
        <f>G1293*(VLOOKUP(B1293,Price_data!A$1:B$190,2,FALSE))</f>
        <v>#N/A</v>
      </c>
      <c r="R1293" s="3" t="e">
        <f>I1293*(VLOOKUP(B1293,Price_data!A$1:B$190,2,FALSE))</f>
        <v>#N/A</v>
      </c>
      <c r="S1293" s="4" t="str">
        <f>(VLOOKUP(B1293,Price_data!A$1:C$190,3,FALSE))</f>
        <v>Open access</v>
      </c>
      <c r="T1293" s="2" t="str">
        <f>IF(C1293="Total", (VLOOKUP(B1293,Recommended_fish_intake!A$4:D$122,4,FALSE)), "NA")</f>
        <v>NA</v>
      </c>
      <c r="U1293" s="2" t="str">
        <f t="shared" si="158"/>
        <v>NA</v>
      </c>
    </row>
    <row r="1294" spans="1:21" ht="14.25" customHeight="1">
      <c r="A1294" s="2" t="s">
        <v>18</v>
      </c>
      <c r="B1294" s="2">
        <v>1973</v>
      </c>
      <c r="C1294" s="2" t="s">
        <v>21</v>
      </c>
      <c r="D1294" s="3">
        <f t="shared" si="152"/>
        <v>37.644787644787641</v>
      </c>
      <c r="E1294" s="3">
        <f t="shared" si="153"/>
        <v>0.82099999999999995</v>
      </c>
      <c r="F1294" s="3" t="e">
        <f t="shared" si="154"/>
        <v>#N/A</v>
      </c>
      <c r="G1294" s="3" t="e">
        <f t="shared" si="155"/>
        <v>#N/A</v>
      </c>
      <c r="H1294" s="3" t="e">
        <f t="shared" si="156"/>
        <v>#N/A</v>
      </c>
      <c r="I1294" s="3" t="e">
        <f t="shared" si="157"/>
        <v>#N/A</v>
      </c>
      <c r="J1294" s="3">
        <v>37644.787644787641</v>
      </c>
      <c r="K1294" s="3">
        <v>821</v>
      </c>
      <c r="L1294" s="3" t="e">
        <v>#N/A</v>
      </c>
      <c r="M1294" s="3" t="e">
        <v>#N/A</v>
      </c>
      <c r="N1294" s="3" t="e">
        <v>#N/A</v>
      </c>
      <c r="O1294" s="3" t="e">
        <v>#N/A</v>
      </c>
      <c r="P1294" s="3">
        <f>E1294*(VLOOKUP(B1294,Price_data!A$1:B$190,2,FALSE))</f>
        <v>5.8989069518979997</v>
      </c>
      <c r="Q1294" s="3" t="e">
        <f>G1294*(VLOOKUP(B1294,Price_data!A$1:B$190,2,FALSE))</f>
        <v>#N/A</v>
      </c>
      <c r="R1294" s="3" t="e">
        <f>I1294*(VLOOKUP(B1294,Price_data!A$1:B$190,2,FALSE))</f>
        <v>#N/A</v>
      </c>
      <c r="S1294" s="4" t="str">
        <f>(VLOOKUP(B1294,Price_data!A$1:C$190,3,FALSE))</f>
        <v>Open access</v>
      </c>
      <c r="T1294" s="2" t="str">
        <f>IF(C1294="Total", (VLOOKUP(B1294,Recommended_fish_intake!A$4:D$122,4,FALSE)), "NA")</f>
        <v>NA</v>
      </c>
      <c r="U1294" s="2" t="str">
        <f t="shared" si="158"/>
        <v>NA</v>
      </c>
    </row>
    <row r="1295" spans="1:21" ht="14.25" customHeight="1">
      <c r="A1295" s="2" t="s">
        <v>18</v>
      </c>
      <c r="B1295" s="2">
        <v>1973</v>
      </c>
      <c r="C1295" s="2" t="s">
        <v>36</v>
      </c>
      <c r="D1295" s="3">
        <f t="shared" si="152"/>
        <v>4.7754521438731965</v>
      </c>
      <c r="E1295" s="3">
        <f t="shared" si="153"/>
        <v>0.80200000000000005</v>
      </c>
      <c r="F1295" s="3" t="e">
        <f t="shared" si="154"/>
        <v>#N/A</v>
      </c>
      <c r="G1295" s="3" t="e">
        <f t="shared" si="155"/>
        <v>#N/A</v>
      </c>
      <c r="H1295" s="3" t="e">
        <f t="shared" si="156"/>
        <v>#N/A</v>
      </c>
      <c r="I1295" s="3" t="e">
        <f t="shared" si="157"/>
        <v>#N/A</v>
      </c>
      <c r="J1295" s="3">
        <v>4775.4521438731963</v>
      </c>
      <c r="K1295" s="3">
        <v>802</v>
      </c>
      <c r="L1295" s="3" t="e">
        <v>#N/A</v>
      </c>
      <c r="M1295" s="3" t="e">
        <v>#N/A</v>
      </c>
      <c r="N1295" s="3" t="e">
        <v>#N/A</v>
      </c>
      <c r="O1295" s="3" t="e">
        <v>#N/A</v>
      </c>
      <c r="P1295" s="3">
        <f>E1295*(VLOOKUP(B1295,Price_data!A$1:B$190,2,FALSE))</f>
        <v>5.7623914438760009</v>
      </c>
      <c r="Q1295" s="3" t="e">
        <f>G1295*(VLOOKUP(B1295,Price_data!A$1:B$190,2,FALSE))</f>
        <v>#N/A</v>
      </c>
      <c r="R1295" s="3" t="e">
        <f>I1295*(VLOOKUP(B1295,Price_data!A$1:B$190,2,FALSE))</f>
        <v>#N/A</v>
      </c>
      <c r="S1295" s="4" t="str">
        <f>(VLOOKUP(B1295,Price_data!A$1:C$190,3,FALSE))</f>
        <v>Open access</v>
      </c>
      <c r="T1295" s="2" t="str">
        <f>IF(C1295="Total", (VLOOKUP(B1295,Recommended_fish_intake!A$4:D$122,4,FALSE)), "NA")</f>
        <v>NA</v>
      </c>
      <c r="U1295" s="2" t="str">
        <f t="shared" si="158"/>
        <v>NA</v>
      </c>
    </row>
    <row r="1296" spans="1:21" ht="14.25" customHeight="1">
      <c r="A1296" s="2" t="s">
        <v>18</v>
      </c>
      <c r="B1296" s="2">
        <v>1973</v>
      </c>
      <c r="C1296" s="2" t="s">
        <v>34</v>
      </c>
      <c r="D1296" s="3">
        <f t="shared" si="152"/>
        <v>0.45722414143466772</v>
      </c>
      <c r="E1296" s="3">
        <f t="shared" si="153"/>
        <v>0.85399999999999998</v>
      </c>
      <c r="F1296" s="3" t="e">
        <f t="shared" si="154"/>
        <v>#N/A</v>
      </c>
      <c r="G1296" s="3" t="e">
        <f t="shared" si="155"/>
        <v>#N/A</v>
      </c>
      <c r="H1296" s="3" t="e">
        <f t="shared" si="156"/>
        <v>#N/A</v>
      </c>
      <c r="I1296" s="3" t="e">
        <f t="shared" si="157"/>
        <v>#N/A</v>
      </c>
      <c r="J1296" s="3">
        <v>457.22414143466773</v>
      </c>
      <c r="K1296" s="3">
        <v>854</v>
      </c>
      <c r="L1296" s="3" t="e">
        <v>#N/A</v>
      </c>
      <c r="M1296" s="3" t="e">
        <v>#N/A</v>
      </c>
      <c r="N1296" s="3" t="e">
        <v>#N/A</v>
      </c>
      <c r="O1296" s="3" t="e">
        <v>#N/A</v>
      </c>
      <c r="P1296" s="3">
        <f>E1296*(VLOOKUP(B1296,Price_data!A$1:B$190,2,FALSE))</f>
        <v>6.1360128342519999</v>
      </c>
      <c r="Q1296" s="3" t="e">
        <f>G1296*(VLOOKUP(B1296,Price_data!A$1:B$190,2,FALSE))</f>
        <v>#N/A</v>
      </c>
      <c r="R1296" s="3" t="e">
        <f>I1296*(VLOOKUP(B1296,Price_data!A$1:B$190,2,FALSE))</f>
        <v>#N/A</v>
      </c>
      <c r="S1296" s="4" t="str">
        <f>(VLOOKUP(B1296,Price_data!A$1:C$190,3,FALSE))</f>
        <v>Open access</v>
      </c>
      <c r="T1296" s="2" t="str">
        <f>IF(C1296="Total", (VLOOKUP(B1296,Recommended_fish_intake!A$4:D$122,4,FALSE)), "NA")</f>
        <v>NA</v>
      </c>
      <c r="U1296" s="2" t="str">
        <f t="shared" si="158"/>
        <v>NA</v>
      </c>
    </row>
    <row r="1297" spans="1:21" ht="14.25" customHeight="1">
      <c r="A1297" s="2" t="s">
        <v>18</v>
      </c>
      <c r="B1297" s="2">
        <v>1973</v>
      </c>
      <c r="C1297" s="2" t="s">
        <v>35</v>
      </c>
      <c r="D1297" s="3">
        <f t="shared" si="152"/>
        <v>0.81284291810607601</v>
      </c>
      <c r="E1297" s="3">
        <f t="shared" si="153"/>
        <v>0.40899999999999997</v>
      </c>
      <c r="F1297" s="3" t="e">
        <f t="shared" si="154"/>
        <v>#N/A</v>
      </c>
      <c r="G1297" s="3" t="e">
        <f t="shared" si="155"/>
        <v>#N/A</v>
      </c>
      <c r="H1297" s="3" t="e">
        <f t="shared" si="156"/>
        <v>#N/A</v>
      </c>
      <c r="I1297" s="3" t="e">
        <f t="shared" si="157"/>
        <v>#N/A</v>
      </c>
      <c r="J1297" s="3">
        <v>812.84291810607601</v>
      </c>
      <c r="K1297" s="3">
        <v>409</v>
      </c>
      <c r="L1297" s="3" t="e">
        <v>#N/A</v>
      </c>
      <c r="M1297" s="3" t="e">
        <v>#N/A</v>
      </c>
      <c r="N1297" s="3" t="e">
        <v>#N/A</v>
      </c>
      <c r="O1297" s="3" t="e">
        <v>#N/A</v>
      </c>
      <c r="P1297" s="3">
        <f>E1297*(VLOOKUP(B1297,Price_data!A$1:B$190,2,FALSE))</f>
        <v>2.9386759358419998</v>
      </c>
      <c r="Q1297" s="3" t="e">
        <f>G1297*(VLOOKUP(B1297,Price_data!A$1:B$190,2,FALSE))</f>
        <v>#N/A</v>
      </c>
      <c r="R1297" s="3" t="e">
        <f>I1297*(VLOOKUP(B1297,Price_data!A$1:B$190,2,FALSE))</f>
        <v>#N/A</v>
      </c>
      <c r="S1297" s="4" t="str">
        <f>(VLOOKUP(B1297,Price_data!A$1:C$190,3,FALSE))</f>
        <v>Open access</v>
      </c>
      <c r="T1297" s="2" t="str">
        <f>IF(C1297="Total", (VLOOKUP(B1297,Recommended_fish_intake!A$4:D$122,4,FALSE)), "NA")</f>
        <v>NA</v>
      </c>
      <c r="U1297" s="2" t="str">
        <f t="shared" si="158"/>
        <v>NA</v>
      </c>
    </row>
    <row r="1298" spans="1:21" ht="14.25" customHeight="1">
      <c r="A1298" s="2" t="s">
        <v>18</v>
      </c>
      <c r="B1298" s="2">
        <v>1973</v>
      </c>
      <c r="C1298" s="2" t="s">
        <v>30</v>
      </c>
      <c r="D1298" s="3">
        <f t="shared" si="152"/>
        <v>1.3208697419223734</v>
      </c>
      <c r="E1298" s="3">
        <f t="shared" si="153"/>
        <v>0.255</v>
      </c>
      <c r="F1298" s="3" t="e">
        <f t="shared" si="154"/>
        <v>#N/A</v>
      </c>
      <c r="G1298" s="3" t="e">
        <f t="shared" si="155"/>
        <v>#N/A</v>
      </c>
      <c r="H1298" s="3" t="e">
        <f t="shared" si="156"/>
        <v>#N/A</v>
      </c>
      <c r="I1298" s="3" t="e">
        <f t="shared" si="157"/>
        <v>#N/A</v>
      </c>
      <c r="J1298" s="3">
        <v>1320.8697419223734</v>
      </c>
      <c r="K1298" s="3">
        <v>255</v>
      </c>
      <c r="L1298" s="3" t="e">
        <v>#N/A</v>
      </c>
      <c r="M1298" s="3" t="e">
        <v>#N/A</v>
      </c>
      <c r="N1298" s="3" t="e">
        <v>#N/A</v>
      </c>
      <c r="O1298" s="3" t="e">
        <v>#N/A</v>
      </c>
      <c r="P1298" s="3">
        <f>E1298*(VLOOKUP(B1298,Price_data!A$1:B$190,2,FALSE))</f>
        <v>1.83218181819</v>
      </c>
      <c r="Q1298" s="3" t="e">
        <f>G1298*(VLOOKUP(B1298,Price_data!A$1:B$190,2,FALSE))</f>
        <v>#N/A</v>
      </c>
      <c r="R1298" s="3" t="e">
        <f>I1298*(VLOOKUP(B1298,Price_data!A$1:B$190,2,FALSE))</f>
        <v>#N/A</v>
      </c>
      <c r="S1298" s="4" t="str">
        <f>(VLOOKUP(B1298,Price_data!A$1:C$190,3,FALSE))</f>
        <v>Open access</v>
      </c>
      <c r="T1298" s="2" t="str">
        <f>IF(C1298="Total", (VLOOKUP(B1298,Recommended_fish_intake!A$4:D$122,4,FALSE)), "NA")</f>
        <v>NA</v>
      </c>
      <c r="U1298" s="2" t="str">
        <f t="shared" si="158"/>
        <v>NA</v>
      </c>
    </row>
    <row r="1299" spans="1:21" ht="14.25" customHeight="1">
      <c r="A1299" s="2" t="s">
        <v>18</v>
      </c>
      <c r="B1299" s="2">
        <v>1973</v>
      </c>
      <c r="C1299" s="2" t="s">
        <v>41</v>
      </c>
      <c r="D1299" s="3">
        <f t="shared" si="152"/>
        <v>395.60048770575082</v>
      </c>
      <c r="E1299" s="3">
        <f t="shared" si="153"/>
        <v>83.316999999999993</v>
      </c>
      <c r="F1299" s="3" t="e">
        <f t="shared" si="154"/>
        <v>#N/A</v>
      </c>
      <c r="G1299" s="3" t="e">
        <f t="shared" si="155"/>
        <v>#N/A</v>
      </c>
      <c r="H1299" s="3" t="e">
        <f t="shared" si="156"/>
        <v>#N/A</v>
      </c>
      <c r="I1299" s="3" t="e">
        <f t="shared" si="157"/>
        <v>#N/A</v>
      </c>
      <c r="J1299" s="3">
        <v>395600.4877057508</v>
      </c>
      <c r="K1299" s="3">
        <v>83317</v>
      </c>
      <c r="L1299" s="3" t="e">
        <v>#N/A</v>
      </c>
      <c r="M1299" s="3" t="e">
        <v>#N/A</v>
      </c>
      <c r="N1299" s="3" t="e">
        <v>#N/A</v>
      </c>
      <c r="O1299" s="3" t="e">
        <v>#N/A</v>
      </c>
      <c r="P1299" s="3">
        <f>E1299*(VLOOKUP(B1299,Price_data!A$1:B$190,2,FALSE))</f>
        <v>598.63487272994598</v>
      </c>
      <c r="Q1299" s="3" t="e">
        <f>G1299*(VLOOKUP(B1299,Price_data!A$1:B$190,2,FALSE))</f>
        <v>#N/A</v>
      </c>
      <c r="R1299" s="3" t="e">
        <f>I1299*(VLOOKUP(B1299,Price_data!A$1:B$190,2,FALSE))</f>
        <v>#N/A</v>
      </c>
      <c r="S1299" s="4" t="str">
        <f>(VLOOKUP(B1299,Price_data!A$1:C$190,3,FALSE))</f>
        <v>Open access</v>
      </c>
      <c r="T1299" s="2" t="str">
        <f>IF(C1299="Total", (VLOOKUP(B1299,Recommended_fish_intake!A$4:D$122,4,FALSE)), "NA")</f>
        <v>NA</v>
      </c>
      <c r="U1299" s="2" t="str">
        <f t="shared" si="158"/>
        <v>NA</v>
      </c>
    </row>
    <row r="1300" spans="1:21" ht="14.25" customHeight="1">
      <c r="A1300" s="2" t="s">
        <v>18</v>
      </c>
      <c r="B1300" s="2">
        <v>1973</v>
      </c>
      <c r="C1300" s="2" t="s">
        <v>42</v>
      </c>
      <c r="D1300" s="3">
        <f t="shared" si="152"/>
        <v>59.286730339361917</v>
      </c>
      <c r="E1300" s="3">
        <f t="shared" si="153"/>
        <v>2.1179999999999999</v>
      </c>
      <c r="F1300" s="3" t="e">
        <f t="shared" si="154"/>
        <v>#N/A</v>
      </c>
      <c r="G1300" s="3" t="e">
        <f t="shared" si="155"/>
        <v>#N/A</v>
      </c>
      <c r="H1300" s="3" t="e">
        <f t="shared" si="156"/>
        <v>#N/A</v>
      </c>
      <c r="I1300" s="3" t="e">
        <f t="shared" si="157"/>
        <v>#N/A</v>
      </c>
      <c r="J1300" s="3">
        <v>59286.730339361915</v>
      </c>
      <c r="K1300" s="3">
        <v>2118</v>
      </c>
      <c r="L1300" s="3" t="e">
        <v>#N/A</v>
      </c>
      <c r="M1300" s="3" t="e">
        <v>#N/A</v>
      </c>
      <c r="N1300" s="3" t="e">
        <v>#N/A</v>
      </c>
      <c r="O1300" s="3" t="e">
        <v>#N/A</v>
      </c>
      <c r="P1300" s="3">
        <f>E1300*(VLOOKUP(B1300,Price_data!A$1:B$190,2,FALSE))</f>
        <v>15.217886631083999</v>
      </c>
      <c r="Q1300" s="3" t="e">
        <f>G1300*(VLOOKUP(B1300,Price_data!A$1:B$190,2,FALSE))</f>
        <v>#N/A</v>
      </c>
      <c r="R1300" s="3" t="e">
        <f>I1300*(VLOOKUP(B1300,Price_data!A$1:B$190,2,FALSE))</f>
        <v>#N/A</v>
      </c>
      <c r="S1300" s="4" t="str">
        <f>(VLOOKUP(B1300,Price_data!A$1:C$190,3,FALSE))</f>
        <v>Open access</v>
      </c>
      <c r="T1300" s="2" t="str">
        <f>IF(C1300="Total", (VLOOKUP(B1300,Recommended_fish_intake!A$4:D$122,4,FALSE)), "NA")</f>
        <v>NA</v>
      </c>
      <c r="U1300" s="2" t="str">
        <f t="shared" si="158"/>
        <v>NA</v>
      </c>
    </row>
    <row r="1301" spans="1:21" ht="14.25" customHeight="1">
      <c r="A1301" s="2" t="s">
        <v>18</v>
      </c>
      <c r="B1301" s="2">
        <v>1973</v>
      </c>
      <c r="C1301" s="2" t="s">
        <v>37</v>
      </c>
      <c r="D1301" s="3">
        <f t="shared" si="152"/>
        <v>454.88721804511277</v>
      </c>
      <c r="E1301" s="3">
        <f t="shared" si="153"/>
        <v>85.435000000000002</v>
      </c>
      <c r="F1301" s="3" t="e">
        <f t="shared" si="154"/>
        <v>#N/A</v>
      </c>
      <c r="G1301" s="3" t="e">
        <f t="shared" si="155"/>
        <v>#N/A</v>
      </c>
      <c r="H1301" s="3" t="e">
        <f t="shared" si="156"/>
        <v>#N/A</v>
      </c>
      <c r="I1301" s="3" t="e">
        <f t="shared" si="157"/>
        <v>#N/A</v>
      </c>
      <c r="J1301" s="3">
        <v>454887.21804511279</v>
      </c>
      <c r="K1301" s="3">
        <v>85435</v>
      </c>
      <c r="L1301" s="3" t="e">
        <v>#N/A</v>
      </c>
      <c r="M1301" s="3" t="e">
        <v>#N/A</v>
      </c>
      <c r="N1301" s="3" t="e">
        <v>#N/A</v>
      </c>
      <c r="O1301" s="3" t="e">
        <v>#N/A</v>
      </c>
      <c r="P1301" s="3">
        <f>E1301*(VLOOKUP(B1301,Price_data!A$1:B$190,2,FALSE))</f>
        <v>613.85275936103005</v>
      </c>
      <c r="Q1301" s="3" t="e">
        <f>G1301*(VLOOKUP(B1301,Price_data!A$1:B$190,2,FALSE))</f>
        <v>#N/A</v>
      </c>
      <c r="R1301" s="3" t="e">
        <f>I1301*(VLOOKUP(B1301,Price_data!A$1:B$190,2,FALSE))</f>
        <v>#N/A</v>
      </c>
      <c r="S1301" s="4" t="str">
        <f>(VLOOKUP(B1301,Price_data!A$1:C$190,3,FALSE))</f>
        <v>Open access</v>
      </c>
      <c r="T1301" s="2" t="str">
        <f>IF(C1301="Total", (VLOOKUP(B1301,Recommended_fish_intake!A$4:D$122,4,FALSE)), "NA")</f>
        <v>NA</v>
      </c>
      <c r="U1301" s="2">
        <f t="shared" si="158"/>
        <v>222.89473684210526</v>
      </c>
    </row>
    <row r="1302" spans="1:21" ht="14.25" customHeight="1">
      <c r="A1302" s="2" t="s">
        <v>18</v>
      </c>
      <c r="B1302" s="2">
        <v>1973</v>
      </c>
      <c r="C1302" s="2" t="s">
        <v>28</v>
      </c>
      <c r="D1302" s="3">
        <f t="shared" si="152"/>
        <v>42.318634423897578</v>
      </c>
      <c r="E1302" s="3">
        <f t="shared" si="153"/>
        <v>4.0990000000000002</v>
      </c>
      <c r="F1302" s="3" t="e">
        <f t="shared" si="154"/>
        <v>#N/A</v>
      </c>
      <c r="G1302" s="3" t="e">
        <f t="shared" si="155"/>
        <v>#N/A</v>
      </c>
      <c r="H1302" s="3" t="e">
        <f t="shared" si="156"/>
        <v>#N/A</v>
      </c>
      <c r="I1302" s="3" t="e">
        <f t="shared" si="157"/>
        <v>#N/A</v>
      </c>
      <c r="J1302" s="3">
        <v>42318.63442389758</v>
      </c>
      <c r="K1302" s="3">
        <v>4099</v>
      </c>
      <c r="L1302" s="3" t="e">
        <v>#N/A</v>
      </c>
      <c r="M1302" s="3" t="e">
        <v>#N/A</v>
      </c>
      <c r="N1302" s="3" t="e">
        <v>#N/A</v>
      </c>
      <c r="O1302" s="3" t="e">
        <v>#N/A</v>
      </c>
      <c r="P1302" s="3">
        <f>E1302*(VLOOKUP(B1302,Price_data!A$1:B$190,2,FALSE))</f>
        <v>29.451424599062001</v>
      </c>
      <c r="Q1302" s="3" t="e">
        <f>G1302*(VLOOKUP(B1302,Price_data!A$1:B$190,2,FALSE))</f>
        <v>#N/A</v>
      </c>
      <c r="R1302" s="3" t="e">
        <f>I1302*(VLOOKUP(B1302,Price_data!A$1:B$190,2,FALSE))</f>
        <v>#N/A</v>
      </c>
      <c r="S1302" s="4" t="str">
        <f>(VLOOKUP(B1302,Price_data!A$1:C$190,3,FALSE))</f>
        <v>Open access</v>
      </c>
      <c r="T1302" s="2" t="str">
        <f>IF(C1302="Total", (VLOOKUP(B1302,Recommended_fish_intake!A$4:D$122,4,FALSE)), "NA")</f>
        <v>NA</v>
      </c>
      <c r="U1302" s="2">
        <f t="shared" si="158"/>
        <v>11.849217638691323</v>
      </c>
    </row>
    <row r="1303" spans="1:21" ht="14.25" customHeight="1">
      <c r="A1303" s="2" t="s">
        <v>39</v>
      </c>
      <c r="B1303" s="2">
        <v>1973</v>
      </c>
      <c r="C1303" s="2" t="s">
        <v>22</v>
      </c>
      <c r="D1303" s="3">
        <f t="shared" si="152"/>
        <v>53.698435277382643</v>
      </c>
      <c r="E1303" s="3">
        <f t="shared" si="153"/>
        <v>13.031000000000001</v>
      </c>
      <c r="F1303" s="3" t="e">
        <f t="shared" si="154"/>
        <v>#N/A</v>
      </c>
      <c r="G1303" s="3" t="e">
        <f t="shared" si="155"/>
        <v>#N/A</v>
      </c>
      <c r="H1303" s="3" t="e">
        <f t="shared" si="156"/>
        <v>#N/A</v>
      </c>
      <c r="I1303" s="3" t="e">
        <f t="shared" si="157"/>
        <v>#N/A</v>
      </c>
      <c r="J1303" s="3">
        <v>53698.435277382639</v>
      </c>
      <c r="K1303" s="3">
        <v>13031</v>
      </c>
      <c r="L1303" s="3" t="e">
        <v>#N/A</v>
      </c>
      <c r="M1303" s="3" t="e">
        <v>#N/A</v>
      </c>
      <c r="N1303" s="3" t="e">
        <v>#N/A</v>
      </c>
      <c r="O1303" s="3" t="e">
        <v>#N/A</v>
      </c>
      <c r="P1303" s="3">
        <f>E1303*(VLOOKUP(B1303,Price_data!A$1:B$190,2,FALSE))</f>
        <v>93.628083422878007</v>
      </c>
      <c r="Q1303" s="3" t="e">
        <f>G1303*(VLOOKUP(B1303,Price_data!A$1:B$190,2,FALSE))</f>
        <v>#N/A</v>
      </c>
      <c r="R1303" s="3" t="e">
        <f>I1303*(VLOOKUP(B1303,Price_data!A$1:B$190,2,FALSE))</f>
        <v>#N/A</v>
      </c>
      <c r="S1303" s="4" t="str">
        <f>(VLOOKUP(B1303,Price_data!A$1:C$190,3,FALSE))</f>
        <v>Open access</v>
      </c>
      <c r="T1303" s="2" t="str">
        <f>IF(C1303="Total", (VLOOKUP(B1303,Recommended_fish_intake!A$4:D$122,4,FALSE)), "NA")</f>
        <v>NA</v>
      </c>
      <c r="U1303" s="2" t="str">
        <f t="shared" si="158"/>
        <v>NA</v>
      </c>
    </row>
    <row r="1304" spans="1:21" ht="14.25" customHeight="1">
      <c r="A1304" s="2" t="s">
        <v>39</v>
      </c>
      <c r="B1304" s="2">
        <v>1973</v>
      </c>
      <c r="C1304" s="2" t="s">
        <v>23</v>
      </c>
      <c r="D1304" s="3">
        <f t="shared" si="152"/>
        <v>99.268441373704533</v>
      </c>
      <c r="E1304" s="3">
        <f t="shared" si="153"/>
        <v>17.149999999999999</v>
      </c>
      <c r="F1304" s="3" t="e">
        <f t="shared" si="154"/>
        <v>#N/A</v>
      </c>
      <c r="G1304" s="3" t="e">
        <f t="shared" si="155"/>
        <v>#N/A</v>
      </c>
      <c r="H1304" s="3" t="e">
        <f t="shared" si="156"/>
        <v>#N/A</v>
      </c>
      <c r="I1304" s="3" t="e">
        <f t="shared" si="157"/>
        <v>#N/A</v>
      </c>
      <c r="J1304" s="3">
        <v>99268.44137370454</v>
      </c>
      <c r="K1304" s="3">
        <v>17150</v>
      </c>
      <c r="L1304" s="3" t="e">
        <v>#N/A</v>
      </c>
      <c r="M1304" s="3" t="e">
        <v>#N/A</v>
      </c>
      <c r="N1304" s="3" t="e">
        <v>#N/A</v>
      </c>
      <c r="O1304" s="3" t="e">
        <v>#N/A</v>
      </c>
      <c r="P1304" s="3">
        <f>E1304*(VLOOKUP(B1304,Price_data!A$1:B$190,2,FALSE))</f>
        <v>123.2232085567</v>
      </c>
      <c r="Q1304" s="3" t="e">
        <f>G1304*(VLOOKUP(B1304,Price_data!A$1:B$190,2,FALSE))</f>
        <v>#N/A</v>
      </c>
      <c r="R1304" s="3" t="e">
        <f>I1304*(VLOOKUP(B1304,Price_data!A$1:B$190,2,FALSE))</f>
        <v>#N/A</v>
      </c>
      <c r="S1304" s="4" t="str">
        <f>(VLOOKUP(B1304,Price_data!A$1:C$190,3,FALSE))</f>
        <v>Open access</v>
      </c>
      <c r="T1304" s="2" t="str">
        <f>IF(C1304="Total", (VLOOKUP(B1304,Recommended_fish_intake!A$4:D$122,4,FALSE)), "NA")</f>
        <v>NA</v>
      </c>
      <c r="U1304" s="2" t="str">
        <f t="shared" si="158"/>
        <v>NA</v>
      </c>
    </row>
    <row r="1305" spans="1:21" ht="14.25" customHeight="1">
      <c r="A1305" s="2" t="s">
        <v>39</v>
      </c>
      <c r="B1305" s="2">
        <v>1973</v>
      </c>
      <c r="C1305" s="2" t="s">
        <v>25</v>
      </c>
      <c r="D1305" s="3">
        <f t="shared" si="152"/>
        <v>4.9278601910180857</v>
      </c>
      <c r="E1305" s="3">
        <f t="shared" si="153"/>
        <v>1.0620000000000001</v>
      </c>
      <c r="F1305" s="3" t="e">
        <f t="shared" si="154"/>
        <v>#N/A</v>
      </c>
      <c r="G1305" s="3" t="e">
        <f t="shared" si="155"/>
        <v>#N/A</v>
      </c>
      <c r="H1305" s="3" t="e">
        <f t="shared" si="156"/>
        <v>#N/A</v>
      </c>
      <c r="I1305" s="3" t="e">
        <f t="shared" si="157"/>
        <v>#N/A</v>
      </c>
      <c r="J1305" s="3">
        <v>4927.860191018086</v>
      </c>
      <c r="K1305" s="3">
        <v>1062</v>
      </c>
      <c r="L1305" s="3" t="e">
        <v>#N/A</v>
      </c>
      <c r="M1305" s="3" t="e">
        <v>#N/A</v>
      </c>
      <c r="N1305" s="3" t="e">
        <v>#N/A</v>
      </c>
      <c r="O1305" s="3" t="e">
        <v>#N/A</v>
      </c>
      <c r="P1305" s="3">
        <f>E1305*(VLOOKUP(B1305,Price_data!A$1:B$190,2,FALSE))</f>
        <v>7.6304983957560006</v>
      </c>
      <c r="Q1305" s="3" t="e">
        <f>G1305*(VLOOKUP(B1305,Price_data!A$1:B$190,2,FALSE))</f>
        <v>#N/A</v>
      </c>
      <c r="R1305" s="3" t="e">
        <f>I1305*(VLOOKUP(B1305,Price_data!A$1:B$190,2,FALSE))</f>
        <v>#N/A</v>
      </c>
      <c r="S1305" s="4" t="str">
        <f>(VLOOKUP(B1305,Price_data!A$1:C$190,3,FALSE))</f>
        <v>Open access</v>
      </c>
      <c r="T1305" s="2" t="str">
        <f>IF(C1305="Total", (VLOOKUP(B1305,Recommended_fish_intake!A$4:D$122,4,FALSE)), "NA")</f>
        <v>NA</v>
      </c>
      <c r="U1305" s="2" t="str">
        <f t="shared" si="158"/>
        <v>NA</v>
      </c>
    </row>
    <row r="1306" spans="1:21" ht="14.25" customHeight="1">
      <c r="A1306" s="2" t="s">
        <v>39</v>
      </c>
      <c r="B1306" s="2">
        <v>1973</v>
      </c>
      <c r="C1306" s="2" t="s">
        <v>38</v>
      </c>
      <c r="D1306" s="3">
        <f t="shared" si="152"/>
        <v>27.535053850843322</v>
      </c>
      <c r="E1306" s="3">
        <f t="shared" si="153"/>
        <v>2.411</v>
      </c>
      <c r="F1306" s="3" t="e">
        <f t="shared" si="154"/>
        <v>#N/A</v>
      </c>
      <c r="G1306" s="3" t="e">
        <f t="shared" si="155"/>
        <v>#N/A</v>
      </c>
      <c r="H1306" s="3" t="e">
        <f t="shared" si="156"/>
        <v>#N/A</v>
      </c>
      <c r="I1306" s="3" t="e">
        <f t="shared" si="157"/>
        <v>#N/A</v>
      </c>
      <c r="J1306" s="3">
        <v>27535.053850843324</v>
      </c>
      <c r="K1306" s="3">
        <v>2411</v>
      </c>
      <c r="L1306" s="3" t="e">
        <v>#N/A</v>
      </c>
      <c r="M1306" s="3" t="e">
        <v>#N/A</v>
      </c>
      <c r="N1306" s="3" t="e">
        <v>#N/A</v>
      </c>
      <c r="O1306" s="3" t="e">
        <v>#N/A</v>
      </c>
      <c r="P1306" s="3">
        <f>E1306*(VLOOKUP(B1306,Price_data!A$1:B$190,2,FALSE))</f>
        <v>17.323099465318002</v>
      </c>
      <c r="Q1306" s="3" t="e">
        <f>G1306*(VLOOKUP(B1306,Price_data!A$1:B$190,2,FALSE))</f>
        <v>#N/A</v>
      </c>
      <c r="R1306" s="3" t="e">
        <f>I1306*(VLOOKUP(B1306,Price_data!A$1:B$190,2,FALSE))</f>
        <v>#N/A</v>
      </c>
      <c r="S1306" s="4" t="str">
        <f>(VLOOKUP(B1306,Price_data!A$1:C$190,3,FALSE))</f>
        <v>Open access</v>
      </c>
      <c r="T1306" s="2" t="str">
        <f>IF(C1306="Total", (VLOOKUP(B1306,Recommended_fish_intake!A$4:D$122,4,FALSE)), "NA")</f>
        <v>NA</v>
      </c>
      <c r="U1306" s="2" t="str">
        <f t="shared" si="158"/>
        <v>NA</v>
      </c>
    </row>
    <row r="1307" spans="1:21" ht="14.25" customHeight="1">
      <c r="A1307" s="2" t="s">
        <v>39</v>
      </c>
      <c r="B1307" s="2">
        <v>1973</v>
      </c>
      <c r="C1307" s="2" t="s">
        <v>24</v>
      </c>
      <c r="D1307" s="3">
        <f t="shared" si="152"/>
        <v>27.535053850843322</v>
      </c>
      <c r="E1307" s="3">
        <f t="shared" si="153"/>
        <v>0.90800000000000003</v>
      </c>
      <c r="F1307" s="3" t="e">
        <f t="shared" si="154"/>
        <v>#N/A</v>
      </c>
      <c r="G1307" s="3" t="e">
        <f t="shared" si="155"/>
        <v>#N/A</v>
      </c>
      <c r="H1307" s="3" t="e">
        <f t="shared" si="156"/>
        <v>#N/A</v>
      </c>
      <c r="I1307" s="3" t="e">
        <f t="shared" si="157"/>
        <v>#N/A</v>
      </c>
      <c r="J1307" s="3">
        <v>27535.053850843324</v>
      </c>
      <c r="K1307" s="3">
        <v>908</v>
      </c>
      <c r="L1307" s="3" t="e">
        <v>#N/A</v>
      </c>
      <c r="M1307" s="3" t="e">
        <v>#N/A</v>
      </c>
      <c r="N1307" s="3" t="e">
        <v>#N/A</v>
      </c>
      <c r="O1307" s="3" t="e">
        <v>#N/A</v>
      </c>
      <c r="P1307" s="3">
        <f>E1307*(VLOOKUP(B1307,Price_data!A$1:B$190,2,FALSE))</f>
        <v>6.5240042781040009</v>
      </c>
      <c r="Q1307" s="3" t="e">
        <f>G1307*(VLOOKUP(B1307,Price_data!A$1:B$190,2,FALSE))</f>
        <v>#N/A</v>
      </c>
      <c r="R1307" s="3" t="e">
        <f>I1307*(VLOOKUP(B1307,Price_data!A$1:B$190,2,FALSE))</f>
        <v>#N/A</v>
      </c>
      <c r="S1307" s="4" t="str">
        <f>(VLOOKUP(B1307,Price_data!A$1:C$190,3,FALSE))</f>
        <v>Open access</v>
      </c>
      <c r="T1307" s="2" t="str">
        <f>IF(C1307="Total", (VLOOKUP(B1307,Recommended_fish_intake!A$4:D$122,4,FALSE)), "NA")</f>
        <v>NA</v>
      </c>
      <c r="U1307" s="2" t="str">
        <f t="shared" si="158"/>
        <v>NA</v>
      </c>
    </row>
    <row r="1308" spans="1:21" ht="14.25" customHeight="1">
      <c r="A1308" s="2" t="s">
        <v>39</v>
      </c>
      <c r="B1308" s="2">
        <v>1973</v>
      </c>
      <c r="C1308" s="2" t="s">
        <v>19</v>
      </c>
      <c r="D1308" s="3">
        <f t="shared" si="152"/>
        <v>145.3464742938427</v>
      </c>
      <c r="E1308" s="3">
        <f t="shared" si="153"/>
        <v>8.6289999999999996</v>
      </c>
      <c r="F1308" s="3" t="e">
        <f t="shared" si="154"/>
        <v>#N/A</v>
      </c>
      <c r="G1308" s="3" t="e">
        <f t="shared" si="155"/>
        <v>#N/A</v>
      </c>
      <c r="H1308" s="3" t="e">
        <f t="shared" si="156"/>
        <v>#N/A</v>
      </c>
      <c r="I1308" s="3" t="e">
        <f t="shared" si="157"/>
        <v>#N/A</v>
      </c>
      <c r="J1308" s="3">
        <v>145346.47429384271</v>
      </c>
      <c r="K1308" s="3">
        <v>8629</v>
      </c>
      <c r="L1308" s="3" t="e">
        <v>#N/A</v>
      </c>
      <c r="M1308" s="3" t="e">
        <v>#N/A</v>
      </c>
      <c r="N1308" s="3" t="e">
        <v>#N/A</v>
      </c>
      <c r="O1308" s="3" t="e">
        <v>#N/A</v>
      </c>
      <c r="P1308" s="3">
        <f>E1308*(VLOOKUP(B1308,Price_data!A$1:B$190,2,FALSE))</f>
        <v>61.999595722202002</v>
      </c>
      <c r="Q1308" s="3" t="e">
        <f>G1308*(VLOOKUP(B1308,Price_data!A$1:B$190,2,FALSE))</f>
        <v>#N/A</v>
      </c>
      <c r="R1308" s="3" t="e">
        <f>I1308*(VLOOKUP(B1308,Price_data!A$1:B$190,2,FALSE))</f>
        <v>#N/A</v>
      </c>
      <c r="S1308" s="4" t="str">
        <f>(VLOOKUP(B1308,Price_data!A$1:C$190,3,FALSE))</f>
        <v>Open access</v>
      </c>
      <c r="T1308" s="2" t="str">
        <f>IF(C1308="Total", (VLOOKUP(B1308,Recommended_fish_intake!A$4:D$122,4,FALSE)), "NA")</f>
        <v>NA</v>
      </c>
      <c r="U1308" s="2" t="str">
        <f t="shared" si="158"/>
        <v>NA</v>
      </c>
    </row>
    <row r="1309" spans="1:21" ht="14.25" customHeight="1">
      <c r="A1309" s="2" t="s">
        <v>39</v>
      </c>
      <c r="B1309" s="2">
        <v>1973</v>
      </c>
      <c r="C1309" s="2" t="s">
        <v>21</v>
      </c>
      <c r="D1309" s="3">
        <f t="shared" si="152"/>
        <v>59.845559845559841</v>
      </c>
      <c r="E1309" s="3">
        <f t="shared" si="153"/>
        <v>1.595</v>
      </c>
      <c r="F1309" s="3" t="e">
        <f t="shared" si="154"/>
        <v>#N/A</v>
      </c>
      <c r="G1309" s="3" t="e">
        <f t="shared" si="155"/>
        <v>#N/A</v>
      </c>
      <c r="H1309" s="3" t="e">
        <f t="shared" si="156"/>
        <v>#N/A</v>
      </c>
      <c r="I1309" s="3" t="e">
        <f t="shared" si="157"/>
        <v>#N/A</v>
      </c>
      <c r="J1309" s="3">
        <v>59845.559845559837</v>
      </c>
      <c r="K1309" s="3">
        <v>1595</v>
      </c>
      <c r="L1309" s="3" t="e">
        <v>#N/A</v>
      </c>
      <c r="M1309" s="3" t="e">
        <v>#N/A</v>
      </c>
      <c r="N1309" s="3" t="e">
        <v>#N/A</v>
      </c>
      <c r="O1309" s="3" t="e">
        <v>#N/A</v>
      </c>
      <c r="P1309" s="3">
        <f>E1309*(VLOOKUP(B1309,Price_data!A$1:B$190,2,FALSE))</f>
        <v>11.46011764711</v>
      </c>
      <c r="Q1309" s="3" t="e">
        <f>G1309*(VLOOKUP(B1309,Price_data!A$1:B$190,2,FALSE))</f>
        <v>#N/A</v>
      </c>
      <c r="R1309" s="3" t="e">
        <f>I1309*(VLOOKUP(B1309,Price_data!A$1:B$190,2,FALSE))</f>
        <v>#N/A</v>
      </c>
      <c r="S1309" s="4" t="str">
        <f>(VLOOKUP(B1309,Price_data!A$1:C$190,3,FALSE))</f>
        <v>Open access</v>
      </c>
      <c r="T1309" s="2" t="str">
        <f>IF(C1309="Total", (VLOOKUP(B1309,Recommended_fish_intake!A$4:D$122,4,FALSE)), "NA")</f>
        <v>NA</v>
      </c>
      <c r="U1309" s="2" t="str">
        <f t="shared" si="158"/>
        <v>NA</v>
      </c>
    </row>
    <row r="1310" spans="1:21" ht="14.25" customHeight="1">
      <c r="A1310" s="2" t="s">
        <v>39</v>
      </c>
      <c r="B1310" s="2">
        <v>1973</v>
      </c>
      <c r="C1310" s="2" t="s">
        <v>36</v>
      </c>
      <c r="D1310" s="3">
        <f t="shared" si="152"/>
        <v>2.2861207071733385</v>
      </c>
      <c r="E1310" s="3">
        <f t="shared" si="153"/>
        <v>0.23799999999999999</v>
      </c>
      <c r="F1310" s="3" t="e">
        <f t="shared" si="154"/>
        <v>#N/A</v>
      </c>
      <c r="G1310" s="3" t="e">
        <f t="shared" si="155"/>
        <v>#N/A</v>
      </c>
      <c r="H1310" s="3" t="e">
        <f t="shared" si="156"/>
        <v>#N/A</v>
      </c>
      <c r="I1310" s="3" t="e">
        <f t="shared" si="157"/>
        <v>#N/A</v>
      </c>
      <c r="J1310" s="3">
        <v>2286.1207071733384</v>
      </c>
      <c r="K1310" s="3">
        <v>238</v>
      </c>
      <c r="L1310" s="3" t="e">
        <v>#N/A</v>
      </c>
      <c r="M1310" s="3" t="e">
        <v>#N/A</v>
      </c>
      <c r="N1310" s="3" t="e">
        <v>#N/A</v>
      </c>
      <c r="O1310" s="3" t="e">
        <v>#N/A</v>
      </c>
      <c r="P1310" s="3">
        <f>E1310*(VLOOKUP(B1310,Price_data!A$1:B$190,2,FALSE))</f>
        <v>1.7100363636439999</v>
      </c>
      <c r="Q1310" s="3" t="e">
        <f>G1310*(VLOOKUP(B1310,Price_data!A$1:B$190,2,FALSE))</f>
        <v>#N/A</v>
      </c>
      <c r="R1310" s="3" t="e">
        <f>I1310*(VLOOKUP(B1310,Price_data!A$1:B$190,2,FALSE))</f>
        <v>#N/A</v>
      </c>
      <c r="S1310" s="4" t="str">
        <f>(VLOOKUP(B1310,Price_data!A$1:C$190,3,FALSE))</f>
        <v>Open access</v>
      </c>
      <c r="T1310" s="2" t="str">
        <f>IF(C1310="Total", (VLOOKUP(B1310,Recommended_fish_intake!A$4:D$122,4,FALSE)), "NA")</f>
        <v>NA</v>
      </c>
      <c r="U1310" s="2" t="str">
        <f t="shared" si="158"/>
        <v>NA</v>
      </c>
    </row>
    <row r="1311" spans="1:21" ht="14.25" customHeight="1">
      <c r="A1311" s="2" t="s">
        <v>39</v>
      </c>
      <c r="B1311" s="2">
        <v>1973</v>
      </c>
      <c r="C1311" s="2" t="s">
        <v>34</v>
      </c>
      <c r="D1311" s="3">
        <f t="shared" si="152"/>
        <v>0.55882950619792726</v>
      </c>
      <c r="E1311" s="3">
        <f t="shared" si="153"/>
        <v>1.1879999999999999</v>
      </c>
      <c r="F1311" s="3" t="e">
        <f t="shared" si="154"/>
        <v>#N/A</v>
      </c>
      <c r="G1311" s="3" t="e">
        <f t="shared" si="155"/>
        <v>#N/A</v>
      </c>
      <c r="H1311" s="3" t="e">
        <f t="shared" si="156"/>
        <v>#N/A</v>
      </c>
      <c r="I1311" s="3" t="e">
        <f t="shared" si="157"/>
        <v>#N/A</v>
      </c>
      <c r="J1311" s="3">
        <v>558.82950619792723</v>
      </c>
      <c r="K1311" s="3">
        <v>1188</v>
      </c>
      <c r="L1311" s="3" t="e">
        <v>#N/A</v>
      </c>
      <c r="M1311" s="3" t="e">
        <v>#N/A</v>
      </c>
      <c r="N1311" s="3" t="e">
        <v>#N/A</v>
      </c>
      <c r="O1311" s="3" t="e">
        <v>#N/A</v>
      </c>
      <c r="P1311" s="3">
        <f>E1311*(VLOOKUP(B1311,Price_data!A$1:B$190,2,FALSE))</f>
        <v>8.5358117647440004</v>
      </c>
      <c r="Q1311" s="3" t="e">
        <f>G1311*(VLOOKUP(B1311,Price_data!A$1:B$190,2,FALSE))</f>
        <v>#N/A</v>
      </c>
      <c r="R1311" s="3" t="e">
        <f>I1311*(VLOOKUP(B1311,Price_data!A$1:B$190,2,FALSE))</f>
        <v>#N/A</v>
      </c>
      <c r="S1311" s="4" t="str">
        <f>(VLOOKUP(B1311,Price_data!A$1:C$190,3,FALSE))</f>
        <v>Open access</v>
      </c>
      <c r="T1311" s="2" t="str">
        <f>IF(C1311="Total", (VLOOKUP(B1311,Recommended_fish_intake!A$4:D$122,4,FALSE)), "NA")</f>
        <v>NA</v>
      </c>
      <c r="U1311" s="2" t="str">
        <f t="shared" si="158"/>
        <v>NA</v>
      </c>
    </row>
    <row r="1312" spans="1:21" ht="14.25" customHeight="1">
      <c r="A1312" s="2" t="s">
        <v>39</v>
      </c>
      <c r="B1312" s="2">
        <v>1973</v>
      </c>
      <c r="C1312" s="2" t="s">
        <v>35</v>
      </c>
      <c r="D1312" s="3">
        <f t="shared" si="152"/>
        <v>9.7541150172729107</v>
      </c>
      <c r="E1312" s="3">
        <f t="shared" si="153"/>
        <v>5.0110000000000001</v>
      </c>
      <c r="F1312" s="3" t="e">
        <f t="shared" si="154"/>
        <v>#N/A</v>
      </c>
      <c r="G1312" s="3" t="e">
        <f t="shared" si="155"/>
        <v>#N/A</v>
      </c>
      <c r="H1312" s="3" t="e">
        <f t="shared" si="156"/>
        <v>#N/A</v>
      </c>
      <c r="I1312" s="3" t="e">
        <f t="shared" si="157"/>
        <v>#N/A</v>
      </c>
      <c r="J1312" s="3">
        <v>9754.1150172729103</v>
      </c>
      <c r="K1312" s="3">
        <v>5011</v>
      </c>
      <c r="L1312" s="3" t="e">
        <v>#N/A</v>
      </c>
      <c r="M1312" s="3" t="e">
        <v>#N/A</v>
      </c>
      <c r="N1312" s="3" t="e">
        <v>#N/A</v>
      </c>
      <c r="O1312" s="3" t="e">
        <v>#N/A</v>
      </c>
      <c r="P1312" s="3">
        <f>E1312*(VLOOKUP(B1312,Price_data!A$1:B$190,2,FALSE))</f>
        <v>36.004168984118003</v>
      </c>
      <c r="Q1312" s="3" t="e">
        <f>G1312*(VLOOKUP(B1312,Price_data!A$1:B$190,2,FALSE))</f>
        <v>#N/A</v>
      </c>
      <c r="R1312" s="3" t="e">
        <f>I1312*(VLOOKUP(B1312,Price_data!A$1:B$190,2,FALSE))</f>
        <v>#N/A</v>
      </c>
      <c r="S1312" s="4" t="str">
        <f>(VLOOKUP(B1312,Price_data!A$1:C$190,3,FALSE))</f>
        <v>Open access</v>
      </c>
      <c r="T1312" s="2" t="str">
        <f>IF(C1312="Total", (VLOOKUP(B1312,Recommended_fish_intake!A$4:D$122,4,FALSE)), "NA")</f>
        <v>NA</v>
      </c>
      <c r="U1312" s="2" t="str">
        <f t="shared" si="158"/>
        <v>NA</v>
      </c>
    </row>
    <row r="1313" spans="1:21" ht="14.25" customHeight="1">
      <c r="A1313" s="2" t="s">
        <v>39</v>
      </c>
      <c r="B1313" s="2">
        <v>1973</v>
      </c>
      <c r="C1313" s="2" t="s">
        <v>30</v>
      </c>
      <c r="D1313" s="3">
        <f t="shared" si="152"/>
        <v>0.15240804714488923</v>
      </c>
      <c r="E1313" s="3">
        <f t="shared" si="153"/>
        <v>4.7E-2</v>
      </c>
      <c r="F1313" s="3" t="e">
        <f t="shared" si="154"/>
        <v>#N/A</v>
      </c>
      <c r="G1313" s="3" t="e">
        <f t="shared" si="155"/>
        <v>#N/A</v>
      </c>
      <c r="H1313" s="3" t="e">
        <f t="shared" si="156"/>
        <v>#N/A</v>
      </c>
      <c r="I1313" s="3" t="e">
        <f t="shared" si="157"/>
        <v>#N/A</v>
      </c>
      <c r="J1313" s="3">
        <v>152.40804714488922</v>
      </c>
      <c r="K1313" s="3">
        <v>47</v>
      </c>
      <c r="L1313" s="3" t="e">
        <v>#N/A</v>
      </c>
      <c r="M1313" s="3" t="e">
        <v>#N/A</v>
      </c>
      <c r="N1313" s="3" t="e">
        <v>#N/A</v>
      </c>
      <c r="O1313" s="3" t="e">
        <v>#N/A</v>
      </c>
      <c r="P1313" s="3">
        <f>E1313*(VLOOKUP(B1313,Price_data!A$1:B$190,2,FALSE))</f>
        <v>0.33769625668600001</v>
      </c>
      <c r="Q1313" s="3" t="e">
        <f>G1313*(VLOOKUP(B1313,Price_data!A$1:B$190,2,FALSE))</f>
        <v>#N/A</v>
      </c>
      <c r="R1313" s="3" t="e">
        <f>I1313*(VLOOKUP(B1313,Price_data!A$1:B$190,2,FALSE))</f>
        <v>#N/A</v>
      </c>
      <c r="S1313" s="4" t="str">
        <f>(VLOOKUP(B1313,Price_data!A$1:C$190,3,FALSE))</f>
        <v>Open access</v>
      </c>
      <c r="T1313" s="2" t="str">
        <f>IF(C1313="Total", (VLOOKUP(B1313,Recommended_fish_intake!A$4:D$122,4,FALSE)), "NA")</f>
        <v>NA</v>
      </c>
      <c r="U1313" s="2" t="str">
        <f t="shared" si="158"/>
        <v>NA</v>
      </c>
    </row>
    <row r="1314" spans="1:21" ht="14.25" customHeight="1">
      <c r="A1314" s="2" t="s">
        <v>39</v>
      </c>
      <c r="B1314" s="2">
        <v>1973</v>
      </c>
      <c r="C1314" s="2" t="s">
        <v>41</v>
      </c>
      <c r="D1314" s="3">
        <f t="shared" si="152"/>
        <v>262.39585450111764</v>
      </c>
      <c r="E1314" s="3">
        <f t="shared" si="153"/>
        <v>42.414999999999999</v>
      </c>
      <c r="F1314" s="3" t="e">
        <f t="shared" si="154"/>
        <v>#N/A</v>
      </c>
      <c r="G1314" s="3" t="e">
        <f t="shared" si="155"/>
        <v>#N/A</v>
      </c>
      <c r="H1314" s="3" t="e">
        <f t="shared" si="156"/>
        <v>#N/A</v>
      </c>
      <c r="I1314" s="3" t="e">
        <f t="shared" si="157"/>
        <v>#N/A</v>
      </c>
      <c r="J1314" s="3">
        <v>262395.85450111766</v>
      </c>
      <c r="K1314" s="3">
        <v>42415</v>
      </c>
      <c r="L1314" s="3" t="e">
        <v>#N/A</v>
      </c>
      <c r="M1314" s="3" t="e">
        <v>#N/A</v>
      </c>
      <c r="N1314" s="3" t="e">
        <v>#N/A</v>
      </c>
      <c r="O1314" s="3" t="e">
        <v>#N/A</v>
      </c>
      <c r="P1314" s="3">
        <f>E1314*(VLOOKUP(B1314,Price_data!A$1:B$190,2,FALSE))</f>
        <v>304.75290909226999</v>
      </c>
      <c r="Q1314" s="3" t="e">
        <f>G1314*(VLOOKUP(B1314,Price_data!A$1:B$190,2,FALSE))</f>
        <v>#N/A</v>
      </c>
      <c r="R1314" s="3" t="e">
        <f>I1314*(VLOOKUP(B1314,Price_data!A$1:B$190,2,FALSE))</f>
        <v>#N/A</v>
      </c>
      <c r="S1314" s="4" t="str">
        <f>(VLOOKUP(B1314,Price_data!A$1:C$190,3,FALSE))</f>
        <v>Open access</v>
      </c>
      <c r="T1314" s="2" t="str">
        <f>IF(C1314="Total", (VLOOKUP(B1314,Recommended_fish_intake!A$4:D$122,4,FALSE)), "NA")</f>
        <v>NA</v>
      </c>
      <c r="U1314" s="2" t="str">
        <f t="shared" si="158"/>
        <v>NA</v>
      </c>
    </row>
    <row r="1315" spans="1:21" ht="14.25" customHeight="1">
      <c r="A1315" s="2" t="s">
        <v>39</v>
      </c>
      <c r="B1315" s="2">
        <v>1973</v>
      </c>
      <c r="C1315" s="2" t="s">
        <v>42</v>
      </c>
      <c r="D1315" s="3">
        <f t="shared" si="152"/>
        <v>214.43812233285917</v>
      </c>
      <c r="E1315" s="3">
        <f t="shared" si="153"/>
        <v>10.645</v>
      </c>
      <c r="F1315" s="3" t="e">
        <f t="shared" si="154"/>
        <v>#N/A</v>
      </c>
      <c r="G1315" s="3" t="e">
        <f t="shared" si="155"/>
        <v>#N/A</v>
      </c>
      <c r="H1315" s="3" t="e">
        <f t="shared" si="156"/>
        <v>#N/A</v>
      </c>
      <c r="I1315" s="3" t="e">
        <f t="shared" si="157"/>
        <v>#N/A</v>
      </c>
      <c r="J1315" s="3">
        <v>214438.12233285917</v>
      </c>
      <c r="K1315" s="3">
        <v>10645</v>
      </c>
      <c r="L1315" s="3" t="e">
        <v>#N/A</v>
      </c>
      <c r="M1315" s="3" t="e">
        <v>#N/A</v>
      </c>
      <c r="N1315" s="3" t="e">
        <v>#N/A</v>
      </c>
      <c r="O1315" s="3" t="e">
        <v>#N/A</v>
      </c>
      <c r="P1315" s="3">
        <f>E1315*(VLOOKUP(B1315,Price_data!A$1:B$190,2,FALSE))</f>
        <v>76.484609626009998</v>
      </c>
      <c r="Q1315" s="3" t="e">
        <f>G1315*(VLOOKUP(B1315,Price_data!A$1:B$190,2,FALSE))</f>
        <v>#N/A</v>
      </c>
      <c r="R1315" s="3" t="e">
        <f>I1315*(VLOOKUP(B1315,Price_data!A$1:B$190,2,FALSE))</f>
        <v>#N/A</v>
      </c>
      <c r="S1315" s="4" t="str">
        <f>(VLOOKUP(B1315,Price_data!A$1:C$190,3,FALSE))</f>
        <v>Open access</v>
      </c>
      <c r="T1315" s="2" t="str">
        <f>IF(C1315="Total", (VLOOKUP(B1315,Recommended_fish_intake!A$4:D$122,4,FALSE)), "NA")</f>
        <v>NA</v>
      </c>
      <c r="U1315" s="2" t="str">
        <f t="shared" si="158"/>
        <v>NA</v>
      </c>
    </row>
    <row r="1316" spans="1:21" ht="14.25" customHeight="1">
      <c r="A1316" s="2" t="s">
        <v>39</v>
      </c>
      <c r="B1316" s="2">
        <v>1973</v>
      </c>
      <c r="C1316" s="2" t="s">
        <v>37</v>
      </c>
      <c r="D1316" s="3">
        <f t="shared" si="152"/>
        <v>476.83397683397681</v>
      </c>
      <c r="E1316" s="3">
        <f t="shared" si="153"/>
        <v>53.06</v>
      </c>
      <c r="F1316" s="3" t="e">
        <f t="shared" si="154"/>
        <v>#N/A</v>
      </c>
      <c r="G1316" s="3" t="e">
        <f t="shared" si="155"/>
        <v>#N/A</v>
      </c>
      <c r="H1316" s="3" t="e">
        <f t="shared" si="156"/>
        <v>#N/A</v>
      </c>
      <c r="I1316" s="3" t="e">
        <f t="shared" si="157"/>
        <v>#N/A</v>
      </c>
      <c r="J1316" s="3">
        <v>476833.97683397681</v>
      </c>
      <c r="K1316" s="3">
        <v>53060</v>
      </c>
      <c r="L1316" s="3" t="e">
        <v>#N/A</v>
      </c>
      <c r="M1316" s="3" t="e">
        <v>#N/A</v>
      </c>
      <c r="N1316" s="3" t="e">
        <v>#N/A</v>
      </c>
      <c r="O1316" s="3" t="e">
        <v>#N/A</v>
      </c>
      <c r="P1316" s="3">
        <f>E1316*(VLOOKUP(B1316,Price_data!A$1:B$190,2,FALSE))</f>
        <v>381.23751871828006</v>
      </c>
      <c r="Q1316" s="3" t="e">
        <f>G1316*(VLOOKUP(B1316,Price_data!A$1:B$190,2,FALSE))</f>
        <v>#N/A</v>
      </c>
      <c r="R1316" s="3" t="e">
        <f>I1316*(VLOOKUP(B1316,Price_data!A$1:B$190,2,FALSE))</f>
        <v>#N/A</v>
      </c>
      <c r="S1316" s="4" t="str">
        <f>(VLOOKUP(B1316,Price_data!A$1:C$190,3,FALSE))</f>
        <v>Open access</v>
      </c>
      <c r="T1316" s="2" t="str">
        <f>IF(C1316="Total", (VLOOKUP(B1316,Recommended_fish_intake!A$4:D$122,4,FALSE)), "NA")</f>
        <v>NA</v>
      </c>
      <c r="U1316" s="2">
        <f t="shared" si="158"/>
        <v>233.64864864864862</v>
      </c>
    </row>
    <row r="1317" spans="1:21" ht="14.25" customHeight="1">
      <c r="A1317" s="2" t="s">
        <v>39</v>
      </c>
      <c r="B1317" s="2">
        <v>1973</v>
      </c>
      <c r="C1317" s="2" t="s">
        <v>28</v>
      </c>
      <c r="D1317" s="3">
        <f t="shared" si="152"/>
        <v>24.02966876651087</v>
      </c>
      <c r="E1317" s="3">
        <f t="shared" si="153"/>
        <v>7.7720000000000002</v>
      </c>
      <c r="F1317" s="3" t="e">
        <f t="shared" si="154"/>
        <v>#N/A</v>
      </c>
      <c r="G1317" s="3" t="e">
        <f t="shared" si="155"/>
        <v>#N/A</v>
      </c>
      <c r="H1317" s="3" t="e">
        <f t="shared" si="156"/>
        <v>#N/A</v>
      </c>
      <c r="I1317" s="3" t="e">
        <f t="shared" si="157"/>
        <v>#N/A</v>
      </c>
      <c r="J1317" s="3">
        <v>24029.668766510869</v>
      </c>
      <c r="K1317" s="3">
        <v>7772</v>
      </c>
      <c r="L1317" s="3" t="e">
        <v>#N/A</v>
      </c>
      <c r="M1317" s="3" t="e">
        <v>#N/A</v>
      </c>
      <c r="N1317" s="3" t="e">
        <v>#N/A</v>
      </c>
      <c r="O1317" s="3" t="e">
        <v>#N/A</v>
      </c>
      <c r="P1317" s="3">
        <f>E1317*(VLOOKUP(B1317,Price_data!A$1:B$190,2,FALSE))</f>
        <v>55.842027807736002</v>
      </c>
      <c r="Q1317" s="3" t="e">
        <f>G1317*(VLOOKUP(B1317,Price_data!A$1:B$190,2,FALSE))</f>
        <v>#N/A</v>
      </c>
      <c r="R1317" s="3" t="e">
        <f>I1317*(VLOOKUP(B1317,Price_data!A$1:B$190,2,FALSE))</f>
        <v>#N/A</v>
      </c>
      <c r="S1317" s="4" t="str">
        <f>(VLOOKUP(B1317,Price_data!A$1:C$190,3,FALSE))</f>
        <v>Open access</v>
      </c>
      <c r="T1317" s="2" t="str">
        <f>IF(C1317="Total", (VLOOKUP(B1317,Recommended_fish_intake!A$4:D$122,4,FALSE)), "NA")</f>
        <v>NA</v>
      </c>
      <c r="U1317" s="2">
        <f t="shared" si="158"/>
        <v>6.7283072546230445</v>
      </c>
    </row>
    <row r="1318" spans="1:21" ht="14.25" customHeight="1">
      <c r="A1318" s="2" t="s">
        <v>40</v>
      </c>
      <c r="B1318" s="2">
        <v>1973</v>
      </c>
      <c r="C1318" s="2" t="s">
        <v>22</v>
      </c>
      <c r="D1318" s="3">
        <f t="shared" si="152"/>
        <v>1.1176590123958545</v>
      </c>
      <c r="E1318" s="3">
        <f t="shared" si="153"/>
        <v>0.159</v>
      </c>
      <c r="F1318" s="3" t="e">
        <f t="shared" si="154"/>
        <v>#N/A</v>
      </c>
      <c r="G1318" s="3" t="e">
        <f t="shared" si="155"/>
        <v>#N/A</v>
      </c>
      <c r="H1318" s="3" t="e">
        <f t="shared" si="156"/>
        <v>#N/A</v>
      </c>
      <c r="I1318" s="3" t="e">
        <f t="shared" si="157"/>
        <v>#N/A</v>
      </c>
      <c r="J1318" s="3">
        <v>1117.6590123958545</v>
      </c>
      <c r="K1318" s="3">
        <v>159</v>
      </c>
      <c r="L1318" s="3" t="e">
        <v>#N/A</v>
      </c>
      <c r="M1318" s="3" t="e">
        <v>#N/A</v>
      </c>
      <c r="N1318" s="3" t="e">
        <v>#N/A</v>
      </c>
      <c r="O1318" s="3" t="e">
        <v>#N/A</v>
      </c>
      <c r="P1318" s="3">
        <f>E1318*(VLOOKUP(B1318,Price_data!A$1:B$190,2,FALSE))</f>
        <v>1.1424192513420002</v>
      </c>
      <c r="Q1318" s="3" t="e">
        <f>G1318*(VLOOKUP(B1318,Price_data!A$1:B$190,2,FALSE))</f>
        <v>#N/A</v>
      </c>
      <c r="R1318" s="3" t="e">
        <f>I1318*(VLOOKUP(B1318,Price_data!A$1:B$190,2,FALSE))</f>
        <v>#N/A</v>
      </c>
      <c r="S1318" s="4" t="str">
        <f>(VLOOKUP(B1318,Price_data!A$1:C$190,3,FALSE))</f>
        <v>Open access</v>
      </c>
      <c r="T1318" s="2" t="str">
        <f>IF(C1318="Total", (VLOOKUP(B1318,Recommended_fish_intake!A$4:D$122,4,FALSE)), "NA")</f>
        <v>NA</v>
      </c>
      <c r="U1318" s="2" t="str">
        <f t="shared" si="158"/>
        <v>NA</v>
      </c>
    </row>
    <row r="1319" spans="1:21" ht="14.25" customHeight="1">
      <c r="A1319" s="2" t="s">
        <v>40</v>
      </c>
      <c r="B1319" s="2">
        <v>1973</v>
      </c>
      <c r="C1319" s="2" t="s">
        <v>23</v>
      </c>
      <c r="D1319" s="3">
        <f t="shared" si="152"/>
        <v>5.080268238162975E-2</v>
      </c>
      <c r="E1319" s="3">
        <f t="shared" si="153"/>
        <v>8.9999999999999993E-3</v>
      </c>
      <c r="F1319" s="3" t="e">
        <f t="shared" si="154"/>
        <v>#N/A</v>
      </c>
      <c r="G1319" s="3" t="e">
        <f t="shared" si="155"/>
        <v>#N/A</v>
      </c>
      <c r="H1319" s="3" t="e">
        <f t="shared" si="156"/>
        <v>#N/A</v>
      </c>
      <c r="I1319" s="3" t="e">
        <f t="shared" si="157"/>
        <v>#N/A</v>
      </c>
      <c r="J1319" s="3">
        <v>50.802682381629751</v>
      </c>
      <c r="K1319" s="3">
        <v>9</v>
      </c>
      <c r="L1319" s="3" t="e">
        <v>#N/A</v>
      </c>
      <c r="M1319" s="3" t="e">
        <v>#N/A</v>
      </c>
      <c r="N1319" s="3" t="e">
        <v>#N/A</v>
      </c>
      <c r="O1319" s="3" t="e">
        <v>#N/A</v>
      </c>
      <c r="P1319" s="3">
        <f>E1319*(VLOOKUP(B1319,Price_data!A$1:B$190,2,FALSE))</f>
        <v>6.4665240641999994E-2</v>
      </c>
      <c r="Q1319" s="3" t="e">
        <f>G1319*(VLOOKUP(B1319,Price_data!A$1:B$190,2,FALSE))</f>
        <v>#N/A</v>
      </c>
      <c r="R1319" s="3" t="e">
        <f>I1319*(VLOOKUP(B1319,Price_data!A$1:B$190,2,FALSE))</f>
        <v>#N/A</v>
      </c>
      <c r="S1319" s="4" t="str">
        <f>(VLOOKUP(B1319,Price_data!A$1:C$190,3,FALSE))</f>
        <v>Open access</v>
      </c>
      <c r="T1319" s="2" t="str">
        <f>IF(C1319="Total", (VLOOKUP(B1319,Recommended_fish_intake!A$4:D$122,4,FALSE)), "NA")</f>
        <v>NA</v>
      </c>
      <c r="U1319" s="2" t="str">
        <f t="shared" si="158"/>
        <v>NA</v>
      </c>
    </row>
    <row r="1320" spans="1:21" ht="14.25" customHeight="1">
      <c r="A1320" s="2" t="s">
        <v>40</v>
      </c>
      <c r="B1320" s="2">
        <v>1973</v>
      </c>
      <c r="C1320" s="2" t="s">
        <v>25</v>
      </c>
      <c r="D1320" s="3">
        <f t="shared" ref="D1320:D1383" si="159">J1320/1000</f>
        <v>0.15240804714488923</v>
      </c>
      <c r="E1320" s="3">
        <f t="shared" ref="E1320:E1383" si="160">K1320/1000</f>
        <v>1.7000000000000001E-2</v>
      </c>
      <c r="F1320" s="3" t="e">
        <f t="shared" ref="F1320:F1383" si="161">IF(L1320="", NA(), L1320/1000)</f>
        <v>#N/A</v>
      </c>
      <c r="G1320" s="3" t="e">
        <f t="shared" ref="G1320:G1383" si="162">IF(M1320="", NA(), M1320/1000)</f>
        <v>#N/A</v>
      </c>
      <c r="H1320" s="3" t="e">
        <f t="shared" ref="H1320:H1383" si="163">IF(N1320="", NA(), N1320/1000)</f>
        <v>#N/A</v>
      </c>
      <c r="I1320" s="3" t="e">
        <f t="shared" ref="I1320:I1383" si="164">IF(O1320="", NA(), O1320/1000)</f>
        <v>#N/A</v>
      </c>
      <c r="J1320" s="3">
        <v>152.40804714488922</v>
      </c>
      <c r="K1320" s="3">
        <v>17</v>
      </c>
      <c r="L1320" s="3" t="e">
        <v>#N/A</v>
      </c>
      <c r="M1320" s="3" t="e">
        <v>#N/A</v>
      </c>
      <c r="N1320" s="3" t="e">
        <v>#N/A</v>
      </c>
      <c r="O1320" s="3" t="e">
        <v>#N/A</v>
      </c>
      <c r="P1320" s="3">
        <f>E1320*(VLOOKUP(B1320,Price_data!A$1:B$190,2,FALSE))</f>
        <v>0.12214545454600001</v>
      </c>
      <c r="Q1320" s="3" t="e">
        <f>G1320*(VLOOKUP(B1320,Price_data!A$1:B$190,2,FALSE))</f>
        <v>#N/A</v>
      </c>
      <c r="R1320" s="3" t="e">
        <f>I1320*(VLOOKUP(B1320,Price_data!A$1:B$190,2,FALSE))</f>
        <v>#N/A</v>
      </c>
      <c r="S1320" s="4" t="str">
        <f>(VLOOKUP(B1320,Price_data!A$1:C$190,3,FALSE))</f>
        <v>Open access</v>
      </c>
      <c r="T1320" s="2" t="str">
        <f>IF(C1320="Total", (VLOOKUP(B1320,Recommended_fish_intake!A$4:D$122,4,FALSE)), "NA")</f>
        <v>NA</v>
      </c>
      <c r="U1320" s="2" t="str">
        <f t="shared" si="158"/>
        <v>NA</v>
      </c>
    </row>
    <row r="1321" spans="1:21" ht="14.25" customHeight="1">
      <c r="A1321" s="2" t="s">
        <v>40</v>
      </c>
      <c r="B1321" s="2">
        <v>1973</v>
      </c>
      <c r="C1321" s="2" t="s">
        <v>38</v>
      </c>
      <c r="D1321" s="3">
        <f t="shared" si="159"/>
        <v>0.50802682381629749</v>
      </c>
      <c r="E1321" s="3">
        <f t="shared" si="160"/>
        <v>2.5000000000000001E-2</v>
      </c>
      <c r="F1321" s="3" t="e">
        <f t="shared" si="161"/>
        <v>#N/A</v>
      </c>
      <c r="G1321" s="3" t="e">
        <f t="shared" si="162"/>
        <v>#N/A</v>
      </c>
      <c r="H1321" s="3" t="e">
        <f t="shared" si="163"/>
        <v>#N/A</v>
      </c>
      <c r="I1321" s="3" t="e">
        <f t="shared" si="164"/>
        <v>#N/A</v>
      </c>
      <c r="J1321" s="3">
        <v>508.02682381629751</v>
      </c>
      <c r="K1321" s="3">
        <v>25</v>
      </c>
      <c r="L1321" s="3" t="e">
        <v>#N/A</v>
      </c>
      <c r="M1321" s="3" t="e">
        <v>#N/A</v>
      </c>
      <c r="N1321" s="3" t="e">
        <v>#N/A</v>
      </c>
      <c r="O1321" s="3" t="e">
        <v>#N/A</v>
      </c>
      <c r="P1321" s="3">
        <f>E1321*(VLOOKUP(B1321,Price_data!A$1:B$190,2,FALSE))</f>
        <v>0.17962566845000003</v>
      </c>
      <c r="Q1321" s="3" t="e">
        <f>G1321*(VLOOKUP(B1321,Price_data!A$1:B$190,2,FALSE))</f>
        <v>#N/A</v>
      </c>
      <c r="R1321" s="3" t="e">
        <f>I1321*(VLOOKUP(B1321,Price_data!A$1:B$190,2,FALSE))</f>
        <v>#N/A</v>
      </c>
      <c r="S1321" s="4" t="str">
        <f>(VLOOKUP(B1321,Price_data!A$1:C$190,3,FALSE))</f>
        <v>Open access</v>
      </c>
      <c r="T1321" s="2" t="str">
        <f>IF(C1321="Total", (VLOOKUP(B1321,Recommended_fish_intake!A$4:D$122,4,FALSE)), "NA")</f>
        <v>NA</v>
      </c>
      <c r="U1321" s="2" t="str">
        <f t="shared" si="158"/>
        <v>NA</v>
      </c>
    </row>
    <row r="1322" spans="1:21" ht="14.25" customHeight="1">
      <c r="A1322" s="2" t="s">
        <v>40</v>
      </c>
      <c r="B1322" s="2">
        <v>1973</v>
      </c>
      <c r="C1322" s="2" t="s">
        <v>24</v>
      </c>
      <c r="D1322" s="3">
        <f t="shared" si="159"/>
        <v>2.1845153424100792</v>
      </c>
      <c r="E1322" s="3">
        <f t="shared" si="160"/>
        <v>0.18099999999999999</v>
      </c>
      <c r="F1322" s="3" t="e">
        <f t="shared" si="161"/>
        <v>#N/A</v>
      </c>
      <c r="G1322" s="3" t="e">
        <f t="shared" si="162"/>
        <v>#N/A</v>
      </c>
      <c r="H1322" s="3" t="e">
        <f t="shared" si="163"/>
        <v>#N/A</v>
      </c>
      <c r="I1322" s="3" t="e">
        <f t="shared" si="164"/>
        <v>#N/A</v>
      </c>
      <c r="J1322" s="3">
        <v>2184.515342410079</v>
      </c>
      <c r="K1322" s="3">
        <v>181</v>
      </c>
      <c r="L1322" s="3" t="e">
        <v>#N/A</v>
      </c>
      <c r="M1322" s="3" t="e">
        <v>#N/A</v>
      </c>
      <c r="N1322" s="3" t="e">
        <v>#N/A</v>
      </c>
      <c r="O1322" s="3" t="e">
        <v>#N/A</v>
      </c>
      <c r="P1322" s="3">
        <f>E1322*(VLOOKUP(B1322,Price_data!A$1:B$190,2,FALSE))</f>
        <v>1.300489839578</v>
      </c>
      <c r="Q1322" s="3" t="e">
        <f>G1322*(VLOOKUP(B1322,Price_data!A$1:B$190,2,FALSE))</f>
        <v>#N/A</v>
      </c>
      <c r="R1322" s="3" t="e">
        <f>I1322*(VLOOKUP(B1322,Price_data!A$1:B$190,2,FALSE))</f>
        <v>#N/A</v>
      </c>
      <c r="S1322" s="4" t="str">
        <f>(VLOOKUP(B1322,Price_data!A$1:C$190,3,FALSE))</f>
        <v>Open access</v>
      </c>
      <c r="T1322" s="2" t="str">
        <f>IF(C1322="Total", (VLOOKUP(B1322,Recommended_fish_intake!A$4:D$122,4,FALSE)), "NA")</f>
        <v>NA</v>
      </c>
      <c r="U1322" s="2" t="str">
        <f t="shared" si="158"/>
        <v>NA</v>
      </c>
    </row>
    <row r="1323" spans="1:21" ht="14.25" customHeight="1">
      <c r="A1323" s="2" t="s">
        <v>40</v>
      </c>
      <c r="B1323" s="2">
        <v>1973</v>
      </c>
      <c r="C1323" s="2" t="s">
        <v>19</v>
      </c>
      <c r="D1323" s="3">
        <f t="shared" si="159"/>
        <v>5.7915057915057915</v>
      </c>
      <c r="E1323" s="3">
        <f t="shared" si="160"/>
        <v>0.41199999999999998</v>
      </c>
      <c r="F1323" s="3" t="e">
        <f t="shared" si="161"/>
        <v>#N/A</v>
      </c>
      <c r="G1323" s="3" t="e">
        <f t="shared" si="162"/>
        <v>#N/A</v>
      </c>
      <c r="H1323" s="3" t="e">
        <f t="shared" si="163"/>
        <v>#N/A</v>
      </c>
      <c r="I1323" s="3" t="e">
        <f t="shared" si="164"/>
        <v>#N/A</v>
      </c>
      <c r="J1323" s="3">
        <v>5791.5057915057914</v>
      </c>
      <c r="K1323" s="3">
        <v>412</v>
      </c>
      <c r="L1323" s="3" t="e">
        <v>#N/A</v>
      </c>
      <c r="M1323" s="3" t="e">
        <v>#N/A</v>
      </c>
      <c r="N1323" s="3" t="e">
        <v>#N/A</v>
      </c>
      <c r="O1323" s="3" t="e">
        <v>#N/A</v>
      </c>
      <c r="P1323" s="3">
        <f>E1323*(VLOOKUP(B1323,Price_data!A$1:B$190,2,FALSE))</f>
        <v>2.9602310160559999</v>
      </c>
      <c r="Q1323" s="3" t="e">
        <f>G1323*(VLOOKUP(B1323,Price_data!A$1:B$190,2,FALSE))</f>
        <v>#N/A</v>
      </c>
      <c r="R1323" s="3" t="e">
        <f>I1323*(VLOOKUP(B1323,Price_data!A$1:B$190,2,FALSE))</f>
        <v>#N/A</v>
      </c>
      <c r="S1323" s="4" t="str">
        <f>(VLOOKUP(B1323,Price_data!A$1:C$190,3,FALSE))</f>
        <v>Open access</v>
      </c>
      <c r="T1323" s="2" t="str">
        <f>IF(C1323="Total", (VLOOKUP(B1323,Recommended_fish_intake!A$4:D$122,4,FALSE)), "NA")</f>
        <v>NA</v>
      </c>
      <c r="U1323" s="2" t="str">
        <f t="shared" si="158"/>
        <v>NA</v>
      </c>
    </row>
    <row r="1324" spans="1:21" ht="14.25" customHeight="1">
      <c r="A1324" s="2" t="s">
        <v>40</v>
      </c>
      <c r="B1324" s="2">
        <v>1973</v>
      </c>
      <c r="C1324" s="2" t="s">
        <v>21</v>
      </c>
      <c r="D1324" s="3">
        <f t="shared" si="159"/>
        <v>0</v>
      </c>
      <c r="E1324" s="3">
        <f t="shared" si="160"/>
        <v>0</v>
      </c>
      <c r="F1324" s="3" t="e">
        <f t="shared" si="161"/>
        <v>#N/A</v>
      </c>
      <c r="G1324" s="3" t="e">
        <f t="shared" si="162"/>
        <v>#N/A</v>
      </c>
      <c r="H1324" s="3" t="e">
        <f t="shared" si="163"/>
        <v>#N/A</v>
      </c>
      <c r="I1324" s="3" t="e">
        <f t="shared" si="164"/>
        <v>#N/A</v>
      </c>
      <c r="J1324" s="3">
        <v>0</v>
      </c>
      <c r="K1324" s="3">
        <v>0</v>
      </c>
      <c r="L1324" s="3" t="e">
        <v>#N/A</v>
      </c>
      <c r="M1324" s="3" t="e">
        <v>#N/A</v>
      </c>
      <c r="N1324" s="3" t="e">
        <v>#N/A</v>
      </c>
      <c r="O1324" s="3" t="e">
        <v>#N/A</v>
      </c>
      <c r="P1324" s="3">
        <f>E1324*(VLOOKUP(B1324,Price_data!A$1:B$190,2,FALSE))</f>
        <v>0</v>
      </c>
      <c r="Q1324" s="3" t="e">
        <f>G1324*(VLOOKUP(B1324,Price_data!A$1:B$190,2,FALSE))</f>
        <v>#N/A</v>
      </c>
      <c r="R1324" s="3" t="e">
        <f>I1324*(VLOOKUP(B1324,Price_data!A$1:B$190,2,FALSE))</f>
        <v>#N/A</v>
      </c>
      <c r="S1324" s="4" t="str">
        <f>(VLOOKUP(B1324,Price_data!A$1:C$190,3,FALSE))</f>
        <v>Open access</v>
      </c>
      <c r="T1324" s="2" t="str">
        <f>IF(C1324="Total", (VLOOKUP(B1324,Recommended_fish_intake!A$4:D$122,4,FALSE)), "NA")</f>
        <v>NA</v>
      </c>
      <c r="U1324" s="2" t="str">
        <f t="shared" si="158"/>
        <v>NA</v>
      </c>
    </row>
    <row r="1325" spans="1:21" ht="14.25" customHeight="1">
      <c r="A1325" s="2" t="s">
        <v>40</v>
      </c>
      <c r="B1325" s="2">
        <v>1973</v>
      </c>
      <c r="C1325" s="2" t="s">
        <v>36</v>
      </c>
      <c r="D1325" s="3">
        <f t="shared" si="159"/>
        <v>0</v>
      </c>
      <c r="E1325" s="3">
        <f t="shared" si="160"/>
        <v>0</v>
      </c>
      <c r="F1325" s="3" t="e">
        <f t="shared" si="161"/>
        <v>#N/A</v>
      </c>
      <c r="G1325" s="3" t="e">
        <f t="shared" si="162"/>
        <v>#N/A</v>
      </c>
      <c r="H1325" s="3" t="e">
        <f t="shared" si="163"/>
        <v>#N/A</v>
      </c>
      <c r="I1325" s="3" t="e">
        <f t="shared" si="164"/>
        <v>#N/A</v>
      </c>
      <c r="J1325" s="3">
        <v>0</v>
      </c>
      <c r="K1325" s="3">
        <v>0</v>
      </c>
      <c r="L1325" s="3" t="e">
        <v>#N/A</v>
      </c>
      <c r="M1325" s="3" t="e">
        <v>#N/A</v>
      </c>
      <c r="N1325" s="3" t="e">
        <v>#N/A</v>
      </c>
      <c r="O1325" s="3" t="e">
        <v>#N/A</v>
      </c>
      <c r="P1325" s="3">
        <f>E1325*(VLOOKUP(B1325,Price_data!A$1:B$190,2,FALSE))</f>
        <v>0</v>
      </c>
      <c r="Q1325" s="3" t="e">
        <f>G1325*(VLOOKUP(B1325,Price_data!A$1:B$190,2,FALSE))</f>
        <v>#N/A</v>
      </c>
      <c r="R1325" s="3" t="e">
        <f>I1325*(VLOOKUP(B1325,Price_data!A$1:B$190,2,FALSE))</f>
        <v>#N/A</v>
      </c>
      <c r="S1325" s="4" t="str">
        <f>(VLOOKUP(B1325,Price_data!A$1:C$190,3,FALSE))</f>
        <v>Open access</v>
      </c>
      <c r="T1325" s="2" t="str">
        <f>IF(C1325="Total", (VLOOKUP(B1325,Recommended_fish_intake!A$4:D$122,4,FALSE)), "NA")</f>
        <v>NA</v>
      </c>
      <c r="U1325" s="2" t="str">
        <f t="shared" si="158"/>
        <v>NA</v>
      </c>
    </row>
    <row r="1326" spans="1:21" ht="14.25" customHeight="1">
      <c r="A1326" s="2" t="s">
        <v>40</v>
      </c>
      <c r="B1326" s="2">
        <v>1973</v>
      </c>
      <c r="C1326" s="2" t="s">
        <v>34</v>
      </c>
      <c r="D1326" s="3">
        <f t="shared" si="159"/>
        <v>0</v>
      </c>
      <c r="E1326" s="3">
        <f t="shared" si="160"/>
        <v>2.8000000000000001E-2</v>
      </c>
      <c r="F1326" s="3" t="e">
        <f t="shared" si="161"/>
        <v>#N/A</v>
      </c>
      <c r="G1326" s="3" t="e">
        <f t="shared" si="162"/>
        <v>#N/A</v>
      </c>
      <c r="H1326" s="3" t="e">
        <f t="shared" si="163"/>
        <v>#N/A</v>
      </c>
      <c r="I1326" s="3" t="e">
        <f t="shared" si="164"/>
        <v>#N/A</v>
      </c>
      <c r="J1326" s="3">
        <v>0</v>
      </c>
      <c r="K1326" s="3">
        <v>28</v>
      </c>
      <c r="L1326" s="3" t="e">
        <v>#N/A</v>
      </c>
      <c r="M1326" s="3" t="e">
        <v>#N/A</v>
      </c>
      <c r="N1326" s="3" t="e">
        <v>#N/A</v>
      </c>
      <c r="O1326" s="3" t="e">
        <v>#N/A</v>
      </c>
      <c r="P1326" s="3">
        <f>E1326*(VLOOKUP(B1326,Price_data!A$1:B$190,2,FALSE))</f>
        <v>0.20118074866400001</v>
      </c>
      <c r="Q1326" s="3" t="e">
        <f>G1326*(VLOOKUP(B1326,Price_data!A$1:B$190,2,FALSE))</f>
        <v>#N/A</v>
      </c>
      <c r="R1326" s="3" t="e">
        <f>I1326*(VLOOKUP(B1326,Price_data!A$1:B$190,2,FALSE))</f>
        <v>#N/A</v>
      </c>
      <c r="S1326" s="4" t="str">
        <f>(VLOOKUP(B1326,Price_data!A$1:C$190,3,FALSE))</f>
        <v>Open access</v>
      </c>
      <c r="T1326" s="2" t="str">
        <f>IF(C1326="Total", (VLOOKUP(B1326,Recommended_fish_intake!A$4:D$122,4,FALSE)), "NA")</f>
        <v>NA</v>
      </c>
      <c r="U1326" s="2" t="str">
        <f t="shared" si="158"/>
        <v>NA</v>
      </c>
    </row>
    <row r="1327" spans="1:21" ht="14.25" customHeight="1">
      <c r="A1327" s="2" t="s">
        <v>40</v>
      </c>
      <c r="B1327" s="2">
        <v>1973</v>
      </c>
      <c r="C1327" s="2" t="s">
        <v>35</v>
      </c>
      <c r="D1327" s="3">
        <f t="shared" si="159"/>
        <v>3.6577931314773418</v>
      </c>
      <c r="E1327" s="3">
        <f t="shared" si="160"/>
        <v>0.85499999999999998</v>
      </c>
      <c r="F1327" s="3" t="e">
        <f t="shared" si="161"/>
        <v>#N/A</v>
      </c>
      <c r="G1327" s="3" t="e">
        <f t="shared" si="162"/>
        <v>#N/A</v>
      </c>
      <c r="H1327" s="3" t="e">
        <f t="shared" si="163"/>
        <v>#N/A</v>
      </c>
      <c r="I1327" s="3" t="e">
        <f t="shared" si="164"/>
        <v>#N/A</v>
      </c>
      <c r="J1327" s="3">
        <v>3657.7931314773418</v>
      </c>
      <c r="K1327" s="3">
        <v>855</v>
      </c>
      <c r="L1327" s="3" t="e">
        <v>#N/A</v>
      </c>
      <c r="M1327" s="3" t="e">
        <v>#N/A</v>
      </c>
      <c r="N1327" s="3" t="e">
        <v>#N/A</v>
      </c>
      <c r="O1327" s="3" t="e">
        <v>#N/A</v>
      </c>
      <c r="P1327" s="3">
        <f>E1327*(VLOOKUP(B1327,Price_data!A$1:B$190,2,FALSE))</f>
        <v>6.14319786099</v>
      </c>
      <c r="Q1327" s="3" t="e">
        <f>G1327*(VLOOKUP(B1327,Price_data!A$1:B$190,2,FALSE))</f>
        <v>#N/A</v>
      </c>
      <c r="R1327" s="3" t="e">
        <f>I1327*(VLOOKUP(B1327,Price_data!A$1:B$190,2,FALSE))</f>
        <v>#N/A</v>
      </c>
      <c r="S1327" s="4" t="str">
        <f>(VLOOKUP(B1327,Price_data!A$1:C$190,3,FALSE))</f>
        <v>Open access</v>
      </c>
      <c r="T1327" s="2" t="str">
        <f>IF(C1327="Total", (VLOOKUP(B1327,Recommended_fish_intake!A$4:D$122,4,FALSE)), "NA")</f>
        <v>NA</v>
      </c>
      <c r="U1327" s="2" t="str">
        <f t="shared" si="158"/>
        <v>NA</v>
      </c>
    </row>
    <row r="1328" spans="1:21" ht="14.25" customHeight="1">
      <c r="A1328" s="2" t="s">
        <v>40</v>
      </c>
      <c r="B1328" s="2">
        <v>1973</v>
      </c>
      <c r="C1328" s="2" t="s">
        <v>30</v>
      </c>
      <c r="D1328" s="3">
        <f t="shared" si="159"/>
        <v>0</v>
      </c>
      <c r="E1328" s="3">
        <f t="shared" si="160"/>
        <v>0</v>
      </c>
      <c r="F1328" s="3" t="e">
        <f t="shared" si="161"/>
        <v>#N/A</v>
      </c>
      <c r="G1328" s="3" t="e">
        <f t="shared" si="162"/>
        <v>#N/A</v>
      </c>
      <c r="H1328" s="3" t="e">
        <f t="shared" si="163"/>
        <v>#N/A</v>
      </c>
      <c r="I1328" s="3" t="e">
        <f t="shared" si="164"/>
        <v>#N/A</v>
      </c>
      <c r="J1328" s="3">
        <v>0</v>
      </c>
      <c r="K1328" s="3">
        <v>0</v>
      </c>
      <c r="L1328" s="3" t="e">
        <v>#N/A</v>
      </c>
      <c r="M1328" s="3" t="e">
        <v>#N/A</v>
      </c>
      <c r="N1328" s="3" t="e">
        <v>#N/A</v>
      </c>
      <c r="O1328" s="3" t="e">
        <v>#N/A</v>
      </c>
      <c r="P1328" s="3">
        <f>E1328*(VLOOKUP(B1328,Price_data!A$1:B$190,2,FALSE))</f>
        <v>0</v>
      </c>
      <c r="Q1328" s="3" t="e">
        <f>G1328*(VLOOKUP(B1328,Price_data!A$1:B$190,2,FALSE))</f>
        <v>#N/A</v>
      </c>
      <c r="R1328" s="3" t="e">
        <f>I1328*(VLOOKUP(B1328,Price_data!A$1:B$190,2,FALSE))</f>
        <v>#N/A</v>
      </c>
      <c r="S1328" s="4" t="str">
        <f>(VLOOKUP(B1328,Price_data!A$1:C$190,3,FALSE))</f>
        <v>Open access</v>
      </c>
      <c r="T1328" s="2" t="str">
        <f>IF(C1328="Total", (VLOOKUP(B1328,Recommended_fish_intake!A$4:D$122,4,FALSE)), "NA")</f>
        <v>NA</v>
      </c>
      <c r="U1328" s="2" t="str">
        <f t="shared" si="158"/>
        <v>NA</v>
      </c>
    </row>
    <row r="1329" spans="1:21" ht="14.25" customHeight="1">
      <c r="A1329" s="2" t="s">
        <v>40</v>
      </c>
      <c r="B1329" s="2">
        <v>1973</v>
      </c>
      <c r="C1329" s="2" t="s">
        <v>41</v>
      </c>
      <c r="D1329" s="3">
        <f t="shared" si="159"/>
        <v>4.8770575086364554</v>
      </c>
      <c r="E1329" s="3">
        <f t="shared" si="160"/>
        <v>0.47099999999999997</v>
      </c>
      <c r="F1329" s="3" t="e">
        <f t="shared" si="161"/>
        <v>#N/A</v>
      </c>
      <c r="G1329" s="3" t="e">
        <f t="shared" si="162"/>
        <v>#N/A</v>
      </c>
      <c r="H1329" s="3" t="e">
        <f t="shared" si="163"/>
        <v>#N/A</v>
      </c>
      <c r="I1329" s="3" t="e">
        <f t="shared" si="164"/>
        <v>#N/A</v>
      </c>
      <c r="J1329" s="3">
        <v>4877.0575086364552</v>
      </c>
      <c r="K1329" s="3">
        <v>471</v>
      </c>
      <c r="L1329" s="3" t="e">
        <v>#N/A</v>
      </c>
      <c r="M1329" s="3" t="e">
        <v>#N/A</v>
      </c>
      <c r="N1329" s="3" t="e">
        <v>#N/A</v>
      </c>
      <c r="O1329" s="3" t="e">
        <v>#N/A</v>
      </c>
      <c r="P1329" s="3">
        <f>E1329*(VLOOKUP(B1329,Price_data!A$1:B$190,2,FALSE))</f>
        <v>3.3841475935980001</v>
      </c>
      <c r="Q1329" s="3" t="e">
        <f>G1329*(VLOOKUP(B1329,Price_data!A$1:B$190,2,FALSE))</f>
        <v>#N/A</v>
      </c>
      <c r="R1329" s="3" t="e">
        <f>I1329*(VLOOKUP(B1329,Price_data!A$1:B$190,2,FALSE))</f>
        <v>#N/A</v>
      </c>
      <c r="S1329" s="4" t="str">
        <f>(VLOOKUP(B1329,Price_data!A$1:C$190,3,FALSE))</f>
        <v>Open access</v>
      </c>
      <c r="T1329" s="2" t="str">
        <f>IF(C1329="Total", (VLOOKUP(B1329,Recommended_fish_intake!A$4:D$122,4,FALSE)), "NA")</f>
        <v>NA</v>
      </c>
      <c r="U1329" s="2" t="str">
        <f t="shared" si="158"/>
        <v>NA</v>
      </c>
    </row>
    <row r="1330" spans="1:21" ht="14.25" customHeight="1">
      <c r="A1330" s="2" t="s">
        <v>40</v>
      </c>
      <c r="B1330" s="2">
        <v>1973</v>
      </c>
      <c r="C1330" s="2" t="s">
        <v>42</v>
      </c>
      <c r="D1330" s="3">
        <f t="shared" si="159"/>
        <v>5.8931111562690504</v>
      </c>
      <c r="E1330" s="3">
        <f t="shared" si="160"/>
        <v>0.41499999999999998</v>
      </c>
      <c r="F1330" s="3" t="e">
        <f t="shared" si="161"/>
        <v>#N/A</v>
      </c>
      <c r="G1330" s="3" t="e">
        <f t="shared" si="162"/>
        <v>#N/A</v>
      </c>
      <c r="H1330" s="3" t="e">
        <f t="shared" si="163"/>
        <v>#N/A</v>
      </c>
      <c r="I1330" s="3" t="e">
        <f t="shared" si="164"/>
        <v>#N/A</v>
      </c>
      <c r="J1330" s="3">
        <v>5893.1111562690503</v>
      </c>
      <c r="K1330" s="3">
        <v>415</v>
      </c>
      <c r="L1330" s="3" t="e">
        <v>#N/A</v>
      </c>
      <c r="M1330" s="3" t="e">
        <v>#N/A</v>
      </c>
      <c r="N1330" s="3" t="e">
        <v>#N/A</v>
      </c>
      <c r="O1330" s="3" t="e">
        <v>#N/A</v>
      </c>
      <c r="P1330" s="3">
        <f>E1330*(VLOOKUP(B1330,Price_data!A$1:B$190,2,FALSE))</f>
        <v>2.98178609627</v>
      </c>
      <c r="Q1330" s="3" t="e">
        <f>G1330*(VLOOKUP(B1330,Price_data!A$1:B$190,2,FALSE))</f>
        <v>#N/A</v>
      </c>
      <c r="R1330" s="3" t="e">
        <f>I1330*(VLOOKUP(B1330,Price_data!A$1:B$190,2,FALSE))</f>
        <v>#N/A</v>
      </c>
      <c r="S1330" s="4" t="str">
        <f>(VLOOKUP(B1330,Price_data!A$1:C$190,3,FALSE))</f>
        <v>Open access</v>
      </c>
      <c r="T1330" s="2" t="str">
        <f>IF(C1330="Total", (VLOOKUP(B1330,Recommended_fish_intake!A$4:D$122,4,FALSE)), "NA")</f>
        <v>NA</v>
      </c>
      <c r="U1330" s="2" t="str">
        <f t="shared" si="158"/>
        <v>NA</v>
      </c>
    </row>
    <row r="1331" spans="1:21" ht="14.25" customHeight="1">
      <c r="A1331" s="2" t="s">
        <v>40</v>
      </c>
      <c r="B1331" s="2">
        <v>1973</v>
      </c>
      <c r="C1331" s="2" t="s">
        <v>37</v>
      </c>
      <c r="D1331" s="3">
        <f t="shared" si="159"/>
        <v>10.770168664905507</v>
      </c>
      <c r="E1331" s="3">
        <f t="shared" si="160"/>
        <v>0.88600000000000001</v>
      </c>
      <c r="F1331" s="3" t="e">
        <f t="shared" si="161"/>
        <v>#N/A</v>
      </c>
      <c r="G1331" s="3" t="e">
        <f t="shared" si="162"/>
        <v>#N/A</v>
      </c>
      <c r="H1331" s="3" t="e">
        <f t="shared" si="163"/>
        <v>#N/A</v>
      </c>
      <c r="I1331" s="3" t="e">
        <f t="shared" si="164"/>
        <v>#N/A</v>
      </c>
      <c r="J1331" s="3">
        <v>10770.168664905506</v>
      </c>
      <c r="K1331" s="3">
        <v>886</v>
      </c>
      <c r="L1331" s="3" t="e">
        <v>#N/A</v>
      </c>
      <c r="M1331" s="3" t="e">
        <v>#N/A</v>
      </c>
      <c r="N1331" s="3" t="e">
        <v>#N/A</v>
      </c>
      <c r="O1331" s="3" t="e">
        <v>#N/A</v>
      </c>
      <c r="P1331" s="3">
        <f>E1331*(VLOOKUP(B1331,Price_data!A$1:B$190,2,FALSE))</f>
        <v>6.3659336898680001</v>
      </c>
      <c r="Q1331" s="3" t="e">
        <f>G1331*(VLOOKUP(B1331,Price_data!A$1:B$190,2,FALSE))</f>
        <v>#N/A</v>
      </c>
      <c r="R1331" s="3" t="e">
        <f>I1331*(VLOOKUP(B1331,Price_data!A$1:B$190,2,FALSE))</f>
        <v>#N/A</v>
      </c>
      <c r="S1331" s="4" t="str">
        <f>(VLOOKUP(B1331,Price_data!A$1:C$190,3,FALSE))</f>
        <v>Open access</v>
      </c>
      <c r="T1331" s="2" t="str">
        <f>IF(C1331="Total", (VLOOKUP(B1331,Recommended_fish_intake!A$4:D$122,4,FALSE)), "NA")</f>
        <v>NA</v>
      </c>
      <c r="U1331" s="2">
        <f t="shared" si="158"/>
        <v>5.2773826458036979</v>
      </c>
    </row>
    <row r="1332" spans="1:21" ht="14.25" customHeight="1">
      <c r="A1332" s="2" t="s">
        <v>40</v>
      </c>
      <c r="B1332" s="2">
        <v>1973</v>
      </c>
      <c r="C1332" s="2" t="s">
        <v>28</v>
      </c>
      <c r="D1332" s="3">
        <f t="shared" si="159"/>
        <v>4.5214387319650475</v>
      </c>
      <c r="E1332" s="3">
        <f t="shared" si="160"/>
        <v>0.98199999999999998</v>
      </c>
      <c r="F1332" s="3" t="e">
        <f t="shared" si="161"/>
        <v>#N/A</v>
      </c>
      <c r="G1332" s="3" t="e">
        <f t="shared" si="162"/>
        <v>#N/A</v>
      </c>
      <c r="H1332" s="3" t="e">
        <f t="shared" si="163"/>
        <v>#N/A</v>
      </c>
      <c r="I1332" s="3" t="e">
        <f t="shared" si="164"/>
        <v>#N/A</v>
      </c>
      <c r="J1332" s="3">
        <v>4521.4387319650477</v>
      </c>
      <c r="K1332" s="3">
        <v>982</v>
      </c>
      <c r="L1332" s="3" t="e">
        <v>#N/A</v>
      </c>
      <c r="M1332" s="3" t="e">
        <v>#N/A</v>
      </c>
      <c r="N1332" s="3" t="e">
        <v>#N/A</v>
      </c>
      <c r="O1332" s="3" t="e">
        <v>#N/A</v>
      </c>
      <c r="P1332" s="3">
        <f>E1332*(VLOOKUP(B1332,Price_data!A$1:B$190,2,FALSE))</f>
        <v>7.0556962567160006</v>
      </c>
      <c r="Q1332" s="3" t="e">
        <f>G1332*(VLOOKUP(B1332,Price_data!A$1:B$190,2,FALSE))</f>
        <v>#N/A</v>
      </c>
      <c r="R1332" s="3" t="e">
        <f>I1332*(VLOOKUP(B1332,Price_data!A$1:B$190,2,FALSE))</f>
        <v>#N/A</v>
      </c>
      <c r="S1332" s="4" t="str">
        <f>(VLOOKUP(B1332,Price_data!A$1:C$190,3,FALSE))</f>
        <v>Open access</v>
      </c>
      <c r="T1332" s="2" t="str">
        <f>IF(C1332="Total", (VLOOKUP(B1332,Recommended_fish_intake!A$4:D$122,4,FALSE)), "NA")</f>
        <v>NA</v>
      </c>
      <c r="U1332" s="2">
        <f t="shared" si="158"/>
        <v>1.2660028449502134</v>
      </c>
    </row>
    <row r="1333" spans="1:21" ht="14.25" customHeight="1">
      <c r="A1333" s="2" t="s">
        <v>15</v>
      </c>
      <c r="B1333" s="2">
        <v>1973</v>
      </c>
      <c r="C1333" s="2" t="s">
        <v>22</v>
      </c>
      <c r="D1333" s="3">
        <f t="shared" si="159"/>
        <v>273.72485267222106</v>
      </c>
      <c r="E1333" s="3">
        <f t="shared" si="160"/>
        <v>64.882999999999996</v>
      </c>
      <c r="F1333" s="3" t="e">
        <f t="shared" si="161"/>
        <v>#N/A</v>
      </c>
      <c r="G1333" s="3" t="e">
        <f t="shared" si="162"/>
        <v>#N/A</v>
      </c>
      <c r="H1333" s="3">
        <f t="shared" si="163"/>
        <v>36.933550091444829</v>
      </c>
      <c r="I1333" s="3">
        <f t="shared" si="164"/>
        <v>15.855</v>
      </c>
      <c r="J1333" s="3">
        <v>273724.85267222108</v>
      </c>
      <c r="K1333" s="3">
        <v>64883</v>
      </c>
      <c r="L1333" s="3" t="e">
        <v>#N/A</v>
      </c>
      <c r="M1333" s="3" t="e">
        <v>#N/A</v>
      </c>
      <c r="N1333" s="3">
        <v>36933.550091444828</v>
      </c>
      <c r="O1333" s="3">
        <v>15855</v>
      </c>
      <c r="P1333" s="3">
        <f>E1333*(VLOOKUP(B1333,Price_data!A$1:B$190,2,FALSE))</f>
        <v>466.186089841654</v>
      </c>
      <c r="Q1333" s="3" t="e">
        <f>G1333*(VLOOKUP(B1333,Price_data!A$1:B$190,2,FALSE))</f>
        <v>#N/A</v>
      </c>
      <c r="R1333" s="3">
        <f>I1333*(VLOOKUP(B1333,Price_data!A$1:B$190,2,FALSE))</f>
        <v>113.91859893099002</v>
      </c>
      <c r="S1333" s="4" t="str">
        <f>(VLOOKUP(B1333,Price_data!A$1:C$190,3,FALSE))</f>
        <v>Open access</v>
      </c>
      <c r="T1333" s="2" t="str">
        <f>IF(C1333="Total", (VLOOKUP(B1333,Recommended_fish_intake!A$4:D$122,4,FALSE)), "NA")</f>
        <v>NA</v>
      </c>
      <c r="U1333" s="2" t="str">
        <f t="shared" si="158"/>
        <v>NA</v>
      </c>
    </row>
    <row r="1334" spans="1:21" ht="14.25" customHeight="1">
      <c r="A1334" s="2" t="s">
        <v>15</v>
      </c>
      <c r="B1334" s="2">
        <v>1973</v>
      </c>
      <c r="C1334" s="2" t="s">
        <v>23</v>
      </c>
      <c r="D1334" s="3">
        <f t="shared" si="159"/>
        <v>149.51229424913635</v>
      </c>
      <c r="E1334" s="3">
        <f t="shared" si="160"/>
        <v>27.503</v>
      </c>
      <c r="F1334" s="3" t="e">
        <f t="shared" si="161"/>
        <v>#N/A</v>
      </c>
      <c r="G1334" s="3" t="e">
        <f t="shared" si="162"/>
        <v>#N/A</v>
      </c>
      <c r="H1334" s="3">
        <f t="shared" si="163"/>
        <v>11.837024994919732</v>
      </c>
      <c r="I1334" s="3">
        <f t="shared" si="164"/>
        <v>5.6749999999999998</v>
      </c>
      <c r="J1334" s="3">
        <v>149512.29424913635</v>
      </c>
      <c r="K1334" s="3">
        <v>27503</v>
      </c>
      <c r="L1334" s="3" t="e">
        <v>#N/A</v>
      </c>
      <c r="M1334" s="3" t="e">
        <v>#N/A</v>
      </c>
      <c r="N1334" s="3">
        <v>11837.024994919731</v>
      </c>
      <c r="O1334" s="3">
        <v>5675</v>
      </c>
      <c r="P1334" s="3">
        <f>E1334*(VLOOKUP(B1334,Price_data!A$1:B$190,2,FALSE))</f>
        <v>197.609790375214</v>
      </c>
      <c r="Q1334" s="3" t="e">
        <f>G1334*(VLOOKUP(B1334,Price_data!A$1:B$190,2,FALSE))</f>
        <v>#N/A</v>
      </c>
      <c r="R1334" s="3">
        <f>I1334*(VLOOKUP(B1334,Price_data!A$1:B$190,2,FALSE))</f>
        <v>40.775026738150004</v>
      </c>
      <c r="S1334" s="4" t="str">
        <f>(VLOOKUP(B1334,Price_data!A$1:C$190,3,FALSE))</f>
        <v>Open access</v>
      </c>
      <c r="T1334" s="2" t="str">
        <f>IF(C1334="Total", (VLOOKUP(B1334,Recommended_fish_intake!A$4:D$122,4,FALSE)), "NA")</f>
        <v>NA</v>
      </c>
      <c r="U1334" s="2" t="str">
        <f t="shared" si="158"/>
        <v>NA</v>
      </c>
    </row>
    <row r="1335" spans="1:21" ht="14.25" customHeight="1">
      <c r="A1335" s="2" t="s">
        <v>15</v>
      </c>
      <c r="B1335" s="2">
        <v>1973</v>
      </c>
      <c r="C1335" s="2" t="s">
        <v>25</v>
      </c>
      <c r="D1335" s="3">
        <f t="shared" si="159"/>
        <v>37.898801056695788</v>
      </c>
      <c r="E1335" s="3">
        <f t="shared" si="160"/>
        <v>9.7089999999999996</v>
      </c>
      <c r="F1335" s="3" t="e">
        <f t="shared" si="161"/>
        <v>#N/A</v>
      </c>
      <c r="G1335" s="3" t="e">
        <f t="shared" si="162"/>
        <v>#N/A</v>
      </c>
      <c r="H1335" s="3">
        <f t="shared" si="163"/>
        <v>19.000203210729527</v>
      </c>
      <c r="I1335" s="3">
        <f t="shared" si="164"/>
        <v>6.74</v>
      </c>
      <c r="J1335" s="3">
        <v>37898.801056695789</v>
      </c>
      <c r="K1335" s="3">
        <v>9709</v>
      </c>
      <c r="L1335" s="3" t="e">
        <v>#N/A</v>
      </c>
      <c r="M1335" s="3" t="e">
        <v>#N/A</v>
      </c>
      <c r="N1335" s="3">
        <v>19000.203210729527</v>
      </c>
      <c r="O1335" s="3">
        <v>6740</v>
      </c>
      <c r="P1335" s="3">
        <f>E1335*(VLOOKUP(B1335,Price_data!A$1:B$190,2,FALSE))</f>
        <v>69.759424599241996</v>
      </c>
      <c r="Q1335" s="3" t="e">
        <f>G1335*(VLOOKUP(B1335,Price_data!A$1:B$190,2,FALSE))</f>
        <v>#N/A</v>
      </c>
      <c r="R1335" s="3">
        <f>I1335*(VLOOKUP(B1335,Price_data!A$1:B$190,2,FALSE))</f>
        <v>48.427080214120004</v>
      </c>
      <c r="S1335" s="4" t="str">
        <f>(VLOOKUP(B1335,Price_data!A$1:C$190,3,FALSE))</f>
        <v>Open access</v>
      </c>
      <c r="T1335" s="2" t="str">
        <f>IF(C1335="Total", (VLOOKUP(B1335,Recommended_fish_intake!A$4:D$122,4,FALSE)), "NA")</f>
        <v>NA</v>
      </c>
      <c r="U1335" s="2" t="str">
        <f t="shared" si="158"/>
        <v>NA</v>
      </c>
    </row>
    <row r="1336" spans="1:21" ht="14.25" customHeight="1">
      <c r="A1336" s="2" t="s">
        <v>15</v>
      </c>
      <c r="B1336" s="2">
        <v>1973</v>
      </c>
      <c r="C1336" s="2" t="s">
        <v>38</v>
      </c>
      <c r="D1336" s="3">
        <f t="shared" si="159"/>
        <v>56.390977443609017</v>
      </c>
      <c r="E1336" s="3">
        <f t="shared" si="160"/>
        <v>5.0869999999999997</v>
      </c>
      <c r="F1336" s="3" t="e">
        <f t="shared" si="161"/>
        <v>#N/A</v>
      </c>
      <c r="G1336" s="3" t="e">
        <f t="shared" si="162"/>
        <v>#N/A</v>
      </c>
      <c r="H1336" s="3" t="e">
        <f t="shared" si="163"/>
        <v>#N/A</v>
      </c>
      <c r="I1336" s="3" t="e">
        <f t="shared" si="164"/>
        <v>#N/A</v>
      </c>
      <c r="J1336" s="3">
        <v>56390.977443609016</v>
      </c>
      <c r="K1336" s="3">
        <v>5087</v>
      </c>
      <c r="L1336" s="3" t="e">
        <v>#N/A</v>
      </c>
      <c r="M1336" s="3" t="e">
        <v>#N/A</v>
      </c>
      <c r="N1336" s="3" t="e">
        <v>#N/A</v>
      </c>
      <c r="O1336" s="3" t="e">
        <v>#N/A</v>
      </c>
      <c r="P1336" s="3">
        <f>E1336*(VLOOKUP(B1336,Price_data!A$1:B$190,2,FALSE))</f>
        <v>36.550231016205998</v>
      </c>
      <c r="Q1336" s="3" t="e">
        <f>G1336*(VLOOKUP(B1336,Price_data!A$1:B$190,2,FALSE))</f>
        <v>#N/A</v>
      </c>
      <c r="R1336" s="3" t="e">
        <f>I1336*(VLOOKUP(B1336,Price_data!A$1:B$190,2,FALSE))</f>
        <v>#N/A</v>
      </c>
      <c r="S1336" s="4" t="str">
        <f>(VLOOKUP(B1336,Price_data!A$1:C$190,3,FALSE))</f>
        <v>Open access</v>
      </c>
      <c r="T1336" s="2" t="str">
        <f>IF(C1336="Total", (VLOOKUP(B1336,Recommended_fish_intake!A$4:D$122,4,FALSE)), "NA")</f>
        <v>NA</v>
      </c>
      <c r="U1336" s="2" t="str">
        <f t="shared" si="158"/>
        <v>NA</v>
      </c>
    </row>
    <row r="1337" spans="1:21" ht="14.25" customHeight="1">
      <c r="A1337" s="2" t="s">
        <v>15</v>
      </c>
      <c r="B1337" s="2">
        <v>1973</v>
      </c>
      <c r="C1337" s="2" t="s">
        <v>24</v>
      </c>
      <c r="D1337" s="3">
        <f t="shared" si="159"/>
        <v>35.866693761430604</v>
      </c>
      <c r="E1337" s="3">
        <f t="shared" si="160"/>
        <v>4.8230000000000004</v>
      </c>
      <c r="F1337" s="3" t="e">
        <f t="shared" si="161"/>
        <v>#N/A</v>
      </c>
      <c r="G1337" s="3" t="e">
        <f t="shared" si="162"/>
        <v>#N/A</v>
      </c>
      <c r="H1337" s="3" t="e">
        <f t="shared" si="163"/>
        <v>#N/A</v>
      </c>
      <c r="I1337" s="3" t="e">
        <f t="shared" si="164"/>
        <v>#N/A</v>
      </c>
      <c r="J1337" s="3">
        <v>35866.693761430601</v>
      </c>
      <c r="K1337" s="3">
        <v>4823</v>
      </c>
      <c r="L1337" s="3" t="e">
        <v>#N/A</v>
      </c>
      <c r="M1337" s="3" t="e">
        <v>#N/A</v>
      </c>
      <c r="N1337" s="3" t="e">
        <v>#N/A</v>
      </c>
      <c r="O1337" s="3" t="e">
        <v>#N/A</v>
      </c>
      <c r="P1337" s="3">
        <f>E1337*(VLOOKUP(B1337,Price_data!A$1:B$190,2,FALSE))</f>
        <v>34.653383957374004</v>
      </c>
      <c r="Q1337" s="3" t="e">
        <f>G1337*(VLOOKUP(B1337,Price_data!A$1:B$190,2,FALSE))</f>
        <v>#N/A</v>
      </c>
      <c r="R1337" s="3" t="e">
        <f>I1337*(VLOOKUP(B1337,Price_data!A$1:B$190,2,FALSE))</f>
        <v>#N/A</v>
      </c>
      <c r="S1337" s="4" t="str">
        <f>(VLOOKUP(B1337,Price_data!A$1:C$190,3,FALSE))</f>
        <v>Open access</v>
      </c>
      <c r="T1337" s="2" t="str">
        <f>IF(C1337="Total", (VLOOKUP(B1337,Recommended_fish_intake!A$4:D$122,4,FALSE)), "NA")</f>
        <v>NA</v>
      </c>
      <c r="U1337" s="2" t="str">
        <f t="shared" si="158"/>
        <v>NA</v>
      </c>
    </row>
    <row r="1338" spans="1:21" ht="14.25" customHeight="1">
      <c r="A1338" s="2" t="s">
        <v>15</v>
      </c>
      <c r="B1338" s="2">
        <v>1973</v>
      </c>
      <c r="C1338" s="2" t="s">
        <v>19</v>
      </c>
      <c r="D1338" s="3">
        <f t="shared" si="159"/>
        <v>156.82788051209104</v>
      </c>
      <c r="E1338" s="3">
        <f t="shared" si="160"/>
        <v>9.4689999999999994</v>
      </c>
      <c r="F1338" s="3" t="e">
        <f t="shared" si="161"/>
        <v>#N/A</v>
      </c>
      <c r="G1338" s="3" t="e">
        <f t="shared" si="162"/>
        <v>#N/A</v>
      </c>
      <c r="H1338" s="3">
        <f t="shared" si="163"/>
        <v>13.361105466368624</v>
      </c>
      <c r="I1338" s="3">
        <f t="shared" si="164"/>
        <v>1.2030000000000001</v>
      </c>
      <c r="J1338" s="3">
        <v>156827.88051209104</v>
      </c>
      <c r="K1338" s="3">
        <v>9469</v>
      </c>
      <c r="L1338" s="3" t="e">
        <v>#N/A</v>
      </c>
      <c r="M1338" s="3" t="e">
        <v>#N/A</v>
      </c>
      <c r="N1338" s="3">
        <v>13361.105466368625</v>
      </c>
      <c r="O1338" s="3">
        <v>1203</v>
      </c>
      <c r="P1338" s="3">
        <f>E1338*(VLOOKUP(B1338,Price_data!A$1:B$190,2,FALSE))</f>
        <v>68.035018182122002</v>
      </c>
      <c r="Q1338" s="3" t="e">
        <f>G1338*(VLOOKUP(B1338,Price_data!A$1:B$190,2,FALSE))</f>
        <v>#N/A</v>
      </c>
      <c r="R1338" s="3">
        <f>I1338*(VLOOKUP(B1338,Price_data!A$1:B$190,2,FALSE))</f>
        <v>8.6435871658140009</v>
      </c>
      <c r="S1338" s="4" t="str">
        <f>(VLOOKUP(B1338,Price_data!A$1:C$190,3,FALSE))</f>
        <v>Open access</v>
      </c>
      <c r="T1338" s="2" t="str">
        <f>IF(C1338="Total", (VLOOKUP(B1338,Recommended_fish_intake!A$4:D$122,4,FALSE)), "NA")</f>
        <v>NA</v>
      </c>
      <c r="U1338" s="2" t="str">
        <f t="shared" si="158"/>
        <v>NA</v>
      </c>
    </row>
    <row r="1339" spans="1:21" ht="14.25" customHeight="1">
      <c r="A1339" s="2" t="s">
        <v>15</v>
      </c>
      <c r="B1339" s="2">
        <v>1973</v>
      </c>
      <c r="C1339" s="2" t="s">
        <v>21</v>
      </c>
      <c r="D1339" s="3">
        <f t="shared" si="159"/>
        <v>97.490347490347489</v>
      </c>
      <c r="E1339" s="3">
        <f t="shared" si="160"/>
        <v>2.4159999999999999</v>
      </c>
      <c r="F1339" s="3" t="e">
        <f t="shared" si="161"/>
        <v>#N/A</v>
      </c>
      <c r="G1339" s="3" t="e">
        <f t="shared" si="162"/>
        <v>#N/A</v>
      </c>
      <c r="H1339" s="3" t="e">
        <f t="shared" si="163"/>
        <v>#N/A</v>
      </c>
      <c r="I1339" s="3" t="e">
        <f t="shared" si="164"/>
        <v>#N/A</v>
      </c>
      <c r="J1339" s="3">
        <v>97490.347490347485</v>
      </c>
      <c r="K1339" s="3">
        <v>2416</v>
      </c>
      <c r="L1339" s="3" t="e">
        <v>#N/A</v>
      </c>
      <c r="M1339" s="3" t="e">
        <v>#N/A</v>
      </c>
      <c r="N1339" s="3" t="e">
        <v>#N/A</v>
      </c>
      <c r="O1339" s="3" t="e">
        <v>#N/A</v>
      </c>
      <c r="P1339" s="3">
        <f>E1339*(VLOOKUP(B1339,Price_data!A$1:B$190,2,FALSE))</f>
        <v>17.359024599008002</v>
      </c>
      <c r="Q1339" s="3" t="e">
        <f>G1339*(VLOOKUP(B1339,Price_data!A$1:B$190,2,FALSE))</f>
        <v>#N/A</v>
      </c>
      <c r="R1339" s="3" t="e">
        <f>I1339*(VLOOKUP(B1339,Price_data!A$1:B$190,2,FALSE))</f>
        <v>#N/A</v>
      </c>
      <c r="S1339" s="4" t="str">
        <f>(VLOOKUP(B1339,Price_data!A$1:C$190,3,FALSE))</f>
        <v>Open access</v>
      </c>
      <c r="T1339" s="2" t="str">
        <f>IF(C1339="Total", (VLOOKUP(B1339,Recommended_fish_intake!A$4:D$122,4,FALSE)), "NA")</f>
        <v>NA</v>
      </c>
      <c r="U1339" s="2" t="str">
        <f t="shared" si="158"/>
        <v>NA</v>
      </c>
    </row>
    <row r="1340" spans="1:21" ht="14.25" customHeight="1">
      <c r="A1340" s="2" t="s">
        <v>15</v>
      </c>
      <c r="B1340" s="2">
        <v>1973</v>
      </c>
      <c r="C1340" s="2" t="s">
        <v>36</v>
      </c>
      <c r="D1340" s="3">
        <f t="shared" si="159"/>
        <v>7.0615728510465345</v>
      </c>
      <c r="E1340" s="3">
        <f t="shared" si="160"/>
        <v>1.0409999999999999</v>
      </c>
      <c r="F1340" s="3" t="e">
        <f t="shared" si="161"/>
        <v>#N/A</v>
      </c>
      <c r="G1340" s="3" t="e">
        <f t="shared" si="162"/>
        <v>#N/A</v>
      </c>
      <c r="H1340" s="3">
        <f t="shared" si="163"/>
        <v>0.30481609428977846</v>
      </c>
      <c r="I1340" s="3">
        <f t="shared" si="164"/>
        <v>0.59699999999999998</v>
      </c>
      <c r="J1340" s="3">
        <v>7061.5728510465342</v>
      </c>
      <c r="K1340" s="3">
        <v>1041</v>
      </c>
      <c r="L1340" s="3" t="e">
        <v>#N/A</v>
      </c>
      <c r="M1340" s="3" t="e">
        <v>#N/A</v>
      </c>
      <c r="N1340" s="3">
        <v>304.81609428977845</v>
      </c>
      <c r="O1340" s="3">
        <v>597</v>
      </c>
      <c r="P1340" s="3">
        <f>E1340*(VLOOKUP(B1340,Price_data!A$1:B$190,2,FALSE))</f>
        <v>7.4796128342579999</v>
      </c>
      <c r="Q1340" s="3" t="e">
        <f>G1340*(VLOOKUP(B1340,Price_data!A$1:B$190,2,FALSE))</f>
        <v>#N/A</v>
      </c>
      <c r="R1340" s="3">
        <f>I1340*(VLOOKUP(B1340,Price_data!A$1:B$190,2,FALSE))</f>
        <v>4.2894609625860003</v>
      </c>
      <c r="S1340" s="4" t="str">
        <f>(VLOOKUP(B1340,Price_data!A$1:C$190,3,FALSE))</f>
        <v>Open access</v>
      </c>
      <c r="T1340" s="2" t="str">
        <f>IF(C1340="Total", (VLOOKUP(B1340,Recommended_fish_intake!A$4:D$122,4,FALSE)), "NA")</f>
        <v>NA</v>
      </c>
      <c r="U1340" s="2" t="str">
        <f t="shared" si="158"/>
        <v>NA</v>
      </c>
    </row>
    <row r="1341" spans="1:21" ht="14.25" customHeight="1">
      <c r="A1341" s="2" t="s">
        <v>15</v>
      </c>
      <c r="B1341" s="2">
        <v>1973</v>
      </c>
      <c r="C1341" s="2" t="s">
        <v>34</v>
      </c>
      <c r="D1341" s="3">
        <f t="shared" si="159"/>
        <v>1.016053647632595</v>
      </c>
      <c r="E1341" s="3">
        <f t="shared" si="160"/>
        <v>2.0699999999999998</v>
      </c>
      <c r="F1341" s="3" t="e">
        <f t="shared" si="161"/>
        <v>#N/A</v>
      </c>
      <c r="G1341" s="3" t="e">
        <f t="shared" si="162"/>
        <v>#N/A</v>
      </c>
      <c r="H1341" s="3" t="e">
        <f t="shared" si="163"/>
        <v>#N/A</v>
      </c>
      <c r="I1341" s="3" t="e">
        <f t="shared" si="164"/>
        <v>#N/A</v>
      </c>
      <c r="J1341" s="3">
        <v>1016.053647632595</v>
      </c>
      <c r="K1341" s="3">
        <v>2070</v>
      </c>
      <c r="L1341" s="3" t="e">
        <v>#N/A</v>
      </c>
      <c r="M1341" s="3" t="e">
        <v>#N/A</v>
      </c>
      <c r="N1341" s="3" t="e">
        <v>#N/A</v>
      </c>
      <c r="O1341" s="3" t="e">
        <v>#N/A</v>
      </c>
      <c r="P1341" s="3">
        <f>E1341*(VLOOKUP(B1341,Price_data!A$1:B$190,2,FALSE))</f>
        <v>14.873005347659999</v>
      </c>
      <c r="Q1341" s="3" t="e">
        <f>G1341*(VLOOKUP(B1341,Price_data!A$1:B$190,2,FALSE))</f>
        <v>#N/A</v>
      </c>
      <c r="R1341" s="3" t="e">
        <f>I1341*(VLOOKUP(B1341,Price_data!A$1:B$190,2,FALSE))</f>
        <v>#N/A</v>
      </c>
      <c r="S1341" s="4" t="str">
        <f>(VLOOKUP(B1341,Price_data!A$1:C$190,3,FALSE))</f>
        <v>Open access</v>
      </c>
      <c r="T1341" s="2" t="str">
        <f>IF(C1341="Total", (VLOOKUP(B1341,Recommended_fish_intake!A$4:D$122,4,FALSE)), "NA")</f>
        <v>NA</v>
      </c>
      <c r="U1341" s="2" t="str">
        <f t="shared" si="158"/>
        <v>NA</v>
      </c>
    </row>
    <row r="1342" spans="1:21" ht="14.25" customHeight="1">
      <c r="A1342" s="2" t="s">
        <v>15</v>
      </c>
      <c r="B1342" s="2">
        <v>1973</v>
      </c>
      <c r="C1342" s="2" t="s">
        <v>35</v>
      </c>
      <c r="D1342" s="3">
        <f t="shared" si="159"/>
        <v>14.22475106685633</v>
      </c>
      <c r="E1342" s="3">
        <f t="shared" si="160"/>
        <v>6.2750000000000004</v>
      </c>
      <c r="F1342" s="3" t="e">
        <f t="shared" si="161"/>
        <v>#N/A</v>
      </c>
      <c r="G1342" s="3" t="e">
        <f t="shared" si="162"/>
        <v>#N/A</v>
      </c>
      <c r="H1342" s="3" t="e">
        <f t="shared" si="163"/>
        <v>#N/A</v>
      </c>
      <c r="I1342" s="3" t="e">
        <f t="shared" si="164"/>
        <v>#N/A</v>
      </c>
      <c r="J1342" s="3">
        <v>14224.75106685633</v>
      </c>
      <c r="K1342" s="3">
        <v>6275</v>
      </c>
      <c r="L1342" s="3" t="e">
        <v>#N/A</v>
      </c>
      <c r="M1342" s="3" t="e">
        <v>#N/A</v>
      </c>
      <c r="N1342" s="3" t="e">
        <v>#N/A</v>
      </c>
      <c r="O1342" s="3" t="e">
        <v>#N/A</v>
      </c>
      <c r="P1342" s="3">
        <f>E1342*(VLOOKUP(B1342,Price_data!A$1:B$190,2,FALSE))</f>
        <v>45.086042780950002</v>
      </c>
      <c r="Q1342" s="3" t="e">
        <f>G1342*(VLOOKUP(B1342,Price_data!A$1:B$190,2,FALSE))</f>
        <v>#N/A</v>
      </c>
      <c r="R1342" s="3" t="e">
        <f>I1342*(VLOOKUP(B1342,Price_data!A$1:B$190,2,FALSE))</f>
        <v>#N/A</v>
      </c>
      <c r="S1342" s="4" t="str">
        <f>(VLOOKUP(B1342,Price_data!A$1:C$190,3,FALSE))</f>
        <v>Open access</v>
      </c>
      <c r="T1342" s="2" t="str">
        <f>IF(C1342="Total", (VLOOKUP(B1342,Recommended_fish_intake!A$4:D$122,4,FALSE)), "NA")</f>
        <v>NA</v>
      </c>
      <c r="U1342" s="2" t="str">
        <f t="shared" si="158"/>
        <v>NA</v>
      </c>
    </row>
    <row r="1343" spans="1:21" ht="14.25" customHeight="1">
      <c r="A1343" s="2" t="s">
        <v>15</v>
      </c>
      <c r="B1343" s="2">
        <v>1973</v>
      </c>
      <c r="C1343" s="2" t="s">
        <v>30</v>
      </c>
      <c r="D1343" s="3">
        <f t="shared" si="159"/>
        <v>1.4732777890672626</v>
      </c>
      <c r="E1343" s="3">
        <f t="shared" si="160"/>
        <v>0.30199999999999999</v>
      </c>
      <c r="F1343" s="3" t="e">
        <f t="shared" si="161"/>
        <v>#N/A</v>
      </c>
      <c r="G1343" s="3" t="e">
        <f t="shared" si="162"/>
        <v>#N/A</v>
      </c>
      <c r="H1343" s="3">
        <f t="shared" si="163"/>
        <v>7.3663889453363129</v>
      </c>
      <c r="I1343" s="3">
        <f t="shared" si="164"/>
        <v>9.0660000000000007</v>
      </c>
      <c r="J1343" s="3">
        <v>1473.2777890672626</v>
      </c>
      <c r="K1343" s="3">
        <v>302</v>
      </c>
      <c r="L1343" s="3" t="e">
        <v>#N/A</v>
      </c>
      <c r="M1343" s="3" t="e">
        <v>#N/A</v>
      </c>
      <c r="N1343" s="3">
        <v>7366.3889453363126</v>
      </c>
      <c r="O1343" s="3">
        <v>9066</v>
      </c>
      <c r="P1343" s="3">
        <f>E1343*(VLOOKUP(B1343,Price_data!A$1:B$190,2,FALSE))</f>
        <v>2.1698780748760003</v>
      </c>
      <c r="Q1343" s="3" t="e">
        <f>G1343*(VLOOKUP(B1343,Price_data!A$1:B$190,2,FALSE))</f>
        <v>#N/A</v>
      </c>
      <c r="R1343" s="3">
        <f>I1343*(VLOOKUP(B1343,Price_data!A$1:B$190,2,FALSE))</f>
        <v>65.139452406708003</v>
      </c>
      <c r="S1343" s="4" t="str">
        <f>(VLOOKUP(B1343,Price_data!A$1:C$190,3,FALSE))</f>
        <v>Open access</v>
      </c>
      <c r="T1343" s="2" t="str">
        <f>IF(C1343="Total", (VLOOKUP(B1343,Recommended_fish_intake!A$4:D$122,4,FALSE)), "NA")</f>
        <v>NA</v>
      </c>
      <c r="U1343" s="2" t="str">
        <f t="shared" si="158"/>
        <v>NA</v>
      </c>
    </row>
    <row r="1344" spans="1:21" ht="14.25" customHeight="1">
      <c r="A1344" s="2" t="s">
        <v>15</v>
      </c>
      <c r="B1344" s="2">
        <v>1973</v>
      </c>
      <c r="C1344" s="2" t="s">
        <v>41</v>
      </c>
      <c r="D1344" s="3">
        <f t="shared" si="159"/>
        <v>662.87339971550489</v>
      </c>
      <c r="E1344" s="3">
        <f t="shared" si="160"/>
        <v>126.203</v>
      </c>
      <c r="F1344" s="3" t="e">
        <f t="shared" si="161"/>
        <v>#N/A</v>
      </c>
      <c r="G1344" s="3" t="e">
        <f t="shared" si="162"/>
        <v>#N/A</v>
      </c>
      <c r="H1344" s="3" t="e">
        <f t="shared" si="163"/>
        <v>#N/A</v>
      </c>
      <c r="I1344" s="3" t="e">
        <f t="shared" si="164"/>
        <v>#N/A</v>
      </c>
      <c r="J1344" s="3">
        <v>662873.39971550484</v>
      </c>
      <c r="K1344" s="3">
        <v>126203</v>
      </c>
      <c r="L1344" s="3" t="e">
        <v>#N/A</v>
      </c>
      <c r="M1344" s="3" t="e">
        <v>#N/A</v>
      </c>
      <c r="N1344" s="3" t="e">
        <v>#N/A</v>
      </c>
      <c r="O1344" s="3" t="e">
        <v>#N/A</v>
      </c>
      <c r="P1344" s="3">
        <f>E1344*(VLOOKUP(B1344,Price_data!A$1:B$190,2,FALSE))</f>
        <v>906.77192941581404</v>
      </c>
      <c r="Q1344" s="3" t="e">
        <f>G1344*(VLOOKUP(B1344,Price_data!A$1:B$190,2,FALSE))</f>
        <v>#N/A</v>
      </c>
      <c r="R1344" s="3" t="e">
        <f>I1344*(VLOOKUP(B1344,Price_data!A$1:B$190,2,FALSE))</f>
        <v>#N/A</v>
      </c>
      <c r="S1344" s="4" t="str">
        <f>(VLOOKUP(B1344,Price_data!A$1:C$190,3,FALSE))</f>
        <v>Open access</v>
      </c>
      <c r="T1344" s="2" t="str">
        <f>IF(C1344="Total", (VLOOKUP(B1344,Recommended_fish_intake!A$4:D$122,4,FALSE)), "NA")</f>
        <v>NA</v>
      </c>
      <c r="U1344" s="2" t="str">
        <f t="shared" si="158"/>
        <v>NA</v>
      </c>
    </row>
    <row r="1345" spans="1:21" ht="14.25" customHeight="1">
      <c r="A1345" s="2" t="s">
        <v>15</v>
      </c>
      <c r="B1345" s="2">
        <v>1973</v>
      </c>
      <c r="C1345" s="2" t="s">
        <v>42</v>
      </c>
      <c r="D1345" s="3">
        <f t="shared" si="159"/>
        <v>279.61796382849013</v>
      </c>
      <c r="E1345" s="3">
        <f t="shared" si="160"/>
        <v>13.178000000000001</v>
      </c>
      <c r="F1345" s="3" t="e">
        <f t="shared" si="161"/>
        <v>#N/A</v>
      </c>
      <c r="G1345" s="3" t="e">
        <f t="shared" si="162"/>
        <v>#N/A</v>
      </c>
      <c r="H1345" s="3" t="e">
        <f t="shared" si="163"/>
        <v>#N/A</v>
      </c>
      <c r="I1345" s="3" t="e">
        <f t="shared" si="164"/>
        <v>#N/A</v>
      </c>
      <c r="J1345" s="3">
        <v>279617.96382849012</v>
      </c>
      <c r="K1345" s="3">
        <v>13178</v>
      </c>
      <c r="L1345" s="3" t="e">
        <v>#N/A</v>
      </c>
      <c r="M1345" s="3" t="e">
        <v>#N/A</v>
      </c>
      <c r="N1345" s="3" t="e">
        <v>#N/A</v>
      </c>
      <c r="O1345" s="3" t="e">
        <v>#N/A</v>
      </c>
      <c r="P1345" s="3">
        <f>E1345*(VLOOKUP(B1345,Price_data!A$1:B$190,2,FALSE))</f>
        <v>94.684282353364011</v>
      </c>
      <c r="Q1345" s="3" t="e">
        <f>G1345*(VLOOKUP(B1345,Price_data!A$1:B$190,2,FALSE))</f>
        <v>#N/A</v>
      </c>
      <c r="R1345" s="3" t="e">
        <f>I1345*(VLOOKUP(B1345,Price_data!A$1:B$190,2,FALSE))</f>
        <v>#N/A</v>
      </c>
      <c r="S1345" s="4" t="str">
        <f>(VLOOKUP(B1345,Price_data!A$1:C$190,3,FALSE))</f>
        <v>Open access</v>
      </c>
      <c r="T1345" s="2" t="str">
        <f>IF(C1345="Total", (VLOOKUP(B1345,Recommended_fish_intake!A$4:D$122,4,FALSE)), "NA")</f>
        <v>NA</v>
      </c>
      <c r="U1345" s="2" t="str">
        <f t="shared" si="158"/>
        <v>NA</v>
      </c>
    </row>
    <row r="1346" spans="1:21" ht="14.25" customHeight="1">
      <c r="A1346" s="2" t="s">
        <v>15</v>
      </c>
      <c r="B1346" s="2">
        <v>1973</v>
      </c>
      <c r="C1346" s="2" t="s">
        <v>37</v>
      </c>
      <c r="D1346" s="3">
        <f t="shared" si="159"/>
        <v>942.49136354399502</v>
      </c>
      <c r="E1346" s="3">
        <f t="shared" si="160"/>
        <v>139.381</v>
      </c>
      <c r="F1346" s="3">
        <f t="shared" si="161"/>
        <v>156.77707782970941</v>
      </c>
      <c r="G1346" s="3">
        <f t="shared" si="162"/>
        <v>32.765999999999998</v>
      </c>
      <c r="H1346" s="3">
        <f t="shared" si="163"/>
        <v>188.47795163584635</v>
      </c>
      <c r="I1346" s="3">
        <f t="shared" si="164"/>
        <v>106.099</v>
      </c>
      <c r="J1346" s="3">
        <v>942491.36354399507</v>
      </c>
      <c r="K1346" s="3">
        <v>139381</v>
      </c>
      <c r="L1346" s="3">
        <v>156777.07782970942</v>
      </c>
      <c r="M1346" s="3">
        <v>32766</v>
      </c>
      <c r="N1346" s="3">
        <v>188477.95163584634</v>
      </c>
      <c r="O1346" s="3">
        <v>106099</v>
      </c>
      <c r="P1346" s="3">
        <f>E1346*(VLOOKUP(B1346,Price_data!A$1:B$190,2,FALSE))</f>
        <v>1001.456211769178</v>
      </c>
      <c r="Q1346" s="3">
        <f>G1346*(VLOOKUP(B1346,Price_data!A$1:B$190,2,FALSE))</f>
        <v>235.42458609730801</v>
      </c>
      <c r="R1346" s="3">
        <f>I1346*(VLOOKUP(B1346,Price_data!A$1:B$190,2,FALSE))</f>
        <v>762.32415187506206</v>
      </c>
      <c r="S1346" s="4" t="str">
        <f>(VLOOKUP(B1346,Price_data!A$1:C$190,3,FALSE))</f>
        <v>Open access</v>
      </c>
      <c r="T1346" s="2" t="str">
        <f>IF(C1346="Total", (VLOOKUP(B1346,Recommended_fish_intake!A$4:D$122,4,FALSE)), "NA")</f>
        <v>NA</v>
      </c>
      <c r="U1346" s="2">
        <f t="shared" ref="U1346:U1409" si="165">IF(C1346="Wet fish", D1346*0.49, IF(C1346="Shellfish", D1346*0.28, "NA"))</f>
        <v>461.82076813655755</v>
      </c>
    </row>
    <row r="1347" spans="1:21" ht="14.25" customHeight="1">
      <c r="A1347" s="2" t="s">
        <v>15</v>
      </c>
      <c r="B1347" s="2">
        <v>1973</v>
      </c>
      <c r="C1347" s="2" t="s">
        <v>28</v>
      </c>
      <c r="D1347" s="3">
        <f t="shared" si="159"/>
        <v>70.869741922373493</v>
      </c>
      <c r="E1347" s="3">
        <f t="shared" si="160"/>
        <v>12.853</v>
      </c>
      <c r="F1347" s="3">
        <f t="shared" si="161"/>
        <v>12.294249136354399</v>
      </c>
      <c r="G1347" s="3">
        <f t="shared" si="162"/>
        <v>10.356</v>
      </c>
      <c r="H1347" s="3">
        <f t="shared" si="163"/>
        <v>21.235521235521233</v>
      </c>
      <c r="I1347" s="3">
        <f t="shared" si="164"/>
        <v>24.539000000000001</v>
      </c>
      <c r="J1347" s="3">
        <v>70869.741922373491</v>
      </c>
      <c r="K1347" s="3">
        <v>12853</v>
      </c>
      <c r="L1347" s="3">
        <v>12294.2491363544</v>
      </c>
      <c r="M1347" s="3">
        <v>10356</v>
      </c>
      <c r="N1347" s="3">
        <v>21235.521235521232</v>
      </c>
      <c r="O1347" s="3">
        <v>24539</v>
      </c>
      <c r="P1347" s="3">
        <f>E1347*(VLOOKUP(B1347,Price_data!A$1:B$190,2,FALSE))</f>
        <v>92.349148663514001</v>
      </c>
      <c r="Q1347" s="3">
        <f>G1347*(VLOOKUP(B1347,Price_data!A$1:B$190,2,FALSE))</f>
        <v>74.408136898728003</v>
      </c>
      <c r="R1347" s="3">
        <f>I1347*(VLOOKUP(B1347,Price_data!A$1:B$190,2,FALSE))</f>
        <v>176.31337112378202</v>
      </c>
      <c r="S1347" s="4" t="str">
        <f>(VLOOKUP(B1347,Price_data!A$1:C$190,3,FALSE))</f>
        <v>Open access</v>
      </c>
      <c r="T1347" s="2" t="str">
        <f>IF(C1347="Total", (VLOOKUP(B1347,Recommended_fish_intake!A$4:D$122,4,FALSE)), "NA")</f>
        <v>NA</v>
      </c>
      <c r="U1347" s="2">
        <f t="shared" si="165"/>
        <v>19.84352773826458</v>
      </c>
    </row>
    <row r="1348" spans="1:21" ht="14.25" customHeight="1">
      <c r="A1348" s="2" t="s">
        <v>18</v>
      </c>
      <c r="B1348" s="2">
        <v>1973</v>
      </c>
      <c r="C1348" s="2" t="s">
        <v>20</v>
      </c>
      <c r="D1348" s="3">
        <f t="shared" si="159"/>
        <v>13.107092054460475</v>
      </c>
      <c r="E1348" s="3">
        <f t="shared" si="160"/>
        <v>0.71499999999999997</v>
      </c>
      <c r="F1348" s="3" t="e">
        <f t="shared" si="161"/>
        <v>#N/A</v>
      </c>
      <c r="G1348" s="3" t="e">
        <f t="shared" si="162"/>
        <v>#N/A</v>
      </c>
      <c r="H1348" s="3" t="e">
        <f t="shared" si="163"/>
        <v>#N/A</v>
      </c>
      <c r="I1348" s="3" t="e">
        <f t="shared" si="164"/>
        <v>#N/A</v>
      </c>
      <c r="J1348" s="2">
        <v>13107.092054460474</v>
      </c>
      <c r="K1348" s="2">
        <v>715</v>
      </c>
      <c r="L1348" s="2" t="e">
        <v>#N/A</v>
      </c>
      <c r="M1348" s="2" t="e">
        <v>#N/A</v>
      </c>
      <c r="N1348" s="2" t="e">
        <v>#N/A</v>
      </c>
      <c r="O1348" s="2" t="e">
        <v>#N/A</v>
      </c>
      <c r="P1348" s="3">
        <f>E1348*(VLOOKUP(B1348,Price_data!A$1:B$190,2,FALSE))</f>
        <v>5.1372941176699998</v>
      </c>
      <c r="Q1348" s="3" t="e">
        <f>G1348*(VLOOKUP(B1348,Price_data!A$1:B$190,2,FALSE))</f>
        <v>#N/A</v>
      </c>
      <c r="R1348" s="3" t="e">
        <f>I1348*(VLOOKUP(B1348,Price_data!A$1:B$190,2,FALSE))</f>
        <v>#N/A</v>
      </c>
      <c r="S1348" s="4" t="str">
        <f>(VLOOKUP(B1348,Price_data!A$1:C$190,3,FALSE))</f>
        <v>Open access</v>
      </c>
      <c r="T1348" s="2" t="str">
        <f>IF(C1348="Total", (VLOOKUP(B1348,Recommended_fish_intake!A$4:D$122,4,FALSE)), "NA")</f>
        <v>NA</v>
      </c>
      <c r="U1348" s="2" t="str">
        <f t="shared" si="165"/>
        <v>NA</v>
      </c>
    </row>
    <row r="1349" spans="1:21" ht="14.25" customHeight="1">
      <c r="A1349" s="2" t="s">
        <v>39</v>
      </c>
      <c r="B1349" s="2">
        <v>1973</v>
      </c>
      <c r="C1349" s="2" t="s">
        <v>20</v>
      </c>
      <c r="D1349" s="3">
        <f t="shared" si="159"/>
        <v>8.1792318634423893</v>
      </c>
      <c r="E1349" s="3">
        <f t="shared" si="160"/>
        <v>0.379</v>
      </c>
      <c r="F1349" s="3" t="e">
        <f t="shared" si="161"/>
        <v>#N/A</v>
      </c>
      <c r="G1349" s="3" t="e">
        <f t="shared" si="162"/>
        <v>#N/A</v>
      </c>
      <c r="H1349" s="3" t="e">
        <f t="shared" si="163"/>
        <v>#N/A</v>
      </c>
      <c r="I1349" s="3" t="e">
        <f t="shared" si="164"/>
        <v>#N/A</v>
      </c>
      <c r="J1349" s="2">
        <v>8179.2318634423891</v>
      </c>
      <c r="K1349" s="2">
        <v>379</v>
      </c>
      <c r="L1349" s="2" t="e">
        <v>#N/A</v>
      </c>
      <c r="M1349" s="2" t="e">
        <v>#N/A</v>
      </c>
      <c r="N1349" s="2" t="e">
        <v>#N/A</v>
      </c>
      <c r="O1349" s="2" t="e">
        <v>#N/A</v>
      </c>
      <c r="P1349" s="3">
        <f>E1349*(VLOOKUP(B1349,Price_data!A$1:B$190,2,FALSE))</f>
        <v>2.7231251337020002</v>
      </c>
      <c r="Q1349" s="3" t="e">
        <f>G1349*(VLOOKUP(B1349,Price_data!A$1:B$190,2,FALSE))</f>
        <v>#N/A</v>
      </c>
      <c r="R1349" s="3" t="e">
        <f>I1349*(VLOOKUP(B1349,Price_data!A$1:B$190,2,FALSE))</f>
        <v>#N/A</v>
      </c>
      <c r="S1349" s="4" t="str">
        <f>(VLOOKUP(B1349,Price_data!A$1:C$190,3,FALSE))</f>
        <v>Open access</v>
      </c>
      <c r="T1349" s="2" t="str">
        <f>IF(C1349="Total", (VLOOKUP(B1349,Recommended_fish_intake!A$4:D$122,4,FALSE)), "NA")</f>
        <v>NA</v>
      </c>
      <c r="U1349" s="2" t="str">
        <f t="shared" si="165"/>
        <v>NA</v>
      </c>
    </row>
    <row r="1350" spans="1:21" ht="14.25" customHeight="1">
      <c r="A1350" s="2" t="s">
        <v>40</v>
      </c>
      <c r="B1350" s="2">
        <v>1973</v>
      </c>
      <c r="C1350" s="2" t="s">
        <v>20</v>
      </c>
      <c r="D1350" s="3">
        <f t="shared" si="159"/>
        <v>0.1016053647632595</v>
      </c>
      <c r="E1350" s="3">
        <f t="shared" si="160"/>
        <v>3.0000000000000001E-3</v>
      </c>
      <c r="F1350" s="3" t="e">
        <f t="shared" si="161"/>
        <v>#N/A</v>
      </c>
      <c r="G1350" s="3" t="e">
        <f t="shared" si="162"/>
        <v>#N/A</v>
      </c>
      <c r="H1350" s="3" t="e">
        <f t="shared" si="163"/>
        <v>#N/A</v>
      </c>
      <c r="I1350" s="3" t="e">
        <f t="shared" si="164"/>
        <v>#N/A</v>
      </c>
      <c r="J1350" s="2">
        <v>101.6053647632595</v>
      </c>
      <c r="K1350" s="2">
        <v>3</v>
      </c>
      <c r="L1350" s="2" t="e">
        <v>#N/A</v>
      </c>
      <c r="M1350" s="2" t="e">
        <v>#N/A</v>
      </c>
      <c r="N1350" s="2" t="e">
        <v>#N/A</v>
      </c>
      <c r="O1350" s="2" t="e">
        <v>#N/A</v>
      </c>
      <c r="P1350" s="3">
        <f>E1350*(VLOOKUP(B1350,Price_data!A$1:B$190,2,FALSE))</f>
        <v>2.1555080214000003E-2</v>
      </c>
      <c r="Q1350" s="3" t="e">
        <f>G1350*(VLOOKUP(B1350,Price_data!A$1:B$190,2,FALSE))</f>
        <v>#N/A</v>
      </c>
      <c r="R1350" s="3" t="e">
        <f>I1350*(VLOOKUP(B1350,Price_data!A$1:B$190,2,FALSE))</f>
        <v>#N/A</v>
      </c>
      <c r="S1350" s="4" t="str">
        <f>(VLOOKUP(B1350,Price_data!A$1:C$190,3,FALSE))</f>
        <v>Open access</v>
      </c>
      <c r="T1350" s="2" t="str">
        <f>IF(C1350="Total", (VLOOKUP(B1350,Recommended_fish_intake!A$4:D$122,4,FALSE)), "NA")</f>
        <v>NA</v>
      </c>
      <c r="U1350" s="2" t="str">
        <f t="shared" si="165"/>
        <v>NA</v>
      </c>
    </row>
    <row r="1351" spans="1:21" ht="14.25" customHeight="1">
      <c r="A1351" s="2" t="s">
        <v>15</v>
      </c>
      <c r="B1351" s="2">
        <v>1973</v>
      </c>
      <c r="C1351" s="2" t="s">
        <v>20</v>
      </c>
      <c r="D1351" s="3">
        <f t="shared" si="159"/>
        <v>21.387929282666125</v>
      </c>
      <c r="E1351" s="3">
        <f t="shared" si="160"/>
        <v>1.097</v>
      </c>
      <c r="F1351" s="3" t="e">
        <f t="shared" si="161"/>
        <v>#N/A</v>
      </c>
      <c r="G1351" s="3" t="e">
        <f t="shared" si="162"/>
        <v>#N/A</v>
      </c>
      <c r="H1351" s="3">
        <f t="shared" si="163"/>
        <v>3.3529770371875633</v>
      </c>
      <c r="I1351" s="3">
        <f t="shared" si="164"/>
        <v>0.79800000000000004</v>
      </c>
      <c r="J1351" s="2">
        <v>21387.929282666126</v>
      </c>
      <c r="K1351" s="2">
        <v>1097</v>
      </c>
      <c r="L1351" s="2" t="e">
        <v>#N/A</v>
      </c>
      <c r="M1351" s="2" t="e">
        <v>#N/A</v>
      </c>
      <c r="N1351" s="2">
        <v>3352.9770371875634</v>
      </c>
      <c r="O1351" s="2">
        <v>798</v>
      </c>
      <c r="P1351" s="3">
        <f>E1351*(VLOOKUP(B1351,Price_data!A$1:B$190,2,FALSE))</f>
        <v>7.881974331586</v>
      </c>
      <c r="Q1351" s="3" t="e">
        <f>G1351*(VLOOKUP(B1351,Price_data!A$1:B$190,2,FALSE))</f>
        <v>#N/A</v>
      </c>
      <c r="R1351" s="3">
        <f>I1351*(VLOOKUP(B1351,Price_data!A$1:B$190,2,FALSE))</f>
        <v>5.7336513369240008</v>
      </c>
      <c r="S1351" s="4" t="str">
        <f>(VLOOKUP(B1351,Price_data!A$1:C$190,3,FALSE))</f>
        <v>Open access</v>
      </c>
      <c r="T1351" s="2" t="str">
        <f>IF(C1351="Total", (VLOOKUP(B1351,Recommended_fish_intake!A$4:D$122,4,FALSE)), "NA")</f>
        <v>NA</v>
      </c>
      <c r="U1351" s="2" t="str">
        <f t="shared" si="165"/>
        <v>NA</v>
      </c>
    </row>
    <row r="1352" spans="1:21" ht="14.25" customHeight="1">
      <c r="A1352" s="2" t="s">
        <v>15</v>
      </c>
      <c r="B1352" s="2">
        <v>1973</v>
      </c>
      <c r="C1352" s="2" t="s">
        <v>29</v>
      </c>
      <c r="D1352" s="3" t="e">
        <f t="shared" si="159"/>
        <v>#N/A</v>
      </c>
      <c r="E1352" s="3" t="e">
        <f t="shared" si="160"/>
        <v>#N/A</v>
      </c>
      <c r="F1352" s="3" t="e">
        <f t="shared" si="161"/>
        <v>#N/A</v>
      </c>
      <c r="G1352" s="3" t="e">
        <f t="shared" si="162"/>
        <v>#N/A</v>
      </c>
      <c r="H1352" s="3">
        <f t="shared" si="163"/>
        <v>29.211542369437105</v>
      </c>
      <c r="I1352" s="3">
        <f t="shared" si="164"/>
        <v>43.17</v>
      </c>
      <c r="J1352" s="3" t="e">
        <v>#N/A</v>
      </c>
      <c r="K1352" s="3" t="e">
        <v>#N/A</v>
      </c>
      <c r="L1352" s="3" t="e">
        <v>#N/A</v>
      </c>
      <c r="M1352" s="3" t="e">
        <v>#N/A</v>
      </c>
      <c r="N1352" s="3">
        <v>29211.542369437106</v>
      </c>
      <c r="O1352" s="3">
        <v>43170</v>
      </c>
      <c r="P1352" s="3" t="e">
        <f>E1352*(VLOOKUP(B1352,Price_data!A$1:B$190,2,FALSE))</f>
        <v>#N/A</v>
      </c>
      <c r="Q1352" s="3" t="e">
        <f>G1352*(VLOOKUP(B1352,Price_data!A$1:B$190,2,FALSE))</f>
        <v>#N/A</v>
      </c>
      <c r="R1352" s="3">
        <f>I1352*(VLOOKUP(B1352,Price_data!A$1:B$190,2,FALSE))</f>
        <v>310.17760427946001</v>
      </c>
      <c r="S1352" s="4" t="str">
        <f>(VLOOKUP(B1352,Price_data!A$1:C$190,3,FALSE))</f>
        <v>Open access</v>
      </c>
      <c r="T1352" s="2" t="str">
        <f>IF(C1352="Total", (VLOOKUP(B1352,Recommended_fish_intake!A$4:D$122,4,FALSE)), "NA")</f>
        <v>NA</v>
      </c>
      <c r="U1352" s="2" t="str">
        <f t="shared" si="165"/>
        <v>NA</v>
      </c>
    </row>
    <row r="1353" spans="1:21" ht="14.25" customHeight="1">
      <c r="A1353" s="2" t="s">
        <v>15</v>
      </c>
      <c r="B1353" s="2">
        <v>1973</v>
      </c>
      <c r="C1353" s="2" t="s">
        <v>43</v>
      </c>
      <c r="D1353" s="3" t="e">
        <f t="shared" si="159"/>
        <v>#N/A</v>
      </c>
      <c r="E1353" s="3" t="e">
        <f t="shared" si="160"/>
        <v>#N/A</v>
      </c>
      <c r="F1353" s="3" t="e">
        <f t="shared" si="161"/>
        <v>#N/A</v>
      </c>
      <c r="G1353" s="3" t="e">
        <f t="shared" si="162"/>
        <v>#N/A</v>
      </c>
      <c r="H1353" s="3">
        <f t="shared" si="163"/>
        <v>8.1284291810607598</v>
      </c>
      <c r="I1353" s="3">
        <f t="shared" si="164"/>
        <v>5.7229999999999999</v>
      </c>
      <c r="J1353" s="3" t="e">
        <v>#N/A</v>
      </c>
      <c r="K1353" s="3" t="e">
        <v>#N/A</v>
      </c>
      <c r="L1353" s="3" t="e">
        <v>#N/A</v>
      </c>
      <c r="M1353" s="3" t="e">
        <v>#N/A</v>
      </c>
      <c r="N1353" s="3">
        <v>8128.4291810607601</v>
      </c>
      <c r="O1353" s="3">
        <v>5723</v>
      </c>
      <c r="P1353" s="3" t="e">
        <f>E1353*(VLOOKUP(B1353,Price_data!A$1:B$190,2,FALSE))</f>
        <v>#N/A</v>
      </c>
      <c r="Q1353" s="3" t="e">
        <f>G1353*(VLOOKUP(B1353,Price_data!A$1:B$190,2,FALSE))</f>
        <v>#N/A</v>
      </c>
      <c r="R1353" s="3">
        <f>I1353*(VLOOKUP(B1353,Price_data!A$1:B$190,2,FALSE))</f>
        <v>41.119908021573998</v>
      </c>
      <c r="S1353" s="4" t="str">
        <f>(VLOOKUP(B1353,Price_data!A$1:C$190,3,FALSE))</f>
        <v>Open access</v>
      </c>
      <c r="T1353" s="2" t="str">
        <f>IF(C1353="Total", (VLOOKUP(B1353,Recommended_fish_intake!A$4:D$122,4,FALSE)), "NA")</f>
        <v>NA</v>
      </c>
      <c r="U1353" s="2" t="str">
        <f t="shared" si="165"/>
        <v>NA</v>
      </c>
    </row>
    <row r="1354" spans="1:21" ht="14.25" customHeight="1">
      <c r="A1354" s="2" t="s">
        <v>18</v>
      </c>
      <c r="B1354" s="2">
        <v>1974</v>
      </c>
      <c r="C1354" s="2" t="s">
        <v>16</v>
      </c>
      <c r="D1354" s="3">
        <f t="shared" si="159"/>
        <v>477.24039829302984</v>
      </c>
      <c r="E1354" s="3">
        <f t="shared" si="160"/>
        <v>87.855000000000004</v>
      </c>
      <c r="F1354" s="3" t="e">
        <f t="shared" si="161"/>
        <v>#N/A</v>
      </c>
      <c r="G1354" s="3" t="e">
        <f t="shared" si="162"/>
        <v>#N/A</v>
      </c>
      <c r="H1354" s="3" t="e">
        <f t="shared" si="163"/>
        <v>#N/A</v>
      </c>
      <c r="I1354" s="3" t="e">
        <f t="shared" si="164"/>
        <v>#N/A</v>
      </c>
      <c r="J1354" s="3">
        <v>477240.39829302987</v>
      </c>
      <c r="K1354" s="3">
        <v>87855</v>
      </c>
      <c r="L1354" s="3" t="e">
        <v>#N/A</v>
      </c>
      <c r="M1354" s="3" t="e">
        <v>#N/A</v>
      </c>
      <c r="N1354" s="3" t="e">
        <v>#N/A</v>
      </c>
      <c r="O1354" s="3" t="e">
        <v>#N/A</v>
      </c>
      <c r="P1354" s="3">
        <f>E1354*(VLOOKUP(B1354,Price_data!A$1:B$190,2,FALSE))</f>
        <v>543.97224883699505</v>
      </c>
      <c r="Q1354" s="3" t="e">
        <f>G1354*(VLOOKUP(B1354,Price_data!A$1:B$190,2,FALSE))</f>
        <v>#N/A</v>
      </c>
      <c r="R1354" s="3" t="e">
        <f>I1354*(VLOOKUP(B1354,Price_data!A$1:B$190,2,FALSE))</f>
        <v>#N/A</v>
      </c>
      <c r="S1354" s="4" t="str">
        <f>(VLOOKUP(B1354,Price_data!A$1:C$190,3,FALSE))</f>
        <v>Open access</v>
      </c>
      <c r="T1354" s="2">
        <f>IF(C1354="Total", (VLOOKUP(B1354,Recommended_fish_intake!A$4:D$122,4,FALSE)), "NA")</f>
        <v>723.79461049350004</v>
      </c>
      <c r="U1354" s="2" t="str">
        <f t="shared" si="165"/>
        <v>NA</v>
      </c>
    </row>
    <row r="1355" spans="1:21" ht="14.25" customHeight="1">
      <c r="A1355" s="2" t="s">
        <v>39</v>
      </c>
      <c r="B1355" s="2">
        <v>1974</v>
      </c>
      <c r="C1355" s="2" t="s">
        <v>16</v>
      </c>
      <c r="D1355" s="3">
        <f t="shared" si="159"/>
        <v>477.24039829302984</v>
      </c>
      <c r="E1355" s="3">
        <f t="shared" si="160"/>
        <v>64.061999999999998</v>
      </c>
      <c r="F1355" s="3" t="e">
        <f t="shared" si="161"/>
        <v>#N/A</v>
      </c>
      <c r="G1355" s="3" t="e">
        <f t="shared" si="162"/>
        <v>#N/A</v>
      </c>
      <c r="H1355" s="3" t="e">
        <f t="shared" si="163"/>
        <v>#N/A</v>
      </c>
      <c r="I1355" s="3" t="e">
        <f t="shared" si="164"/>
        <v>#N/A</v>
      </c>
      <c r="J1355" s="3">
        <v>477240.39829302987</v>
      </c>
      <c r="K1355" s="3">
        <v>64062</v>
      </c>
      <c r="L1355" s="3" t="e">
        <v>#N/A</v>
      </c>
      <c r="M1355" s="3" t="e">
        <v>#N/A</v>
      </c>
      <c r="N1355" s="3" t="e">
        <v>#N/A</v>
      </c>
      <c r="O1355" s="3" t="e">
        <v>#N/A</v>
      </c>
      <c r="P1355" s="3">
        <f>E1355*(VLOOKUP(B1355,Price_data!A$1:B$190,2,FALSE))</f>
        <v>396.65301013027801</v>
      </c>
      <c r="Q1355" s="3" t="e">
        <f>G1355*(VLOOKUP(B1355,Price_data!A$1:B$190,2,FALSE))</f>
        <v>#N/A</v>
      </c>
      <c r="R1355" s="3" t="e">
        <f>I1355*(VLOOKUP(B1355,Price_data!A$1:B$190,2,FALSE))</f>
        <v>#N/A</v>
      </c>
      <c r="S1355" s="4" t="str">
        <f>(VLOOKUP(B1355,Price_data!A$1:C$190,3,FALSE))</f>
        <v>Open access</v>
      </c>
      <c r="T1355" s="2">
        <f>IF(C1355="Total", (VLOOKUP(B1355,Recommended_fish_intake!A$4:D$122,4,FALSE)), "NA")</f>
        <v>723.79461049350004</v>
      </c>
      <c r="U1355" s="2" t="str">
        <f t="shared" si="165"/>
        <v>NA</v>
      </c>
    </row>
    <row r="1356" spans="1:21" ht="14.25" customHeight="1">
      <c r="A1356" s="2" t="s">
        <v>40</v>
      </c>
      <c r="B1356" s="2">
        <v>1974</v>
      </c>
      <c r="C1356" s="2" t="s">
        <v>16</v>
      </c>
      <c r="D1356" s="3">
        <f t="shared" si="159"/>
        <v>15.494818126397073</v>
      </c>
      <c r="E1356" s="3">
        <f t="shared" si="160"/>
        <v>1.7789999999999999</v>
      </c>
      <c r="F1356" s="3" t="e">
        <f t="shared" si="161"/>
        <v>#N/A</v>
      </c>
      <c r="G1356" s="3" t="e">
        <f t="shared" si="162"/>
        <v>#N/A</v>
      </c>
      <c r="H1356" s="3" t="e">
        <f t="shared" si="163"/>
        <v>#N/A</v>
      </c>
      <c r="I1356" s="3" t="e">
        <f t="shared" si="164"/>
        <v>#N/A</v>
      </c>
      <c r="J1356" s="3">
        <v>15494.818126397073</v>
      </c>
      <c r="K1356" s="3">
        <v>1779</v>
      </c>
      <c r="L1356" s="3" t="e">
        <v>#N/A</v>
      </c>
      <c r="M1356" s="3" t="e">
        <v>#N/A</v>
      </c>
      <c r="N1356" s="3" t="e">
        <v>#N/A</v>
      </c>
      <c r="O1356" s="3" t="e">
        <v>#N/A</v>
      </c>
      <c r="P1356" s="3">
        <f>E1356*(VLOOKUP(B1356,Price_data!A$1:B$190,2,FALSE))</f>
        <v>11.015043317750999</v>
      </c>
      <c r="Q1356" s="3" t="e">
        <f>G1356*(VLOOKUP(B1356,Price_data!A$1:B$190,2,FALSE))</f>
        <v>#N/A</v>
      </c>
      <c r="R1356" s="3" t="e">
        <f>I1356*(VLOOKUP(B1356,Price_data!A$1:B$190,2,FALSE))</f>
        <v>#N/A</v>
      </c>
      <c r="S1356" s="4" t="str">
        <f>(VLOOKUP(B1356,Price_data!A$1:C$190,3,FALSE))</f>
        <v>Open access</v>
      </c>
      <c r="T1356" s="2">
        <f>IF(C1356="Total", (VLOOKUP(B1356,Recommended_fish_intake!A$4:D$122,4,FALSE)), "NA")</f>
        <v>723.79461049350004</v>
      </c>
      <c r="U1356" s="2" t="str">
        <f t="shared" si="165"/>
        <v>NA</v>
      </c>
    </row>
    <row r="1357" spans="1:21" ht="14.25" customHeight="1">
      <c r="A1357" s="2" t="s">
        <v>15</v>
      </c>
      <c r="B1357" s="2">
        <v>1974</v>
      </c>
      <c r="C1357" s="2" t="s">
        <v>16</v>
      </c>
      <c r="D1357" s="3">
        <f t="shared" si="159"/>
        <v>969.97561471245672</v>
      </c>
      <c r="E1357" s="3">
        <f t="shared" si="160"/>
        <v>153.696</v>
      </c>
      <c r="F1357" s="3">
        <f t="shared" si="161"/>
        <v>158.55517171306644</v>
      </c>
      <c r="G1357" s="3">
        <f t="shared" si="162"/>
        <v>50.378</v>
      </c>
      <c r="H1357" s="3">
        <f t="shared" si="163"/>
        <v>191.22129648445437</v>
      </c>
      <c r="I1357" s="3">
        <f t="shared" si="164"/>
        <v>120.404</v>
      </c>
      <c r="J1357" s="3">
        <v>969975.61471245671</v>
      </c>
      <c r="K1357" s="3">
        <v>153696</v>
      </c>
      <c r="L1357" s="3">
        <v>158555.17171306643</v>
      </c>
      <c r="M1357" s="3">
        <v>50378</v>
      </c>
      <c r="N1357" s="3">
        <v>191221.29648445436</v>
      </c>
      <c r="O1357" s="3">
        <v>120404</v>
      </c>
      <c r="P1357" s="3">
        <f>E1357*(VLOOKUP(B1357,Price_data!A$1:B$190,2,FALSE))</f>
        <v>951.64030228502406</v>
      </c>
      <c r="Q1357" s="3">
        <f>G1357*(VLOOKUP(B1357,Price_data!A$1:B$190,2,FALSE))</f>
        <v>311.925717966082</v>
      </c>
      <c r="R1357" s="3">
        <f>I1357*(VLOOKUP(B1357,Price_data!A$1:B$190,2,FALSE))</f>
        <v>745.50605712787603</v>
      </c>
      <c r="S1357" s="4" t="str">
        <f>(VLOOKUP(B1357,Price_data!A$1:C$190,3,FALSE))</f>
        <v>Open access</v>
      </c>
      <c r="T1357" s="2">
        <f>IF(C1357="Total", (VLOOKUP(B1357,Recommended_fish_intake!A$4:D$122,4,FALSE)), "NA")</f>
        <v>723.79461049350004</v>
      </c>
      <c r="U1357" s="2" t="str">
        <f t="shared" si="165"/>
        <v>NA</v>
      </c>
    </row>
    <row r="1358" spans="1:21" ht="14.25" customHeight="1">
      <c r="A1358" s="2" t="s">
        <v>18</v>
      </c>
      <c r="B1358" s="2">
        <v>1974</v>
      </c>
      <c r="C1358" s="2" t="s">
        <v>22</v>
      </c>
      <c r="D1358" s="3">
        <f t="shared" si="159"/>
        <v>217.74029668766511</v>
      </c>
      <c r="E1358" s="3">
        <f t="shared" si="160"/>
        <v>49.262</v>
      </c>
      <c r="F1358" s="3" t="e">
        <f t="shared" si="161"/>
        <v>#N/A</v>
      </c>
      <c r="G1358" s="3" t="e">
        <f t="shared" si="162"/>
        <v>#N/A</v>
      </c>
      <c r="H1358" s="3" t="e">
        <f t="shared" si="163"/>
        <v>#N/A</v>
      </c>
      <c r="I1358" s="3" t="e">
        <f t="shared" si="164"/>
        <v>#N/A</v>
      </c>
      <c r="J1358" s="3">
        <v>217740.2966876651</v>
      </c>
      <c r="K1358" s="3">
        <v>49262</v>
      </c>
      <c r="L1358" s="3" t="e">
        <v>#N/A</v>
      </c>
      <c r="M1358" s="3" t="e">
        <v>#N/A</v>
      </c>
      <c r="N1358" s="3" t="e">
        <v>#N/A</v>
      </c>
      <c r="O1358" s="3" t="e">
        <v>#N/A</v>
      </c>
      <c r="P1358" s="3">
        <f>E1358*(VLOOKUP(B1358,Price_data!A$1:B$190,2,FALSE))</f>
        <v>305.01577510907799</v>
      </c>
      <c r="Q1358" s="3" t="e">
        <f>G1358*(VLOOKUP(B1358,Price_data!A$1:B$190,2,FALSE))</f>
        <v>#N/A</v>
      </c>
      <c r="R1358" s="3" t="e">
        <f>I1358*(VLOOKUP(B1358,Price_data!A$1:B$190,2,FALSE))</f>
        <v>#N/A</v>
      </c>
      <c r="S1358" s="4" t="str">
        <f>(VLOOKUP(B1358,Price_data!A$1:C$190,3,FALSE))</f>
        <v>Open access</v>
      </c>
      <c r="T1358" s="2" t="str">
        <f>IF(C1358="Total", (VLOOKUP(B1358,Recommended_fish_intake!A$4:D$122,4,FALSE)), "NA")</f>
        <v>NA</v>
      </c>
      <c r="U1358" s="2" t="str">
        <f t="shared" si="165"/>
        <v>NA</v>
      </c>
    </row>
    <row r="1359" spans="1:21" ht="14.25" customHeight="1">
      <c r="A1359" s="2" t="s">
        <v>18</v>
      </c>
      <c r="B1359" s="2">
        <v>1974</v>
      </c>
      <c r="C1359" s="2" t="s">
        <v>23</v>
      </c>
      <c r="D1359" s="3">
        <f t="shared" si="159"/>
        <v>46.636862426336108</v>
      </c>
      <c r="E1359" s="3">
        <f t="shared" si="160"/>
        <v>10.913</v>
      </c>
      <c r="F1359" s="3" t="e">
        <f t="shared" si="161"/>
        <v>#N/A</v>
      </c>
      <c r="G1359" s="3" t="e">
        <f t="shared" si="162"/>
        <v>#N/A</v>
      </c>
      <c r="H1359" s="3" t="e">
        <f t="shared" si="163"/>
        <v>#N/A</v>
      </c>
      <c r="I1359" s="3" t="e">
        <f t="shared" si="164"/>
        <v>#N/A</v>
      </c>
      <c r="J1359" s="3">
        <v>46636.862426336105</v>
      </c>
      <c r="K1359" s="3">
        <v>10913</v>
      </c>
      <c r="L1359" s="3" t="e">
        <v>#N/A</v>
      </c>
      <c r="M1359" s="3" t="e">
        <v>#N/A</v>
      </c>
      <c r="N1359" s="3" t="e">
        <v>#N/A</v>
      </c>
      <c r="O1359" s="3" t="e">
        <v>#N/A</v>
      </c>
      <c r="P1359" s="3">
        <f>E1359*(VLOOKUP(B1359,Price_data!A$1:B$190,2,FALSE))</f>
        <v>67.570077417996998</v>
      </c>
      <c r="Q1359" s="3" t="e">
        <f>G1359*(VLOOKUP(B1359,Price_data!A$1:B$190,2,FALSE))</f>
        <v>#N/A</v>
      </c>
      <c r="R1359" s="3" t="e">
        <f>I1359*(VLOOKUP(B1359,Price_data!A$1:B$190,2,FALSE))</f>
        <v>#N/A</v>
      </c>
      <c r="S1359" s="4" t="str">
        <f>(VLOOKUP(B1359,Price_data!A$1:C$190,3,FALSE))</f>
        <v>Open access</v>
      </c>
      <c r="T1359" s="2" t="str">
        <f>IF(C1359="Total", (VLOOKUP(B1359,Recommended_fish_intake!A$4:D$122,4,FALSE)), "NA")</f>
        <v>NA</v>
      </c>
      <c r="U1359" s="2" t="str">
        <f t="shared" si="165"/>
        <v>NA</v>
      </c>
    </row>
    <row r="1360" spans="1:21" ht="14.25" customHeight="1">
      <c r="A1360" s="2" t="s">
        <v>18</v>
      </c>
      <c r="B1360" s="2">
        <v>1974</v>
      </c>
      <c r="C1360" s="2" t="s">
        <v>25</v>
      </c>
      <c r="D1360" s="3">
        <f t="shared" si="159"/>
        <v>24.639300955090427</v>
      </c>
      <c r="E1360" s="3">
        <f t="shared" si="160"/>
        <v>7.4459999999999997</v>
      </c>
      <c r="F1360" s="3" t="e">
        <f t="shared" si="161"/>
        <v>#N/A</v>
      </c>
      <c r="G1360" s="3" t="e">
        <f t="shared" si="162"/>
        <v>#N/A</v>
      </c>
      <c r="H1360" s="3" t="e">
        <f t="shared" si="163"/>
        <v>#N/A</v>
      </c>
      <c r="I1360" s="3" t="e">
        <f t="shared" si="164"/>
        <v>#N/A</v>
      </c>
      <c r="J1360" s="3">
        <v>24639.300955090428</v>
      </c>
      <c r="K1360" s="3">
        <v>7446</v>
      </c>
      <c r="L1360" s="3" t="e">
        <v>#N/A</v>
      </c>
      <c r="M1360" s="3" t="e">
        <v>#N/A</v>
      </c>
      <c r="N1360" s="3" t="e">
        <v>#N/A</v>
      </c>
      <c r="O1360" s="3" t="e">
        <v>#N/A</v>
      </c>
      <c r="P1360" s="3">
        <f>E1360*(VLOOKUP(B1360,Price_data!A$1:B$190,2,FALSE))</f>
        <v>46.103435943774002</v>
      </c>
      <c r="Q1360" s="3" t="e">
        <f>G1360*(VLOOKUP(B1360,Price_data!A$1:B$190,2,FALSE))</f>
        <v>#N/A</v>
      </c>
      <c r="R1360" s="3" t="e">
        <f>I1360*(VLOOKUP(B1360,Price_data!A$1:B$190,2,FALSE))</f>
        <v>#N/A</v>
      </c>
      <c r="S1360" s="4" t="str">
        <f>(VLOOKUP(B1360,Price_data!A$1:C$190,3,FALSE))</f>
        <v>Open access</v>
      </c>
      <c r="T1360" s="2" t="str">
        <f>IF(C1360="Total", (VLOOKUP(B1360,Recommended_fish_intake!A$4:D$122,4,FALSE)), "NA")</f>
        <v>NA</v>
      </c>
      <c r="U1360" s="2" t="str">
        <f t="shared" si="165"/>
        <v>NA</v>
      </c>
    </row>
    <row r="1361" spans="1:21" ht="14.25" customHeight="1">
      <c r="A1361" s="2" t="s">
        <v>18</v>
      </c>
      <c r="B1361" s="2">
        <v>1974</v>
      </c>
      <c r="C1361" s="2" t="s">
        <v>38</v>
      </c>
      <c r="D1361" s="3">
        <f t="shared" si="159"/>
        <v>19.305019305019304</v>
      </c>
      <c r="E1361" s="3">
        <f t="shared" si="160"/>
        <v>2.57</v>
      </c>
      <c r="F1361" s="3" t="e">
        <f t="shared" si="161"/>
        <v>#N/A</v>
      </c>
      <c r="G1361" s="3" t="e">
        <f t="shared" si="162"/>
        <v>#N/A</v>
      </c>
      <c r="H1361" s="3" t="e">
        <f t="shared" si="163"/>
        <v>#N/A</v>
      </c>
      <c r="I1361" s="3" t="e">
        <f t="shared" si="164"/>
        <v>#N/A</v>
      </c>
      <c r="J1361" s="3">
        <v>19305.019305019305</v>
      </c>
      <c r="K1361" s="3">
        <v>2570</v>
      </c>
      <c r="L1361" s="3" t="e">
        <v>#N/A</v>
      </c>
      <c r="M1361" s="3" t="e">
        <v>#N/A</v>
      </c>
      <c r="N1361" s="3" t="e">
        <v>#N/A</v>
      </c>
      <c r="O1361" s="3" t="e">
        <v>#N/A</v>
      </c>
      <c r="P1361" s="3">
        <f>E1361*(VLOOKUP(B1361,Price_data!A$1:B$190,2,FALSE))</f>
        <v>15.91268202733</v>
      </c>
      <c r="Q1361" s="3" t="e">
        <f>G1361*(VLOOKUP(B1361,Price_data!A$1:B$190,2,FALSE))</f>
        <v>#N/A</v>
      </c>
      <c r="R1361" s="3" t="e">
        <f>I1361*(VLOOKUP(B1361,Price_data!A$1:B$190,2,FALSE))</f>
        <v>#N/A</v>
      </c>
      <c r="S1361" s="4" t="str">
        <f>(VLOOKUP(B1361,Price_data!A$1:C$190,3,FALSE))</f>
        <v>Open access</v>
      </c>
      <c r="T1361" s="2" t="str">
        <f>IF(C1361="Total", (VLOOKUP(B1361,Recommended_fish_intake!A$4:D$122,4,FALSE)), "NA")</f>
        <v>NA</v>
      </c>
      <c r="U1361" s="2" t="str">
        <f t="shared" si="165"/>
        <v>NA</v>
      </c>
    </row>
    <row r="1362" spans="1:21" ht="14.25" customHeight="1">
      <c r="A1362" s="2" t="s">
        <v>18</v>
      </c>
      <c r="B1362" s="2">
        <v>1974</v>
      </c>
      <c r="C1362" s="2" t="s">
        <v>24</v>
      </c>
      <c r="D1362" s="3">
        <f t="shared" si="159"/>
        <v>6.3503352977037189</v>
      </c>
      <c r="E1362" s="3">
        <f t="shared" si="160"/>
        <v>0.86799999999999999</v>
      </c>
      <c r="F1362" s="3" t="e">
        <f t="shared" si="161"/>
        <v>#N/A</v>
      </c>
      <c r="G1362" s="3" t="e">
        <f t="shared" si="162"/>
        <v>#N/A</v>
      </c>
      <c r="H1362" s="3" t="e">
        <f t="shared" si="163"/>
        <v>#N/A</v>
      </c>
      <c r="I1362" s="3" t="e">
        <f t="shared" si="164"/>
        <v>#N/A</v>
      </c>
      <c r="J1362" s="3">
        <v>6350.3352977037184</v>
      </c>
      <c r="K1362" s="3">
        <v>868</v>
      </c>
      <c r="L1362" s="3" t="e">
        <v>#N/A</v>
      </c>
      <c r="M1362" s="3" t="e">
        <v>#N/A</v>
      </c>
      <c r="N1362" s="3" t="e">
        <v>#N/A</v>
      </c>
      <c r="O1362" s="3" t="e">
        <v>#N/A</v>
      </c>
      <c r="P1362" s="3">
        <f>E1362*(VLOOKUP(B1362,Price_data!A$1:B$190,2,FALSE))</f>
        <v>5.3743999998919998</v>
      </c>
      <c r="Q1362" s="3" t="e">
        <f>G1362*(VLOOKUP(B1362,Price_data!A$1:B$190,2,FALSE))</f>
        <v>#N/A</v>
      </c>
      <c r="R1362" s="3" t="e">
        <f>I1362*(VLOOKUP(B1362,Price_data!A$1:B$190,2,FALSE))</f>
        <v>#N/A</v>
      </c>
      <c r="S1362" s="4" t="str">
        <f>(VLOOKUP(B1362,Price_data!A$1:C$190,3,FALSE))</f>
        <v>Open access</v>
      </c>
      <c r="T1362" s="2" t="str">
        <f>IF(C1362="Total", (VLOOKUP(B1362,Recommended_fish_intake!A$4:D$122,4,FALSE)), "NA")</f>
        <v>NA</v>
      </c>
      <c r="U1362" s="2" t="str">
        <f t="shared" si="165"/>
        <v>NA</v>
      </c>
    </row>
    <row r="1363" spans="1:21" ht="14.25" customHeight="1">
      <c r="A1363" s="2" t="s">
        <v>18</v>
      </c>
      <c r="B1363" s="2">
        <v>1974</v>
      </c>
      <c r="C1363" s="2" t="s">
        <v>19</v>
      </c>
      <c r="D1363" s="3">
        <f t="shared" si="159"/>
        <v>11.125787441576914</v>
      </c>
      <c r="E1363" s="3">
        <f t="shared" si="160"/>
        <v>0.91800000000000004</v>
      </c>
      <c r="F1363" s="3" t="e">
        <f t="shared" si="161"/>
        <v>#N/A</v>
      </c>
      <c r="G1363" s="3" t="e">
        <f t="shared" si="162"/>
        <v>#N/A</v>
      </c>
      <c r="H1363" s="3" t="e">
        <f t="shared" si="163"/>
        <v>#N/A</v>
      </c>
      <c r="I1363" s="3" t="e">
        <f t="shared" si="164"/>
        <v>#N/A</v>
      </c>
      <c r="J1363" s="3">
        <v>11125.787441576915</v>
      </c>
      <c r="K1363" s="3">
        <v>918</v>
      </c>
      <c r="L1363" s="3" t="e">
        <v>#N/A</v>
      </c>
      <c r="M1363" s="3" t="e">
        <v>#N/A</v>
      </c>
      <c r="N1363" s="3" t="e">
        <v>#N/A</v>
      </c>
      <c r="O1363" s="3" t="e">
        <v>#N/A</v>
      </c>
      <c r="P1363" s="3">
        <f>E1363*(VLOOKUP(B1363,Price_data!A$1:B$190,2,FALSE))</f>
        <v>5.6839852533420006</v>
      </c>
      <c r="Q1363" s="3" t="e">
        <f>G1363*(VLOOKUP(B1363,Price_data!A$1:B$190,2,FALSE))</f>
        <v>#N/A</v>
      </c>
      <c r="R1363" s="3" t="e">
        <f>I1363*(VLOOKUP(B1363,Price_data!A$1:B$190,2,FALSE))</f>
        <v>#N/A</v>
      </c>
      <c r="S1363" s="4" t="str">
        <f>(VLOOKUP(B1363,Price_data!A$1:C$190,3,FALSE))</f>
        <v>Open access</v>
      </c>
      <c r="T1363" s="2" t="str">
        <f>IF(C1363="Total", (VLOOKUP(B1363,Recommended_fish_intake!A$4:D$122,4,FALSE)), "NA")</f>
        <v>NA</v>
      </c>
      <c r="U1363" s="2" t="str">
        <f t="shared" si="165"/>
        <v>NA</v>
      </c>
    </row>
    <row r="1364" spans="1:21" ht="14.25" customHeight="1">
      <c r="A1364" s="2" t="s">
        <v>18</v>
      </c>
      <c r="B1364" s="2">
        <v>1974</v>
      </c>
      <c r="C1364" s="2" t="s">
        <v>20</v>
      </c>
      <c r="D1364" s="3">
        <f t="shared" si="159"/>
        <v>21.184718553139604</v>
      </c>
      <c r="E1364" s="3">
        <f t="shared" si="160"/>
        <v>1.1080000000000001</v>
      </c>
      <c r="F1364" s="3" t="e">
        <f t="shared" si="161"/>
        <v>#N/A</v>
      </c>
      <c r="G1364" s="3" t="e">
        <f t="shared" si="162"/>
        <v>#N/A</v>
      </c>
      <c r="H1364" s="3" t="e">
        <f t="shared" si="163"/>
        <v>#N/A</v>
      </c>
      <c r="I1364" s="3" t="e">
        <f t="shared" si="164"/>
        <v>#N/A</v>
      </c>
      <c r="J1364" s="3">
        <v>21184.718553139603</v>
      </c>
      <c r="K1364" s="3">
        <v>1108</v>
      </c>
      <c r="L1364" s="3" t="e">
        <v>#N/A</v>
      </c>
      <c r="M1364" s="3" t="e">
        <v>#N/A</v>
      </c>
      <c r="N1364" s="3" t="e">
        <v>#N/A</v>
      </c>
      <c r="O1364" s="3" t="e">
        <v>#N/A</v>
      </c>
      <c r="P1364" s="3">
        <f>E1364*(VLOOKUP(B1364,Price_data!A$1:B$190,2,FALSE))</f>
        <v>6.860409216452001</v>
      </c>
      <c r="Q1364" s="3" t="e">
        <f>G1364*(VLOOKUP(B1364,Price_data!A$1:B$190,2,FALSE))</f>
        <v>#N/A</v>
      </c>
      <c r="R1364" s="3" t="e">
        <f>I1364*(VLOOKUP(B1364,Price_data!A$1:B$190,2,FALSE))</f>
        <v>#N/A</v>
      </c>
      <c r="S1364" s="4" t="str">
        <f>(VLOOKUP(B1364,Price_data!A$1:C$190,3,FALSE))</f>
        <v>Open access</v>
      </c>
      <c r="T1364" s="2" t="str">
        <f>IF(C1364="Total", (VLOOKUP(B1364,Recommended_fish_intake!A$4:D$122,4,FALSE)), "NA")</f>
        <v>NA</v>
      </c>
      <c r="U1364" s="2" t="str">
        <f t="shared" si="165"/>
        <v>NA</v>
      </c>
    </row>
    <row r="1365" spans="1:21" ht="14.25" customHeight="1">
      <c r="A1365" s="2" t="s">
        <v>18</v>
      </c>
      <c r="B1365" s="2">
        <v>1974</v>
      </c>
      <c r="C1365" s="2" t="s">
        <v>21</v>
      </c>
      <c r="D1365" s="3">
        <f t="shared" si="159"/>
        <v>26.468197520829097</v>
      </c>
      <c r="E1365" s="3">
        <f t="shared" si="160"/>
        <v>0.92200000000000004</v>
      </c>
      <c r="F1365" s="3" t="e">
        <f t="shared" si="161"/>
        <v>#N/A</v>
      </c>
      <c r="G1365" s="3" t="e">
        <f t="shared" si="162"/>
        <v>#N/A</v>
      </c>
      <c r="H1365" s="3" t="e">
        <f t="shared" si="163"/>
        <v>#N/A</v>
      </c>
      <c r="I1365" s="3" t="e">
        <f t="shared" si="164"/>
        <v>#N/A</v>
      </c>
      <c r="J1365" s="3">
        <v>26468.197520829097</v>
      </c>
      <c r="K1365" s="3">
        <v>922</v>
      </c>
      <c r="L1365" s="3" t="e">
        <v>#N/A</v>
      </c>
      <c r="M1365" s="3" t="e">
        <v>#N/A</v>
      </c>
      <c r="N1365" s="3" t="e">
        <v>#N/A</v>
      </c>
      <c r="O1365" s="3" t="e">
        <v>#N/A</v>
      </c>
      <c r="P1365" s="3">
        <f>E1365*(VLOOKUP(B1365,Price_data!A$1:B$190,2,FALSE))</f>
        <v>5.7087520736180002</v>
      </c>
      <c r="Q1365" s="3" t="e">
        <f>G1365*(VLOOKUP(B1365,Price_data!A$1:B$190,2,FALSE))</f>
        <v>#N/A</v>
      </c>
      <c r="R1365" s="3" t="e">
        <f>I1365*(VLOOKUP(B1365,Price_data!A$1:B$190,2,FALSE))</f>
        <v>#N/A</v>
      </c>
      <c r="S1365" s="4" t="str">
        <f>(VLOOKUP(B1365,Price_data!A$1:C$190,3,FALSE))</f>
        <v>Open access</v>
      </c>
      <c r="T1365" s="2" t="str">
        <f>IF(C1365="Total", (VLOOKUP(B1365,Recommended_fish_intake!A$4:D$122,4,FALSE)), "NA")</f>
        <v>NA</v>
      </c>
      <c r="U1365" s="2" t="str">
        <f t="shared" si="165"/>
        <v>NA</v>
      </c>
    </row>
    <row r="1366" spans="1:21" ht="14.25" customHeight="1">
      <c r="A1366" s="2" t="s">
        <v>18</v>
      </c>
      <c r="B1366" s="2">
        <v>1974</v>
      </c>
      <c r="C1366" s="2" t="s">
        <v>37</v>
      </c>
      <c r="D1366" s="3">
        <f t="shared" si="159"/>
        <v>435.58219874009353</v>
      </c>
      <c r="E1366" s="3">
        <f t="shared" si="160"/>
        <v>83.756</v>
      </c>
      <c r="F1366" s="3" t="e">
        <f t="shared" si="161"/>
        <v>#N/A</v>
      </c>
      <c r="G1366" s="3" t="e">
        <f t="shared" si="162"/>
        <v>#N/A</v>
      </c>
      <c r="H1366" s="3" t="e">
        <f t="shared" si="163"/>
        <v>#N/A</v>
      </c>
      <c r="I1366" s="3" t="e">
        <f t="shared" si="164"/>
        <v>#N/A</v>
      </c>
      <c r="J1366" s="3">
        <v>435582.1987400935</v>
      </c>
      <c r="K1366" s="3">
        <v>83756</v>
      </c>
      <c r="L1366" s="3" t="e">
        <v>#N/A</v>
      </c>
      <c r="M1366" s="3" t="e">
        <v>#N/A</v>
      </c>
      <c r="N1366" s="3" t="e">
        <v>#N/A</v>
      </c>
      <c r="O1366" s="3" t="e">
        <v>#N/A</v>
      </c>
      <c r="P1366" s="3">
        <f>E1366*(VLOOKUP(B1366,Price_data!A$1:B$190,2,FALSE))</f>
        <v>518.59244975916397</v>
      </c>
      <c r="Q1366" s="3" t="e">
        <f>G1366*(VLOOKUP(B1366,Price_data!A$1:B$190,2,FALSE))</f>
        <v>#N/A</v>
      </c>
      <c r="R1366" s="3" t="e">
        <f>I1366*(VLOOKUP(B1366,Price_data!A$1:B$190,2,FALSE))</f>
        <v>#N/A</v>
      </c>
      <c r="S1366" s="4" t="str">
        <f>(VLOOKUP(B1366,Price_data!A$1:C$190,3,FALSE))</f>
        <v>Open access</v>
      </c>
      <c r="T1366" s="2" t="str">
        <f>IF(C1366="Total", (VLOOKUP(B1366,Recommended_fish_intake!A$4:D$122,4,FALSE)), "NA")</f>
        <v>NA</v>
      </c>
      <c r="U1366" s="2">
        <f t="shared" si="165"/>
        <v>213.43527738264584</v>
      </c>
    </row>
    <row r="1367" spans="1:21" ht="14.25" customHeight="1">
      <c r="A1367" s="2" t="s">
        <v>18</v>
      </c>
      <c r="B1367" s="2">
        <v>1974</v>
      </c>
      <c r="C1367" s="2" t="s">
        <v>36</v>
      </c>
      <c r="D1367" s="3">
        <f t="shared" si="159"/>
        <v>3.6069904490957119</v>
      </c>
      <c r="E1367" s="3">
        <f t="shared" si="160"/>
        <v>0.9</v>
      </c>
      <c r="F1367" s="3" t="e">
        <f t="shared" si="161"/>
        <v>#N/A</v>
      </c>
      <c r="G1367" s="3" t="e">
        <f t="shared" si="162"/>
        <v>#N/A</v>
      </c>
      <c r="H1367" s="3" t="e">
        <f t="shared" si="163"/>
        <v>#N/A</v>
      </c>
      <c r="I1367" s="3" t="e">
        <f t="shared" si="164"/>
        <v>#N/A</v>
      </c>
      <c r="J1367" s="3">
        <v>3606.9904490957119</v>
      </c>
      <c r="K1367" s="3">
        <v>900</v>
      </c>
      <c r="L1367" s="3" t="e">
        <v>#N/A</v>
      </c>
      <c r="M1367" s="3" t="e">
        <v>#N/A</v>
      </c>
      <c r="N1367" s="3" t="e">
        <v>#N/A</v>
      </c>
      <c r="O1367" s="3" t="e">
        <v>#N/A</v>
      </c>
      <c r="P1367" s="3">
        <f>E1367*(VLOOKUP(B1367,Price_data!A$1:B$190,2,FALSE))</f>
        <v>5.5725345621000004</v>
      </c>
      <c r="Q1367" s="3" t="e">
        <f>G1367*(VLOOKUP(B1367,Price_data!A$1:B$190,2,FALSE))</f>
        <v>#N/A</v>
      </c>
      <c r="R1367" s="3" t="e">
        <f>I1367*(VLOOKUP(B1367,Price_data!A$1:B$190,2,FALSE))</f>
        <v>#N/A</v>
      </c>
      <c r="S1367" s="4" t="str">
        <f>(VLOOKUP(B1367,Price_data!A$1:C$190,3,FALSE))</f>
        <v>Open access</v>
      </c>
      <c r="T1367" s="2" t="str">
        <f>IF(C1367="Total", (VLOOKUP(B1367,Recommended_fish_intake!A$4:D$122,4,FALSE)), "NA")</f>
        <v>NA</v>
      </c>
      <c r="U1367" s="2" t="str">
        <f t="shared" si="165"/>
        <v>NA</v>
      </c>
    </row>
    <row r="1368" spans="1:21" ht="14.25" customHeight="1">
      <c r="A1368" s="2" t="s">
        <v>18</v>
      </c>
      <c r="B1368" s="2">
        <v>1974</v>
      </c>
      <c r="C1368" s="2" t="s">
        <v>34</v>
      </c>
      <c r="D1368" s="3">
        <f t="shared" si="159"/>
        <v>0.406421459053038</v>
      </c>
      <c r="E1368" s="3">
        <f t="shared" si="160"/>
        <v>0.83199999999999996</v>
      </c>
      <c r="F1368" s="3" t="e">
        <f t="shared" si="161"/>
        <v>#N/A</v>
      </c>
      <c r="G1368" s="3" t="e">
        <f t="shared" si="162"/>
        <v>#N/A</v>
      </c>
      <c r="H1368" s="3" t="e">
        <f t="shared" si="163"/>
        <v>#N/A</v>
      </c>
      <c r="I1368" s="3" t="e">
        <f t="shared" si="164"/>
        <v>#N/A</v>
      </c>
      <c r="J1368" s="3">
        <v>406.42145905303801</v>
      </c>
      <c r="K1368" s="3">
        <v>832</v>
      </c>
      <c r="L1368" s="3" t="e">
        <v>#N/A</v>
      </c>
      <c r="M1368" s="3" t="e">
        <v>#N/A</v>
      </c>
      <c r="N1368" s="3" t="e">
        <v>#N/A</v>
      </c>
      <c r="O1368" s="3" t="e">
        <v>#N/A</v>
      </c>
      <c r="P1368" s="3">
        <f>E1368*(VLOOKUP(B1368,Price_data!A$1:B$190,2,FALSE))</f>
        <v>5.1514986174079995</v>
      </c>
      <c r="Q1368" s="3" t="e">
        <f>G1368*(VLOOKUP(B1368,Price_data!A$1:B$190,2,FALSE))</f>
        <v>#N/A</v>
      </c>
      <c r="R1368" s="3" t="e">
        <f>I1368*(VLOOKUP(B1368,Price_data!A$1:B$190,2,FALSE))</f>
        <v>#N/A</v>
      </c>
      <c r="S1368" s="4" t="str">
        <f>(VLOOKUP(B1368,Price_data!A$1:C$190,3,FALSE))</f>
        <v>Open access</v>
      </c>
      <c r="T1368" s="2" t="str">
        <f>IF(C1368="Total", (VLOOKUP(B1368,Recommended_fish_intake!A$4:D$122,4,FALSE)), "NA")</f>
        <v>NA</v>
      </c>
      <c r="U1368" s="2" t="str">
        <f t="shared" si="165"/>
        <v>NA</v>
      </c>
    </row>
    <row r="1369" spans="1:21" ht="14.25" customHeight="1">
      <c r="A1369" s="2" t="s">
        <v>18</v>
      </c>
      <c r="B1369" s="2">
        <v>1974</v>
      </c>
      <c r="C1369" s="2" t="s">
        <v>35</v>
      </c>
      <c r="D1369" s="3">
        <f t="shared" si="159"/>
        <v>0.66043487096118669</v>
      </c>
      <c r="E1369" s="3">
        <f t="shared" si="160"/>
        <v>0.32400000000000001</v>
      </c>
      <c r="F1369" s="3" t="e">
        <f t="shared" si="161"/>
        <v>#N/A</v>
      </c>
      <c r="G1369" s="3" t="e">
        <f t="shared" si="162"/>
        <v>#N/A</v>
      </c>
      <c r="H1369" s="3" t="e">
        <f t="shared" si="163"/>
        <v>#N/A</v>
      </c>
      <c r="I1369" s="3" t="e">
        <f t="shared" si="164"/>
        <v>#N/A</v>
      </c>
      <c r="J1369" s="3">
        <v>660.43487096118668</v>
      </c>
      <c r="K1369" s="3">
        <v>324</v>
      </c>
      <c r="L1369" s="3" t="e">
        <v>#N/A</v>
      </c>
      <c r="M1369" s="3" t="e">
        <v>#N/A</v>
      </c>
      <c r="N1369" s="3" t="e">
        <v>#N/A</v>
      </c>
      <c r="O1369" s="3" t="e">
        <v>#N/A</v>
      </c>
      <c r="P1369" s="3">
        <f>E1369*(VLOOKUP(B1369,Price_data!A$1:B$190,2,FALSE))</f>
        <v>2.0061124423560002</v>
      </c>
      <c r="Q1369" s="3" t="e">
        <f>G1369*(VLOOKUP(B1369,Price_data!A$1:B$190,2,FALSE))</f>
        <v>#N/A</v>
      </c>
      <c r="R1369" s="3" t="e">
        <f>I1369*(VLOOKUP(B1369,Price_data!A$1:B$190,2,FALSE))</f>
        <v>#N/A</v>
      </c>
      <c r="S1369" s="4" t="str">
        <f>(VLOOKUP(B1369,Price_data!A$1:C$190,3,FALSE))</f>
        <v>Open access</v>
      </c>
      <c r="T1369" s="2" t="str">
        <f>IF(C1369="Total", (VLOOKUP(B1369,Recommended_fish_intake!A$4:D$122,4,FALSE)), "NA")</f>
        <v>NA</v>
      </c>
      <c r="U1369" s="2" t="str">
        <f t="shared" si="165"/>
        <v>NA</v>
      </c>
    </row>
    <row r="1370" spans="1:21" ht="14.25" customHeight="1">
      <c r="A1370" s="2" t="s">
        <v>18</v>
      </c>
      <c r="B1370" s="2">
        <v>1974</v>
      </c>
      <c r="C1370" s="2" t="s">
        <v>30</v>
      </c>
      <c r="D1370" s="3">
        <f t="shared" si="159"/>
        <v>1.2700670595407437</v>
      </c>
      <c r="E1370" s="3">
        <f t="shared" si="160"/>
        <v>0.33</v>
      </c>
      <c r="F1370" s="3" t="e">
        <f t="shared" si="161"/>
        <v>#N/A</v>
      </c>
      <c r="G1370" s="3" t="e">
        <f t="shared" si="162"/>
        <v>#N/A</v>
      </c>
      <c r="H1370" s="3" t="e">
        <f t="shared" si="163"/>
        <v>#N/A</v>
      </c>
      <c r="I1370" s="3" t="e">
        <f t="shared" si="164"/>
        <v>#N/A</v>
      </c>
      <c r="J1370" s="3">
        <v>1270.0670595407437</v>
      </c>
      <c r="K1370" s="3">
        <v>330</v>
      </c>
      <c r="L1370" s="3" t="e">
        <v>#N/A</v>
      </c>
      <c r="M1370" s="3" t="e">
        <v>#N/A</v>
      </c>
      <c r="N1370" s="3" t="e">
        <v>#N/A</v>
      </c>
      <c r="O1370" s="3" t="e">
        <v>#N/A</v>
      </c>
      <c r="P1370" s="3">
        <f>E1370*(VLOOKUP(B1370,Price_data!A$1:B$190,2,FALSE))</f>
        <v>2.0432626727700001</v>
      </c>
      <c r="Q1370" s="3" t="e">
        <f>G1370*(VLOOKUP(B1370,Price_data!A$1:B$190,2,FALSE))</f>
        <v>#N/A</v>
      </c>
      <c r="R1370" s="3" t="e">
        <f>I1370*(VLOOKUP(B1370,Price_data!A$1:B$190,2,FALSE))</f>
        <v>#N/A</v>
      </c>
      <c r="S1370" s="4" t="str">
        <f>(VLOOKUP(B1370,Price_data!A$1:C$190,3,FALSE))</f>
        <v>Open access</v>
      </c>
      <c r="T1370" s="2" t="str">
        <f>IF(C1370="Total", (VLOOKUP(B1370,Recommended_fish_intake!A$4:D$122,4,FALSE)), "NA")</f>
        <v>NA</v>
      </c>
      <c r="U1370" s="2" t="str">
        <f t="shared" si="165"/>
        <v>NA</v>
      </c>
    </row>
    <row r="1371" spans="1:21" ht="14.25" customHeight="1">
      <c r="A1371" s="2" t="s">
        <v>18</v>
      </c>
      <c r="B1371" s="2">
        <v>1974</v>
      </c>
      <c r="C1371" s="2" t="s">
        <v>28</v>
      </c>
      <c r="D1371" s="3">
        <f t="shared" si="159"/>
        <v>41.658199552936395</v>
      </c>
      <c r="E1371" s="3">
        <f t="shared" si="160"/>
        <v>4.0990000000000002</v>
      </c>
      <c r="F1371" s="3" t="e">
        <f t="shared" si="161"/>
        <v>#N/A</v>
      </c>
      <c r="G1371" s="3" t="e">
        <f t="shared" si="162"/>
        <v>#N/A</v>
      </c>
      <c r="H1371" s="3" t="e">
        <f t="shared" si="163"/>
        <v>#N/A</v>
      </c>
      <c r="I1371" s="3" t="e">
        <f t="shared" si="164"/>
        <v>#N/A</v>
      </c>
      <c r="J1371" s="3">
        <v>41658.199552936392</v>
      </c>
      <c r="K1371" s="3">
        <v>4099</v>
      </c>
      <c r="L1371" s="3" t="e">
        <v>#N/A</v>
      </c>
      <c r="M1371" s="3" t="e">
        <v>#N/A</v>
      </c>
      <c r="N1371" s="3" t="e">
        <v>#N/A</v>
      </c>
      <c r="O1371" s="3" t="e">
        <v>#N/A</v>
      </c>
      <c r="P1371" s="3">
        <f>E1371*(VLOOKUP(B1371,Price_data!A$1:B$190,2,FALSE))</f>
        <v>25.379799077831002</v>
      </c>
      <c r="Q1371" s="3" t="e">
        <f>G1371*(VLOOKUP(B1371,Price_data!A$1:B$190,2,FALSE))</f>
        <v>#N/A</v>
      </c>
      <c r="R1371" s="3" t="e">
        <f>I1371*(VLOOKUP(B1371,Price_data!A$1:B$190,2,FALSE))</f>
        <v>#N/A</v>
      </c>
      <c r="S1371" s="4" t="str">
        <f>(VLOOKUP(B1371,Price_data!A$1:C$190,3,FALSE))</f>
        <v>Open access</v>
      </c>
      <c r="T1371" s="2" t="str">
        <f>IF(C1371="Total", (VLOOKUP(B1371,Recommended_fish_intake!A$4:D$122,4,FALSE)), "NA")</f>
        <v>NA</v>
      </c>
      <c r="U1371" s="2">
        <f t="shared" si="165"/>
        <v>11.664295874822193</v>
      </c>
    </row>
    <row r="1372" spans="1:21" ht="14.25" customHeight="1">
      <c r="A1372" s="2" t="s">
        <v>39</v>
      </c>
      <c r="B1372" s="2">
        <v>1974</v>
      </c>
      <c r="C1372" s="2" t="s">
        <v>22</v>
      </c>
      <c r="D1372" s="3">
        <f t="shared" si="159"/>
        <v>48.922983133509447</v>
      </c>
      <c r="E1372" s="3">
        <f t="shared" si="160"/>
        <v>12.377000000000001</v>
      </c>
      <c r="F1372" s="3" t="e">
        <f t="shared" si="161"/>
        <v>#N/A</v>
      </c>
      <c r="G1372" s="3" t="e">
        <f t="shared" si="162"/>
        <v>#N/A</v>
      </c>
      <c r="H1372" s="3" t="e">
        <f t="shared" si="163"/>
        <v>#N/A</v>
      </c>
      <c r="I1372" s="3" t="e">
        <f t="shared" si="164"/>
        <v>#N/A</v>
      </c>
      <c r="J1372" s="3">
        <v>48922.98313350945</v>
      </c>
      <c r="K1372" s="3">
        <v>12377</v>
      </c>
      <c r="L1372" s="3" t="e">
        <v>#N/A</v>
      </c>
      <c r="M1372" s="3" t="e">
        <v>#N/A</v>
      </c>
      <c r="N1372" s="3" t="e">
        <v>#N/A</v>
      </c>
      <c r="O1372" s="3" t="e">
        <v>#N/A</v>
      </c>
      <c r="P1372" s="3">
        <f>E1372*(VLOOKUP(B1372,Price_data!A$1:B$190,2,FALSE))</f>
        <v>76.634733639013007</v>
      </c>
      <c r="Q1372" s="3" t="e">
        <f>G1372*(VLOOKUP(B1372,Price_data!A$1:B$190,2,FALSE))</f>
        <v>#N/A</v>
      </c>
      <c r="R1372" s="3" t="e">
        <f>I1372*(VLOOKUP(B1372,Price_data!A$1:B$190,2,FALSE))</f>
        <v>#N/A</v>
      </c>
      <c r="S1372" s="4" t="str">
        <f>(VLOOKUP(B1372,Price_data!A$1:C$190,3,FALSE))</f>
        <v>Open access</v>
      </c>
      <c r="T1372" s="2" t="str">
        <f>IF(C1372="Total", (VLOOKUP(B1372,Recommended_fish_intake!A$4:D$122,4,FALSE)), "NA")</f>
        <v>NA</v>
      </c>
      <c r="U1372" s="2" t="str">
        <f t="shared" si="165"/>
        <v>NA</v>
      </c>
    </row>
    <row r="1373" spans="1:21" ht="14.25" customHeight="1">
      <c r="A1373" s="2" t="s">
        <v>39</v>
      </c>
      <c r="B1373" s="2">
        <v>1974</v>
      </c>
      <c r="C1373" s="2" t="s">
        <v>23</v>
      </c>
      <c r="D1373" s="3">
        <f t="shared" si="159"/>
        <v>79.506197927250554</v>
      </c>
      <c r="E1373" s="3">
        <f t="shared" si="160"/>
        <v>16.303999999999998</v>
      </c>
      <c r="F1373" s="3" t="e">
        <f t="shared" si="161"/>
        <v>#N/A</v>
      </c>
      <c r="G1373" s="3" t="e">
        <f t="shared" si="162"/>
        <v>#N/A</v>
      </c>
      <c r="H1373" s="3" t="e">
        <f t="shared" si="163"/>
        <v>#N/A</v>
      </c>
      <c r="I1373" s="3" t="e">
        <f t="shared" si="164"/>
        <v>#N/A</v>
      </c>
      <c r="J1373" s="3">
        <v>79506.197927250556</v>
      </c>
      <c r="K1373" s="3">
        <v>16304</v>
      </c>
      <c r="L1373" s="3" t="e">
        <v>#N/A</v>
      </c>
      <c r="M1373" s="3" t="e">
        <v>#N/A</v>
      </c>
      <c r="N1373" s="3" t="e">
        <v>#N/A</v>
      </c>
      <c r="O1373" s="3" t="e">
        <v>#N/A</v>
      </c>
      <c r="P1373" s="3">
        <f>E1373*(VLOOKUP(B1373,Price_data!A$1:B$190,2,FALSE))</f>
        <v>100.94955944497599</v>
      </c>
      <c r="Q1373" s="3" t="e">
        <f>G1373*(VLOOKUP(B1373,Price_data!A$1:B$190,2,FALSE))</f>
        <v>#N/A</v>
      </c>
      <c r="R1373" s="3" t="e">
        <f>I1373*(VLOOKUP(B1373,Price_data!A$1:B$190,2,FALSE))</f>
        <v>#N/A</v>
      </c>
      <c r="S1373" s="4" t="str">
        <f>(VLOOKUP(B1373,Price_data!A$1:C$190,3,FALSE))</f>
        <v>Open access</v>
      </c>
      <c r="T1373" s="2" t="str">
        <f>IF(C1373="Total", (VLOOKUP(B1373,Recommended_fish_intake!A$4:D$122,4,FALSE)), "NA")</f>
        <v>NA</v>
      </c>
      <c r="U1373" s="2" t="str">
        <f t="shared" si="165"/>
        <v>NA</v>
      </c>
    </row>
    <row r="1374" spans="1:21" ht="14.25" customHeight="1">
      <c r="A1374" s="2" t="s">
        <v>39</v>
      </c>
      <c r="B1374" s="2">
        <v>1974</v>
      </c>
      <c r="C1374" s="2" t="s">
        <v>25</v>
      </c>
      <c r="D1374" s="3">
        <f t="shared" si="159"/>
        <v>4.3690306848201583</v>
      </c>
      <c r="E1374" s="3">
        <f t="shared" si="160"/>
        <v>1.1559999999999999</v>
      </c>
      <c r="F1374" s="3" t="e">
        <f t="shared" si="161"/>
        <v>#N/A</v>
      </c>
      <c r="G1374" s="3" t="e">
        <f t="shared" si="162"/>
        <v>#N/A</v>
      </c>
      <c r="H1374" s="3" t="e">
        <f t="shared" si="163"/>
        <v>#N/A</v>
      </c>
      <c r="I1374" s="3" t="e">
        <f t="shared" si="164"/>
        <v>#N/A</v>
      </c>
      <c r="J1374" s="3">
        <v>4369.0306848201581</v>
      </c>
      <c r="K1374" s="3">
        <v>1156</v>
      </c>
      <c r="L1374" s="3" t="e">
        <v>#N/A</v>
      </c>
      <c r="M1374" s="3" t="e">
        <v>#N/A</v>
      </c>
      <c r="N1374" s="3" t="e">
        <v>#N/A</v>
      </c>
      <c r="O1374" s="3" t="e">
        <v>#N/A</v>
      </c>
      <c r="P1374" s="3">
        <f>E1374*(VLOOKUP(B1374,Price_data!A$1:B$190,2,FALSE))</f>
        <v>7.1576110597639993</v>
      </c>
      <c r="Q1374" s="3" t="e">
        <f>G1374*(VLOOKUP(B1374,Price_data!A$1:B$190,2,FALSE))</f>
        <v>#N/A</v>
      </c>
      <c r="R1374" s="3" t="e">
        <f>I1374*(VLOOKUP(B1374,Price_data!A$1:B$190,2,FALSE))</f>
        <v>#N/A</v>
      </c>
      <c r="S1374" s="4" t="str">
        <f>(VLOOKUP(B1374,Price_data!A$1:C$190,3,FALSE))</f>
        <v>Open access</v>
      </c>
      <c r="T1374" s="2" t="str">
        <f>IF(C1374="Total", (VLOOKUP(B1374,Recommended_fish_intake!A$4:D$122,4,FALSE)), "NA")</f>
        <v>NA</v>
      </c>
      <c r="U1374" s="2" t="str">
        <f t="shared" si="165"/>
        <v>NA</v>
      </c>
    </row>
    <row r="1375" spans="1:21" ht="14.25" customHeight="1">
      <c r="A1375" s="2" t="s">
        <v>39</v>
      </c>
      <c r="B1375" s="2">
        <v>1974</v>
      </c>
      <c r="C1375" s="2" t="s">
        <v>38</v>
      </c>
      <c r="D1375" s="3">
        <f t="shared" si="159"/>
        <v>24.690103637472056</v>
      </c>
      <c r="E1375" s="3">
        <f t="shared" si="160"/>
        <v>3.0030000000000001</v>
      </c>
      <c r="F1375" s="3" t="e">
        <f t="shared" si="161"/>
        <v>#N/A</v>
      </c>
      <c r="G1375" s="3" t="e">
        <f t="shared" si="162"/>
        <v>#N/A</v>
      </c>
      <c r="H1375" s="3" t="e">
        <f t="shared" si="163"/>
        <v>#N/A</v>
      </c>
      <c r="I1375" s="3" t="e">
        <f t="shared" si="164"/>
        <v>#N/A</v>
      </c>
      <c r="J1375" s="3">
        <v>24690.103637472057</v>
      </c>
      <c r="K1375" s="3">
        <v>3003</v>
      </c>
      <c r="L1375" s="3" t="e">
        <v>#N/A</v>
      </c>
      <c r="M1375" s="3" t="e">
        <v>#N/A</v>
      </c>
      <c r="N1375" s="3" t="e">
        <v>#N/A</v>
      </c>
      <c r="O1375" s="3" t="e">
        <v>#N/A</v>
      </c>
      <c r="P1375" s="3">
        <f>E1375*(VLOOKUP(B1375,Price_data!A$1:B$190,2,FALSE))</f>
        <v>18.593690322207003</v>
      </c>
      <c r="Q1375" s="3" t="e">
        <f>G1375*(VLOOKUP(B1375,Price_data!A$1:B$190,2,FALSE))</f>
        <v>#N/A</v>
      </c>
      <c r="R1375" s="3" t="e">
        <f>I1375*(VLOOKUP(B1375,Price_data!A$1:B$190,2,FALSE))</f>
        <v>#N/A</v>
      </c>
      <c r="S1375" s="4" t="str">
        <f>(VLOOKUP(B1375,Price_data!A$1:C$190,3,FALSE))</f>
        <v>Open access</v>
      </c>
      <c r="T1375" s="2" t="str">
        <f>IF(C1375="Total", (VLOOKUP(B1375,Recommended_fish_intake!A$4:D$122,4,FALSE)), "NA")</f>
        <v>NA</v>
      </c>
      <c r="U1375" s="2" t="str">
        <f t="shared" si="165"/>
        <v>NA</v>
      </c>
    </row>
    <row r="1376" spans="1:21" ht="14.25" customHeight="1">
      <c r="A1376" s="2" t="s">
        <v>39</v>
      </c>
      <c r="B1376" s="2">
        <v>1974</v>
      </c>
      <c r="C1376" s="2" t="s">
        <v>24</v>
      </c>
      <c r="D1376" s="3">
        <f t="shared" si="159"/>
        <v>32.005689900426738</v>
      </c>
      <c r="E1376" s="3">
        <f t="shared" si="160"/>
        <v>4.6479999999999997</v>
      </c>
      <c r="F1376" s="3" t="e">
        <f t="shared" si="161"/>
        <v>#N/A</v>
      </c>
      <c r="G1376" s="3" t="e">
        <f t="shared" si="162"/>
        <v>#N/A</v>
      </c>
      <c r="H1376" s="3" t="e">
        <f t="shared" si="163"/>
        <v>#N/A</v>
      </c>
      <c r="I1376" s="3" t="e">
        <f t="shared" si="164"/>
        <v>#N/A</v>
      </c>
      <c r="J1376" s="3">
        <v>32005.689900426736</v>
      </c>
      <c r="K1376" s="3">
        <v>4648</v>
      </c>
      <c r="L1376" s="3" t="e">
        <v>#N/A</v>
      </c>
      <c r="M1376" s="3" t="e">
        <v>#N/A</v>
      </c>
      <c r="N1376" s="3" t="e">
        <v>#N/A</v>
      </c>
      <c r="O1376" s="3" t="e">
        <v>#N/A</v>
      </c>
      <c r="P1376" s="3">
        <f>E1376*(VLOOKUP(B1376,Price_data!A$1:B$190,2,FALSE))</f>
        <v>28.779045160711998</v>
      </c>
      <c r="Q1376" s="3" t="e">
        <f>G1376*(VLOOKUP(B1376,Price_data!A$1:B$190,2,FALSE))</f>
        <v>#N/A</v>
      </c>
      <c r="R1376" s="3" t="e">
        <f>I1376*(VLOOKUP(B1376,Price_data!A$1:B$190,2,FALSE))</f>
        <v>#N/A</v>
      </c>
      <c r="S1376" s="4" t="str">
        <f>(VLOOKUP(B1376,Price_data!A$1:C$190,3,FALSE))</f>
        <v>Open access</v>
      </c>
      <c r="T1376" s="2" t="str">
        <f>IF(C1376="Total", (VLOOKUP(B1376,Recommended_fish_intake!A$4:D$122,4,FALSE)), "NA")</f>
        <v>NA</v>
      </c>
      <c r="U1376" s="2" t="str">
        <f t="shared" si="165"/>
        <v>NA</v>
      </c>
    </row>
    <row r="1377" spans="1:21" ht="14.25" customHeight="1">
      <c r="A1377" s="2" t="s">
        <v>39</v>
      </c>
      <c r="B1377" s="2">
        <v>1974</v>
      </c>
      <c r="C1377" s="2" t="s">
        <v>19</v>
      </c>
      <c r="D1377" s="3">
        <f t="shared" si="159"/>
        <v>129.4452347083926</v>
      </c>
      <c r="E1377" s="3">
        <f t="shared" si="160"/>
        <v>11.833</v>
      </c>
      <c r="F1377" s="3" t="e">
        <f t="shared" si="161"/>
        <v>#N/A</v>
      </c>
      <c r="G1377" s="3" t="e">
        <f t="shared" si="162"/>
        <v>#N/A</v>
      </c>
      <c r="H1377" s="3" t="e">
        <f t="shared" si="163"/>
        <v>#N/A</v>
      </c>
      <c r="I1377" s="3" t="e">
        <f t="shared" si="164"/>
        <v>#N/A</v>
      </c>
      <c r="J1377" s="3">
        <v>129445.2347083926</v>
      </c>
      <c r="K1377" s="3">
        <v>11833</v>
      </c>
      <c r="L1377" s="3" t="e">
        <v>#N/A</v>
      </c>
      <c r="M1377" s="3" t="e">
        <v>#N/A</v>
      </c>
      <c r="N1377" s="3" t="e">
        <v>#N/A</v>
      </c>
      <c r="O1377" s="3" t="e">
        <v>#N/A</v>
      </c>
      <c r="P1377" s="3">
        <f>E1377*(VLOOKUP(B1377,Price_data!A$1:B$190,2,FALSE))</f>
        <v>73.266446081477</v>
      </c>
      <c r="Q1377" s="3" t="e">
        <f>G1377*(VLOOKUP(B1377,Price_data!A$1:B$190,2,FALSE))</f>
        <v>#N/A</v>
      </c>
      <c r="R1377" s="3" t="e">
        <f>I1377*(VLOOKUP(B1377,Price_data!A$1:B$190,2,FALSE))</f>
        <v>#N/A</v>
      </c>
      <c r="S1377" s="4" t="str">
        <f>(VLOOKUP(B1377,Price_data!A$1:C$190,3,FALSE))</f>
        <v>Open access</v>
      </c>
      <c r="T1377" s="2" t="str">
        <f>IF(C1377="Total", (VLOOKUP(B1377,Recommended_fish_intake!A$4:D$122,4,FALSE)), "NA")</f>
        <v>NA</v>
      </c>
      <c r="U1377" s="2" t="str">
        <f t="shared" si="165"/>
        <v>NA</v>
      </c>
    </row>
    <row r="1378" spans="1:21" ht="14.25" customHeight="1">
      <c r="A1378" s="2" t="s">
        <v>39</v>
      </c>
      <c r="B1378" s="2">
        <v>1974</v>
      </c>
      <c r="C1378" s="2" t="s">
        <v>20</v>
      </c>
      <c r="D1378" s="3">
        <f t="shared" si="159"/>
        <v>8.8396667344035755</v>
      </c>
      <c r="E1378" s="3">
        <f t="shared" si="160"/>
        <v>0.34100000000000003</v>
      </c>
      <c r="F1378" s="3" t="e">
        <f t="shared" si="161"/>
        <v>#N/A</v>
      </c>
      <c r="G1378" s="3" t="e">
        <f t="shared" si="162"/>
        <v>#N/A</v>
      </c>
      <c r="H1378" s="3" t="e">
        <f t="shared" si="163"/>
        <v>#N/A</v>
      </c>
      <c r="I1378" s="3" t="e">
        <f t="shared" si="164"/>
        <v>#N/A</v>
      </c>
      <c r="J1378" s="3">
        <v>8839.6667344035759</v>
      </c>
      <c r="K1378" s="3">
        <v>341</v>
      </c>
      <c r="L1378" s="3" t="e">
        <v>#N/A</v>
      </c>
      <c r="M1378" s="3" t="e">
        <v>#N/A</v>
      </c>
      <c r="N1378" s="3" t="e">
        <v>#N/A</v>
      </c>
      <c r="O1378" s="3" t="e">
        <v>#N/A</v>
      </c>
      <c r="P1378" s="3">
        <f>E1378*(VLOOKUP(B1378,Price_data!A$1:B$190,2,FALSE))</f>
        <v>2.1113714285290004</v>
      </c>
      <c r="Q1378" s="3" t="e">
        <f>G1378*(VLOOKUP(B1378,Price_data!A$1:B$190,2,FALSE))</f>
        <v>#N/A</v>
      </c>
      <c r="R1378" s="3" t="e">
        <f>I1378*(VLOOKUP(B1378,Price_data!A$1:B$190,2,FALSE))</f>
        <v>#N/A</v>
      </c>
      <c r="S1378" s="4" t="str">
        <f>(VLOOKUP(B1378,Price_data!A$1:C$190,3,FALSE))</f>
        <v>Open access</v>
      </c>
      <c r="T1378" s="2" t="str">
        <f>IF(C1378="Total", (VLOOKUP(B1378,Recommended_fish_intake!A$4:D$122,4,FALSE)), "NA")</f>
        <v>NA</v>
      </c>
      <c r="U1378" s="2" t="str">
        <f t="shared" si="165"/>
        <v>NA</v>
      </c>
    </row>
    <row r="1379" spans="1:21" ht="14.25" customHeight="1">
      <c r="A1379" s="2" t="s">
        <v>39</v>
      </c>
      <c r="B1379" s="2">
        <v>1974</v>
      </c>
      <c r="C1379" s="2" t="s">
        <v>21</v>
      </c>
      <c r="D1379" s="3">
        <f t="shared" si="159"/>
        <v>56.238569396464129</v>
      </c>
      <c r="E1379" s="3">
        <f t="shared" si="160"/>
        <v>1.734</v>
      </c>
      <c r="F1379" s="3" t="e">
        <f t="shared" si="161"/>
        <v>#N/A</v>
      </c>
      <c r="G1379" s="3" t="e">
        <f t="shared" si="162"/>
        <v>#N/A</v>
      </c>
      <c r="H1379" s="3" t="e">
        <f t="shared" si="163"/>
        <v>#N/A</v>
      </c>
      <c r="I1379" s="3" t="e">
        <f t="shared" si="164"/>
        <v>#N/A</v>
      </c>
      <c r="J1379" s="3">
        <v>56238.569396464132</v>
      </c>
      <c r="K1379" s="3">
        <v>1734</v>
      </c>
      <c r="L1379" s="3" t="e">
        <v>#N/A</v>
      </c>
      <c r="M1379" s="3" t="e">
        <v>#N/A</v>
      </c>
      <c r="N1379" s="3" t="e">
        <v>#N/A</v>
      </c>
      <c r="O1379" s="3" t="e">
        <v>#N/A</v>
      </c>
      <c r="P1379" s="3">
        <f>E1379*(VLOOKUP(B1379,Price_data!A$1:B$190,2,FALSE))</f>
        <v>10.736416589646</v>
      </c>
      <c r="Q1379" s="3" t="e">
        <f>G1379*(VLOOKUP(B1379,Price_data!A$1:B$190,2,FALSE))</f>
        <v>#N/A</v>
      </c>
      <c r="R1379" s="3" t="e">
        <f>I1379*(VLOOKUP(B1379,Price_data!A$1:B$190,2,FALSE))</f>
        <v>#N/A</v>
      </c>
      <c r="S1379" s="4" t="str">
        <f>(VLOOKUP(B1379,Price_data!A$1:C$190,3,FALSE))</f>
        <v>Open access</v>
      </c>
      <c r="T1379" s="2" t="str">
        <f>IF(C1379="Total", (VLOOKUP(B1379,Recommended_fish_intake!A$4:D$122,4,FALSE)), "NA")</f>
        <v>NA</v>
      </c>
      <c r="U1379" s="2" t="str">
        <f t="shared" si="165"/>
        <v>NA</v>
      </c>
    </row>
    <row r="1380" spans="1:21" ht="14.25" customHeight="1">
      <c r="A1380" s="2" t="s">
        <v>39</v>
      </c>
      <c r="B1380" s="2">
        <v>1974</v>
      </c>
      <c r="C1380" s="2" t="s">
        <v>37</v>
      </c>
      <c r="D1380" s="3">
        <f t="shared" si="159"/>
        <v>458.08778703515543</v>
      </c>
      <c r="E1380" s="3">
        <f t="shared" si="160"/>
        <v>57.28</v>
      </c>
      <c r="F1380" s="3" t="e">
        <f t="shared" si="161"/>
        <v>#N/A</v>
      </c>
      <c r="G1380" s="3" t="e">
        <f t="shared" si="162"/>
        <v>#N/A</v>
      </c>
      <c r="H1380" s="3" t="e">
        <f t="shared" si="163"/>
        <v>#N/A</v>
      </c>
      <c r="I1380" s="3" t="e">
        <f t="shared" si="164"/>
        <v>#N/A</v>
      </c>
      <c r="J1380" s="3">
        <v>458087.7870351554</v>
      </c>
      <c r="K1380" s="3">
        <v>57280</v>
      </c>
      <c r="L1380" s="3" t="e">
        <v>#N/A</v>
      </c>
      <c r="M1380" s="3" t="e">
        <v>#N/A</v>
      </c>
      <c r="N1380" s="3" t="e">
        <v>#N/A</v>
      </c>
      <c r="O1380" s="3" t="e">
        <v>#N/A</v>
      </c>
      <c r="P1380" s="3">
        <f>E1380*(VLOOKUP(B1380,Price_data!A$1:B$190,2,FALSE))</f>
        <v>354.66086635232</v>
      </c>
      <c r="Q1380" s="3" t="e">
        <f>G1380*(VLOOKUP(B1380,Price_data!A$1:B$190,2,FALSE))</f>
        <v>#N/A</v>
      </c>
      <c r="R1380" s="3" t="e">
        <f>I1380*(VLOOKUP(B1380,Price_data!A$1:B$190,2,FALSE))</f>
        <v>#N/A</v>
      </c>
      <c r="S1380" s="4" t="str">
        <f>(VLOOKUP(B1380,Price_data!A$1:C$190,3,FALSE))</f>
        <v>Open access</v>
      </c>
      <c r="T1380" s="2" t="str">
        <f>IF(C1380="Total", (VLOOKUP(B1380,Recommended_fish_intake!A$4:D$122,4,FALSE)), "NA")</f>
        <v>NA</v>
      </c>
      <c r="U1380" s="2">
        <f t="shared" si="165"/>
        <v>224.46301564722614</v>
      </c>
    </row>
    <row r="1381" spans="1:21" ht="14.25" customHeight="1">
      <c r="A1381" s="2" t="s">
        <v>39</v>
      </c>
      <c r="B1381" s="2">
        <v>1974</v>
      </c>
      <c r="C1381" s="2" t="s">
        <v>36</v>
      </c>
      <c r="D1381" s="3">
        <f t="shared" si="159"/>
        <v>2.3369233895549684</v>
      </c>
      <c r="E1381" s="3">
        <f t="shared" si="160"/>
        <v>0.29799999999999999</v>
      </c>
      <c r="F1381" s="3" t="e">
        <f t="shared" si="161"/>
        <v>#N/A</v>
      </c>
      <c r="G1381" s="3" t="e">
        <f t="shared" si="162"/>
        <v>#N/A</v>
      </c>
      <c r="H1381" s="3" t="e">
        <f t="shared" si="163"/>
        <v>#N/A</v>
      </c>
      <c r="I1381" s="3" t="e">
        <f t="shared" si="164"/>
        <v>#N/A</v>
      </c>
      <c r="J1381" s="3">
        <v>2336.9233895549683</v>
      </c>
      <c r="K1381" s="3">
        <v>298</v>
      </c>
      <c r="L1381" s="3" t="e">
        <v>#N/A</v>
      </c>
      <c r="M1381" s="3" t="e">
        <v>#N/A</v>
      </c>
      <c r="N1381" s="3" t="e">
        <v>#N/A</v>
      </c>
      <c r="O1381" s="3" t="e">
        <v>#N/A</v>
      </c>
      <c r="P1381" s="3">
        <f>E1381*(VLOOKUP(B1381,Price_data!A$1:B$190,2,FALSE))</f>
        <v>1.8451281105619999</v>
      </c>
      <c r="Q1381" s="3" t="e">
        <f>G1381*(VLOOKUP(B1381,Price_data!A$1:B$190,2,FALSE))</f>
        <v>#N/A</v>
      </c>
      <c r="R1381" s="3" t="e">
        <f>I1381*(VLOOKUP(B1381,Price_data!A$1:B$190,2,FALSE))</f>
        <v>#N/A</v>
      </c>
      <c r="S1381" s="4" t="str">
        <f>(VLOOKUP(B1381,Price_data!A$1:C$190,3,FALSE))</f>
        <v>Open access</v>
      </c>
      <c r="T1381" s="2" t="str">
        <f>IF(C1381="Total", (VLOOKUP(B1381,Recommended_fish_intake!A$4:D$122,4,FALSE)), "NA")</f>
        <v>NA</v>
      </c>
      <c r="U1381" s="2" t="str">
        <f t="shared" si="165"/>
        <v>NA</v>
      </c>
    </row>
    <row r="1382" spans="1:21" ht="14.25" customHeight="1">
      <c r="A1382" s="2" t="s">
        <v>39</v>
      </c>
      <c r="B1382" s="2">
        <v>1974</v>
      </c>
      <c r="C1382" s="2" t="s">
        <v>34</v>
      </c>
      <c r="D1382" s="3">
        <f t="shared" si="159"/>
        <v>0.60963218857955692</v>
      </c>
      <c r="E1382" s="3">
        <f t="shared" si="160"/>
        <v>1.4219999999999999</v>
      </c>
      <c r="F1382" s="3" t="e">
        <f t="shared" si="161"/>
        <v>#N/A</v>
      </c>
      <c r="G1382" s="3" t="e">
        <f t="shared" si="162"/>
        <v>#N/A</v>
      </c>
      <c r="H1382" s="3" t="e">
        <f t="shared" si="163"/>
        <v>#N/A</v>
      </c>
      <c r="I1382" s="3" t="e">
        <f t="shared" si="164"/>
        <v>#N/A</v>
      </c>
      <c r="J1382" s="3">
        <v>609.6321885795569</v>
      </c>
      <c r="K1382" s="3">
        <v>1422</v>
      </c>
      <c r="L1382" s="3" t="e">
        <v>#N/A</v>
      </c>
      <c r="M1382" s="3" t="e">
        <v>#N/A</v>
      </c>
      <c r="N1382" s="3" t="e">
        <v>#N/A</v>
      </c>
      <c r="O1382" s="3" t="e">
        <v>#N/A</v>
      </c>
      <c r="P1382" s="3">
        <f>E1382*(VLOOKUP(B1382,Price_data!A$1:B$190,2,FALSE))</f>
        <v>8.8046046081179998</v>
      </c>
      <c r="Q1382" s="3" t="e">
        <f>G1382*(VLOOKUP(B1382,Price_data!A$1:B$190,2,FALSE))</f>
        <v>#N/A</v>
      </c>
      <c r="R1382" s="3" t="e">
        <f>I1382*(VLOOKUP(B1382,Price_data!A$1:B$190,2,FALSE))</f>
        <v>#N/A</v>
      </c>
      <c r="S1382" s="4" t="str">
        <f>(VLOOKUP(B1382,Price_data!A$1:C$190,3,FALSE))</f>
        <v>Open access</v>
      </c>
      <c r="T1382" s="2" t="str">
        <f>IF(C1382="Total", (VLOOKUP(B1382,Recommended_fish_intake!A$4:D$122,4,FALSE)), "NA")</f>
        <v>NA</v>
      </c>
      <c r="U1382" s="2" t="str">
        <f t="shared" si="165"/>
        <v>NA</v>
      </c>
    </row>
    <row r="1383" spans="1:21" ht="14.25" customHeight="1">
      <c r="A1383" s="2" t="s">
        <v>39</v>
      </c>
      <c r="B1383" s="2">
        <v>1974</v>
      </c>
      <c r="C1383" s="2" t="s">
        <v>35</v>
      </c>
      <c r="D1383" s="3">
        <f t="shared" si="159"/>
        <v>8.3316399105872794</v>
      </c>
      <c r="E1383" s="3">
        <f t="shared" si="160"/>
        <v>3.8450000000000002</v>
      </c>
      <c r="F1383" s="3" t="e">
        <f t="shared" si="161"/>
        <v>#N/A</v>
      </c>
      <c r="G1383" s="3" t="e">
        <f t="shared" si="162"/>
        <v>#N/A</v>
      </c>
      <c r="H1383" s="3" t="e">
        <f t="shared" si="163"/>
        <v>#N/A</v>
      </c>
      <c r="I1383" s="3" t="e">
        <f t="shared" si="164"/>
        <v>#N/A</v>
      </c>
      <c r="J1383" s="3">
        <v>8331.6399105872788</v>
      </c>
      <c r="K1383" s="3">
        <v>3845</v>
      </c>
      <c r="L1383" s="3" t="e">
        <v>#N/A</v>
      </c>
      <c r="M1383" s="3" t="e">
        <v>#N/A</v>
      </c>
      <c r="N1383" s="3" t="e">
        <v>#N/A</v>
      </c>
      <c r="O1383" s="3" t="e">
        <v>#N/A</v>
      </c>
      <c r="P1383" s="3">
        <f>E1383*(VLOOKUP(B1383,Price_data!A$1:B$190,2,FALSE))</f>
        <v>23.807105990305001</v>
      </c>
      <c r="Q1383" s="3" t="e">
        <f>G1383*(VLOOKUP(B1383,Price_data!A$1:B$190,2,FALSE))</f>
        <v>#N/A</v>
      </c>
      <c r="R1383" s="3" t="e">
        <f>I1383*(VLOOKUP(B1383,Price_data!A$1:B$190,2,FALSE))</f>
        <v>#N/A</v>
      </c>
      <c r="S1383" s="4" t="str">
        <f>(VLOOKUP(B1383,Price_data!A$1:C$190,3,FALSE))</f>
        <v>Open access</v>
      </c>
      <c r="T1383" s="2" t="str">
        <f>IF(C1383="Total", (VLOOKUP(B1383,Recommended_fish_intake!A$4:D$122,4,FALSE)), "NA")</f>
        <v>NA</v>
      </c>
      <c r="U1383" s="2" t="str">
        <f t="shared" si="165"/>
        <v>NA</v>
      </c>
    </row>
    <row r="1384" spans="1:21" ht="14.25" customHeight="1">
      <c r="A1384" s="2" t="s">
        <v>39</v>
      </c>
      <c r="B1384" s="2">
        <v>1974</v>
      </c>
      <c r="C1384" s="2" t="s">
        <v>30</v>
      </c>
      <c r="D1384" s="3">
        <f t="shared" ref="D1384:D1447" si="166">J1384/1000</f>
        <v>0.45722414143466772</v>
      </c>
      <c r="E1384" s="3">
        <f t="shared" ref="E1384:E1447" si="167">K1384/1000</f>
        <v>0.16300000000000001</v>
      </c>
      <c r="F1384" s="3" t="e">
        <f t="shared" ref="F1384:F1447" si="168">IF(L1384="", NA(), L1384/1000)</f>
        <v>#N/A</v>
      </c>
      <c r="G1384" s="3" t="e">
        <f t="shared" ref="G1384:G1447" si="169">IF(M1384="", NA(), M1384/1000)</f>
        <v>#N/A</v>
      </c>
      <c r="H1384" s="3" t="e">
        <f t="shared" ref="H1384:H1447" si="170">IF(N1384="", NA(), N1384/1000)</f>
        <v>#N/A</v>
      </c>
      <c r="I1384" s="3" t="e">
        <f t="shared" ref="I1384:I1447" si="171">IF(O1384="", NA(), O1384/1000)</f>
        <v>#N/A</v>
      </c>
      <c r="J1384" s="3">
        <v>457.22414143466773</v>
      </c>
      <c r="K1384" s="3">
        <v>163</v>
      </c>
      <c r="L1384" s="3" t="e">
        <v>#N/A</v>
      </c>
      <c r="M1384" s="3" t="e">
        <v>#N/A</v>
      </c>
      <c r="N1384" s="3" t="e">
        <v>#N/A</v>
      </c>
      <c r="O1384" s="3" t="e">
        <v>#N/A</v>
      </c>
      <c r="P1384" s="3">
        <f>E1384*(VLOOKUP(B1384,Price_data!A$1:B$190,2,FALSE))</f>
        <v>1.009247926247</v>
      </c>
      <c r="Q1384" s="3" t="e">
        <f>G1384*(VLOOKUP(B1384,Price_data!A$1:B$190,2,FALSE))</f>
        <v>#N/A</v>
      </c>
      <c r="R1384" s="3" t="e">
        <f>I1384*(VLOOKUP(B1384,Price_data!A$1:B$190,2,FALSE))</f>
        <v>#N/A</v>
      </c>
      <c r="S1384" s="4" t="str">
        <f>(VLOOKUP(B1384,Price_data!A$1:C$190,3,FALSE))</f>
        <v>Open access</v>
      </c>
      <c r="T1384" s="2" t="str">
        <f>IF(C1384="Total", (VLOOKUP(B1384,Recommended_fish_intake!A$4:D$122,4,FALSE)), "NA")</f>
        <v>NA</v>
      </c>
      <c r="U1384" s="2" t="str">
        <f t="shared" si="165"/>
        <v>NA</v>
      </c>
    </row>
    <row r="1385" spans="1:21" ht="14.25" customHeight="1">
      <c r="A1385" s="2" t="s">
        <v>39</v>
      </c>
      <c r="B1385" s="2">
        <v>1974</v>
      </c>
      <c r="C1385" s="2" t="s">
        <v>28</v>
      </c>
      <c r="D1385" s="3">
        <f t="shared" si="166"/>
        <v>19.152611257874415</v>
      </c>
      <c r="E1385" s="3">
        <f t="shared" si="167"/>
        <v>6.782</v>
      </c>
      <c r="F1385" s="3" t="e">
        <f t="shared" si="168"/>
        <v>#N/A</v>
      </c>
      <c r="G1385" s="3" t="e">
        <f t="shared" si="169"/>
        <v>#N/A</v>
      </c>
      <c r="H1385" s="3" t="e">
        <f t="shared" si="170"/>
        <v>#N/A</v>
      </c>
      <c r="I1385" s="3" t="e">
        <f t="shared" si="171"/>
        <v>#N/A</v>
      </c>
      <c r="J1385" s="3">
        <v>19152.611257874414</v>
      </c>
      <c r="K1385" s="3">
        <v>6782</v>
      </c>
      <c r="L1385" s="3" t="e">
        <v>#N/A</v>
      </c>
      <c r="M1385" s="3" t="e">
        <v>#N/A</v>
      </c>
      <c r="N1385" s="3" t="e">
        <v>#N/A</v>
      </c>
      <c r="O1385" s="3" t="e">
        <v>#N/A</v>
      </c>
      <c r="P1385" s="3">
        <f>E1385*(VLOOKUP(B1385,Price_data!A$1:B$190,2,FALSE))</f>
        <v>41.992143777957999</v>
      </c>
      <c r="Q1385" s="3" t="e">
        <f>G1385*(VLOOKUP(B1385,Price_data!A$1:B$190,2,FALSE))</f>
        <v>#N/A</v>
      </c>
      <c r="R1385" s="3" t="e">
        <f>I1385*(VLOOKUP(B1385,Price_data!A$1:B$190,2,FALSE))</f>
        <v>#N/A</v>
      </c>
      <c r="S1385" s="4" t="str">
        <f>(VLOOKUP(B1385,Price_data!A$1:C$190,3,FALSE))</f>
        <v>Open access</v>
      </c>
      <c r="T1385" s="2" t="str">
        <f>IF(C1385="Total", (VLOOKUP(B1385,Recommended_fish_intake!A$4:D$122,4,FALSE)), "NA")</f>
        <v>NA</v>
      </c>
      <c r="U1385" s="2">
        <f t="shared" si="165"/>
        <v>5.3627311522048364</v>
      </c>
    </row>
    <row r="1386" spans="1:21" ht="14.25" customHeight="1">
      <c r="A1386" s="2" t="s">
        <v>40</v>
      </c>
      <c r="B1386" s="2">
        <v>1974</v>
      </c>
      <c r="C1386" s="2" t="s">
        <v>22</v>
      </c>
      <c r="D1386" s="3">
        <f t="shared" si="166"/>
        <v>0.96525096525096521</v>
      </c>
      <c r="E1386" s="3">
        <f t="shared" si="167"/>
        <v>0.185</v>
      </c>
      <c r="F1386" s="3" t="e">
        <f t="shared" si="168"/>
        <v>#N/A</v>
      </c>
      <c r="G1386" s="3" t="e">
        <f t="shared" si="169"/>
        <v>#N/A</v>
      </c>
      <c r="H1386" s="3" t="e">
        <f t="shared" si="170"/>
        <v>#N/A</v>
      </c>
      <c r="I1386" s="3" t="e">
        <f t="shared" si="171"/>
        <v>#N/A</v>
      </c>
      <c r="J1386" s="3">
        <v>965.25096525096524</v>
      </c>
      <c r="K1386" s="3">
        <v>185</v>
      </c>
      <c r="L1386" s="3" t="e">
        <v>#N/A</v>
      </c>
      <c r="M1386" s="3" t="e">
        <v>#N/A</v>
      </c>
      <c r="N1386" s="3" t="e">
        <v>#N/A</v>
      </c>
      <c r="O1386" s="3" t="e">
        <v>#N/A</v>
      </c>
      <c r="P1386" s="3">
        <f>E1386*(VLOOKUP(B1386,Price_data!A$1:B$190,2,FALSE))</f>
        <v>1.145465437765</v>
      </c>
      <c r="Q1386" s="3" t="e">
        <f>G1386*(VLOOKUP(B1386,Price_data!A$1:B$190,2,FALSE))</f>
        <v>#N/A</v>
      </c>
      <c r="R1386" s="3" t="e">
        <f>I1386*(VLOOKUP(B1386,Price_data!A$1:B$190,2,FALSE))</f>
        <v>#N/A</v>
      </c>
      <c r="S1386" s="4" t="str">
        <f>(VLOOKUP(B1386,Price_data!A$1:C$190,3,FALSE))</f>
        <v>Open access</v>
      </c>
      <c r="T1386" s="2" t="str">
        <f>IF(C1386="Total", (VLOOKUP(B1386,Recommended_fish_intake!A$4:D$122,4,FALSE)), "NA")</f>
        <v>NA</v>
      </c>
      <c r="U1386" s="2" t="str">
        <f t="shared" si="165"/>
        <v>NA</v>
      </c>
    </row>
    <row r="1387" spans="1:21" ht="14.25" customHeight="1">
      <c r="A1387" s="2" t="s">
        <v>40</v>
      </c>
      <c r="B1387" s="2">
        <v>1974</v>
      </c>
      <c r="C1387" s="2" t="s">
        <v>23</v>
      </c>
      <c r="D1387" s="3">
        <f t="shared" si="166"/>
        <v>5.080268238162975E-2</v>
      </c>
      <c r="E1387" s="3">
        <f t="shared" si="167"/>
        <v>5.0000000000000001E-3</v>
      </c>
      <c r="F1387" s="3" t="e">
        <f t="shared" si="168"/>
        <v>#N/A</v>
      </c>
      <c r="G1387" s="3" t="e">
        <f t="shared" si="169"/>
        <v>#N/A</v>
      </c>
      <c r="H1387" s="3" t="e">
        <f t="shared" si="170"/>
        <v>#N/A</v>
      </c>
      <c r="I1387" s="3" t="e">
        <f t="shared" si="171"/>
        <v>#N/A</v>
      </c>
      <c r="J1387" s="3">
        <v>50.802682381629751</v>
      </c>
      <c r="K1387" s="3">
        <v>5</v>
      </c>
      <c r="L1387" s="3" t="e">
        <v>#N/A</v>
      </c>
      <c r="M1387" s="3" t="e">
        <v>#N/A</v>
      </c>
      <c r="N1387" s="3" t="e">
        <v>#N/A</v>
      </c>
      <c r="O1387" s="3" t="e">
        <v>#N/A</v>
      </c>
      <c r="P1387" s="3">
        <f>E1387*(VLOOKUP(B1387,Price_data!A$1:B$190,2,FALSE))</f>
        <v>3.0958525345000001E-2</v>
      </c>
      <c r="Q1387" s="3" t="e">
        <f>G1387*(VLOOKUP(B1387,Price_data!A$1:B$190,2,FALSE))</f>
        <v>#N/A</v>
      </c>
      <c r="R1387" s="3" t="e">
        <f>I1387*(VLOOKUP(B1387,Price_data!A$1:B$190,2,FALSE))</f>
        <v>#N/A</v>
      </c>
      <c r="S1387" s="4" t="str">
        <f>(VLOOKUP(B1387,Price_data!A$1:C$190,3,FALSE))</f>
        <v>Open access</v>
      </c>
      <c r="T1387" s="2" t="str">
        <f>IF(C1387="Total", (VLOOKUP(B1387,Recommended_fish_intake!A$4:D$122,4,FALSE)), "NA")</f>
        <v>NA</v>
      </c>
      <c r="U1387" s="2" t="str">
        <f t="shared" si="165"/>
        <v>NA</v>
      </c>
    </row>
    <row r="1388" spans="1:21" ht="14.25" customHeight="1">
      <c r="A1388" s="2" t="s">
        <v>40</v>
      </c>
      <c r="B1388" s="2">
        <v>1974</v>
      </c>
      <c r="C1388" s="2" t="s">
        <v>25</v>
      </c>
      <c r="D1388" s="3">
        <f t="shared" si="166"/>
        <v>0.1016053647632595</v>
      </c>
      <c r="E1388" s="3">
        <f t="shared" si="167"/>
        <v>1.6E-2</v>
      </c>
      <c r="F1388" s="3" t="e">
        <f t="shared" si="168"/>
        <v>#N/A</v>
      </c>
      <c r="G1388" s="3" t="e">
        <f t="shared" si="169"/>
        <v>#N/A</v>
      </c>
      <c r="H1388" s="3" t="e">
        <f t="shared" si="170"/>
        <v>#N/A</v>
      </c>
      <c r="I1388" s="3" t="e">
        <f t="shared" si="171"/>
        <v>#N/A</v>
      </c>
      <c r="J1388" s="3">
        <v>101.6053647632595</v>
      </c>
      <c r="K1388" s="3">
        <v>16</v>
      </c>
      <c r="L1388" s="3" t="e">
        <v>#N/A</v>
      </c>
      <c r="M1388" s="3" t="e">
        <v>#N/A</v>
      </c>
      <c r="N1388" s="3" t="e">
        <v>#N/A</v>
      </c>
      <c r="O1388" s="3" t="e">
        <v>#N/A</v>
      </c>
      <c r="P1388" s="3">
        <f>E1388*(VLOOKUP(B1388,Price_data!A$1:B$190,2,FALSE))</f>
        <v>9.906728110400001E-2</v>
      </c>
      <c r="Q1388" s="3" t="e">
        <f>G1388*(VLOOKUP(B1388,Price_data!A$1:B$190,2,FALSE))</f>
        <v>#N/A</v>
      </c>
      <c r="R1388" s="3" t="e">
        <f>I1388*(VLOOKUP(B1388,Price_data!A$1:B$190,2,FALSE))</f>
        <v>#N/A</v>
      </c>
      <c r="S1388" s="4" t="str">
        <f>(VLOOKUP(B1388,Price_data!A$1:C$190,3,FALSE))</f>
        <v>Open access</v>
      </c>
      <c r="T1388" s="2" t="str">
        <f>IF(C1388="Total", (VLOOKUP(B1388,Recommended_fish_intake!A$4:D$122,4,FALSE)), "NA")</f>
        <v>NA</v>
      </c>
      <c r="U1388" s="2" t="str">
        <f t="shared" si="165"/>
        <v>NA</v>
      </c>
    </row>
    <row r="1389" spans="1:21" ht="14.25" customHeight="1">
      <c r="A1389" s="2" t="s">
        <v>40</v>
      </c>
      <c r="B1389" s="2">
        <v>1974</v>
      </c>
      <c r="C1389" s="2" t="s">
        <v>38</v>
      </c>
      <c r="D1389" s="3">
        <f t="shared" si="166"/>
        <v>0.35561877667140823</v>
      </c>
      <c r="E1389" s="3">
        <f t="shared" si="167"/>
        <v>2.8000000000000001E-2</v>
      </c>
      <c r="F1389" s="3" t="e">
        <f t="shared" si="168"/>
        <v>#N/A</v>
      </c>
      <c r="G1389" s="3" t="e">
        <f t="shared" si="169"/>
        <v>#N/A</v>
      </c>
      <c r="H1389" s="3" t="e">
        <f t="shared" si="170"/>
        <v>#N/A</v>
      </c>
      <c r="I1389" s="3" t="e">
        <f t="shared" si="171"/>
        <v>#N/A</v>
      </c>
      <c r="J1389" s="3">
        <v>355.61877667140823</v>
      </c>
      <c r="K1389" s="3">
        <v>28</v>
      </c>
      <c r="L1389" s="3" t="e">
        <v>#N/A</v>
      </c>
      <c r="M1389" s="3" t="e">
        <v>#N/A</v>
      </c>
      <c r="N1389" s="3" t="e">
        <v>#N/A</v>
      </c>
      <c r="O1389" s="3" t="e">
        <v>#N/A</v>
      </c>
      <c r="P1389" s="3">
        <f>E1389*(VLOOKUP(B1389,Price_data!A$1:B$190,2,FALSE))</f>
        <v>0.173367741932</v>
      </c>
      <c r="Q1389" s="3" t="e">
        <f>G1389*(VLOOKUP(B1389,Price_data!A$1:B$190,2,FALSE))</f>
        <v>#N/A</v>
      </c>
      <c r="R1389" s="3" t="e">
        <f>I1389*(VLOOKUP(B1389,Price_data!A$1:B$190,2,FALSE))</f>
        <v>#N/A</v>
      </c>
      <c r="S1389" s="4" t="str">
        <f>(VLOOKUP(B1389,Price_data!A$1:C$190,3,FALSE))</f>
        <v>Open access</v>
      </c>
      <c r="T1389" s="2" t="str">
        <f>IF(C1389="Total", (VLOOKUP(B1389,Recommended_fish_intake!A$4:D$122,4,FALSE)), "NA")</f>
        <v>NA</v>
      </c>
      <c r="U1389" s="2" t="str">
        <f t="shared" si="165"/>
        <v>NA</v>
      </c>
    </row>
    <row r="1390" spans="1:21" ht="14.25" customHeight="1">
      <c r="A1390" s="2" t="s">
        <v>40</v>
      </c>
      <c r="B1390" s="2">
        <v>1974</v>
      </c>
      <c r="C1390" s="2" t="s">
        <v>24</v>
      </c>
      <c r="D1390" s="3">
        <f t="shared" si="166"/>
        <v>1.8288965657386709</v>
      </c>
      <c r="E1390" s="3">
        <f t="shared" si="167"/>
        <v>0.183</v>
      </c>
      <c r="F1390" s="3" t="e">
        <f t="shared" si="168"/>
        <v>#N/A</v>
      </c>
      <c r="G1390" s="3" t="e">
        <f t="shared" si="169"/>
        <v>#N/A</v>
      </c>
      <c r="H1390" s="3" t="e">
        <f t="shared" si="170"/>
        <v>#N/A</v>
      </c>
      <c r="I1390" s="3" t="e">
        <f t="shared" si="171"/>
        <v>#N/A</v>
      </c>
      <c r="J1390" s="3">
        <v>1828.8965657386709</v>
      </c>
      <c r="K1390" s="3">
        <v>183</v>
      </c>
      <c r="L1390" s="3" t="e">
        <v>#N/A</v>
      </c>
      <c r="M1390" s="3" t="e">
        <v>#N/A</v>
      </c>
      <c r="N1390" s="3" t="e">
        <v>#N/A</v>
      </c>
      <c r="O1390" s="3" t="e">
        <v>#N/A</v>
      </c>
      <c r="P1390" s="3">
        <f>E1390*(VLOOKUP(B1390,Price_data!A$1:B$190,2,FALSE))</f>
        <v>1.1330820276269999</v>
      </c>
      <c r="Q1390" s="3" t="e">
        <f>G1390*(VLOOKUP(B1390,Price_data!A$1:B$190,2,FALSE))</f>
        <v>#N/A</v>
      </c>
      <c r="R1390" s="3" t="e">
        <f>I1390*(VLOOKUP(B1390,Price_data!A$1:B$190,2,FALSE))</f>
        <v>#N/A</v>
      </c>
      <c r="S1390" s="4" t="str">
        <f>(VLOOKUP(B1390,Price_data!A$1:C$190,3,FALSE))</f>
        <v>Open access</v>
      </c>
      <c r="T1390" s="2" t="str">
        <f>IF(C1390="Total", (VLOOKUP(B1390,Recommended_fish_intake!A$4:D$122,4,FALSE)), "NA")</f>
        <v>NA</v>
      </c>
      <c r="U1390" s="2" t="str">
        <f t="shared" si="165"/>
        <v>NA</v>
      </c>
    </row>
    <row r="1391" spans="1:21" ht="14.25" customHeight="1">
      <c r="A1391" s="2" t="s">
        <v>40</v>
      </c>
      <c r="B1391" s="2">
        <v>1974</v>
      </c>
      <c r="C1391" s="2" t="s">
        <v>19</v>
      </c>
      <c r="D1391" s="3">
        <f t="shared" si="166"/>
        <v>8.6872586872586872</v>
      </c>
      <c r="E1391" s="3">
        <f t="shared" si="167"/>
        <v>0.67900000000000005</v>
      </c>
      <c r="F1391" s="3" t="e">
        <f t="shared" si="168"/>
        <v>#N/A</v>
      </c>
      <c r="G1391" s="3" t="e">
        <f t="shared" si="169"/>
        <v>#N/A</v>
      </c>
      <c r="H1391" s="3" t="e">
        <f t="shared" si="170"/>
        <v>#N/A</v>
      </c>
      <c r="I1391" s="3" t="e">
        <f t="shared" si="171"/>
        <v>#N/A</v>
      </c>
      <c r="J1391" s="3">
        <v>8687.2586872586871</v>
      </c>
      <c r="K1391" s="3">
        <v>679</v>
      </c>
      <c r="L1391" s="3" t="e">
        <v>#N/A</v>
      </c>
      <c r="M1391" s="3" t="e">
        <v>#N/A</v>
      </c>
      <c r="N1391" s="3" t="e">
        <v>#N/A</v>
      </c>
      <c r="O1391" s="3" t="e">
        <v>#N/A</v>
      </c>
      <c r="P1391" s="3">
        <f>E1391*(VLOOKUP(B1391,Price_data!A$1:B$190,2,FALSE))</f>
        <v>4.2041677418510002</v>
      </c>
      <c r="Q1391" s="3" t="e">
        <f>G1391*(VLOOKUP(B1391,Price_data!A$1:B$190,2,FALSE))</f>
        <v>#N/A</v>
      </c>
      <c r="R1391" s="3" t="e">
        <f>I1391*(VLOOKUP(B1391,Price_data!A$1:B$190,2,FALSE))</f>
        <v>#N/A</v>
      </c>
      <c r="S1391" s="4" t="str">
        <f>(VLOOKUP(B1391,Price_data!A$1:C$190,3,FALSE))</f>
        <v>Open access</v>
      </c>
      <c r="T1391" s="2" t="str">
        <f>IF(C1391="Total", (VLOOKUP(B1391,Recommended_fish_intake!A$4:D$122,4,FALSE)), "NA")</f>
        <v>NA</v>
      </c>
      <c r="U1391" s="2" t="str">
        <f t="shared" si="165"/>
        <v>NA</v>
      </c>
    </row>
    <row r="1392" spans="1:21" ht="14.25" customHeight="1">
      <c r="A1392" s="2" t="s">
        <v>40</v>
      </c>
      <c r="B1392" s="2">
        <v>1974</v>
      </c>
      <c r="C1392" s="2" t="s">
        <v>20</v>
      </c>
      <c r="D1392" s="3">
        <f t="shared" si="166"/>
        <v>0.1016053647632595</v>
      </c>
      <c r="E1392" s="3">
        <f t="shared" si="167"/>
        <v>3.0000000000000001E-3</v>
      </c>
      <c r="F1392" s="3" t="e">
        <f t="shared" si="168"/>
        <v>#N/A</v>
      </c>
      <c r="G1392" s="3" t="e">
        <f t="shared" si="169"/>
        <v>#N/A</v>
      </c>
      <c r="H1392" s="3" t="e">
        <f t="shared" si="170"/>
        <v>#N/A</v>
      </c>
      <c r="I1392" s="3" t="e">
        <f t="shared" si="171"/>
        <v>#N/A</v>
      </c>
      <c r="J1392" s="3">
        <v>101.6053647632595</v>
      </c>
      <c r="K1392" s="3">
        <v>3</v>
      </c>
      <c r="L1392" s="3" t="e">
        <v>#N/A</v>
      </c>
      <c r="M1392" s="3" t="e">
        <v>#N/A</v>
      </c>
      <c r="N1392" s="3" t="e">
        <v>#N/A</v>
      </c>
      <c r="O1392" s="3" t="e">
        <v>#N/A</v>
      </c>
      <c r="P1392" s="3">
        <f>E1392*(VLOOKUP(B1392,Price_data!A$1:B$190,2,FALSE))</f>
        <v>1.8575115207E-2</v>
      </c>
      <c r="Q1392" s="3" t="e">
        <f>G1392*(VLOOKUP(B1392,Price_data!A$1:B$190,2,FALSE))</f>
        <v>#N/A</v>
      </c>
      <c r="R1392" s="3" t="e">
        <f>I1392*(VLOOKUP(B1392,Price_data!A$1:B$190,2,FALSE))</f>
        <v>#N/A</v>
      </c>
      <c r="S1392" s="4" t="str">
        <f>(VLOOKUP(B1392,Price_data!A$1:C$190,3,FALSE))</f>
        <v>Open access</v>
      </c>
      <c r="T1392" s="2" t="str">
        <f>IF(C1392="Total", (VLOOKUP(B1392,Recommended_fish_intake!A$4:D$122,4,FALSE)), "NA")</f>
        <v>NA</v>
      </c>
      <c r="U1392" s="2" t="str">
        <f t="shared" si="165"/>
        <v>NA</v>
      </c>
    </row>
    <row r="1393" spans="1:21" ht="14.25" customHeight="1">
      <c r="A1393" s="2" t="s">
        <v>40</v>
      </c>
      <c r="B1393" s="2">
        <v>1974</v>
      </c>
      <c r="C1393" s="2" t="s">
        <v>21</v>
      </c>
      <c r="D1393" s="3">
        <f t="shared" si="166"/>
        <v>0</v>
      </c>
      <c r="E1393" s="3">
        <f t="shared" si="167"/>
        <v>0</v>
      </c>
      <c r="F1393" s="3" t="e">
        <f t="shared" si="168"/>
        <v>#N/A</v>
      </c>
      <c r="G1393" s="3" t="e">
        <f t="shared" si="169"/>
        <v>#N/A</v>
      </c>
      <c r="H1393" s="3" t="e">
        <f t="shared" si="170"/>
        <v>#N/A</v>
      </c>
      <c r="I1393" s="3" t="e">
        <f t="shared" si="171"/>
        <v>#N/A</v>
      </c>
      <c r="J1393" s="3">
        <v>0</v>
      </c>
      <c r="K1393" s="3">
        <v>0</v>
      </c>
      <c r="L1393" s="3" t="e">
        <v>#N/A</v>
      </c>
      <c r="M1393" s="3" t="e">
        <v>#N/A</v>
      </c>
      <c r="N1393" s="3" t="e">
        <v>#N/A</v>
      </c>
      <c r="O1393" s="3" t="e">
        <v>#N/A</v>
      </c>
      <c r="P1393" s="3">
        <f>E1393*(VLOOKUP(B1393,Price_data!A$1:B$190,2,FALSE))</f>
        <v>0</v>
      </c>
      <c r="Q1393" s="3" t="e">
        <f>G1393*(VLOOKUP(B1393,Price_data!A$1:B$190,2,FALSE))</f>
        <v>#N/A</v>
      </c>
      <c r="R1393" s="3" t="e">
        <f>I1393*(VLOOKUP(B1393,Price_data!A$1:B$190,2,FALSE))</f>
        <v>#N/A</v>
      </c>
      <c r="S1393" s="4" t="str">
        <f>(VLOOKUP(B1393,Price_data!A$1:C$190,3,FALSE))</f>
        <v>Open access</v>
      </c>
      <c r="T1393" s="2" t="str">
        <f>IF(C1393="Total", (VLOOKUP(B1393,Recommended_fish_intake!A$4:D$122,4,FALSE)), "NA")</f>
        <v>NA</v>
      </c>
      <c r="U1393" s="2" t="str">
        <f t="shared" si="165"/>
        <v>NA</v>
      </c>
    </row>
    <row r="1394" spans="1:21" ht="14.25" customHeight="1">
      <c r="A1394" s="2" t="s">
        <v>40</v>
      </c>
      <c r="B1394" s="2">
        <v>1974</v>
      </c>
      <c r="C1394" s="2" t="s">
        <v>37</v>
      </c>
      <c r="D1394" s="3">
        <f t="shared" si="166"/>
        <v>12.599065230644177</v>
      </c>
      <c r="E1394" s="3">
        <f t="shared" si="167"/>
        <v>1.159</v>
      </c>
      <c r="F1394" s="3" t="e">
        <f t="shared" si="168"/>
        <v>#N/A</v>
      </c>
      <c r="G1394" s="3" t="e">
        <f t="shared" si="169"/>
        <v>#N/A</v>
      </c>
      <c r="H1394" s="3" t="e">
        <f t="shared" si="170"/>
        <v>#N/A</v>
      </c>
      <c r="I1394" s="3" t="e">
        <f t="shared" si="171"/>
        <v>#N/A</v>
      </c>
      <c r="J1394" s="3">
        <v>12599.065230644177</v>
      </c>
      <c r="K1394" s="3">
        <v>1159</v>
      </c>
      <c r="L1394" s="3" t="e">
        <v>#N/A</v>
      </c>
      <c r="M1394" s="3" t="e">
        <v>#N/A</v>
      </c>
      <c r="N1394" s="3" t="e">
        <v>#N/A</v>
      </c>
      <c r="O1394" s="3" t="e">
        <v>#N/A</v>
      </c>
      <c r="P1394" s="3">
        <f>E1394*(VLOOKUP(B1394,Price_data!A$1:B$190,2,FALSE))</f>
        <v>7.1761861749710008</v>
      </c>
      <c r="Q1394" s="3" t="e">
        <f>G1394*(VLOOKUP(B1394,Price_data!A$1:B$190,2,FALSE))</f>
        <v>#N/A</v>
      </c>
      <c r="R1394" s="3" t="e">
        <f>I1394*(VLOOKUP(B1394,Price_data!A$1:B$190,2,FALSE))</f>
        <v>#N/A</v>
      </c>
      <c r="S1394" s="4" t="str">
        <f>(VLOOKUP(B1394,Price_data!A$1:C$190,3,FALSE))</f>
        <v>Open access</v>
      </c>
      <c r="T1394" s="2" t="str">
        <f>IF(C1394="Total", (VLOOKUP(B1394,Recommended_fish_intake!A$4:D$122,4,FALSE)), "NA")</f>
        <v>NA</v>
      </c>
      <c r="U1394" s="2">
        <f t="shared" si="165"/>
        <v>6.1735419630156469</v>
      </c>
    </row>
    <row r="1395" spans="1:21" ht="14.25" customHeight="1">
      <c r="A1395" s="2" t="s">
        <v>40</v>
      </c>
      <c r="B1395" s="2">
        <v>1974</v>
      </c>
      <c r="C1395" s="2" t="s">
        <v>36</v>
      </c>
      <c r="D1395" s="3">
        <f t="shared" si="166"/>
        <v>0</v>
      </c>
      <c r="E1395" s="3">
        <f t="shared" si="167"/>
        <v>1E-3</v>
      </c>
      <c r="F1395" s="3" t="e">
        <f t="shared" si="168"/>
        <v>#N/A</v>
      </c>
      <c r="G1395" s="3" t="e">
        <f t="shared" si="169"/>
        <v>#N/A</v>
      </c>
      <c r="H1395" s="3" t="e">
        <f t="shared" si="170"/>
        <v>#N/A</v>
      </c>
      <c r="I1395" s="3" t="e">
        <f t="shared" si="171"/>
        <v>#N/A</v>
      </c>
      <c r="J1395" s="3">
        <v>0</v>
      </c>
      <c r="K1395" s="3">
        <v>1</v>
      </c>
      <c r="L1395" s="3" t="e">
        <v>#N/A</v>
      </c>
      <c r="M1395" s="3" t="e">
        <v>#N/A</v>
      </c>
      <c r="N1395" s="3" t="e">
        <v>#N/A</v>
      </c>
      <c r="O1395" s="3" t="e">
        <v>#N/A</v>
      </c>
      <c r="P1395" s="3">
        <f>E1395*(VLOOKUP(B1395,Price_data!A$1:B$190,2,FALSE))</f>
        <v>6.1917050690000006E-3</v>
      </c>
      <c r="Q1395" s="3" t="e">
        <f>G1395*(VLOOKUP(B1395,Price_data!A$1:B$190,2,FALSE))</f>
        <v>#N/A</v>
      </c>
      <c r="R1395" s="3" t="e">
        <f>I1395*(VLOOKUP(B1395,Price_data!A$1:B$190,2,FALSE))</f>
        <v>#N/A</v>
      </c>
      <c r="S1395" s="4" t="str">
        <f>(VLOOKUP(B1395,Price_data!A$1:C$190,3,FALSE))</f>
        <v>Open access</v>
      </c>
      <c r="T1395" s="2" t="str">
        <f>IF(C1395="Total", (VLOOKUP(B1395,Recommended_fish_intake!A$4:D$122,4,FALSE)), "NA")</f>
        <v>NA</v>
      </c>
      <c r="U1395" s="2" t="str">
        <f t="shared" si="165"/>
        <v>NA</v>
      </c>
    </row>
    <row r="1396" spans="1:21" ht="14.25" customHeight="1">
      <c r="A1396" s="2" t="s">
        <v>40</v>
      </c>
      <c r="B1396" s="2">
        <v>1974</v>
      </c>
      <c r="C1396" s="2" t="s">
        <v>34</v>
      </c>
      <c r="D1396" s="3">
        <f t="shared" si="166"/>
        <v>0</v>
      </c>
      <c r="E1396" s="3">
        <f t="shared" si="167"/>
        <v>4.2999999999999997E-2</v>
      </c>
      <c r="F1396" s="3" t="e">
        <f t="shared" si="168"/>
        <v>#N/A</v>
      </c>
      <c r="G1396" s="3" t="e">
        <f t="shared" si="169"/>
        <v>#N/A</v>
      </c>
      <c r="H1396" s="3" t="e">
        <f t="shared" si="170"/>
        <v>#N/A</v>
      </c>
      <c r="I1396" s="3" t="e">
        <f t="shared" si="171"/>
        <v>#N/A</v>
      </c>
      <c r="J1396" s="3">
        <v>0</v>
      </c>
      <c r="K1396" s="3">
        <v>43</v>
      </c>
      <c r="L1396" s="3" t="e">
        <v>#N/A</v>
      </c>
      <c r="M1396" s="3" t="e">
        <v>#N/A</v>
      </c>
      <c r="N1396" s="3" t="e">
        <v>#N/A</v>
      </c>
      <c r="O1396" s="3" t="e">
        <v>#N/A</v>
      </c>
      <c r="P1396" s="3">
        <f>E1396*(VLOOKUP(B1396,Price_data!A$1:B$190,2,FALSE))</f>
        <v>0.26624331796699996</v>
      </c>
      <c r="Q1396" s="3" t="e">
        <f>G1396*(VLOOKUP(B1396,Price_data!A$1:B$190,2,FALSE))</f>
        <v>#N/A</v>
      </c>
      <c r="R1396" s="3" t="e">
        <f>I1396*(VLOOKUP(B1396,Price_data!A$1:B$190,2,FALSE))</f>
        <v>#N/A</v>
      </c>
      <c r="S1396" s="4" t="str">
        <f>(VLOOKUP(B1396,Price_data!A$1:C$190,3,FALSE))</f>
        <v>Open access</v>
      </c>
      <c r="T1396" s="2" t="str">
        <f>IF(C1396="Total", (VLOOKUP(B1396,Recommended_fish_intake!A$4:D$122,4,FALSE)), "NA")</f>
        <v>NA</v>
      </c>
      <c r="U1396" s="2" t="str">
        <f t="shared" si="165"/>
        <v>NA</v>
      </c>
    </row>
    <row r="1397" spans="1:21" ht="14.25" customHeight="1">
      <c r="A1397" s="2" t="s">
        <v>40</v>
      </c>
      <c r="B1397" s="2">
        <v>1974</v>
      </c>
      <c r="C1397" s="2" t="s">
        <v>35</v>
      </c>
      <c r="D1397" s="3">
        <f t="shared" si="166"/>
        <v>2.4893314366998576</v>
      </c>
      <c r="E1397" s="3">
        <f t="shared" si="167"/>
        <v>0.52700000000000002</v>
      </c>
      <c r="F1397" s="3" t="e">
        <f t="shared" si="168"/>
        <v>#N/A</v>
      </c>
      <c r="G1397" s="3" t="e">
        <f t="shared" si="169"/>
        <v>#N/A</v>
      </c>
      <c r="H1397" s="3" t="e">
        <f t="shared" si="170"/>
        <v>#N/A</v>
      </c>
      <c r="I1397" s="3" t="e">
        <f t="shared" si="171"/>
        <v>#N/A</v>
      </c>
      <c r="J1397" s="3">
        <v>2489.3314366998575</v>
      </c>
      <c r="K1397" s="3">
        <v>527</v>
      </c>
      <c r="L1397" s="3" t="e">
        <v>#N/A</v>
      </c>
      <c r="M1397" s="3" t="e">
        <v>#N/A</v>
      </c>
      <c r="N1397" s="3" t="e">
        <v>#N/A</v>
      </c>
      <c r="O1397" s="3" t="e">
        <v>#N/A</v>
      </c>
      <c r="P1397" s="3">
        <f>E1397*(VLOOKUP(B1397,Price_data!A$1:B$190,2,FALSE))</f>
        <v>3.2630285713630003</v>
      </c>
      <c r="Q1397" s="3" t="e">
        <f>G1397*(VLOOKUP(B1397,Price_data!A$1:B$190,2,FALSE))</f>
        <v>#N/A</v>
      </c>
      <c r="R1397" s="3" t="e">
        <f>I1397*(VLOOKUP(B1397,Price_data!A$1:B$190,2,FALSE))</f>
        <v>#N/A</v>
      </c>
      <c r="S1397" s="4" t="str">
        <f>(VLOOKUP(B1397,Price_data!A$1:C$190,3,FALSE))</f>
        <v>Open access</v>
      </c>
      <c r="T1397" s="2" t="str">
        <f>IF(C1397="Total", (VLOOKUP(B1397,Recommended_fish_intake!A$4:D$122,4,FALSE)), "NA")</f>
        <v>NA</v>
      </c>
      <c r="U1397" s="2" t="str">
        <f t="shared" si="165"/>
        <v>NA</v>
      </c>
    </row>
    <row r="1398" spans="1:21" ht="14.25" customHeight="1">
      <c r="A1398" s="2" t="s">
        <v>40</v>
      </c>
      <c r="B1398" s="2">
        <v>1974</v>
      </c>
      <c r="C1398" s="2" t="s">
        <v>30</v>
      </c>
      <c r="D1398" s="3">
        <f t="shared" si="166"/>
        <v>0</v>
      </c>
      <c r="E1398" s="3">
        <f t="shared" si="167"/>
        <v>0</v>
      </c>
      <c r="F1398" s="3" t="e">
        <f t="shared" si="168"/>
        <v>#N/A</v>
      </c>
      <c r="G1398" s="3" t="e">
        <f t="shared" si="169"/>
        <v>#N/A</v>
      </c>
      <c r="H1398" s="3" t="e">
        <f t="shared" si="170"/>
        <v>#N/A</v>
      </c>
      <c r="I1398" s="3" t="e">
        <f t="shared" si="171"/>
        <v>#N/A</v>
      </c>
      <c r="J1398" s="3">
        <v>0</v>
      </c>
      <c r="K1398" s="3">
        <v>0</v>
      </c>
      <c r="L1398" s="3" t="e">
        <v>#N/A</v>
      </c>
      <c r="M1398" s="3" t="e">
        <v>#N/A</v>
      </c>
      <c r="N1398" s="3" t="e">
        <v>#N/A</v>
      </c>
      <c r="O1398" s="3" t="e">
        <v>#N/A</v>
      </c>
      <c r="P1398" s="3">
        <f>E1398*(VLOOKUP(B1398,Price_data!A$1:B$190,2,FALSE))</f>
        <v>0</v>
      </c>
      <c r="Q1398" s="3" t="e">
        <f>G1398*(VLOOKUP(B1398,Price_data!A$1:B$190,2,FALSE))</f>
        <v>#N/A</v>
      </c>
      <c r="R1398" s="3" t="e">
        <f>I1398*(VLOOKUP(B1398,Price_data!A$1:B$190,2,FALSE))</f>
        <v>#N/A</v>
      </c>
      <c r="S1398" s="4" t="str">
        <f>(VLOOKUP(B1398,Price_data!A$1:C$190,3,FALSE))</f>
        <v>Open access</v>
      </c>
      <c r="T1398" s="2" t="str">
        <f>IF(C1398="Total", (VLOOKUP(B1398,Recommended_fish_intake!A$4:D$122,4,FALSE)), "NA")</f>
        <v>NA</v>
      </c>
      <c r="U1398" s="2" t="str">
        <f t="shared" si="165"/>
        <v>NA</v>
      </c>
    </row>
    <row r="1399" spans="1:21" ht="14.25" customHeight="1">
      <c r="A1399" s="2" t="s">
        <v>40</v>
      </c>
      <c r="B1399" s="2">
        <v>1974</v>
      </c>
      <c r="C1399" s="2" t="s">
        <v>28</v>
      </c>
      <c r="D1399" s="3">
        <f t="shared" si="166"/>
        <v>2.8957528957528957</v>
      </c>
      <c r="E1399" s="3">
        <f t="shared" si="167"/>
        <v>0.62</v>
      </c>
      <c r="F1399" s="3" t="e">
        <f t="shared" si="168"/>
        <v>#N/A</v>
      </c>
      <c r="G1399" s="3" t="e">
        <f t="shared" si="169"/>
        <v>#N/A</v>
      </c>
      <c r="H1399" s="3" t="e">
        <f t="shared" si="170"/>
        <v>#N/A</v>
      </c>
      <c r="I1399" s="3" t="e">
        <f t="shared" si="171"/>
        <v>#N/A</v>
      </c>
      <c r="J1399" s="3">
        <v>2895.7528957528957</v>
      </c>
      <c r="K1399" s="3">
        <v>620</v>
      </c>
      <c r="L1399" s="3" t="e">
        <v>#N/A</v>
      </c>
      <c r="M1399" s="3" t="e">
        <v>#N/A</v>
      </c>
      <c r="N1399" s="3" t="e">
        <v>#N/A</v>
      </c>
      <c r="O1399" s="3" t="e">
        <v>#N/A</v>
      </c>
      <c r="P1399" s="3">
        <f>E1399*(VLOOKUP(B1399,Price_data!A$1:B$190,2,FALSE))</f>
        <v>3.8388571427800002</v>
      </c>
      <c r="Q1399" s="3" t="e">
        <f>G1399*(VLOOKUP(B1399,Price_data!A$1:B$190,2,FALSE))</f>
        <v>#N/A</v>
      </c>
      <c r="R1399" s="3" t="e">
        <f>I1399*(VLOOKUP(B1399,Price_data!A$1:B$190,2,FALSE))</f>
        <v>#N/A</v>
      </c>
      <c r="S1399" s="4" t="str">
        <f>(VLOOKUP(B1399,Price_data!A$1:C$190,3,FALSE))</f>
        <v>Open access</v>
      </c>
      <c r="T1399" s="2" t="str">
        <f>IF(C1399="Total", (VLOOKUP(B1399,Recommended_fish_intake!A$4:D$122,4,FALSE)), "NA")</f>
        <v>NA</v>
      </c>
      <c r="U1399" s="2">
        <f t="shared" si="165"/>
        <v>0.81081081081081086</v>
      </c>
    </row>
    <row r="1400" spans="1:21" ht="14.25" customHeight="1">
      <c r="A1400" s="2" t="s">
        <v>15</v>
      </c>
      <c r="B1400" s="2">
        <v>1974</v>
      </c>
      <c r="C1400" s="2" t="s">
        <v>22</v>
      </c>
      <c r="D1400" s="3">
        <f t="shared" si="166"/>
        <v>267.62853078642553</v>
      </c>
      <c r="E1400" s="3">
        <f t="shared" si="167"/>
        <v>61.823999999999998</v>
      </c>
      <c r="F1400" s="3" t="e">
        <f t="shared" si="168"/>
        <v>#N/A</v>
      </c>
      <c r="G1400" s="3" t="e">
        <f t="shared" si="169"/>
        <v>#N/A</v>
      </c>
      <c r="H1400" s="3">
        <f t="shared" si="170"/>
        <v>33.732981101402153</v>
      </c>
      <c r="I1400" s="3">
        <f t="shared" si="171"/>
        <v>16.803999999999998</v>
      </c>
      <c r="J1400" s="3">
        <v>267628.53078642552</v>
      </c>
      <c r="K1400" s="3">
        <v>61824</v>
      </c>
      <c r="L1400" s="3" t="e">
        <v>#N/A</v>
      </c>
      <c r="M1400" s="3" t="e">
        <v>#N/A</v>
      </c>
      <c r="N1400" s="3">
        <v>33732.981101402154</v>
      </c>
      <c r="O1400" s="3">
        <v>16804</v>
      </c>
      <c r="P1400" s="3">
        <f>E1400*(VLOOKUP(B1400,Price_data!A$1:B$190,2,FALSE))</f>
        <v>382.79597418585598</v>
      </c>
      <c r="Q1400" s="3" t="e">
        <f>G1400*(VLOOKUP(B1400,Price_data!A$1:B$190,2,FALSE))</f>
        <v>#N/A</v>
      </c>
      <c r="R1400" s="3">
        <f>I1400*(VLOOKUP(B1400,Price_data!A$1:B$190,2,FALSE))</f>
        <v>104.045411979476</v>
      </c>
      <c r="S1400" s="4" t="str">
        <f>(VLOOKUP(B1400,Price_data!A$1:C$190,3,FALSE))</f>
        <v>Open access</v>
      </c>
      <c r="T1400" s="2" t="str">
        <f>IF(C1400="Total", (VLOOKUP(B1400,Recommended_fish_intake!A$4:D$122,4,FALSE)), "NA")</f>
        <v>NA</v>
      </c>
      <c r="U1400" s="2" t="str">
        <f t="shared" si="165"/>
        <v>NA</v>
      </c>
    </row>
    <row r="1401" spans="1:21" ht="14.25" customHeight="1">
      <c r="A1401" s="2" t="s">
        <v>15</v>
      </c>
      <c r="B1401" s="2">
        <v>1974</v>
      </c>
      <c r="C1401" s="2" t="s">
        <v>23</v>
      </c>
      <c r="D1401" s="3">
        <f t="shared" si="166"/>
        <v>126.19386303596829</v>
      </c>
      <c r="E1401" s="3">
        <f t="shared" si="167"/>
        <v>27.222000000000001</v>
      </c>
      <c r="F1401" s="3" t="e">
        <f t="shared" si="168"/>
        <v>#N/A</v>
      </c>
      <c r="G1401" s="3" t="e">
        <f t="shared" si="169"/>
        <v>#N/A</v>
      </c>
      <c r="H1401" s="3">
        <f t="shared" si="170"/>
        <v>10.312944523470838</v>
      </c>
      <c r="I1401" s="3">
        <f t="shared" si="171"/>
        <v>4.508</v>
      </c>
      <c r="J1401" s="3">
        <v>126193.86303596829</v>
      </c>
      <c r="K1401" s="3">
        <v>27222</v>
      </c>
      <c r="L1401" s="3" t="e">
        <v>#N/A</v>
      </c>
      <c r="M1401" s="3" t="e">
        <v>#N/A</v>
      </c>
      <c r="N1401" s="3">
        <v>10312.944523470838</v>
      </c>
      <c r="O1401" s="3">
        <v>4508</v>
      </c>
      <c r="P1401" s="3">
        <f>E1401*(VLOOKUP(B1401,Price_data!A$1:B$190,2,FALSE))</f>
        <v>168.55059538831802</v>
      </c>
      <c r="Q1401" s="3" t="e">
        <f>G1401*(VLOOKUP(B1401,Price_data!A$1:B$190,2,FALSE))</f>
        <v>#N/A</v>
      </c>
      <c r="R1401" s="3">
        <f>I1401*(VLOOKUP(B1401,Price_data!A$1:B$190,2,FALSE))</f>
        <v>27.912206451052</v>
      </c>
      <c r="S1401" s="4" t="str">
        <f>(VLOOKUP(B1401,Price_data!A$1:C$190,3,FALSE))</f>
        <v>Open access</v>
      </c>
      <c r="T1401" s="2" t="str">
        <f>IF(C1401="Total", (VLOOKUP(B1401,Recommended_fish_intake!A$4:D$122,4,FALSE)), "NA")</f>
        <v>NA</v>
      </c>
      <c r="U1401" s="2" t="str">
        <f t="shared" si="165"/>
        <v>NA</v>
      </c>
    </row>
    <row r="1402" spans="1:21" ht="14.25" customHeight="1">
      <c r="A1402" s="2" t="s">
        <v>15</v>
      </c>
      <c r="B1402" s="2">
        <v>1974</v>
      </c>
      <c r="C1402" s="2" t="s">
        <v>25</v>
      </c>
      <c r="D1402" s="3">
        <f t="shared" si="166"/>
        <v>29.109937004673846</v>
      </c>
      <c r="E1402" s="3">
        <f t="shared" si="167"/>
        <v>8.6180000000000003</v>
      </c>
      <c r="F1402" s="3" t="e">
        <f t="shared" si="168"/>
        <v>#N/A</v>
      </c>
      <c r="G1402" s="3" t="e">
        <f t="shared" si="169"/>
        <v>#N/A</v>
      </c>
      <c r="H1402" s="3">
        <f t="shared" si="170"/>
        <v>20.371875635033529</v>
      </c>
      <c r="I1402" s="3">
        <f t="shared" si="171"/>
        <v>7.7839999999999998</v>
      </c>
      <c r="J1402" s="3">
        <v>29109.937004673844</v>
      </c>
      <c r="K1402" s="3">
        <v>8618</v>
      </c>
      <c r="L1402" s="3" t="e">
        <v>#N/A</v>
      </c>
      <c r="M1402" s="3" t="e">
        <v>#N/A</v>
      </c>
      <c r="N1402" s="3">
        <v>20371.875635033528</v>
      </c>
      <c r="O1402" s="3">
        <v>7784</v>
      </c>
      <c r="P1402" s="3">
        <f>E1402*(VLOOKUP(B1402,Price_data!A$1:B$190,2,FALSE))</f>
        <v>53.360114284642002</v>
      </c>
      <c r="Q1402" s="3" t="e">
        <f>G1402*(VLOOKUP(B1402,Price_data!A$1:B$190,2,FALSE))</f>
        <v>#N/A</v>
      </c>
      <c r="R1402" s="3">
        <f>I1402*(VLOOKUP(B1402,Price_data!A$1:B$190,2,FALSE))</f>
        <v>48.196232257096</v>
      </c>
      <c r="S1402" s="4" t="str">
        <f>(VLOOKUP(B1402,Price_data!A$1:C$190,3,FALSE))</f>
        <v>Open access</v>
      </c>
      <c r="T1402" s="2" t="str">
        <f>IF(C1402="Total", (VLOOKUP(B1402,Recommended_fish_intake!A$4:D$122,4,FALSE)), "NA")</f>
        <v>NA</v>
      </c>
      <c r="U1402" s="2" t="str">
        <f t="shared" si="165"/>
        <v>NA</v>
      </c>
    </row>
    <row r="1403" spans="1:21" ht="14.25" customHeight="1">
      <c r="A1403" s="2" t="s">
        <v>15</v>
      </c>
      <c r="B1403" s="2">
        <v>1974</v>
      </c>
      <c r="C1403" s="2" t="s">
        <v>38</v>
      </c>
      <c r="D1403" s="3">
        <f t="shared" si="166"/>
        <v>44.35074171916277</v>
      </c>
      <c r="E1403" s="3">
        <f t="shared" si="167"/>
        <v>5.601</v>
      </c>
      <c r="F1403" s="3" t="e">
        <f t="shared" si="168"/>
        <v>#N/A</v>
      </c>
      <c r="G1403" s="3" t="e">
        <f t="shared" si="169"/>
        <v>#N/A</v>
      </c>
      <c r="H1403" s="3">
        <f t="shared" si="170"/>
        <v>10.058931111562689</v>
      </c>
      <c r="I1403" s="3">
        <f t="shared" si="171"/>
        <v>0.96399999999999997</v>
      </c>
      <c r="J1403" s="3">
        <v>44350.741719162768</v>
      </c>
      <c r="K1403" s="3">
        <v>5601</v>
      </c>
      <c r="L1403" s="3" t="e">
        <v>#N/A</v>
      </c>
      <c r="M1403" s="3" t="e">
        <v>#N/A</v>
      </c>
      <c r="N1403" s="3">
        <v>10058.93111156269</v>
      </c>
      <c r="O1403" s="3">
        <v>964</v>
      </c>
      <c r="P1403" s="3">
        <f>E1403*(VLOOKUP(B1403,Price_data!A$1:B$190,2,FALSE))</f>
        <v>34.679740091469</v>
      </c>
      <c r="Q1403" s="3" t="e">
        <f>G1403*(VLOOKUP(B1403,Price_data!A$1:B$190,2,FALSE))</f>
        <v>#N/A</v>
      </c>
      <c r="R1403" s="3">
        <f>I1403*(VLOOKUP(B1403,Price_data!A$1:B$190,2,FALSE))</f>
        <v>5.9688036865159999</v>
      </c>
      <c r="S1403" s="4" t="str">
        <f>(VLOOKUP(B1403,Price_data!A$1:C$190,3,FALSE))</f>
        <v>Open access</v>
      </c>
      <c r="T1403" s="2" t="str">
        <f>IF(C1403="Total", (VLOOKUP(B1403,Recommended_fish_intake!A$4:D$122,4,FALSE)), "NA")</f>
        <v>NA</v>
      </c>
      <c r="U1403" s="2" t="str">
        <f t="shared" si="165"/>
        <v>NA</v>
      </c>
    </row>
    <row r="1404" spans="1:21" ht="14.25" customHeight="1">
      <c r="A1404" s="2" t="s">
        <v>15</v>
      </c>
      <c r="B1404" s="2">
        <v>1974</v>
      </c>
      <c r="C1404" s="2" t="s">
        <v>24</v>
      </c>
      <c r="D1404" s="3">
        <f t="shared" si="166"/>
        <v>40.184921763869127</v>
      </c>
      <c r="E1404" s="3">
        <f t="shared" si="167"/>
        <v>5.6989999999999998</v>
      </c>
      <c r="F1404" s="3" t="e">
        <f t="shared" si="168"/>
        <v>#N/A</v>
      </c>
      <c r="G1404" s="3" t="e">
        <f t="shared" si="169"/>
        <v>#N/A</v>
      </c>
      <c r="H1404" s="3" t="e">
        <f t="shared" si="170"/>
        <v>#N/A</v>
      </c>
      <c r="I1404" s="3" t="e">
        <f t="shared" si="171"/>
        <v>#N/A</v>
      </c>
      <c r="J1404" s="3">
        <v>40184.921763869126</v>
      </c>
      <c r="K1404" s="3">
        <v>5699</v>
      </c>
      <c r="L1404" s="3" t="e">
        <v>#N/A</v>
      </c>
      <c r="M1404" s="3" t="e">
        <v>#N/A</v>
      </c>
      <c r="N1404" s="3" t="e">
        <v>#N/A</v>
      </c>
      <c r="O1404" s="3" t="e">
        <v>#N/A</v>
      </c>
      <c r="P1404" s="3">
        <f>E1404*(VLOOKUP(B1404,Price_data!A$1:B$190,2,FALSE))</f>
        <v>35.286527188230998</v>
      </c>
      <c r="Q1404" s="3" t="e">
        <f>G1404*(VLOOKUP(B1404,Price_data!A$1:B$190,2,FALSE))</f>
        <v>#N/A</v>
      </c>
      <c r="R1404" s="3" t="e">
        <f>I1404*(VLOOKUP(B1404,Price_data!A$1:B$190,2,FALSE))</f>
        <v>#N/A</v>
      </c>
      <c r="S1404" s="4" t="str">
        <f>(VLOOKUP(B1404,Price_data!A$1:C$190,3,FALSE))</f>
        <v>Open access</v>
      </c>
      <c r="T1404" s="2" t="str">
        <f>IF(C1404="Total", (VLOOKUP(B1404,Recommended_fish_intake!A$4:D$122,4,FALSE)), "NA")</f>
        <v>NA</v>
      </c>
      <c r="U1404" s="2" t="str">
        <f t="shared" si="165"/>
        <v>NA</v>
      </c>
    </row>
    <row r="1405" spans="1:21" ht="14.25" customHeight="1">
      <c r="A1405" s="2" t="s">
        <v>15</v>
      </c>
      <c r="B1405" s="2">
        <v>1974</v>
      </c>
      <c r="C1405" s="2" t="s">
        <v>19</v>
      </c>
      <c r="D1405" s="3">
        <f t="shared" si="166"/>
        <v>149.2582808372282</v>
      </c>
      <c r="E1405" s="3">
        <f t="shared" si="167"/>
        <v>13.43</v>
      </c>
      <c r="F1405" s="3" t="e">
        <f t="shared" si="168"/>
        <v>#N/A</v>
      </c>
      <c r="G1405" s="3" t="e">
        <f t="shared" si="169"/>
        <v>#N/A</v>
      </c>
      <c r="H1405" s="3">
        <f t="shared" si="170"/>
        <v>11.532208900629954</v>
      </c>
      <c r="I1405" s="3">
        <f t="shared" si="171"/>
        <v>1.536</v>
      </c>
      <c r="J1405" s="3">
        <v>149258.2808372282</v>
      </c>
      <c r="K1405" s="3">
        <v>13430</v>
      </c>
      <c r="L1405" s="3" t="e">
        <v>#N/A</v>
      </c>
      <c r="M1405" s="3" t="e">
        <v>#N/A</v>
      </c>
      <c r="N1405" s="3">
        <v>11532.208900629954</v>
      </c>
      <c r="O1405" s="3">
        <v>1536</v>
      </c>
      <c r="P1405" s="3">
        <f>E1405*(VLOOKUP(B1405,Price_data!A$1:B$190,2,FALSE))</f>
        <v>83.154599076669996</v>
      </c>
      <c r="Q1405" s="3" t="e">
        <f>G1405*(VLOOKUP(B1405,Price_data!A$1:B$190,2,FALSE))</f>
        <v>#N/A</v>
      </c>
      <c r="R1405" s="3">
        <f>I1405*(VLOOKUP(B1405,Price_data!A$1:B$190,2,FALSE))</f>
        <v>9.5104589859840001</v>
      </c>
      <c r="S1405" s="4" t="str">
        <f>(VLOOKUP(B1405,Price_data!A$1:C$190,3,FALSE))</f>
        <v>Open access</v>
      </c>
      <c r="T1405" s="2" t="str">
        <f>IF(C1405="Total", (VLOOKUP(B1405,Recommended_fish_intake!A$4:D$122,4,FALSE)), "NA")</f>
        <v>NA</v>
      </c>
      <c r="U1405" s="2" t="str">
        <f t="shared" si="165"/>
        <v>NA</v>
      </c>
    </row>
    <row r="1406" spans="1:21" ht="14.25" customHeight="1">
      <c r="A1406" s="2" t="s">
        <v>15</v>
      </c>
      <c r="B1406" s="2">
        <v>1974</v>
      </c>
      <c r="C1406" s="2" t="s">
        <v>20</v>
      </c>
      <c r="D1406" s="3">
        <f t="shared" si="166"/>
        <v>35.206258890469414</v>
      </c>
      <c r="E1406" s="3">
        <f t="shared" si="167"/>
        <v>1.452</v>
      </c>
      <c r="F1406" s="3" t="e">
        <f t="shared" si="168"/>
        <v>#N/A</v>
      </c>
      <c r="G1406" s="3" t="e">
        <f t="shared" si="169"/>
        <v>#N/A</v>
      </c>
      <c r="H1406" s="3">
        <f t="shared" si="170"/>
        <v>3.5053850843324525</v>
      </c>
      <c r="I1406" s="3">
        <f t="shared" si="171"/>
        <v>1.4419999999999999</v>
      </c>
      <c r="J1406" s="3">
        <v>35206.258890469413</v>
      </c>
      <c r="K1406" s="3">
        <v>1452</v>
      </c>
      <c r="L1406" s="3" t="e">
        <v>#N/A</v>
      </c>
      <c r="M1406" s="3" t="e">
        <v>#N/A</v>
      </c>
      <c r="N1406" s="3">
        <v>3505.3850843324526</v>
      </c>
      <c r="O1406" s="3">
        <v>1442</v>
      </c>
      <c r="P1406" s="3">
        <f>E1406*(VLOOKUP(B1406,Price_data!A$1:B$190,2,FALSE))</f>
        <v>8.9903557601880006</v>
      </c>
      <c r="Q1406" s="3" t="e">
        <f>G1406*(VLOOKUP(B1406,Price_data!A$1:B$190,2,FALSE))</f>
        <v>#N/A</v>
      </c>
      <c r="R1406" s="3">
        <f>I1406*(VLOOKUP(B1406,Price_data!A$1:B$190,2,FALSE))</f>
        <v>8.9284387094979998</v>
      </c>
      <c r="S1406" s="4" t="str">
        <f>(VLOOKUP(B1406,Price_data!A$1:C$190,3,FALSE))</f>
        <v>Open access</v>
      </c>
      <c r="T1406" s="2" t="str">
        <f>IF(C1406="Total", (VLOOKUP(B1406,Recommended_fish_intake!A$4:D$122,4,FALSE)), "NA")</f>
        <v>NA</v>
      </c>
      <c r="U1406" s="2" t="str">
        <f t="shared" si="165"/>
        <v>NA</v>
      </c>
    </row>
    <row r="1407" spans="1:21" ht="14.25" customHeight="1">
      <c r="A1407" s="2" t="s">
        <v>15</v>
      </c>
      <c r="B1407" s="2">
        <v>1974</v>
      </c>
      <c r="C1407" s="2" t="s">
        <v>21</v>
      </c>
      <c r="D1407" s="3">
        <f t="shared" si="166"/>
        <v>82.706766917293223</v>
      </c>
      <c r="E1407" s="3">
        <f t="shared" si="167"/>
        <v>2.6560000000000001</v>
      </c>
      <c r="F1407" s="3" t="e">
        <f t="shared" si="168"/>
        <v>#N/A</v>
      </c>
      <c r="G1407" s="3" t="e">
        <f t="shared" si="169"/>
        <v>#N/A</v>
      </c>
      <c r="H1407" s="3" t="e">
        <f t="shared" si="170"/>
        <v>#N/A</v>
      </c>
      <c r="I1407" s="3" t="e">
        <f t="shared" si="171"/>
        <v>#N/A</v>
      </c>
      <c r="J1407" s="3">
        <v>82706.766917293222</v>
      </c>
      <c r="K1407" s="3">
        <v>2656</v>
      </c>
      <c r="L1407" s="3" t="e">
        <v>#N/A</v>
      </c>
      <c r="M1407" s="3" t="e">
        <v>#N/A</v>
      </c>
      <c r="N1407" s="3" t="e">
        <v>#N/A</v>
      </c>
      <c r="O1407" s="3" t="e">
        <v>#N/A</v>
      </c>
      <c r="P1407" s="3">
        <f>E1407*(VLOOKUP(B1407,Price_data!A$1:B$190,2,FALSE))</f>
        <v>16.445168663264003</v>
      </c>
      <c r="Q1407" s="3" t="e">
        <f>G1407*(VLOOKUP(B1407,Price_data!A$1:B$190,2,FALSE))</f>
        <v>#N/A</v>
      </c>
      <c r="R1407" s="3" t="e">
        <f>I1407*(VLOOKUP(B1407,Price_data!A$1:B$190,2,FALSE))</f>
        <v>#N/A</v>
      </c>
      <c r="S1407" s="4" t="str">
        <f>(VLOOKUP(B1407,Price_data!A$1:C$190,3,FALSE))</f>
        <v>Open access</v>
      </c>
      <c r="T1407" s="2" t="str">
        <f>IF(C1407="Total", (VLOOKUP(B1407,Recommended_fish_intake!A$4:D$122,4,FALSE)), "NA")</f>
        <v>NA</v>
      </c>
      <c r="U1407" s="2" t="str">
        <f t="shared" si="165"/>
        <v>NA</v>
      </c>
    </row>
    <row r="1408" spans="1:21" ht="14.25" customHeight="1">
      <c r="A1408" s="2" t="s">
        <v>15</v>
      </c>
      <c r="B1408" s="2">
        <v>1974</v>
      </c>
      <c r="C1408" s="2" t="s">
        <v>37</v>
      </c>
      <c r="D1408" s="3">
        <f t="shared" si="166"/>
        <v>906.26905100589306</v>
      </c>
      <c r="E1408" s="3">
        <f t="shared" si="167"/>
        <v>142.19499999999999</v>
      </c>
      <c r="F1408" s="3">
        <f t="shared" si="168"/>
        <v>147.37858158910791</v>
      </c>
      <c r="G1408" s="3">
        <f t="shared" si="169"/>
        <v>40.381999999999998</v>
      </c>
      <c r="H1408" s="3">
        <f t="shared" si="170"/>
        <v>172.32269863848811</v>
      </c>
      <c r="I1408" s="3">
        <f t="shared" si="171"/>
        <v>94.891000000000005</v>
      </c>
      <c r="J1408" s="3">
        <v>906269.05100589304</v>
      </c>
      <c r="K1408" s="3">
        <v>142195</v>
      </c>
      <c r="L1408" s="3">
        <v>147378.5815891079</v>
      </c>
      <c r="M1408" s="3">
        <v>40382</v>
      </c>
      <c r="N1408" s="3">
        <v>172322.6986384881</v>
      </c>
      <c r="O1408" s="3">
        <v>94891</v>
      </c>
      <c r="P1408" s="3">
        <f>E1408*(VLOOKUP(B1408,Price_data!A$1:B$190,2,FALSE))</f>
        <v>880.42950228645498</v>
      </c>
      <c r="Q1408" s="3">
        <f>G1408*(VLOOKUP(B1408,Price_data!A$1:B$190,2,FALSE))</f>
        <v>250.03343409635801</v>
      </c>
      <c r="R1408" s="3">
        <f>I1408*(VLOOKUP(B1408,Price_data!A$1:B$190,2,FALSE))</f>
        <v>587.53708570247909</v>
      </c>
      <c r="S1408" s="4" t="str">
        <f>(VLOOKUP(B1408,Price_data!A$1:C$190,3,FALSE))</f>
        <v>Open access</v>
      </c>
      <c r="T1408" s="2" t="str">
        <f>IF(C1408="Total", (VLOOKUP(B1408,Recommended_fish_intake!A$4:D$122,4,FALSE)), "NA")</f>
        <v>NA</v>
      </c>
      <c r="U1408" s="2">
        <f t="shared" si="165"/>
        <v>444.0718349928876</v>
      </c>
    </row>
    <row r="1409" spans="1:21" ht="14.25" customHeight="1">
      <c r="A1409" s="2" t="s">
        <v>15</v>
      </c>
      <c r="B1409" s="2">
        <v>1974</v>
      </c>
      <c r="C1409" s="2" t="s">
        <v>36</v>
      </c>
      <c r="D1409" s="3">
        <f t="shared" si="166"/>
        <v>5.9439138386506807</v>
      </c>
      <c r="E1409" s="3">
        <f t="shared" si="167"/>
        <v>1.1990000000000001</v>
      </c>
      <c r="F1409" s="3" t="e">
        <f t="shared" si="168"/>
        <v>#N/A</v>
      </c>
      <c r="G1409" s="3" t="e">
        <f t="shared" si="169"/>
        <v>#N/A</v>
      </c>
      <c r="H1409" s="3">
        <f t="shared" si="170"/>
        <v>0.35561877667140823</v>
      </c>
      <c r="I1409" s="3">
        <f t="shared" si="171"/>
        <v>0.77100000000000002</v>
      </c>
      <c r="J1409" s="3">
        <v>5943.9138386506811</v>
      </c>
      <c r="K1409" s="3">
        <v>1199</v>
      </c>
      <c r="L1409" s="3" t="e">
        <v>#N/A</v>
      </c>
      <c r="M1409" s="3" t="e">
        <v>#N/A</v>
      </c>
      <c r="N1409" s="3">
        <v>355.61877667140823</v>
      </c>
      <c r="O1409" s="3">
        <v>771</v>
      </c>
      <c r="P1409" s="3">
        <f>E1409*(VLOOKUP(B1409,Price_data!A$1:B$190,2,FALSE))</f>
        <v>7.4238543777310007</v>
      </c>
      <c r="Q1409" s="3" t="e">
        <f>G1409*(VLOOKUP(B1409,Price_data!A$1:B$190,2,FALSE))</f>
        <v>#N/A</v>
      </c>
      <c r="R1409" s="3">
        <f>I1409*(VLOOKUP(B1409,Price_data!A$1:B$190,2,FALSE))</f>
        <v>4.7738046081990007</v>
      </c>
      <c r="S1409" s="4" t="str">
        <f>(VLOOKUP(B1409,Price_data!A$1:C$190,3,FALSE))</f>
        <v>Open access</v>
      </c>
      <c r="T1409" s="2" t="str">
        <f>IF(C1409="Total", (VLOOKUP(B1409,Recommended_fish_intake!A$4:D$122,4,FALSE)), "NA")</f>
        <v>NA</v>
      </c>
      <c r="U1409" s="2" t="str">
        <f t="shared" si="165"/>
        <v>NA</v>
      </c>
    </row>
    <row r="1410" spans="1:21" ht="14.25" customHeight="1">
      <c r="A1410" s="2" t="s">
        <v>15</v>
      </c>
      <c r="B1410" s="2">
        <v>1974</v>
      </c>
      <c r="C1410" s="2" t="s">
        <v>34</v>
      </c>
      <c r="D1410" s="3">
        <f t="shared" si="166"/>
        <v>1.016053647632595</v>
      </c>
      <c r="E1410" s="3">
        <f t="shared" si="167"/>
        <v>2.2970000000000002</v>
      </c>
      <c r="F1410" s="3" t="e">
        <f t="shared" si="168"/>
        <v>#N/A</v>
      </c>
      <c r="G1410" s="3" t="e">
        <f t="shared" si="169"/>
        <v>#N/A</v>
      </c>
      <c r="H1410" s="3" t="e">
        <f t="shared" si="170"/>
        <v>#N/A</v>
      </c>
      <c r="I1410" s="3" t="e">
        <f t="shared" si="171"/>
        <v>#N/A</v>
      </c>
      <c r="J1410" s="3">
        <v>1016.053647632595</v>
      </c>
      <c r="K1410" s="3">
        <v>2297</v>
      </c>
      <c r="L1410" s="3" t="e">
        <v>#N/A</v>
      </c>
      <c r="M1410" s="3" t="e">
        <v>#N/A</v>
      </c>
      <c r="N1410" s="3" t="e">
        <v>#N/A</v>
      </c>
      <c r="O1410" s="3" t="e">
        <v>#N/A</v>
      </c>
      <c r="P1410" s="3">
        <f>E1410*(VLOOKUP(B1410,Price_data!A$1:B$190,2,FALSE))</f>
        <v>14.222346543493002</v>
      </c>
      <c r="Q1410" s="3" t="e">
        <f>G1410*(VLOOKUP(B1410,Price_data!A$1:B$190,2,FALSE))</f>
        <v>#N/A</v>
      </c>
      <c r="R1410" s="3" t="e">
        <f>I1410*(VLOOKUP(B1410,Price_data!A$1:B$190,2,FALSE))</f>
        <v>#N/A</v>
      </c>
      <c r="S1410" s="4" t="str">
        <f>(VLOOKUP(B1410,Price_data!A$1:C$190,3,FALSE))</f>
        <v>Open access</v>
      </c>
      <c r="T1410" s="2" t="str">
        <f>IF(C1410="Total", (VLOOKUP(B1410,Recommended_fish_intake!A$4:D$122,4,FALSE)), "NA")</f>
        <v>NA</v>
      </c>
      <c r="U1410" s="2" t="str">
        <f t="shared" ref="U1410:U1473" si="172">IF(C1410="Wet fish", D1410*0.49, IF(C1410="Shellfish", D1410*0.28, "NA"))</f>
        <v>NA</v>
      </c>
    </row>
    <row r="1411" spans="1:21" ht="14.25" customHeight="1">
      <c r="A1411" s="2" t="s">
        <v>15</v>
      </c>
      <c r="B1411" s="2">
        <v>1974</v>
      </c>
      <c r="C1411" s="2" t="s">
        <v>35</v>
      </c>
      <c r="D1411" s="3">
        <f t="shared" si="166"/>
        <v>11.481406218248322</v>
      </c>
      <c r="E1411" s="3">
        <f t="shared" si="167"/>
        <v>4.6959999999999997</v>
      </c>
      <c r="F1411" s="3" t="e">
        <f t="shared" si="168"/>
        <v>#N/A</v>
      </c>
      <c r="G1411" s="3" t="e">
        <f t="shared" si="169"/>
        <v>#N/A</v>
      </c>
      <c r="H1411" s="3" t="e">
        <f t="shared" si="170"/>
        <v>#N/A</v>
      </c>
      <c r="I1411" s="3" t="e">
        <f t="shared" si="171"/>
        <v>#N/A</v>
      </c>
      <c r="J1411" s="3">
        <v>11481.406218248323</v>
      </c>
      <c r="K1411" s="3">
        <v>4696</v>
      </c>
      <c r="L1411" s="3" t="e">
        <v>#N/A</v>
      </c>
      <c r="M1411" s="3" t="e">
        <v>#N/A</v>
      </c>
      <c r="N1411" s="3" t="e">
        <v>#N/A</v>
      </c>
      <c r="O1411" s="3" t="e">
        <v>#N/A</v>
      </c>
      <c r="P1411" s="3">
        <f>E1411*(VLOOKUP(B1411,Price_data!A$1:B$190,2,FALSE))</f>
        <v>29.076247004023998</v>
      </c>
      <c r="Q1411" s="3" t="e">
        <f>G1411*(VLOOKUP(B1411,Price_data!A$1:B$190,2,FALSE))</f>
        <v>#N/A</v>
      </c>
      <c r="R1411" s="3" t="e">
        <f>I1411*(VLOOKUP(B1411,Price_data!A$1:B$190,2,FALSE))</f>
        <v>#N/A</v>
      </c>
      <c r="S1411" s="4" t="str">
        <f>(VLOOKUP(B1411,Price_data!A$1:C$190,3,FALSE))</f>
        <v>Open access</v>
      </c>
      <c r="T1411" s="2" t="str">
        <f>IF(C1411="Total", (VLOOKUP(B1411,Recommended_fish_intake!A$4:D$122,4,FALSE)), "NA")</f>
        <v>NA</v>
      </c>
      <c r="U1411" s="2" t="str">
        <f t="shared" si="172"/>
        <v>NA</v>
      </c>
    </row>
    <row r="1412" spans="1:21" ht="14.25" customHeight="1">
      <c r="A1412" s="2" t="s">
        <v>15</v>
      </c>
      <c r="B1412" s="2">
        <v>1974</v>
      </c>
      <c r="C1412" s="2" t="s">
        <v>30</v>
      </c>
      <c r="D1412" s="3">
        <f t="shared" si="166"/>
        <v>1.7272912009754113</v>
      </c>
      <c r="E1412" s="3">
        <f t="shared" si="167"/>
        <v>0.49299999999999999</v>
      </c>
      <c r="F1412" s="3" t="e">
        <f t="shared" si="168"/>
        <v>#N/A</v>
      </c>
      <c r="G1412" s="3" t="e">
        <f t="shared" si="169"/>
        <v>#N/A</v>
      </c>
      <c r="H1412" s="3">
        <f t="shared" si="170"/>
        <v>7.0615728510465345</v>
      </c>
      <c r="I1412" s="3">
        <f t="shared" si="171"/>
        <v>10.082000000000001</v>
      </c>
      <c r="J1412" s="3">
        <v>1727.2912009754114</v>
      </c>
      <c r="K1412" s="3">
        <v>493</v>
      </c>
      <c r="L1412" s="3" t="e">
        <v>#N/A</v>
      </c>
      <c r="M1412" s="3" t="e">
        <v>#N/A</v>
      </c>
      <c r="N1412" s="3">
        <v>7061.5728510465342</v>
      </c>
      <c r="O1412" s="3">
        <v>10082</v>
      </c>
      <c r="P1412" s="3">
        <f>E1412*(VLOOKUP(B1412,Price_data!A$1:B$190,2,FALSE))</f>
        <v>3.0525105990169998</v>
      </c>
      <c r="Q1412" s="3" t="e">
        <f>G1412*(VLOOKUP(B1412,Price_data!A$1:B$190,2,FALSE))</f>
        <v>#N/A</v>
      </c>
      <c r="R1412" s="3">
        <f>I1412*(VLOOKUP(B1412,Price_data!A$1:B$190,2,FALSE))</f>
        <v>62.424770505658003</v>
      </c>
      <c r="S1412" s="4" t="str">
        <f>(VLOOKUP(B1412,Price_data!A$1:C$190,3,FALSE))</f>
        <v>Open access</v>
      </c>
      <c r="T1412" s="2" t="str">
        <f>IF(C1412="Total", (VLOOKUP(B1412,Recommended_fish_intake!A$4:D$122,4,FALSE)), "NA")</f>
        <v>NA</v>
      </c>
      <c r="U1412" s="2" t="str">
        <f t="shared" si="172"/>
        <v>NA</v>
      </c>
    </row>
    <row r="1413" spans="1:21" ht="14.25" customHeight="1">
      <c r="A1413" s="2" t="s">
        <v>15</v>
      </c>
      <c r="B1413" s="2">
        <v>1974</v>
      </c>
      <c r="C1413" s="2" t="s">
        <v>28</v>
      </c>
      <c r="D1413" s="3">
        <f t="shared" si="166"/>
        <v>63.706563706563706</v>
      </c>
      <c r="E1413" s="3">
        <f t="shared" si="167"/>
        <v>11.500999999999999</v>
      </c>
      <c r="F1413" s="3">
        <f t="shared" si="168"/>
        <v>11.227392806340173</v>
      </c>
      <c r="G1413" s="3">
        <f t="shared" si="169"/>
        <v>9.9960000000000004</v>
      </c>
      <c r="H1413" s="3">
        <f t="shared" si="170"/>
        <v>18.847795163584635</v>
      </c>
      <c r="I1413" s="3">
        <f t="shared" si="171"/>
        <v>25.513000000000002</v>
      </c>
      <c r="J1413" s="3">
        <v>63706.563706563706</v>
      </c>
      <c r="K1413" s="3">
        <v>11501</v>
      </c>
      <c r="L1413" s="3">
        <v>11227.392806340173</v>
      </c>
      <c r="M1413" s="3">
        <v>9996</v>
      </c>
      <c r="N1413" s="3">
        <v>18847.795163584637</v>
      </c>
      <c r="O1413" s="3">
        <v>25513</v>
      </c>
      <c r="P1413" s="3">
        <f>E1413*(VLOOKUP(B1413,Price_data!A$1:B$190,2,FALSE))</f>
        <v>71.210799998569001</v>
      </c>
      <c r="Q1413" s="3">
        <f>G1413*(VLOOKUP(B1413,Price_data!A$1:B$190,2,FALSE))</f>
        <v>61.892283869724004</v>
      </c>
      <c r="R1413" s="3">
        <f>I1413*(VLOOKUP(B1413,Price_data!A$1:B$190,2,FALSE))</f>
        <v>157.968971425397</v>
      </c>
      <c r="S1413" s="4" t="str">
        <f>(VLOOKUP(B1413,Price_data!A$1:C$190,3,FALSE))</f>
        <v>Open access</v>
      </c>
      <c r="T1413" s="2" t="str">
        <f>IF(C1413="Total", (VLOOKUP(B1413,Recommended_fish_intake!A$4:D$122,4,FALSE)), "NA")</f>
        <v>NA</v>
      </c>
      <c r="U1413" s="2">
        <f t="shared" si="172"/>
        <v>17.837837837837839</v>
      </c>
    </row>
    <row r="1414" spans="1:21" ht="14.25" customHeight="1">
      <c r="A1414" s="2" t="s">
        <v>15</v>
      </c>
      <c r="B1414" s="2">
        <v>1974</v>
      </c>
      <c r="C1414" s="2" t="s">
        <v>29</v>
      </c>
      <c r="D1414" s="3" t="e">
        <f t="shared" si="166"/>
        <v>#N/A</v>
      </c>
      <c r="E1414" s="3" t="e">
        <f t="shared" si="167"/>
        <v>#N/A</v>
      </c>
      <c r="F1414" s="3" t="e">
        <f t="shared" si="168"/>
        <v>#N/A</v>
      </c>
      <c r="G1414" s="3" t="e">
        <f t="shared" si="169"/>
        <v>#N/A</v>
      </c>
      <c r="H1414" s="3">
        <f t="shared" si="170"/>
        <v>18.4413737045316</v>
      </c>
      <c r="I1414" s="3">
        <f t="shared" si="171"/>
        <v>29.215</v>
      </c>
      <c r="J1414" s="3" t="e">
        <v>#N/A</v>
      </c>
      <c r="K1414" s="3" t="e">
        <v>#N/A</v>
      </c>
      <c r="L1414" s="3" t="e">
        <v>#N/A</v>
      </c>
      <c r="M1414" s="3" t="e">
        <v>#N/A</v>
      </c>
      <c r="N1414" s="3">
        <v>18441.373704531601</v>
      </c>
      <c r="O1414" s="3">
        <v>29215</v>
      </c>
      <c r="P1414" s="3" t="e">
        <f>E1414*(VLOOKUP(B1414,Price_data!A$1:B$190,2,FALSE))</f>
        <v>#N/A</v>
      </c>
      <c r="Q1414" s="3" t="e">
        <f>G1414*(VLOOKUP(B1414,Price_data!A$1:B$190,2,FALSE))</f>
        <v>#N/A</v>
      </c>
      <c r="R1414" s="3">
        <f>I1414*(VLOOKUP(B1414,Price_data!A$1:B$190,2,FALSE))</f>
        <v>180.890663590835</v>
      </c>
      <c r="S1414" s="4" t="str">
        <f>(VLOOKUP(B1414,Price_data!A$1:C$190,3,FALSE))</f>
        <v>Open access</v>
      </c>
      <c r="T1414" s="2" t="str">
        <f>IF(C1414="Total", (VLOOKUP(B1414,Recommended_fish_intake!A$4:D$122,4,FALSE)), "NA")</f>
        <v>NA</v>
      </c>
      <c r="U1414" s="2" t="str">
        <f t="shared" si="172"/>
        <v>NA</v>
      </c>
    </row>
    <row r="1415" spans="1:21" ht="14.25" customHeight="1">
      <c r="A1415" s="2" t="s">
        <v>15</v>
      </c>
      <c r="B1415" s="2">
        <v>1974</v>
      </c>
      <c r="C1415" s="2" t="s">
        <v>43</v>
      </c>
      <c r="D1415" s="3" t="e">
        <f t="shared" si="166"/>
        <v>#N/A</v>
      </c>
      <c r="E1415" s="3" t="e">
        <f t="shared" si="167"/>
        <v>#N/A</v>
      </c>
      <c r="F1415" s="3" t="e">
        <f t="shared" si="168"/>
        <v>#N/A</v>
      </c>
      <c r="G1415" s="3" t="e">
        <f t="shared" si="169"/>
        <v>#N/A</v>
      </c>
      <c r="H1415" s="3">
        <f t="shared" si="170"/>
        <v>5.4358870148343827</v>
      </c>
      <c r="I1415" s="3">
        <f t="shared" si="171"/>
        <v>5.266</v>
      </c>
      <c r="J1415" s="3" t="e">
        <v>#N/A</v>
      </c>
      <c r="K1415" s="3" t="e">
        <v>#N/A</v>
      </c>
      <c r="L1415" s="3" t="e">
        <v>#N/A</v>
      </c>
      <c r="M1415" s="3" t="e">
        <v>#N/A</v>
      </c>
      <c r="N1415" s="3">
        <v>5435.8870148343831</v>
      </c>
      <c r="O1415" s="3">
        <v>5266</v>
      </c>
      <c r="P1415" s="3" t="e">
        <f>E1415*(VLOOKUP(B1415,Price_data!A$1:B$190,2,FALSE))</f>
        <v>#N/A</v>
      </c>
      <c r="Q1415" s="3" t="e">
        <f>G1415*(VLOOKUP(B1415,Price_data!A$1:B$190,2,FALSE))</f>
        <v>#N/A</v>
      </c>
      <c r="R1415" s="3">
        <f>I1415*(VLOOKUP(B1415,Price_data!A$1:B$190,2,FALSE))</f>
        <v>32.605518893354002</v>
      </c>
      <c r="S1415" s="4" t="str">
        <f>(VLOOKUP(B1415,Price_data!A$1:C$190,3,FALSE))</f>
        <v>Open access</v>
      </c>
      <c r="T1415" s="2" t="str">
        <f>IF(C1415="Total", (VLOOKUP(B1415,Recommended_fish_intake!A$4:D$122,4,FALSE)), "NA")</f>
        <v>NA</v>
      </c>
      <c r="U1415" s="2" t="str">
        <f t="shared" si="172"/>
        <v>NA</v>
      </c>
    </row>
    <row r="1416" spans="1:21" ht="14.25" customHeight="1">
      <c r="A1416" s="2" t="s">
        <v>18</v>
      </c>
      <c r="B1416" s="2">
        <v>1975</v>
      </c>
      <c r="C1416" s="2" t="s">
        <v>22</v>
      </c>
      <c r="D1416" s="3">
        <f t="shared" si="166"/>
        <v>194.92099999999999</v>
      </c>
      <c r="E1416" s="3">
        <f t="shared" si="167"/>
        <v>49.103000000000002</v>
      </c>
      <c r="F1416" s="3" t="e">
        <f t="shared" si="168"/>
        <v>#N/A</v>
      </c>
      <c r="G1416" s="3" t="e">
        <f t="shared" si="169"/>
        <v>#N/A</v>
      </c>
      <c r="H1416" s="3" t="e">
        <f t="shared" si="170"/>
        <v>#N/A</v>
      </c>
      <c r="I1416" s="3" t="e">
        <f t="shared" si="171"/>
        <v>#N/A</v>
      </c>
      <c r="J1416" s="2">
        <v>194921</v>
      </c>
      <c r="K1416" s="2">
        <v>49103</v>
      </c>
      <c r="P1416" s="3">
        <f>E1416*(VLOOKUP(B1416,Price_data!A$1:B$190,2,FALSE))</f>
        <v>244.71361571607503</v>
      </c>
      <c r="Q1416" s="3" t="e">
        <f>G1416*(VLOOKUP(B1416,Price_data!A$1:B$190,2,FALSE))</f>
        <v>#N/A</v>
      </c>
      <c r="R1416" s="3" t="e">
        <f>I1416*(VLOOKUP(B1416,Price_data!A$1:B$190,2,FALSE))</f>
        <v>#N/A</v>
      </c>
      <c r="S1416" s="4" t="str">
        <f>(VLOOKUP(B1416,Price_data!A$1:C$190,3,FALSE))</f>
        <v>Open access</v>
      </c>
      <c r="T1416" s="2" t="str">
        <f>IF(C1416="Total", (VLOOKUP(B1416,Recommended_fish_intake!A$4:D$122,4,FALSE)), "NA")</f>
        <v>NA</v>
      </c>
      <c r="U1416" s="2" t="str">
        <f t="shared" si="172"/>
        <v>NA</v>
      </c>
    </row>
    <row r="1417" spans="1:21" ht="14.25" customHeight="1">
      <c r="A1417" s="2" t="s">
        <v>18</v>
      </c>
      <c r="B1417" s="2">
        <v>1975</v>
      </c>
      <c r="C1417" s="2" t="s">
        <v>23</v>
      </c>
      <c r="D1417" s="3">
        <f t="shared" si="166"/>
        <v>39.631999999999998</v>
      </c>
      <c r="E1417" s="3">
        <f t="shared" si="167"/>
        <v>10.250999999999999</v>
      </c>
      <c r="F1417" s="3" t="e">
        <f t="shared" si="168"/>
        <v>#N/A</v>
      </c>
      <c r="G1417" s="3" t="e">
        <f t="shared" si="169"/>
        <v>#N/A</v>
      </c>
      <c r="H1417" s="3" t="e">
        <f t="shared" si="170"/>
        <v>#N/A</v>
      </c>
      <c r="I1417" s="3" t="e">
        <f t="shared" si="171"/>
        <v>#N/A</v>
      </c>
      <c r="J1417" s="2">
        <v>39632</v>
      </c>
      <c r="K1417" s="2">
        <v>10251</v>
      </c>
      <c r="P1417" s="3">
        <f>E1417*(VLOOKUP(B1417,Price_data!A$1:B$190,2,FALSE))</f>
        <v>51.087698810775002</v>
      </c>
      <c r="Q1417" s="3" t="e">
        <f>G1417*(VLOOKUP(B1417,Price_data!A$1:B$190,2,FALSE))</f>
        <v>#N/A</v>
      </c>
      <c r="R1417" s="3" t="e">
        <f>I1417*(VLOOKUP(B1417,Price_data!A$1:B$190,2,FALSE))</f>
        <v>#N/A</v>
      </c>
      <c r="S1417" s="4" t="str">
        <f>(VLOOKUP(B1417,Price_data!A$1:C$190,3,FALSE))</f>
        <v>Open access</v>
      </c>
      <c r="T1417" s="2" t="str">
        <f>IF(C1417="Total", (VLOOKUP(B1417,Recommended_fish_intake!A$4:D$122,4,FALSE)), "NA")</f>
        <v>NA</v>
      </c>
      <c r="U1417" s="2" t="str">
        <f t="shared" si="172"/>
        <v>NA</v>
      </c>
    </row>
    <row r="1418" spans="1:21" ht="14.25" customHeight="1">
      <c r="A1418" s="2" t="s">
        <v>18</v>
      </c>
      <c r="B1418" s="2">
        <v>1975</v>
      </c>
      <c r="C1418" s="2" t="s">
        <v>25</v>
      </c>
      <c r="D1418" s="3">
        <f t="shared" si="166"/>
        <v>23.869</v>
      </c>
      <c r="E1418" s="3">
        <f t="shared" si="167"/>
        <v>8.8829999999999991</v>
      </c>
      <c r="F1418" s="3" t="e">
        <f t="shared" si="168"/>
        <v>#N/A</v>
      </c>
      <c r="G1418" s="3" t="e">
        <f t="shared" si="169"/>
        <v>#N/A</v>
      </c>
      <c r="H1418" s="3" t="e">
        <f t="shared" si="170"/>
        <v>#N/A</v>
      </c>
      <c r="I1418" s="3" t="e">
        <f t="shared" si="171"/>
        <v>#N/A</v>
      </c>
      <c r="J1418" s="2">
        <v>23869</v>
      </c>
      <c r="K1418" s="2">
        <v>8883</v>
      </c>
      <c r="P1418" s="3">
        <f>E1418*(VLOOKUP(B1418,Price_data!A$1:B$190,2,FALSE))</f>
        <v>44.270025220575</v>
      </c>
      <c r="Q1418" s="3" t="e">
        <f>G1418*(VLOOKUP(B1418,Price_data!A$1:B$190,2,FALSE))</f>
        <v>#N/A</v>
      </c>
      <c r="R1418" s="3" t="e">
        <f>I1418*(VLOOKUP(B1418,Price_data!A$1:B$190,2,FALSE))</f>
        <v>#N/A</v>
      </c>
      <c r="S1418" s="4" t="str">
        <f>(VLOOKUP(B1418,Price_data!A$1:C$190,3,FALSE))</f>
        <v>Open access</v>
      </c>
      <c r="T1418" s="2" t="str">
        <f>IF(C1418="Total", (VLOOKUP(B1418,Recommended_fish_intake!A$4:D$122,4,FALSE)), "NA")</f>
        <v>NA</v>
      </c>
      <c r="U1418" s="2" t="str">
        <f t="shared" si="172"/>
        <v>NA</v>
      </c>
    </row>
    <row r="1419" spans="1:21" ht="14.25" customHeight="1">
      <c r="A1419" s="2" t="s">
        <v>18</v>
      </c>
      <c r="B1419" s="2">
        <v>1975</v>
      </c>
      <c r="C1419" s="2" t="s">
        <v>38</v>
      </c>
      <c r="D1419" s="3">
        <f t="shared" si="166"/>
        <v>16.835000000000001</v>
      </c>
      <c r="E1419" s="3">
        <f t="shared" si="167"/>
        <v>1.9750000000000001</v>
      </c>
      <c r="F1419" s="3" t="e">
        <f t="shared" si="168"/>
        <v>#N/A</v>
      </c>
      <c r="G1419" s="3" t="e">
        <f t="shared" si="169"/>
        <v>#N/A</v>
      </c>
      <c r="H1419" s="3" t="e">
        <f t="shared" si="170"/>
        <v>#N/A</v>
      </c>
      <c r="I1419" s="3" t="e">
        <f t="shared" si="171"/>
        <v>#N/A</v>
      </c>
      <c r="J1419" s="2">
        <v>16835</v>
      </c>
      <c r="K1419" s="2">
        <v>1975</v>
      </c>
      <c r="P1419" s="3">
        <f>E1419*(VLOOKUP(B1419,Price_data!A$1:B$190,2,FALSE))</f>
        <v>9.8427670618750014</v>
      </c>
      <c r="Q1419" s="3" t="e">
        <f>G1419*(VLOOKUP(B1419,Price_data!A$1:B$190,2,FALSE))</f>
        <v>#N/A</v>
      </c>
      <c r="R1419" s="3" t="e">
        <f>I1419*(VLOOKUP(B1419,Price_data!A$1:B$190,2,FALSE))</f>
        <v>#N/A</v>
      </c>
      <c r="S1419" s="4" t="str">
        <f>(VLOOKUP(B1419,Price_data!A$1:C$190,3,FALSE))</f>
        <v>Open access</v>
      </c>
      <c r="T1419" s="2" t="str">
        <f>IF(C1419="Total", (VLOOKUP(B1419,Recommended_fish_intake!A$4:D$122,4,FALSE)), "NA")</f>
        <v>NA</v>
      </c>
      <c r="U1419" s="2" t="str">
        <f t="shared" si="172"/>
        <v>NA</v>
      </c>
    </row>
    <row r="1420" spans="1:21" ht="14.25" customHeight="1">
      <c r="A1420" s="2" t="s">
        <v>18</v>
      </c>
      <c r="B1420" s="2">
        <v>1975</v>
      </c>
      <c r="C1420" s="2" t="s">
        <v>24</v>
      </c>
      <c r="D1420" s="3">
        <f t="shared" si="166"/>
        <v>6.8319999999999999</v>
      </c>
      <c r="E1420" s="3">
        <f t="shared" si="167"/>
        <v>0.88500000000000001</v>
      </c>
      <c r="F1420" s="3" t="e">
        <f t="shared" si="168"/>
        <v>#N/A</v>
      </c>
      <c r="G1420" s="3" t="e">
        <f t="shared" si="169"/>
        <v>#N/A</v>
      </c>
      <c r="H1420" s="3" t="e">
        <f t="shared" si="170"/>
        <v>#N/A</v>
      </c>
      <c r="I1420" s="3" t="e">
        <f t="shared" si="171"/>
        <v>#N/A</v>
      </c>
      <c r="J1420" s="2">
        <v>6832</v>
      </c>
      <c r="K1420" s="2">
        <v>885</v>
      </c>
      <c r="P1420" s="3">
        <f>E1420*(VLOOKUP(B1420,Price_data!A$1:B$190,2,FALSE))</f>
        <v>4.4105563796250005</v>
      </c>
      <c r="Q1420" s="3" t="e">
        <f>G1420*(VLOOKUP(B1420,Price_data!A$1:B$190,2,FALSE))</f>
        <v>#N/A</v>
      </c>
      <c r="R1420" s="3" t="e">
        <f>I1420*(VLOOKUP(B1420,Price_data!A$1:B$190,2,FALSE))</f>
        <v>#N/A</v>
      </c>
      <c r="S1420" s="4" t="str">
        <f>(VLOOKUP(B1420,Price_data!A$1:C$190,3,FALSE))</f>
        <v>Open access</v>
      </c>
      <c r="T1420" s="2" t="str">
        <f>IF(C1420="Total", (VLOOKUP(B1420,Recommended_fish_intake!A$4:D$122,4,FALSE)), "NA")</f>
        <v>NA</v>
      </c>
      <c r="U1420" s="2" t="str">
        <f t="shared" si="172"/>
        <v>NA</v>
      </c>
    </row>
    <row r="1421" spans="1:21" ht="14.25" customHeight="1">
      <c r="A1421" s="2" t="s">
        <v>18</v>
      </c>
      <c r="B1421" s="2">
        <v>1975</v>
      </c>
      <c r="C1421" s="2" t="s">
        <v>19</v>
      </c>
      <c r="D1421" s="3">
        <f t="shared" si="166"/>
        <v>8.7270000000000003</v>
      </c>
      <c r="E1421" s="3">
        <f t="shared" si="167"/>
        <v>1.0589999999999999</v>
      </c>
      <c r="F1421" s="3" t="e">
        <f t="shared" si="168"/>
        <v>#N/A</v>
      </c>
      <c r="G1421" s="3" t="e">
        <f t="shared" si="169"/>
        <v>#N/A</v>
      </c>
      <c r="H1421" s="3" t="e">
        <f t="shared" si="170"/>
        <v>#N/A</v>
      </c>
      <c r="I1421" s="3" t="e">
        <f t="shared" si="171"/>
        <v>#N/A</v>
      </c>
      <c r="J1421" s="2">
        <v>8727</v>
      </c>
      <c r="K1421" s="2">
        <v>1059</v>
      </c>
      <c r="P1421" s="3">
        <f>E1421*(VLOOKUP(B1421,Price_data!A$1:B$190,2,FALSE))</f>
        <v>5.2777166169749998</v>
      </c>
      <c r="Q1421" s="3" t="e">
        <f>G1421*(VLOOKUP(B1421,Price_data!A$1:B$190,2,FALSE))</f>
        <v>#N/A</v>
      </c>
      <c r="R1421" s="3" t="e">
        <f>I1421*(VLOOKUP(B1421,Price_data!A$1:B$190,2,FALSE))</f>
        <v>#N/A</v>
      </c>
      <c r="S1421" s="4" t="str">
        <f>(VLOOKUP(B1421,Price_data!A$1:C$190,3,FALSE))</f>
        <v>Open access</v>
      </c>
      <c r="T1421" s="2" t="str">
        <f>IF(C1421="Total", (VLOOKUP(B1421,Recommended_fish_intake!A$4:D$122,4,FALSE)), "NA")</f>
        <v>NA</v>
      </c>
      <c r="U1421" s="2" t="str">
        <f t="shared" si="172"/>
        <v>NA</v>
      </c>
    </row>
    <row r="1422" spans="1:21" ht="14.25" customHeight="1">
      <c r="A1422" s="2" t="s">
        <v>18</v>
      </c>
      <c r="B1422" s="2">
        <v>1975</v>
      </c>
      <c r="C1422" s="2" t="s">
        <v>20</v>
      </c>
      <c r="D1422" s="3">
        <f t="shared" si="166"/>
        <v>31.59</v>
      </c>
      <c r="E1422" s="3">
        <f t="shared" si="167"/>
        <v>1.7490000000000001</v>
      </c>
      <c r="F1422" s="3" t="e">
        <f t="shared" si="168"/>
        <v>#N/A</v>
      </c>
      <c r="G1422" s="3" t="e">
        <f t="shared" si="169"/>
        <v>#N/A</v>
      </c>
      <c r="H1422" s="3" t="e">
        <f t="shared" si="170"/>
        <v>#N/A</v>
      </c>
      <c r="I1422" s="3" t="e">
        <f t="shared" si="171"/>
        <v>#N/A</v>
      </c>
      <c r="J1422" s="2">
        <v>31590</v>
      </c>
      <c r="K1422" s="2">
        <v>1749</v>
      </c>
      <c r="P1422" s="3">
        <f>E1422*(VLOOKUP(B1422,Price_data!A$1:B$190,2,FALSE))</f>
        <v>8.7164554892250017</v>
      </c>
      <c r="Q1422" s="3" t="e">
        <f>G1422*(VLOOKUP(B1422,Price_data!A$1:B$190,2,FALSE))</f>
        <v>#N/A</v>
      </c>
      <c r="R1422" s="3" t="e">
        <f>I1422*(VLOOKUP(B1422,Price_data!A$1:B$190,2,FALSE))</f>
        <v>#N/A</v>
      </c>
      <c r="S1422" s="4" t="str">
        <f>(VLOOKUP(B1422,Price_data!A$1:C$190,3,FALSE))</f>
        <v>Open access</v>
      </c>
      <c r="T1422" s="2" t="str">
        <f>IF(C1422="Total", (VLOOKUP(B1422,Recommended_fish_intake!A$4:D$122,4,FALSE)), "NA")</f>
        <v>NA</v>
      </c>
      <c r="U1422" s="2" t="str">
        <f t="shared" si="172"/>
        <v>NA</v>
      </c>
    </row>
    <row r="1423" spans="1:21" ht="14.25" customHeight="1">
      <c r="A1423" s="2" t="s">
        <v>18</v>
      </c>
      <c r="B1423" s="2">
        <v>1975</v>
      </c>
      <c r="C1423" s="2" t="s">
        <v>21</v>
      </c>
      <c r="D1423" s="3">
        <f t="shared" si="166"/>
        <v>36.353999999999999</v>
      </c>
      <c r="E1423" s="3">
        <f t="shared" si="167"/>
        <v>0.90500000000000003</v>
      </c>
      <c r="F1423" s="3" t="e">
        <f t="shared" si="168"/>
        <v>#N/A</v>
      </c>
      <c r="G1423" s="3" t="e">
        <f t="shared" si="169"/>
        <v>#N/A</v>
      </c>
      <c r="H1423" s="3" t="e">
        <f t="shared" si="170"/>
        <v>#N/A</v>
      </c>
      <c r="I1423" s="3" t="e">
        <f t="shared" si="171"/>
        <v>#N/A</v>
      </c>
      <c r="J1423" s="2">
        <v>36354</v>
      </c>
      <c r="K1423" s="2">
        <v>905</v>
      </c>
      <c r="P1423" s="3">
        <f>E1423*(VLOOKUP(B1423,Price_data!A$1:B$190,2,FALSE))</f>
        <v>4.5102299701250006</v>
      </c>
      <c r="Q1423" s="3" t="e">
        <f>G1423*(VLOOKUP(B1423,Price_data!A$1:B$190,2,FALSE))</f>
        <v>#N/A</v>
      </c>
      <c r="R1423" s="3" t="e">
        <f>I1423*(VLOOKUP(B1423,Price_data!A$1:B$190,2,FALSE))</f>
        <v>#N/A</v>
      </c>
      <c r="S1423" s="4" t="str">
        <f>(VLOOKUP(B1423,Price_data!A$1:C$190,3,FALSE))</f>
        <v>Open access</v>
      </c>
      <c r="T1423" s="2" t="str">
        <f>IF(C1423="Total", (VLOOKUP(B1423,Recommended_fish_intake!A$4:D$122,4,FALSE)), "NA")</f>
        <v>NA</v>
      </c>
      <c r="U1423" s="2" t="str">
        <f t="shared" si="172"/>
        <v>NA</v>
      </c>
    </row>
    <row r="1424" spans="1:21" ht="14.25" customHeight="1">
      <c r="A1424" s="2" t="s">
        <v>18</v>
      </c>
      <c r="B1424" s="2">
        <v>1975</v>
      </c>
      <c r="C1424" s="2" t="s">
        <v>37</v>
      </c>
      <c r="D1424" s="3">
        <f t="shared" si="166"/>
        <v>404.36500000000001</v>
      </c>
      <c r="E1424" s="3">
        <f t="shared" si="167"/>
        <v>84.807000000000002</v>
      </c>
      <c r="F1424" s="3" t="e">
        <f t="shared" si="168"/>
        <v>#N/A</v>
      </c>
      <c r="G1424" s="3" t="e">
        <f t="shared" si="169"/>
        <v>#N/A</v>
      </c>
      <c r="H1424" s="3" t="e">
        <f t="shared" si="170"/>
        <v>#N/A</v>
      </c>
      <c r="I1424" s="3" t="e">
        <f t="shared" si="171"/>
        <v>#N/A</v>
      </c>
      <c r="J1424" s="2">
        <v>404365</v>
      </c>
      <c r="K1424" s="2">
        <v>84807</v>
      </c>
      <c r="P1424" s="3">
        <f>E1424*(VLOOKUP(B1424,Price_data!A$1:B$190,2,FALSE))</f>
        <v>422.65090947667505</v>
      </c>
      <c r="Q1424" s="3" t="e">
        <f>G1424*(VLOOKUP(B1424,Price_data!A$1:B$190,2,FALSE))</f>
        <v>#N/A</v>
      </c>
      <c r="R1424" s="3" t="e">
        <f>I1424*(VLOOKUP(B1424,Price_data!A$1:B$190,2,FALSE))</f>
        <v>#N/A</v>
      </c>
      <c r="S1424" s="4" t="str">
        <f>(VLOOKUP(B1424,Price_data!A$1:C$190,3,FALSE))</f>
        <v>Open access</v>
      </c>
      <c r="T1424" s="2" t="str">
        <f>IF(C1424="Total", (VLOOKUP(B1424,Recommended_fish_intake!A$4:D$122,4,FALSE)), "NA")</f>
        <v>NA</v>
      </c>
      <c r="U1424" s="2">
        <f t="shared" si="172"/>
        <v>198.13884999999999</v>
      </c>
    </row>
    <row r="1425" spans="1:21" ht="14.25" customHeight="1">
      <c r="A1425" s="2" t="s">
        <v>18</v>
      </c>
      <c r="B1425" s="2">
        <v>1975</v>
      </c>
      <c r="C1425" s="2" t="s">
        <v>36</v>
      </c>
      <c r="D1425" s="3">
        <f t="shared" si="166"/>
        <v>4.8979999999999997</v>
      </c>
      <c r="E1425" s="3">
        <f t="shared" si="167"/>
        <v>1.1319999999999999</v>
      </c>
      <c r="F1425" s="3" t="e">
        <f t="shared" si="168"/>
        <v>#N/A</v>
      </c>
      <c r="G1425" s="3" t="e">
        <f t="shared" si="169"/>
        <v>#N/A</v>
      </c>
      <c r="H1425" s="3" t="e">
        <f t="shared" si="170"/>
        <v>#N/A</v>
      </c>
      <c r="I1425" s="3" t="e">
        <f t="shared" si="171"/>
        <v>#N/A</v>
      </c>
      <c r="J1425" s="2">
        <v>4898</v>
      </c>
      <c r="K1425" s="2">
        <v>1132</v>
      </c>
      <c r="P1425" s="3">
        <f>E1425*(VLOOKUP(B1425,Price_data!A$1:B$190,2,FALSE))</f>
        <v>5.6415252222999994</v>
      </c>
      <c r="Q1425" s="3" t="e">
        <f>G1425*(VLOOKUP(B1425,Price_data!A$1:B$190,2,FALSE))</f>
        <v>#N/A</v>
      </c>
      <c r="R1425" s="3" t="e">
        <f>I1425*(VLOOKUP(B1425,Price_data!A$1:B$190,2,FALSE))</f>
        <v>#N/A</v>
      </c>
      <c r="S1425" s="4" t="str">
        <f>(VLOOKUP(B1425,Price_data!A$1:C$190,3,FALSE))</f>
        <v>Open access</v>
      </c>
      <c r="T1425" s="2" t="str">
        <f>IF(C1425="Total", (VLOOKUP(B1425,Recommended_fish_intake!A$4:D$122,4,FALSE)), "NA")</f>
        <v>NA</v>
      </c>
      <c r="U1425" s="2" t="str">
        <f t="shared" si="172"/>
        <v>NA</v>
      </c>
    </row>
    <row r="1426" spans="1:21" ht="14.25" customHeight="1">
      <c r="A1426" s="2" t="s">
        <v>18</v>
      </c>
      <c r="B1426" s="2">
        <v>1975</v>
      </c>
      <c r="C1426" s="2" t="s">
        <v>34</v>
      </c>
      <c r="D1426" s="3">
        <f t="shared" si="166"/>
        <v>0.34200000000000003</v>
      </c>
      <c r="E1426" s="3">
        <f t="shared" si="167"/>
        <v>0.94299999999999995</v>
      </c>
      <c r="F1426" s="3" t="e">
        <f t="shared" si="168"/>
        <v>#N/A</v>
      </c>
      <c r="G1426" s="3" t="e">
        <f t="shared" si="169"/>
        <v>#N/A</v>
      </c>
      <c r="H1426" s="3" t="e">
        <f t="shared" si="170"/>
        <v>#N/A</v>
      </c>
      <c r="I1426" s="3" t="e">
        <f t="shared" si="171"/>
        <v>#N/A</v>
      </c>
      <c r="J1426" s="2">
        <v>342</v>
      </c>
      <c r="K1426" s="2">
        <v>943</v>
      </c>
      <c r="P1426" s="3">
        <f>E1426*(VLOOKUP(B1426,Price_data!A$1:B$190,2,FALSE))</f>
        <v>4.699609792075</v>
      </c>
      <c r="Q1426" s="3" t="e">
        <f>G1426*(VLOOKUP(B1426,Price_data!A$1:B$190,2,FALSE))</f>
        <v>#N/A</v>
      </c>
      <c r="R1426" s="3" t="e">
        <f>I1426*(VLOOKUP(B1426,Price_data!A$1:B$190,2,FALSE))</f>
        <v>#N/A</v>
      </c>
      <c r="S1426" s="4" t="str">
        <f>(VLOOKUP(B1426,Price_data!A$1:C$190,3,FALSE))</f>
        <v>Open access</v>
      </c>
      <c r="T1426" s="2" t="str">
        <f>IF(C1426="Total", (VLOOKUP(B1426,Recommended_fish_intake!A$4:D$122,4,FALSE)), "NA")</f>
        <v>NA</v>
      </c>
      <c r="U1426" s="2" t="str">
        <f t="shared" si="172"/>
        <v>NA</v>
      </c>
    </row>
    <row r="1427" spans="1:21" ht="14.25" customHeight="1">
      <c r="A1427" s="2" t="s">
        <v>18</v>
      </c>
      <c r="B1427" s="2">
        <v>1975</v>
      </c>
      <c r="C1427" s="2" t="s">
        <v>35</v>
      </c>
      <c r="D1427" s="3">
        <f t="shared" si="166"/>
        <v>1.1559999999999999</v>
      </c>
      <c r="E1427" s="3">
        <f t="shared" si="167"/>
        <v>0.53600000000000003</v>
      </c>
      <c r="F1427" s="3" t="e">
        <f t="shared" si="168"/>
        <v>#N/A</v>
      </c>
      <c r="G1427" s="3" t="e">
        <f t="shared" si="169"/>
        <v>#N/A</v>
      </c>
      <c r="H1427" s="3" t="e">
        <f t="shared" si="170"/>
        <v>#N/A</v>
      </c>
      <c r="I1427" s="3" t="e">
        <f t="shared" si="171"/>
        <v>#N/A</v>
      </c>
      <c r="J1427" s="2">
        <v>1156</v>
      </c>
      <c r="K1427" s="2">
        <v>536</v>
      </c>
      <c r="P1427" s="3">
        <f>E1427*(VLOOKUP(B1427,Price_data!A$1:B$190,2,FALSE))</f>
        <v>2.6712522254000004</v>
      </c>
      <c r="Q1427" s="3" t="e">
        <f>G1427*(VLOOKUP(B1427,Price_data!A$1:B$190,2,FALSE))</f>
        <v>#N/A</v>
      </c>
      <c r="R1427" s="3" t="e">
        <f>I1427*(VLOOKUP(B1427,Price_data!A$1:B$190,2,FALSE))</f>
        <v>#N/A</v>
      </c>
      <c r="S1427" s="4" t="str">
        <f>(VLOOKUP(B1427,Price_data!A$1:C$190,3,FALSE))</f>
        <v>Open access</v>
      </c>
      <c r="T1427" s="2" t="str">
        <f>IF(C1427="Total", (VLOOKUP(B1427,Recommended_fish_intake!A$4:D$122,4,FALSE)), "NA")</f>
        <v>NA</v>
      </c>
      <c r="U1427" s="2" t="str">
        <f t="shared" si="172"/>
        <v>NA</v>
      </c>
    </row>
    <row r="1428" spans="1:21" ht="14.25" customHeight="1">
      <c r="A1428" s="2" t="s">
        <v>18</v>
      </c>
      <c r="B1428" s="2">
        <v>1975</v>
      </c>
      <c r="C1428" s="2" t="s">
        <v>30</v>
      </c>
      <c r="D1428" s="3">
        <f t="shared" si="166"/>
        <v>1.5309999999999999</v>
      </c>
      <c r="E1428" s="3">
        <f t="shared" si="167"/>
        <v>0.441</v>
      </c>
      <c r="F1428" s="3" t="e">
        <f t="shared" si="168"/>
        <v>#N/A</v>
      </c>
      <c r="G1428" s="3" t="e">
        <f t="shared" si="169"/>
        <v>#N/A</v>
      </c>
      <c r="H1428" s="3" t="e">
        <f t="shared" si="170"/>
        <v>#N/A</v>
      </c>
      <c r="I1428" s="3" t="e">
        <f t="shared" si="171"/>
        <v>#N/A</v>
      </c>
      <c r="J1428" s="2">
        <v>1531</v>
      </c>
      <c r="K1428" s="2">
        <v>441</v>
      </c>
      <c r="P1428" s="3">
        <f>E1428*(VLOOKUP(B1428,Price_data!A$1:B$190,2,FALSE))</f>
        <v>2.1978026705250002</v>
      </c>
      <c r="Q1428" s="3" t="e">
        <f>G1428*(VLOOKUP(B1428,Price_data!A$1:B$190,2,FALSE))</f>
        <v>#N/A</v>
      </c>
      <c r="R1428" s="3" t="e">
        <f>I1428*(VLOOKUP(B1428,Price_data!A$1:B$190,2,FALSE))</f>
        <v>#N/A</v>
      </c>
      <c r="S1428" s="4" t="str">
        <f>(VLOOKUP(B1428,Price_data!A$1:C$190,3,FALSE))</f>
        <v>Open access</v>
      </c>
      <c r="T1428" s="2" t="str">
        <f>IF(C1428="Total", (VLOOKUP(B1428,Recommended_fish_intake!A$4:D$122,4,FALSE)), "NA")</f>
        <v>NA</v>
      </c>
      <c r="U1428" s="2" t="str">
        <f t="shared" si="172"/>
        <v>NA</v>
      </c>
    </row>
    <row r="1429" spans="1:21" ht="14.25" customHeight="1">
      <c r="A1429" s="2" t="s">
        <v>18</v>
      </c>
      <c r="B1429" s="2">
        <v>1975</v>
      </c>
      <c r="C1429" s="2" t="s">
        <v>28</v>
      </c>
      <c r="D1429" s="3">
        <f t="shared" si="166"/>
        <v>41.773000000000003</v>
      </c>
      <c r="E1429" s="3">
        <f t="shared" si="167"/>
        <v>5.2759999999999998</v>
      </c>
      <c r="F1429" s="3" t="e">
        <f t="shared" si="168"/>
        <v>#N/A</v>
      </c>
      <c r="G1429" s="3" t="e">
        <f t="shared" si="169"/>
        <v>#N/A</v>
      </c>
      <c r="H1429" s="3" t="e">
        <f t="shared" si="170"/>
        <v>#N/A</v>
      </c>
      <c r="I1429" s="3" t="e">
        <f t="shared" si="171"/>
        <v>#N/A</v>
      </c>
      <c r="J1429" s="2">
        <v>41773</v>
      </c>
      <c r="K1429" s="2">
        <v>5276</v>
      </c>
      <c r="P1429" s="3">
        <f>E1429*(VLOOKUP(B1429,Price_data!A$1:B$190,2,FALSE))</f>
        <v>26.293893173899999</v>
      </c>
      <c r="Q1429" s="3" t="e">
        <f>G1429*(VLOOKUP(B1429,Price_data!A$1:B$190,2,FALSE))</f>
        <v>#N/A</v>
      </c>
      <c r="R1429" s="3" t="e">
        <f>I1429*(VLOOKUP(B1429,Price_data!A$1:B$190,2,FALSE))</f>
        <v>#N/A</v>
      </c>
      <c r="S1429" s="4" t="str">
        <f>(VLOOKUP(B1429,Price_data!A$1:C$190,3,FALSE))</f>
        <v>Open access</v>
      </c>
      <c r="T1429" s="2" t="str">
        <f>IF(C1429="Total", (VLOOKUP(B1429,Recommended_fish_intake!A$4:D$122,4,FALSE)), "NA")</f>
        <v>NA</v>
      </c>
      <c r="U1429" s="2">
        <f t="shared" si="172"/>
        <v>11.696440000000003</v>
      </c>
    </row>
    <row r="1430" spans="1:21" ht="14.25" customHeight="1">
      <c r="A1430" s="2" t="s">
        <v>39</v>
      </c>
      <c r="B1430" s="2">
        <v>1975</v>
      </c>
      <c r="C1430" s="2" t="s">
        <v>22</v>
      </c>
      <c r="D1430" s="3">
        <f t="shared" si="166"/>
        <v>46.555999999999997</v>
      </c>
      <c r="E1430" s="3">
        <f t="shared" si="167"/>
        <v>11.712999999999999</v>
      </c>
      <c r="F1430" s="3" t="e">
        <f t="shared" si="168"/>
        <v>#N/A</v>
      </c>
      <c r="G1430" s="3" t="e">
        <f t="shared" si="169"/>
        <v>#N/A</v>
      </c>
      <c r="H1430" s="3" t="e">
        <f t="shared" si="170"/>
        <v>#N/A</v>
      </c>
      <c r="I1430" s="3" t="e">
        <f t="shared" si="171"/>
        <v>#N/A</v>
      </c>
      <c r="J1430" s="2">
        <v>46556</v>
      </c>
      <c r="K1430" s="2">
        <v>11713</v>
      </c>
      <c r="P1430" s="3">
        <f>E1430*(VLOOKUP(B1430,Price_data!A$1:B$190,2,FALSE))</f>
        <v>58.373838276325003</v>
      </c>
      <c r="Q1430" s="3" t="e">
        <f>G1430*(VLOOKUP(B1430,Price_data!A$1:B$190,2,FALSE))</f>
        <v>#N/A</v>
      </c>
      <c r="R1430" s="3" t="e">
        <f>I1430*(VLOOKUP(B1430,Price_data!A$1:B$190,2,FALSE))</f>
        <v>#N/A</v>
      </c>
      <c r="S1430" s="4" t="str">
        <f>(VLOOKUP(B1430,Price_data!A$1:C$190,3,FALSE))</f>
        <v>Open access</v>
      </c>
      <c r="T1430" s="2" t="str">
        <f>IF(C1430="Total", (VLOOKUP(B1430,Recommended_fish_intake!A$4:D$122,4,FALSE)), "NA")</f>
        <v>NA</v>
      </c>
      <c r="U1430" s="2" t="str">
        <f t="shared" si="172"/>
        <v>NA</v>
      </c>
    </row>
    <row r="1431" spans="1:21" ht="14.25" customHeight="1">
      <c r="A1431" s="2" t="s">
        <v>39</v>
      </c>
      <c r="B1431" s="2">
        <v>1975</v>
      </c>
      <c r="C1431" s="2" t="s">
        <v>23</v>
      </c>
      <c r="D1431" s="3">
        <f t="shared" si="166"/>
        <v>72.834000000000003</v>
      </c>
      <c r="E1431" s="3">
        <f t="shared" si="167"/>
        <v>15.454000000000001</v>
      </c>
      <c r="F1431" s="3" t="e">
        <f t="shared" si="168"/>
        <v>#N/A</v>
      </c>
      <c r="G1431" s="3" t="e">
        <f t="shared" si="169"/>
        <v>#N/A</v>
      </c>
      <c r="H1431" s="3" t="e">
        <f t="shared" si="170"/>
        <v>#N/A</v>
      </c>
      <c r="I1431" s="3" t="e">
        <f t="shared" si="171"/>
        <v>#N/A</v>
      </c>
      <c r="J1431" s="2">
        <v>72834</v>
      </c>
      <c r="K1431" s="2">
        <v>15454</v>
      </c>
      <c r="P1431" s="3">
        <f>E1431*(VLOOKUP(B1431,Price_data!A$1:B$190,2,FALSE))</f>
        <v>77.017783379350007</v>
      </c>
      <c r="Q1431" s="3" t="e">
        <f>G1431*(VLOOKUP(B1431,Price_data!A$1:B$190,2,FALSE))</f>
        <v>#N/A</v>
      </c>
      <c r="R1431" s="3" t="e">
        <f>I1431*(VLOOKUP(B1431,Price_data!A$1:B$190,2,FALSE))</f>
        <v>#N/A</v>
      </c>
      <c r="S1431" s="4" t="str">
        <f>(VLOOKUP(B1431,Price_data!A$1:C$190,3,FALSE))</f>
        <v>Open access</v>
      </c>
      <c r="T1431" s="2" t="str">
        <f>IF(C1431="Total", (VLOOKUP(B1431,Recommended_fish_intake!A$4:D$122,4,FALSE)), "NA")</f>
        <v>NA</v>
      </c>
      <c r="U1431" s="2" t="str">
        <f t="shared" si="172"/>
        <v>NA</v>
      </c>
    </row>
    <row r="1432" spans="1:21" ht="14.25" customHeight="1">
      <c r="A1432" s="2" t="s">
        <v>39</v>
      </c>
      <c r="B1432" s="2">
        <v>1975</v>
      </c>
      <c r="C1432" s="2" t="s">
        <v>25</v>
      </c>
      <c r="D1432" s="3">
        <f t="shared" si="166"/>
        <v>3.968</v>
      </c>
      <c r="E1432" s="3">
        <f t="shared" si="167"/>
        <v>1.2130000000000001</v>
      </c>
      <c r="F1432" s="3" t="e">
        <f t="shared" si="168"/>
        <v>#N/A</v>
      </c>
      <c r="G1432" s="3" t="e">
        <f t="shared" si="169"/>
        <v>#N/A</v>
      </c>
      <c r="H1432" s="3" t="e">
        <f t="shared" si="170"/>
        <v>#N/A</v>
      </c>
      <c r="I1432" s="3" t="e">
        <f t="shared" si="171"/>
        <v>#N/A</v>
      </c>
      <c r="J1432" s="2">
        <v>3968</v>
      </c>
      <c r="K1432" s="2">
        <v>1213</v>
      </c>
      <c r="P1432" s="3">
        <f>E1432*(VLOOKUP(B1432,Price_data!A$1:B$190,2,FALSE))</f>
        <v>6.0452032638250008</v>
      </c>
      <c r="Q1432" s="3" t="e">
        <f>G1432*(VLOOKUP(B1432,Price_data!A$1:B$190,2,FALSE))</f>
        <v>#N/A</v>
      </c>
      <c r="R1432" s="3" t="e">
        <f>I1432*(VLOOKUP(B1432,Price_data!A$1:B$190,2,FALSE))</f>
        <v>#N/A</v>
      </c>
      <c r="S1432" s="4" t="str">
        <f>(VLOOKUP(B1432,Price_data!A$1:C$190,3,FALSE))</f>
        <v>Open access</v>
      </c>
      <c r="T1432" s="2" t="str">
        <f>IF(C1432="Total", (VLOOKUP(B1432,Recommended_fish_intake!A$4:D$122,4,FALSE)), "NA")</f>
        <v>NA</v>
      </c>
      <c r="U1432" s="2" t="str">
        <f t="shared" si="172"/>
        <v>NA</v>
      </c>
    </row>
    <row r="1433" spans="1:21" ht="14.25" customHeight="1">
      <c r="A1433" s="2" t="s">
        <v>39</v>
      </c>
      <c r="B1433" s="2">
        <v>1975</v>
      </c>
      <c r="C1433" s="2" t="s">
        <v>38</v>
      </c>
      <c r="D1433" s="3">
        <f t="shared" si="166"/>
        <v>17.667999999999999</v>
      </c>
      <c r="E1433" s="3">
        <f t="shared" si="167"/>
        <v>1.7250000000000001</v>
      </c>
      <c r="F1433" s="3" t="e">
        <f t="shared" si="168"/>
        <v>#N/A</v>
      </c>
      <c r="G1433" s="3" t="e">
        <f t="shared" si="169"/>
        <v>#N/A</v>
      </c>
      <c r="H1433" s="3" t="e">
        <f t="shared" si="170"/>
        <v>#N/A</v>
      </c>
      <c r="I1433" s="3" t="e">
        <f t="shared" si="171"/>
        <v>#N/A</v>
      </c>
      <c r="J1433" s="2">
        <v>17668</v>
      </c>
      <c r="K1433" s="2">
        <v>1725</v>
      </c>
      <c r="P1433" s="3">
        <f>E1433*(VLOOKUP(B1433,Price_data!A$1:B$190,2,FALSE))</f>
        <v>8.5968471806250015</v>
      </c>
      <c r="Q1433" s="3" t="e">
        <f>G1433*(VLOOKUP(B1433,Price_data!A$1:B$190,2,FALSE))</f>
        <v>#N/A</v>
      </c>
      <c r="R1433" s="3" t="e">
        <f>I1433*(VLOOKUP(B1433,Price_data!A$1:B$190,2,FALSE))</f>
        <v>#N/A</v>
      </c>
      <c r="S1433" s="4" t="str">
        <f>(VLOOKUP(B1433,Price_data!A$1:C$190,3,FALSE))</f>
        <v>Open access</v>
      </c>
      <c r="T1433" s="2" t="str">
        <f>IF(C1433="Total", (VLOOKUP(B1433,Recommended_fish_intake!A$4:D$122,4,FALSE)), "NA")</f>
        <v>NA</v>
      </c>
      <c r="U1433" s="2" t="str">
        <f t="shared" si="172"/>
        <v>NA</v>
      </c>
    </row>
    <row r="1434" spans="1:21" ht="14.25" customHeight="1">
      <c r="A1434" s="2" t="s">
        <v>39</v>
      </c>
      <c r="B1434" s="2">
        <v>1975</v>
      </c>
      <c r="C1434" s="2" t="s">
        <v>24</v>
      </c>
      <c r="D1434" s="3">
        <f t="shared" si="166"/>
        <v>37.06</v>
      </c>
      <c r="E1434" s="3">
        <f t="shared" si="167"/>
        <v>5.2809999999999997</v>
      </c>
      <c r="F1434" s="3" t="e">
        <f t="shared" si="168"/>
        <v>#N/A</v>
      </c>
      <c r="G1434" s="3" t="e">
        <f t="shared" si="169"/>
        <v>#N/A</v>
      </c>
      <c r="H1434" s="3" t="e">
        <f t="shared" si="170"/>
        <v>#N/A</v>
      </c>
      <c r="I1434" s="3" t="e">
        <f t="shared" si="171"/>
        <v>#N/A</v>
      </c>
      <c r="J1434" s="2">
        <v>37060</v>
      </c>
      <c r="K1434" s="2">
        <v>5281</v>
      </c>
      <c r="P1434" s="3">
        <f>E1434*(VLOOKUP(B1434,Price_data!A$1:B$190,2,FALSE))</f>
        <v>26.318811571525</v>
      </c>
      <c r="Q1434" s="3" t="e">
        <f>G1434*(VLOOKUP(B1434,Price_data!A$1:B$190,2,FALSE))</f>
        <v>#N/A</v>
      </c>
      <c r="R1434" s="3" t="e">
        <f>I1434*(VLOOKUP(B1434,Price_data!A$1:B$190,2,FALSE))</f>
        <v>#N/A</v>
      </c>
      <c r="S1434" s="4" t="str">
        <f>(VLOOKUP(B1434,Price_data!A$1:C$190,3,FALSE))</f>
        <v>Open access</v>
      </c>
      <c r="T1434" s="2" t="str">
        <f>IF(C1434="Total", (VLOOKUP(B1434,Recommended_fish_intake!A$4:D$122,4,FALSE)), "NA")</f>
        <v>NA</v>
      </c>
      <c r="U1434" s="2" t="str">
        <f t="shared" si="172"/>
        <v>NA</v>
      </c>
    </row>
    <row r="1435" spans="1:21" ht="14.25" customHeight="1">
      <c r="A1435" s="2" t="s">
        <v>39</v>
      </c>
      <c r="B1435" s="2">
        <v>1975</v>
      </c>
      <c r="C1435" s="2" t="s">
        <v>19</v>
      </c>
      <c r="D1435" s="3">
        <f t="shared" si="166"/>
        <v>98.506</v>
      </c>
      <c r="E1435" s="3">
        <f t="shared" si="167"/>
        <v>9.5860000000000003</v>
      </c>
      <c r="F1435" s="3" t="e">
        <f t="shared" si="168"/>
        <v>#N/A</v>
      </c>
      <c r="G1435" s="3" t="e">
        <f t="shared" si="169"/>
        <v>#N/A</v>
      </c>
      <c r="H1435" s="3" t="e">
        <f t="shared" si="170"/>
        <v>#N/A</v>
      </c>
      <c r="I1435" s="3" t="e">
        <f t="shared" si="171"/>
        <v>#N/A</v>
      </c>
      <c r="J1435" s="2">
        <v>98506</v>
      </c>
      <c r="K1435" s="2">
        <v>9586</v>
      </c>
      <c r="P1435" s="3">
        <f>E1435*(VLOOKUP(B1435,Price_data!A$1:B$190,2,FALSE))</f>
        <v>47.773551926650008</v>
      </c>
      <c r="Q1435" s="3" t="e">
        <f>G1435*(VLOOKUP(B1435,Price_data!A$1:B$190,2,FALSE))</f>
        <v>#N/A</v>
      </c>
      <c r="R1435" s="3" t="e">
        <f>I1435*(VLOOKUP(B1435,Price_data!A$1:B$190,2,FALSE))</f>
        <v>#N/A</v>
      </c>
      <c r="S1435" s="4" t="str">
        <f>(VLOOKUP(B1435,Price_data!A$1:C$190,3,FALSE))</f>
        <v>Open access</v>
      </c>
      <c r="T1435" s="2" t="str">
        <f>IF(C1435="Total", (VLOOKUP(B1435,Recommended_fish_intake!A$4:D$122,4,FALSE)), "NA")</f>
        <v>NA</v>
      </c>
      <c r="U1435" s="2" t="str">
        <f t="shared" si="172"/>
        <v>NA</v>
      </c>
    </row>
    <row r="1436" spans="1:21" ht="14.25" customHeight="1">
      <c r="A1436" s="2" t="s">
        <v>39</v>
      </c>
      <c r="B1436" s="2">
        <v>1975</v>
      </c>
      <c r="C1436" s="2" t="s">
        <v>20</v>
      </c>
      <c r="D1436" s="3">
        <f t="shared" si="166"/>
        <v>16.756</v>
      </c>
      <c r="E1436" s="3">
        <f t="shared" si="167"/>
        <v>0.55400000000000005</v>
      </c>
      <c r="F1436" s="3" t="e">
        <f t="shared" si="168"/>
        <v>#N/A</v>
      </c>
      <c r="G1436" s="3" t="e">
        <f t="shared" si="169"/>
        <v>#N/A</v>
      </c>
      <c r="H1436" s="3" t="e">
        <f t="shared" si="170"/>
        <v>#N/A</v>
      </c>
      <c r="I1436" s="3" t="e">
        <f t="shared" si="171"/>
        <v>#N/A</v>
      </c>
      <c r="J1436" s="2">
        <v>16756</v>
      </c>
      <c r="K1436" s="2">
        <v>554</v>
      </c>
      <c r="P1436" s="3">
        <f>E1436*(VLOOKUP(B1436,Price_data!A$1:B$190,2,FALSE))</f>
        <v>2.7609584568500005</v>
      </c>
      <c r="Q1436" s="3" t="e">
        <f>G1436*(VLOOKUP(B1436,Price_data!A$1:B$190,2,FALSE))</f>
        <v>#N/A</v>
      </c>
      <c r="R1436" s="3" t="e">
        <f>I1436*(VLOOKUP(B1436,Price_data!A$1:B$190,2,FALSE))</f>
        <v>#N/A</v>
      </c>
      <c r="S1436" s="4" t="str">
        <f>(VLOOKUP(B1436,Price_data!A$1:C$190,3,FALSE))</f>
        <v>Open access</v>
      </c>
      <c r="T1436" s="2" t="str">
        <f>IF(C1436="Total", (VLOOKUP(B1436,Recommended_fish_intake!A$4:D$122,4,FALSE)), "NA")</f>
        <v>NA</v>
      </c>
      <c r="U1436" s="2" t="str">
        <f t="shared" si="172"/>
        <v>NA</v>
      </c>
    </row>
    <row r="1437" spans="1:21" ht="14.25" customHeight="1">
      <c r="A1437" s="2" t="s">
        <v>39</v>
      </c>
      <c r="B1437" s="2">
        <v>1975</v>
      </c>
      <c r="C1437" s="2" t="s">
        <v>21</v>
      </c>
      <c r="D1437" s="3">
        <f t="shared" si="166"/>
        <v>22.353999999999999</v>
      </c>
      <c r="E1437" s="3">
        <f t="shared" si="167"/>
        <v>0.62</v>
      </c>
      <c r="F1437" s="3" t="e">
        <f t="shared" si="168"/>
        <v>#N/A</v>
      </c>
      <c r="G1437" s="3" t="e">
        <f t="shared" si="169"/>
        <v>#N/A</v>
      </c>
      <c r="H1437" s="3" t="e">
        <f t="shared" si="170"/>
        <v>#N/A</v>
      </c>
      <c r="I1437" s="3" t="e">
        <f t="shared" si="171"/>
        <v>#N/A</v>
      </c>
      <c r="J1437" s="2">
        <v>22354</v>
      </c>
      <c r="K1437" s="2">
        <v>620</v>
      </c>
      <c r="P1437" s="3">
        <f>E1437*(VLOOKUP(B1437,Price_data!A$1:B$190,2,FALSE))</f>
        <v>3.0898813055000001</v>
      </c>
      <c r="Q1437" s="3" t="e">
        <f>G1437*(VLOOKUP(B1437,Price_data!A$1:B$190,2,FALSE))</f>
        <v>#N/A</v>
      </c>
      <c r="R1437" s="3" t="e">
        <f>I1437*(VLOOKUP(B1437,Price_data!A$1:B$190,2,FALSE))</f>
        <v>#N/A</v>
      </c>
      <c r="S1437" s="4" t="str">
        <f>(VLOOKUP(B1437,Price_data!A$1:C$190,3,FALSE))</f>
        <v>Open access</v>
      </c>
      <c r="T1437" s="2" t="str">
        <f>IF(C1437="Total", (VLOOKUP(B1437,Recommended_fish_intake!A$4:D$122,4,FALSE)), "NA")</f>
        <v>NA</v>
      </c>
      <c r="U1437" s="2" t="str">
        <f t="shared" si="172"/>
        <v>NA</v>
      </c>
    </row>
    <row r="1438" spans="1:21" ht="14.25" customHeight="1">
      <c r="A1438" s="2" t="s">
        <v>39</v>
      </c>
      <c r="B1438" s="2">
        <v>1975</v>
      </c>
      <c r="C1438" s="2" t="s">
        <v>37</v>
      </c>
      <c r="D1438" s="3">
        <f t="shared" si="166"/>
        <v>387.58800000000002</v>
      </c>
      <c r="E1438" s="3">
        <f t="shared" si="167"/>
        <v>51.835000000000001</v>
      </c>
      <c r="F1438" s="3" t="e">
        <f t="shared" si="168"/>
        <v>#N/A</v>
      </c>
      <c r="G1438" s="3" t="e">
        <f t="shared" si="169"/>
        <v>#N/A</v>
      </c>
      <c r="H1438" s="3" t="e">
        <f t="shared" si="170"/>
        <v>#N/A</v>
      </c>
      <c r="I1438" s="3" t="e">
        <f t="shared" si="171"/>
        <v>#N/A</v>
      </c>
      <c r="J1438" s="2">
        <v>387588</v>
      </c>
      <c r="K1438" s="2">
        <v>51835</v>
      </c>
      <c r="P1438" s="3">
        <f>E1438*(VLOOKUP(B1438,Price_data!A$1:B$190,2,FALSE))</f>
        <v>258.32902817837504</v>
      </c>
      <c r="Q1438" s="3" t="e">
        <f>G1438*(VLOOKUP(B1438,Price_data!A$1:B$190,2,FALSE))</f>
        <v>#N/A</v>
      </c>
      <c r="R1438" s="3" t="e">
        <f>I1438*(VLOOKUP(B1438,Price_data!A$1:B$190,2,FALSE))</f>
        <v>#N/A</v>
      </c>
      <c r="S1438" s="4" t="str">
        <f>(VLOOKUP(B1438,Price_data!A$1:C$190,3,FALSE))</f>
        <v>Open access</v>
      </c>
      <c r="T1438" s="2" t="str">
        <f>IF(C1438="Total", (VLOOKUP(B1438,Recommended_fish_intake!A$4:D$122,4,FALSE)), "NA")</f>
        <v>NA</v>
      </c>
      <c r="U1438" s="2">
        <f t="shared" si="172"/>
        <v>189.91812000000002</v>
      </c>
    </row>
    <row r="1439" spans="1:21" ht="14.25" customHeight="1">
      <c r="A1439" s="2" t="s">
        <v>39</v>
      </c>
      <c r="B1439" s="2">
        <v>1975</v>
      </c>
      <c r="C1439" s="2" t="s">
        <v>36</v>
      </c>
      <c r="D1439" s="3">
        <f t="shared" si="166"/>
        <v>1.6859999999999999</v>
      </c>
      <c r="E1439" s="3">
        <f t="shared" si="167"/>
        <v>0.19900000000000001</v>
      </c>
      <c r="F1439" s="3" t="e">
        <f t="shared" si="168"/>
        <v>#N/A</v>
      </c>
      <c r="G1439" s="3" t="e">
        <f t="shared" si="169"/>
        <v>#N/A</v>
      </c>
      <c r="H1439" s="3" t="e">
        <f t="shared" si="170"/>
        <v>#N/A</v>
      </c>
      <c r="I1439" s="3" t="e">
        <f t="shared" si="171"/>
        <v>#N/A</v>
      </c>
      <c r="J1439" s="2">
        <v>1686</v>
      </c>
      <c r="K1439" s="2">
        <v>199</v>
      </c>
      <c r="P1439" s="3">
        <f>E1439*(VLOOKUP(B1439,Price_data!A$1:B$190,2,FALSE))</f>
        <v>0.99175222547500008</v>
      </c>
      <c r="Q1439" s="3" t="e">
        <f>G1439*(VLOOKUP(B1439,Price_data!A$1:B$190,2,FALSE))</f>
        <v>#N/A</v>
      </c>
      <c r="R1439" s="3" t="e">
        <f>I1439*(VLOOKUP(B1439,Price_data!A$1:B$190,2,FALSE))</f>
        <v>#N/A</v>
      </c>
      <c r="S1439" s="4" t="str">
        <f>(VLOOKUP(B1439,Price_data!A$1:C$190,3,FALSE))</f>
        <v>Open access</v>
      </c>
      <c r="T1439" s="2" t="str">
        <f>IF(C1439="Total", (VLOOKUP(B1439,Recommended_fish_intake!A$4:D$122,4,FALSE)), "NA")</f>
        <v>NA</v>
      </c>
      <c r="U1439" s="2" t="str">
        <f t="shared" si="172"/>
        <v>NA</v>
      </c>
    </row>
    <row r="1440" spans="1:21" ht="14.25" customHeight="1">
      <c r="A1440" s="2" t="s">
        <v>39</v>
      </c>
      <c r="B1440" s="2">
        <v>1975</v>
      </c>
      <c r="C1440" s="2" t="s">
        <v>34</v>
      </c>
      <c r="D1440" s="3">
        <f t="shared" si="166"/>
        <v>0.503</v>
      </c>
      <c r="E1440" s="3">
        <f t="shared" si="167"/>
        <v>1.571</v>
      </c>
      <c r="F1440" s="3" t="e">
        <f t="shared" si="168"/>
        <v>#N/A</v>
      </c>
      <c r="G1440" s="3" t="e">
        <f t="shared" si="169"/>
        <v>#N/A</v>
      </c>
      <c r="H1440" s="3" t="e">
        <f t="shared" si="170"/>
        <v>#N/A</v>
      </c>
      <c r="I1440" s="3" t="e">
        <f t="shared" si="171"/>
        <v>#N/A</v>
      </c>
      <c r="J1440" s="2">
        <v>503</v>
      </c>
      <c r="K1440" s="2">
        <v>1571</v>
      </c>
      <c r="P1440" s="3">
        <f>E1440*(VLOOKUP(B1440,Price_data!A$1:B$190,2,FALSE))</f>
        <v>7.8293605337750005</v>
      </c>
      <c r="Q1440" s="3" t="e">
        <f>G1440*(VLOOKUP(B1440,Price_data!A$1:B$190,2,FALSE))</f>
        <v>#N/A</v>
      </c>
      <c r="R1440" s="3" t="e">
        <f>I1440*(VLOOKUP(B1440,Price_data!A$1:B$190,2,FALSE))</f>
        <v>#N/A</v>
      </c>
      <c r="S1440" s="4" t="str">
        <f>(VLOOKUP(B1440,Price_data!A$1:C$190,3,FALSE))</f>
        <v>Open access</v>
      </c>
      <c r="T1440" s="2" t="str">
        <f>IF(C1440="Total", (VLOOKUP(B1440,Recommended_fish_intake!A$4:D$122,4,FALSE)), "NA")</f>
        <v>NA</v>
      </c>
      <c r="U1440" s="2" t="str">
        <f t="shared" si="172"/>
        <v>NA</v>
      </c>
    </row>
    <row r="1441" spans="1:21" ht="14.25" customHeight="1">
      <c r="A1441" s="2" t="s">
        <v>39</v>
      </c>
      <c r="B1441" s="2">
        <v>1975</v>
      </c>
      <c r="C1441" s="2" t="s">
        <v>35</v>
      </c>
      <c r="D1441" s="3">
        <f t="shared" si="166"/>
        <v>8.2230000000000008</v>
      </c>
      <c r="E1441" s="3">
        <f t="shared" si="167"/>
        <v>3.9159999999999999</v>
      </c>
      <c r="F1441" s="3" t="e">
        <f t="shared" si="168"/>
        <v>#N/A</v>
      </c>
      <c r="G1441" s="3" t="e">
        <f t="shared" si="169"/>
        <v>#N/A</v>
      </c>
      <c r="H1441" s="3" t="e">
        <f t="shared" si="170"/>
        <v>#N/A</v>
      </c>
      <c r="I1441" s="3" t="e">
        <f t="shared" si="171"/>
        <v>#N/A</v>
      </c>
      <c r="J1441" s="2">
        <v>8223</v>
      </c>
      <c r="K1441" s="2">
        <v>3916</v>
      </c>
      <c r="P1441" s="3">
        <f>E1441*(VLOOKUP(B1441,Price_data!A$1:B$190,2,FALSE))</f>
        <v>19.516089019900001</v>
      </c>
      <c r="Q1441" s="3" t="e">
        <f>G1441*(VLOOKUP(B1441,Price_data!A$1:B$190,2,FALSE))</f>
        <v>#N/A</v>
      </c>
      <c r="R1441" s="3" t="e">
        <f>I1441*(VLOOKUP(B1441,Price_data!A$1:B$190,2,FALSE))</f>
        <v>#N/A</v>
      </c>
      <c r="S1441" s="4" t="str">
        <f>(VLOOKUP(B1441,Price_data!A$1:C$190,3,FALSE))</f>
        <v>Open access</v>
      </c>
      <c r="T1441" s="2" t="str">
        <f>IF(C1441="Total", (VLOOKUP(B1441,Recommended_fish_intake!A$4:D$122,4,FALSE)), "NA")</f>
        <v>NA</v>
      </c>
      <c r="U1441" s="2" t="str">
        <f t="shared" si="172"/>
        <v>NA</v>
      </c>
    </row>
    <row r="1442" spans="1:21" ht="14.25" customHeight="1">
      <c r="A1442" s="2" t="s">
        <v>39</v>
      </c>
      <c r="B1442" s="2">
        <v>1975</v>
      </c>
      <c r="C1442" s="2" t="s">
        <v>30</v>
      </c>
      <c r="D1442" s="3">
        <f t="shared" si="166"/>
        <v>0.53800000000000003</v>
      </c>
      <c r="E1442" s="3">
        <f t="shared" si="167"/>
        <v>0.188</v>
      </c>
      <c r="F1442" s="3" t="e">
        <f t="shared" si="168"/>
        <v>#N/A</v>
      </c>
      <c r="G1442" s="3" t="e">
        <f t="shared" si="169"/>
        <v>#N/A</v>
      </c>
      <c r="H1442" s="3" t="e">
        <f t="shared" si="170"/>
        <v>#N/A</v>
      </c>
      <c r="I1442" s="3" t="e">
        <f t="shared" si="171"/>
        <v>#N/A</v>
      </c>
      <c r="J1442" s="2">
        <v>538</v>
      </c>
      <c r="K1442" s="2">
        <v>188</v>
      </c>
      <c r="P1442" s="3">
        <f>E1442*(VLOOKUP(B1442,Price_data!A$1:B$190,2,FALSE))</f>
        <v>0.93693175070000001</v>
      </c>
      <c r="Q1442" s="3" t="e">
        <f>G1442*(VLOOKUP(B1442,Price_data!A$1:B$190,2,FALSE))</f>
        <v>#N/A</v>
      </c>
      <c r="R1442" s="3" t="e">
        <f>I1442*(VLOOKUP(B1442,Price_data!A$1:B$190,2,FALSE))</f>
        <v>#N/A</v>
      </c>
      <c r="S1442" s="4" t="str">
        <f>(VLOOKUP(B1442,Price_data!A$1:C$190,3,FALSE))</f>
        <v>Open access</v>
      </c>
      <c r="T1442" s="2" t="str">
        <f>IF(C1442="Total", (VLOOKUP(B1442,Recommended_fish_intake!A$4:D$122,4,FALSE)), "NA")</f>
        <v>NA</v>
      </c>
      <c r="U1442" s="2" t="str">
        <f t="shared" si="172"/>
        <v>NA</v>
      </c>
    </row>
    <row r="1443" spans="1:21" ht="14.25" customHeight="1">
      <c r="A1443" s="2" t="s">
        <v>39</v>
      </c>
      <c r="B1443" s="2">
        <v>1975</v>
      </c>
      <c r="C1443" s="2" t="s">
        <v>28</v>
      </c>
      <c r="D1443" s="3">
        <f t="shared" si="166"/>
        <v>21.611000000000001</v>
      </c>
      <c r="E1443" s="3">
        <f t="shared" si="167"/>
        <v>7.4320000000000004</v>
      </c>
      <c r="F1443" s="3" t="e">
        <f t="shared" si="168"/>
        <v>#N/A</v>
      </c>
      <c r="G1443" s="3" t="e">
        <f t="shared" si="169"/>
        <v>#N/A</v>
      </c>
      <c r="H1443" s="3" t="e">
        <f t="shared" si="170"/>
        <v>#N/A</v>
      </c>
      <c r="I1443" s="3" t="e">
        <f t="shared" si="171"/>
        <v>#N/A</v>
      </c>
      <c r="J1443" s="2">
        <v>21611</v>
      </c>
      <c r="K1443" s="2">
        <v>7432</v>
      </c>
      <c r="P1443" s="3">
        <f>E1443*(VLOOKUP(B1443,Price_data!A$1:B$190,2,FALSE))</f>
        <v>37.038706229800006</v>
      </c>
      <c r="Q1443" s="3" t="e">
        <f>G1443*(VLOOKUP(B1443,Price_data!A$1:B$190,2,FALSE))</f>
        <v>#N/A</v>
      </c>
      <c r="R1443" s="3" t="e">
        <f>I1443*(VLOOKUP(B1443,Price_data!A$1:B$190,2,FALSE))</f>
        <v>#N/A</v>
      </c>
      <c r="S1443" s="4" t="str">
        <f>(VLOOKUP(B1443,Price_data!A$1:C$190,3,FALSE))</f>
        <v>Open access</v>
      </c>
      <c r="T1443" s="2" t="str">
        <f>IF(C1443="Total", (VLOOKUP(B1443,Recommended_fish_intake!A$4:D$122,4,FALSE)), "NA")</f>
        <v>NA</v>
      </c>
      <c r="U1443" s="2">
        <f t="shared" si="172"/>
        <v>6.0510800000000007</v>
      </c>
    </row>
    <row r="1444" spans="1:21" ht="14.25" customHeight="1">
      <c r="A1444" s="2" t="s">
        <v>40</v>
      </c>
      <c r="B1444" s="2">
        <v>1975</v>
      </c>
      <c r="C1444" s="2" t="s">
        <v>22</v>
      </c>
      <c r="D1444" s="3">
        <f t="shared" si="166"/>
        <v>0.96299999999999997</v>
      </c>
      <c r="E1444" s="3">
        <f t="shared" si="167"/>
        <v>0.17699999999999999</v>
      </c>
      <c r="F1444" s="3" t="e">
        <f t="shared" si="168"/>
        <v>#N/A</v>
      </c>
      <c r="G1444" s="3" t="e">
        <f t="shared" si="169"/>
        <v>#N/A</v>
      </c>
      <c r="H1444" s="3" t="e">
        <f t="shared" si="170"/>
        <v>#N/A</v>
      </c>
      <c r="I1444" s="3" t="e">
        <f t="shared" si="171"/>
        <v>#N/A</v>
      </c>
      <c r="J1444" s="2">
        <v>963</v>
      </c>
      <c r="K1444" s="2">
        <v>177</v>
      </c>
      <c r="P1444" s="3">
        <f>E1444*(VLOOKUP(B1444,Price_data!A$1:B$190,2,FALSE))</f>
        <v>0.88211127592500005</v>
      </c>
      <c r="Q1444" s="3" t="e">
        <f>G1444*(VLOOKUP(B1444,Price_data!A$1:B$190,2,FALSE))</f>
        <v>#N/A</v>
      </c>
      <c r="R1444" s="3" t="e">
        <f>I1444*(VLOOKUP(B1444,Price_data!A$1:B$190,2,FALSE))</f>
        <v>#N/A</v>
      </c>
      <c r="S1444" s="4" t="str">
        <f>(VLOOKUP(B1444,Price_data!A$1:C$190,3,FALSE))</f>
        <v>Open access</v>
      </c>
      <c r="T1444" s="2" t="str">
        <f>IF(C1444="Total", (VLOOKUP(B1444,Recommended_fish_intake!A$4:D$122,4,FALSE)), "NA")</f>
        <v>NA</v>
      </c>
      <c r="U1444" s="2" t="str">
        <f t="shared" si="172"/>
        <v>NA</v>
      </c>
    </row>
    <row r="1445" spans="1:21" ht="14.25" customHeight="1">
      <c r="A1445" s="2" t="s">
        <v>40</v>
      </c>
      <c r="B1445" s="2">
        <v>1975</v>
      </c>
      <c r="C1445" s="2" t="s">
        <v>23</v>
      </c>
      <c r="D1445" s="3">
        <f t="shared" si="166"/>
        <v>1.2999999999999999E-2</v>
      </c>
      <c r="E1445" s="3">
        <f t="shared" si="167"/>
        <v>2E-3</v>
      </c>
      <c r="F1445" s="3" t="e">
        <f t="shared" si="168"/>
        <v>#N/A</v>
      </c>
      <c r="G1445" s="3" t="e">
        <f t="shared" si="169"/>
        <v>#N/A</v>
      </c>
      <c r="H1445" s="3" t="e">
        <f t="shared" si="170"/>
        <v>#N/A</v>
      </c>
      <c r="I1445" s="3" t="e">
        <f t="shared" si="171"/>
        <v>#N/A</v>
      </c>
      <c r="J1445" s="2">
        <v>13</v>
      </c>
      <c r="K1445" s="2">
        <v>2</v>
      </c>
      <c r="P1445" s="3">
        <f>E1445*(VLOOKUP(B1445,Price_data!A$1:B$190,2,FALSE))</f>
        <v>9.967359050000001E-3</v>
      </c>
      <c r="Q1445" s="3" t="e">
        <f>G1445*(VLOOKUP(B1445,Price_data!A$1:B$190,2,FALSE))</f>
        <v>#N/A</v>
      </c>
      <c r="R1445" s="3" t="e">
        <f>I1445*(VLOOKUP(B1445,Price_data!A$1:B$190,2,FALSE))</f>
        <v>#N/A</v>
      </c>
      <c r="S1445" s="4" t="str">
        <f>(VLOOKUP(B1445,Price_data!A$1:C$190,3,FALSE))</f>
        <v>Open access</v>
      </c>
      <c r="T1445" s="2" t="str">
        <f>IF(C1445="Total", (VLOOKUP(B1445,Recommended_fish_intake!A$4:D$122,4,FALSE)), "NA")</f>
        <v>NA</v>
      </c>
      <c r="U1445" s="2" t="str">
        <f t="shared" si="172"/>
        <v>NA</v>
      </c>
    </row>
    <row r="1446" spans="1:21" ht="14.25" customHeight="1">
      <c r="A1446" s="2" t="s">
        <v>40</v>
      </c>
      <c r="B1446" s="2">
        <v>1975</v>
      </c>
      <c r="C1446" s="2" t="s">
        <v>25</v>
      </c>
      <c r="D1446" s="3">
        <f t="shared" si="166"/>
        <v>0.11600000000000001</v>
      </c>
      <c r="E1446" s="3">
        <f t="shared" si="167"/>
        <v>2.1000000000000001E-2</v>
      </c>
      <c r="F1446" s="3" t="e">
        <f t="shared" si="168"/>
        <v>#N/A</v>
      </c>
      <c r="G1446" s="3" t="e">
        <f t="shared" si="169"/>
        <v>#N/A</v>
      </c>
      <c r="H1446" s="3" t="e">
        <f t="shared" si="170"/>
        <v>#N/A</v>
      </c>
      <c r="I1446" s="3" t="e">
        <f t="shared" si="171"/>
        <v>#N/A</v>
      </c>
      <c r="J1446" s="2">
        <v>116</v>
      </c>
      <c r="K1446" s="2">
        <v>21</v>
      </c>
      <c r="P1446" s="3">
        <f>E1446*(VLOOKUP(B1446,Price_data!A$1:B$190,2,FALSE))</f>
        <v>0.10465727002500001</v>
      </c>
      <c r="Q1446" s="3" t="e">
        <f>G1446*(VLOOKUP(B1446,Price_data!A$1:B$190,2,FALSE))</f>
        <v>#N/A</v>
      </c>
      <c r="R1446" s="3" t="e">
        <f>I1446*(VLOOKUP(B1446,Price_data!A$1:B$190,2,FALSE))</f>
        <v>#N/A</v>
      </c>
      <c r="S1446" s="4" t="str">
        <f>(VLOOKUP(B1446,Price_data!A$1:C$190,3,FALSE))</f>
        <v>Open access</v>
      </c>
      <c r="T1446" s="2" t="str">
        <f>IF(C1446="Total", (VLOOKUP(B1446,Recommended_fish_intake!A$4:D$122,4,FALSE)), "NA")</f>
        <v>NA</v>
      </c>
      <c r="U1446" s="2" t="str">
        <f t="shared" si="172"/>
        <v>NA</v>
      </c>
    </row>
    <row r="1447" spans="1:21" ht="14.25" customHeight="1">
      <c r="A1447" s="2" t="s">
        <v>40</v>
      </c>
      <c r="B1447" s="2">
        <v>1975</v>
      </c>
      <c r="C1447" s="2" t="s">
        <v>38</v>
      </c>
      <c r="D1447" s="3">
        <f t="shared" si="166"/>
        <v>0.29399999999999998</v>
      </c>
      <c r="E1447" s="3">
        <f t="shared" si="167"/>
        <v>2.7E-2</v>
      </c>
      <c r="F1447" s="3" t="e">
        <f t="shared" si="168"/>
        <v>#N/A</v>
      </c>
      <c r="G1447" s="3" t="e">
        <f t="shared" si="169"/>
        <v>#N/A</v>
      </c>
      <c r="H1447" s="3" t="e">
        <f t="shared" si="170"/>
        <v>#N/A</v>
      </c>
      <c r="I1447" s="3" t="e">
        <f t="shared" si="171"/>
        <v>#N/A</v>
      </c>
      <c r="J1447" s="2">
        <v>294</v>
      </c>
      <c r="K1447" s="2">
        <v>27</v>
      </c>
      <c r="P1447" s="3">
        <f>E1447*(VLOOKUP(B1447,Price_data!A$1:B$190,2,FALSE))</f>
        <v>0.13455934717500001</v>
      </c>
      <c r="Q1447" s="3" t="e">
        <f>G1447*(VLOOKUP(B1447,Price_data!A$1:B$190,2,FALSE))</f>
        <v>#N/A</v>
      </c>
      <c r="R1447" s="3" t="e">
        <f>I1447*(VLOOKUP(B1447,Price_data!A$1:B$190,2,FALSE))</f>
        <v>#N/A</v>
      </c>
      <c r="S1447" s="4" t="str">
        <f>(VLOOKUP(B1447,Price_data!A$1:C$190,3,FALSE))</f>
        <v>Open access</v>
      </c>
      <c r="T1447" s="2" t="str">
        <f>IF(C1447="Total", (VLOOKUP(B1447,Recommended_fish_intake!A$4:D$122,4,FALSE)), "NA")</f>
        <v>NA</v>
      </c>
      <c r="U1447" s="2" t="str">
        <f t="shared" si="172"/>
        <v>NA</v>
      </c>
    </row>
    <row r="1448" spans="1:21" ht="14.25" customHeight="1">
      <c r="A1448" s="2" t="s">
        <v>40</v>
      </c>
      <c r="B1448" s="2">
        <v>1975</v>
      </c>
      <c r="C1448" s="2" t="s">
        <v>24</v>
      </c>
      <c r="D1448" s="3">
        <f t="shared" ref="D1448:D1511" si="173">J1448/1000</f>
        <v>2.0219999999999998</v>
      </c>
      <c r="E1448" s="3">
        <f t="shared" ref="E1448:E1511" si="174">K1448/1000</f>
        <v>0.25</v>
      </c>
      <c r="F1448" s="3" t="e">
        <f t="shared" ref="F1448:F1511" si="175">IF(L1448="", NA(), L1448/1000)</f>
        <v>#N/A</v>
      </c>
      <c r="G1448" s="3" t="e">
        <f t="shared" ref="G1448:G1511" si="176">IF(M1448="", NA(), M1448/1000)</f>
        <v>#N/A</v>
      </c>
      <c r="H1448" s="3" t="e">
        <f t="shared" ref="H1448:H1511" si="177">IF(N1448="", NA(), N1448/1000)</f>
        <v>#N/A</v>
      </c>
      <c r="I1448" s="3" t="e">
        <f t="shared" ref="I1448:I1511" si="178">IF(O1448="", NA(), O1448/1000)</f>
        <v>#N/A</v>
      </c>
      <c r="J1448" s="2">
        <v>2022</v>
      </c>
      <c r="K1448" s="2">
        <v>250</v>
      </c>
      <c r="P1448" s="3">
        <f>E1448*(VLOOKUP(B1448,Price_data!A$1:B$190,2,FALSE))</f>
        <v>1.2459198812500001</v>
      </c>
      <c r="Q1448" s="3" t="e">
        <f>G1448*(VLOOKUP(B1448,Price_data!A$1:B$190,2,FALSE))</f>
        <v>#N/A</v>
      </c>
      <c r="R1448" s="3" t="e">
        <f>I1448*(VLOOKUP(B1448,Price_data!A$1:B$190,2,FALSE))</f>
        <v>#N/A</v>
      </c>
      <c r="S1448" s="4" t="str">
        <f>(VLOOKUP(B1448,Price_data!A$1:C$190,3,FALSE))</f>
        <v>Open access</v>
      </c>
      <c r="T1448" s="2" t="str">
        <f>IF(C1448="Total", (VLOOKUP(B1448,Recommended_fish_intake!A$4:D$122,4,FALSE)), "NA")</f>
        <v>NA</v>
      </c>
      <c r="U1448" s="2" t="str">
        <f t="shared" si="172"/>
        <v>NA</v>
      </c>
    </row>
    <row r="1449" spans="1:21" ht="14.25" customHeight="1">
      <c r="A1449" s="2" t="s">
        <v>40</v>
      </c>
      <c r="B1449" s="2">
        <v>1975</v>
      </c>
      <c r="C1449" s="2" t="s">
        <v>19</v>
      </c>
      <c r="D1449" s="3">
        <f t="shared" si="173"/>
        <v>5.6040000000000001</v>
      </c>
      <c r="E1449" s="3">
        <f t="shared" si="174"/>
        <v>0.58799999999999997</v>
      </c>
      <c r="F1449" s="3" t="e">
        <f t="shared" si="175"/>
        <v>#N/A</v>
      </c>
      <c r="G1449" s="3" t="e">
        <f t="shared" si="176"/>
        <v>#N/A</v>
      </c>
      <c r="H1449" s="3" t="e">
        <f t="shared" si="177"/>
        <v>#N/A</v>
      </c>
      <c r="I1449" s="3" t="e">
        <f t="shared" si="178"/>
        <v>#N/A</v>
      </c>
      <c r="J1449" s="2">
        <v>5604</v>
      </c>
      <c r="K1449" s="2">
        <v>588</v>
      </c>
      <c r="P1449" s="3">
        <f>E1449*(VLOOKUP(B1449,Price_data!A$1:B$190,2,FALSE))</f>
        <v>2.9304035606999999</v>
      </c>
      <c r="Q1449" s="3" t="e">
        <f>G1449*(VLOOKUP(B1449,Price_data!A$1:B$190,2,FALSE))</f>
        <v>#N/A</v>
      </c>
      <c r="R1449" s="3" t="e">
        <f>I1449*(VLOOKUP(B1449,Price_data!A$1:B$190,2,FALSE))</f>
        <v>#N/A</v>
      </c>
      <c r="S1449" s="4" t="str">
        <f>(VLOOKUP(B1449,Price_data!A$1:C$190,3,FALSE))</f>
        <v>Open access</v>
      </c>
      <c r="T1449" s="2" t="str">
        <f>IF(C1449="Total", (VLOOKUP(B1449,Recommended_fish_intake!A$4:D$122,4,FALSE)), "NA")</f>
        <v>NA</v>
      </c>
      <c r="U1449" s="2" t="str">
        <f t="shared" si="172"/>
        <v>NA</v>
      </c>
    </row>
    <row r="1450" spans="1:21" ht="14.25" customHeight="1">
      <c r="A1450" s="2" t="s">
        <v>40</v>
      </c>
      <c r="B1450" s="2">
        <v>1975</v>
      </c>
      <c r="C1450" s="2" t="s">
        <v>20</v>
      </c>
      <c r="D1450" s="3">
        <f t="shared" si="173"/>
        <v>0.03</v>
      </c>
      <c r="E1450" s="3">
        <f t="shared" si="174"/>
        <v>2E-3</v>
      </c>
      <c r="F1450" s="3" t="e">
        <f t="shared" si="175"/>
        <v>#N/A</v>
      </c>
      <c r="G1450" s="3" t="e">
        <f t="shared" si="176"/>
        <v>#N/A</v>
      </c>
      <c r="H1450" s="3" t="e">
        <f t="shared" si="177"/>
        <v>#N/A</v>
      </c>
      <c r="I1450" s="3" t="e">
        <f t="shared" si="178"/>
        <v>#N/A</v>
      </c>
      <c r="J1450" s="2">
        <v>30</v>
      </c>
      <c r="K1450" s="2">
        <v>2</v>
      </c>
      <c r="P1450" s="3">
        <f>E1450*(VLOOKUP(B1450,Price_data!A$1:B$190,2,FALSE))</f>
        <v>9.967359050000001E-3</v>
      </c>
      <c r="Q1450" s="3" t="e">
        <f>G1450*(VLOOKUP(B1450,Price_data!A$1:B$190,2,FALSE))</f>
        <v>#N/A</v>
      </c>
      <c r="R1450" s="3" t="e">
        <f>I1450*(VLOOKUP(B1450,Price_data!A$1:B$190,2,FALSE))</f>
        <v>#N/A</v>
      </c>
      <c r="S1450" s="4" t="str">
        <f>(VLOOKUP(B1450,Price_data!A$1:C$190,3,FALSE))</f>
        <v>Open access</v>
      </c>
      <c r="T1450" s="2" t="str">
        <f>IF(C1450="Total", (VLOOKUP(B1450,Recommended_fish_intake!A$4:D$122,4,FALSE)), "NA")</f>
        <v>NA</v>
      </c>
      <c r="U1450" s="2" t="str">
        <f t="shared" si="172"/>
        <v>NA</v>
      </c>
    </row>
    <row r="1451" spans="1:21" ht="14.25" customHeight="1">
      <c r="A1451" s="2" t="s">
        <v>40</v>
      </c>
      <c r="B1451" s="2">
        <v>1975</v>
      </c>
      <c r="C1451" s="2" t="s">
        <v>21</v>
      </c>
      <c r="D1451" s="3">
        <f t="shared" si="173"/>
        <v>0</v>
      </c>
      <c r="E1451" s="3">
        <f t="shared" si="174"/>
        <v>0</v>
      </c>
      <c r="F1451" s="3" t="e">
        <f t="shared" si="175"/>
        <v>#N/A</v>
      </c>
      <c r="G1451" s="3" t="e">
        <f t="shared" si="176"/>
        <v>#N/A</v>
      </c>
      <c r="H1451" s="3" t="e">
        <f t="shared" si="177"/>
        <v>#N/A</v>
      </c>
      <c r="I1451" s="3" t="e">
        <f t="shared" si="178"/>
        <v>#N/A</v>
      </c>
      <c r="J1451" s="2">
        <v>0</v>
      </c>
      <c r="K1451" s="2">
        <v>0</v>
      </c>
      <c r="P1451" s="3">
        <f>E1451*(VLOOKUP(B1451,Price_data!A$1:B$190,2,FALSE))</f>
        <v>0</v>
      </c>
      <c r="Q1451" s="3" t="e">
        <f>G1451*(VLOOKUP(B1451,Price_data!A$1:B$190,2,FALSE))</f>
        <v>#N/A</v>
      </c>
      <c r="R1451" s="3" t="e">
        <f>I1451*(VLOOKUP(B1451,Price_data!A$1:B$190,2,FALSE))</f>
        <v>#N/A</v>
      </c>
      <c r="S1451" s="4" t="str">
        <f>(VLOOKUP(B1451,Price_data!A$1:C$190,3,FALSE))</f>
        <v>Open access</v>
      </c>
      <c r="T1451" s="2" t="str">
        <f>IF(C1451="Total", (VLOOKUP(B1451,Recommended_fish_intake!A$4:D$122,4,FALSE)), "NA")</f>
        <v>NA</v>
      </c>
      <c r="U1451" s="2" t="str">
        <f t="shared" si="172"/>
        <v>NA</v>
      </c>
    </row>
    <row r="1452" spans="1:21" ht="14.25" customHeight="1">
      <c r="A1452" s="2" t="s">
        <v>40</v>
      </c>
      <c r="B1452" s="2">
        <v>1975</v>
      </c>
      <c r="C1452" s="2" t="s">
        <v>37</v>
      </c>
      <c r="D1452" s="3">
        <f t="shared" si="173"/>
        <v>9.7710000000000008</v>
      </c>
      <c r="E1452" s="3">
        <f t="shared" si="174"/>
        <v>1.157</v>
      </c>
      <c r="F1452" s="3" t="e">
        <f t="shared" si="175"/>
        <v>#N/A</v>
      </c>
      <c r="G1452" s="3" t="e">
        <f t="shared" si="176"/>
        <v>#N/A</v>
      </c>
      <c r="H1452" s="3" t="e">
        <f t="shared" si="177"/>
        <v>#N/A</v>
      </c>
      <c r="I1452" s="3" t="e">
        <f t="shared" si="178"/>
        <v>#N/A</v>
      </c>
      <c r="J1452" s="2">
        <v>9771</v>
      </c>
      <c r="K1452" s="2">
        <v>1157</v>
      </c>
      <c r="P1452" s="3">
        <f>E1452*(VLOOKUP(B1452,Price_data!A$1:B$190,2,FALSE))</f>
        <v>5.7661172104250005</v>
      </c>
      <c r="Q1452" s="3" t="e">
        <f>G1452*(VLOOKUP(B1452,Price_data!A$1:B$190,2,FALSE))</f>
        <v>#N/A</v>
      </c>
      <c r="R1452" s="3" t="e">
        <f>I1452*(VLOOKUP(B1452,Price_data!A$1:B$190,2,FALSE))</f>
        <v>#N/A</v>
      </c>
      <c r="S1452" s="4" t="str">
        <f>(VLOOKUP(B1452,Price_data!A$1:C$190,3,FALSE))</f>
        <v>Open access</v>
      </c>
      <c r="T1452" s="2" t="str">
        <f>IF(C1452="Total", (VLOOKUP(B1452,Recommended_fish_intake!A$4:D$122,4,FALSE)), "NA")</f>
        <v>NA</v>
      </c>
      <c r="U1452" s="2">
        <f t="shared" si="172"/>
        <v>4.7877900000000002</v>
      </c>
    </row>
    <row r="1453" spans="1:21" ht="14.25" customHeight="1">
      <c r="A1453" s="2" t="s">
        <v>40</v>
      </c>
      <c r="B1453" s="2">
        <v>1975</v>
      </c>
      <c r="C1453" s="2" t="s">
        <v>36</v>
      </c>
      <c r="D1453" s="3">
        <f t="shared" si="173"/>
        <v>2E-3</v>
      </c>
      <c r="E1453" s="3">
        <f t="shared" si="174"/>
        <v>1E-3</v>
      </c>
      <c r="F1453" s="3" t="e">
        <f t="shared" si="175"/>
        <v>#N/A</v>
      </c>
      <c r="G1453" s="3" t="e">
        <f t="shared" si="176"/>
        <v>#N/A</v>
      </c>
      <c r="H1453" s="3" t="e">
        <f t="shared" si="177"/>
        <v>#N/A</v>
      </c>
      <c r="I1453" s="3" t="e">
        <f t="shared" si="178"/>
        <v>#N/A</v>
      </c>
      <c r="J1453" s="2">
        <v>2</v>
      </c>
      <c r="K1453" s="2">
        <v>1</v>
      </c>
      <c r="P1453" s="3">
        <f>E1453*(VLOOKUP(B1453,Price_data!A$1:B$190,2,FALSE))</f>
        <v>4.9836795250000005E-3</v>
      </c>
      <c r="Q1453" s="3" t="e">
        <f>G1453*(VLOOKUP(B1453,Price_data!A$1:B$190,2,FALSE))</f>
        <v>#N/A</v>
      </c>
      <c r="R1453" s="3" t="e">
        <f>I1453*(VLOOKUP(B1453,Price_data!A$1:B$190,2,FALSE))</f>
        <v>#N/A</v>
      </c>
      <c r="S1453" s="4" t="str">
        <f>(VLOOKUP(B1453,Price_data!A$1:C$190,3,FALSE))</f>
        <v>Open access</v>
      </c>
      <c r="T1453" s="2" t="str">
        <f>IF(C1453="Total", (VLOOKUP(B1453,Recommended_fish_intake!A$4:D$122,4,FALSE)), "NA")</f>
        <v>NA</v>
      </c>
      <c r="U1453" s="2" t="str">
        <f t="shared" si="172"/>
        <v>NA</v>
      </c>
    </row>
    <row r="1454" spans="1:21" ht="14.25" customHeight="1">
      <c r="A1454" s="2" t="s">
        <v>40</v>
      </c>
      <c r="B1454" s="2">
        <v>1975</v>
      </c>
      <c r="C1454" s="2" t="s">
        <v>34</v>
      </c>
      <c r="D1454" s="3">
        <f t="shared" si="173"/>
        <v>1.4E-2</v>
      </c>
      <c r="E1454" s="3">
        <f t="shared" si="174"/>
        <v>3.7999999999999999E-2</v>
      </c>
      <c r="F1454" s="3" t="e">
        <f t="shared" si="175"/>
        <v>#N/A</v>
      </c>
      <c r="G1454" s="3" t="e">
        <f t="shared" si="176"/>
        <v>#N/A</v>
      </c>
      <c r="H1454" s="3" t="e">
        <f t="shared" si="177"/>
        <v>#N/A</v>
      </c>
      <c r="I1454" s="3" t="e">
        <f t="shared" si="178"/>
        <v>#N/A</v>
      </c>
      <c r="J1454" s="2">
        <v>14</v>
      </c>
      <c r="K1454" s="2">
        <v>38</v>
      </c>
      <c r="P1454" s="3">
        <f>E1454*(VLOOKUP(B1454,Price_data!A$1:B$190,2,FALSE))</f>
        <v>0.18937982195</v>
      </c>
      <c r="Q1454" s="3" t="e">
        <f>G1454*(VLOOKUP(B1454,Price_data!A$1:B$190,2,FALSE))</f>
        <v>#N/A</v>
      </c>
      <c r="R1454" s="3" t="e">
        <f>I1454*(VLOOKUP(B1454,Price_data!A$1:B$190,2,FALSE))</f>
        <v>#N/A</v>
      </c>
      <c r="S1454" s="4" t="str">
        <f>(VLOOKUP(B1454,Price_data!A$1:C$190,3,FALSE))</f>
        <v>Open access</v>
      </c>
      <c r="T1454" s="2" t="str">
        <f>IF(C1454="Total", (VLOOKUP(B1454,Recommended_fish_intake!A$4:D$122,4,FALSE)), "NA")</f>
        <v>NA</v>
      </c>
      <c r="U1454" s="2" t="str">
        <f t="shared" si="172"/>
        <v>NA</v>
      </c>
    </row>
    <row r="1455" spans="1:21" ht="14.25" customHeight="1">
      <c r="A1455" s="2" t="s">
        <v>40</v>
      </c>
      <c r="B1455" s="2">
        <v>1975</v>
      </c>
      <c r="C1455" s="2" t="s">
        <v>35</v>
      </c>
      <c r="D1455" s="3">
        <f t="shared" si="173"/>
        <v>3.4390000000000001</v>
      </c>
      <c r="E1455" s="3">
        <f t="shared" si="174"/>
        <v>0.745</v>
      </c>
      <c r="F1455" s="3" t="e">
        <f t="shared" si="175"/>
        <v>#N/A</v>
      </c>
      <c r="G1455" s="3" t="e">
        <f t="shared" si="176"/>
        <v>#N/A</v>
      </c>
      <c r="H1455" s="3" t="e">
        <f t="shared" si="177"/>
        <v>#N/A</v>
      </c>
      <c r="I1455" s="3" t="e">
        <f t="shared" si="178"/>
        <v>#N/A</v>
      </c>
      <c r="J1455" s="2">
        <v>3439</v>
      </c>
      <c r="K1455" s="2">
        <v>745</v>
      </c>
      <c r="P1455" s="3">
        <f>E1455*(VLOOKUP(B1455,Price_data!A$1:B$190,2,FALSE))</f>
        <v>3.7128412461250004</v>
      </c>
      <c r="Q1455" s="3" t="e">
        <f>G1455*(VLOOKUP(B1455,Price_data!A$1:B$190,2,FALSE))</f>
        <v>#N/A</v>
      </c>
      <c r="R1455" s="3" t="e">
        <f>I1455*(VLOOKUP(B1455,Price_data!A$1:B$190,2,FALSE))</f>
        <v>#N/A</v>
      </c>
      <c r="S1455" s="4" t="str">
        <f>(VLOOKUP(B1455,Price_data!A$1:C$190,3,FALSE))</f>
        <v>Open access</v>
      </c>
      <c r="T1455" s="2" t="str">
        <f>IF(C1455="Total", (VLOOKUP(B1455,Recommended_fish_intake!A$4:D$122,4,FALSE)), "NA")</f>
        <v>NA</v>
      </c>
      <c r="U1455" s="2" t="str">
        <f t="shared" si="172"/>
        <v>NA</v>
      </c>
    </row>
    <row r="1456" spans="1:21" ht="14.25" customHeight="1">
      <c r="A1456" s="2" t="s">
        <v>40</v>
      </c>
      <c r="B1456" s="2">
        <v>1975</v>
      </c>
      <c r="C1456" s="2" t="s">
        <v>30</v>
      </c>
      <c r="D1456" s="3">
        <f t="shared" si="173"/>
        <v>0</v>
      </c>
      <c r="E1456" s="3">
        <f t="shared" si="174"/>
        <v>0</v>
      </c>
      <c r="F1456" s="3" t="e">
        <f t="shared" si="175"/>
        <v>#N/A</v>
      </c>
      <c r="G1456" s="3" t="e">
        <f t="shared" si="176"/>
        <v>#N/A</v>
      </c>
      <c r="H1456" s="3" t="e">
        <f t="shared" si="177"/>
        <v>#N/A</v>
      </c>
      <c r="I1456" s="3" t="e">
        <f t="shared" si="178"/>
        <v>#N/A</v>
      </c>
      <c r="J1456" s="2">
        <v>0</v>
      </c>
      <c r="K1456" s="2">
        <v>0</v>
      </c>
      <c r="P1456" s="3">
        <f>E1456*(VLOOKUP(B1456,Price_data!A$1:B$190,2,FALSE))</f>
        <v>0</v>
      </c>
      <c r="Q1456" s="3" t="e">
        <f>G1456*(VLOOKUP(B1456,Price_data!A$1:B$190,2,FALSE))</f>
        <v>#N/A</v>
      </c>
      <c r="R1456" s="3" t="e">
        <f>I1456*(VLOOKUP(B1456,Price_data!A$1:B$190,2,FALSE))</f>
        <v>#N/A</v>
      </c>
      <c r="S1456" s="4" t="str">
        <f>(VLOOKUP(B1456,Price_data!A$1:C$190,3,FALSE))</f>
        <v>Open access</v>
      </c>
      <c r="T1456" s="2" t="str">
        <f>IF(C1456="Total", (VLOOKUP(B1456,Recommended_fish_intake!A$4:D$122,4,FALSE)), "NA")</f>
        <v>NA</v>
      </c>
      <c r="U1456" s="2" t="str">
        <f t="shared" si="172"/>
        <v>NA</v>
      </c>
    </row>
    <row r="1457" spans="1:21" ht="14.25" customHeight="1">
      <c r="A1457" s="2" t="s">
        <v>40</v>
      </c>
      <c r="B1457" s="2">
        <v>1975</v>
      </c>
      <c r="C1457" s="2" t="s">
        <v>28</v>
      </c>
      <c r="D1457" s="3">
        <f t="shared" si="173"/>
        <v>4.0220000000000002</v>
      </c>
      <c r="E1457" s="3">
        <f t="shared" si="174"/>
        <v>0.90600000000000003</v>
      </c>
      <c r="F1457" s="3" t="e">
        <f t="shared" si="175"/>
        <v>#N/A</v>
      </c>
      <c r="G1457" s="3" t="e">
        <f t="shared" si="176"/>
        <v>#N/A</v>
      </c>
      <c r="H1457" s="3" t="e">
        <f t="shared" si="177"/>
        <v>#N/A</v>
      </c>
      <c r="I1457" s="3" t="e">
        <f t="shared" si="178"/>
        <v>#N/A</v>
      </c>
      <c r="J1457" s="2">
        <v>4022</v>
      </c>
      <c r="K1457" s="2">
        <v>906</v>
      </c>
      <c r="P1457" s="3">
        <f>E1457*(VLOOKUP(B1457,Price_data!A$1:B$190,2,FALSE))</f>
        <v>4.5152136496500006</v>
      </c>
      <c r="Q1457" s="3" t="e">
        <f>G1457*(VLOOKUP(B1457,Price_data!A$1:B$190,2,FALSE))</f>
        <v>#N/A</v>
      </c>
      <c r="R1457" s="3" t="e">
        <f>I1457*(VLOOKUP(B1457,Price_data!A$1:B$190,2,FALSE))</f>
        <v>#N/A</v>
      </c>
      <c r="S1457" s="4" t="str">
        <f>(VLOOKUP(B1457,Price_data!A$1:C$190,3,FALSE))</f>
        <v>Open access</v>
      </c>
      <c r="T1457" s="2" t="str">
        <f>IF(C1457="Total", (VLOOKUP(B1457,Recommended_fish_intake!A$4:D$122,4,FALSE)), "NA")</f>
        <v>NA</v>
      </c>
      <c r="U1457" s="2">
        <f t="shared" si="172"/>
        <v>1.1261600000000003</v>
      </c>
    </row>
    <row r="1458" spans="1:21" ht="14.25" customHeight="1">
      <c r="A1458" s="2" t="s">
        <v>15</v>
      </c>
      <c r="B1458" s="2">
        <v>1975</v>
      </c>
      <c r="C1458" s="2" t="s">
        <v>22</v>
      </c>
      <c r="D1458" s="3">
        <f t="shared" si="173"/>
        <v>242.44</v>
      </c>
      <c r="E1458" s="3">
        <f t="shared" si="174"/>
        <v>60.993000000000002</v>
      </c>
      <c r="F1458" s="3" t="e">
        <f t="shared" si="175"/>
        <v>#N/A</v>
      </c>
      <c r="G1458" s="3" t="e">
        <f t="shared" si="176"/>
        <v>#N/A</v>
      </c>
      <c r="H1458" s="3">
        <f t="shared" si="177"/>
        <v>42.872</v>
      </c>
      <c r="I1458" s="3">
        <f t="shared" si="178"/>
        <v>20.753</v>
      </c>
      <c r="J1458" s="2">
        <v>242440</v>
      </c>
      <c r="K1458" s="2">
        <v>60993</v>
      </c>
      <c r="N1458" s="2">
        <f>3942+922+33469+4484+55</f>
        <v>42872</v>
      </c>
      <c r="O1458" s="2">
        <f>984+818+17757+1144+50</f>
        <v>20753</v>
      </c>
      <c r="P1458" s="3">
        <f>E1458*(VLOOKUP(B1458,Price_data!A$1:B$190,2,FALSE))</f>
        <v>303.96956526832503</v>
      </c>
      <c r="Q1458" s="3" t="e">
        <f>G1458*(VLOOKUP(B1458,Price_data!A$1:B$190,2,FALSE))</f>
        <v>#N/A</v>
      </c>
      <c r="R1458" s="3">
        <f>I1458*(VLOOKUP(B1458,Price_data!A$1:B$190,2,FALSE))</f>
        <v>103.42630118232501</v>
      </c>
      <c r="S1458" s="4" t="str">
        <f>(VLOOKUP(B1458,Price_data!A$1:C$190,3,FALSE))</f>
        <v>Open access</v>
      </c>
      <c r="T1458" s="2" t="str">
        <f>IF(C1458="Total", (VLOOKUP(B1458,Recommended_fish_intake!A$4:D$122,4,FALSE)), "NA")</f>
        <v>NA</v>
      </c>
      <c r="U1458" s="2" t="str">
        <f t="shared" si="172"/>
        <v>NA</v>
      </c>
    </row>
    <row r="1459" spans="1:21" ht="14.25" customHeight="1">
      <c r="A1459" s="2" t="s">
        <v>15</v>
      </c>
      <c r="B1459" s="2">
        <v>1975</v>
      </c>
      <c r="C1459" s="2" t="s">
        <v>23</v>
      </c>
      <c r="D1459" s="3">
        <f t="shared" si="173"/>
        <v>112.479</v>
      </c>
      <c r="E1459" s="3">
        <f t="shared" si="174"/>
        <v>25.707000000000001</v>
      </c>
      <c r="F1459" s="3" t="e">
        <f t="shared" si="175"/>
        <v>#N/A</v>
      </c>
      <c r="G1459" s="3" t="e">
        <f t="shared" si="176"/>
        <v>#N/A</v>
      </c>
      <c r="H1459" s="3">
        <f t="shared" si="177"/>
        <v>9.0289999999999999</v>
      </c>
      <c r="I1459" s="3">
        <f t="shared" si="178"/>
        <v>4.6399999999999997</v>
      </c>
      <c r="J1459" s="2">
        <v>112479</v>
      </c>
      <c r="K1459" s="2">
        <v>25707</v>
      </c>
      <c r="N1459" s="2">
        <f>1692+134+6846+357</f>
        <v>9029</v>
      </c>
      <c r="O1459" s="2">
        <f>485+105+3950+100</f>
        <v>4640</v>
      </c>
      <c r="P1459" s="3">
        <f>E1459*(VLOOKUP(B1459,Price_data!A$1:B$190,2,FALSE))</f>
        <v>128.11544954917503</v>
      </c>
      <c r="Q1459" s="3" t="e">
        <f>G1459*(VLOOKUP(B1459,Price_data!A$1:B$190,2,FALSE))</f>
        <v>#N/A</v>
      </c>
      <c r="R1459" s="3">
        <f>I1459*(VLOOKUP(B1459,Price_data!A$1:B$190,2,FALSE))</f>
        <v>23.124272995999998</v>
      </c>
      <c r="S1459" s="4" t="str">
        <f>(VLOOKUP(B1459,Price_data!A$1:C$190,3,FALSE))</f>
        <v>Open access</v>
      </c>
      <c r="T1459" s="2" t="str">
        <f>IF(C1459="Total", (VLOOKUP(B1459,Recommended_fish_intake!A$4:D$122,4,FALSE)), "NA")</f>
        <v>NA</v>
      </c>
      <c r="U1459" s="2" t="str">
        <f t="shared" si="172"/>
        <v>NA</v>
      </c>
    </row>
    <row r="1460" spans="1:21" ht="14.25" customHeight="1">
      <c r="A1460" s="2" t="s">
        <v>15</v>
      </c>
      <c r="B1460" s="2">
        <v>1975</v>
      </c>
      <c r="C1460" s="2" t="s">
        <v>25</v>
      </c>
      <c r="D1460" s="3">
        <f t="shared" si="173"/>
        <v>27.952999999999999</v>
      </c>
      <c r="E1460" s="3">
        <f t="shared" si="174"/>
        <v>10.117000000000001</v>
      </c>
      <c r="F1460" s="3" t="e">
        <f t="shared" si="175"/>
        <v>#N/A</v>
      </c>
      <c r="G1460" s="3" t="e">
        <f t="shared" si="176"/>
        <v>#N/A</v>
      </c>
      <c r="H1460" s="3">
        <f t="shared" si="177"/>
        <v>19.84</v>
      </c>
      <c r="I1460" s="3">
        <f t="shared" si="178"/>
        <v>8.3239999999999998</v>
      </c>
      <c r="J1460" s="2">
        <v>27953</v>
      </c>
      <c r="K1460" s="2">
        <v>10117</v>
      </c>
      <c r="N1460" s="2">
        <f>190+15394+324+2122+1810</f>
        <v>19840</v>
      </c>
      <c r="O1460" s="2">
        <f>143+5396+359+1830+596</f>
        <v>8324</v>
      </c>
      <c r="P1460" s="3">
        <f>E1460*(VLOOKUP(B1460,Price_data!A$1:B$190,2,FALSE))</f>
        <v>50.41988575442501</v>
      </c>
      <c r="Q1460" s="3" t="e">
        <f>G1460*(VLOOKUP(B1460,Price_data!A$1:B$190,2,FALSE))</f>
        <v>#N/A</v>
      </c>
      <c r="R1460" s="3">
        <f>I1460*(VLOOKUP(B1460,Price_data!A$1:B$190,2,FALSE))</f>
        <v>41.484148366100001</v>
      </c>
      <c r="S1460" s="4" t="str">
        <f>(VLOOKUP(B1460,Price_data!A$1:C$190,3,FALSE))</f>
        <v>Open access</v>
      </c>
      <c r="T1460" s="2" t="str">
        <f>IF(C1460="Total", (VLOOKUP(B1460,Recommended_fish_intake!A$4:D$122,4,FALSE)), "NA")</f>
        <v>NA</v>
      </c>
      <c r="U1460" s="2" t="str">
        <f t="shared" si="172"/>
        <v>NA</v>
      </c>
    </row>
    <row r="1461" spans="1:21" ht="14.25" customHeight="1">
      <c r="A1461" s="2" t="s">
        <v>15</v>
      </c>
      <c r="B1461" s="2">
        <v>1975</v>
      </c>
      <c r="C1461" s="2" t="s">
        <v>38</v>
      </c>
      <c r="D1461" s="3">
        <f t="shared" si="173"/>
        <v>34.796999999999997</v>
      </c>
      <c r="E1461" s="3">
        <f t="shared" si="174"/>
        <v>3.7269999999999999</v>
      </c>
      <c r="F1461" s="3" t="e">
        <f t="shared" si="175"/>
        <v>#N/A</v>
      </c>
      <c r="G1461" s="3" t="e">
        <f t="shared" si="176"/>
        <v>#N/A</v>
      </c>
      <c r="H1461" s="3">
        <f t="shared" si="177"/>
        <v>9.3249999999999993</v>
      </c>
      <c r="I1461" s="3">
        <f t="shared" si="178"/>
        <v>0.53700000000000003</v>
      </c>
      <c r="J1461" s="2">
        <v>34797</v>
      </c>
      <c r="K1461" s="2">
        <v>3727</v>
      </c>
      <c r="N1461" s="2">
        <v>9325</v>
      </c>
      <c r="O1461" s="2">
        <v>537</v>
      </c>
      <c r="P1461" s="3">
        <f>E1461*(VLOOKUP(B1461,Price_data!A$1:B$190,2,FALSE))</f>
        <v>18.574173589675002</v>
      </c>
      <c r="Q1461" s="3" t="e">
        <f>G1461*(VLOOKUP(B1461,Price_data!A$1:B$190,2,FALSE))</f>
        <v>#N/A</v>
      </c>
      <c r="R1461" s="3">
        <f>I1461*(VLOOKUP(B1461,Price_data!A$1:B$190,2,FALSE))</f>
        <v>2.6762359049250004</v>
      </c>
      <c r="S1461" s="4" t="str">
        <f>(VLOOKUP(B1461,Price_data!A$1:C$190,3,FALSE))</f>
        <v>Open access</v>
      </c>
      <c r="T1461" s="2" t="str">
        <f>IF(C1461="Total", (VLOOKUP(B1461,Recommended_fish_intake!A$4:D$122,4,FALSE)), "NA")</f>
        <v>NA</v>
      </c>
      <c r="U1461" s="2" t="str">
        <f t="shared" si="172"/>
        <v>NA</v>
      </c>
    </row>
    <row r="1462" spans="1:21" ht="14.25" customHeight="1">
      <c r="A1462" s="2" t="s">
        <v>15</v>
      </c>
      <c r="B1462" s="2">
        <v>1975</v>
      </c>
      <c r="C1462" s="2" t="s">
        <v>24</v>
      </c>
      <c r="D1462" s="3">
        <f t="shared" si="173"/>
        <v>45.914000000000001</v>
      </c>
      <c r="E1462" s="3">
        <f t="shared" si="174"/>
        <v>6.4160000000000004</v>
      </c>
      <c r="F1462" s="3" t="e">
        <f t="shared" si="175"/>
        <v>#N/A</v>
      </c>
      <c r="G1462" s="3" t="e">
        <f t="shared" si="176"/>
        <v>#N/A</v>
      </c>
      <c r="H1462" s="3" t="e">
        <f t="shared" si="177"/>
        <v>#N/A</v>
      </c>
      <c r="I1462" s="3" t="e">
        <f t="shared" si="178"/>
        <v>#N/A</v>
      </c>
      <c r="J1462" s="2">
        <v>45914</v>
      </c>
      <c r="K1462" s="2">
        <v>6416</v>
      </c>
      <c r="P1462" s="3">
        <f>E1462*(VLOOKUP(B1462,Price_data!A$1:B$190,2,FALSE))</f>
        <v>31.975287832400003</v>
      </c>
      <c r="Q1462" s="3" t="e">
        <f>G1462*(VLOOKUP(B1462,Price_data!A$1:B$190,2,FALSE))</f>
        <v>#N/A</v>
      </c>
      <c r="R1462" s="3" t="e">
        <f>I1462*(VLOOKUP(B1462,Price_data!A$1:B$190,2,FALSE))</f>
        <v>#N/A</v>
      </c>
      <c r="S1462" s="4" t="str">
        <f>(VLOOKUP(B1462,Price_data!A$1:C$190,3,FALSE))</f>
        <v>Open access</v>
      </c>
      <c r="T1462" s="2" t="str">
        <f>IF(C1462="Total", (VLOOKUP(B1462,Recommended_fish_intake!A$4:D$122,4,FALSE)), "NA")</f>
        <v>NA</v>
      </c>
      <c r="U1462" s="2" t="str">
        <f t="shared" si="172"/>
        <v>NA</v>
      </c>
    </row>
    <row r="1463" spans="1:21" ht="14.25" customHeight="1">
      <c r="A1463" s="2" t="s">
        <v>15</v>
      </c>
      <c r="B1463" s="2">
        <v>1975</v>
      </c>
      <c r="C1463" s="2" t="s">
        <v>19</v>
      </c>
      <c r="D1463" s="3">
        <f t="shared" si="173"/>
        <v>112.837</v>
      </c>
      <c r="E1463" s="3">
        <f t="shared" si="174"/>
        <v>11.233000000000001</v>
      </c>
      <c r="F1463" s="3" t="e">
        <f t="shared" si="175"/>
        <v>#N/A</v>
      </c>
      <c r="G1463" s="3" t="e">
        <f t="shared" si="176"/>
        <v>#N/A</v>
      </c>
      <c r="H1463" s="3">
        <f t="shared" si="177"/>
        <v>4.0170000000000003</v>
      </c>
      <c r="I1463" s="3">
        <f t="shared" si="178"/>
        <v>0.877</v>
      </c>
      <c r="J1463" s="2">
        <v>112837</v>
      </c>
      <c r="K1463" s="2">
        <v>11233</v>
      </c>
      <c r="N1463" s="2">
        <f>2563+501+613+340</f>
        <v>4017</v>
      </c>
      <c r="O1463" s="2">
        <f>358+100+162+257</f>
        <v>877</v>
      </c>
      <c r="P1463" s="3">
        <f>E1463*(VLOOKUP(B1463,Price_data!A$1:B$190,2,FALSE))</f>
        <v>55.981672104325007</v>
      </c>
      <c r="Q1463" s="3" t="e">
        <f>G1463*(VLOOKUP(B1463,Price_data!A$1:B$190,2,FALSE))</f>
        <v>#N/A</v>
      </c>
      <c r="R1463" s="3">
        <f>I1463*(VLOOKUP(B1463,Price_data!A$1:B$190,2,FALSE))</f>
        <v>4.3706869434250004</v>
      </c>
      <c r="S1463" s="4" t="str">
        <f>(VLOOKUP(B1463,Price_data!A$1:C$190,3,FALSE))</f>
        <v>Open access</v>
      </c>
      <c r="T1463" s="2" t="str">
        <f>IF(C1463="Total", (VLOOKUP(B1463,Recommended_fish_intake!A$4:D$122,4,FALSE)), "NA")</f>
        <v>NA</v>
      </c>
      <c r="U1463" s="2" t="str">
        <f t="shared" si="172"/>
        <v>NA</v>
      </c>
    </row>
    <row r="1464" spans="1:21" ht="14.25" customHeight="1">
      <c r="A1464" s="2" t="s">
        <v>15</v>
      </c>
      <c r="B1464" s="2">
        <v>1975</v>
      </c>
      <c r="C1464" s="2" t="s">
        <v>20</v>
      </c>
      <c r="D1464" s="3">
        <f t="shared" si="173"/>
        <v>48.375999999999998</v>
      </c>
      <c r="E1464" s="3">
        <f t="shared" si="174"/>
        <v>2.3050000000000002</v>
      </c>
      <c r="F1464" s="3" t="e">
        <f t="shared" si="175"/>
        <v>#N/A</v>
      </c>
      <c r="G1464" s="3" t="e">
        <f t="shared" si="176"/>
        <v>#N/A</v>
      </c>
      <c r="H1464" s="3">
        <f t="shared" si="177"/>
        <v>3.5760000000000001</v>
      </c>
      <c r="I1464" s="3">
        <f t="shared" si="178"/>
        <v>1.4079999999999999</v>
      </c>
      <c r="J1464" s="2">
        <v>48376</v>
      </c>
      <c r="K1464" s="2">
        <v>2305</v>
      </c>
      <c r="N1464" s="2">
        <v>3576</v>
      </c>
      <c r="O1464" s="2">
        <v>1408</v>
      </c>
      <c r="P1464" s="3">
        <f>E1464*(VLOOKUP(B1464,Price_data!A$1:B$190,2,FALSE))</f>
        <v>11.487381305125002</v>
      </c>
      <c r="Q1464" s="3" t="e">
        <f>G1464*(VLOOKUP(B1464,Price_data!A$1:B$190,2,FALSE))</f>
        <v>#N/A</v>
      </c>
      <c r="R1464" s="3">
        <f>I1464*(VLOOKUP(B1464,Price_data!A$1:B$190,2,FALSE))</f>
        <v>7.0170207712000003</v>
      </c>
      <c r="S1464" s="4" t="str">
        <f>(VLOOKUP(B1464,Price_data!A$1:C$190,3,FALSE))</f>
        <v>Open access</v>
      </c>
      <c r="T1464" s="2" t="str">
        <f>IF(C1464="Total", (VLOOKUP(B1464,Recommended_fish_intake!A$4:D$122,4,FALSE)), "NA")</f>
        <v>NA</v>
      </c>
      <c r="U1464" s="2" t="str">
        <f t="shared" si="172"/>
        <v>NA</v>
      </c>
    </row>
    <row r="1465" spans="1:21" ht="14.25" customHeight="1">
      <c r="A1465" s="2" t="s">
        <v>15</v>
      </c>
      <c r="B1465" s="2">
        <v>1975</v>
      </c>
      <c r="C1465" s="2" t="s">
        <v>21</v>
      </c>
      <c r="D1465" s="3">
        <f t="shared" si="173"/>
        <v>58.707999999999998</v>
      </c>
      <c r="E1465" s="3">
        <f t="shared" si="174"/>
        <v>1.5249999999999999</v>
      </c>
      <c r="F1465" s="3" t="e">
        <f t="shared" si="175"/>
        <v>#N/A</v>
      </c>
      <c r="G1465" s="3" t="e">
        <f t="shared" si="176"/>
        <v>#N/A</v>
      </c>
      <c r="H1465" s="3" t="e">
        <f t="shared" si="177"/>
        <v>#N/A</v>
      </c>
      <c r="I1465" s="3" t="e">
        <f t="shared" si="178"/>
        <v>#N/A</v>
      </c>
      <c r="J1465" s="2">
        <v>58708</v>
      </c>
      <c r="K1465" s="2">
        <v>1525</v>
      </c>
      <c r="P1465" s="3">
        <f>E1465*(VLOOKUP(B1465,Price_data!A$1:B$190,2,FALSE))</f>
        <v>7.6001112756250002</v>
      </c>
      <c r="Q1465" s="3" t="e">
        <f>G1465*(VLOOKUP(B1465,Price_data!A$1:B$190,2,FALSE))</f>
        <v>#N/A</v>
      </c>
      <c r="R1465" s="3" t="e">
        <f>I1465*(VLOOKUP(B1465,Price_data!A$1:B$190,2,FALSE))</f>
        <v>#N/A</v>
      </c>
      <c r="S1465" s="4" t="str">
        <f>(VLOOKUP(B1465,Price_data!A$1:C$190,3,FALSE))</f>
        <v>Open access</v>
      </c>
      <c r="T1465" s="2" t="str">
        <f>IF(C1465="Total", (VLOOKUP(B1465,Recommended_fish_intake!A$4:D$122,4,FALSE)), "NA")</f>
        <v>NA</v>
      </c>
      <c r="U1465" s="2" t="str">
        <f t="shared" si="172"/>
        <v>NA</v>
      </c>
    </row>
    <row r="1466" spans="1:21" ht="14.25" customHeight="1">
      <c r="A1466" s="2" t="s">
        <v>15</v>
      </c>
      <c r="B1466" s="2">
        <v>1975</v>
      </c>
      <c r="C1466" s="2" t="s">
        <v>37</v>
      </c>
      <c r="D1466" s="3">
        <f t="shared" si="173"/>
        <v>801.72400000000005</v>
      </c>
      <c r="E1466" s="3">
        <f t="shared" si="174"/>
        <v>137.79900000000001</v>
      </c>
      <c r="F1466" s="3">
        <f t="shared" si="175"/>
        <v>129.053</v>
      </c>
      <c r="G1466" s="3">
        <f t="shared" si="176"/>
        <v>42.616999999999997</v>
      </c>
      <c r="H1466" s="3">
        <f t="shared" si="177"/>
        <v>176.239</v>
      </c>
      <c r="I1466" s="3">
        <f t="shared" si="178"/>
        <v>112.175</v>
      </c>
      <c r="J1466" s="2">
        <v>801724</v>
      </c>
      <c r="K1466" s="2">
        <v>137799</v>
      </c>
      <c r="L1466" s="2">
        <v>129053</v>
      </c>
      <c r="M1466" s="2">
        <v>42617</v>
      </c>
      <c r="N1466" s="2">
        <v>176239</v>
      </c>
      <c r="O1466" s="2">
        <v>112175</v>
      </c>
      <c r="P1466" s="3">
        <f>E1466*(VLOOKUP(B1466,Price_data!A$1:B$190,2,FALSE))</f>
        <v>686.74605486547512</v>
      </c>
      <c r="Q1466" s="3">
        <f>G1466*(VLOOKUP(B1466,Price_data!A$1:B$190,2,FALSE))</f>
        <v>212.38947031692501</v>
      </c>
      <c r="R1466" s="3">
        <f>I1466*(VLOOKUP(B1466,Price_data!A$1:B$190,2,FALSE))</f>
        <v>559.04425071687501</v>
      </c>
      <c r="S1466" s="4" t="str">
        <f>(VLOOKUP(B1466,Price_data!A$1:C$190,3,FALSE))</f>
        <v>Open access</v>
      </c>
      <c r="T1466" s="2" t="str">
        <f>IF(C1466="Total", (VLOOKUP(B1466,Recommended_fish_intake!A$4:D$122,4,FALSE)), "NA")</f>
        <v>NA</v>
      </c>
      <c r="U1466" s="2">
        <f t="shared" si="172"/>
        <v>392.84476000000001</v>
      </c>
    </row>
    <row r="1467" spans="1:21" ht="14.25" customHeight="1">
      <c r="A1467" s="2" t="s">
        <v>15</v>
      </c>
      <c r="B1467" s="2">
        <v>1975</v>
      </c>
      <c r="C1467" s="2" t="s">
        <v>36</v>
      </c>
      <c r="D1467" s="3">
        <f t="shared" si="173"/>
        <v>6.5860000000000003</v>
      </c>
      <c r="E1467" s="3">
        <f t="shared" si="174"/>
        <v>1.3320000000000001</v>
      </c>
      <c r="F1467" s="3" t="e">
        <f t="shared" si="175"/>
        <v>#N/A</v>
      </c>
      <c r="G1467" s="3" t="e">
        <f t="shared" si="176"/>
        <v>#N/A</v>
      </c>
      <c r="H1467" s="3">
        <f t="shared" si="177"/>
        <v>0.41299999999999998</v>
      </c>
      <c r="I1467" s="3">
        <f t="shared" si="178"/>
        <v>0.97899999999999998</v>
      </c>
      <c r="J1467" s="2">
        <v>6586</v>
      </c>
      <c r="K1467" s="2">
        <v>1332</v>
      </c>
      <c r="N1467" s="2">
        <v>413</v>
      </c>
      <c r="O1467" s="2">
        <v>979</v>
      </c>
      <c r="P1467" s="3">
        <f>E1467*(VLOOKUP(B1467,Price_data!A$1:B$190,2,FALSE))</f>
        <v>6.6382611273000007</v>
      </c>
      <c r="Q1467" s="3" t="e">
        <f>G1467*(VLOOKUP(B1467,Price_data!A$1:B$190,2,FALSE))</f>
        <v>#N/A</v>
      </c>
      <c r="R1467" s="3">
        <f>I1467*(VLOOKUP(B1467,Price_data!A$1:B$190,2,FALSE))</f>
        <v>4.8790222549750002</v>
      </c>
      <c r="S1467" s="4" t="str">
        <f>(VLOOKUP(B1467,Price_data!A$1:C$190,3,FALSE))</f>
        <v>Open access</v>
      </c>
      <c r="T1467" s="2" t="str">
        <f>IF(C1467="Total", (VLOOKUP(B1467,Recommended_fish_intake!A$4:D$122,4,FALSE)), "NA")</f>
        <v>NA</v>
      </c>
      <c r="U1467" s="2" t="str">
        <f t="shared" si="172"/>
        <v>NA</v>
      </c>
    </row>
    <row r="1468" spans="1:21" ht="14.25" customHeight="1">
      <c r="A1468" s="2" t="s">
        <v>15</v>
      </c>
      <c r="B1468" s="2">
        <v>1975</v>
      </c>
      <c r="C1468" s="2" t="s">
        <v>34</v>
      </c>
      <c r="D1468" s="3">
        <f t="shared" si="173"/>
        <v>0.85899999999999999</v>
      </c>
      <c r="E1468" s="3">
        <f t="shared" si="174"/>
        <v>2.552</v>
      </c>
      <c r="F1468" s="3" t="e">
        <f t="shared" si="175"/>
        <v>#N/A</v>
      </c>
      <c r="G1468" s="3" t="e">
        <f t="shared" si="176"/>
        <v>#N/A</v>
      </c>
      <c r="H1468" s="3" t="e">
        <f t="shared" si="177"/>
        <v>#N/A</v>
      </c>
      <c r="I1468" s="3" t="e">
        <f t="shared" si="178"/>
        <v>#N/A</v>
      </c>
      <c r="J1468" s="2">
        <v>859</v>
      </c>
      <c r="K1468" s="2">
        <v>2552</v>
      </c>
      <c r="P1468" s="3">
        <f>E1468*(VLOOKUP(B1468,Price_data!A$1:B$190,2,FALSE))</f>
        <v>12.718350147800001</v>
      </c>
      <c r="Q1468" s="3" t="e">
        <f>G1468*(VLOOKUP(B1468,Price_data!A$1:B$190,2,FALSE))</f>
        <v>#N/A</v>
      </c>
      <c r="R1468" s="3" t="e">
        <f>I1468*(VLOOKUP(B1468,Price_data!A$1:B$190,2,FALSE))</f>
        <v>#N/A</v>
      </c>
      <c r="S1468" s="4" t="str">
        <f>(VLOOKUP(B1468,Price_data!A$1:C$190,3,FALSE))</f>
        <v>Open access</v>
      </c>
      <c r="T1468" s="2" t="str">
        <f>IF(C1468="Total", (VLOOKUP(B1468,Recommended_fish_intake!A$4:D$122,4,FALSE)), "NA")</f>
        <v>NA</v>
      </c>
      <c r="U1468" s="2" t="str">
        <f t="shared" si="172"/>
        <v>NA</v>
      </c>
    </row>
    <row r="1469" spans="1:21" ht="14.25" customHeight="1">
      <c r="A1469" s="2" t="s">
        <v>15</v>
      </c>
      <c r="B1469" s="2">
        <v>1975</v>
      </c>
      <c r="C1469" s="2" t="s">
        <v>35</v>
      </c>
      <c r="D1469" s="3">
        <f t="shared" si="173"/>
        <v>12.818</v>
      </c>
      <c r="E1469" s="3">
        <f t="shared" si="174"/>
        <v>5.1970000000000001</v>
      </c>
      <c r="F1469" s="3" t="e">
        <f t="shared" si="175"/>
        <v>#N/A</v>
      </c>
      <c r="G1469" s="3" t="e">
        <f t="shared" si="176"/>
        <v>#N/A</v>
      </c>
      <c r="H1469" s="3" t="e">
        <f t="shared" si="177"/>
        <v>#N/A</v>
      </c>
      <c r="I1469" s="3" t="e">
        <f t="shared" si="178"/>
        <v>#N/A</v>
      </c>
      <c r="J1469" s="2">
        <v>12818</v>
      </c>
      <c r="K1469" s="2">
        <v>5197</v>
      </c>
      <c r="P1469" s="3">
        <f>E1469*(VLOOKUP(B1469,Price_data!A$1:B$190,2,FALSE))</f>
        <v>25.900182491425003</v>
      </c>
      <c r="Q1469" s="3" t="e">
        <f>G1469*(VLOOKUP(B1469,Price_data!A$1:B$190,2,FALSE))</f>
        <v>#N/A</v>
      </c>
      <c r="R1469" s="3" t="e">
        <f>I1469*(VLOOKUP(B1469,Price_data!A$1:B$190,2,FALSE))</f>
        <v>#N/A</v>
      </c>
      <c r="S1469" s="4" t="str">
        <f>(VLOOKUP(B1469,Price_data!A$1:C$190,3,FALSE))</f>
        <v>Open access</v>
      </c>
      <c r="T1469" s="2" t="str">
        <f>IF(C1469="Total", (VLOOKUP(B1469,Recommended_fish_intake!A$4:D$122,4,FALSE)), "NA")</f>
        <v>NA</v>
      </c>
      <c r="U1469" s="2" t="str">
        <f t="shared" si="172"/>
        <v>NA</v>
      </c>
    </row>
    <row r="1470" spans="1:21" ht="14.25" customHeight="1">
      <c r="A1470" s="2" t="s">
        <v>15</v>
      </c>
      <c r="B1470" s="2">
        <v>1975</v>
      </c>
      <c r="C1470" s="2" t="s">
        <v>30</v>
      </c>
      <c r="D1470" s="3">
        <f t="shared" si="173"/>
        <v>2.069</v>
      </c>
      <c r="E1470" s="3">
        <f t="shared" si="174"/>
        <v>0.629</v>
      </c>
      <c r="F1470" s="3" t="e">
        <f t="shared" si="175"/>
        <v>#N/A</v>
      </c>
      <c r="G1470" s="3" t="e">
        <f t="shared" si="176"/>
        <v>#N/A</v>
      </c>
      <c r="H1470" s="3">
        <f t="shared" si="177"/>
        <v>5.7329999999999997</v>
      </c>
      <c r="I1470" s="3">
        <f t="shared" si="178"/>
        <v>7.5339999999999998</v>
      </c>
      <c r="J1470" s="2">
        <v>2069</v>
      </c>
      <c r="K1470" s="2">
        <v>629</v>
      </c>
      <c r="N1470" s="2">
        <f>2598+2687+204+244</f>
        <v>5733</v>
      </c>
      <c r="O1470" s="2">
        <f>2410+4504+278+342</f>
        <v>7534</v>
      </c>
      <c r="P1470" s="3">
        <f>E1470*(VLOOKUP(B1470,Price_data!A$1:B$190,2,FALSE))</f>
        <v>3.1347344212250001</v>
      </c>
      <c r="Q1470" s="3" t="e">
        <f>G1470*(VLOOKUP(B1470,Price_data!A$1:B$190,2,FALSE))</f>
        <v>#N/A</v>
      </c>
      <c r="R1470" s="3">
        <f>I1470*(VLOOKUP(B1470,Price_data!A$1:B$190,2,FALSE))</f>
        <v>37.547041541350005</v>
      </c>
      <c r="S1470" s="4" t="str">
        <f>(VLOOKUP(B1470,Price_data!A$1:C$190,3,FALSE))</f>
        <v>Open access</v>
      </c>
      <c r="T1470" s="2" t="str">
        <f>IF(C1470="Total", (VLOOKUP(B1470,Recommended_fish_intake!A$4:D$122,4,FALSE)), "NA")</f>
        <v>NA</v>
      </c>
      <c r="U1470" s="2" t="str">
        <f t="shared" si="172"/>
        <v>NA</v>
      </c>
    </row>
    <row r="1471" spans="1:21" ht="14.25" customHeight="1">
      <c r="A1471" s="2" t="s">
        <v>15</v>
      </c>
      <c r="B1471" s="2">
        <v>1975</v>
      </c>
      <c r="C1471" s="2" t="s">
        <v>28</v>
      </c>
      <c r="D1471" s="3">
        <f t="shared" si="173"/>
        <v>67.406000000000006</v>
      </c>
      <c r="E1471" s="3">
        <f t="shared" si="174"/>
        <v>13.614000000000001</v>
      </c>
      <c r="F1471" s="3">
        <f t="shared" si="175"/>
        <v>15.143000000000001</v>
      </c>
      <c r="G1471" s="3">
        <f t="shared" si="176"/>
        <v>15.166</v>
      </c>
      <c r="H1471" s="3">
        <f t="shared" si="177"/>
        <v>18.213000000000001</v>
      </c>
      <c r="I1471" s="3">
        <f t="shared" si="178"/>
        <v>23.739000000000001</v>
      </c>
      <c r="J1471" s="2">
        <v>67406</v>
      </c>
      <c r="K1471" s="2">
        <v>13614</v>
      </c>
      <c r="L1471" s="2">
        <v>15143</v>
      </c>
      <c r="M1471" s="2">
        <v>15166</v>
      </c>
      <c r="N1471" s="2">
        <v>18213</v>
      </c>
      <c r="O1471" s="2">
        <v>23739</v>
      </c>
      <c r="P1471" s="3">
        <f>E1471*(VLOOKUP(B1471,Price_data!A$1:B$190,2,FALSE))</f>
        <v>67.847813053350009</v>
      </c>
      <c r="Q1471" s="3">
        <f>G1471*(VLOOKUP(B1471,Price_data!A$1:B$190,2,FALSE))</f>
        <v>75.582483676150005</v>
      </c>
      <c r="R1471" s="3">
        <f>I1471*(VLOOKUP(B1471,Price_data!A$1:B$190,2,FALSE))</f>
        <v>118.30756824397501</v>
      </c>
      <c r="S1471" s="4" t="str">
        <f>(VLOOKUP(B1471,Price_data!A$1:C$190,3,FALSE))</f>
        <v>Open access</v>
      </c>
      <c r="T1471" s="2" t="str">
        <f>IF(C1471="Total", (VLOOKUP(B1471,Recommended_fish_intake!A$4:D$122,4,FALSE)), "NA")</f>
        <v>NA</v>
      </c>
      <c r="U1471" s="2">
        <f t="shared" si="172"/>
        <v>18.873680000000004</v>
      </c>
    </row>
    <row r="1472" spans="1:21" ht="14.25" customHeight="1">
      <c r="A1472" s="2" t="s">
        <v>18</v>
      </c>
      <c r="B1472" s="2">
        <v>1975</v>
      </c>
      <c r="C1472" s="2" t="s">
        <v>16</v>
      </c>
      <c r="D1472" s="3">
        <f t="shared" si="173"/>
        <v>446.13799999999998</v>
      </c>
      <c r="E1472" s="3">
        <f t="shared" si="174"/>
        <v>90.082999999999998</v>
      </c>
      <c r="F1472" s="3" t="e">
        <f t="shared" si="175"/>
        <v>#N/A</v>
      </c>
      <c r="G1472" s="3" t="e">
        <f t="shared" si="176"/>
        <v>#N/A</v>
      </c>
      <c r="H1472" s="3" t="e">
        <f t="shared" si="177"/>
        <v>#N/A</v>
      </c>
      <c r="I1472" s="3" t="e">
        <f t="shared" si="178"/>
        <v>#N/A</v>
      </c>
      <c r="J1472" s="2">
        <v>446138</v>
      </c>
      <c r="K1472" s="2">
        <v>90083</v>
      </c>
      <c r="P1472" s="3">
        <f>E1472*(VLOOKUP(B1472,Price_data!A$1:B$190,2,FALSE))</f>
        <v>448.94480265057501</v>
      </c>
      <c r="Q1472" s="3" t="e">
        <f>G1472*(VLOOKUP(B1472,Price_data!A$1:B$190,2,FALSE))</f>
        <v>#N/A</v>
      </c>
      <c r="R1472" s="3" t="e">
        <f>I1472*(VLOOKUP(B1472,Price_data!A$1:B$190,2,FALSE))</f>
        <v>#N/A</v>
      </c>
      <c r="S1472" s="4" t="str">
        <f>(VLOOKUP(B1472,Price_data!A$1:C$190,3,FALSE))</f>
        <v>Open access</v>
      </c>
      <c r="T1472" s="2">
        <f>IF(C1472="Total", (VLOOKUP(B1472,Recommended_fish_intake!A$4:D$122,4,FALSE)), "NA")</f>
        <v>724.99416437994</v>
      </c>
      <c r="U1472" s="2" t="str">
        <f t="shared" si="172"/>
        <v>NA</v>
      </c>
    </row>
    <row r="1473" spans="1:21" ht="14.25" customHeight="1">
      <c r="A1473" s="2" t="s">
        <v>39</v>
      </c>
      <c r="B1473" s="2">
        <v>1975</v>
      </c>
      <c r="C1473" s="2" t="s">
        <v>16</v>
      </c>
      <c r="D1473" s="3">
        <f t="shared" si="173"/>
        <v>409.19900000000001</v>
      </c>
      <c r="E1473" s="3">
        <f t="shared" si="174"/>
        <v>59.267000000000003</v>
      </c>
      <c r="F1473" s="3" t="e">
        <f t="shared" si="175"/>
        <v>#N/A</v>
      </c>
      <c r="G1473" s="3" t="e">
        <f t="shared" si="176"/>
        <v>#N/A</v>
      </c>
      <c r="H1473" s="3" t="e">
        <f t="shared" si="177"/>
        <v>#N/A</v>
      </c>
      <c r="I1473" s="3" t="e">
        <f t="shared" si="178"/>
        <v>#N/A</v>
      </c>
      <c r="J1473" s="2">
        <v>409199</v>
      </c>
      <c r="K1473" s="2">
        <v>59267</v>
      </c>
      <c r="P1473" s="3">
        <f>E1473*(VLOOKUP(B1473,Price_data!A$1:B$190,2,FALSE))</f>
        <v>295.36773440817501</v>
      </c>
      <c r="Q1473" s="3" t="e">
        <f>G1473*(VLOOKUP(B1473,Price_data!A$1:B$190,2,FALSE))</f>
        <v>#N/A</v>
      </c>
      <c r="R1473" s="3" t="e">
        <f>I1473*(VLOOKUP(B1473,Price_data!A$1:B$190,2,FALSE))</f>
        <v>#N/A</v>
      </c>
      <c r="S1473" s="4" t="str">
        <f>(VLOOKUP(B1473,Price_data!A$1:C$190,3,FALSE))</f>
        <v>Open access</v>
      </c>
      <c r="T1473" s="2">
        <f>IF(C1473="Total", (VLOOKUP(B1473,Recommended_fish_intake!A$4:D$122,4,FALSE)), "NA")</f>
        <v>724.99416437994</v>
      </c>
      <c r="U1473" s="2" t="str">
        <f t="shared" si="172"/>
        <v>NA</v>
      </c>
    </row>
    <row r="1474" spans="1:21" ht="14.25" customHeight="1">
      <c r="A1474" s="2" t="s">
        <v>40</v>
      </c>
      <c r="B1474" s="2">
        <v>1975</v>
      </c>
      <c r="C1474" s="2" t="s">
        <v>16</v>
      </c>
      <c r="D1474" s="3">
        <f t="shared" si="173"/>
        <v>13.792999999999999</v>
      </c>
      <c r="E1474" s="3">
        <f t="shared" si="174"/>
        <v>2.0630000000000002</v>
      </c>
      <c r="F1474" s="3" t="e">
        <f t="shared" si="175"/>
        <v>#N/A</v>
      </c>
      <c r="G1474" s="3" t="e">
        <f t="shared" si="176"/>
        <v>#N/A</v>
      </c>
      <c r="H1474" s="3" t="e">
        <f t="shared" si="177"/>
        <v>#N/A</v>
      </c>
      <c r="I1474" s="3" t="e">
        <f t="shared" si="178"/>
        <v>#N/A</v>
      </c>
      <c r="J1474" s="2">
        <v>13793</v>
      </c>
      <c r="K1474" s="2">
        <v>2063</v>
      </c>
      <c r="P1474" s="3">
        <f>E1474*(VLOOKUP(B1474,Price_data!A$1:B$190,2,FALSE))</f>
        <v>10.281330860075002</v>
      </c>
      <c r="Q1474" s="3" t="e">
        <f>G1474*(VLOOKUP(B1474,Price_data!A$1:B$190,2,FALSE))</f>
        <v>#N/A</v>
      </c>
      <c r="R1474" s="3" t="e">
        <f>I1474*(VLOOKUP(B1474,Price_data!A$1:B$190,2,FALSE))</f>
        <v>#N/A</v>
      </c>
      <c r="S1474" s="4" t="str">
        <f>(VLOOKUP(B1474,Price_data!A$1:C$190,3,FALSE))</f>
        <v>Open access</v>
      </c>
      <c r="T1474" s="2">
        <f>IF(C1474="Total", (VLOOKUP(B1474,Recommended_fish_intake!A$4:D$122,4,FALSE)), "NA")</f>
        <v>724.99416437994</v>
      </c>
      <c r="U1474" s="2" t="str">
        <f t="shared" ref="U1474:U1537" si="179">IF(C1474="Wet fish", D1474*0.49, IF(C1474="Shellfish", D1474*0.28, "NA"))</f>
        <v>NA</v>
      </c>
    </row>
    <row r="1475" spans="1:21" ht="14.25" customHeight="1">
      <c r="A1475" s="2" t="s">
        <v>15</v>
      </c>
      <c r="B1475" s="2">
        <v>1975</v>
      </c>
      <c r="C1475" s="2" t="s">
        <v>16</v>
      </c>
      <c r="D1475" s="3">
        <f t="shared" si="173"/>
        <v>869.13</v>
      </c>
      <c r="E1475" s="3">
        <f t="shared" si="174"/>
        <v>151.41300000000001</v>
      </c>
      <c r="F1475" s="3">
        <f t="shared" si="175"/>
        <v>144.196</v>
      </c>
      <c r="G1475" s="3">
        <f t="shared" si="176"/>
        <v>57.783000000000001</v>
      </c>
      <c r="H1475" s="3">
        <f t="shared" si="177"/>
        <v>194.46299999999999</v>
      </c>
      <c r="I1475" s="3">
        <f t="shared" si="178"/>
        <v>135.91399999999999</v>
      </c>
      <c r="J1475" s="2">
        <v>869130</v>
      </c>
      <c r="K1475" s="2">
        <v>151413</v>
      </c>
      <c r="L1475" s="2">
        <v>144196</v>
      </c>
      <c r="M1475" s="2">
        <v>57783</v>
      </c>
      <c r="N1475" s="2">
        <v>194463</v>
      </c>
      <c r="O1475" s="2">
        <v>135914</v>
      </c>
      <c r="P1475" s="3">
        <f>E1475*(VLOOKUP(B1475,Price_data!A$1:B$190,2,FALSE))</f>
        <v>754.59386791882514</v>
      </c>
      <c r="Q1475" s="3">
        <f>G1475*(VLOOKUP(B1475,Price_data!A$1:B$190,2,FALSE))</f>
        <v>287.97195399307503</v>
      </c>
      <c r="R1475" s="3">
        <f>I1475*(VLOOKUP(B1475,Price_data!A$1:B$190,2,FALSE))</f>
        <v>677.35181896084998</v>
      </c>
      <c r="S1475" s="4" t="str">
        <f>(VLOOKUP(B1475,Price_data!A$1:C$190,3,FALSE))</f>
        <v>Open access</v>
      </c>
      <c r="T1475" s="2">
        <f>IF(C1475="Total", (VLOOKUP(B1475,Recommended_fish_intake!A$4:D$122,4,FALSE)), "NA")</f>
        <v>724.99416437994</v>
      </c>
      <c r="U1475" s="2" t="str">
        <f t="shared" si="179"/>
        <v>NA</v>
      </c>
    </row>
    <row r="1476" spans="1:21" ht="14.25" customHeight="1">
      <c r="A1476" s="2" t="s">
        <v>15</v>
      </c>
      <c r="B1476" s="2">
        <v>1975</v>
      </c>
      <c r="C1476" s="2" t="s">
        <v>29</v>
      </c>
      <c r="D1476" s="3" t="e">
        <f t="shared" si="173"/>
        <v>#N/A</v>
      </c>
      <c r="E1476" s="3" t="e">
        <f t="shared" si="174"/>
        <v>#N/A</v>
      </c>
      <c r="F1476" s="3" t="e">
        <f t="shared" si="175"/>
        <v>#N/A</v>
      </c>
      <c r="G1476" s="3" t="e">
        <f t="shared" si="176"/>
        <v>#N/A</v>
      </c>
      <c r="H1476" s="3">
        <f t="shared" si="177"/>
        <v>25.396999999999998</v>
      </c>
      <c r="I1476" s="3">
        <f t="shared" si="178"/>
        <v>40.671999999999997</v>
      </c>
      <c r="J1476" s="3" t="e">
        <v>#N/A</v>
      </c>
      <c r="K1476" s="3" t="e">
        <v>#N/A</v>
      </c>
      <c r="L1476" s="3" t="e">
        <v>#N/A</v>
      </c>
      <c r="M1476" s="3" t="e">
        <v>#N/A</v>
      </c>
      <c r="N1476" s="2">
        <f>453+4708+20236</f>
        <v>25397</v>
      </c>
      <c r="O1476" s="2">
        <f>783+6897+32992</f>
        <v>40672</v>
      </c>
      <c r="P1476" s="3" t="e">
        <f>E1476*(VLOOKUP(B1476,Price_data!A$1:B$190,2,FALSE))</f>
        <v>#N/A</v>
      </c>
      <c r="Q1476" s="3" t="e">
        <f>G1476*(VLOOKUP(B1476,Price_data!A$1:B$190,2,FALSE))</f>
        <v>#N/A</v>
      </c>
      <c r="R1476" s="3">
        <f>I1476*(VLOOKUP(B1476,Price_data!A$1:B$190,2,FALSE))</f>
        <v>202.69621364080001</v>
      </c>
      <c r="S1476" s="4" t="str">
        <f>(VLOOKUP(B1476,Price_data!A$1:C$190,3,FALSE))</f>
        <v>Open access</v>
      </c>
      <c r="T1476" s="2" t="str">
        <f>IF(C1476="Total", (VLOOKUP(B1476,Recommended_fish_intake!A$4:D$122,4,FALSE)), "NA")</f>
        <v>NA</v>
      </c>
      <c r="U1476" s="2" t="str">
        <f t="shared" si="179"/>
        <v>NA</v>
      </c>
    </row>
    <row r="1477" spans="1:21" ht="14.25" customHeight="1">
      <c r="A1477" s="2" t="s">
        <v>15</v>
      </c>
      <c r="B1477" s="2">
        <v>1975</v>
      </c>
      <c r="C1477" s="2" t="s">
        <v>43</v>
      </c>
      <c r="D1477" s="3" t="e">
        <f t="shared" si="173"/>
        <v>#N/A</v>
      </c>
      <c r="E1477" s="3" t="e">
        <f t="shared" si="174"/>
        <v>#N/A</v>
      </c>
      <c r="F1477" s="3" t="e">
        <f t="shared" si="175"/>
        <v>#N/A</v>
      </c>
      <c r="G1477" s="3" t="e">
        <f t="shared" si="176"/>
        <v>#N/A</v>
      </c>
      <c r="H1477" s="3">
        <f t="shared" si="177"/>
        <v>5.8920000000000003</v>
      </c>
      <c r="I1477" s="3">
        <f t="shared" si="178"/>
        <v>5.5670000000000002</v>
      </c>
      <c r="J1477" s="3" t="e">
        <v>#N/A</v>
      </c>
      <c r="K1477" s="3" t="e">
        <v>#N/A</v>
      </c>
      <c r="L1477" s="3" t="e">
        <v>#N/A</v>
      </c>
      <c r="M1477" s="3" t="e">
        <v>#N/A</v>
      </c>
      <c r="N1477" s="2">
        <v>5892</v>
      </c>
      <c r="O1477" s="2">
        <v>5567</v>
      </c>
      <c r="P1477" s="3" t="e">
        <f>E1477*(VLOOKUP(B1477,Price_data!A$1:B$190,2,FALSE))</f>
        <v>#N/A</v>
      </c>
      <c r="Q1477" s="3" t="e">
        <f>G1477*(VLOOKUP(B1477,Price_data!A$1:B$190,2,FALSE))</f>
        <v>#N/A</v>
      </c>
      <c r="R1477" s="3">
        <f>I1477*(VLOOKUP(B1477,Price_data!A$1:B$190,2,FALSE))</f>
        <v>27.744143915675004</v>
      </c>
      <c r="S1477" s="4" t="str">
        <f>(VLOOKUP(B1477,Price_data!A$1:C$190,3,FALSE))</f>
        <v>Open access</v>
      </c>
      <c r="T1477" s="2" t="str">
        <f>IF(C1477="Total", (VLOOKUP(B1477,Recommended_fish_intake!A$4:D$122,4,FALSE)), "NA")</f>
        <v>NA</v>
      </c>
      <c r="U1477" s="2" t="str">
        <f t="shared" si="179"/>
        <v>NA</v>
      </c>
    </row>
    <row r="1478" spans="1:21" ht="14.25" customHeight="1">
      <c r="A1478" s="2" t="s">
        <v>18</v>
      </c>
      <c r="B1478" s="2">
        <v>1976</v>
      </c>
      <c r="C1478" s="2" t="s">
        <v>22</v>
      </c>
      <c r="D1478" s="3">
        <f t="shared" si="173"/>
        <v>163.97800000000001</v>
      </c>
      <c r="E1478" s="3">
        <f t="shared" si="174"/>
        <v>63.036999999999999</v>
      </c>
      <c r="F1478" s="3" t="e">
        <f t="shared" si="175"/>
        <v>#N/A</v>
      </c>
      <c r="G1478" s="3" t="e">
        <f t="shared" si="176"/>
        <v>#N/A</v>
      </c>
      <c r="H1478" s="3" t="e">
        <f t="shared" si="177"/>
        <v>#N/A</v>
      </c>
      <c r="I1478" s="3" t="e">
        <f t="shared" si="178"/>
        <v>#N/A</v>
      </c>
      <c r="J1478" s="2">
        <v>163978</v>
      </c>
      <c r="K1478" s="2">
        <v>63037</v>
      </c>
      <c r="P1478" s="3">
        <f>E1478*(VLOOKUP(B1478,Price_data!A$1:B$190,2,FALSE))</f>
        <v>269.56242265795703</v>
      </c>
      <c r="Q1478" s="3" t="e">
        <f>G1478*(VLOOKUP(B1478,Price_data!A$1:B$190,2,FALSE))</f>
        <v>#N/A</v>
      </c>
      <c r="R1478" s="3" t="e">
        <f>I1478*(VLOOKUP(B1478,Price_data!A$1:B$190,2,FALSE))</f>
        <v>#N/A</v>
      </c>
      <c r="S1478" s="4" t="str">
        <f>(VLOOKUP(B1478,Price_data!A$1:C$190,3,FALSE))</f>
        <v>EEZ</v>
      </c>
      <c r="T1478" s="2" t="str">
        <f>IF(C1478="Total", (VLOOKUP(B1478,Recommended_fish_intake!A$4:D$122,4,FALSE)), "NA")</f>
        <v>NA</v>
      </c>
      <c r="U1478" s="2" t="str">
        <f t="shared" si="179"/>
        <v>NA</v>
      </c>
    </row>
    <row r="1479" spans="1:21" ht="14.25" customHeight="1">
      <c r="A1479" s="2" t="s">
        <v>18</v>
      </c>
      <c r="B1479" s="2">
        <v>1976</v>
      </c>
      <c r="C1479" s="2" t="s">
        <v>23</v>
      </c>
      <c r="D1479" s="3">
        <f t="shared" si="173"/>
        <v>36.619</v>
      </c>
      <c r="E1479" s="3">
        <f t="shared" si="174"/>
        <v>11.621</v>
      </c>
      <c r="F1479" s="3" t="e">
        <f t="shared" si="175"/>
        <v>#N/A</v>
      </c>
      <c r="G1479" s="3" t="e">
        <f t="shared" si="176"/>
        <v>#N/A</v>
      </c>
      <c r="H1479" s="3" t="e">
        <f t="shared" si="177"/>
        <v>#N/A</v>
      </c>
      <c r="I1479" s="3" t="e">
        <f t="shared" si="178"/>
        <v>#N/A</v>
      </c>
      <c r="J1479" s="2">
        <v>36619</v>
      </c>
      <c r="K1479" s="2">
        <v>11621</v>
      </c>
      <c r="P1479" s="3">
        <f>E1479*(VLOOKUP(B1479,Price_data!A$1:B$190,2,FALSE))</f>
        <v>49.694384467981003</v>
      </c>
      <c r="Q1479" s="3" t="e">
        <f>G1479*(VLOOKUP(B1479,Price_data!A$1:B$190,2,FALSE))</f>
        <v>#N/A</v>
      </c>
      <c r="R1479" s="3" t="e">
        <f>I1479*(VLOOKUP(B1479,Price_data!A$1:B$190,2,FALSE))</f>
        <v>#N/A</v>
      </c>
      <c r="S1479" s="4" t="str">
        <f>(VLOOKUP(B1479,Price_data!A$1:C$190,3,FALSE))</f>
        <v>EEZ</v>
      </c>
      <c r="T1479" s="2" t="str">
        <f>IF(C1479="Total", (VLOOKUP(B1479,Recommended_fish_intake!A$4:D$122,4,FALSE)), "NA")</f>
        <v>NA</v>
      </c>
      <c r="U1479" s="2" t="str">
        <f t="shared" si="179"/>
        <v>NA</v>
      </c>
    </row>
    <row r="1480" spans="1:21" ht="14.25" customHeight="1">
      <c r="A1480" s="2" t="s">
        <v>18</v>
      </c>
      <c r="B1480" s="2">
        <v>1976</v>
      </c>
      <c r="C1480" s="2" t="s">
        <v>25</v>
      </c>
      <c r="D1480" s="3">
        <f t="shared" si="173"/>
        <v>27.856000000000002</v>
      </c>
      <c r="E1480" s="3">
        <f t="shared" si="174"/>
        <v>10.878</v>
      </c>
      <c r="F1480" s="3" t="e">
        <f t="shared" si="175"/>
        <v>#N/A</v>
      </c>
      <c r="G1480" s="3" t="e">
        <f t="shared" si="176"/>
        <v>#N/A</v>
      </c>
      <c r="H1480" s="3" t="e">
        <f t="shared" si="177"/>
        <v>#N/A</v>
      </c>
      <c r="I1480" s="3" t="e">
        <f t="shared" si="178"/>
        <v>#N/A</v>
      </c>
      <c r="J1480" s="2">
        <v>27856</v>
      </c>
      <c r="K1480" s="2">
        <v>10878</v>
      </c>
      <c r="P1480" s="3">
        <f>E1480*(VLOOKUP(B1480,Price_data!A$1:B$190,2,FALSE))</f>
        <v>46.517125397358001</v>
      </c>
      <c r="Q1480" s="3" t="e">
        <f>G1480*(VLOOKUP(B1480,Price_data!A$1:B$190,2,FALSE))</f>
        <v>#N/A</v>
      </c>
      <c r="R1480" s="3" t="e">
        <f>I1480*(VLOOKUP(B1480,Price_data!A$1:B$190,2,FALSE))</f>
        <v>#N/A</v>
      </c>
      <c r="S1480" s="4" t="str">
        <f>(VLOOKUP(B1480,Price_data!A$1:C$190,3,FALSE))</f>
        <v>EEZ</v>
      </c>
      <c r="T1480" s="2" t="str">
        <f>IF(C1480="Total", (VLOOKUP(B1480,Recommended_fish_intake!A$4:D$122,4,FALSE)), "NA")</f>
        <v>NA</v>
      </c>
      <c r="U1480" s="2" t="str">
        <f t="shared" si="179"/>
        <v>NA</v>
      </c>
    </row>
    <row r="1481" spans="1:21" ht="14.25" customHeight="1">
      <c r="A1481" s="2" t="s">
        <v>18</v>
      </c>
      <c r="B1481" s="2">
        <v>1976</v>
      </c>
      <c r="C1481" s="2" t="s">
        <v>38</v>
      </c>
      <c r="D1481" s="3">
        <f t="shared" si="173"/>
        <v>19.356000000000002</v>
      </c>
      <c r="E1481" s="3">
        <f t="shared" si="174"/>
        <v>3.54</v>
      </c>
      <c r="F1481" s="3" t="e">
        <f t="shared" si="175"/>
        <v>#N/A</v>
      </c>
      <c r="G1481" s="3" t="e">
        <f t="shared" si="176"/>
        <v>#N/A</v>
      </c>
      <c r="H1481" s="3" t="e">
        <f t="shared" si="177"/>
        <v>#N/A</v>
      </c>
      <c r="I1481" s="3" t="e">
        <f t="shared" si="178"/>
        <v>#N/A</v>
      </c>
      <c r="J1481" s="2">
        <v>19356</v>
      </c>
      <c r="K1481" s="2">
        <v>3540</v>
      </c>
      <c r="P1481" s="3">
        <f>E1481*(VLOOKUP(B1481,Price_data!A$1:B$190,2,FALSE))</f>
        <v>15.137950349940001</v>
      </c>
      <c r="Q1481" s="3" t="e">
        <f>G1481*(VLOOKUP(B1481,Price_data!A$1:B$190,2,FALSE))</f>
        <v>#N/A</v>
      </c>
      <c r="R1481" s="3" t="e">
        <f>I1481*(VLOOKUP(B1481,Price_data!A$1:B$190,2,FALSE))</f>
        <v>#N/A</v>
      </c>
      <c r="S1481" s="4" t="str">
        <f>(VLOOKUP(B1481,Price_data!A$1:C$190,3,FALSE))</f>
        <v>EEZ</v>
      </c>
      <c r="T1481" s="2" t="str">
        <f>IF(C1481="Total", (VLOOKUP(B1481,Recommended_fish_intake!A$4:D$122,4,FALSE)), "NA")</f>
        <v>NA</v>
      </c>
      <c r="U1481" s="2" t="str">
        <f t="shared" si="179"/>
        <v>NA</v>
      </c>
    </row>
    <row r="1482" spans="1:21" ht="14.25" customHeight="1">
      <c r="A1482" s="2" t="s">
        <v>18</v>
      </c>
      <c r="B1482" s="2">
        <v>1976</v>
      </c>
      <c r="C1482" s="2" t="s">
        <v>24</v>
      </c>
      <c r="D1482" s="3">
        <f t="shared" si="173"/>
        <v>6.9240000000000004</v>
      </c>
      <c r="E1482" s="3">
        <f t="shared" si="174"/>
        <v>1.33</v>
      </c>
      <c r="F1482" s="3" t="e">
        <f t="shared" si="175"/>
        <v>#N/A</v>
      </c>
      <c r="G1482" s="3" t="e">
        <f t="shared" si="176"/>
        <v>#N/A</v>
      </c>
      <c r="H1482" s="3" t="e">
        <f t="shared" si="177"/>
        <v>#N/A</v>
      </c>
      <c r="I1482" s="3" t="e">
        <f t="shared" si="178"/>
        <v>#N/A</v>
      </c>
      <c r="J1482" s="2">
        <v>6924</v>
      </c>
      <c r="K1482" s="2">
        <v>1330</v>
      </c>
      <c r="P1482" s="3">
        <f>E1482*(VLOOKUP(B1482,Price_data!A$1:B$190,2,FALSE))</f>
        <v>5.6874220241300009</v>
      </c>
      <c r="Q1482" s="3" t="e">
        <f>G1482*(VLOOKUP(B1482,Price_data!A$1:B$190,2,FALSE))</f>
        <v>#N/A</v>
      </c>
      <c r="R1482" s="3" t="e">
        <f>I1482*(VLOOKUP(B1482,Price_data!A$1:B$190,2,FALSE))</f>
        <v>#N/A</v>
      </c>
      <c r="S1482" s="4" t="str">
        <f>(VLOOKUP(B1482,Price_data!A$1:C$190,3,FALSE))</f>
        <v>EEZ</v>
      </c>
      <c r="T1482" s="2" t="str">
        <f>IF(C1482="Total", (VLOOKUP(B1482,Recommended_fish_intake!A$4:D$122,4,FALSE)), "NA")</f>
        <v>NA</v>
      </c>
      <c r="U1482" s="2" t="str">
        <f t="shared" si="179"/>
        <v>NA</v>
      </c>
    </row>
    <row r="1483" spans="1:21" ht="14.25" customHeight="1">
      <c r="A1483" s="2" t="s">
        <v>18</v>
      </c>
      <c r="B1483" s="2">
        <v>1976</v>
      </c>
      <c r="C1483" s="2" t="s">
        <v>19</v>
      </c>
      <c r="D1483" s="3">
        <f t="shared" si="173"/>
        <v>12.163</v>
      </c>
      <c r="E1483" s="3">
        <f t="shared" si="174"/>
        <v>1.454</v>
      </c>
      <c r="F1483" s="3" t="e">
        <f t="shared" si="175"/>
        <v>#N/A</v>
      </c>
      <c r="G1483" s="3" t="e">
        <f t="shared" si="176"/>
        <v>#N/A</v>
      </c>
      <c r="H1483" s="3" t="e">
        <f t="shared" si="177"/>
        <v>#N/A</v>
      </c>
      <c r="I1483" s="3" t="e">
        <f t="shared" si="178"/>
        <v>#N/A</v>
      </c>
      <c r="J1483" s="2">
        <v>12163</v>
      </c>
      <c r="K1483" s="2">
        <v>1454</v>
      </c>
      <c r="P1483" s="3">
        <f>E1483*(VLOOKUP(B1483,Price_data!A$1:B$190,2,FALSE))</f>
        <v>6.2176779120940004</v>
      </c>
      <c r="Q1483" s="3" t="e">
        <f>G1483*(VLOOKUP(B1483,Price_data!A$1:B$190,2,FALSE))</f>
        <v>#N/A</v>
      </c>
      <c r="R1483" s="3" t="e">
        <f>I1483*(VLOOKUP(B1483,Price_data!A$1:B$190,2,FALSE))</f>
        <v>#N/A</v>
      </c>
      <c r="S1483" s="4" t="str">
        <f>(VLOOKUP(B1483,Price_data!A$1:C$190,3,FALSE))</f>
        <v>EEZ</v>
      </c>
      <c r="T1483" s="2" t="str">
        <f>IF(C1483="Total", (VLOOKUP(B1483,Recommended_fish_intake!A$4:D$122,4,FALSE)), "NA")</f>
        <v>NA</v>
      </c>
      <c r="U1483" s="2" t="str">
        <f t="shared" si="179"/>
        <v>NA</v>
      </c>
    </row>
    <row r="1484" spans="1:21" ht="14.25" customHeight="1">
      <c r="A1484" s="2" t="s">
        <v>18</v>
      </c>
      <c r="B1484" s="2">
        <v>1976</v>
      </c>
      <c r="C1484" s="2" t="s">
        <v>20</v>
      </c>
      <c r="D1484" s="3">
        <f t="shared" si="173"/>
        <v>57.396999999999998</v>
      </c>
      <c r="E1484" s="3">
        <f t="shared" si="174"/>
        <v>3.5750000000000002</v>
      </c>
      <c r="F1484" s="3" t="e">
        <f t="shared" si="175"/>
        <v>#N/A</v>
      </c>
      <c r="G1484" s="3" t="e">
        <f t="shared" si="176"/>
        <v>#N/A</v>
      </c>
      <c r="H1484" s="3" t="e">
        <f t="shared" si="177"/>
        <v>#N/A</v>
      </c>
      <c r="I1484" s="3" t="e">
        <f t="shared" si="178"/>
        <v>#N/A</v>
      </c>
      <c r="J1484" s="2">
        <v>57397</v>
      </c>
      <c r="K1484" s="2">
        <v>3575</v>
      </c>
      <c r="P1484" s="3">
        <f>E1484*(VLOOKUP(B1484,Price_data!A$1:B$190,2,FALSE))</f>
        <v>15.287619350575001</v>
      </c>
      <c r="Q1484" s="3" t="e">
        <f>G1484*(VLOOKUP(B1484,Price_data!A$1:B$190,2,FALSE))</f>
        <v>#N/A</v>
      </c>
      <c r="R1484" s="3" t="e">
        <f>I1484*(VLOOKUP(B1484,Price_data!A$1:B$190,2,FALSE))</f>
        <v>#N/A</v>
      </c>
      <c r="S1484" s="4" t="str">
        <f>(VLOOKUP(B1484,Price_data!A$1:C$190,3,FALSE))</f>
        <v>EEZ</v>
      </c>
      <c r="T1484" s="2" t="str">
        <f>IF(C1484="Total", (VLOOKUP(B1484,Recommended_fish_intake!A$4:D$122,4,FALSE)), "NA")</f>
        <v>NA</v>
      </c>
      <c r="U1484" s="2" t="str">
        <f t="shared" si="179"/>
        <v>NA</v>
      </c>
    </row>
    <row r="1485" spans="1:21" ht="14.25" customHeight="1">
      <c r="A1485" s="2" t="s">
        <v>18</v>
      </c>
      <c r="B1485" s="2">
        <v>1976</v>
      </c>
      <c r="C1485" s="2" t="s">
        <v>21</v>
      </c>
      <c r="D1485" s="3">
        <f t="shared" si="173"/>
        <v>53.168999999999997</v>
      </c>
      <c r="E1485" s="3">
        <f t="shared" si="174"/>
        <v>1.883</v>
      </c>
      <c r="F1485" s="3" t="e">
        <f t="shared" si="175"/>
        <v>#N/A</v>
      </c>
      <c r="G1485" s="3" t="e">
        <f t="shared" si="176"/>
        <v>#N/A</v>
      </c>
      <c r="H1485" s="3" t="e">
        <f t="shared" si="177"/>
        <v>#N/A</v>
      </c>
      <c r="I1485" s="3" t="e">
        <f t="shared" si="178"/>
        <v>#N/A</v>
      </c>
      <c r="J1485" s="2">
        <v>53169</v>
      </c>
      <c r="K1485" s="2">
        <v>1883</v>
      </c>
      <c r="P1485" s="3">
        <f>E1485*(VLOOKUP(B1485,Price_data!A$1:B$190,2,FALSE))</f>
        <v>8.0521922341629999</v>
      </c>
      <c r="Q1485" s="3" t="e">
        <f>G1485*(VLOOKUP(B1485,Price_data!A$1:B$190,2,FALSE))</f>
        <v>#N/A</v>
      </c>
      <c r="R1485" s="3" t="e">
        <f>I1485*(VLOOKUP(B1485,Price_data!A$1:B$190,2,FALSE))</f>
        <v>#N/A</v>
      </c>
      <c r="S1485" s="4" t="str">
        <f>(VLOOKUP(B1485,Price_data!A$1:C$190,3,FALSE))</f>
        <v>EEZ</v>
      </c>
      <c r="T1485" s="2" t="str">
        <f>IF(C1485="Total", (VLOOKUP(B1485,Recommended_fish_intake!A$4:D$122,4,FALSE)), "NA")</f>
        <v>NA</v>
      </c>
      <c r="U1485" s="2" t="str">
        <f t="shared" si="179"/>
        <v>NA</v>
      </c>
    </row>
    <row r="1486" spans="1:21" ht="14.25" customHeight="1">
      <c r="A1486" s="2" t="s">
        <v>18</v>
      </c>
      <c r="B1486" s="2">
        <v>1976</v>
      </c>
      <c r="C1486" s="2" t="s">
        <v>37</v>
      </c>
      <c r="D1486" s="3">
        <f t="shared" si="173"/>
        <v>426.08800000000002</v>
      </c>
      <c r="E1486" s="3">
        <f t="shared" si="174"/>
        <v>111.502</v>
      </c>
      <c r="F1486" s="3" t="e">
        <f t="shared" si="175"/>
        <v>#N/A</v>
      </c>
      <c r="G1486" s="3" t="e">
        <f t="shared" si="176"/>
        <v>#N/A</v>
      </c>
      <c r="H1486" s="3" t="e">
        <f t="shared" si="177"/>
        <v>#N/A</v>
      </c>
      <c r="I1486" s="3" t="e">
        <f t="shared" si="178"/>
        <v>#N/A</v>
      </c>
      <c r="J1486" s="2">
        <v>426088</v>
      </c>
      <c r="K1486" s="2">
        <v>111502</v>
      </c>
      <c r="P1486" s="3">
        <f>E1486*(VLOOKUP(B1486,Price_data!A$1:B$190,2,FALSE))</f>
        <v>476.81122596582202</v>
      </c>
      <c r="Q1486" s="3" t="e">
        <f>G1486*(VLOOKUP(B1486,Price_data!A$1:B$190,2,FALSE))</f>
        <v>#N/A</v>
      </c>
      <c r="R1486" s="3" t="e">
        <f>I1486*(VLOOKUP(B1486,Price_data!A$1:B$190,2,FALSE))</f>
        <v>#N/A</v>
      </c>
      <c r="S1486" s="4" t="str">
        <f>(VLOOKUP(B1486,Price_data!A$1:C$190,3,FALSE))</f>
        <v>EEZ</v>
      </c>
      <c r="T1486" s="2" t="str">
        <f>IF(C1486="Total", (VLOOKUP(B1486,Recommended_fish_intake!A$4:D$122,4,FALSE)), "NA")</f>
        <v>NA</v>
      </c>
      <c r="U1486" s="2">
        <f t="shared" si="179"/>
        <v>208.78312</v>
      </c>
    </row>
    <row r="1487" spans="1:21" ht="14.25" customHeight="1">
      <c r="A1487" s="2" t="s">
        <v>18</v>
      </c>
      <c r="B1487" s="2">
        <v>1976</v>
      </c>
      <c r="C1487" s="2" t="s">
        <v>36</v>
      </c>
      <c r="D1487" s="3">
        <f t="shared" si="173"/>
        <v>5.7140000000000004</v>
      </c>
      <c r="E1487" s="3">
        <f t="shared" si="174"/>
        <v>1.647</v>
      </c>
      <c r="F1487" s="3" t="e">
        <f t="shared" si="175"/>
        <v>#N/A</v>
      </c>
      <c r="G1487" s="3" t="e">
        <f t="shared" si="176"/>
        <v>#N/A</v>
      </c>
      <c r="H1487" s="3" t="e">
        <f t="shared" si="177"/>
        <v>#N/A</v>
      </c>
      <c r="I1487" s="3" t="e">
        <f t="shared" si="178"/>
        <v>#N/A</v>
      </c>
      <c r="J1487" s="2">
        <v>5714</v>
      </c>
      <c r="K1487" s="2">
        <v>1647</v>
      </c>
      <c r="P1487" s="3">
        <f>E1487*(VLOOKUP(B1487,Price_data!A$1:B$190,2,FALSE))</f>
        <v>7.0429955441670007</v>
      </c>
      <c r="Q1487" s="3" t="e">
        <f>G1487*(VLOOKUP(B1487,Price_data!A$1:B$190,2,FALSE))</f>
        <v>#N/A</v>
      </c>
      <c r="R1487" s="3" t="e">
        <f>I1487*(VLOOKUP(B1487,Price_data!A$1:B$190,2,FALSE))</f>
        <v>#N/A</v>
      </c>
      <c r="S1487" s="4" t="str">
        <f>(VLOOKUP(B1487,Price_data!A$1:C$190,3,FALSE))</f>
        <v>EEZ</v>
      </c>
      <c r="T1487" s="2" t="str">
        <f>IF(C1487="Total", (VLOOKUP(B1487,Recommended_fish_intake!A$4:D$122,4,FALSE)), "NA")</f>
        <v>NA</v>
      </c>
      <c r="U1487" s="2" t="str">
        <f t="shared" si="179"/>
        <v>NA</v>
      </c>
    </row>
    <row r="1488" spans="1:21" ht="14.25" customHeight="1">
      <c r="A1488" s="2" t="s">
        <v>18</v>
      </c>
      <c r="B1488" s="2">
        <v>1976</v>
      </c>
      <c r="C1488" s="2" t="s">
        <v>52</v>
      </c>
      <c r="D1488" s="3">
        <f t="shared" si="173"/>
        <v>6.5780000000000003</v>
      </c>
      <c r="E1488" s="3">
        <f t="shared" si="174"/>
        <v>1.891</v>
      </c>
      <c r="F1488" s="3" t="e">
        <f t="shared" si="175"/>
        <v>#N/A</v>
      </c>
      <c r="G1488" s="3" t="e">
        <f t="shared" si="176"/>
        <v>#N/A</v>
      </c>
      <c r="H1488" s="3" t="e">
        <f t="shared" si="177"/>
        <v>#N/A</v>
      </c>
      <c r="I1488" s="3" t="e">
        <f t="shared" si="178"/>
        <v>#N/A</v>
      </c>
      <c r="J1488" s="2">
        <v>6578</v>
      </c>
      <c r="K1488" s="2">
        <v>1891</v>
      </c>
      <c r="P1488" s="3">
        <f>E1488*(VLOOKUP(B1488,Price_data!A$1:B$190,2,FALSE))</f>
        <v>8.0864022914509999</v>
      </c>
      <c r="Q1488" s="3" t="e">
        <f>G1488*(VLOOKUP(B1488,Price_data!A$1:B$190,2,FALSE))</f>
        <v>#N/A</v>
      </c>
      <c r="R1488" s="3" t="e">
        <f>I1488*(VLOOKUP(B1488,Price_data!A$1:B$190,2,FALSE))</f>
        <v>#N/A</v>
      </c>
      <c r="S1488" s="4" t="str">
        <f>(VLOOKUP(B1488,Price_data!A$1:C$190,3,FALSE))</f>
        <v>EEZ</v>
      </c>
      <c r="T1488" s="2" t="str">
        <f>IF(C1488="Total", (VLOOKUP(B1488,Recommended_fish_intake!A$4:D$122,4,FALSE)), "NA")</f>
        <v>NA</v>
      </c>
      <c r="U1488" s="2" t="str">
        <f t="shared" si="179"/>
        <v>NA</v>
      </c>
    </row>
    <row r="1489" spans="1:21" ht="14.25" customHeight="1">
      <c r="A1489" s="2" t="s">
        <v>18</v>
      </c>
      <c r="B1489" s="2">
        <v>1976</v>
      </c>
      <c r="C1489" s="2" t="s">
        <v>34</v>
      </c>
      <c r="D1489" s="3">
        <f t="shared" si="173"/>
        <v>0.34799999999999998</v>
      </c>
      <c r="E1489" s="3">
        <f t="shared" si="174"/>
        <v>1.2549999999999999</v>
      </c>
      <c r="F1489" s="3" t="e">
        <f t="shared" si="175"/>
        <v>#N/A</v>
      </c>
      <c r="G1489" s="3" t="e">
        <f t="shared" si="176"/>
        <v>#N/A</v>
      </c>
      <c r="H1489" s="3" t="e">
        <f t="shared" si="177"/>
        <v>#N/A</v>
      </c>
      <c r="I1489" s="3" t="e">
        <f t="shared" si="178"/>
        <v>#N/A</v>
      </c>
      <c r="J1489" s="2">
        <v>348</v>
      </c>
      <c r="K1489" s="2">
        <v>1255</v>
      </c>
      <c r="P1489" s="3">
        <f>E1489*(VLOOKUP(B1489,Price_data!A$1:B$190,2,FALSE))</f>
        <v>5.3667027370550002</v>
      </c>
      <c r="Q1489" s="3" t="e">
        <f>G1489*(VLOOKUP(B1489,Price_data!A$1:B$190,2,FALSE))</f>
        <v>#N/A</v>
      </c>
      <c r="R1489" s="3" t="e">
        <f>I1489*(VLOOKUP(B1489,Price_data!A$1:B$190,2,FALSE))</f>
        <v>#N/A</v>
      </c>
      <c r="S1489" s="4" t="str">
        <f>(VLOOKUP(B1489,Price_data!A$1:C$190,3,FALSE))</f>
        <v>EEZ</v>
      </c>
      <c r="T1489" s="2" t="str">
        <f>IF(C1489="Total", (VLOOKUP(B1489,Recommended_fish_intake!A$4:D$122,4,FALSE)), "NA")</f>
        <v>NA</v>
      </c>
      <c r="U1489" s="2" t="str">
        <f t="shared" si="179"/>
        <v>NA</v>
      </c>
    </row>
    <row r="1490" spans="1:21" ht="14.25" customHeight="1">
      <c r="A1490" s="2" t="s">
        <v>18</v>
      </c>
      <c r="B1490" s="2">
        <v>1976</v>
      </c>
      <c r="C1490" s="2" t="s">
        <v>35</v>
      </c>
      <c r="D1490" s="3">
        <f t="shared" si="173"/>
        <v>1.734</v>
      </c>
      <c r="E1490" s="3">
        <f t="shared" si="174"/>
        <v>1.0529999999999999</v>
      </c>
      <c r="F1490" s="3" t="e">
        <f t="shared" si="175"/>
        <v>#N/A</v>
      </c>
      <c r="G1490" s="3" t="e">
        <f t="shared" si="176"/>
        <v>#N/A</v>
      </c>
      <c r="H1490" s="3" t="e">
        <f t="shared" si="177"/>
        <v>#N/A</v>
      </c>
      <c r="I1490" s="3" t="e">
        <f t="shared" si="178"/>
        <v>#N/A</v>
      </c>
      <c r="J1490" s="2">
        <v>1734</v>
      </c>
      <c r="K1490" s="2">
        <v>1053</v>
      </c>
      <c r="P1490" s="3">
        <f>E1490*(VLOOKUP(B1490,Price_data!A$1:B$190,2,FALSE))</f>
        <v>4.502898790533</v>
      </c>
      <c r="Q1490" s="3" t="e">
        <f>G1490*(VLOOKUP(B1490,Price_data!A$1:B$190,2,FALSE))</f>
        <v>#N/A</v>
      </c>
      <c r="R1490" s="3" t="e">
        <f>I1490*(VLOOKUP(B1490,Price_data!A$1:B$190,2,FALSE))</f>
        <v>#N/A</v>
      </c>
      <c r="S1490" s="4" t="str">
        <f>(VLOOKUP(B1490,Price_data!A$1:C$190,3,FALSE))</f>
        <v>EEZ</v>
      </c>
      <c r="T1490" s="2" t="str">
        <f>IF(C1490="Total", (VLOOKUP(B1490,Recommended_fish_intake!A$4:D$122,4,FALSE)), "NA")</f>
        <v>NA</v>
      </c>
      <c r="U1490" s="2" t="str">
        <f t="shared" si="179"/>
        <v>NA</v>
      </c>
    </row>
    <row r="1491" spans="1:21" ht="14.25" customHeight="1">
      <c r="A1491" s="2" t="s">
        <v>18</v>
      </c>
      <c r="B1491" s="2">
        <v>1976</v>
      </c>
      <c r="C1491" s="2" t="s">
        <v>30</v>
      </c>
      <c r="D1491" s="3">
        <f t="shared" si="173"/>
        <v>1.238</v>
      </c>
      <c r="E1491" s="3">
        <f t="shared" si="174"/>
        <v>0.43</v>
      </c>
      <c r="F1491" s="3" t="e">
        <f t="shared" si="175"/>
        <v>#N/A</v>
      </c>
      <c r="G1491" s="3" t="e">
        <f t="shared" si="176"/>
        <v>#N/A</v>
      </c>
      <c r="H1491" s="3" t="e">
        <f t="shared" si="177"/>
        <v>#N/A</v>
      </c>
      <c r="I1491" s="3" t="e">
        <f t="shared" si="178"/>
        <v>#N/A</v>
      </c>
      <c r="J1491" s="2">
        <v>1238</v>
      </c>
      <c r="K1491" s="2">
        <v>430</v>
      </c>
      <c r="P1491" s="3">
        <f>E1491*(VLOOKUP(B1491,Price_data!A$1:B$190,2,FALSE))</f>
        <v>1.8387905792300001</v>
      </c>
      <c r="Q1491" s="3" t="e">
        <f>G1491*(VLOOKUP(B1491,Price_data!A$1:B$190,2,FALSE))</f>
        <v>#N/A</v>
      </c>
      <c r="R1491" s="3" t="e">
        <f>I1491*(VLOOKUP(B1491,Price_data!A$1:B$190,2,FALSE))</f>
        <v>#N/A</v>
      </c>
      <c r="S1491" s="4" t="str">
        <f>(VLOOKUP(B1491,Price_data!A$1:C$190,3,FALSE))</f>
        <v>EEZ</v>
      </c>
      <c r="T1491" s="2" t="str">
        <f>IF(C1491="Total", (VLOOKUP(B1491,Recommended_fish_intake!A$4:D$122,4,FALSE)), "NA")</f>
        <v>NA</v>
      </c>
      <c r="U1491" s="2" t="str">
        <f t="shared" si="179"/>
        <v>NA</v>
      </c>
    </row>
    <row r="1492" spans="1:21" ht="14.25" customHeight="1">
      <c r="A1492" s="2" t="s">
        <v>18</v>
      </c>
      <c r="B1492" s="2">
        <v>1976</v>
      </c>
      <c r="C1492" s="2" t="s">
        <v>28</v>
      </c>
      <c r="D1492" s="3">
        <f t="shared" si="173"/>
        <v>48.877000000000002</v>
      </c>
      <c r="E1492" s="3">
        <f t="shared" si="174"/>
        <v>9.1579999999999995</v>
      </c>
      <c r="F1492" s="3" t="e">
        <f t="shared" si="175"/>
        <v>#N/A</v>
      </c>
      <c r="G1492" s="3" t="e">
        <f t="shared" si="176"/>
        <v>#N/A</v>
      </c>
      <c r="H1492" s="3" t="e">
        <f t="shared" si="177"/>
        <v>#N/A</v>
      </c>
      <c r="I1492" s="3" t="e">
        <f t="shared" si="178"/>
        <v>#N/A</v>
      </c>
      <c r="J1492" s="2">
        <v>48877</v>
      </c>
      <c r="K1492" s="2">
        <v>9158</v>
      </c>
      <c r="P1492" s="3">
        <f>E1492*(VLOOKUP(B1492,Price_data!A$1:B$190,2,FALSE))</f>
        <v>39.161963080437999</v>
      </c>
      <c r="Q1492" s="3" t="e">
        <f>G1492*(VLOOKUP(B1492,Price_data!A$1:B$190,2,FALSE))</f>
        <v>#N/A</v>
      </c>
      <c r="R1492" s="3" t="e">
        <f>I1492*(VLOOKUP(B1492,Price_data!A$1:B$190,2,FALSE))</f>
        <v>#N/A</v>
      </c>
      <c r="S1492" s="4" t="str">
        <f>(VLOOKUP(B1492,Price_data!A$1:C$190,3,FALSE))</f>
        <v>EEZ</v>
      </c>
      <c r="T1492" s="2" t="str">
        <f>IF(C1492="Total", (VLOOKUP(B1492,Recommended_fish_intake!A$4:D$122,4,FALSE)), "NA")</f>
        <v>NA</v>
      </c>
      <c r="U1492" s="2">
        <f t="shared" si="179"/>
        <v>13.685560000000002</v>
      </c>
    </row>
    <row r="1493" spans="1:21" ht="14.25" customHeight="1">
      <c r="A1493" s="2" t="s">
        <v>39</v>
      </c>
      <c r="B1493" s="2">
        <v>1976</v>
      </c>
      <c r="C1493" s="2" t="s">
        <v>22</v>
      </c>
      <c r="D1493" s="3">
        <f t="shared" si="173"/>
        <v>47.142000000000003</v>
      </c>
      <c r="E1493" s="3">
        <f t="shared" si="174"/>
        <v>16.914000000000001</v>
      </c>
      <c r="F1493" s="3" t="e">
        <f t="shared" si="175"/>
        <v>#N/A</v>
      </c>
      <c r="G1493" s="3" t="e">
        <f t="shared" si="176"/>
        <v>#N/A</v>
      </c>
      <c r="H1493" s="3" t="e">
        <f t="shared" si="177"/>
        <v>#N/A</v>
      </c>
      <c r="I1493" s="3" t="e">
        <f t="shared" si="178"/>
        <v>#N/A</v>
      </c>
      <c r="J1493" s="2">
        <v>47142</v>
      </c>
      <c r="K1493" s="2">
        <v>16914</v>
      </c>
      <c r="P1493" s="3">
        <f>E1493*(VLOOKUP(B1493,Price_data!A$1:B$190,2,FALSE))</f>
        <v>72.328613621154005</v>
      </c>
      <c r="Q1493" s="3" t="e">
        <f>G1493*(VLOOKUP(B1493,Price_data!A$1:B$190,2,FALSE))</f>
        <v>#N/A</v>
      </c>
      <c r="R1493" s="3" t="e">
        <f>I1493*(VLOOKUP(B1493,Price_data!A$1:B$190,2,FALSE))</f>
        <v>#N/A</v>
      </c>
      <c r="S1493" s="4" t="str">
        <f>(VLOOKUP(B1493,Price_data!A$1:C$190,3,FALSE))</f>
        <v>EEZ</v>
      </c>
      <c r="T1493" s="2" t="str">
        <f>IF(C1493="Total", (VLOOKUP(B1493,Recommended_fish_intake!A$4:D$122,4,FALSE)), "NA")</f>
        <v>NA</v>
      </c>
      <c r="U1493" s="2" t="str">
        <f t="shared" si="179"/>
        <v>NA</v>
      </c>
    </row>
    <row r="1494" spans="1:21" ht="14.25" customHeight="1">
      <c r="A1494" s="2" t="s">
        <v>39</v>
      </c>
      <c r="B1494" s="2">
        <v>1976</v>
      </c>
      <c r="C1494" s="2" t="s">
        <v>23</v>
      </c>
      <c r="D1494" s="3">
        <f t="shared" si="173"/>
        <v>90.837000000000003</v>
      </c>
      <c r="E1494" s="3">
        <f t="shared" si="174"/>
        <v>23.236000000000001</v>
      </c>
      <c r="F1494" s="3" t="e">
        <f t="shared" si="175"/>
        <v>#N/A</v>
      </c>
      <c r="G1494" s="3" t="e">
        <f t="shared" si="176"/>
        <v>#N/A</v>
      </c>
      <c r="H1494" s="3" t="e">
        <f t="shared" si="177"/>
        <v>#N/A</v>
      </c>
      <c r="I1494" s="3" t="e">
        <f t="shared" si="178"/>
        <v>#N/A</v>
      </c>
      <c r="J1494" s="2">
        <v>90837</v>
      </c>
      <c r="K1494" s="2">
        <v>23236</v>
      </c>
      <c r="P1494" s="3">
        <f>E1494*(VLOOKUP(B1494,Price_data!A$1:B$190,2,FALSE))</f>
        <v>99.363111392996004</v>
      </c>
      <c r="Q1494" s="3" t="e">
        <f>G1494*(VLOOKUP(B1494,Price_data!A$1:B$190,2,FALSE))</f>
        <v>#N/A</v>
      </c>
      <c r="R1494" s="3" t="e">
        <f>I1494*(VLOOKUP(B1494,Price_data!A$1:B$190,2,FALSE))</f>
        <v>#N/A</v>
      </c>
      <c r="S1494" s="4" t="str">
        <f>(VLOOKUP(B1494,Price_data!A$1:C$190,3,FALSE))</f>
        <v>EEZ</v>
      </c>
      <c r="T1494" s="2" t="str">
        <f>IF(C1494="Total", (VLOOKUP(B1494,Recommended_fish_intake!A$4:D$122,4,FALSE)), "NA")</f>
        <v>NA</v>
      </c>
      <c r="U1494" s="2" t="str">
        <f t="shared" si="179"/>
        <v>NA</v>
      </c>
    </row>
    <row r="1495" spans="1:21" ht="14.25" customHeight="1">
      <c r="A1495" s="2" t="s">
        <v>39</v>
      </c>
      <c r="B1495" s="2">
        <v>1976</v>
      </c>
      <c r="C1495" s="2" t="s">
        <v>25</v>
      </c>
      <c r="D1495" s="3">
        <f t="shared" si="173"/>
        <v>3.89</v>
      </c>
      <c r="E1495" s="3">
        <f t="shared" si="174"/>
        <v>1.3839999999999999</v>
      </c>
      <c r="F1495" s="3" t="e">
        <f t="shared" si="175"/>
        <v>#N/A</v>
      </c>
      <c r="G1495" s="3" t="e">
        <f t="shared" si="176"/>
        <v>#N/A</v>
      </c>
      <c r="H1495" s="3" t="e">
        <f t="shared" si="177"/>
        <v>#N/A</v>
      </c>
      <c r="I1495" s="3" t="e">
        <f t="shared" si="178"/>
        <v>#N/A</v>
      </c>
      <c r="J1495" s="2">
        <v>3890</v>
      </c>
      <c r="K1495" s="2">
        <v>1384</v>
      </c>
      <c r="P1495" s="3">
        <f>E1495*(VLOOKUP(B1495,Price_data!A$1:B$190,2,FALSE))</f>
        <v>5.9183399108239998</v>
      </c>
      <c r="Q1495" s="3" t="e">
        <f>G1495*(VLOOKUP(B1495,Price_data!A$1:B$190,2,FALSE))</f>
        <v>#N/A</v>
      </c>
      <c r="R1495" s="3" t="e">
        <f>I1495*(VLOOKUP(B1495,Price_data!A$1:B$190,2,FALSE))</f>
        <v>#N/A</v>
      </c>
      <c r="S1495" s="4" t="str">
        <f>(VLOOKUP(B1495,Price_data!A$1:C$190,3,FALSE))</f>
        <v>EEZ</v>
      </c>
      <c r="T1495" s="2" t="str">
        <f>IF(C1495="Total", (VLOOKUP(B1495,Recommended_fish_intake!A$4:D$122,4,FALSE)), "NA")</f>
        <v>NA</v>
      </c>
      <c r="U1495" s="2" t="str">
        <f t="shared" si="179"/>
        <v>NA</v>
      </c>
    </row>
    <row r="1496" spans="1:21" ht="14.25" customHeight="1">
      <c r="A1496" s="2" t="s">
        <v>39</v>
      </c>
      <c r="B1496" s="2">
        <v>1976</v>
      </c>
      <c r="C1496" s="2" t="s">
        <v>38</v>
      </c>
      <c r="D1496" s="3">
        <f t="shared" si="173"/>
        <v>21.02</v>
      </c>
      <c r="E1496" s="3">
        <f t="shared" si="174"/>
        <v>3.431</v>
      </c>
      <c r="F1496" s="3" t="e">
        <f t="shared" si="175"/>
        <v>#N/A</v>
      </c>
      <c r="G1496" s="3" t="e">
        <f t="shared" si="176"/>
        <v>#N/A</v>
      </c>
      <c r="H1496" s="3" t="e">
        <f t="shared" si="177"/>
        <v>#N/A</v>
      </c>
      <c r="I1496" s="3" t="e">
        <f t="shared" si="178"/>
        <v>#N/A</v>
      </c>
      <c r="J1496" s="2">
        <v>21020</v>
      </c>
      <c r="K1496" s="2">
        <v>3431</v>
      </c>
      <c r="P1496" s="3">
        <f>E1496*(VLOOKUP(B1496,Price_data!A$1:B$190,2,FALSE))</f>
        <v>14.671838319391</v>
      </c>
      <c r="Q1496" s="3" t="e">
        <f>G1496*(VLOOKUP(B1496,Price_data!A$1:B$190,2,FALSE))</f>
        <v>#N/A</v>
      </c>
      <c r="R1496" s="3" t="e">
        <f>I1496*(VLOOKUP(B1496,Price_data!A$1:B$190,2,FALSE))</f>
        <v>#N/A</v>
      </c>
      <c r="S1496" s="4" t="str">
        <f>(VLOOKUP(B1496,Price_data!A$1:C$190,3,FALSE))</f>
        <v>EEZ</v>
      </c>
      <c r="T1496" s="2" t="str">
        <f>IF(C1496="Total", (VLOOKUP(B1496,Recommended_fish_intake!A$4:D$122,4,FALSE)), "NA")</f>
        <v>NA</v>
      </c>
      <c r="U1496" s="2" t="str">
        <f t="shared" si="179"/>
        <v>NA</v>
      </c>
    </row>
    <row r="1497" spans="1:21" ht="14.25" customHeight="1">
      <c r="A1497" s="2" t="s">
        <v>39</v>
      </c>
      <c r="B1497" s="2">
        <v>1976</v>
      </c>
      <c r="C1497" s="2" t="s">
        <v>24</v>
      </c>
      <c r="D1497" s="3">
        <f t="shared" si="173"/>
        <v>39.209000000000003</v>
      </c>
      <c r="E1497" s="3">
        <f t="shared" si="174"/>
        <v>7.2409999999999997</v>
      </c>
      <c r="F1497" s="3" t="e">
        <f t="shared" si="175"/>
        <v>#N/A</v>
      </c>
      <c r="G1497" s="3" t="e">
        <f t="shared" si="176"/>
        <v>#N/A</v>
      </c>
      <c r="H1497" s="3" t="e">
        <f t="shared" si="177"/>
        <v>#N/A</v>
      </c>
      <c r="I1497" s="3" t="e">
        <f t="shared" si="178"/>
        <v>#N/A</v>
      </c>
      <c r="J1497" s="2">
        <v>39209</v>
      </c>
      <c r="K1497" s="2">
        <v>7241</v>
      </c>
      <c r="P1497" s="3">
        <f>E1497*(VLOOKUP(B1497,Price_data!A$1:B$190,2,FALSE))</f>
        <v>30.964378102801</v>
      </c>
      <c r="Q1497" s="3" t="e">
        <f>G1497*(VLOOKUP(B1497,Price_data!A$1:B$190,2,FALSE))</f>
        <v>#N/A</v>
      </c>
      <c r="R1497" s="3" t="e">
        <f>I1497*(VLOOKUP(B1497,Price_data!A$1:B$190,2,FALSE))</f>
        <v>#N/A</v>
      </c>
      <c r="S1497" s="4" t="str">
        <f>(VLOOKUP(B1497,Price_data!A$1:C$190,3,FALSE))</f>
        <v>EEZ</v>
      </c>
      <c r="T1497" s="2" t="str">
        <f>IF(C1497="Total", (VLOOKUP(B1497,Recommended_fish_intake!A$4:D$122,4,FALSE)), "NA")</f>
        <v>NA</v>
      </c>
      <c r="U1497" s="2" t="str">
        <f t="shared" si="179"/>
        <v>NA</v>
      </c>
    </row>
    <row r="1498" spans="1:21" ht="14.25" customHeight="1">
      <c r="A1498" s="2" t="s">
        <v>39</v>
      </c>
      <c r="B1498" s="2">
        <v>1976</v>
      </c>
      <c r="C1498" s="2" t="s">
        <v>19</v>
      </c>
      <c r="D1498" s="3">
        <f t="shared" si="173"/>
        <v>73.078999999999994</v>
      </c>
      <c r="E1498" s="3">
        <f t="shared" si="174"/>
        <v>9.3919999999999995</v>
      </c>
      <c r="F1498" s="3" t="e">
        <f t="shared" si="175"/>
        <v>#N/A</v>
      </c>
      <c r="G1498" s="3" t="e">
        <f t="shared" si="176"/>
        <v>#N/A</v>
      </c>
      <c r="H1498" s="3" t="e">
        <f t="shared" si="177"/>
        <v>#N/A</v>
      </c>
      <c r="I1498" s="3" t="e">
        <f t="shared" si="178"/>
        <v>#N/A</v>
      </c>
      <c r="J1498" s="2">
        <v>73079</v>
      </c>
      <c r="K1498" s="2">
        <v>9392</v>
      </c>
      <c r="P1498" s="3">
        <f>E1498*(VLOOKUP(B1498,Price_data!A$1:B$190,2,FALSE))</f>
        <v>40.162607256111997</v>
      </c>
      <c r="Q1498" s="3" t="e">
        <f>G1498*(VLOOKUP(B1498,Price_data!A$1:B$190,2,FALSE))</f>
        <v>#N/A</v>
      </c>
      <c r="R1498" s="3" t="e">
        <f>I1498*(VLOOKUP(B1498,Price_data!A$1:B$190,2,FALSE))</f>
        <v>#N/A</v>
      </c>
      <c r="S1498" s="4" t="str">
        <f>(VLOOKUP(B1498,Price_data!A$1:C$190,3,FALSE))</f>
        <v>EEZ</v>
      </c>
      <c r="T1498" s="2" t="str">
        <f>IF(C1498="Total", (VLOOKUP(B1498,Recommended_fish_intake!A$4:D$122,4,FALSE)), "NA")</f>
        <v>NA</v>
      </c>
      <c r="U1498" s="2" t="str">
        <f t="shared" si="179"/>
        <v>NA</v>
      </c>
    </row>
    <row r="1499" spans="1:21" ht="14.25" customHeight="1">
      <c r="A1499" s="2" t="s">
        <v>39</v>
      </c>
      <c r="B1499" s="2">
        <v>1976</v>
      </c>
      <c r="C1499" s="2" t="s">
        <v>20</v>
      </c>
      <c r="D1499" s="3">
        <f t="shared" si="173"/>
        <v>29.606000000000002</v>
      </c>
      <c r="E1499" s="3">
        <f t="shared" si="174"/>
        <v>1.671</v>
      </c>
      <c r="F1499" s="3" t="e">
        <f t="shared" si="175"/>
        <v>#N/A</v>
      </c>
      <c r="G1499" s="3" t="e">
        <f t="shared" si="176"/>
        <v>#N/A</v>
      </c>
      <c r="H1499" s="3" t="e">
        <f t="shared" si="177"/>
        <v>#N/A</v>
      </c>
      <c r="I1499" s="3" t="e">
        <f t="shared" si="178"/>
        <v>#N/A</v>
      </c>
      <c r="J1499" s="2">
        <v>29606</v>
      </c>
      <c r="K1499" s="2">
        <v>1671</v>
      </c>
      <c r="P1499" s="3">
        <f>E1499*(VLOOKUP(B1499,Price_data!A$1:B$190,2,FALSE))</f>
        <v>7.1456257160310006</v>
      </c>
      <c r="Q1499" s="3" t="e">
        <f>G1499*(VLOOKUP(B1499,Price_data!A$1:B$190,2,FALSE))</f>
        <v>#N/A</v>
      </c>
      <c r="R1499" s="3" t="e">
        <f>I1499*(VLOOKUP(B1499,Price_data!A$1:B$190,2,FALSE))</f>
        <v>#N/A</v>
      </c>
      <c r="S1499" s="4" t="str">
        <f>(VLOOKUP(B1499,Price_data!A$1:C$190,3,FALSE))</f>
        <v>EEZ</v>
      </c>
      <c r="T1499" s="2" t="str">
        <f>IF(C1499="Total", (VLOOKUP(B1499,Recommended_fish_intake!A$4:D$122,4,FALSE)), "NA")</f>
        <v>NA</v>
      </c>
      <c r="U1499" s="2" t="str">
        <f t="shared" si="179"/>
        <v>NA</v>
      </c>
    </row>
    <row r="1500" spans="1:21" ht="14.25" customHeight="1">
      <c r="A1500" s="2" t="s">
        <v>39</v>
      </c>
      <c r="B1500" s="2">
        <v>1976</v>
      </c>
      <c r="C1500" s="2" t="s">
        <v>21</v>
      </c>
      <c r="D1500" s="3">
        <f t="shared" si="173"/>
        <v>36.57</v>
      </c>
      <c r="E1500" s="3">
        <f t="shared" si="174"/>
        <v>1.411</v>
      </c>
      <c r="F1500" s="3" t="e">
        <f t="shared" si="175"/>
        <v>#N/A</v>
      </c>
      <c r="G1500" s="3" t="e">
        <f t="shared" si="176"/>
        <v>#N/A</v>
      </c>
      <c r="H1500" s="3" t="e">
        <f t="shared" si="177"/>
        <v>#N/A</v>
      </c>
      <c r="I1500" s="3" t="e">
        <f t="shared" si="178"/>
        <v>#N/A</v>
      </c>
      <c r="J1500" s="2">
        <v>36570</v>
      </c>
      <c r="K1500" s="2">
        <v>1411</v>
      </c>
      <c r="P1500" s="3">
        <f>E1500*(VLOOKUP(B1500,Price_data!A$1:B$190,2,FALSE))</f>
        <v>6.0337988541710006</v>
      </c>
      <c r="Q1500" s="3" t="e">
        <f>G1500*(VLOOKUP(B1500,Price_data!A$1:B$190,2,FALSE))</f>
        <v>#N/A</v>
      </c>
      <c r="R1500" s="3" t="e">
        <f>I1500*(VLOOKUP(B1500,Price_data!A$1:B$190,2,FALSE))</f>
        <v>#N/A</v>
      </c>
      <c r="S1500" s="4" t="str">
        <f>(VLOOKUP(B1500,Price_data!A$1:C$190,3,FALSE))</f>
        <v>EEZ</v>
      </c>
      <c r="T1500" s="2" t="str">
        <f>IF(C1500="Total", (VLOOKUP(B1500,Recommended_fish_intake!A$4:D$122,4,FALSE)), "NA")</f>
        <v>NA</v>
      </c>
      <c r="U1500" s="2" t="str">
        <f t="shared" si="179"/>
        <v>NA</v>
      </c>
    </row>
    <row r="1501" spans="1:21" ht="14.25" customHeight="1">
      <c r="A1501" s="2" t="s">
        <v>39</v>
      </c>
      <c r="B1501" s="2">
        <v>1976</v>
      </c>
      <c r="C1501" s="2" t="s">
        <v>37</v>
      </c>
      <c r="D1501" s="3">
        <f t="shared" si="173"/>
        <v>413.30700000000002</v>
      </c>
      <c r="E1501" s="3">
        <f t="shared" si="174"/>
        <v>73.444000000000003</v>
      </c>
      <c r="F1501" s="3" t="e">
        <f t="shared" si="175"/>
        <v>#N/A</v>
      </c>
      <c r="G1501" s="3" t="e">
        <f t="shared" si="176"/>
        <v>#N/A</v>
      </c>
      <c r="H1501" s="3" t="e">
        <f t="shared" si="177"/>
        <v>#N/A</v>
      </c>
      <c r="I1501" s="3" t="e">
        <f t="shared" si="178"/>
        <v>#N/A</v>
      </c>
      <c r="J1501" s="2">
        <v>413307</v>
      </c>
      <c r="K1501" s="2">
        <v>73444</v>
      </c>
      <c r="P1501" s="3">
        <f>E1501*(VLOOKUP(B1501,Price_data!A$1:B$190,2,FALSE))</f>
        <v>314.06543093248405</v>
      </c>
      <c r="Q1501" s="3" t="e">
        <f>G1501*(VLOOKUP(B1501,Price_data!A$1:B$190,2,FALSE))</f>
        <v>#N/A</v>
      </c>
      <c r="R1501" s="3" t="e">
        <f>I1501*(VLOOKUP(B1501,Price_data!A$1:B$190,2,FALSE))</f>
        <v>#N/A</v>
      </c>
      <c r="S1501" s="4" t="str">
        <f>(VLOOKUP(B1501,Price_data!A$1:C$190,3,FALSE))</f>
        <v>EEZ</v>
      </c>
      <c r="T1501" s="2" t="str">
        <f>IF(C1501="Total", (VLOOKUP(B1501,Recommended_fish_intake!A$4:D$122,4,FALSE)), "NA")</f>
        <v>NA</v>
      </c>
      <c r="U1501" s="2">
        <f t="shared" si="179"/>
        <v>202.52043</v>
      </c>
    </row>
    <row r="1502" spans="1:21" ht="14.25" customHeight="1">
      <c r="A1502" s="2" t="s">
        <v>39</v>
      </c>
      <c r="B1502" s="2">
        <v>1976</v>
      </c>
      <c r="C1502" s="2" t="s">
        <v>36</v>
      </c>
      <c r="D1502" s="3">
        <f t="shared" si="173"/>
        <v>1.996</v>
      </c>
      <c r="E1502" s="3">
        <f t="shared" si="174"/>
        <v>0.27</v>
      </c>
      <c r="F1502" s="3" t="e">
        <f t="shared" si="175"/>
        <v>#N/A</v>
      </c>
      <c r="G1502" s="3" t="e">
        <f t="shared" si="176"/>
        <v>#N/A</v>
      </c>
      <c r="H1502" s="3" t="e">
        <f t="shared" si="177"/>
        <v>#N/A</v>
      </c>
      <c r="I1502" s="3" t="e">
        <f t="shared" si="178"/>
        <v>#N/A</v>
      </c>
      <c r="J1502" s="2">
        <v>1996</v>
      </c>
      <c r="K1502" s="2">
        <v>270</v>
      </c>
      <c r="P1502" s="3">
        <f>E1502*(VLOOKUP(B1502,Price_data!A$1:B$190,2,FALSE))</f>
        <v>1.1545894334700002</v>
      </c>
      <c r="Q1502" s="3" t="e">
        <f>G1502*(VLOOKUP(B1502,Price_data!A$1:B$190,2,FALSE))</f>
        <v>#N/A</v>
      </c>
      <c r="R1502" s="3" t="e">
        <f>I1502*(VLOOKUP(B1502,Price_data!A$1:B$190,2,FALSE))</f>
        <v>#N/A</v>
      </c>
      <c r="S1502" s="4" t="str">
        <f>(VLOOKUP(B1502,Price_data!A$1:C$190,3,FALSE))</f>
        <v>EEZ</v>
      </c>
      <c r="T1502" s="2" t="str">
        <f>IF(C1502="Total", (VLOOKUP(B1502,Recommended_fish_intake!A$4:D$122,4,FALSE)), "NA")</f>
        <v>NA</v>
      </c>
      <c r="U1502" s="2" t="str">
        <f t="shared" si="179"/>
        <v>NA</v>
      </c>
    </row>
    <row r="1503" spans="1:21" ht="14.25" customHeight="1">
      <c r="A1503" s="2" t="s">
        <v>39</v>
      </c>
      <c r="B1503" s="2">
        <v>1976</v>
      </c>
      <c r="C1503" s="2" t="s">
        <v>52</v>
      </c>
      <c r="D1503" s="3">
        <f t="shared" si="173"/>
        <v>3.25</v>
      </c>
      <c r="E1503" s="3">
        <f t="shared" si="174"/>
        <v>1.31</v>
      </c>
      <c r="F1503" s="3" t="e">
        <f t="shared" si="175"/>
        <v>#N/A</v>
      </c>
      <c r="G1503" s="3" t="e">
        <f t="shared" si="176"/>
        <v>#N/A</v>
      </c>
      <c r="H1503" s="3" t="e">
        <f t="shared" si="177"/>
        <v>#N/A</v>
      </c>
      <c r="I1503" s="3" t="e">
        <f t="shared" si="178"/>
        <v>#N/A</v>
      </c>
      <c r="J1503" s="2">
        <v>3250</v>
      </c>
      <c r="K1503" s="2">
        <v>1310</v>
      </c>
      <c r="P1503" s="3">
        <f>E1503*(VLOOKUP(B1503,Price_data!A$1:B$190,2,FALSE))</f>
        <v>5.60189688091</v>
      </c>
      <c r="Q1503" s="3" t="e">
        <f>G1503*(VLOOKUP(B1503,Price_data!A$1:B$190,2,FALSE))</f>
        <v>#N/A</v>
      </c>
      <c r="R1503" s="3" t="e">
        <f>I1503*(VLOOKUP(B1503,Price_data!A$1:B$190,2,FALSE))</f>
        <v>#N/A</v>
      </c>
      <c r="S1503" s="4" t="str">
        <f>(VLOOKUP(B1503,Price_data!A$1:C$190,3,FALSE))</f>
        <v>EEZ</v>
      </c>
      <c r="T1503" s="2" t="str">
        <f>IF(C1503="Total", (VLOOKUP(B1503,Recommended_fish_intake!A$4:D$122,4,FALSE)), "NA")</f>
        <v>NA</v>
      </c>
      <c r="U1503" s="2" t="str">
        <f t="shared" si="179"/>
        <v>NA</v>
      </c>
    </row>
    <row r="1504" spans="1:21" ht="14.25" customHeight="1">
      <c r="A1504" s="2" t="s">
        <v>39</v>
      </c>
      <c r="B1504" s="2">
        <v>1976</v>
      </c>
      <c r="C1504" s="2" t="s">
        <v>34</v>
      </c>
      <c r="D1504" s="3">
        <f t="shared" si="173"/>
        <v>0.52800000000000002</v>
      </c>
      <c r="E1504" s="3">
        <f t="shared" si="174"/>
        <v>2.1589999999999998</v>
      </c>
      <c r="F1504" s="3" t="e">
        <f t="shared" si="175"/>
        <v>#N/A</v>
      </c>
      <c r="G1504" s="3" t="e">
        <f t="shared" si="176"/>
        <v>#N/A</v>
      </c>
      <c r="H1504" s="3" t="e">
        <f t="shared" si="177"/>
        <v>#N/A</v>
      </c>
      <c r="I1504" s="3" t="e">
        <f t="shared" si="178"/>
        <v>#N/A</v>
      </c>
      <c r="J1504" s="2">
        <v>528</v>
      </c>
      <c r="K1504" s="2">
        <v>2159</v>
      </c>
      <c r="P1504" s="3">
        <f>E1504*(VLOOKUP(B1504,Price_data!A$1:B$190,2,FALSE))</f>
        <v>9.232439210598999</v>
      </c>
      <c r="Q1504" s="3" t="e">
        <f>G1504*(VLOOKUP(B1504,Price_data!A$1:B$190,2,FALSE))</f>
        <v>#N/A</v>
      </c>
      <c r="R1504" s="3" t="e">
        <f>I1504*(VLOOKUP(B1504,Price_data!A$1:B$190,2,FALSE))</f>
        <v>#N/A</v>
      </c>
      <c r="S1504" s="4" t="str">
        <f>(VLOOKUP(B1504,Price_data!A$1:C$190,3,FALSE))</f>
        <v>EEZ</v>
      </c>
      <c r="T1504" s="2" t="str">
        <f>IF(C1504="Total", (VLOOKUP(B1504,Recommended_fish_intake!A$4:D$122,4,FALSE)), "NA")</f>
        <v>NA</v>
      </c>
      <c r="U1504" s="2" t="str">
        <f t="shared" si="179"/>
        <v>NA</v>
      </c>
    </row>
    <row r="1505" spans="1:21" ht="14.25" customHeight="1">
      <c r="A1505" s="2" t="s">
        <v>39</v>
      </c>
      <c r="B1505" s="2">
        <v>1976</v>
      </c>
      <c r="C1505" s="2" t="s">
        <v>35</v>
      </c>
      <c r="D1505" s="3">
        <f t="shared" si="173"/>
        <v>10.907</v>
      </c>
      <c r="E1505" s="3">
        <f t="shared" si="174"/>
        <v>6.2960000000000003</v>
      </c>
      <c r="F1505" s="3" t="e">
        <f t="shared" si="175"/>
        <v>#N/A</v>
      </c>
      <c r="G1505" s="3" t="e">
        <f t="shared" si="176"/>
        <v>#N/A</v>
      </c>
      <c r="H1505" s="3" t="e">
        <f t="shared" si="177"/>
        <v>#N/A</v>
      </c>
      <c r="I1505" s="3" t="e">
        <f t="shared" si="178"/>
        <v>#N/A</v>
      </c>
      <c r="J1505" s="2">
        <v>10907</v>
      </c>
      <c r="K1505" s="2">
        <v>6296</v>
      </c>
      <c r="P1505" s="3">
        <f>E1505*(VLOOKUP(B1505,Price_data!A$1:B$190,2,FALSE))</f>
        <v>26.923315085656004</v>
      </c>
      <c r="Q1505" s="3" t="e">
        <f>G1505*(VLOOKUP(B1505,Price_data!A$1:B$190,2,FALSE))</f>
        <v>#N/A</v>
      </c>
      <c r="R1505" s="3" t="e">
        <f>I1505*(VLOOKUP(B1505,Price_data!A$1:B$190,2,FALSE))</f>
        <v>#N/A</v>
      </c>
      <c r="S1505" s="4" t="str">
        <f>(VLOOKUP(B1505,Price_data!A$1:C$190,3,FALSE))</f>
        <v>EEZ</v>
      </c>
      <c r="T1505" s="2" t="str">
        <f>IF(C1505="Total", (VLOOKUP(B1505,Recommended_fish_intake!A$4:D$122,4,FALSE)), "NA")</f>
        <v>NA</v>
      </c>
      <c r="U1505" s="2" t="str">
        <f t="shared" si="179"/>
        <v>NA</v>
      </c>
    </row>
    <row r="1506" spans="1:21" ht="14.25" customHeight="1">
      <c r="A1506" s="2" t="s">
        <v>39</v>
      </c>
      <c r="B1506" s="2">
        <v>1976</v>
      </c>
      <c r="C1506" s="2" t="s">
        <v>30</v>
      </c>
      <c r="D1506" s="3">
        <f t="shared" si="173"/>
        <v>2.0270000000000001</v>
      </c>
      <c r="E1506" s="3">
        <f t="shared" si="174"/>
        <v>0.81100000000000005</v>
      </c>
      <c r="F1506" s="3" t="e">
        <f t="shared" si="175"/>
        <v>#N/A</v>
      </c>
      <c r="G1506" s="3" t="e">
        <f t="shared" si="176"/>
        <v>#N/A</v>
      </c>
      <c r="H1506" s="3" t="e">
        <f t="shared" si="177"/>
        <v>#N/A</v>
      </c>
      <c r="I1506" s="3" t="e">
        <f t="shared" si="178"/>
        <v>#N/A</v>
      </c>
      <c r="J1506" s="2">
        <v>2027</v>
      </c>
      <c r="K1506" s="2">
        <v>811</v>
      </c>
      <c r="P1506" s="3">
        <f>E1506*(VLOOKUP(B1506,Price_data!A$1:B$190,2,FALSE))</f>
        <v>3.4680445575710004</v>
      </c>
      <c r="Q1506" s="3" t="e">
        <f>G1506*(VLOOKUP(B1506,Price_data!A$1:B$190,2,FALSE))</f>
        <v>#N/A</v>
      </c>
      <c r="R1506" s="3" t="e">
        <f>I1506*(VLOOKUP(B1506,Price_data!A$1:B$190,2,FALSE))</f>
        <v>#N/A</v>
      </c>
      <c r="S1506" s="4" t="str">
        <f>(VLOOKUP(B1506,Price_data!A$1:C$190,3,FALSE))</f>
        <v>EEZ</v>
      </c>
      <c r="T1506" s="2" t="str">
        <f>IF(C1506="Total", (VLOOKUP(B1506,Recommended_fish_intake!A$4:D$122,4,FALSE)), "NA")</f>
        <v>NA</v>
      </c>
      <c r="U1506" s="2" t="str">
        <f t="shared" si="179"/>
        <v>NA</v>
      </c>
    </row>
    <row r="1507" spans="1:21" ht="14.25" customHeight="1">
      <c r="A1507" s="2" t="s">
        <v>39</v>
      </c>
      <c r="B1507" s="2">
        <v>1976</v>
      </c>
      <c r="C1507" s="2" t="s">
        <v>28</v>
      </c>
      <c r="D1507" s="3">
        <f t="shared" si="173"/>
        <v>28.923999999999999</v>
      </c>
      <c r="E1507" s="3">
        <f t="shared" si="174"/>
        <v>12.385</v>
      </c>
      <c r="F1507" s="3" t="e">
        <f t="shared" si="175"/>
        <v>#N/A</v>
      </c>
      <c r="G1507" s="3" t="e">
        <f t="shared" si="176"/>
        <v>#N/A</v>
      </c>
      <c r="H1507" s="3" t="e">
        <f t="shared" si="177"/>
        <v>#N/A</v>
      </c>
      <c r="I1507" s="3" t="e">
        <f t="shared" si="178"/>
        <v>#N/A</v>
      </c>
      <c r="J1507" s="2">
        <v>28924</v>
      </c>
      <c r="K1507" s="2">
        <v>12385</v>
      </c>
      <c r="P1507" s="3">
        <f>E1507*(VLOOKUP(B1507,Price_data!A$1:B$190,2,FALSE))</f>
        <v>52.961444938985004</v>
      </c>
      <c r="Q1507" s="3" t="e">
        <f>G1507*(VLOOKUP(B1507,Price_data!A$1:B$190,2,FALSE))</f>
        <v>#N/A</v>
      </c>
      <c r="R1507" s="3" t="e">
        <f>I1507*(VLOOKUP(B1507,Price_data!A$1:B$190,2,FALSE))</f>
        <v>#N/A</v>
      </c>
      <c r="S1507" s="4" t="str">
        <f>(VLOOKUP(B1507,Price_data!A$1:C$190,3,FALSE))</f>
        <v>EEZ</v>
      </c>
      <c r="T1507" s="2" t="str">
        <f>IF(C1507="Total", (VLOOKUP(B1507,Recommended_fish_intake!A$4:D$122,4,FALSE)), "NA")</f>
        <v>NA</v>
      </c>
      <c r="U1507" s="2">
        <f t="shared" si="179"/>
        <v>8.0987200000000001</v>
      </c>
    </row>
    <row r="1508" spans="1:21" ht="14.25" customHeight="1">
      <c r="A1508" s="2" t="s">
        <v>40</v>
      </c>
      <c r="B1508" s="2">
        <v>1976</v>
      </c>
      <c r="C1508" s="2" t="s">
        <v>22</v>
      </c>
      <c r="D1508" s="3">
        <f t="shared" si="173"/>
        <v>0.99</v>
      </c>
      <c r="E1508" s="3">
        <f t="shared" si="174"/>
        <v>0.27400000000000002</v>
      </c>
      <c r="F1508" s="3" t="e">
        <f t="shared" si="175"/>
        <v>#N/A</v>
      </c>
      <c r="G1508" s="3" t="e">
        <f t="shared" si="176"/>
        <v>#N/A</v>
      </c>
      <c r="H1508" s="3" t="e">
        <f t="shared" si="177"/>
        <v>#N/A</v>
      </c>
      <c r="I1508" s="3" t="e">
        <f t="shared" si="178"/>
        <v>#N/A</v>
      </c>
      <c r="J1508" s="2">
        <v>990</v>
      </c>
      <c r="K1508" s="2">
        <v>274</v>
      </c>
      <c r="P1508" s="3">
        <f>E1508*(VLOOKUP(B1508,Price_data!A$1:B$190,2,FALSE))</f>
        <v>1.1716944621140002</v>
      </c>
      <c r="Q1508" s="3" t="e">
        <f>G1508*(VLOOKUP(B1508,Price_data!A$1:B$190,2,FALSE))</f>
        <v>#N/A</v>
      </c>
      <c r="R1508" s="3" t="e">
        <f>I1508*(VLOOKUP(B1508,Price_data!A$1:B$190,2,FALSE))</f>
        <v>#N/A</v>
      </c>
      <c r="S1508" s="4" t="str">
        <f>(VLOOKUP(B1508,Price_data!A$1:C$190,3,FALSE))</f>
        <v>EEZ</v>
      </c>
      <c r="T1508" s="2" t="str">
        <f>IF(C1508="Total", (VLOOKUP(B1508,Recommended_fish_intake!A$4:D$122,4,FALSE)), "NA")</f>
        <v>NA</v>
      </c>
      <c r="U1508" s="2" t="str">
        <f t="shared" si="179"/>
        <v>NA</v>
      </c>
    </row>
    <row r="1509" spans="1:21" ht="14.25" customHeight="1">
      <c r="A1509" s="2" t="s">
        <v>40</v>
      </c>
      <c r="B1509" s="2">
        <v>1976</v>
      </c>
      <c r="C1509" s="2" t="s">
        <v>23</v>
      </c>
      <c r="D1509" s="3">
        <f t="shared" si="173"/>
        <v>5.0000000000000001E-3</v>
      </c>
      <c r="E1509" s="3">
        <f t="shared" si="174"/>
        <v>1E-3</v>
      </c>
      <c r="F1509" s="3" t="e">
        <f t="shared" si="175"/>
        <v>#N/A</v>
      </c>
      <c r="G1509" s="3" t="e">
        <f t="shared" si="176"/>
        <v>#N/A</v>
      </c>
      <c r="H1509" s="3" t="e">
        <f t="shared" si="177"/>
        <v>#N/A</v>
      </c>
      <c r="I1509" s="3" t="e">
        <f t="shared" si="178"/>
        <v>#N/A</v>
      </c>
      <c r="J1509" s="2">
        <v>5</v>
      </c>
      <c r="K1509" s="2">
        <v>1</v>
      </c>
      <c r="P1509" s="3">
        <f>E1509*(VLOOKUP(B1509,Price_data!A$1:B$190,2,FALSE))</f>
        <v>4.2762571610000001E-3</v>
      </c>
      <c r="Q1509" s="3" t="e">
        <f>G1509*(VLOOKUP(B1509,Price_data!A$1:B$190,2,FALSE))</f>
        <v>#N/A</v>
      </c>
      <c r="R1509" s="3" t="e">
        <f>I1509*(VLOOKUP(B1509,Price_data!A$1:B$190,2,FALSE))</f>
        <v>#N/A</v>
      </c>
      <c r="S1509" s="4" t="str">
        <f>(VLOOKUP(B1509,Price_data!A$1:C$190,3,FALSE))</f>
        <v>EEZ</v>
      </c>
      <c r="T1509" s="2" t="str">
        <f>IF(C1509="Total", (VLOOKUP(B1509,Recommended_fish_intake!A$4:D$122,4,FALSE)), "NA")</f>
        <v>NA</v>
      </c>
      <c r="U1509" s="2" t="str">
        <f t="shared" si="179"/>
        <v>NA</v>
      </c>
    </row>
    <row r="1510" spans="1:21" ht="14.25" customHeight="1">
      <c r="A1510" s="2" t="s">
        <v>40</v>
      </c>
      <c r="B1510" s="2">
        <v>1976</v>
      </c>
      <c r="C1510" s="2" t="s">
        <v>25</v>
      </c>
      <c r="D1510" s="3">
        <f t="shared" si="173"/>
        <v>0.128</v>
      </c>
      <c r="E1510" s="3">
        <f t="shared" si="174"/>
        <v>3.2000000000000001E-2</v>
      </c>
      <c r="F1510" s="3" t="e">
        <f t="shared" si="175"/>
        <v>#N/A</v>
      </c>
      <c r="G1510" s="3" t="e">
        <f t="shared" si="176"/>
        <v>#N/A</v>
      </c>
      <c r="H1510" s="3" t="e">
        <f t="shared" si="177"/>
        <v>#N/A</v>
      </c>
      <c r="I1510" s="3" t="e">
        <f t="shared" si="178"/>
        <v>#N/A</v>
      </c>
      <c r="J1510" s="2">
        <v>128</v>
      </c>
      <c r="K1510" s="2">
        <v>32</v>
      </c>
      <c r="P1510" s="3">
        <f>E1510*(VLOOKUP(B1510,Price_data!A$1:B$190,2,FALSE))</f>
        <v>0.136840229152</v>
      </c>
      <c r="Q1510" s="3" t="e">
        <f>G1510*(VLOOKUP(B1510,Price_data!A$1:B$190,2,FALSE))</f>
        <v>#N/A</v>
      </c>
      <c r="R1510" s="3" t="e">
        <f>I1510*(VLOOKUP(B1510,Price_data!A$1:B$190,2,FALSE))</f>
        <v>#N/A</v>
      </c>
      <c r="S1510" s="4" t="str">
        <f>(VLOOKUP(B1510,Price_data!A$1:C$190,3,FALSE))</f>
        <v>EEZ</v>
      </c>
      <c r="T1510" s="2" t="str">
        <f>IF(C1510="Total", (VLOOKUP(B1510,Recommended_fish_intake!A$4:D$122,4,FALSE)), "NA")</f>
        <v>NA</v>
      </c>
      <c r="U1510" s="2" t="str">
        <f t="shared" si="179"/>
        <v>NA</v>
      </c>
    </row>
    <row r="1511" spans="1:21" ht="14.25" customHeight="1">
      <c r="A1511" s="2" t="s">
        <v>40</v>
      </c>
      <c r="B1511" s="2">
        <v>1976</v>
      </c>
      <c r="C1511" s="2" t="s">
        <v>38</v>
      </c>
      <c r="D1511" s="3">
        <f t="shared" si="173"/>
        <v>0.30499999999999999</v>
      </c>
      <c r="E1511" s="3">
        <f t="shared" si="174"/>
        <v>0.04</v>
      </c>
      <c r="F1511" s="3" t="e">
        <f t="shared" si="175"/>
        <v>#N/A</v>
      </c>
      <c r="G1511" s="3" t="e">
        <f t="shared" si="176"/>
        <v>#N/A</v>
      </c>
      <c r="H1511" s="3" t="e">
        <f t="shared" si="177"/>
        <v>#N/A</v>
      </c>
      <c r="I1511" s="3" t="e">
        <f t="shared" si="178"/>
        <v>#N/A</v>
      </c>
      <c r="J1511" s="2">
        <v>305</v>
      </c>
      <c r="K1511" s="2">
        <v>40</v>
      </c>
      <c r="P1511" s="3">
        <f>E1511*(VLOOKUP(B1511,Price_data!A$1:B$190,2,FALSE))</f>
        <v>0.17105028644</v>
      </c>
      <c r="Q1511" s="3" t="e">
        <f>G1511*(VLOOKUP(B1511,Price_data!A$1:B$190,2,FALSE))</f>
        <v>#N/A</v>
      </c>
      <c r="R1511" s="3" t="e">
        <f>I1511*(VLOOKUP(B1511,Price_data!A$1:B$190,2,FALSE))</f>
        <v>#N/A</v>
      </c>
      <c r="S1511" s="4" t="str">
        <f>(VLOOKUP(B1511,Price_data!A$1:C$190,3,FALSE))</f>
        <v>EEZ</v>
      </c>
      <c r="T1511" s="2" t="str">
        <f>IF(C1511="Total", (VLOOKUP(B1511,Recommended_fish_intake!A$4:D$122,4,FALSE)), "NA")</f>
        <v>NA</v>
      </c>
      <c r="U1511" s="2" t="str">
        <f t="shared" si="179"/>
        <v>NA</v>
      </c>
    </row>
    <row r="1512" spans="1:21" ht="14.25" customHeight="1">
      <c r="A1512" s="2" t="s">
        <v>40</v>
      </c>
      <c r="B1512" s="2">
        <v>1976</v>
      </c>
      <c r="C1512" s="2" t="s">
        <v>24</v>
      </c>
      <c r="D1512" s="3">
        <f t="shared" ref="D1512:D1575" si="180">J1512/1000</f>
        <v>3.29</v>
      </c>
      <c r="E1512" s="3">
        <f t="shared" ref="E1512:E1575" si="181">K1512/1000</f>
        <v>0.47499999999999998</v>
      </c>
      <c r="F1512" s="3" t="e">
        <f t="shared" ref="F1512:F1575" si="182">IF(L1512="", NA(), L1512/1000)</f>
        <v>#N/A</v>
      </c>
      <c r="G1512" s="3" t="e">
        <f t="shared" ref="G1512:G1575" si="183">IF(M1512="", NA(), M1512/1000)</f>
        <v>#N/A</v>
      </c>
      <c r="H1512" s="3" t="e">
        <f t="shared" ref="H1512:H1575" si="184">IF(N1512="", NA(), N1512/1000)</f>
        <v>#N/A</v>
      </c>
      <c r="I1512" s="3" t="e">
        <f t="shared" ref="I1512:I1575" si="185">IF(O1512="", NA(), O1512/1000)</f>
        <v>#N/A</v>
      </c>
      <c r="J1512" s="2">
        <v>3290</v>
      </c>
      <c r="K1512" s="2">
        <v>475</v>
      </c>
      <c r="P1512" s="3">
        <f>E1512*(VLOOKUP(B1512,Price_data!A$1:B$190,2,FALSE))</f>
        <v>2.0312221514750002</v>
      </c>
      <c r="Q1512" s="3" t="e">
        <f>G1512*(VLOOKUP(B1512,Price_data!A$1:B$190,2,FALSE))</f>
        <v>#N/A</v>
      </c>
      <c r="R1512" s="3" t="e">
        <f>I1512*(VLOOKUP(B1512,Price_data!A$1:B$190,2,FALSE))</f>
        <v>#N/A</v>
      </c>
      <c r="S1512" s="4" t="str">
        <f>(VLOOKUP(B1512,Price_data!A$1:C$190,3,FALSE))</f>
        <v>EEZ</v>
      </c>
      <c r="T1512" s="2" t="str">
        <f>IF(C1512="Total", (VLOOKUP(B1512,Recommended_fish_intake!A$4:D$122,4,FALSE)), "NA")</f>
        <v>NA</v>
      </c>
      <c r="U1512" s="2" t="str">
        <f t="shared" si="179"/>
        <v>NA</v>
      </c>
    </row>
    <row r="1513" spans="1:21" ht="14.25" customHeight="1">
      <c r="A1513" s="2" t="s">
        <v>40</v>
      </c>
      <c r="B1513" s="2">
        <v>1976</v>
      </c>
      <c r="C1513" s="2" t="s">
        <v>19</v>
      </c>
      <c r="D1513" s="3">
        <f t="shared" si="180"/>
        <v>5.77</v>
      </c>
      <c r="E1513" s="3">
        <f t="shared" si="181"/>
        <v>0.74099999999999999</v>
      </c>
      <c r="F1513" s="3" t="e">
        <f t="shared" si="182"/>
        <v>#N/A</v>
      </c>
      <c r="G1513" s="3" t="e">
        <f t="shared" si="183"/>
        <v>#N/A</v>
      </c>
      <c r="H1513" s="3" t="e">
        <f t="shared" si="184"/>
        <v>#N/A</v>
      </c>
      <c r="I1513" s="3" t="e">
        <f t="shared" si="185"/>
        <v>#N/A</v>
      </c>
      <c r="J1513" s="2">
        <v>5770</v>
      </c>
      <c r="K1513" s="2">
        <v>741</v>
      </c>
      <c r="P1513" s="3">
        <f>E1513*(VLOOKUP(B1513,Price_data!A$1:B$190,2,FALSE))</f>
        <v>3.1687065563010002</v>
      </c>
      <c r="Q1513" s="3" t="e">
        <f>G1513*(VLOOKUP(B1513,Price_data!A$1:B$190,2,FALSE))</f>
        <v>#N/A</v>
      </c>
      <c r="R1513" s="3" t="e">
        <f>I1513*(VLOOKUP(B1513,Price_data!A$1:B$190,2,FALSE))</f>
        <v>#N/A</v>
      </c>
      <c r="S1513" s="4" t="str">
        <f>(VLOOKUP(B1513,Price_data!A$1:C$190,3,FALSE))</f>
        <v>EEZ</v>
      </c>
      <c r="T1513" s="2" t="str">
        <f>IF(C1513="Total", (VLOOKUP(B1513,Recommended_fish_intake!A$4:D$122,4,FALSE)), "NA")</f>
        <v>NA</v>
      </c>
      <c r="U1513" s="2" t="str">
        <f t="shared" si="179"/>
        <v>NA</v>
      </c>
    </row>
    <row r="1514" spans="1:21" ht="14.25" customHeight="1">
      <c r="A1514" s="2" t="s">
        <v>40</v>
      </c>
      <c r="B1514" s="2">
        <v>1976</v>
      </c>
      <c r="C1514" s="2" t="s">
        <v>20</v>
      </c>
      <c r="D1514" s="3">
        <f t="shared" si="180"/>
        <v>9.5000000000000001E-2</v>
      </c>
      <c r="E1514" s="3">
        <f t="shared" si="181"/>
        <v>5.0000000000000001E-3</v>
      </c>
      <c r="F1514" s="3" t="e">
        <f t="shared" si="182"/>
        <v>#N/A</v>
      </c>
      <c r="G1514" s="3" t="e">
        <f t="shared" si="183"/>
        <v>#N/A</v>
      </c>
      <c r="H1514" s="3" t="e">
        <f t="shared" si="184"/>
        <v>#N/A</v>
      </c>
      <c r="I1514" s="3" t="e">
        <f t="shared" si="185"/>
        <v>#N/A</v>
      </c>
      <c r="J1514" s="2">
        <v>95</v>
      </c>
      <c r="K1514" s="2">
        <v>5</v>
      </c>
      <c r="P1514" s="3">
        <f>E1514*(VLOOKUP(B1514,Price_data!A$1:B$190,2,FALSE))</f>
        <v>2.1381285805000001E-2</v>
      </c>
      <c r="Q1514" s="3" t="e">
        <f>G1514*(VLOOKUP(B1514,Price_data!A$1:B$190,2,FALSE))</f>
        <v>#N/A</v>
      </c>
      <c r="R1514" s="3" t="e">
        <f>I1514*(VLOOKUP(B1514,Price_data!A$1:B$190,2,FALSE))</f>
        <v>#N/A</v>
      </c>
      <c r="S1514" s="4" t="str">
        <f>(VLOOKUP(B1514,Price_data!A$1:C$190,3,FALSE))</f>
        <v>EEZ</v>
      </c>
      <c r="T1514" s="2" t="str">
        <f>IF(C1514="Total", (VLOOKUP(B1514,Recommended_fish_intake!A$4:D$122,4,FALSE)), "NA")</f>
        <v>NA</v>
      </c>
      <c r="U1514" s="2" t="str">
        <f t="shared" si="179"/>
        <v>NA</v>
      </c>
    </row>
    <row r="1515" spans="1:21" ht="14.25" customHeight="1">
      <c r="A1515" s="2" t="s">
        <v>40</v>
      </c>
      <c r="B1515" s="2">
        <v>1976</v>
      </c>
      <c r="C1515" s="2" t="s">
        <v>21</v>
      </c>
      <c r="D1515" s="3">
        <f t="shared" si="180"/>
        <v>0</v>
      </c>
      <c r="E1515" s="3">
        <f t="shared" si="181"/>
        <v>0</v>
      </c>
      <c r="F1515" s="3" t="e">
        <f t="shared" si="182"/>
        <v>#N/A</v>
      </c>
      <c r="G1515" s="3" t="e">
        <f t="shared" si="183"/>
        <v>#N/A</v>
      </c>
      <c r="H1515" s="3" t="e">
        <f t="shared" si="184"/>
        <v>#N/A</v>
      </c>
      <c r="I1515" s="3" t="e">
        <f t="shared" si="185"/>
        <v>#N/A</v>
      </c>
      <c r="J1515" s="2">
        <v>0</v>
      </c>
      <c r="K1515" s="2">
        <v>0</v>
      </c>
      <c r="P1515" s="3">
        <f>E1515*(VLOOKUP(B1515,Price_data!A$1:B$190,2,FALSE))</f>
        <v>0</v>
      </c>
      <c r="Q1515" s="3" t="e">
        <f>G1515*(VLOOKUP(B1515,Price_data!A$1:B$190,2,FALSE))</f>
        <v>#N/A</v>
      </c>
      <c r="R1515" s="3" t="e">
        <f>I1515*(VLOOKUP(B1515,Price_data!A$1:B$190,2,FALSE))</f>
        <v>#N/A</v>
      </c>
      <c r="S1515" s="4" t="str">
        <f>(VLOOKUP(B1515,Price_data!A$1:C$190,3,FALSE))</f>
        <v>EEZ</v>
      </c>
      <c r="T1515" s="2" t="str">
        <f>IF(C1515="Total", (VLOOKUP(B1515,Recommended_fish_intake!A$4:D$122,4,FALSE)), "NA")</f>
        <v>NA</v>
      </c>
      <c r="U1515" s="2" t="str">
        <f t="shared" si="179"/>
        <v>NA</v>
      </c>
    </row>
    <row r="1516" spans="1:21" ht="14.25" customHeight="1">
      <c r="A1516" s="2" t="s">
        <v>40</v>
      </c>
      <c r="B1516" s="2">
        <v>1976</v>
      </c>
      <c r="C1516" s="2" t="s">
        <v>37</v>
      </c>
      <c r="D1516" s="3">
        <f t="shared" si="180"/>
        <v>11.353</v>
      </c>
      <c r="E1516" s="3">
        <f t="shared" si="181"/>
        <v>1.738</v>
      </c>
      <c r="F1516" s="3" t="e">
        <f t="shared" si="182"/>
        <v>#N/A</v>
      </c>
      <c r="G1516" s="3" t="e">
        <f t="shared" si="183"/>
        <v>#N/A</v>
      </c>
      <c r="H1516" s="3" t="e">
        <f t="shared" si="184"/>
        <v>#N/A</v>
      </c>
      <c r="I1516" s="3" t="e">
        <f t="shared" si="185"/>
        <v>#N/A</v>
      </c>
      <c r="J1516" s="2">
        <v>11353</v>
      </c>
      <c r="K1516" s="2">
        <v>1738</v>
      </c>
      <c r="P1516" s="3">
        <f>E1516*(VLOOKUP(B1516,Price_data!A$1:B$190,2,FALSE))</f>
        <v>7.4321349458180004</v>
      </c>
      <c r="Q1516" s="3" t="e">
        <f>G1516*(VLOOKUP(B1516,Price_data!A$1:B$190,2,FALSE))</f>
        <v>#N/A</v>
      </c>
      <c r="R1516" s="3" t="e">
        <f>I1516*(VLOOKUP(B1516,Price_data!A$1:B$190,2,FALSE))</f>
        <v>#N/A</v>
      </c>
      <c r="S1516" s="4" t="str">
        <f>(VLOOKUP(B1516,Price_data!A$1:C$190,3,FALSE))</f>
        <v>EEZ</v>
      </c>
      <c r="T1516" s="2" t="str">
        <f>IF(C1516="Total", (VLOOKUP(B1516,Recommended_fish_intake!A$4:D$122,4,FALSE)), "NA")</f>
        <v>NA</v>
      </c>
      <c r="U1516" s="2">
        <f t="shared" si="179"/>
        <v>5.56297</v>
      </c>
    </row>
    <row r="1517" spans="1:21" ht="14.25" customHeight="1">
      <c r="A1517" s="2" t="s">
        <v>40</v>
      </c>
      <c r="B1517" s="2">
        <v>1976</v>
      </c>
      <c r="C1517" s="2" t="s">
        <v>36</v>
      </c>
      <c r="D1517" s="3">
        <f t="shared" si="180"/>
        <v>7.0000000000000001E-3</v>
      </c>
      <c r="E1517" s="3">
        <f t="shared" si="181"/>
        <v>1E-3</v>
      </c>
      <c r="F1517" s="3" t="e">
        <f t="shared" si="182"/>
        <v>#N/A</v>
      </c>
      <c r="G1517" s="3" t="e">
        <f t="shared" si="183"/>
        <v>#N/A</v>
      </c>
      <c r="H1517" s="3" t="e">
        <f t="shared" si="184"/>
        <v>#N/A</v>
      </c>
      <c r="I1517" s="3" t="e">
        <f t="shared" si="185"/>
        <v>#N/A</v>
      </c>
      <c r="J1517" s="2">
        <v>7</v>
      </c>
      <c r="K1517" s="2">
        <v>1</v>
      </c>
      <c r="P1517" s="3">
        <f>E1517*(VLOOKUP(B1517,Price_data!A$1:B$190,2,FALSE))</f>
        <v>4.2762571610000001E-3</v>
      </c>
      <c r="Q1517" s="3" t="e">
        <f>G1517*(VLOOKUP(B1517,Price_data!A$1:B$190,2,FALSE))</f>
        <v>#N/A</v>
      </c>
      <c r="R1517" s="3" t="e">
        <f>I1517*(VLOOKUP(B1517,Price_data!A$1:B$190,2,FALSE))</f>
        <v>#N/A</v>
      </c>
      <c r="S1517" s="4" t="str">
        <f>(VLOOKUP(B1517,Price_data!A$1:C$190,3,FALSE))</f>
        <v>EEZ</v>
      </c>
      <c r="T1517" s="2" t="str">
        <f>IF(C1517="Total", (VLOOKUP(B1517,Recommended_fish_intake!A$4:D$122,4,FALSE)), "NA")</f>
        <v>NA</v>
      </c>
      <c r="U1517" s="2" t="str">
        <f t="shared" si="179"/>
        <v>NA</v>
      </c>
    </row>
    <row r="1518" spans="1:21" ht="14.25" customHeight="1">
      <c r="A1518" s="2" t="s">
        <v>40</v>
      </c>
      <c r="B1518" s="2">
        <v>1976</v>
      </c>
      <c r="C1518" s="2" t="s">
        <v>52</v>
      </c>
      <c r="D1518" s="3">
        <f t="shared" si="180"/>
        <v>0.02</v>
      </c>
      <c r="E1518" s="3">
        <f t="shared" si="181"/>
        <v>0.05</v>
      </c>
      <c r="F1518" s="3" t="e">
        <f t="shared" si="182"/>
        <v>#N/A</v>
      </c>
      <c r="G1518" s="3" t="e">
        <f t="shared" si="183"/>
        <v>#N/A</v>
      </c>
      <c r="H1518" s="3" t="e">
        <f t="shared" si="184"/>
        <v>#N/A</v>
      </c>
      <c r="I1518" s="3" t="e">
        <f t="shared" si="185"/>
        <v>#N/A</v>
      </c>
      <c r="J1518" s="2">
        <v>20</v>
      </c>
      <c r="K1518" s="2">
        <v>50</v>
      </c>
      <c r="P1518" s="3">
        <f>E1518*(VLOOKUP(B1518,Price_data!A$1:B$190,2,FALSE))</f>
        <v>0.21381285805000003</v>
      </c>
      <c r="Q1518" s="3" t="e">
        <f>G1518*(VLOOKUP(B1518,Price_data!A$1:B$190,2,FALSE))</f>
        <v>#N/A</v>
      </c>
      <c r="R1518" s="3" t="e">
        <f>I1518*(VLOOKUP(B1518,Price_data!A$1:B$190,2,FALSE))</f>
        <v>#N/A</v>
      </c>
      <c r="S1518" s="4" t="str">
        <f>(VLOOKUP(B1518,Price_data!A$1:C$190,3,FALSE))</f>
        <v>EEZ</v>
      </c>
      <c r="T1518" s="2" t="str">
        <f>IF(C1518="Total", (VLOOKUP(B1518,Recommended_fish_intake!A$4:D$122,4,FALSE)), "NA")</f>
        <v>NA</v>
      </c>
      <c r="U1518" s="2" t="str">
        <f t="shared" si="179"/>
        <v>NA</v>
      </c>
    </row>
    <row r="1519" spans="1:21" ht="14.25" customHeight="1">
      <c r="A1519" s="2" t="s">
        <v>40</v>
      </c>
      <c r="B1519" s="2">
        <v>1976</v>
      </c>
      <c r="C1519" s="2" t="s">
        <v>34</v>
      </c>
      <c r="D1519" s="3">
        <f t="shared" si="180"/>
        <v>2.1000000000000001E-2</v>
      </c>
      <c r="E1519" s="3">
        <f t="shared" si="181"/>
        <v>6.0999999999999999E-2</v>
      </c>
      <c r="F1519" s="3" t="e">
        <f t="shared" si="182"/>
        <v>#N/A</v>
      </c>
      <c r="G1519" s="3" t="e">
        <f t="shared" si="183"/>
        <v>#N/A</v>
      </c>
      <c r="H1519" s="3" t="e">
        <f t="shared" si="184"/>
        <v>#N/A</v>
      </c>
      <c r="I1519" s="3" t="e">
        <f t="shared" si="185"/>
        <v>#N/A</v>
      </c>
      <c r="J1519" s="2">
        <v>21</v>
      </c>
      <c r="K1519" s="2">
        <v>61</v>
      </c>
      <c r="P1519" s="3">
        <f>E1519*(VLOOKUP(B1519,Price_data!A$1:B$190,2,FALSE))</f>
        <v>0.26085168682100002</v>
      </c>
      <c r="Q1519" s="3" t="e">
        <f>G1519*(VLOOKUP(B1519,Price_data!A$1:B$190,2,FALSE))</f>
        <v>#N/A</v>
      </c>
      <c r="R1519" s="3" t="e">
        <f>I1519*(VLOOKUP(B1519,Price_data!A$1:B$190,2,FALSE))</f>
        <v>#N/A</v>
      </c>
      <c r="S1519" s="4" t="str">
        <f>(VLOOKUP(B1519,Price_data!A$1:C$190,3,FALSE))</f>
        <v>EEZ</v>
      </c>
      <c r="T1519" s="2" t="str">
        <f>IF(C1519="Total", (VLOOKUP(B1519,Recommended_fish_intake!A$4:D$122,4,FALSE)), "NA")</f>
        <v>NA</v>
      </c>
      <c r="U1519" s="2" t="str">
        <f t="shared" si="179"/>
        <v>NA</v>
      </c>
    </row>
    <row r="1520" spans="1:21" ht="14.25" customHeight="1">
      <c r="A1520" s="2" t="s">
        <v>40</v>
      </c>
      <c r="B1520" s="2">
        <v>1976</v>
      </c>
      <c r="C1520" s="2" t="s">
        <v>35</v>
      </c>
      <c r="D1520" s="3">
        <f t="shared" si="180"/>
        <v>3.2170000000000001</v>
      </c>
      <c r="E1520" s="3">
        <f t="shared" si="181"/>
        <v>1.2829999999999999</v>
      </c>
      <c r="F1520" s="3" t="e">
        <f t="shared" si="182"/>
        <v>#N/A</v>
      </c>
      <c r="G1520" s="3" t="e">
        <f t="shared" si="183"/>
        <v>#N/A</v>
      </c>
      <c r="H1520" s="3" t="e">
        <f t="shared" si="184"/>
        <v>#N/A</v>
      </c>
      <c r="I1520" s="3" t="e">
        <f t="shared" si="185"/>
        <v>#N/A</v>
      </c>
      <c r="J1520" s="2">
        <v>3217</v>
      </c>
      <c r="K1520" s="2">
        <v>1283</v>
      </c>
      <c r="P1520" s="3">
        <f>E1520*(VLOOKUP(B1520,Price_data!A$1:B$190,2,FALSE))</f>
        <v>5.4864379375630001</v>
      </c>
      <c r="Q1520" s="3" t="e">
        <f>G1520*(VLOOKUP(B1520,Price_data!A$1:B$190,2,FALSE))</f>
        <v>#N/A</v>
      </c>
      <c r="R1520" s="3" t="e">
        <f>I1520*(VLOOKUP(B1520,Price_data!A$1:B$190,2,FALSE))</f>
        <v>#N/A</v>
      </c>
      <c r="S1520" s="4" t="str">
        <f>(VLOOKUP(B1520,Price_data!A$1:C$190,3,FALSE))</f>
        <v>EEZ</v>
      </c>
      <c r="T1520" s="2" t="str">
        <f>IF(C1520="Total", (VLOOKUP(B1520,Recommended_fish_intake!A$4:D$122,4,FALSE)), "NA")</f>
        <v>NA</v>
      </c>
      <c r="U1520" s="2" t="str">
        <f t="shared" si="179"/>
        <v>NA</v>
      </c>
    </row>
    <row r="1521" spans="1:21" ht="14.25" customHeight="1">
      <c r="A1521" s="2" t="s">
        <v>40</v>
      </c>
      <c r="B1521" s="2">
        <v>1976</v>
      </c>
      <c r="C1521" s="2" t="s">
        <v>30</v>
      </c>
      <c r="D1521" s="3">
        <f t="shared" si="180"/>
        <v>0</v>
      </c>
      <c r="E1521" s="3">
        <f t="shared" si="181"/>
        <v>0</v>
      </c>
      <c r="F1521" s="3" t="e">
        <f t="shared" si="182"/>
        <v>#N/A</v>
      </c>
      <c r="G1521" s="3" t="e">
        <f t="shared" si="183"/>
        <v>#N/A</v>
      </c>
      <c r="H1521" s="3" t="e">
        <f t="shared" si="184"/>
        <v>#N/A</v>
      </c>
      <c r="I1521" s="3" t="e">
        <f t="shared" si="185"/>
        <v>#N/A</v>
      </c>
      <c r="J1521" s="2">
        <v>0</v>
      </c>
      <c r="K1521" s="2">
        <v>0</v>
      </c>
      <c r="P1521" s="3">
        <f>E1521*(VLOOKUP(B1521,Price_data!A$1:B$190,2,FALSE))</f>
        <v>0</v>
      </c>
      <c r="Q1521" s="3" t="e">
        <f>G1521*(VLOOKUP(B1521,Price_data!A$1:B$190,2,FALSE))</f>
        <v>#N/A</v>
      </c>
      <c r="R1521" s="3" t="e">
        <f>I1521*(VLOOKUP(B1521,Price_data!A$1:B$190,2,FALSE))</f>
        <v>#N/A</v>
      </c>
      <c r="S1521" s="4" t="str">
        <f>(VLOOKUP(B1521,Price_data!A$1:C$190,3,FALSE))</f>
        <v>EEZ</v>
      </c>
      <c r="T1521" s="2" t="str">
        <f>IF(C1521="Total", (VLOOKUP(B1521,Recommended_fish_intake!A$4:D$122,4,FALSE)), "NA")</f>
        <v>NA</v>
      </c>
      <c r="U1521" s="2" t="str">
        <f t="shared" si="179"/>
        <v>NA</v>
      </c>
    </row>
    <row r="1522" spans="1:21" ht="14.25" customHeight="1">
      <c r="A1522" s="2" t="s">
        <v>40</v>
      </c>
      <c r="B1522" s="2">
        <v>1976</v>
      </c>
      <c r="C1522" s="2" t="s">
        <v>28</v>
      </c>
      <c r="D1522" s="3">
        <f t="shared" si="180"/>
        <v>4.226</v>
      </c>
      <c r="E1522" s="3">
        <f t="shared" si="181"/>
        <v>1.5669999999999999</v>
      </c>
      <c r="F1522" s="3" t="e">
        <f t="shared" si="182"/>
        <v>#N/A</v>
      </c>
      <c r="G1522" s="3" t="e">
        <f t="shared" si="183"/>
        <v>#N/A</v>
      </c>
      <c r="H1522" s="3" t="e">
        <f t="shared" si="184"/>
        <v>#N/A</v>
      </c>
      <c r="I1522" s="3" t="e">
        <f t="shared" si="185"/>
        <v>#N/A</v>
      </c>
      <c r="J1522" s="2">
        <v>4226</v>
      </c>
      <c r="K1522" s="2">
        <v>1567</v>
      </c>
      <c r="P1522" s="3">
        <f>E1522*(VLOOKUP(B1522,Price_data!A$1:B$190,2,FALSE))</f>
        <v>6.7008949712870001</v>
      </c>
      <c r="Q1522" s="3" t="e">
        <f>G1522*(VLOOKUP(B1522,Price_data!A$1:B$190,2,FALSE))</f>
        <v>#N/A</v>
      </c>
      <c r="R1522" s="3" t="e">
        <f>I1522*(VLOOKUP(B1522,Price_data!A$1:B$190,2,FALSE))</f>
        <v>#N/A</v>
      </c>
      <c r="S1522" s="4" t="str">
        <f>(VLOOKUP(B1522,Price_data!A$1:C$190,3,FALSE))</f>
        <v>EEZ</v>
      </c>
      <c r="T1522" s="2" t="str">
        <f>IF(C1522="Total", (VLOOKUP(B1522,Recommended_fish_intake!A$4:D$122,4,FALSE)), "NA")</f>
        <v>NA</v>
      </c>
      <c r="U1522" s="2">
        <f t="shared" si="179"/>
        <v>1.1832800000000001</v>
      </c>
    </row>
    <row r="1523" spans="1:21" ht="14.25" customHeight="1">
      <c r="A1523" s="2" t="s">
        <v>15</v>
      </c>
      <c r="B1523" s="2">
        <v>1976</v>
      </c>
      <c r="C1523" s="2" t="s">
        <v>22</v>
      </c>
      <c r="D1523" s="3">
        <f t="shared" si="180"/>
        <v>212.11</v>
      </c>
      <c r="E1523" s="3">
        <f t="shared" si="181"/>
        <v>80.224999999999994</v>
      </c>
      <c r="F1523" s="3" t="e">
        <f t="shared" si="182"/>
        <v>#N/A</v>
      </c>
      <c r="G1523" s="3" t="e">
        <f t="shared" si="183"/>
        <v>#N/A</v>
      </c>
      <c r="H1523" s="3">
        <f t="shared" si="184"/>
        <v>57.94</v>
      </c>
      <c r="I1523" s="3">
        <f t="shared" si="185"/>
        <v>36.835999999999999</v>
      </c>
      <c r="J1523" s="2">
        <v>212110</v>
      </c>
      <c r="K1523" s="2">
        <v>80225</v>
      </c>
      <c r="N1523" s="2">
        <f>8768+2482+35970+10435+285</f>
        <v>57940</v>
      </c>
      <c r="O1523" s="2">
        <f>2736+1909+28380+3602+209</f>
        <v>36836</v>
      </c>
      <c r="P1523" s="3">
        <f>E1523*(VLOOKUP(B1523,Price_data!A$1:B$190,2,FALSE))</f>
        <v>343.06273074122498</v>
      </c>
      <c r="Q1523" s="3" t="e">
        <f>G1523*(VLOOKUP(B1523,Price_data!A$1:B$190,2,FALSE))</f>
        <v>#N/A</v>
      </c>
      <c r="R1523" s="3">
        <f>I1523*(VLOOKUP(B1523,Price_data!A$1:B$190,2,FALSE))</f>
        <v>157.520208782596</v>
      </c>
      <c r="S1523" s="4" t="str">
        <f>(VLOOKUP(B1523,Price_data!A$1:C$190,3,FALSE))</f>
        <v>EEZ</v>
      </c>
      <c r="T1523" s="2" t="str">
        <f>IF(C1523="Total", (VLOOKUP(B1523,Recommended_fish_intake!A$4:D$122,4,FALSE)), "NA")</f>
        <v>NA</v>
      </c>
      <c r="U1523" s="2" t="str">
        <f t="shared" si="179"/>
        <v>NA</v>
      </c>
    </row>
    <row r="1524" spans="1:21" ht="14.25" customHeight="1">
      <c r="A1524" s="2" t="s">
        <v>15</v>
      </c>
      <c r="B1524" s="2">
        <v>1976</v>
      </c>
      <c r="C1524" s="2" t="s">
        <v>23</v>
      </c>
      <c r="D1524" s="3">
        <f t="shared" si="180"/>
        <v>127.461</v>
      </c>
      <c r="E1524" s="3">
        <f t="shared" si="181"/>
        <v>34.857999999999997</v>
      </c>
      <c r="F1524" s="3" t="e">
        <f t="shared" si="182"/>
        <v>#N/A</v>
      </c>
      <c r="G1524" s="3" t="e">
        <f t="shared" si="183"/>
        <v>#N/A</v>
      </c>
      <c r="H1524" s="3">
        <f t="shared" si="184"/>
        <v>8.0679999999999996</v>
      </c>
      <c r="I1524" s="3">
        <f t="shared" si="185"/>
        <v>5.9009999999999998</v>
      </c>
      <c r="J1524" s="2">
        <v>127461</v>
      </c>
      <c r="K1524" s="2">
        <v>34858</v>
      </c>
      <c r="N1524" s="2">
        <f>1361+417+5785+505</f>
        <v>8068</v>
      </c>
      <c r="O1524" s="2">
        <f>456+372+4860+213</f>
        <v>5901</v>
      </c>
      <c r="P1524" s="3">
        <f>E1524*(VLOOKUP(B1524,Price_data!A$1:B$190,2,FALSE))</f>
        <v>149.06177211813798</v>
      </c>
      <c r="Q1524" s="3" t="e">
        <f>G1524*(VLOOKUP(B1524,Price_data!A$1:B$190,2,FALSE))</f>
        <v>#N/A</v>
      </c>
      <c r="R1524" s="3">
        <f>I1524*(VLOOKUP(B1524,Price_data!A$1:B$190,2,FALSE))</f>
        <v>25.234193507061001</v>
      </c>
      <c r="S1524" s="4" t="str">
        <f>(VLOOKUP(B1524,Price_data!A$1:C$190,3,FALSE))</f>
        <v>EEZ</v>
      </c>
      <c r="T1524" s="2" t="str">
        <f>IF(C1524="Total", (VLOOKUP(B1524,Recommended_fish_intake!A$4:D$122,4,FALSE)), "NA")</f>
        <v>NA</v>
      </c>
      <c r="U1524" s="2" t="str">
        <f t="shared" si="179"/>
        <v>NA</v>
      </c>
    </row>
    <row r="1525" spans="1:21" ht="14.25" customHeight="1">
      <c r="A1525" s="2" t="s">
        <v>15</v>
      </c>
      <c r="B1525" s="2">
        <v>1976</v>
      </c>
      <c r="C1525" s="2" t="s">
        <v>25</v>
      </c>
      <c r="D1525" s="3">
        <f t="shared" si="180"/>
        <v>31.873999999999999</v>
      </c>
      <c r="E1525" s="3">
        <f t="shared" si="181"/>
        <v>12.294</v>
      </c>
      <c r="F1525" s="3" t="e">
        <f t="shared" si="182"/>
        <v>#N/A</v>
      </c>
      <c r="G1525" s="3" t="e">
        <f t="shared" si="183"/>
        <v>#N/A</v>
      </c>
      <c r="H1525" s="3">
        <f t="shared" si="184"/>
        <v>12.429</v>
      </c>
      <c r="I1525" s="3">
        <f t="shared" si="185"/>
        <v>6.1459999999999999</v>
      </c>
      <c r="J1525" s="2">
        <v>31874</v>
      </c>
      <c r="K1525" s="2">
        <v>12294</v>
      </c>
      <c r="N1525" s="2">
        <f>10048+1292+1089</f>
        <v>12429</v>
      </c>
      <c r="O1525" s="2">
        <f>4112+1455+579</f>
        <v>6146</v>
      </c>
      <c r="P1525" s="3">
        <f>E1525*(VLOOKUP(B1525,Price_data!A$1:B$190,2,FALSE))</f>
        <v>52.572305537334003</v>
      </c>
      <c r="Q1525" s="3" t="e">
        <f>G1525*(VLOOKUP(B1525,Price_data!A$1:B$190,2,FALSE))</f>
        <v>#N/A</v>
      </c>
      <c r="R1525" s="3">
        <f>I1525*(VLOOKUP(B1525,Price_data!A$1:B$190,2,FALSE))</f>
        <v>26.281876511506002</v>
      </c>
      <c r="S1525" s="4" t="str">
        <f>(VLOOKUP(B1525,Price_data!A$1:C$190,3,FALSE))</f>
        <v>EEZ</v>
      </c>
      <c r="T1525" s="2" t="str">
        <f>IF(C1525="Total", (VLOOKUP(B1525,Recommended_fish_intake!A$4:D$122,4,FALSE)), "NA")</f>
        <v>NA</v>
      </c>
      <c r="U1525" s="2" t="str">
        <f t="shared" si="179"/>
        <v>NA</v>
      </c>
    </row>
    <row r="1526" spans="1:21" ht="14.25" customHeight="1">
      <c r="A1526" s="2" t="s">
        <v>15</v>
      </c>
      <c r="B1526" s="2">
        <v>1976</v>
      </c>
      <c r="C1526" s="2" t="s">
        <v>38</v>
      </c>
      <c r="D1526" s="3">
        <f t="shared" si="180"/>
        <v>40.680999999999997</v>
      </c>
      <c r="E1526" s="3">
        <f t="shared" si="181"/>
        <v>7.0110000000000001</v>
      </c>
      <c r="F1526" s="3" t="e">
        <f t="shared" si="182"/>
        <v>#N/A</v>
      </c>
      <c r="G1526" s="3" t="e">
        <f t="shared" si="183"/>
        <v>#N/A</v>
      </c>
      <c r="H1526" s="3">
        <f t="shared" si="184"/>
        <v>0.79800000000000004</v>
      </c>
      <c r="I1526" s="3">
        <f t="shared" si="185"/>
        <v>0.105</v>
      </c>
      <c r="J1526" s="2">
        <v>40681</v>
      </c>
      <c r="K1526" s="2">
        <v>7011</v>
      </c>
      <c r="N1526" s="2">
        <v>798</v>
      </c>
      <c r="O1526" s="2">
        <v>105</v>
      </c>
      <c r="P1526" s="3">
        <f>E1526*(VLOOKUP(B1526,Price_data!A$1:B$190,2,FALSE))</f>
        <v>29.980838955771002</v>
      </c>
      <c r="Q1526" s="3" t="e">
        <f>G1526*(VLOOKUP(B1526,Price_data!A$1:B$190,2,FALSE))</f>
        <v>#N/A</v>
      </c>
      <c r="R1526" s="3">
        <f>I1526*(VLOOKUP(B1526,Price_data!A$1:B$190,2,FALSE))</f>
        <v>0.44900700190499998</v>
      </c>
      <c r="S1526" s="4" t="str">
        <f>(VLOOKUP(B1526,Price_data!A$1:C$190,3,FALSE))</f>
        <v>EEZ</v>
      </c>
      <c r="T1526" s="2" t="str">
        <f>IF(C1526="Total", (VLOOKUP(B1526,Recommended_fish_intake!A$4:D$122,4,FALSE)), "NA")</f>
        <v>NA</v>
      </c>
      <c r="U1526" s="2" t="str">
        <f t="shared" si="179"/>
        <v>NA</v>
      </c>
    </row>
    <row r="1527" spans="1:21" ht="14.25" customHeight="1">
      <c r="A1527" s="2" t="s">
        <v>15</v>
      </c>
      <c r="B1527" s="2">
        <v>1976</v>
      </c>
      <c r="C1527" s="2" t="s">
        <v>24</v>
      </c>
      <c r="D1527" s="3">
        <f t="shared" si="180"/>
        <v>49.423000000000002</v>
      </c>
      <c r="E1527" s="3">
        <f t="shared" si="181"/>
        <v>9.0459999999999994</v>
      </c>
      <c r="F1527" s="3" t="e">
        <f t="shared" si="182"/>
        <v>#N/A</v>
      </c>
      <c r="G1527" s="3" t="e">
        <f t="shared" si="183"/>
        <v>#N/A</v>
      </c>
      <c r="H1527" s="3" t="e">
        <f t="shared" si="184"/>
        <v>#N/A</v>
      </c>
      <c r="I1527" s="3" t="e">
        <f t="shared" si="185"/>
        <v>#N/A</v>
      </c>
      <c r="J1527" s="2">
        <v>49423</v>
      </c>
      <c r="K1527" s="2">
        <v>9046</v>
      </c>
      <c r="P1527" s="3">
        <f>E1527*(VLOOKUP(B1527,Price_data!A$1:B$190,2,FALSE))</f>
        <v>38.683022278406</v>
      </c>
      <c r="Q1527" s="3" t="e">
        <f>G1527*(VLOOKUP(B1527,Price_data!A$1:B$190,2,FALSE))</f>
        <v>#N/A</v>
      </c>
      <c r="R1527" s="3" t="e">
        <f>I1527*(VLOOKUP(B1527,Price_data!A$1:B$190,2,FALSE))</f>
        <v>#N/A</v>
      </c>
      <c r="S1527" s="4" t="str">
        <f>(VLOOKUP(B1527,Price_data!A$1:C$190,3,FALSE))</f>
        <v>EEZ</v>
      </c>
      <c r="T1527" s="2" t="str">
        <f>IF(C1527="Total", (VLOOKUP(B1527,Recommended_fish_intake!A$4:D$122,4,FALSE)), "NA")</f>
        <v>NA</v>
      </c>
      <c r="U1527" s="2" t="str">
        <f t="shared" si="179"/>
        <v>NA</v>
      </c>
    </row>
    <row r="1528" spans="1:21" ht="14.25" customHeight="1">
      <c r="A1528" s="2" t="s">
        <v>15</v>
      </c>
      <c r="B1528" s="2">
        <v>1976</v>
      </c>
      <c r="C1528" s="2" t="s">
        <v>19</v>
      </c>
      <c r="D1528" s="3">
        <f t="shared" si="180"/>
        <v>91.012</v>
      </c>
      <c r="E1528" s="3">
        <f t="shared" si="181"/>
        <v>11.587</v>
      </c>
      <c r="F1528" s="3" t="e">
        <f t="shared" si="182"/>
        <v>#N/A</v>
      </c>
      <c r="G1528" s="3" t="e">
        <f t="shared" si="183"/>
        <v>#N/A</v>
      </c>
      <c r="H1528" s="3">
        <f t="shared" si="184"/>
        <v>2.1640000000000001</v>
      </c>
      <c r="I1528" s="3">
        <f t="shared" si="185"/>
        <v>0.81499999999999995</v>
      </c>
      <c r="J1528" s="2">
        <v>91012</v>
      </c>
      <c r="K1528" s="2">
        <v>11587</v>
      </c>
      <c r="N1528" s="2">
        <f>864+395+493+412</f>
        <v>2164</v>
      </c>
      <c r="O1528" s="2">
        <f>178+120+141+376</f>
        <v>815</v>
      </c>
      <c r="P1528" s="3">
        <f>E1528*(VLOOKUP(B1528,Price_data!A$1:B$190,2,FALSE))</f>
        <v>49.548991724507005</v>
      </c>
      <c r="Q1528" s="3" t="e">
        <f>G1528*(VLOOKUP(B1528,Price_data!A$1:B$190,2,FALSE))</f>
        <v>#N/A</v>
      </c>
      <c r="R1528" s="3">
        <f>I1528*(VLOOKUP(B1528,Price_data!A$1:B$190,2,FALSE))</f>
        <v>3.4851495862149999</v>
      </c>
      <c r="S1528" s="4" t="str">
        <f>(VLOOKUP(B1528,Price_data!A$1:C$190,3,FALSE))</f>
        <v>EEZ</v>
      </c>
      <c r="T1528" s="2" t="str">
        <f>IF(C1528="Total", (VLOOKUP(B1528,Recommended_fish_intake!A$4:D$122,4,FALSE)), "NA")</f>
        <v>NA</v>
      </c>
      <c r="U1528" s="2" t="str">
        <f t="shared" si="179"/>
        <v>NA</v>
      </c>
    </row>
    <row r="1529" spans="1:21" ht="14.25" customHeight="1">
      <c r="A1529" s="2" t="s">
        <v>15</v>
      </c>
      <c r="B1529" s="2">
        <v>1976</v>
      </c>
      <c r="C1529" s="2" t="s">
        <v>20</v>
      </c>
      <c r="D1529" s="3">
        <f t="shared" si="180"/>
        <v>87.097999999999999</v>
      </c>
      <c r="E1529" s="3">
        <f t="shared" si="181"/>
        <v>5.2510000000000003</v>
      </c>
      <c r="F1529" s="3" t="e">
        <f t="shared" si="182"/>
        <v>#N/A</v>
      </c>
      <c r="G1529" s="3" t="e">
        <f t="shared" si="183"/>
        <v>#N/A</v>
      </c>
      <c r="H1529" s="3">
        <f t="shared" si="184"/>
        <v>3.1120000000000001</v>
      </c>
      <c r="I1529" s="3">
        <f t="shared" si="185"/>
        <v>1.7150000000000001</v>
      </c>
      <c r="J1529" s="2">
        <v>87098</v>
      </c>
      <c r="K1529" s="2">
        <v>5251</v>
      </c>
      <c r="N1529" s="2">
        <v>3112</v>
      </c>
      <c r="O1529" s="2">
        <v>1715</v>
      </c>
      <c r="P1529" s="3">
        <f>E1529*(VLOOKUP(B1529,Price_data!A$1:B$190,2,FALSE))</f>
        <v>22.454626352411001</v>
      </c>
      <c r="Q1529" s="3" t="e">
        <f>G1529*(VLOOKUP(B1529,Price_data!A$1:B$190,2,FALSE))</f>
        <v>#N/A</v>
      </c>
      <c r="R1529" s="3">
        <f>I1529*(VLOOKUP(B1529,Price_data!A$1:B$190,2,FALSE))</f>
        <v>7.3337810311150005</v>
      </c>
      <c r="S1529" s="4" t="str">
        <f>(VLOOKUP(B1529,Price_data!A$1:C$190,3,FALSE))</f>
        <v>EEZ</v>
      </c>
      <c r="T1529" s="2" t="str">
        <f>IF(C1529="Total", (VLOOKUP(B1529,Recommended_fish_intake!A$4:D$122,4,FALSE)), "NA")</f>
        <v>NA</v>
      </c>
      <c r="U1529" s="2" t="str">
        <f t="shared" si="179"/>
        <v>NA</v>
      </c>
    </row>
    <row r="1530" spans="1:21" ht="14.25" customHeight="1">
      <c r="A1530" s="2" t="s">
        <v>15</v>
      </c>
      <c r="B1530" s="2">
        <v>1976</v>
      </c>
      <c r="C1530" s="2" t="s">
        <v>21</v>
      </c>
      <c r="D1530" s="3">
        <f t="shared" si="180"/>
        <v>89.739000000000004</v>
      </c>
      <c r="E1530" s="3">
        <f t="shared" si="181"/>
        <v>3.294</v>
      </c>
      <c r="F1530" s="3" t="e">
        <f t="shared" si="182"/>
        <v>#N/A</v>
      </c>
      <c r="G1530" s="3" t="e">
        <f t="shared" si="183"/>
        <v>#N/A</v>
      </c>
      <c r="H1530" s="3" t="e">
        <f t="shared" si="184"/>
        <v>#N/A</v>
      </c>
      <c r="I1530" s="3" t="e">
        <f t="shared" si="185"/>
        <v>#N/A</v>
      </c>
      <c r="J1530" s="2">
        <v>89739</v>
      </c>
      <c r="K1530" s="2">
        <v>3294</v>
      </c>
      <c r="P1530" s="3">
        <f>E1530*(VLOOKUP(B1530,Price_data!A$1:B$190,2,FALSE))</f>
        <v>14.085991088334001</v>
      </c>
      <c r="Q1530" s="3" t="e">
        <f>G1530*(VLOOKUP(B1530,Price_data!A$1:B$190,2,FALSE))</f>
        <v>#N/A</v>
      </c>
      <c r="R1530" s="3" t="e">
        <f>I1530*(VLOOKUP(B1530,Price_data!A$1:B$190,2,FALSE))</f>
        <v>#N/A</v>
      </c>
      <c r="S1530" s="4" t="str">
        <f>(VLOOKUP(B1530,Price_data!A$1:C$190,3,FALSE))</f>
        <v>EEZ</v>
      </c>
      <c r="T1530" s="2" t="str">
        <f>IF(C1530="Total", (VLOOKUP(B1530,Recommended_fish_intake!A$4:D$122,4,FALSE)), "NA")</f>
        <v>NA</v>
      </c>
      <c r="U1530" s="2" t="str">
        <f t="shared" si="179"/>
        <v>NA</v>
      </c>
    </row>
    <row r="1531" spans="1:21" ht="14.25" customHeight="1">
      <c r="A1531" s="2" t="s">
        <v>15</v>
      </c>
      <c r="B1531" s="2">
        <v>1976</v>
      </c>
      <c r="C1531" s="2" t="s">
        <v>37</v>
      </c>
      <c r="D1531" s="3">
        <f t="shared" si="180"/>
        <v>850.74800000000005</v>
      </c>
      <c r="E1531" s="3">
        <f t="shared" si="181"/>
        <v>186.684</v>
      </c>
      <c r="F1531" s="3">
        <f t="shared" si="182"/>
        <v>130.72999999999999</v>
      </c>
      <c r="G1531" s="3">
        <f t="shared" si="183"/>
        <v>55.933</v>
      </c>
      <c r="H1531" s="3">
        <f t="shared" si="184"/>
        <v>179.07499999999999</v>
      </c>
      <c r="I1531" s="3">
        <f t="shared" si="185"/>
        <v>152.405</v>
      </c>
      <c r="J1531" s="2">
        <v>850748</v>
      </c>
      <c r="K1531" s="2">
        <v>186684</v>
      </c>
      <c r="L1531" s="2">
        <v>130730</v>
      </c>
      <c r="M1531" s="2">
        <v>55933</v>
      </c>
      <c r="N1531" s="2">
        <v>179075</v>
      </c>
      <c r="O1531" s="2">
        <v>152405</v>
      </c>
      <c r="P1531" s="3">
        <f>E1531*(VLOOKUP(B1531,Price_data!A$1:B$190,2,FALSE))</f>
        <v>798.30879184412402</v>
      </c>
      <c r="Q1531" s="3">
        <f>G1531*(VLOOKUP(B1531,Price_data!A$1:B$190,2,FALSE))</f>
        <v>239.183891786213</v>
      </c>
      <c r="R1531" s="3">
        <f>I1531*(VLOOKUP(B1531,Price_data!A$1:B$190,2,FALSE))</f>
        <v>651.72297262220502</v>
      </c>
      <c r="S1531" s="4" t="str">
        <f>(VLOOKUP(B1531,Price_data!A$1:C$190,3,FALSE))</f>
        <v>EEZ</v>
      </c>
      <c r="T1531" s="2" t="str">
        <f>IF(C1531="Total", (VLOOKUP(B1531,Recommended_fish_intake!A$4:D$122,4,FALSE)), "NA")</f>
        <v>NA</v>
      </c>
      <c r="U1531" s="2">
        <f t="shared" si="179"/>
        <v>416.86652000000004</v>
      </c>
    </row>
    <row r="1532" spans="1:21" ht="14.25" customHeight="1">
      <c r="A1532" s="2" t="s">
        <v>15</v>
      </c>
      <c r="B1532" s="2">
        <v>1976</v>
      </c>
      <c r="C1532" s="2" t="s">
        <v>36</v>
      </c>
      <c r="D1532" s="3">
        <f t="shared" si="180"/>
        <v>7.7169999999999996</v>
      </c>
      <c r="E1532" s="3">
        <f t="shared" si="181"/>
        <v>1.9179999999999999</v>
      </c>
      <c r="F1532" s="3" t="e">
        <f t="shared" si="182"/>
        <v>#N/A</v>
      </c>
      <c r="G1532" s="3" t="e">
        <f t="shared" si="183"/>
        <v>#N/A</v>
      </c>
      <c r="H1532" s="3">
        <f t="shared" si="184"/>
        <v>0.51700000000000002</v>
      </c>
      <c r="I1532" s="3">
        <f t="shared" si="185"/>
        <v>1.5029999999999999</v>
      </c>
      <c r="J1532" s="2">
        <v>7717</v>
      </c>
      <c r="K1532" s="2">
        <v>1918</v>
      </c>
      <c r="N1532" s="2">
        <v>517</v>
      </c>
      <c r="O1532" s="2">
        <v>1503</v>
      </c>
      <c r="P1532" s="3">
        <f>E1532*(VLOOKUP(B1532,Price_data!A$1:B$190,2,FALSE))</f>
        <v>8.2018612347980007</v>
      </c>
      <c r="Q1532" s="3" t="e">
        <f>G1532*(VLOOKUP(B1532,Price_data!A$1:B$190,2,FALSE))</f>
        <v>#N/A</v>
      </c>
      <c r="R1532" s="3">
        <f>I1532*(VLOOKUP(B1532,Price_data!A$1:B$190,2,FALSE))</f>
        <v>6.4272145129829994</v>
      </c>
      <c r="S1532" s="4" t="str">
        <f>(VLOOKUP(B1532,Price_data!A$1:C$190,3,FALSE))</f>
        <v>EEZ</v>
      </c>
      <c r="T1532" s="2" t="str">
        <f>IF(C1532="Total", (VLOOKUP(B1532,Recommended_fish_intake!A$4:D$122,4,FALSE)), "NA")</f>
        <v>NA</v>
      </c>
      <c r="U1532" s="2" t="str">
        <f t="shared" si="179"/>
        <v>NA</v>
      </c>
    </row>
    <row r="1533" spans="1:21" ht="14.25" customHeight="1">
      <c r="A1533" s="2" t="s">
        <v>15</v>
      </c>
      <c r="B1533" s="2">
        <v>1976</v>
      </c>
      <c r="C1533" s="2" t="s">
        <v>52</v>
      </c>
      <c r="D1533" s="3">
        <f t="shared" si="180"/>
        <v>9.8480000000000008</v>
      </c>
      <c r="E1533" s="3">
        <f t="shared" si="181"/>
        <v>3.2509999999999999</v>
      </c>
      <c r="F1533" s="3" t="e">
        <f t="shared" si="182"/>
        <v>#N/A</v>
      </c>
      <c r="G1533" s="3" t="e">
        <f t="shared" si="183"/>
        <v>#N/A</v>
      </c>
      <c r="H1533" s="3" t="e">
        <f t="shared" si="184"/>
        <v>#N/A</v>
      </c>
      <c r="I1533" s="3" t="e">
        <f t="shared" si="185"/>
        <v>#N/A</v>
      </c>
      <c r="J1533" s="2">
        <v>9848</v>
      </c>
      <c r="K1533" s="2">
        <v>3251</v>
      </c>
      <c r="P1533" s="3">
        <f>E1533*(VLOOKUP(B1533,Price_data!A$1:B$190,2,FALSE))</f>
        <v>13.902112030411001</v>
      </c>
      <c r="Q1533" s="3" t="e">
        <f>G1533*(VLOOKUP(B1533,Price_data!A$1:B$190,2,FALSE))</f>
        <v>#N/A</v>
      </c>
      <c r="R1533" s="3" t="e">
        <f>I1533*(VLOOKUP(B1533,Price_data!A$1:B$190,2,FALSE))</f>
        <v>#N/A</v>
      </c>
      <c r="S1533" s="4" t="str">
        <f>(VLOOKUP(B1533,Price_data!A$1:C$190,3,FALSE))</f>
        <v>EEZ</v>
      </c>
      <c r="T1533" s="2" t="str">
        <f>IF(C1533="Total", (VLOOKUP(B1533,Recommended_fish_intake!A$4:D$122,4,FALSE)), "NA")</f>
        <v>NA</v>
      </c>
      <c r="U1533" s="2" t="str">
        <f t="shared" si="179"/>
        <v>NA</v>
      </c>
    </row>
    <row r="1534" spans="1:21" ht="14.25" customHeight="1">
      <c r="A1534" s="2" t="s">
        <v>15</v>
      </c>
      <c r="B1534" s="2">
        <v>1976</v>
      </c>
      <c r="C1534" s="2" t="s">
        <v>34</v>
      </c>
      <c r="D1534" s="3">
        <f t="shared" si="180"/>
        <v>0.89700000000000002</v>
      </c>
      <c r="E1534" s="3">
        <f t="shared" si="181"/>
        <v>3.4750000000000001</v>
      </c>
      <c r="F1534" s="3" t="e">
        <f t="shared" si="182"/>
        <v>#N/A</v>
      </c>
      <c r="G1534" s="3" t="e">
        <f t="shared" si="183"/>
        <v>#N/A</v>
      </c>
      <c r="H1534" s="3" t="e">
        <f t="shared" si="184"/>
        <v>#N/A</v>
      </c>
      <c r="I1534" s="3" t="e">
        <f t="shared" si="185"/>
        <v>#N/A</v>
      </c>
      <c r="J1534" s="2">
        <v>897</v>
      </c>
      <c r="K1534" s="2">
        <v>3475</v>
      </c>
      <c r="P1534" s="3">
        <f>E1534*(VLOOKUP(B1534,Price_data!A$1:B$190,2,FALSE))</f>
        <v>14.859993634475002</v>
      </c>
      <c r="Q1534" s="3" t="e">
        <f>G1534*(VLOOKUP(B1534,Price_data!A$1:B$190,2,FALSE))</f>
        <v>#N/A</v>
      </c>
      <c r="R1534" s="3" t="e">
        <f>I1534*(VLOOKUP(B1534,Price_data!A$1:B$190,2,FALSE))</f>
        <v>#N/A</v>
      </c>
      <c r="S1534" s="4" t="str">
        <f>(VLOOKUP(B1534,Price_data!A$1:C$190,3,FALSE))</f>
        <v>EEZ</v>
      </c>
      <c r="T1534" s="2" t="str">
        <f>IF(C1534="Total", (VLOOKUP(B1534,Recommended_fish_intake!A$4:D$122,4,FALSE)), "NA")</f>
        <v>NA</v>
      </c>
      <c r="U1534" s="2" t="str">
        <f t="shared" si="179"/>
        <v>NA</v>
      </c>
    </row>
    <row r="1535" spans="1:21" ht="14.25" customHeight="1">
      <c r="A1535" s="2" t="s">
        <v>15</v>
      </c>
      <c r="B1535" s="2">
        <v>1976</v>
      </c>
      <c r="C1535" s="2" t="s">
        <v>35</v>
      </c>
      <c r="D1535" s="3">
        <f t="shared" si="180"/>
        <v>15.858000000000001</v>
      </c>
      <c r="E1535" s="3">
        <f t="shared" si="181"/>
        <v>8.6319999999999997</v>
      </c>
      <c r="F1535" s="3" t="e">
        <f t="shared" si="182"/>
        <v>#N/A</v>
      </c>
      <c r="G1535" s="3" t="e">
        <f t="shared" si="183"/>
        <v>#N/A</v>
      </c>
      <c r="H1535" s="3" t="e">
        <f t="shared" si="184"/>
        <v>#N/A</v>
      </c>
      <c r="I1535" s="3" t="e">
        <f t="shared" si="185"/>
        <v>#N/A</v>
      </c>
      <c r="J1535" s="2">
        <v>15858</v>
      </c>
      <c r="K1535" s="2">
        <v>8632</v>
      </c>
      <c r="P1535" s="3">
        <f>E1535*(VLOOKUP(B1535,Price_data!A$1:B$190,2,FALSE))</f>
        <v>36.912651813751999</v>
      </c>
      <c r="Q1535" s="3" t="e">
        <f>G1535*(VLOOKUP(B1535,Price_data!A$1:B$190,2,FALSE))</f>
        <v>#N/A</v>
      </c>
      <c r="R1535" s="3" t="e">
        <f>I1535*(VLOOKUP(B1535,Price_data!A$1:B$190,2,FALSE))</f>
        <v>#N/A</v>
      </c>
      <c r="S1535" s="4" t="str">
        <f>(VLOOKUP(B1535,Price_data!A$1:C$190,3,FALSE))</f>
        <v>EEZ</v>
      </c>
      <c r="T1535" s="2" t="str">
        <f>IF(C1535="Total", (VLOOKUP(B1535,Recommended_fish_intake!A$4:D$122,4,FALSE)), "NA")</f>
        <v>NA</v>
      </c>
      <c r="U1535" s="2" t="str">
        <f t="shared" si="179"/>
        <v>NA</v>
      </c>
    </row>
    <row r="1536" spans="1:21" ht="14.25" customHeight="1">
      <c r="A1536" s="2" t="s">
        <v>15</v>
      </c>
      <c r="B1536" s="2">
        <v>1976</v>
      </c>
      <c r="C1536" s="2" t="s">
        <v>30</v>
      </c>
      <c r="D1536" s="3">
        <f t="shared" si="180"/>
        <v>3.2650000000000001</v>
      </c>
      <c r="E1536" s="3">
        <f t="shared" si="181"/>
        <v>1.2410000000000001</v>
      </c>
      <c r="F1536" s="3" t="e">
        <f t="shared" si="182"/>
        <v>#N/A</v>
      </c>
      <c r="G1536" s="3" t="e">
        <f t="shared" si="183"/>
        <v>#N/A</v>
      </c>
      <c r="H1536" s="3">
        <f t="shared" si="184"/>
        <v>7.6070000000000002</v>
      </c>
      <c r="I1536" s="3">
        <f t="shared" si="185"/>
        <v>13.847</v>
      </c>
      <c r="J1536" s="2">
        <v>3265</v>
      </c>
      <c r="K1536" s="2">
        <v>1241</v>
      </c>
      <c r="N1536" s="2">
        <f>3262+3453+424+468</f>
        <v>7607</v>
      </c>
      <c r="O1536" s="2">
        <f>3479+8779+751+838</f>
        <v>13847</v>
      </c>
      <c r="P1536" s="3">
        <f>E1536*(VLOOKUP(B1536,Price_data!A$1:B$190,2,FALSE))</f>
        <v>5.3068351368010003</v>
      </c>
      <c r="Q1536" s="3" t="e">
        <f>G1536*(VLOOKUP(B1536,Price_data!A$1:B$190,2,FALSE))</f>
        <v>#N/A</v>
      </c>
      <c r="R1536" s="3">
        <f>I1536*(VLOOKUP(B1536,Price_data!A$1:B$190,2,FALSE))</f>
        <v>59.213332908367001</v>
      </c>
      <c r="S1536" s="4" t="str">
        <f>(VLOOKUP(B1536,Price_data!A$1:C$190,3,FALSE))</f>
        <v>EEZ</v>
      </c>
      <c r="T1536" s="2" t="str">
        <f>IF(C1536="Total", (VLOOKUP(B1536,Recommended_fish_intake!A$4:D$122,4,FALSE)), "NA")</f>
        <v>NA</v>
      </c>
      <c r="U1536" s="2" t="str">
        <f t="shared" si="179"/>
        <v>NA</v>
      </c>
    </row>
    <row r="1537" spans="1:21" ht="14.25" customHeight="1">
      <c r="A1537" s="2" t="s">
        <v>15</v>
      </c>
      <c r="B1537" s="2">
        <v>1976</v>
      </c>
      <c r="C1537" s="2" t="s">
        <v>28</v>
      </c>
      <c r="D1537" s="3">
        <f t="shared" si="180"/>
        <v>82.027000000000001</v>
      </c>
      <c r="E1537" s="3">
        <f t="shared" si="181"/>
        <v>23.11</v>
      </c>
      <c r="F1537" s="3">
        <f t="shared" si="182"/>
        <v>19.725999999999999</v>
      </c>
      <c r="G1537" s="3">
        <f t="shared" si="183"/>
        <v>25.106000000000002</v>
      </c>
      <c r="H1537" s="3">
        <f t="shared" si="184"/>
        <v>20.936</v>
      </c>
      <c r="I1537" s="3">
        <f t="shared" si="185"/>
        <v>35.781999999999996</v>
      </c>
      <c r="J1537" s="2">
        <v>82027</v>
      </c>
      <c r="K1537" s="2">
        <v>23110</v>
      </c>
      <c r="L1537" s="2">
        <v>19726</v>
      </c>
      <c r="M1537" s="2">
        <v>25106</v>
      </c>
      <c r="N1537" s="2">
        <v>20936</v>
      </c>
      <c r="O1537" s="2">
        <v>35782</v>
      </c>
      <c r="P1537" s="3">
        <f>E1537*(VLOOKUP(B1537,Price_data!A$1:B$190,2,FALSE))</f>
        <v>98.824302990709995</v>
      </c>
      <c r="Q1537" s="3">
        <f>G1537*(VLOOKUP(B1537,Price_data!A$1:B$190,2,FALSE))</f>
        <v>107.35971228406601</v>
      </c>
      <c r="R1537" s="3">
        <f>I1537*(VLOOKUP(B1537,Price_data!A$1:B$190,2,FALSE))</f>
        <v>153.013033734902</v>
      </c>
      <c r="S1537" s="4" t="str">
        <f>(VLOOKUP(B1537,Price_data!A$1:C$190,3,FALSE))</f>
        <v>EEZ</v>
      </c>
      <c r="T1537" s="2" t="str">
        <f>IF(C1537="Total", (VLOOKUP(B1537,Recommended_fish_intake!A$4:D$122,4,FALSE)), "NA")</f>
        <v>NA</v>
      </c>
      <c r="U1537" s="2">
        <f t="shared" si="179"/>
        <v>22.967560000000002</v>
      </c>
    </row>
    <row r="1538" spans="1:21" ht="14.25" customHeight="1">
      <c r="A1538" s="2" t="s">
        <v>18</v>
      </c>
      <c r="B1538" s="2">
        <v>1976</v>
      </c>
      <c r="C1538" s="2" t="s">
        <v>16</v>
      </c>
      <c r="D1538" s="3">
        <f t="shared" si="180"/>
        <v>474.96499999999997</v>
      </c>
      <c r="E1538" s="3">
        <f t="shared" si="181"/>
        <v>120.66</v>
      </c>
      <c r="F1538" s="3" t="e">
        <f t="shared" si="182"/>
        <v>#N/A</v>
      </c>
      <c r="G1538" s="3" t="e">
        <f t="shared" si="183"/>
        <v>#N/A</v>
      </c>
      <c r="H1538" s="3" t="e">
        <f t="shared" si="184"/>
        <v>#N/A</v>
      </c>
      <c r="I1538" s="3" t="e">
        <f t="shared" si="185"/>
        <v>#N/A</v>
      </c>
      <c r="J1538" s="2">
        <v>474965</v>
      </c>
      <c r="K1538" s="2">
        <v>120660</v>
      </c>
      <c r="P1538" s="3">
        <f>E1538*(VLOOKUP(B1538,Price_data!A$1:B$190,2,FALSE))</f>
        <v>515.97318904626002</v>
      </c>
      <c r="Q1538" s="3" t="e">
        <f>G1538*(VLOOKUP(B1538,Price_data!A$1:B$190,2,FALSE))</f>
        <v>#N/A</v>
      </c>
      <c r="R1538" s="3" t="e">
        <f>I1538*(VLOOKUP(B1538,Price_data!A$1:B$190,2,FALSE))</f>
        <v>#N/A</v>
      </c>
      <c r="S1538" s="4" t="str">
        <f>(VLOOKUP(B1538,Price_data!A$1:C$190,3,FALSE))</f>
        <v>EEZ</v>
      </c>
      <c r="T1538" s="2">
        <f>IF(C1538="Total", (VLOOKUP(B1538,Recommended_fish_intake!A$4:D$122,4,FALSE)), "NA")</f>
        <v>726.61000190687992</v>
      </c>
      <c r="U1538" s="2" t="str">
        <f t="shared" ref="U1538:U1601" si="186">IF(C1538="Wet fish", D1538*0.49, IF(C1538="Shellfish", D1538*0.28, "NA"))</f>
        <v>NA</v>
      </c>
    </row>
    <row r="1539" spans="1:21" ht="14.25" customHeight="1">
      <c r="A1539" s="2" t="s">
        <v>39</v>
      </c>
      <c r="B1539" s="2">
        <v>1976</v>
      </c>
      <c r="C1539" s="2" t="s">
        <v>16</v>
      </c>
      <c r="D1539" s="3">
        <f t="shared" si="180"/>
        <v>442.23099999999999</v>
      </c>
      <c r="E1539" s="3">
        <f t="shared" si="181"/>
        <v>85.828999999999994</v>
      </c>
      <c r="F1539" s="3" t="e">
        <f t="shared" si="182"/>
        <v>#N/A</v>
      </c>
      <c r="G1539" s="3" t="e">
        <f t="shared" si="183"/>
        <v>#N/A</v>
      </c>
      <c r="H1539" s="3" t="e">
        <f t="shared" si="184"/>
        <v>#N/A</v>
      </c>
      <c r="I1539" s="3" t="e">
        <f t="shared" si="185"/>
        <v>#N/A</v>
      </c>
      <c r="J1539" s="2">
        <v>442231</v>
      </c>
      <c r="K1539" s="2">
        <v>85829</v>
      </c>
      <c r="P1539" s="3">
        <f>E1539*(VLOOKUP(B1539,Price_data!A$1:B$190,2,FALSE))</f>
        <v>367.02687587146897</v>
      </c>
      <c r="Q1539" s="3" t="e">
        <f>G1539*(VLOOKUP(B1539,Price_data!A$1:B$190,2,FALSE))</f>
        <v>#N/A</v>
      </c>
      <c r="R1539" s="3" t="e">
        <f>I1539*(VLOOKUP(B1539,Price_data!A$1:B$190,2,FALSE))</f>
        <v>#N/A</v>
      </c>
      <c r="S1539" s="4" t="str">
        <f>(VLOOKUP(B1539,Price_data!A$1:C$190,3,FALSE))</f>
        <v>EEZ</v>
      </c>
      <c r="T1539" s="2">
        <f>IF(C1539="Total", (VLOOKUP(B1539,Recommended_fish_intake!A$4:D$122,4,FALSE)), "NA")</f>
        <v>726.61000190687992</v>
      </c>
      <c r="U1539" s="2" t="str">
        <f t="shared" si="186"/>
        <v>NA</v>
      </c>
    </row>
    <row r="1540" spans="1:21" ht="14.25" customHeight="1">
      <c r="A1540" s="2" t="s">
        <v>40</v>
      </c>
      <c r="B1540" s="2">
        <v>1976</v>
      </c>
      <c r="C1540" s="2" t="s">
        <v>16</v>
      </c>
      <c r="D1540" s="3">
        <f t="shared" si="180"/>
        <v>15.579000000000001</v>
      </c>
      <c r="E1540" s="3">
        <f t="shared" si="181"/>
        <v>3.306</v>
      </c>
      <c r="F1540" s="3" t="e">
        <f t="shared" si="182"/>
        <v>#N/A</v>
      </c>
      <c r="G1540" s="3" t="e">
        <f t="shared" si="183"/>
        <v>#N/A</v>
      </c>
      <c r="H1540" s="3" t="e">
        <f t="shared" si="184"/>
        <v>#N/A</v>
      </c>
      <c r="I1540" s="3" t="e">
        <f t="shared" si="185"/>
        <v>#N/A</v>
      </c>
      <c r="J1540" s="2">
        <v>15579</v>
      </c>
      <c r="K1540" s="2">
        <v>3306</v>
      </c>
      <c r="P1540" s="3">
        <f>E1540*(VLOOKUP(B1540,Price_data!A$1:B$190,2,FALSE))</f>
        <v>14.137306174266001</v>
      </c>
      <c r="Q1540" s="3" t="e">
        <f>G1540*(VLOOKUP(B1540,Price_data!A$1:B$190,2,FALSE))</f>
        <v>#N/A</v>
      </c>
      <c r="R1540" s="3" t="e">
        <f>I1540*(VLOOKUP(B1540,Price_data!A$1:B$190,2,FALSE))</f>
        <v>#N/A</v>
      </c>
      <c r="S1540" s="4" t="str">
        <f>(VLOOKUP(B1540,Price_data!A$1:C$190,3,FALSE))</f>
        <v>EEZ</v>
      </c>
      <c r="T1540" s="2">
        <f>IF(C1540="Total", (VLOOKUP(B1540,Recommended_fish_intake!A$4:D$122,4,FALSE)), "NA")</f>
        <v>726.61000190687992</v>
      </c>
      <c r="U1540" s="2" t="str">
        <f t="shared" si="186"/>
        <v>NA</v>
      </c>
    </row>
    <row r="1541" spans="1:21" ht="14.25" customHeight="1">
      <c r="A1541" s="2" t="s">
        <v>15</v>
      </c>
      <c r="B1541" s="2">
        <v>1976</v>
      </c>
      <c r="C1541" s="2" t="s">
        <v>16</v>
      </c>
      <c r="D1541" s="3">
        <f t="shared" si="180"/>
        <v>932.77499999999998</v>
      </c>
      <c r="E1541" s="3">
        <f t="shared" si="181"/>
        <v>209.79400000000001</v>
      </c>
      <c r="F1541" s="3">
        <f t="shared" si="182"/>
        <v>150.45599999999999</v>
      </c>
      <c r="G1541" s="3">
        <f t="shared" si="183"/>
        <v>81.039000000000001</v>
      </c>
      <c r="H1541" s="3">
        <f t="shared" si="184"/>
        <v>200.011</v>
      </c>
      <c r="I1541" s="3">
        <f t="shared" si="185"/>
        <v>188.18700000000001</v>
      </c>
      <c r="J1541" s="2">
        <v>932775</v>
      </c>
      <c r="K1541" s="2">
        <v>209794</v>
      </c>
      <c r="L1541" s="2">
        <v>150456</v>
      </c>
      <c r="M1541" s="2">
        <v>81039</v>
      </c>
      <c r="N1541" s="2">
        <v>200011</v>
      </c>
      <c r="O1541" s="2">
        <v>188187</v>
      </c>
      <c r="P1541" s="3">
        <f>E1541*(VLOOKUP(B1541,Price_data!A$1:B$190,2,FALSE))</f>
        <v>897.13309483483408</v>
      </c>
      <c r="Q1541" s="3">
        <f>G1541*(VLOOKUP(B1541,Price_data!A$1:B$190,2,FALSE))</f>
        <v>346.543604070279</v>
      </c>
      <c r="R1541" s="3">
        <f>I1541*(VLOOKUP(B1541,Price_data!A$1:B$190,2,FALSE))</f>
        <v>804.73600635710704</v>
      </c>
      <c r="S1541" s="4" t="str">
        <f>(VLOOKUP(B1541,Price_data!A$1:C$190,3,FALSE))</f>
        <v>EEZ</v>
      </c>
      <c r="T1541" s="2">
        <f>IF(C1541="Total", (VLOOKUP(B1541,Recommended_fish_intake!A$4:D$122,4,FALSE)), "NA")</f>
        <v>726.61000190687992</v>
      </c>
      <c r="U1541" s="2" t="str">
        <f t="shared" si="186"/>
        <v>NA</v>
      </c>
    </row>
    <row r="1542" spans="1:21" ht="14.25" customHeight="1">
      <c r="A1542" s="2" t="s">
        <v>15</v>
      </c>
      <c r="B1542" s="2">
        <v>1976</v>
      </c>
      <c r="C1542" s="2" t="s">
        <v>29</v>
      </c>
      <c r="D1542" s="3" t="e">
        <f t="shared" si="180"/>
        <v>#N/A</v>
      </c>
      <c r="E1542" s="3" t="e">
        <f t="shared" si="181"/>
        <v>#N/A</v>
      </c>
      <c r="F1542" s="3" t="e">
        <f t="shared" si="182"/>
        <v>#N/A</v>
      </c>
      <c r="G1542" s="3" t="e">
        <f t="shared" si="183"/>
        <v>#N/A</v>
      </c>
      <c r="H1542" s="3">
        <f t="shared" si="184"/>
        <v>23.446999999999999</v>
      </c>
      <c r="I1542" s="3">
        <f t="shared" si="185"/>
        <v>53.704000000000001</v>
      </c>
      <c r="J1542" s="3" t="e">
        <v>#N/A</v>
      </c>
      <c r="K1542" s="3" t="e">
        <v>#N/A</v>
      </c>
      <c r="L1542" s="3" t="e">
        <v>#N/A</v>
      </c>
      <c r="M1542" s="3" t="e">
        <v>#N/A</v>
      </c>
      <c r="N1542" s="2">
        <f>319+4669+18459</f>
        <v>23447</v>
      </c>
      <c r="O1542" s="2">
        <f>1137+11241+41326</f>
        <v>53704</v>
      </c>
      <c r="P1542" s="3" t="e">
        <f>E1542*(VLOOKUP(B1542,Price_data!A$1:B$190,2,FALSE))</f>
        <v>#N/A</v>
      </c>
      <c r="Q1542" s="3" t="e">
        <f>G1542*(VLOOKUP(B1542,Price_data!A$1:B$190,2,FALSE))</f>
        <v>#N/A</v>
      </c>
      <c r="R1542" s="3">
        <f>I1542*(VLOOKUP(B1542,Price_data!A$1:B$190,2,FALSE))</f>
        <v>229.65211457434401</v>
      </c>
      <c r="S1542" s="4" t="str">
        <f>(VLOOKUP(B1542,Price_data!A$1:C$190,3,FALSE))</f>
        <v>EEZ</v>
      </c>
      <c r="T1542" s="2" t="str">
        <f>IF(C1542="Total", (VLOOKUP(B1542,Recommended_fish_intake!A$4:D$122,4,FALSE)), "NA")</f>
        <v>NA</v>
      </c>
      <c r="U1542" s="2" t="str">
        <f t="shared" si="186"/>
        <v>NA</v>
      </c>
    </row>
    <row r="1543" spans="1:21" ht="14.25" customHeight="1">
      <c r="A1543" s="2" t="s">
        <v>15</v>
      </c>
      <c r="B1543" s="2">
        <v>1976</v>
      </c>
      <c r="C1543" s="2" t="s">
        <v>43</v>
      </c>
      <c r="D1543" s="3" t="e">
        <f t="shared" si="180"/>
        <v>#N/A</v>
      </c>
      <c r="E1543" s="3" t="e">
        <f t="shared" si="181"/>
        <v>#N/A</v>
      </c>
      <c r="F1543" s="3" t="e">
        <f t="shared" si="182"/>
        <v>#N/A</v>
      </c>
      <c r="G1543" s="3" t="e">
        <f t="shared" si="183"/>
        <v>#N/A</v>
      </c>
      <c r="H1543" s="3">
        <f t="shared" si="184"/>
        <v>8.0350000000000001</v>
      </c>
      <c r="I1543" s="3">
        <f t="shared" si="185"/>
        <v>10.407</v>
      </c>
      <c r="J1543" s="3" t="e">
        <v>#N/A</v>
      </c>
      <c r="K1543" s="3" t="e">
        <v>#N/A</v>
      </c>
      <c r="L1543" s="3" t="e">
        <v>#N/A</v>
      </c>
      <c r="M1543" s="3" t="e">
        <v>#N/A</v>
      </c>
      <c r="N1543" s="2">
        <v>8035</v>
      </c>
      <c r="O1543" s="2">
        <v>10407</v>
      </c>
      <c r="P1543" s="3" t="e">
        <f>E1543*(VLOOKUP(B1543,Price_data!A$1:B$190,2,FALSE))</f>
        <v>#N/A</v>
      </c>
      <c r="Q1543" s="3" t="e">
        <f>G1543*(VLOOKUP(B1543,Price_data!A$1:B$190,2,FALSE))</f>
        <v>#N/A</v>
      </c>
      <c r="R1543" s="3">
        <f>I1543*(VLOOKUP(B1543,Price_data!A$1:B$190,2,FALSE))</f>
        <v>44.503008274527005</v>
      </c>
      <c r="S1543" s="4" t="str">
        <f>(VLOOKUP(B1543,Price_data!A$1:C$190,3,FALSE))</f>
        <v>EEZ</v>
      </c>
      <c r="T1543" s="2" t="str">
        <f>IF(C1543="Total", (VLOOKUP(B1543,Recommended_fish_intake!A$4:D$122,4,FALSE)), "NA")</f>
        <v>NA</v>
      </c>
      <c r="U1543" s="2" t="str">
        <f t="shared" si="186"/>
        <v>NA</v>
      </c>
    </row>
    <row r="1544" spans="1:21" ht="14.25" customHeight="1">
      <c r="A1544" s="2" t="s">
        <v>18</v>
      </c>
      <c r="B1544" s="2">
        <v>1977</v>
      </c>
      <c r="C1544" s="2" t="s">
        <v>22</v>
      </c>
      <c r="D1544" s="3">
        <f t="shared" si="180"/>
        <v>108.53700000000001</v>
      </c>
      <c r="E1544" s="3">
        <f t="shared" si="181"/>
        <v>55.951000000000001</v>
      </c>
      <c r="F1544" s="3" t="e">
        <f t="shared" si="182"/>
        <v>#N/A</v>
      </c>
      <c r="G1544" s="3" t="e">
        <f t="shared" si="183"/>
        <v>#N/A</v>
      </c>
      <c r="H1544" s="3" t="e">
        <f t="shared" si="184"/>
        <v>#N/A</v>
      </c>
      <c r="I1544" s="3" t="e">
        <f t="shared" si="185"/>
        <v>#N/A</v>
      </c>
      <c r="J1544" s="2">
        <v>108537</v>
      </c>
      <c r="K1544" s="2">
        <v>55951</v>
      </c>
      <c r="P1544" s="3">
        <f>E1544*(VLOOKUP(B1544,Price_data!A$1:B$190,2,FALSE))</f>
        <v>206.52682306524102</v>
      </c>
      <c r="Q1544" s="3" t="e">
        <f>G1544*(VLOOKUP(B1544,Price_data!A$1:B$190,2,FALSE))</f>
        <v>#N/A</v>
      </c>
      <c r="R1544" s="3" t="e">
        <f>I1544*(VLOOKUP(B1544,Price_data!A$1:B$190,2,FALSE))</f>
        <v>#N/A</v>
      </c>
      <c r="S1544" s="4" t="str">
        <f>(VLOOKUP(B1544,Price_data!A$1:C$190,3,FALSE))</f>
        <v>EEZ</v>
      </c>
      <c r="T1544" s="2" t="str">
        <f>IF(C1544="Total", (VLOOKUP(B1544,Recommended_fish_intake!A$4:D$122,4,FALSE)), "NA")</f>
        <v>NA</v>
      </c>
      <c r="U1544" s="2" t="str">
        <f t="shared" si="186"/>
        <v>NA</v>
      </c>
    </row>
    <row r="1545" spans="1:21" ht="14.25" customHeight="1">
      <c r="A1545" s="2" t="s">
        <v>18</v>
      </c>
      <c r="B1545" s="2">
        <v>1977</v>
      </c>
      <c r="C1545" s="2" t="s">
        <v>23</v>
      </c>
      <c r="D1545" s="3">
        <f t="shared" si="180"/>
        <v>29.279</v>
      </c>
      <c r="E1545" s="3">
        <f t="shared" si="181"/>
        <v>12.275</v>
      </c>
      <c r="F1545" s="3" t="e">
        <f t="shared" si="182"/>
        <v>#N/A</v>
      </c>
      <c r="G1545" s="3" t="e">
        <f t="shared" si="183"/>
        <v>#N/A</v>
      </c>
      <c r="H1545" s="3" t="e">
        <f t="shared" si="184"/>
        <v>#N/A</v>
      </c>
      <c r="I1545" s="3" t="e">
        <f t="shared" si="185"/>
        <v>#N/A</v>
      </c>
      <c r="J1545" s="2">
        <v>29279</v>
      </c>
      <c r="K1545" s="2">
        <v>12275</v>
      </c>
      <c r="P1545" s="3">
        <f>E1545*(VLOOKUP(B1545,Price_data!A$1:B$190,2,FALSE))</f>
        <v>45.309587909525007</v>
      </c>
      <c r="Q1545" s="3" t="e">
        <f>G1545*(VLOOKUP(B1545,Price_data!A$1:B$190,2,FALSE))</f>
        <v>#N/A</v>
      </c>
      <c r="R1545" s="3" t="e">
        <f>I1545*(VLOOKUP(B1545,Price_data!A$1:B$190,2,FALSE))</f>
        <v>#N/A</v>
      </c>
      <c r="S1545" s="4" t="str">
        <f>(VLOOKUP(B1545,Price_data!A$1:C$190,3,FALSE))</f>
        <v>EEZ</v>
      </c>
      <c r="T1545" s="2" t="str">
        <f>IF(C1545="Total", (VLOOKUP(B1545,Recommended_fish_intake!A$4:D$122,4,FALSE)), "NA")</f>
        <v>NA</v>
      </c>
      <c r="U1545" s="2" t="str">
        <f t="shared" si="186"/>
        <v>NA</v>
      </c>
    </row>
    <row r="1546" spans="1:21" ht="14.25" customHeight="1">
      <c r="A1546" s="2" t="s">
        <v>18</v>
      </c>
      <c r="B1546" s="2">
        <v>1977</v>
      </c>
      <c r="C1546" s="2" t="s">
        <v>25</v>
      </c>
      <c r="D1546" s="3">
        <f t="shared" si="180"/>
        <v>31.356999999999999</v>
      </c>
      <c r="E1546" s="3">
        <f t="shared" si="181"/>
        <v>13.148999999999999</v>
      </c>
      <c r="F1546" s="3" t="e">
        <f t="shared" si="182"/>
        <v>#N/A</v>
      </c>
      <c r="G1546" s="3" t="e">
        <f t="shared" si="183"/>
        <v>#N/A</v>
      </c>
      <c r="H1546" s="3" t="e">
        <f t="shared" si="184"/>
        <v>#N/A</v>
      </c>
      <c r="I1546" s="3" t="e">
        <f t="shared" si="185"/>
        <v>#N/A</v>
      </c>
      <c r="J1546" s="2">
        <v>31357</v>
      </c>
      <c r="K1546" s="2">
        <v>13149</v>
      </c>
      <c r="P1546" s="3">
        <f>E1546*(VLOOKUP(B1546,Price_data!A$1:B$190,2,FALSE))</f>
        <v>48.535704392859003</v>
      </c>
      <c r="Q1546" s="3" t="e">
        <f>G1546*(VLOOKUP(B1546,Price_data!A$1:B$190,2,FALSE))</f>
        <v>#N/A</v>
      </c>
      <c r="R1546" s="3" t="e">
        <f>I1546*(VLOOKUP(B1546,Price_data!A$1:B$190,2,FALSE))</f>
        <v>#N/A</v>
      </c>
      <c r="S1546" s="4" t="str">
        <f>(VLOOKUP(B1546,Price_data!A$1:C$190,3,FALSE))</f>
        <v>EEZ</v>
      </c>
      <c r="T1546" s="2" t="str">
        <f>IF(C1546="Total", (VLOOKUP(B1546,Recommended_fish_intake!A$4:D$122,4,FALSE)), "NA")</f>
        <v>NA</v>
      </c>
      <c r="U1546" s="2" t="str">
        <f t="shared" si="186"/>
        <v>NA</v>
      </c>
    </row>
    <row r="1547" spans="1:21" ht="14.25" customHeight="1">
      <c r="A1547" s="2" t="s">
        <v>18</v>
      </c>
      <c r="B1547" s="2">
        <v>1977</v>
      </c>
      <c r="C1547" s="2" t="s">
        <v>38</v>
      </c>
      <c r="D1547" s="3">
        <f t="shared" si="180"/>
        <v>17.077000000000002</v>
      </c>
      <c r="E1547" s="3">
        <f t="shared" si="181"/>
        <v>4.8959999999999999</v>
      </c>
      <c r="F1547" s="3" t="e">
        <f t="shared" si="182"/>
        <v>#N/A</v>
      </c>
      <c r="G1547" s="3" t="e">
        <f t="shared" si="183"/>
        <v>#N/A</v>
      </c>
      <c r="H1547" s="3" t="e">
        <f t="shared" si="184"/>
        <v>#N/A</v>
      </c>
      <c r="I1547" s="3" t="e">
        <f t="shared" si="185"/>
        <v>#N/A</v>
      </c>
      <c r="J1547" s="2">
        <v>17077</v>
      </c>
      <c r="K1547" s="2">
        <v>4896</v>
      </c>
      <c r="P1547" s="3">
        <f>E1547*(VLOOKUP(B1547,Price_data!A$1:B$190,2,FALSE))</f>
        <v>18.072158240736002</v>
      </c>
      <c r="Q1547" s="3" t="e">
        <f>G1547*(VLOOKUP(B1547,Price_data!A$1:B$190,2,FALSE))</f>
        <v>#N/A</v>
      </c>
      <c r="R1547" s="3" t="e">
        <f>I1547*(VLOOKUP(B1547,Price_data!A$1:B$190,2,FALSE))</f>
        <v>#N/A</v>
      </c>
      <c r="S1547" s="4" t="str">
        <f>(VLOOKUP(B1547,Price_data!A$1:C$190,3,FALSE))</f>
        <v>EEZ</v>
      </c>
      <c r="T1547" s="2" t="str">
        <f>IF(C1547="Total", (VLOOKUP(B1547,Recommended_fish_intake!A$4:D$122,4,FALSE)), "NA")</f>
        <v>NA</v>
      </c>
      <c r="U1547" s="2" t="str">
        <f t="shared" si="186"/>
        <v>NA</v>
      </c>
    </row>
    <row r="1548" spans="1:21" ht="14.25" customHeight="1">
      <c r="A1548" s="2" t="s">
        <v>18</v>
      </c>
      <c r="B1548" s="2">
        <v>1977</v>
      </c>
      <c r="C1548" s="2" t="s">
        <v>24</v>
      </c>
      <c r="D1548" s="3">
        <f t="shared" si="180"/>
        <v>8.3290000000000006</v>
      </c>
      <c r="E1548" s="3">
        <f t="shared" si="181"/>
        <v>2.044</v>
      </c>
      <c r="F1548" s="3" t="e">
        <f t="shared" si="182"/>
        <v>#N/A</v>
      </c>
      <c r="G1548" s="3" t="e">
        <f t="shared" si="183"/>
        <v>#N/A</v>
      </c>
      <c r="H1548" s="3" t="e">
        <f t="shared" si="184"/>
        <v>#N/A</v>
      </c>
      <c r="I1548" s="3" t="e">
        <f t="shared" si="185"/>
        <v>#N/A</v>
      </c>
      <c r="J1548" s="2">
        <v>8329</v>
      </c>
      <c r="K1548" s="2">
        <v>2044</v>
      </c>
      <c r="P1548" s="3">
        <f>E1548*(VLOOKUP(B1548,Price_data!A$1:B$190,2,FALSE))</f>
        <v>7.5448307688040002</v>
      </c>
      <c r="Q1548" s="3" t="e">
        <f>G1548*(VLOOKUP(B1548,Price_data!A$1:B$190,2,FALSE))</f>
        <v>#N/A</v>
      </c>
      <c r="R1548" s="3" t="e">
        <f>I1548*(VLOOKUP(B1548,Price_data!A$1:B$190,2,FALSE))</f>
        <v>#N/A</v>
      </c>
      <c r="S1548" s="4" t="str">
        <f>(VLOOKUP(B1548,Price_data!A$1:C$190,3,FALSE))</f>
        <v>EEZ</v>
      </c>
      <c r="T1548" s="2" t="str">
        <f>IF(C1548="Total", (VLOOKUP(B1548,Recommended_fish_intake!A$4:D$122,4,FALSE)), "NA")</f>
        <v>NA</v>
      </c>
      <c r="U1548" s="2" t="str">
        <f t="shared" si="186"/>
        <v>NA</v>
      </c>
    </row>
    <row r="1549" spans="1:21" ht="14.25" customHeight="1">
      <c r="A1549" s="2" t="s">
        <v>18</v>
      </c>
      <c r="B1549" s="2">
        <v>1977</v>
      </c>
      <c r="C1549" s="2" t="s">
        <v>19</v>
      </c>
      <c r="D1549" s="3">
        <f t="shared" si="180"/>
        <v>1.792</v>
      </c>
      <c r="E1549" s="3">
        <f t="shared" si="181"/>
        <v>0.57899999999999996</v>
      </c>
      <c r="F1549" s="3" t="e">
        <f t="shared" si="182"/>
        <v>#N/A</v>
      </c>
      <c r="G1549" s="3" t="e">
        <f t="shared" si="183"/>
        <v>#N/A</v>
      </c>
      <c r="H1549" s="3" t="e">
        <f t="shared" si="184"/>
        <v>#N/A</v>
      </c>
      <c r="I1549" s="3" t="e">
        <f t="shared" si="185"/>
        <v>#N/A</v>
      </c>
      <c r="J1549" s="2">
        <v>1792</v>
      </c>
      <c r="K1549" s="2">
        <v>579</v>
      </c>
      <c r="P1549" s="3">
        <f>E1549*(VLOOKUP(B1549,Price_data!A$1:B$190,2,FALSE))</f>
        <v>2.1372098899890002</v>
      </c>
      <c r="Q1549" s="3" t="e">
        <f>G1549*(VLOOKUP(B1549,Price_data!A$1:B$190,2,FALSE))</f>
        <v>#N/A</v>
      </c>
      <c r="R1549" s="3" t="e">
        <f>I1549*(VLOOKUP(B1549,Price_data!A$1:B$190,2,FALSE))</f>
        <v>#N/A</v>
      </c>
      <c r="S1549" s="4" t="str">
        <f>(VLOOKUP(B1549,Price_data!A$1:C$190,3,FALSE))</f>
        <v>EEZ</v>
      </c>
      <c r="T1549" s="2" t="str">
        <f>IF(C1549="Total", (VLOOKUP(B1549,Recommended_fish_intake!A$4:D$122,4,FALSE)), "NA")</f>
        <v>NA</v>
      </c>
      <c r="U1549" s="2" t="str">
        <f t="shared" si="186"/>
        <v>NA</v>
      </c>
    </row>
    <row r="1550" spans="1:21" ht="14.25" customHeight="1">
      <c r="A1550" s="2" t="s">
        <v>18</v>
      </c>
      <c r="B1550" s="2">
        <v>1977</v>
      </c>
      <c r="C1550" s="2" t="s">
        <v>20</v>
      </c>
      <c r="D1550" s="3">
        <f t="shared" si="180"/>
        <v>132.42599999999999</v>
      </c>
      <c r="E1550" s="3">
        <f t="shared" si="181"/>
        <v>10.298</v>
      </c>
      <c r="F1550" s="3" t="e">
        <f t="shared" si="182"/>
        <v>#N/A</v>
      </c>
      <c r="G1550" s="3" t="e">
        <f t="shared" si="183"/>
        <v>#N/A</v>
      </c>
      <c r="H1550" s="3" t="e">
        <f t="shared" si="184"/>
        <v>#N/A</v>
      </c>
      <c r="I1550" s="3" t="e">
        <f t="shared" si="185"/>
        <v>#N/A</v>
      </c>
      <c r="J1550" s="2">
        <v>132426</v>
      </c>
      <c r="K1550" s="2">
        <v>10298</v>
      </c>
      <c r="P1550" s="3">
        <f>E1550*(VLOOKUP(B1550,Price_data!A$1:B$190,2,FALSE))</f>
        <v>38.012068129718003</v>
      </c>
      <c r="Q1550" s="3" t="e">
        <f>G1550*(VLOOKUP(B1550,Price_data!A$1:B$190,2,FALSE))</f>
        <v>#N/A</v>
      </c>
      <c r="R1550" s="3" t="e">
        <f>I1550*(VLOOKUP(B1550,Price_data!A$1:B$190,2,FALSE))</f>
        <v>#N/A</v>
      </c>
      <c r="S1550" s="4" t="str">
        <f>(VLOOKUP(B1550,Price_data!A$1:C$190,3,FALSE))</f>
        <v>EEZ</v>
      </c>
      <c r="T1550" s="2" t="str">
        <f>IF(C1550="Total", (VLOOKUP(B1550,Recommended_fish_intake!A$4:D$122,4,FALSE)), "NA")</f>
        <v>NA</v>
      </c>
      <c r="U1550" s="2" t="str">
        <f t="shared" si="186"/>
        <v>NA</v>
      </c>
    </row>
    <row r="1551" spans="1:21" ht="14.25" customHeight="1">
      <c r="A1551" s="2" t="s">
        <v>18</v>
      </c>
      <c r="B1551" s="2">
        <v>1977</v>
      </c>
      <c r="C1551" s="2" t="s">
        <v>21</v>
      </c>
      <c r="D1551" s="3">
        <f t="shared" si="180"/>
        <v>54.768999999999998</v>
      </c>
      <c r="E1551" s="3">
        <f t="shared" si="181"/>
        <v>2.8439999999999999</v>
      </c>
      <c r="F1551" s="3" t="e">
        <f t="shared" si="182"/>
        <v>#N/A</v>
      </c>
      <c r="G1551" s="3" t="e">
        <f t="shared" si="183"/>
        <v>#N/A</v>
      </c>
      <c r="H1551" s="3" t="e">
        <f t="shared" si="184"/>
        <v>#N/A</v>
      </c>
      <c r="I1551" s="3" t="e">
        <f t="shared" si="185"/>
        <v>#N/A</v>
      </c>
      <c r="J1551" s="2">
        <v>54769</v>
      </c>
      <c r="K1551" s="2">
        <v>2844</v>
      </c>
      <c r="P1551" s="3">
        <f>E1551*(VLOOKUP(B1551,Price_data!A$1:B$190,2,FALSE))</f>
        <v>10.497797801603999</v>
      </c>
      <c r="Q1551" s="3" t="e">
        <f>G1551*(VLOOKUP(B1551,Price_data!A$1:B$190,2,FALSE))</f>
        <v>#N/A</v>
      </c>
      <c r="R1551" s="3" t="e">
        <f>I1551*(VLOOKUP(B1551,Price_data!A$1:B$190,2,FALSE))</f>
        <v>#N/A</v>
      </c>
      <c r="S1551" s="4" t="str">
        <f>(VLOOKUP(B1551,Price_data!A$1:C$190,3,FALSE))</f>
        <v>EEZ</v>
      </c>
      <c r="T1551" s="2" t="str">
        <f>IF(C1551="Total", (VLOOKUP(B1551,Recommended_fish_intake!A$4:D$122,4,FALSE)), "NA")</f>
        <v>NA</v>
      </c>
      <c r="U1551" s="2" t="str">
        <f t="shared" si="186"/>
        <v>NA</v>
      </c>
    </row>
    <row r="1552" spans="1:21" ht="14.25" customHeight="1">
      <c r="A1552" s="2" t="s">
        <v>18</v>
      </c>
      <c r="B1552" s="2">
        <v>1977</v>
      </c>
      <c r="C1552" s="2" t="s">
        <v>37</v>
      </c>
      <c r="D1552" s="3">
        <f t="shared" si="180"/>
        <v>444.26100000000002</v>
      </c>
      <c r="E1552" s="3">
        <f t="shared" si="181"/>
        <v>119.676</v>
      </c>
      <c r="F1552" s="3" t="e">
        <f t="shared" si="182"/>
        <v>#N/A</v>
      </c>
      <c r="G1552" s="3" t="e">
        <f t="shared" si="183"/>
        <v>#N/A</v>
      </c>
      <c r="H1552" s="3" t="e">
        <f t="shared" si="184"/>
        <v>#N/A</v>
      </c>
      <c r="I1552" s="3" t="e">
        <f t="shared" si="185"/>
        <v>#N/A</v>
      </c>
      <c r="J1552" s="2">
        <v>444261</v>
      </c>
      <c r="K1552" s="2">
        <v>119676</v>
      </c>
      <c r="P1552" s="3">
        <f>E1552*(VLOOKUP(B1552,Price_data!A$1:B$190,2,FALSE))</f>
        <v>441.74910327171602</v>
      </c>
      <c r="Q1552" s="3" t="e">
        <f>G1552*(VLOOKUP(B1552,Price_data!A$1:B$190,2,FALSE))</f>
        <v>#N/A</v>
      </c>
      <c r="R1552" s="3" t="e">
        <f>I1552*(VLOOKUP(B1552,Price_data!A$1:B$190,2,FALSE))</f>
        <v>#N/A</v>
      </c>
      <c r="S1552" s="4" t="str">
        <f>(VLOOKUP(B1552,Price_data!A$1:C$190,3,FALSE))</f>
        <v>EEZ</v>
      </c>
      <c r="T1552" s="2" t="str">
        <f>IF(C1552="Total", (VLOOKUP(B1552,Recommended_fish_intake!A$4:D$122,4,FALSE)), "NA")</f>
        <v>NA</v>
      </c>
      <c r="U1552" s="2">
        <f t="shared" si="186"/>
        <v>217.68789000000001</v>
      </c>
    </row>
    <row r="1553" spans="1:21" ht="14.25" customHeight="1">
      <c r="A1553" s="2" t="s">
        <v>18</v>
      </c>
      <c r="B1553" s="2">
        <v>1977</v>
      </c>
      <c r="C1553" s="2" t="s">
        <v>36</v>
      </c>
      <c r="D1553" s="3">
        <f t="shared" si="180"/>
        <v>6.2320000000000002</v>
      </c>
      <c r="E1553" s="3">
        <f t="shared" si="181"/>
        <v>2.226</v>
      </c>
      <c r="F1553" s="3" t="e">
        <f t="shared" si="182"/>
        <v>#N/A</v>
      </c>
      <c r="G1553" s="3" t="e">
        <f t="shared" si="183"/>
        <v>#N/A</v>
      </c>
      <c r="H1553" s="3" t="e">
        <f t="shared" si="184"/>
        <v>#N/A</v>
      </c>
      <c r="I1553" s="3" t="e">
        <f t="shared" si="185"/>
        <v>#N/A</v>
      </c>
      <c r="J1553" s="2">
        <v>6232</v>
      </c>
      <c r="K1553" s="2">
        <v>2226</v>
      </c>
      <c r="P1553" s="3">
        <f>E1553*(VLOOKUP(B1553,Price_data!A$1:B$190,2,FALSE))</f>
        <v>8.2166307687660005</v>
      </c>
      <c r="Q1553" s="3" t="e">
        <f>G1553*(VLOOKUP(B1553,Price_data!A$1:B$190,2,FALSE))</f>
        <v>#N/A</v>
      </c>
      <c r="R1553" s="3" t="e">
        <f>I1553*(VLOOKUP(B1553,Price_data!A$1:B$190,2,FALSE))</f>
        <v>#N/A</v>
      </c>
      <c r="S1553" s="4" t="str">
        <f>(VLOOKUP(B1553,Price_data!A$1:C$190,3,FALSE))</f>
        <v>EEZ</v>
      </c>
      <c r="T1553" s="2" t="str">
        <f>IF(C1553="Total", (VLOOKUP(B1553,Recommended_fish_intake!A$4:D$122,4,FALSE)), "NA")</f>
        <v>NA</v>
      </c>
      <c r="U1553" s="2" t="str">
        <f t="shared" si="186"/>
        <v>NA</v>
      </c>
    </row>
    <row r="1554" spans="1:21" ht="14.25" customHeight="1">
      <c r="A1554" s="2" t="s">
        <v>18</v>
      </c>
      <c r="B1554" s="2">
        <v>1977</v>
      </c>
      <c r="C1554" s="2" t="s">
        <v>52</v>
      </c>
      <c r="D1554" s="3">
        <f t="shared" si="180"/>
        <v>2.7610000000000001</v>
      </c>
      <c r="E1554" s="3">
        <f t="shared" si="181"/>
        <v>1.375</v>
      </c>
      <c r="F1554" s="3" t="e">
        <f t="shared" si="182"/>
        <v>#N/A</v>
      </c>
      <c r="G1554" s="3" t="e">
        <f t="shared" si="183"/>
        <v>#N/A</v>
      </c>
      <c r="H1554" s="3" t="e">
        <f t="shared" si="184"/>
        <v>#N/A</v>
      </c>
      <c r="I1554" s="3" t="e">
        <f t="shared" si="185"/>
        <v>#N/A</v>
      </c>
      <c r="J1554" s="2">
        <v>2761</v>
      </c>
      <c r="K1554" s="2">
        <v>1375</v>
      </c>
      <c r="P1554" s="3">
        <f>E1554*(VLOOKUP(B1554,Price_data!A$1:B$190,2,FALSE))</f>
        <v>5.0754120876250006</v>
      </c>
      <c r="Q1554" s="3" t="e">
        <f>G1554*(VLOOKUP(B1554,Price_data!A$1:B$190,2,FALSE))</f>
        <v>#N/A</v>
      </c>
      <c r="R1554" s="3" t="e">
        <f>I1554*(VLOOKUP(B1554,Price_data!A$1:B$190,2,FALSE))</f>
        <v>#N/A</v>
      </c>
      <c r="S1554" s="4" t="str">
        <f>(VLOOKUP(B1554,Price_data!A$1:C$190,3,FALSE))</f>
        <v>EEZ</v>
      </c>
      <c r="T1554" s="2" t="str">
        <f>IF(C1554="Total", (VLOOKUP(B1554,Recommended_fish_intake!A$4:D$122,4,FALSE)), "NA")</f>
        <v>NA</v>
      </c>
      <c r="U1554" s="2" t="str">
        <f t="shared" si="186"/>
        <v>NA</v>
      </c>
    </row>
    <row r="1555" spans="1:21" ht="14.25" customHeight="1">
      <c r="A1555" s="2" t="s">
        <v>18</v>
      </c>
      <c r="B1555" s="2">
        <v>1977</v>
      </c>
      <c r="C1555" s="2" t="s">
        <v>34</v>
      </c>
      <c r="D1555" s="3">
        <f t="shared" si="180"/>
        <v>0.39300000000000002</v>
      </c>
      <c r="E1555" s="3">
        <f t="shared" si="181"/>
        <v>1.379</v>
      </c>
      <c r="F1555" s="3" t="e">
        <f t="shared" si="182"/>
        <v>#N/A</v>
      </c>
      <c r="G1555" s="3" t="e">
        <f t="shared" si="183"/>
        <v>#N/A</v>
      </c>
      <c r="H1555" s="3" t="e">
        <f t="shared" si="184"/>
        <v>#N/A</v>
      </c>
      <c r="I1555" s="3" t="e">
        <f t="shared" si="185"/>
        <v>#N/A</v>
      </c>
      <c r="J1555" s="2">
        <v>393</v>
      </c>
      <c r="K1555" s="2">
        <v>1379</v>
      </c>
      <c r="P1555" s="3">
        <f>E1555*(VLOOKUP(B1555,Price_data!A$1:B$190,2,FALSE))</f>
        <v>5.0901769227890004</v>
      </c>
      <c r="Q1555" s="3" t="e">
        <f>G1555*(VLOOKUP(B1555,Price_data!A$1:B$190,2,FALSE))</f>
        <v>#N/A</v>
      </c>
      <c r="R1555" s="3" t="e">
        <f>I1555*(VLOOKUP(B1555,Price_data!A$1:B$190,2,FALSE))</f>
        <v>#N/A</v>
      </c>
      <c r="S1555" s="4" t="str">
        <f>(VLOOKUP(B1555,Price_data!A$1:C$190,3,FALSE))</f>
        <v>EEZ</v>
      </c>
      <c r="T1555" s="2" t="str">
        <f>IF(C1555="Total", (VLOOKUP(B1555,Recommended_fish_intake!A$4:D$122,4,FALSE)), "NA")</f>
        <v>NA</v>
      </c>
      <c r="U1555" s="2" t="str">
        <f t="shared" si="186"/>
        <v>NA</v>
      </c>
    </row>
    <row r="1556" spans="1:21" ht="14.25" customHeight="1">
      <c r="A1556" s="2" t="s">
        <v>18</v>
      </c>
      <c r="B1556" s="2">
        <v>1977</v>
      </c>
      <c r="C1556" s="2" t="s">
        <v>35</v>
      </c>
      <c r="D1556" s="3">
        <f t="shared" si="180"/>
        <v>2.073</v>
      </c>
      <c r="E1556" s="3">
        <f t="shared" si="181"/>
        <v>1.851</v>
      </c>
      <c r="F1556" s="3" t="e">
        <f t="shared" si="182"/>
        <v>#N/A</v>
      </c>
      <c r="G1556" s="3" t="e">
        <f t="shared" si="183"/>
        <v>#N/A</v>
      </c>
      <c r="H1556" s="3" t="e">
        <f t="shared" si="184"/>
        <v>#N/A</v>
      </c>
      <c r="I1556" s="3" t="e">
        <f t="shared" si="185"/>
        <v>#N/A</v>
      </c>
      <c r="J1556" s="2">
        <v>2073</v>
      </c>
      <c r="K1556" s="2">
        <v>1851</v>
      </c>
      <c r="P1556" s="3">
        <f>E1556*(VLOOKUP(B1556,Price_data!A$1:B$190,2,FALSE))</f>
        <v>6.8324274721410001</v>
      </c>
      <c r="Q1556" s="3" t="e">
        <f>G1556*(VLOOKUP(B1556,Price_data!A$1:B$190,2,FALSE))</f>
        <v>#N/A</v>
      </c>
      <c r="R1556" s="3" t="e">
        <f>I1556*(VLOOKUP(B1556,Price_data!A$1:B$190,2,FALSE))</f>
        <v>#N/A</v>
      </c>
      <c r="S1556" s="4" t="str">
        <f>(VLOOKUP(B1556,Price_data!A$1:C$190,3,FALSE))</f>
        <v>EEZ</v>
      </c>
      <c r="T1556" s="2" t="str">
        <f>IF(C1556="Total", (VLOOKUP(B1556,Recommended_fish_intake!A$4:D$122,4,FALSE)), "NA")</f>
        <v>NA</v>
      </c>
      <c r="U1556" s="2" t="str">
        <f t="shared" si="186"/>
        <v>NA</v>
      </c>
    </row>
    <row r="1557" spans="1:21" ht="14.25" customHeight="1">
      <c r="A1557" s="2" t="s">
        <v>18</v>
      </c>
      <c r="B1557" s="2">
        <v>1977</v>
      </c>
      <c r="C1557" s="2" t="s">
        <v>30</v>
      </c>
      <c r="D1557" s="3">
        <f t="shared" si="180"/>
        <v>0.96099999999999997</v>
      </c>
      <c r="E1557" s="3">
        <f t="shared" si="181"/>
        <v>0.437</v>
      </c>
      <c r="F1557" s="3" t="e">
        <f t="shared" si="182"/>
        <v>#N/A</v>
      </c>
      <c r="G1557" s="3" t="e">
        <f t="shared" si="183"/>
        <v>#N/A</v>
      </c>
      <c r="H1557" s="3" t="e">
        <f t="shared" si="184"/>
        <v>#N/A</v>
      </c>
      <c r="I1557" s="3" t="e">
        <f t="shared" si="185"/>
        <v>#N/A</v>
      </c>
      <c r="J1557" s="2">
        <v>961</v>
      </c>
      <c r="K1557" s="2">
        <v>437</v>
      </c>
      <c r="P1557" s="3">
        <f>E1557*(VLOOKUP(B1557,Price_data!A$1:B$190,2,FALSE))</f>
        <v>1.6130582416670001</v>
      </c>
      <c r="Q1557" s="3" t="e">
        <f>G1557*(VLOOKUP(B1557,Price_data!A$1:B$190,2,FALSE))</f>
        <v>#N/A</v>
      </c>
      <c r="R1557" s="3" t="e">
        <f>I1557*(VLOOKUP(B1557,Price_data!A$1:B$190,2,FALSE))</f>
        <v>#N/A</v>
      </c>
      <c r="S1557" s="4" t="str">
        <f>(VLOOKUP(B1557,Price_data!A$1:C$190,3,FALSE))</f>
        <v>EEZ</v>
      </c>
      <c r="T1557" s="2" t="str">
        <f>IF(C1557="Total", (VLOOKUP(B1557,Recommended_fish_intake!A$4:D$122,4,FALSE)), "NA")</f>
        <v>NA</v>
      </c>
      <c r="U1557" s="2" t="str">
        <f t="shared" si="186"/>
        <v>NA</v>
      </c>
    </row>
    <row r="1558" spans="1:21" ht="14.25" customHeight="1">
      <c r="A1558" s="2" t="s">
        <v>18</v>
      </c>
      <c r="B1558" s="2">
        <v>1977</v>
      </c>
      <c r="C1558" s="2" t="s">
        <v>28</v>
      </c>
      <c r="D1558" s="3">
        <f t="shared" si="180"/>
        <v>47.893000000000001</v>
      </c>
      <c r="E1558" s="3">
        <f t="shared" si="181"/>
        <v>10.513999999999999</v>
      </c>
      <c r="F1558" s="3" t="e">
        <f t="shared" si="182"/>
        <v>#N/A</v>
      </c>
      <c r="G1558" s="3" t="e">
        <f t="shared" si="183"/>
        <v>#N/A</v>
      </c>
      <c r="H1558" s="3" t="e">
        <f t="shared" si="184"/>
        <v>#N/A</v>
      </c>
      <c r="I1558" s="3" t="e">
        <f t="shared" si="185"/>
        <v>#N/A</v>
      </c>
      <c r="J1558" s="2">
        <v>47893</v>
      </c>
      <c r="K1558" s="2">
        <v>10514</v>
      </c>
      <c r="P1558" s="3">
        <f>E1558*(VLOOKUP(B1558,Price_data!A$1:B$190,2,FALSE))</f>
        <v>38.809369228573999</v>
      </c>
      <c r="Q1558" s="3" t="e">
        <f>G1558*(VLOOKUP(B1558,Price_data!A$1:B$190,2,FALSE))</f>
        <v>#N/A</v>
      </c>
      <c r="R1558" s="3" t="e">
        <f>I1558*(VLOOKUP(B1558,Price_data!A$1:B$190,2,FALSE))</f>
        <v>#N/A</v>
      </c>
      <c r="S1558" s="4" t="str">
        <f>(VLOOKUP(B1558,Price_data!A$1:C$190,3,FALSE))</f>
        <v>EEZ</v>
      </c>
      <c r="T1558" s="2" t="str">
        <f>IF(C1558="Total", (VLOOKUP(B1558,Recommended_fish_intake!A$4:D$122,4,FALSE)), "NA")</f>
        <v>NA</v>
      </c>
      <c r="U1558" s="2">
        <f t="shared" si="186"/>
        <v>13.410040000000002</v>
      </c>
    </row>
    <row r="1559" spans="1:21" ht="14.25" customHeight="1">
      <c r="A1559" s="2" t="s">
        <v>39</v>
      </c>
      <c r="B1559" s="2">
        <v>1977</v>
      </c>
      <c r="C1559" s="2" t="s">
        <v>22</v>
      </c>
      <c r="D1559" s="3">
        <f t="shared" si="180"/>
        <v>37.984000000000002</v>
      </c>
      <c r="E1559" s="3">
        <f t="shared" si="181"/>
        <v>20.527000000000001</v>
      </c>
      <c r="F1559" s="3" t="e">
        <f t="shared" si="182"/>
        <v>#N/A</v>
      </c>
      <c r="G1559" s="3" t="e">
        <f t="shared" si="183"/>
        <v>#N/A</v>
      </c>
      <c r="H1559" s="3" t="e">
        <f t="shared" si="184"/>
        <v>#N/A</v>
      </c>
      <c r="I1559" s="3" t="e">
        <f t="shared" si="185"/>
        <v>#N/A</v>
      </c>
      <c r="J1559" s="2">
        <v>37984</v>
      </c>
      <c r="K1559" s="2">
        <v>20527</v>
      </c>
      <c r="P1559" s="3">
        <f>E1559*(VLOOKUP(B1559,Price_data!A$1:B$190,2,FALSE))</f>
        <v>75.769442852857011</v>
      </c>
      <c r="Q1559" s="3" t="e">
        <f>G1559*(VLOOKUP(B1559,Price_data!A$1:B$190,2,FALSE))</f>
        <v>#N/A</v>
      </c>
      <c r="R1559" s="3" t="e">
        <f>I1559*(VLOOKUP(B1559,Price_data!A$1:B$190,2,FALSE))</f>
        <v>#N/A</v>
      </c>
      <c r="S1559" s="4" t="str">
        <f>(VLOOKUP(B1559,Price_data!A$1:C$190,3,FALSE))</f>
        <v>EEZ</v>
      </c>
      <c r="T1559" s="2" t="str">
        <f>IF(C1559="Total", (VLOOKUP(B1559,Recommended_fish_intake!A$4:D$122,4,FALSE)), "NA")</f>
        <v>NA</v>
      </c>
      <c r="U1559" s="2" t="str">
        <f t="shared" si="186"/>
        <v>NA</v>
      </c>
    </row>
    <row r="1560" spans="1:21" ht="14.25" customHeight="1">
      <c r="A1560" s="2" t="s">
        <v>39</v>
      </c>
      <c r="B1560" s="2">
        <v>1977</v>
      </c>
      <c r="C1560" s="2" t="s">
        <v>23</v>
      </c>
      <c r="D1560" s="3">
        <f t="shared" si="180"/>
        <v>93.653000000000006</v>
      </c>
      <c r="E1560" s="3">
        <f t="shared" si="181"/>
        <v>35.612000000000002</v>
      </c>
      <c r="F1560" s="3" t="e">
        <f t="shared" si="182"/>
        <v>#N/A</v>
      </c>
      <c r="G1560" s="3" t="e">
        <f t="shared" si="183"/>
        <v>#N/A</v>
      </c>
      <c r="H1560" s="3" t="e">
        <f t="shared" si="184"/>
        <v>#N/A</v>
      </c>
      <c r="I1560" s="3" t="e">
        <f t="shared" si="185"/>
        <v>#N/A</v>
      </c>
      <c r="J1560" s="2">
        <v>93653</v>
      </c>
      <c r="K1560" s="2">
        <v>35612</v>
      </c>
      <c r="P1560" s="3">
        <f>E1560*(VLOOKUP(B1560,Price_data!A$1:B$190,2,FALSE))</f>
        <v>131.45132746509202</v>
      </c>
      <c r="Q1560" s="3" t="e">
        <f>G1560*(VLOOKUP(B1560,Price_data!A$1:B$190,2,FALSE))</f>
        <v>#N/A</v>
      </c>
      <c r="R1560" s="3" t="e">
        <f>I1560*(VLOOKUP(B1560,Price_data!A$1:B$190,2,FALSE))</f>
        <v>#N/A</v>
      </c>
      <c r="S1560" s="4" t="str">
        <f>(VLOOKUP(B1560,Price_data!A$1:C$190,3,FALSE))</f>
        <v>EEZ</v>
      </c>
      <c r="T1560" s="2" t="str">
        <f>IF(C1560="Total", (VLOOKUP(B1560,Recommended_fish_intake!A$4:D$122,4,FALSE)), "NA")</f>
        <v>NA</v>
      </c>
      <c r="U1560" s="2" t="str">
        <f t="shared" si="186"/>
        <v>NA</v>
      </c>
    </row>
    <row r="1561" spans="1:21" ht="14.25" customHeight="1">
      <c r="A1561" s="2" t="s">
        <v>39</v>
      </c>
      <c r="B1561" s="2">
        <v>1977</v>
      </c>
      <c r="C1561" s="2" t="s">
        <v>25</v>
      </c>
      <c r="D1561" s="3">
        <f t="shared" si="180"/>
        <v>4.1980000000000004</v>
      </c>
      <c r="E1561" s="3">
        <f t="shared" si="181"/>
        <v>1.734</v>
      </c>
      <c r="F1561" s="3" t="e">
        <f t="shared" si="182"/>
        <v>#N/A</v>
      </c>
      <c r="G1561" s="3" t="e">
        <f t="shared" si="183"/>
        <v>#N/A</v>
      </c>
      <c r="H1561" s="3" t="e">
        <f t="shared" si="184"/>
        <v>#N/A</v>
      </c>
      <c r="I1561" s="3" t="e">
        <f t="shared" si="185"/>
        <v>#N/A</v>
      </c>
      <c r="J1561" s="2">
        <v>4198</v>
      </c>
      <c r="K1561" s="2">
        <v>1734</v>
      </c>
      <c r="P1561" s="3">
        <f>E1561*(VLOOKUP(B1561,Price_data!A$1:B$190,2,FALSE))</f>
        <v>6.4005560435940003</v>
      </c>
      <c r="Q1561" s="3" t="e">
        <f>G1561*(VLOOKUP(B1561,Price_data!A$1:B$190,2,FALSE))</f>
        <v>#N/A</v>
      </c>
      <c r="R1561" s="3" t="e">
        <f>I1561*(VLOOKUP(B1561,Price_data!A$1:B$190,2,FALSE))</f>
        <v>#N/A</v>
      </c>
      <c r="S1561" s="4" t="str">
        <f>(VLOOKUP(B1561,Price_data!A$1:C$190,3,FALSE))</f>
        <v>EEZ</v>
      </c>
      <c r="T1561" s="2" t="str">
        <f>IF(C1561="Total", (VLOOKUP(B1561,Recommended_fish_intake!A$4:D$122,4,FALSE)), "NA")</f>
        <v>NA</v>
      </c>
      <c r="U1561" s="2" t="str">
        <f t="shared" si="186"/>
        <v>NA</v>
      </c>
    </row>
    <row r="1562" spans="1:21" ht="14.25" customHeight="1">
      <c r="A1562" s="2" t="s">
        <v>39</v>
      </c>
      <c r="B1562" s="2">
        <v>1977</v>
      </c>
      <c r="C1562" s="2" t="s">
        <v>38</v>
      </c>
      <c r="D1562" s="3">
        <f t="shared" si="180"/>
        <v>18.077999999999999</v>
      </c>
      <c r="E1562" s="3">
        <f t="shared" si="181"/>
        <v>4.8410000000000002</v>
      </c>
      <c r="F1562" s="3" t="e">
        <f t="shared" si="182"/>
        <v>#N/A</v>
      </c>
      <c r="G1562" s="3" t="e">
        <f t="shared" si="183"/>
        <v>#N/A</v>
      </c>
      <c r="H1562" s="3" t="e">
        <f t="shared" si="184"/>
        <v>#N/A</v>
      </c>
      <c r="I1562" s="3" t="e">
        <f t="shared" si="185"/>
        <v>#N/A</v>
      </c>
      <c r="J1562" s="2">
        <v>18078</v>
      </c>
      <c r="K1562" s="2">
        <v>4841</v>
      </c>
      <c r="P1562" s="3">
        <f>E1562*(VLOOKUP(B1562,Price_data!A$1:B$190,2,FALSE))</f>
        <v>17.869141757231002</v>
      </c>
      <c r="Q1562" s="3" t="e">
        <f>G1562*(VLOOKUP(B1562,Price_data!A$1:B$190,2,FALSE))</f>
        <v>#N/A</v>
      </c>
      <c r="R1562" s="3" t="e">
        <f>I1562*(VLOOKUP(B1562,Price_data!A$1:B$190,2,FALSE))</f>
        <v>#N/A</v>
      </c>
      <c r="S1562" s="4" t="str">
        <f>(VLOOKUP(B1562,Price_data!A$1:C$190,3,FALSE))</f>
        <v>EEZ</v>
      </c>
      <c r="T1562" s="2" t="str">
        <f>IF(C1562="Total", (VLOOKUP(B1562,Recommended_fish_intake!A$4:D$122,4,FALSE)), "NA")</f>
        <v>NA</v>
      </c>
      <c r="U1562" s="2" t="str">
        <f t="shared" si="186"/>
        <v>NA</v>
      </c>
    </row>
    <row r="1563" spans="1:21" ht="14.25" customHeight="1">
      <c r="A1563" s="2" t="s">
        <v>39</v>
      </c>
      <c r="B1563" s="2">
        <v>1977</v>
      </c>
      <c r="C1563" s="2" t="s">
        <v>24</v>
      </c>
      <c r="D1563" s="3">
        <f t="shared" si="180"/>
        <v>38.997</v>
      </c>
      <c r="E1563" s="3">
        <f t="shared" si="181"/>
        <v>11.115</v>
      </c>
      <c r="F1563" s="3" t="e">
        <f t="shared" si="182"/>
        <v>#N/A</v>
      </c>
      <c r="G1563" s="3" t="e">
        <f t="shared" si="183"/>
        <v>#N/A</v>
      </c>
      <c r="H1563" s="3" t="e">
        <f t="shared" si="184"/>
        <v>#N/A</v>
      </c>
      <c r="I1563" s="3" t="e">
        <f t="shared" si="185"/>
        <v>#N/A</v>
      </c>
      <c r="J1563" s="2">
        <v>38997</v>
      </c>
      <c r="K1563" s="2">
        <v>11115</v>
      </c>
      <c r="P1563" s="3">
        <f>E1563*(VLOOKUP(B1563,Price_data!A$1:B$190,2,FALSE))</f>
        <v>41.027785711965002</v>
      </c>
      <c r="Q1563" s="3" t="e">
        <f>G1563*(VLOOKUP(B1563,Price_data!A$1:B$190,2,FALSE))</f>
        <v>#N/A</v>
      </c>
      <c r="R1563" s="3" t="e">
        <f>I1563*(VLOOKUP(B1563,Price_data!A$1:B$190,2,FALSE))</f>
        <v>#N/A</v>
      </c>
      <c r="S1563" s="4" t="str">
        <f>(VLOOKUP(B1563,Price_data!A$1:C$190,3,FALSE))</f>
        <v>EEZ</v>
      </c>
      <c r="T1563" s="2" t="str">
        <f>IF(C1563="Total", (VLOOKUP(B1563,Recommended_fish_intake!A$4:D$122,4,FALSE)), "NA")</f>
        <v>NA</v>
      </c>
      <c r="U1563" s="2" t="str">
        <f t="shared" si="186"/>
        <v>NA</v>
      </c>
    </row>
    <row r="1564" spans="1:21" ht="14.25" customHeight="1">
      <c r="A1564" s="2" t="s">
        <v>39</v>
      </c>
      <c r="B1564" s="2">
        <v>1977</v>
      </c>
      <c r="C1564" s="2" t="s">
        <v>19</v>
      </c>
      <c r="D1564" s="3">
        <f t="shared" si="180"/>
        <v>38.274999999999999</v>
      </c>
      <c r="E1564" s="3">
        <f t="shared" si="181"/>
        <v>11.201000000000001</v>
      </c>
      <c r="F1564" s="3" t="e">
        <f t="shared" si="182"/>
        <v>#N/A</v>
      </c>
      <c r="G1564" s="3" t="e">
        <f t="shared" si="183"/>
        <v>#N/A</v>
      </c>
      <c r="H1564" s="3" t="e">
        <f t="shared" si="184"/>
        <v>#N/A</v>
      </c>
      <c r="I1564" s="3" t="e">
        <f t="shared" si="185"/>
        <v>#N/A</v>
      </c>
      <c r="J1564" s="2">
        <v>38275</v>
      </c>
      <c r="K1564" s="2">
        <v>11201</v>
      </c>
      <c r="P1564" s="3">
        <f>E1564*(VLOOKUP(B1564,Price_data!A$1:B$190,2,FALSE))</f>
        <v>41.345229667991006</v>
      </c>
      <c r="Q1564" s="3" t="e">
        <f>G1564*(VLOOKUP(B1564,Price_data!A$1:B$190,2,FALSE))</f>
        <v>#N/A</v>
      </c>
      <c r="R1564" s="3" t="e">
        <f>I1564*(VLOOKUP(B1564,Price_data!A$1:B$190,2,FALSE))</f>
        <v>#N/A</v>
      </c>
      <c r="S1564" s="4" t="str">
        <f>(VLOOKUP(B1564,Price_data!A$1:C$190,3,FALSE))</f>
        <v>EEZ</v>
      </c>
      <c r="T1564" s="2" t="str">
        <f>IF(C1564="Total", (VLOOKUP(B1564,Recommended_fish_intake!A$4:D$122,4,FALSE)), "NA")</f>
        <v>NA</v>
      </c>
      <c r="U1564" s="2" t="str">
        <f t="shared" si="186"/>
        <v>NA</v>
      </c>
    </row>
    <row r="1565" spans="1:21" ht="14.25" customHeight="1">
      <c r="A1565" s="2" t="s">
        <v>39</v>
      </c>
      <c r="B1565" s="2">
        <v>1977</v>
      </c>
      <c r="C1565" s="2" t="s">
        <v>20</v>
      </c>
      <c r="D1565" s="3">
        <f t="shared" si="180"/>
        <v>54.241999999999997</v>
      </c>
      <c r="E1565" s="3">
        <f t="shared" si="181"/>
        <v>4.3570000000000002</v>
      </c>
      <c r="F1565" s="3" t="e">
        <f t="shared" si="182"/>
        <v>#N/A</v>
      </c>
      <c r="G1565" s="3" t="e">
        <f t="shared" si="183"/>
        <v>#N/A</v>
      </c>
      <c r="H1565" s="3" t="e">
        <f t="shared" si="184"/>
        <v>#N/A</v>
      </c>
      <c r="I1565" s="3" t="e">
        <f t="shared" si="185"/>
        <v>#N/A</v>
      </c>
      <c r="J1565" s="2">
        <v>54242</v>
      </c>
      <c r="K1565" s="2">
        <v>4357</v>
      </c>
      <c r="P1565" s="3">
        <f>E1565*(VLOOKUP(B1565,Price_data!A$1:B$190,2,FALSE))</f>
        <v>16.082596702387001</v>
      </c>
      <c r="Q1565" s="3" t="e">
        <f>G1565*(VLOOKUP(B1565,Price_data!A$1:B$190,2,FALSE))</f>
        <v>#N/A</v>
      </c>
      <c r="R1565" s="3" t="e">
        <f>I1565*(VLOOKUP(B1565,Price_data!A$1:B$190,2,FALSE))</f>
        <v>#N/A</v>
      </c>
      <c r="S1565" s="4" t="str">
        <f>(VLOOKUP(B1565,Price_data!A$1:C$190,3,FALSE))</f>
        <v>EEZ</v>
      </c>
      <c r="T1565" s="2" t="str">
        <f>IF(C1565="Total", (VLOOKUP(B1565,Recommended_fish_intake!A$4:D$122,4,FALSE)), "NA")</f>
        <v>NA</v>
      </c>
      <c r="U1565" s="2" t="str">
        <f t="shared" si="186"/>
        <v>NA</v>
      </c>
    </row>
    <row r="1566" spans="1:21" ht="14.25" customHeight="1">
      <c r="A1566" s="2" t="s">
        <v>39</v>
      </c>
      <c r="B1566" s="2">
        <v>1977</v>
      </c>
      <c r="C1566" s="2" t="s">
        <v>21</v>
      </c>
      <c r="D1566" s="3">
        <f t="shared" si="180"/>
        <v>42.250999999999998</v>
      </c>
      <c r="E1566" s="3">
        <f t="shared" si="181"/>
        <v>2.1800000000000002</v>
      </c>
      <c r="F1566" s="3" t="e">
        <f t="shared" si="182"/>
        <v>#N/A</v>
      </c>
      <c r="G1566" s="3" t="e">
        <f t="shared" si="183"/>
        <v>#N/A</v>
      </c>
      <c r="H1566" s="3" t="e">
        <f t="shared" si="184"/>
        <v>#N/A</v>
      </c>
      <c r="I1566" s="3" t="e">
        <f t="shared" si="185"/>
        <v>#N/A</v>
      </c>
      <c r="J1566" s="2">
        <v>42251</v>
      </c>
      <c r="K1566" s="2">
        <v>2180</v>
      </c>
      <c r="P1566" s="3">
        <f>E1566*(VLOOKUP(B1566,Price_data!A$1:B$190,2,FALSE))</f>
        <v>8.0468351643800009</v>
      </c>
      <c r="Q1566" s="3" t="e">
        <f>G1566*(VLOOKUP(B1566,Price_data!A$1:B$190,2,FALSE))</f>
        <v>#N/A</v>
      </c>
      <c r="R1566" s="3" t="e">
        <f>I1566*(VLOOKUP(B1566,Price_data!A$1:B$190,2,FALSE))</f>
        <v>#N/A</v>
      </c>
      <c r="S1566" s="4" t="str">
        <f>(VLOOKUP(B1566,Price_data!A$1:C$190,3,FALSE))</f>
        <v>EEZ</v>
      </c>
      <c r="T1566" s="2" t="str">
        <f>IF(C1566="Total", (VLOOKUP(B1566,Recommended_fish_intake!A$4:D$122,4,FALSE)), "NA")</f>
        <v>NA</v>
      </c>
      <c r="U1566" s="2" t="str">
        <f t="shared" si="186"/>
        <v>NA</v>
      </c>
    </row>
    <row r="1567" spans="1:21" ht="14.25" customHeight="1">
      <c r="A1567" s="2" t="s">
        <v>39</v>
      </c>
      <c r="B1567" s="2">
        <v>1977</v>
      </c>
      <c r="C1567" s="2" t="s">
        <v>37</v>
      </c>
      <c r="D1567" s="3">
        <f t="shared" si="180"/>
        <v>386.15199999999999</v>
      </c>
      <c r="E1567" s="3">
        <f t="shared" si="181"/>
        <v>102.453</v>
      </c>
      <c r="F1567" s="3" t="e">
        <f t="shared" si="182"/>
        <v>#N/A</v>
      </c>
      <c r="G1567" s="3" t="e">
        <f t="shared" si="183"/>
        <v>#N/A</v>
      </c>
      <c r="H1567" s="3" t="e">
        <f t="shared" si="184"/>
        <v>#N/A</v>
      </c>
      <c r="I1567" s="3" t="e">
        <f t="shared" si="185"/>
        <v>#N/A</v>
      </c>
      <c r="J1567" s="2">
        <v>386152</v>
      </c>
      <c r="K1567" s="2">
        <v>102453</v>
      </c>
      <c r="P1567" s="3">
        <f>E1567*(VLOOKUP(B1567,Price_data!A$1:B$190,2,FALSE))</f>
        <v>378.17541426432302</v>
      </c>
      <c r="Q1567" s="3" t="e">
        <f>G1567*(VLOOKUP(B1567,Price_data!A$1:B$190,2,FALSE))</f>
        <v>#N/A</v>
      </c>
      <c r="R1567" s="3" t="e">
        <f>I1567*(VLOOKUP(B1567,Price_data!A$1:B$190,2,FALSE))</f>
        <v>#N/A</v>
      </c>
      <c r="S1567" s="4" t="str">
        <f>(VLOOKUP(B1567,Price_data!A$1:C$190,3,FALSE))</f>
        <v>EEZ</v>
      </c>
      <c r="T1567" s="2" t="str">
        <f>IF(C1567="Total", (VLOOKUP(B1567,Recommended_fish_intake!A$4:D$122,4,FALSE)), "NA")</f>
        <v>NA</v>
      </c>
      <c r="U1567" s="2">
        <f t="shared" si="186"/>
        <v>189.21447999999998</v>
      </c>
    </row>
    <row r="1568" spans="1:21" ht="14.25" customHeight="1">
      <c r="A1568" s="2" t="s">
        <v>39</v>
      </c>
      <c r="B1568" s="2">
        <v>1977</v>
      </c>
      <c r="C1568" s="2" t="s">
        <v>36</v>
      </c>
      <c r="D1568" s="3">
        <f t="shared" si="180"/>
        <v>2.3940000000000001</v>
      </c>
      <c r="E1568" s="3">
        <f t="shared" si="181"/>
        <v>0.45600000000000002</v>
      </c>
      <c r="F1568" s="3" t="e">
        <f t="shared" si="182"/>
        <v>#N/A</v>
      </c>
      <c r="G1568" s="3" t="e">
        <f t="shared" si="183"/>
        <v>#N/A</v>
      </c>
      <c r="H1568" s="3" t="e">
        <f t="shared" si="184"/>
        <v>#N/A</v>
      </c>
      <c r="I1568" s="3" t="e">
        <f t="shared" si="185"/>
        <v>#N/A</v>
      </c>
      <c r="J1568" s="2">
        <v>2394</v>
      </c>
      <c r="K1568" s="2">
        <v>456</v>
      </c>
      <c r="P1568" s="3">
        <f>E1568*(VLOOKUP(B1568,Price_data!A$1:B$190,2,FALSE))</f>
        <v>1.6831912086960001</v>
      </c>
      <c r="Q1568" s="3" t="e">
        <f>G1568*(VLOOKUP(B1568,Price_data!A$1:B$190,2,FALSE))</f>
        <v>#N/A</v>
      </c>
      <c r="R1568" s="3" t="e">
        <f>I1568*(VLOOKUP(B1568,Price_data!A$1:B$190,2,FALSE))</f>
        <v>#N/A</v>
      </c>
      <c r="S1568" s="4" t="str">
        <f>(VLOOKUP(B1568,Price_data!A$1:C$190,3,FALSE))</f>
        <v>EEZ</v>
      </c>
      <c r="T1568" s="2" t="str">
        <f>IF(C1568="Total", (VLOOKUP(B1568,Recommended_fish_intake!A$4:D$122,4,FALSE)), "NA")</f>
        <v>NA</v>
      </c>
      <c r="U1568" s="2" t="str">
        <f t="shared" si="186"/>
        <v>NA</v>
      </c>
    </row>
    <row r="1569" spans="1:21" ht="14.25" customHeight="1">
      <c r="A1569" s="2" t="s">
        <v>39</v>
      </c>
      <c r="B1569" s="2">
        <v>1977</v>
      </c>
      <c r="C1569" s="2" t="s">
        <v>52</v>
      </c>
      <c r="D1569" s="3">
        <f t="shared" si="180"/>
        <v>2.6739999999999999</v>
      </c>
      <c r="E1569" s="3">
        <f t="shared" si="181"/>
        <v>1.2949999999999999</v>
      </c>
      <c r="F1569" s="3" t="e">
        <f t="shared" si="182"/>
        <v>#N/A</v>
      </c>
      <c r="G1569" s="3" t="e">
        <f t="shared" si="183"/>
        <v>#N/A</v>
      </c>
      <c r="H1569" s="3" t="e">
        <f t="shared" si="184"/>
        <v>#N/A</v>
      </c>
      <c r="I1569" s="3" t="e">
        <f t="shared" si="185"/>
        <v>#N/A</v>
      </c>
      <c r="J1569" s="2">
        <v>2674</v>
      </c>
      <c r="K1569" s="2">
        <v>1295</v>
      </c>
      <c r="P1569" s="3">
        <f>E1569*(VLOOKUP(B1569,Price_data!A$1:B$190,2,FALSE))</f>
        <v>4.7801153843449997</v>
      </c>
      <c r="Q1569" s="3" t="e">
        <f>G1569*(VLOOKUP(B1569,Price_data!A$1:B$190,2,FALSE))</f>
        <v>#N/A</v>
      </c>
      <c r="R1569" s="3" t="e">
        <f>I1569*(VLOOKUP(B1569,Price_data!A$1:B$190,2,FALSE))</f>
        <v>#N/A</v>
      </c>
      <c r="S1569" s="4" t="str">
        <f>(VLOOKUP(B1569,Price_data!A$1:C$190,3,FALSE))</f>
        <v>EEZ</v>
      </c>
      <c r="T1569" s="2" t="str">
        <f>IF(C1569="Total", (VLOOKUP(B1569,Recommended_fish_intake!A$4:D$122,4,FALSE)), "NA")</f>
        <v>NA</v>
      </c>
      <c r="U1569" s="2" t="str">
        <f t="shared" si="186"/>
        <v>NA</v>
      </c>
    </row>
    <row r="1570" spans="1:21" ht="14.25" customHeight="1">
      <c r="A1570" s="2" t="s">
        <v>39</v>
      </c>
      <c r="B1570" s="2">
        <v>1977</v>
      </c>
      <c r="C1570" s="2" t="s">
        <v>34</v>
      </c>
      <c r="D1570" s="3">
        <f t="shared" si="180"/>
        <v>0.54100000000000004</v>
      </c>
      <c r="E1570" s="3">
        <f t="shared" si="181"/>
        <v>2.6040000000000001</v>
      </c>
      <c r="F1570" s="3" t="e">
        <f t="shared" si="182"/>
        <v>#N/A</v>
      </c>
      <c r="G1570" s="3" t="e">
        <f t="shared" si="183"/>
        <v>#N/A</v>
      </c>
      <c r="H1570" s="3" t="e">
        <f t="shared" si="184"/>
        <v>#N/A</v>
      </c>
      <c r="I1570" s="3" t="e">
        <f t="shared" si="185"/>
        <v>#N/A</v>
      </c>
      <c r="J1570" s="2">
        <v>541</v>
      </c>
      <c r="K1570" s="2">
        <v>2604</v>
      </c>
      <c r="P1570" s="3">
        <f>E1570*(VLOOKUP(B1570,Price_data!A$1:B$190,2,FALSE))</f>
        <v>9.6119076917640012</v>
      </c>
      <c r="Q1570" s="3" t="e">
        <f>G1570*(VLOOKUP(B1570,Price_data!A$1:B$190,2,FALSE))</f>
        <v>#N/A</v>
      </c>
      <c r="R1570" s="3" t="e">
        <f>I1570*(VLOOKUP(B1570,Price_data!A$1:B$190,2,FALSE))</f>
        <v>#N/A</v>
      </c>
      <c r="S1570" s="4" t="str">
        <f>(VLOOKUP(B1570,Price_data!A$1:C$190,3,FALSE))</f>
        <v>EEZ</v>
      </c>
      <c r="T1570" s="2" t="str">
        <f>IF(C1570="Total", (VLOOKUP(B1570,Recommended_fish_intake!A$4:D$122,4,FALSE)), "NA")</f>
        <v>NA</v>
      </c>
      <c r="U1570" s="2" t="str">
        <f t="shared" si="186"/>
        <v>NA</v>
      </c>
    </row>
    <row r="1571" spans="1:21" ht="14.25" customHeight="1">
      <c r="A1571" s="2" t="s">
        <v>39</v>
      </c>
      <c r="B1571" s="2">
        <v>1977</v>
      </c>
      <c r="C1571" s="2" t="s">
        <v>35</v>
      </c>
      <c r="D1571" s="3">
        <f t="shared" si="180"/>
        <v>9.8149999999999995</v>
      </c>
      <c r="E1571" s="3">
        <f t="shared" si="181"/>
        <v>7.9119999999999999</v>
      </c>
      <c r="F1571" s="3" t="e">
        <f t="shared" si="182"/>
        <v>#N/A</v>
      </c>
      <c r="G1571" s="3" t="e">
        <f t="shared" si="183"/>
        <v>#N/A</v>
      </c>
      <c r="H1571" s="3" t="e">
        <f t="shared" si="184"/>
        <v>#N/A</v>
      </c>
      <c r="I1571" s="3" t="e">
        <f t="shared" si="185"/>
        <v>#N/A</v>
      </c>
      <c r="J1571" s="2">
        <v>9815</v>
      </c>
      <c r="K1571" s="2">
        <v>7912</v>
      </c>
      <c r="P1571" s="3">
        <f>E1571*(VLOOKUP(B1571,Price_data!A$1:B$190,2,FALSE))</f>
        <v>29.204843954392</v>
      </c>
      <c r="Q1571" s="3" t="e">
        <f>G1571*(VLOOKUP(B1571,Price_data!A$1:B$190,2,FALSE))</f>
        <v>#N/A</v>
      </c>
      <c r="R1571" s="3" t="e">
        <f>I1571*(VLOOKUP(B1571,Price_data!A$1:B$190,2,FALSE))</f>
        <v>#N/A</v>
      </c>
      <c r="S1571" s="4" t="str">
        <f>(VLOOKUP(B1571,Price_data!A$1:C$190,3,FALSE))</f>
        <v>EEZ</v>
      </c>
      <c r="T1571" s="2" t="str">
        <f>IF(C1571="Total", (VLOOKUP(B1571,Recommended_fish_intake!A$4:D$122,4,FALSE)), "NA")</f>
        <v>NA</v>
      </c>
      <c r="U1571" s="2" t="str">
        <f t="shared" si="186"/>
        <v>NA</v>
      </c>
    </row>
    <row r="1572" spans="1:21" ht="14.25" customHeight="1">
      <c r="A1572" s="2" t="s">
        <v>39</v>
      </c>
      <c r="B1572" s="2">
        <v>1977</v>
      </c>
      <c r="C1572" s="2" t="s">
        <v>30</v>
      </c>
      <c r="D1572" s="3">
        <f t="shared" si="180"/>
        <v>1.75</v>
      </c>
      <c r="E1572" s="3">
        <f t="shared" si="181"/>
        <v>0.96</v>
      </c>
      <c r="F1572" s="3" t="e">
        <f t="shared" si="182"/>
        <v>#N/A</v>
      </c>
      <c r="G1572" s="3" t="e">
        <f t="shared" si="183"/>
        <v>#N/A</v>
      </c>
      <c r="H1572" s="3" t="e">
        <f t="shared" si="184"/>
        <v>#N/A</v>
      </c>
      <c r="I1572" s="3" t="e">
        <f t="shared" si="185"/>
        <v>#N/A</v>
      </c>
      <c r="J1572" s="2">
        <v>1750</v>
      </c>
      <c r="K1572" s="2">
        <v>960</v>
      </c>
      <c r="P1572" s="3">
        <f>E1572*(VLOOKUP(B1572,Price_data!A$1:B$190,2,FALSE))</f>
        <v>3.5435604393600002</v>
      </c>
      <c r="Q1572" s="3" t="e">
        <f>G1572*(VLOOKUP(B1572,Price_data!A$1:B$190,2,FALSE))</f>
        <v>#N/A</v>
      </c>
      <c r="R1572" s="3" t="e">
        <f>I1572*(VLOOKUP(B1572,Price_data!A$1:B$190,2,FALSE))</f>
        <v>#N/A</v>
      </c>
      <c r="S1572" s="4" t="str">
        <f>(VLOOKUP(B1572,Price_data!A$1:C$190,3,FALSE))</f>
        <v>EEZ</v>
      </c>
      <c r="T1572" s="2" t="str">
        <f>IF(C1572="Total", (VLOOKUP(B1572,Recommended_fish_intake!A$4:D$122,4,FALSE)), "NA")</f>
        <v>NA</v>
      </c>
      <c r="U1572" s="2" t="str">
        <f t="shared" si="186"/>
        <v>NA</v>
      </c>
    </row>
    <row r="1573" spans="1:21" ht="14.25" customHeight="1">
      <c r="A1573" s="2" t="s">
        <v>39</v>
      </c>
      <c r="B1573" s="2">
        <v>1977</v>
      </c>
      <c r="C1573" s="2" t="s">
        <v>28</v>
      </c>
      <c r="D1573" s="3">
        <f t="shared" si="180"/>
        <v>26.056000000000001</v>
      </c>
      <c r="E1573" s="3">
        <f t="shared" si="181"/>
        <v>14.675000000000001</v>
      </c>
      <c r="F1573" s="3" t="e">
        <f t="shared" si="182"/>
        <v>#N/A</v>
      </c>
      <c r="G1573" s="3" t="e">
        <f t="shared" si="183"/>
        <v>#N/A</v>
      </c>
      <c r="H1573" s="3" t="e">
        <f t="shared" si="184"/>
        <v>#N/A</v>
      </c>
      <c r="I1573" s="3" t="e">
        <f t="shared" si="185"/>
        <v>#N/A</v>
      </c>
      <c r="J1573" s="2">
        <v>26056</v>
      </c>
      <c r="K1573" s="2">
        <v>14675</v>
      </c>
      <c r="P1573" s="3">
        <f>E1573*(VLOOKUP(B1573,Price_data!A$1:B$190,2,FALSE))</f>
        <v>54.168489007925004</v>
      </c>
      <c r="Q1573" s="3" t="e">
        <f>G1573*(VLOOKUP(B1573,Price_data!A$1:B$190,2,FALSE))</f>
        <v>#N/A</v>
      </c>
      <c r="R1573" s="3" t="e">
        <f>I1573*(VLOOKUP(B1573,Price_data!A$1:B$190,2,FALSE))</f>
        <v>#N/A</v>
      </c>
      <c r="S1573" s="4" t="str">
        <f>(VLOOKUP(B1573,Price_data!A$1:C$190,3,FALSE))</f>
        <v>EEZ</v>
      </c>
      <c r="T1573" s="2" t="str">
        <f>IF(C1573="Total", (VLOOKUP(B1573,Recommended_fish_intake!A$4:D$122,4,FALSE)), "NA")</f>
        <v>NA</v>
      </c>
      <c r="U1573" s="2">
        <f t="shared" si="186"/>
        <v>7.2956800000000008</v>
      </c>
    </row>
    <row r="1574" spans="1:21" ht="14.25" customHeight="1">
      <c r="A1574" s="2" t="s">
        <v>40</v>
      </c>
      <c r="B1574" s="2">
        <v>1977</v>
      </c>
      <c r="C1574" s="2" t="s">
        <v>22</v>
      </c>
      <c r="D1574" s="3">
        <f t="shared" si="180"/>
        <v>1.1779999999999999</v>
      </c>
      <c r="E1574" s="3">
        <f t="shared" si="181"/>
        <v>0.48799999999999999</v>
      </c>
      <c r="F1574" s="3" t="e">
        <f t="shared" si="182"/>
        <v>#N/A</v>
      </c>
      <c r="G1574" s="3" t="e">
        <f t="shared" si="183"/>
        <v>#N/A</v>
      </c>
      <c r="H1574" s="3" t="e">
        <f t="shared" si="184"/>
        <v>#N/A</v>
      </c>
      <c r="I1574" s="3" t="e">
        <f t="shared" si="185"/>
        <v>#N/A</v>
      </c>
      <c r="J1574" s="2">
        <v>1178</v>
      </c>
      <c r="K1574" s="2">
        <v>488</v>
      </c>
      <c r="P1574" s="3">
        <f>E1574*(VLOOKUP(B1574,Price_data!A$1:B$190,2,FALSE))</f>
        <v>1.801309890008</v>
      </c>
      <c r="Q1574" s="3" t="e">
        <f>G1574*(VLOOKUP(B1574,Price_data!A$1:B$190,2,FALSE))</f>
        <v>#N/A</v>
      </c>
      <c r="R1574" s="3" t="e">
        <f>I1574*(VLOOKUP(B1574,Price_data!A$1:B$190,2,FALSE))</f>
        <v>#N/A</v>
      </c>
      <c r="S1574" s="4" t="str">
        <f>(VLOOKUP(B1574,Price_data!A$1:C$190,3,FALSE))</f>
        <v>EEZ</v>
      </c>
      <c r="T1574" s="2" t="str">
        <f>IF(C1574="Total", (VLOOKUP(B1574,Recommended_fish_intake!A$4:D$122,4,FALSE)), "NA")</f>
        <v>NA</v>
      </c>
      <c r="U1574" s="2" t="str">
        <f t="shared" si="186"/>
        <v>NA</v>
      </c>
    </row>
    <row r="1575" spans="1:21" ht="14.25" customHeight="1">
      <c r="A1575" s="2" t="s">
        <v>40</v>
      </c>
      <c r="B1575" s="2">
        <v>1977</v>
      </c>
      <c r="C1575" s="2" t="s">
        <v>23</v>
      </c>
      <c r="D1575" s="3">
        <f t="shared" si="180"/>
        <v>6.0000000000000001E-3</v>
      </c>
      <c r="E1575" s="3">
        <f t="shared" si="181"/>
        <v>2E-3</v>
      </c>
      <c r="F1575" s="3" t="e">
        <f t="shared" si="182"/>
        <v>#N/A</v>
      </c>
      <c r="G1575" s="3" t="e">
        <f t="shared" si="183"/>
        <v>#N/A</v>
      </c>
      <c r="H1575" s="3" t="e">
        <f t="shared" si="184"/>
        <v>#N/A</v>
      </c>
      <c r="I1575" s="3" t="e">
        <f t="shared" si="185"/>
        <v>#N/A</v>
      </c>
      <c r="J1575" s="2">
        <v>6</v>
      </c>
      <c r="K1575" s="2">
        <v>2</v>
      </c>
      <c r="P1575" s="3">
        <f>E1575*(VLOOKUP(B1575,Price_data!A$1:B$190,2,FALSE))</f>
        <v>7.3824175820000008E-3</v>
      </c>
      <c r="Q1575" s="3" t="e">
        <f>G1575*(VLOOKUP(B1575,Price_data!A$1:B$190,2,FALSE))</f>
        <v>#N/A</v>
      </c>
      <c r="R1575" s="3" t="e">
        <f>I1575*(VLOOKUP(B1575,Price_data!A$1:B$190,2,FALSE))</f>
        <v>#N/A</v>
      </c>
      <c r="S1575" s="4" t="str">
        <f>(VLOOKUP(B1575,Price_data!A$1:C$190,3,FALSE))</f>
        <v>EEZ</v>
      </c>
      <c r="T1575" s="2" t="str">
        <f>IF(C1575="Total", (VLOOKUP(B1575,Recommended_fish_intake!A$4:D$122,4,FALSE)), "NA")</f>
        <v>NA</v>
      </c>
      <c r="U1575" s="2" t="str">
        <f t="shared" si="186"/>
        <v>NA</v>
      </c>
    </row>
    <row r="1576" spans="1:21" ht="14.25" customHeight="1">
      <c r="A1576" s="2" t="s">
        <v>40</v>
      </c>
      <c r="B1576" s="2">
        <v>1977</v>
      </c>
      <c r="C1576" s="2" t="s">
        <v>25</v>
      </c>
      <c r="D1576" s="3">
        <f t="shared" ref="D1576:D1639" si="187">J1576/1000</f>
        <v>0.16900000000000001</v>
      </c>
      <c r="E1576" s="3">
        <f t="shared" ref="E1576:E1639" si="188">K1576/1000</f>
        <v>4.3999999999999997E-2</v>
      </c>
      <c r="F1576" s="3" t="e">
        <f t="shared" ref="F1576:F1639" si="189">IF(L1576="", NA(), L1576/1000)</f>
        <v>#N/A</v>
      </c>
      <c r="G1576" s="3" t="e">
        <f t="shared" ref="G1576:G1639" si="190">IF(M1576="", NA(), M1576/1000)</f>
        <v>#N/A</v>
      </c>
      <c r="H1576" s="3" t="e">
        <f t="shared" ref="H1576:H1639" si="191">IF(N1576="", NA(), N1576/1000)</f>
        <v>#N/A</v>
      </c>
      <c r="I1576" s="3" t="e">
        <f t="shared" ref="I1576:I1639" si="192">IF(O1576="", NA(), O1576/1000)</f>
        <v>#N/A</v>
      </c>
      <c r="J1576" s="2">
        <v>169</v>
      </c>
      <c r="K1576" s="2">
        <v>44</v>
      </c>
      <c r="P1576" s="3">
        <f>E1576*(VLOOKUP(B1576,Price_data!A$1:B$190,2,FALSE))</f>
        <v>0.16241318680399999</v>
      </c>
      <c r="Q1576" s="3" t="e">
        <f>G1576*(VLOOKUP(B1576,Price_data!A$1:B$190,2,FALSE))</f>
        <v>#N/A</v>
      </c>
      <c r="R1576" s="3" t="e">
        <f>I1576*(VLOOKUP(B1576,Price_data!A$1:B$190,2,FALSE))</f>
        <v>#N/A</v>
      </c>
      <c r="S1576" s="4" t="str">
        <f>(VLOOKUP(B1576,Price_data!A$1:C$190,3,FALSE))</f>
        <v>EEZ</v>
      </c>
      <c r="T1576" s="2" t="str">
        <f>IF(C1576="Total", (VLOOKUP(B1576,Recommended_fish_intake!A$4:D$122,4,FALSE)), "NA")</f>
        <v>NA</v>
      </c>
      <c r="U1576" s="2" t="str">
        <f t="shared" si="186"/>
        <v>NA</v>
      </c>
    </row>
    <row r="1577" spans="1:21" ht="14.25" customHeight="1">
      <c r="A1577" s="2" t="s">
        <v>40</v>
      </c>
      <c r="B1577" s="2">
        <v>1977</v>
      </c>
      <c r="C1577" s="2" t="s">
        <v>38</v>
      </c>
      <c r="D1577" s="3">
        <f t="shared" si="187"/>
        <v>0.38600000000000001</v>
      </c>
      <c r="E1577" s="3">
        <f t="shared" si="188"/>
        <v>9.0999999999999998E-2</v>
      </c>
      <c r="F1577" s="3" t="e">
        <f t="shared" si="189"/>
        <v>#N/A</v>
      </c>
      <c r="G1577" s="3" t="e">
        <f t="shared" si="190"/>
        <v>#N/A</v>
      </c>
      <c r="H1577" s="3" t="e">
        <f t="shared" si="191"/>
        <v>#N/A</v>
      </c>
      <c r="I1577" s="3" t="e">
        <f t="shared" si="192"/>
        <v>#N/A</v>
      </c>
      <c r="J1577" s="2">
        <v>386</v>
      </c>
      <c r="K1577" s="2">
        <v>91</v>
      </c>
      <c r="P1577" s="3">
        <f>E1577*(VLOOKUP(B1577,Price_data!A$1:B$190,2,FALSE))</f>
        <v>0.33589999998100001</v>
      </c>
      <c r="Q1577" s="3" t="e">
        <f>G1577*(VLOOKUP(B1577,Price_data!A$1:B$190,2,FALSE))</f>
        <v>#N/A</v>
      </c>
      <c r="R1577" s="3" t="e">
        <f>I1577*(VLOOKUP(B1577,Price_data!A$1:B$190,2,FALSE))</f>
        <v>#N/A</v>
      </c>
      <c r="S1577" s="4" t="str">
        <f>(VLOOKUP(B1577,Price_data!A$1:C$190,3,FALSE))</f>
        <v>EEZ</v>
      </c>
      <c r="T1577" s="2" t="str">
        <f>IF(C1577="Total", (VLOOKUP(B1577,Recommended_fish_intake!A$4:D$122,4,FALSE)), "NA")</f>
        <v>NA</v>
      </c>
      <c r="U1577" s="2" t="str">
        <f t="shared" si="186"/>
        <v>NA</v>
      </c>
    </row>
    <row r="1578" spans="1:21" ht="14.25" customHeight="1">
      <c r="A1578" s="2" t="s">
        <v>40</v>
      </c>
      <c r="B1578" s="2">
        <v>1977</v>
      </c>
      <c r="C1578" s="2" t="s">
        <v>24</v>
      </c>
      <c r="D1578" s="3">
        <f t="shared" si="187"/>
        <v>2.6920000000000002</v>
      </c>
      <c r="E1578" s="3">
        <f t="shared" si="188"/>
        <v>0.58199999999999996</v>
      </c>
      <c r="F1578" s="3" t="e">
        <f t="shared" si="189"/>
        <v>#N/A</v>
      </c>
      <c r="G1578" s="3" t="e">
        <f t="shared" si="190"/>
        <v>#N/A</v>
      </c>
      <c r="H1578" s="3" t="e">
        <f t="shared" si="191"/>
        <v>#N/A</v>
      </c>
      <c r="I1578" s="3" t="e">
        <f t="shared" si="192"/>
        <v>#N/A</v>
      </c>
      <c r="J1578" s="2">
        <v>2692</v>
      </c>
      <c r="K1578" s="2">
        <v>582</v>
      </c>
      <c r="P1578" s="3">
        <f>E1578*(VLOOKUP(B1578,Price_data!A$1:B$190,2,FALSE))</f>
        <v>2.148283516362</v>
      </c>
      <c r="Q1578" s="3" t="e">
        <f>G1578*(VLOOKUP(B1578,Price_data!A$1:B$190,2,FALSE))</f>
        <v>#N/A</v>
      </c>
      <c r="R1578" s="3" t="e">
        <f>I1578*(VLOOKUP(B1578,Price_data!A$1:B$190,2,FALSE))</f>
        <v>#N/A</v>
      </c>
      <c r="S1578" s="4" t="str">
        <f>(VLOOKUP(B1578,Price_data!A$1:C$190,3,FALSE))</f>
        <v>EEZ</v>
      </c>
      <c r="T1578" s="2" t="str">
        <f>IF(C1578="Total", (VLOOKUP(B1578,Recommended_fish_intake!A$4:D$122,4,FALSE)), "NA")</f>
        <v>NA</v>
      </c>
      <c r="U1578" s="2" t="str">
        <f t="shared" si="186"/>
        <v>NA</v>
      </c>
    </row>
    <row r="1579" spans="1:21" ht="14.25" customHeight="1">
      <c r="A1579" s="2" t="s">
        <v>40</v>
      </c>
      <c r="B1579" s="2">
        <v>1977</v>
      </c>
      <c r="C1579" s="2" t="s">
        <v>19</v>
      </c>
      <c r="D1579" s="3">
        <f t="shared" si="187"/>
        <v>2.9820000000000002</v>
      </c>
      <c r="E1579" s="3">
        <f t="shared" si="188"/>
        <v>1.0920000000000001</v>
      </c>
      <c r="F1579" s="3" t="e">
        <f t="shared" si="189"/>
        <v>#N/A</v>
      </c>
      <c r="G1579" s="3" t="e">
        <f t="shared" si="190"/>
        <v>#N/A</v>
      </c>
      <c r="H1579" s="3" t="e">
        <f t="shared" si="191"/>
        <v>#N/A</v>
      </c>
      <c r="I1579" s="3" t="e">
        <f t="shared" si="192"/>
        <v>#N/A</v>
      </c>
      <c r="J1579" s="2">
        <v>2982</v>
      </c>
      <c r="K1579" s="2">
        <v>1092</v>
      </c>
      <c r="P1579" s="3">
        <f>E1579*(VLOOKUP(B1579,Price_data!A$1:B$190,2,FALSE))</f>
        <v>4.0307999997720003</v>
      </c>
      <c r="Q1579" s="3" t="e">
        <f>G1579*(VLOOKUP(B1579,Price_data!A$1:B$190,2,FALSE))</f>
        <v>#N/A</v>
      </c>
      <c r="R1579" s="3" t="e">
        <f>I1579*(VLOOKUP(B1579,Price_data!A$1:B$190,2,FALSE))</f>
        <v>#N/A</v>
      </c>
      <c r="S1579" s="4" t="str">
        <f>(VLOOKUP(B1579,Price_data!A$1:C$190,3,FALSE))</f>
        <v>EEZ</v>
      </c>
      <c r="T1579" s="2" t="str">
        <f>IF(C1579="Total", (VLOOKUP(B1579,Recommended_fish_intake!A$4:D$122,4,FALSE)), "NA")</f>
        <v>NA</v>
      </c>
      <c r="U1579" s="2" t="str">
        <f t="shared" si="186"/>
        <v>NA</v>
      </c>
    </row>
    <row r="1580" spans="1:21" ht="14.25" customHeight="1">
      <c r="A1580" s="2" t="s">
        <v>40</v>
      </c>
      <c r="B1580" s="2">
        <v>1977</v>
      </c>
      <c r="C1580" s="2" t="s">
        <v>20</v>
      </c>
      <c r="D1580" s="3">
        <f t="shared" si="187"/>
        <v>9.7000000000000003E-2</v>
      </c>
      <c r="E1580" s="3">
        <f t="shared" si="188"/>
        <v>7.0000000000000001E-3</v>
      </c>
      <c r="F1580" s="3" t="e">
        <f t="shared" si="189"/>
        <v>#N/A</v>
      </c>
      <c r="G1580" s="3" t="e">
        <f t="shared" si="190"/>
        <v>#N/A</v>
      </c>
      <c r="H1580" s="3" t="e">
        <f t="shared" si="191"/>
        <v>#N/A</v>
      </c>
      <c r="I1580" s="3" t="e">
        <f t="shared" si="192"/>
        <v>#N/A</v>
      </c>
      <c r="J1580" s="2">
        <v>97</v>
      </c>
      <c r="K1580" s="2">
        <v>7</v>
      </c>
      <c r="P1580" s="3">
        <f>E1580*(VLOOKUP(B1580,Price_data!A$1:B$190,2,FALSE))</f>
        <v>2.5838461537000004E-2</v>
      </c>
      <c r="Q1580" s="3" t="e">
        <f>G1580*(VLOOKUP(B1580,Price_data!A$1:B$190,2,FALSE))</f>
        <v>#N/A</v>
      </c>
      <c r="R1580" s="3" t="e">
        <f>I1580*(VLOOKUP(B1580,Price_data!A$1:B$190,2,FALSE))</f>
        <v>#N/A</v>
      </c>
      <c r="S1580" s="4" t="str">
        <f>(VLOOKUP(B1580,Price_data!A$1:C$190,3,FALSE))</f>
        <v>EEZ</v>
      </c>
      <c r="T1580" s="2" t="str">
        <f>IF(C1580="Total", (VLOOKUP(B1580,Recommended_fish_intake!A$4:D$122,4,FALSE)), "NA")</f>
        <v>NA</v>
      </c>
      <c r="U1580" s="2" t="str">
        <f t="shared" si="186"/>
        <v>NA</v>
      </c>
    </row>
    <row r="1581" spans="1:21" ht="14.25" customHeight="1">
      <c r="A1581" s="2" t="s">
        <v>40</v>
      </c>
      <c r="B1581" s="2">
        <v>1977</v>
      </c>
      <c r="C1581" s="2" t="s">
        <v>21</v>
      </c>
      <c r="D1581" s="3">
        <f t="shared" si="187"/>
        <v>0</v>
      </c>
      <c r="E1581" s="3">
        <f t="shared" si="188"/>
        <v>0</v>
      </c>
      <c r="F1581" s="3" t="e">
        <f t="shared" si="189"/>
        <v>#N/A</v>
      </c>
      <c r="G1581" s="3" t="e">
        <f t="shared" si="190"/>
        <v>#N/A</v>
      </c>
      <c r="H1581" s="3" t="e">
        <f t="shared" si="191"/>
        <v>#N/A</v>
      </c>
      <c r="I1581" s="3" t="e">
        <f t="shared" si="192"/>
        <v>#N/A</v>
      </c>
      <c r="J1581" s="2">
        <v>0</v>
      </c>
      <c r="K1581" s="2">
        <v>0</v>
      </c>
      <c r="P1581" s="3">
        <f>E1581*(VLOOKUP(B1581,Price_data!A$1:B$190,2,FALSE))</f>
        <v>0</v>
      </c>
      <c r="Q1581" s="3" t="e">
        <f>G1581*(VLOOKUP(B1581,Price_data!A$1:B$190,2,FALSE))</f>
        <v>#N/A</v>
      </c>
      <c r="R1581" s="3" t="e">
        <f>I1581*(VLOOKUP(B1581,Price_data!A$1:B$190,2,FALSE))</f>
        <v>#N/A</v>
      </c>
      <c r="S1581" s="4" t="str">
        <f>(VLOOKUP(B1581,Price_data!A$1:C$190,3,FALSE))</f>
        <v>EEZ</v>
      </c>
      <c r="T1581" s="2" t="str">
        <f>IF(C1581="Total", (VLOOKUP(B1581,Recommended_fish_intake!A$4:D$122,4,FALSE)), "NA")</f>
        <v>NA</v>
      </c>
      <c r="U1581" s="2" t="str">
        <f t="shared" si="186"/>
        <v>NA</v>
      </c>
    </row>
    <row r="1582" spans="1:21" ht="14.25" customHeight="1">
      <c r="A1582" s="2" t="s">
        <v>40</v>
      </c>
      <c r="B1582" s="2">
        <v>1977</v>
      </c>
      <c r="C1582" s="2" t="s">
        <v>37</v>
      </c>
      <c r="D1582" s="3">
        <f t="shared" si="187"/>
        <v>8.2829999999999995</v>
      </c>
      <c r="E1582" s="3">
        <f t="shared" si="188"/>
        <v>20.494</v>
      </c>
      <c r="F1582" s="3" t="e">
        <f t="shared" si="189"/>
        <v>#N/A</v>
      </c>
      <c r="G1582" s="3" t="e">
        <f t="shared" si="190"/>
        <v>#N/A</v>
      </c>
      <c r="H1582" s="3" t="e">
        <f t="shared" si="191"/>
        <v>#N/A</v>
      </c>
      <c r="I1582" s="3" t="e">
        <f t="shared" si="192"/>
        <v>#N/A</v>
      </c>
      <c r="J1582" s="2">
        <v>8283</v>
      </c>
      <c r="K1582" s="2">
        <v>20494</v>
      </c>
      <c r="P1582" s="3">
        <f>E1582*(VLOOKUP(B1582,Price_data!A$1:B$190,2,FALSE))</f>
        <v>75.647632962754003</v>
      </c>
      <c r="Q1582" s="3" t="e">
        <f>G1582*(VLOOKUP(B1582,Price_data!A$1:B$190,2,FALSE))</f>
        <v>#N/A</v>
      </c>
      <c r="R1582" s="3" t="e">
        <f>I1582*(VLOOKUP(B1582,Price_data!A$1:B$190,2,FALSE))</f>
        <v>#N/A</v>
      </c>
      <c r="S1582" s="4" t="str">
        <f>(VLOOKUP(B1582,Price_data!A$1:C$190,3,FALSE))</f>
        <v>EEZ</v>
      </c>
      <c r="T1582" s="2" t="str">
        <f>IF(C1582="Total", (VLOOKUP(B1582,Recommended_fish_intake!A$4:D$122,4,FALSE)), "NA")</f>
        <v>NA</v>
      </c>
      <c r="U1582" s="2">
        <f t="shared" si="186"/>
        <v>4.0586699999999993</v>
      </c>
    </row>
    <row r="1583" spans="1:21" ht="14.25" customHeight="1">
      <c r="A1583" s="2" t="s">
        <v>40</v>
      </c>
      <c r="B1583" s="2">
        <v>1977</v>
      </c>
      <c r="C1583" s="2" t="s">
        <v>36</v>
      </c>
      <c r="D1583" s="3">
        <f t="shared" si="187"/>
        <v>2E-3</v>
      </c>
      <c r="E1583" s="3">
        <f t="shared" si="188"/>
        <v>0</v>
      </c>
      <c r="F1583" s="3" t="e">
        <f t="shared" si="189"/>
        <v>#N/A</v>
      </c>
      <c r="G1583" s="3" t="e">
        <f t="shared" si="190"/>
        <v>#N/A</v>
      </c>
      <c r="H1583" s="3" t="e">
        <f t="shared" si="191"/>
        <v>#N/A</v>
      </c>
      <c r="I1583" s="3" t="e">
        <f t="shared" si="192"/>
        <v>#N/A</v>
      </c>
      <c r="J1583" s="2">
        <v>2</v>
      </c>
      <c r="K1583" s="2">
        <v>0</v>
      </c>
      <c r="P1583" s="3">
        <f>E1583*(VLOOKUP(B1583,Price_data!A$1:B$190,2,FALSE))</f>
        <v>0</v>
      </c>
      <c r="Q1583" s="3" t="e">
        <f>G1583*(VLOOKUP(B1583,Price_data!A$1:B$190,2,FALSE))</f>
        <v>#N/A</v>
      </c>
      <c r="R1583" s="3" t="e">
        <f>I1583*(VLOOKUP(B1583,Price_data!A$1:B$190,2,FALSE))</f>
        <v>#N/A</v>
      </c>
      <c r="S1583" s="4" t="str">
        <f>(VLOOKUP(B1583,Price_data!A$1:C$190,3,FALSE))</f>
        <v>EEZ</v>
      </c>
      <c r="T1583" s="2" t="str">
        <f>IF(C1583="Total", (VLOOKUP(B1583,Recommended_fish_intake!A$4:D$122,4,FALSE)), "NA")</f>
        <v>NA</v>
      </c>
      <c r="U1583" s="2" t="str">
        <f t="shared" si="186"/>
        <v>NA</v>
      </c>
    </row>
    <row r="1584" spans="1:21" ht="14.25" customHeight="1">
      <c r="A1584" s="2" t="s">
        <v>40</v>
      </c>
      <c r="B1584" s="2">
        <v>1977</v>
      </c>
      <c r="C1584" s="2" t="s">
        <v>52</v>
      </c>
      <c r="D1584" s="3">
        <f t="shared" si="187"/>
        <v>8.4000000000000005E-2</v>
      </c>
      <c r="E1584" s="3">
        <f t="shared" si="188"/>
        <v>4.4999999999999998E-2</v>
      </c>
      <c r="F1584" s="3" t="e">
        <f t="shared" si="189"/>
        <v>#N/A</v>
      </c>
      <c r="G1584" s="3" t="e">
        <f t="shared" si="190"/>
        <v>#N/A</v>
      </c>
      <c r="H1584" s="3" t="e">
        <f t="shared" si="191"/>
        <v>#N/A</v>
      </c>
      <c r="I1584" s="3" t="e">
        <f t="shared" si="192"/>
        <v>#N/A</v>
      </c>
      <c r="J1584" s="2">
        <v>84</v>
      </c>
      <c r="K1584" s="2">
        <v>45</v>
      </c>
      <c r="P1584" s="3">
        <f>E1584*(VLOOKUP(B1584,Price_data!A$1:B$190,2,FALSE))</f>
        <v>0.16610439559500001</v>
      </c>
      <c r="Q1584" s="3" t="e">
        <f>G1584*(VLOOKUP(B1584,Price_data!A$1:B$190,2,FALSE))</f>
        <v>#N/A</v>
      </c>
      <c r="R1584" s="3" t="e">
        <f>I1584*(VLOOKUP(B1584,Price_data!A$1:B$190,2,FALSE))</f>
        <v>#N/A</v>
      </c>
      <c r="S1584" s="4" t="str">
        <f>(VLOOKUP(B1584,Price_data!A$1:C$190,3,FALSE))</f>
        <v>EEZ</v>
      </c>
      <c r="T1584" s="2" t="str">
        <f>IF(C1584="Total", (VLOOKUP(B1584,Recommended_fish_intake!A$4:D$122,4,FALSE)), "NA")</f>
        <v>NA</v>
      </c>
      <c r="U1584" s="2" t="str">
        <f t="shared" si="186"/>
        <v>NA</v>
      </c>
    </row>
    <row r="1585" spans="1:21" ht="14.25" customHeight="1">
      <c r="A1585" s="2" t="s">
        <v>40</v>
      </c>
      <c r="B1585" s="2">
        <v>1977</v>
      </c>
      <c r="C1585" s="2" t="s">
        <v>34</v>
      </c>
      <c r="D1585" s="3">
        <f t="shared" si="187"/>
        <v>1.2E-2</v>
      </c>
      <c r="E1585" s="3">
        <f t="shared" si="188"/>
        <v>5.8999999999999997E-2</v>
      </c>
      <c r="F1585" s="3" t="e">
        <f t="shared" si="189"/>
        <v>#N/A</v>
      </c>
      <c r="G1585" s="3" t="e">
        <f t="shared" si="190"/>
        <v>#N/A</v>
      </c>
      <c r="H1585" s="3" t="e">
        <f t="shared" si="191"/>
        <v>#N/A</v>
      </c>
      <c r="I1585" s="3" t="e">
        <f t="shared" si="192"/>
        <v>#N/A</v>
      </c>
      <c r="J1585" s="2">
        <v>12</v>
      </c>
      <c r="K1585" s="2">
        <v>59</v>
      </c>
      <c r="P1585" s="3">
        <f>E1585*(VLOOKUP(B1585,Price_data!A$1:B$190,2,FALSE))</f>
        <v>0.217781318669</v>
      </c>
      <c r="Q1585" s="3" t="e">
        <f>G1585*(VLOOKUP(B1585,Price_data!A$1:B$190,2,FALSE))</f>
        <v>#N/A</v>
      </c>
      <c r="R1585" s="3" t="e">
        <f>I1585*(VLOOKUP(B1585,Price_data!A$1:B$190,2,FALSE))</f>
        <v>#N/A</v>
      </c>
      <c r="S1585" s="4" t="str">
        <f>(VLOOKUP(B1585,Price_data!A$1:C$190,3,FALSE))</f>
        <v>EEZ</v>
      </c>
      <c r="T1585" s="2" t="str">
        <f>IF(C1585="Total", (VLOOKUP(B1585,Recommended_fish_intake!A$4:D$122,4,FALSE)), "NA")</f>
        <v>NA</v>
      </c>
      <c r="U1585" s="2" t="str">
        <f t="shared" si="186"/>
        <v>NA</v>
      </c>
    </row>
    <row r="1586" spans="1:21" ht="14.25" customHeight="1">
      <c r="A1586" s="2" t="s">
        <v>40</v>
      </c>
      <c r="B1586" s="2">
        <v>1977</v>
      </c>
      <c r="C1586" s="2" t="s">
        <v>35</v>
      </c>
      <c r="D1586" s="3">
        <f t="shared" si="187"/>
        <v>3.1629999999999998</v>
      </c>
      <c r="E1586" s="3">
        <f t="shared" si="188"/>
        <v>1.57</v>
      </c>
      <c r="F1586" s="3" t="e">
        <f t="shared" si="189"/>
        <v>#N/A</v>
      </c>
      <c r="G1586" s="3" t="e">
        <f t="shared" si="190"/>
        <v>#N/A</v>
      </c>
      <c r="H1586" s="3" t="e">
        <f t="shared" si="191"/>
        <v>#N/A</v>
      </c>
      <c r="I1586" s="3" t="e">
        <f t="shared" si="192"/>
        <v>#N/A</v>
      </c>
      <c r="J1586" s="2">
        <v>3163</v>
      </c>
      <c r="K1586" s="2">
        <v>1570</v>
      </c>
      <c r="P1586" s="3">
        <f>E1586*(VLOOKUP(B1586,Price_data!A$1:B$190,2,FALSE))</f>
        <v>5.7951978018700006</v>
      </c>
      <c r="Q1586" s="3" t="e">
        <f>G1586*(VLOOKUP(B1586,Price_data!A$1:B$190,2,FALSE))</f>
        <v>#N/A</v>
      </c>
      <c r="R1586" s="3" t="e">
        <f>I1586*(VLOOKUP(B1586,Price_data!A$1:B$190,2,FALSE))</f>
        <v>#N/A</v>
      </c>
      <c r="S1586" s="4" t="str">
        <f>(VLOOKUP(B1586,Price_data!A$1:C$190,3,FALSE))</f>
        <v>EEZ</v>
      </c>
      <c r="T1586" s="2" t="str">
        <f>IF(C1586="Total", (VLOOKUP(B1586,Recommended_fish_intake!A$4:D$122,4,FALSE)), "NA")</f>
        <v>NA</v>
      </c>
      <c r="U1586" s="2" t="str">
        <f t="shared" si="186"/>
        <v>NA</v>
      </c>
    </row>
    <row r="1587" spans="1:21" ht="14.25" customHeight="1">
      <c r="A1587" s="2" t="s">
        <v>40</v>
      </c>
      <c r="B1587" s="2">
        <v>1977</v>
      </c>
      <c r="C1587" s="2" t="s">
        <v>30</v>
      </c>
      <c r="D1587" s="3">
        <f t="shared" si="187"/>
        <v>0</v>
      </c>
      <c r="E1587" s="3">
        <f t="shared" si="188"/>
        <v>0</v>
      </c>
      <c r="F1587" s="3" t="e">
        <f t="shared" si="189"/>
        <v>#N/A</v>
      </c>
      <c r="G1587" s="3" t="e">
        <f t="shared" si="190"/>
        <v>#N/A</v>
      </c>
      <c r="H1587" s="3" t="e">
        <f t="shared" si="191"/>
        <v>#N/A</v>
      </c>
      <c r="I1587" s="3" t="e">
        <f t="shared" si="192"/>
        <v>#N/A</v>
      </c>
      <c r="J1587" s="2">
        <v>0</v>
      </c>
      <c r="K1587" s="2">
        <v>0</v>
      </c>
      <c r="P1587" s="3">
        <f>E1587*(VLOOKUP(B1587,Price_data!A$1:B$190,2,FALSE))</f>
        <v>0</v>
      </c>
      <c r="Q1587" s="3" t="e">
        <f>G1587*(VLOOKUP(B1587,Price_data!A$1:B$190,2,FALSE))</f>
        <v>#N/A</v>
      </c>
      <c r="R1587" s="3" t="e">
        <f>I1587*(VLOOKUP(B1587,Price_data!A$1:B$190,2,FALSE))</f>
        <v>#N/A</v>
      </c>
      <c r="S1587" s="4" t="str">
        <f>(VLOOKUP(B1587,Price_data!A$1:C$190,3,FALSE))</f>
        <v>EEZ</v>
      </c>
      <c r="T1587" s="2" t="str">
        <f>IF(C1587="Total", (VLOOKUP(B1587,Recommended_fish_intake!A$4:D$122,4,FALSE)), "NA")</f>
        <v>NA</v>
      </c>
      <c r="U1587" s="2" t="str">
        <f t="shared" si="186"/>
        <v>NA</v>
      </c>
    </row>
    <row r="1588" spans="1:21" ht="14.25" customHeight="1">
      <c r="A1588" s="2" t="s">
        <v>40</v>
      </c>
      <c r="B1588" s="2">
        <v>1977</v>
      </c>
      <c r="C1588" s="2" t="s">
        <v>28</v>
      </c>
      <c r="D1588" s="3">
        <f t="shared" si="187"/>
        <v>3.6829999999999998</v>
      </c>
      <c r="E1588" s="3">
        <f t="shared" si="188"/>
        <v>1.83</v>
      </c>
      <c r="F1588" s="3" t="e">
        <f t="shared" si="189"/>
        <v>#N/A</v>
      </c>
      <c r="G1588" s="3" t="e">
        <f t="shared" si="190"/>
        <v>#N/A</v>
      </c>
      <c r="H1588" s="3" t="e">
        <f t="shared" si="191"/>
        <v>#N/A</v>
      </c>
      <c r="I1588" s="3" t="e">
        <f t="shared" si="192"/>
        <v>#N/A</v>
      </c>
      <c r="J1588" s="2">
        <v>3683</v>
      </c>
      <c r="K1588" s="2">
        <v>1830</v>
      </c>
      <c r="P1588" s="3">
        <f>E1588*(VLOOKUP(B1588,Price_data!A$1:B$190,2,FALSE))</f>
        <v>6.7549120875300011</v>
      </c>
      <c r="Q1588" s="3" t="e">
        <f>G1588*(VLOOKUP(B1588,Price_data!A$1:B$190,2,FALSE))</f>
        <v>#N/A</v>
      </c>
      <c r="R1588" s="3" t="e">
        <f>I1588*(VLOOKUP(B1588,Price_data!A$1:B$190,2,FALSE))</f>
        <v>#N/A</v>
      </c>
      <c r="S1588" s="4" t="str">
        <f>(VLOOKUP(B1588,Price_data!A$1:C$190,3,FALSE))</f>
        <v>EEZ</v>
      </c>
      <c r="T1588" s="2" t="str">
        <f>IF(C1588="Total", (VLOOKUP(B1588,Recommended_fish_intake!A$4:D$122,4,FALSE)), "NA")</f>
        <v>NA</v>
      </c>
      <c r="U1588" s="2">
        <f t="shared" si="186"/>
        <v>1.0312400000000002</v>
      </c>
    </row>
    <row r="1589" spans="1:21" ht="14.25" customHeight="1">
      <c r="A1589" s="2" t="s">
        <v>15</v>
      </c>
      <c r="B1589" s="2">
        <v>1977</v>
      </c>
      <c r="C1589" s="2" t="s">
        <v>22</v>
      </c>
      <c r="D1589" s="3">
        <f t="shared" si="187"/>
        <v>147.69900000000001</v>
      </c>
      <c r="E1589" s="3">
        <f t="shared" si="188"/>
        <v>76.965999999999994</v>
      </c>
      <c r="F1589" s="3" t="e">
        <f t="shared" si="189"/>
        <v>#N/A</v>
      </c>
      <c r="G1589" s="3" t="e">
        <f t="shared" si="190"/>
        <v>#N/A</v>
      </c>
      <c r="H1589" s="3">
        <f t="shared" si="191"/>
        <v>61.869</v>
      </c>
      <c r="I1589" s="3">
        <f t="shared" si="192"/>
        <v>52.521000000000001</v>
      </c>
      <c r="J1589" s="2">
        <v>147699</v>
      </c>
      <c r="K1589" s="2">
        <v>76966</v>
      </c>
      <c r="N1589" s="2">
        <f>16273+831+34181+10366+218</f>
        <v>61869</v>
      </c>
      <c r="O1589" s="2">
        <f>7709+910+38399+5301+202</f>
        <v>52521</v>
      </c>
      <c r="P1589" s="3">
        <f>E1589*(VLOOKUP(B1589,Price_data!A$1:B$190,2,FALSE))</f>
        <v>284.097575808106</v>
      </c>
      <c r="Q1589" s="3" t="e">
        <f>G1589*(VLOOKUP(B1589,Price_data!A$1:B$190,2,FALSE))</f>
        <v>#N/A</v>
      </c>
      <c r="R1589" s="3">
        <f>I1589*(VLOOKUP(B1589,Price_data!A$1:B$190,2,FALSE))</f>
        <v>193.86597691211102</v>
      </c>
      <c r="S1589" s="4" t="str">
        <f>(VLOOKUP(B1589,Price_data!A$1:C$190,3,FALSE))</f>
        <v>EEZ</v>
      </c>
      <c r="T1589" s="2" t="str">
        <f>IF(C1589="Total", (VLOOKUP(B1589,Recommended_fish_intake!A$4:D$122,4,FALSE)), "NA")</f>
        <v>NA</v>
      </c>
      <c r="U1589" s="2" t="str">
        <f t="shared" si="186"/>
        <v>NA</v>
      </c>
    </row>
    <row r="1590" spans="1:21" ht="14.25" customHeight="1">
      <c r="A1590" s="2" t="s">
        <v>15</v>
      </c>
      <c r="B1590" s="2">
        <v>1977</v>
      </c>
      <c r="C1590" s="2" t="s">
        <v>23</v>
      </c>
      <c r="D1590" s="3">
        <f t="shared" si="187"/>
        <v>122.938</v>
      </c>
      <c r="E1590" s="3">
        <f t="shared" si="188"/>
        <v>47.889000000000003</v>
      </c>
      <c r="F1590" s="3" t="e">
        <f t="shared" si="189"/>
        <v>#N/A</v>
      </c>
      <c r="G1590" s="3" t="e">
        <f t="shared" si="190"/>
        <v>#N/A</v>
      </c>
      <c r="H1590" s="3">
        <f t="shared" si="191"/>
        <v>5.8129999999999997</v>
      </c>
      <c r="I1590" s="3">
        <f t="shared" si="192"/>
        <v>5.4820000000000002</v>
      </c>
      <c r="J1590" s="2">
        <v>122938</v>
      </c>
      <c r="K1590" s="2">
        <v>47889</v>
      </c>
      <c r="N1590" s="2">
        <f>1060+51+3949+753</f>
        <v>5813</v>
      </c>
      <c r="O1590" s="2">
        <f>489+69+4510+414</f>
        <v>5482</v>
      </c>
      <c r="P1590" s="3">
        <f>E1590*(VLOOKUP(B1590,Price_data!A$1:B$190,2,FALSE))</f>
        <v>176.76829779219901</v>
      </c>
      <c r="Q1590" s="3" t="e">
        <f>G1590*(VLOOKUP(B1590,Price_data!A$1:B$190,2,FALSE))</f>
        <v>#N/A</v>
      </c>
      <c r="R1590" s="3">
        <f>I1590*(VLOOKUP(B1590,Price_data!A$1:B$190,2,FALSE))</f>
        <v>20.235206592262003</v>
      </c>
      <c r="S1590" s="4" t="str">
        <f>(VLOOKUP(B1590,Price_data!A$1:C$190,3,FALSE))</f>
        <v>EEZ</v>
      </c>
      <c r="T1590" s="2" t="str">
        <f>IF(C1590="Total", (VLOOKUP(B1590,Recommended_fish_intake!A$4:D$122,4,FALSE)), "NA")</f>
        <v>NA</v>
      </c>
      <c r="U1590" s="2" t="str">
        <f t="shared" si="186"/>
        <v>NA</v>
      </c>
    </row>
    <row r="1591" spans="1:21" ht="14.25" customHeight="1">
      <c r="A1591" s="2" t="s">
        <v>15</v>
      </c>
      <c r="B1591" s="2">
        <v>1977</v>
      </c>
      <c r="C1591" s="2" t="s">
        <v>25</v>
      </c>
      <c r="D1591" s="3">
        <f t="shared" si="187"/>
        <v>35.723999999999997</v>
      </c>
      <c r="E1591" s="3">
        <f t="shared" si="188"/>
        <v>14.927</v>
      </c>
      <c r="F1591" s="3" t="e">
        <f t="shared" si="189"/>
        <v>#N/A</v>
      </c>
      <c r="G1591" s="3" t="e">
        <f t="shared" si="190"/>
        <v>#N/A</v>
      </c>
      <c r="H1591" s="3">
        <f t="shared" si="191"/>
        <v>13.891</v>
      </c>
      <c r="I1591" s="3">
        <f t="shared" si="192"/>
        <v>7.12</v>
      </c>
      <c r="J1591" s="2">
        <v>35724</v>
      </c>
      <c r="K1591" s="2">
        <v>14927</v>
      </c>
      <c r="N1591" s="2">
        <f>12106+1211+574</f>
        <v>13891</v>
      </c>
      <c r="O1591" s="2">
        <f>5338+1487+295</f>
        <v>7120</v>
      </c>
      <c r="P1591" s="3">
        <f>E1591*(VLOOKUP(B1591,Price_data!A$1:B$190,2,FALSE))</f>
        <v>55.098673623257</v>
      </c>
      <c r="Q1591" s="3" t="e">
        <f>G1591*(VLOOKUP(B1591,Price_data!A$1:B$190,2,FALSE))</f>
        <v>#N/A</v>
      </c>
      <c r="R1591" s="3">
        <f>I1591*(VLOOKUP(B1591,Price_data!A$1:B$190,2,FALSE))</f>
        <v>26.281406591920003</v>
      </c>
      <c r="S1591" s="4" t="str">
        <f>(VLOOKUP(B1591,Price_data!A$1:C$190,3,FALSE))</f>
        <v>EEZ</v>
      </c>
      <c r="T1591" s="2" t="str">
        <f>IF(C1591="Total", (VLOOKUP(B1591,Recommended_fish_intake!A$4:D$122,4,FALSE)), "NA")</f>
        <v>NA</v>
      </c>
      <c r="U1591" s="2" t="str">
        <f t="shared" si="186"/>
        <v>NA</v>
      </c>
    </row>
    <row r="1592" spans="1:21" ht="14.25" customHeight="1">
      <c r="A1592" s="2" t="s">
        <v>15</v>
      </c>
      <c r="B1592" s="2">
        <v>1977</v>
      </c>
      <c r="C1592" s="2" t="s">
        <v>38</v>
      </c>
      <c r="D1592" s="3">
        <f t="shared" si="187"/>
        <v>35.540999999999997</v>
      </c>
      <c r="E1592" s="3">
        <f t="shared" si="188"/>
        <v>9.8279999999999994</v>
      </c>
      <c r="F1592" s="3" t="e">
        <f t="shared" si="189"/>
        <v>#N/A</v>
      </c>
      <c r="G1592" s="3" t="e">
        <f t="shared" si="190"/>
        <v>#N/A</v>
      </c>
      <c r="H1592" s="3">
        <f t="shared" si="191"/>
        <v>2.2389999999999999</v>
      </c>
      <c r="I1592" s="3">
        <f t="shared" si="192"/>
        <v>0.60599999999999998</v>
      </c>
      <c r="J1592" s="2">
        <v>35541</v>
      </c>
      <c r="K1592" s="2">
        <v>9828</v>
      </c>
      <c r="N1592" s="2">
        <v>2239</v>
      </c>
      <c r="O1592" s="2">
        <v>606</v>
      </c>
      <c r="P1592" s="3">
        <f>E1592*(VLOOKUP(B1592,Price_data!A$1:B$190,2,FALSE))</f>
        <v>36.277199997948003</v>
      </c>
      <c r="Q1592" s="3" t="e">
        <f>G1592*(VLOOKUP(B1592,Price_data!A$1:B$190,2,FALSE))</f>
        <v>#N/A</v>
      </c>
      <c r="R1592" s="3">
        <f>I1592*(VLOOKUP(B1592,Price_data!A$1:B$190,2,FALSE))</f>
        <v>2.2368725273460002</v>
      </c>
      <c r="S1592" s="4" t="str">
        <f>(VLOOKUP(B1592,Price_data!A$1:C$190,3,FALSE))</f>
        <v>EEZ</v>
      </c>
      <c r="T1592" s="2" t="str">
        <f>IF(C1592="Total", (VLOOKUP(B1592,Recommended_fish_intake!A$4:D$122,4,FALSE)), "NA")</f>
        <v>NA</v>
      </c>
      <c r="U1592" s="2" t="str">
        <f t="shared" si="186"/>
        <v>NA</v>
      </c>
    </row>
    <row r="1593" spans="1:21" ht="14.25" customHeight="1">
      <c r="A1593" s="2" t="s">
        <v>15</v>
      </c>
      <c r="B1593" s="2">
        <v>1977</v>
      </c>
      <c r="C1593" s="2" t="s">
        <v>24</v>
      </c>
      <c r="D1593" s="3">
        <f t="shared" si="187"/>
        <v>50.018000000000001</v>
      </c>
      <c r="E1593" s="3">
        <f t="shared" si="188"/>
        <v>13.741</v>
      </c>
      <c r="F1593" s="3" t="e">
        <f t="shared" si="189"/>
        <v>#N/A</v>
      </c>
      <c r="G1593" s="3" t="e">
        <f t="shared" si="190"/>
        <v>#N/A</v>
      </c>
      <c r="H1593" s="3" t="e">
        <f t="shared" si="191"/>
        <v>#N/A</v>
      </c>
      <c r="I1593" s="3" t="e">
        <f t="shared" si="192"/>
        <v>#N/A</v>
      </c>
      <c r="J1593" s="2">
        <v>50018</v>
      </c>
      <c r="K1593" s="2">
        <v>13741</v>
      </c>
      <c r="P1593" s="3">
        <f>E1593*(VLOOKUP(B1593,Price_data!A$1:B$190,2,FALSE))</f>
        <v>50.720899997130999</v>
      </c>
      <c r="Q1593" s="3" t="e">
        <f>G1593*(VLOOKUP(B1593,Price_data!A$1:B$190,2,FALSE))</f>
        <v>#N/A</v>
      </c>
      <c r="R1593" s="3" t="e">
        <f>I1593*(VLOOKUP(B1593,Price_data!A$1:B$190,2,FALSE))</f>
        <v>#N/A</v>
      </c>
      <c r="S1593" s="4" t="str">
        <f>(VLOOKUP(B1593,Price_data!A$1:C$190,3,FALSE))</f>
        <v>EEZ</v>
      </c>
      <c r="T1593" s="2" t="str">
        <f>IF(C1593="Total", (VLOOKUP(B1593,Recommended_fish_intake!A$4:D$122,4,FALSE)), "NA")</f>
        <v>NA</v>
      </c>
      <c r="U1593" s="2" t="str">
        <f t="shared" si="186"/>
        <v>NA</v>
      </c>
    </row>
    <row r="1594" spans="1:21" ht="14.25" customHeight="1">
      <c r="A1594" s="2" t="s">
        <v>15</v>
      </c>
      <c r="B1594" s="2">
        <v>1977</v>
      </c>
      <c r="C1594" s="2" t="s">
        <v>19</v>
      </c>
      <c r="D1594" s="3">
        <f t="shared" si="187"/>
        <v>43.048999999999999</v>
      </c>
      <c r="E1594" s="3">
        <f t="shared" si="188"/>
        <v>12.872</v>
      </c>
      <c r="F1594" s="3" t="e">
        <f t="shared" si="189"/>
        <v>#N/A</v>
      </c>
      <c r="G1594" s="3" t="e">
        <f t="shared" si="190"/>
        <v>#N/A</v>
      </c>
      <c r="H1594" s="3">
        <f t="shared" si="191"/>
        <v>4.5510000000000002</v>
      </c>
      <c r="I1594" s="3">
        <f t="shared" si="192"/>
        <v>2.359</v>
      </c>
      <c r="J1594" s="2">
        <v>43049</v>
      </c>
      <c r="K1594" s="2">
        <v>12872</v>
      </c>
      <c r="N1594" s="2">
        <f>963+1604+1159+825</f>
        <v>4551</v>
      </c>
      <c r="O1594" s="2">
        <f>314+681+559+805</f>
        <v>2359</v>
      </c>
      <c r="P1594" s="3">
        <f>E1594*(VLOOKUP(B1594,Price_data!A$1:B$190,2,FALSE))</f>
        <v>47.513239557752001</v>
      </c>
      <c r="Q1594" s="3" t="e">
        <f>G1594*(VLOOKUP(B1594,Price_data!A$1:B$190,2,FALSE))</f>
        <v>#N/A</v>
      </c>
      <c r="R1594" s="3">
        <f>I1594*(VLOOKUP(B1594,Price_data!A$1:B$190,2,FALSE))</f>
        <v>8.707561537969001</v>
      </c>
      <c r="S1594" s="4" t="str">
        <f>(VLOOKUP(B1594,Price_data!A$1:C$190,3,FALSE))</f>
        <v>EEZ</v>
      </c>
      <c r="T1594" s="2" t="str">
        <f>IF(C1594="Total", (VLOOKUP(B1594,Recommended_fish_intake!A$4:D$122,4,FALSE)), "NA")</f>
        <v>NA</v>
      </c>
      <c r="U1594" s="2" t="str">
        <f t="shared" si="186"/>
        <v>NA</v>
      </c>
    </row>
    <row r="1595" spans="1:21" ht="14.25" customHeight="1">
      <c r="A1595" s="2" t="s">
        <v>15</v>
      </c>
      <c r="B1595" s="2">
        <v>1977</v>
      </c>
      <c r="C1595" s="2" t="s">
        <v>20</v>
      </c>
      <c r="D1595" s="3">
        <f t="shared" si="187"/>
        <v>186.76499999999999</v>
      </c>
      <c r="E1595" s="3">
        <f t="shared" si="188"/>
        <v>14.662000000000001</v>
      </c>
      <c r="F1595" s="3" t="e">
        <f t="shared" si="189"/>
        <v>#N/A</v>
      </c>
      <c r="G1595" s="3" t="e">
        <f t="shared" si="190"/>
        <v>#N/A</v>
      </c>
      <c r="H1595" s="3">
        <f t="shared" si="191"/>
        <v>2.609</v>
      </c>
      <c r="I1595" s="3">
        <f t="shared" si="192"/>
        <v>2.081</v>
      </c>
      <c r="J1595" s="2">
        <v>186765</v>
      </c>
      <c r="K1595" s="2">
        <v>14662</v>
      </c>
      <c r="N1595" s="2">
        <v>2609</v>
      </c>
      <c r="O1595" s="2">
        <v>2081</v>
      </c>
      <c r="P1595" s="3">
        <f>E1595*(VLOOKUP(B1595,Price_data!A$1:B$190,2,FALSE))</f>
        <v>54.12050329364201</v>
      </c>
      <c r="Q1595" s="3" t="e">
        <f>G1595*(VLOOKUP(B1595,Price_data!A$1:B$190,2,FALSE))</f>
        <v>#N/A</v>
      </c>
      <c r="R1595" s="3">
        <f>I1595*(VLOOKUP(B1595,Price_data!A$1:B$190,2,FALSE))</f>
        <v>7.6814054940709999</v>
      </c>
      <c r="S1595" s="4" t="str">
        <f>(VLOOKUP(B1595,Price_data!A$1:C$190,3,FALSE))</f>
        <v>EEZ</v>
      </c>
      <c r="T1595" s="2" t="str">
        <f>IF(C1595="Total", (VLOOKUP(B1595,Recommended_fish_intake!A$4:D$122,4,FALSE)), "NA")</f>
        <v>NA</v>
      </c>
      <c r="U1595" s="2" t="str">
        <f t="shared" si="186"/>
        <v>NA</v>
      </c>
    </row>
    <row r="1596" spans="1:21" ht="14.25" customHeight="1">
      <c r="A1596" s="2" t="s">
        <v>15</v>
      </c>
      <c r="B1596" s="2">
        <v>1977</v>
      </c>
      <c r="C1596" s="2" t="s">
        <v>21</v>
      </c>
      <c r="D1596" s="3">
        <f t="shared" si="187"/>
        <v>97.02</v>
      </c>
      <c r="E1596" s="3">
        <f t="shared" si="188"/>
        <v>5.024</v>
      </c>
      <c r="F1596" s="3" t="e">
        <f t="shared" si="189"/>
        <v>#N/A</v>
      </c>
      <c r="G1596" s="3" t="e">
        <f t="shared" si="190"/>
        <v>#N/A</v>
      </c>
      <c r="H1596" s="3" t="e">
        <f t="shared" si="191"/>
        <v>#N/A</v>
      </c>
      <c r="I1596" s="3" t="e">
        <f t="shared" si="192"/>
        <v>#N/A</v>
      </c>
      <c r="J1596" s="2">
        <v>97020</v>
      </c>
      <c r="K1596" s="2">
        <v>5024</v>
      </c>
      <c r="P1596" s="3">
        <f>E1596*(VLOOKUP(B1596,Price_data!A$1:B$190,2,FALSE))</f>
        <v>18.544632965984</v>
      </c>
      <c r="Q1596" s="3" t="e">
        <f>G1596*(VLOOKUP(B1596,Price_data!A$1:B$190,2,FALSE))</f>
        <v>#N/A</v>
      </c>
      <c r="R1596" s="3" t="e">
        <f>I1596*(VLOOKUP(B1596,Price_data!A$1:B$190,2,FALSE))</f>
        <v>#N/A</v>
      </c>
      <c r="S1596" s="4" t="str">
        <f>(VLOOKUP(B1596,Price_data!A$1:C$190,3,FALSE))</f>
        <v>EEZ</v>
      </c>
      <c r="T1596" s="2" t="str">
        <f>IF(C1596="Total", (VLOOKUP(B1596,Recommended_fish_intake!A$4:D$122,4,FALSE)), "NA")</f>
        <v>NA</v>
      </c>
      <c r="U1596" s="2" t="str">
        <f t="shared" si="186"/>
        <v>NA</v>
      </c>
    </row>
    <row r="1597" spans="1:21" ht="14.25" customHeight="1">
      <c r="A1597" s="2" t="s">
        <v>15</v>
      </c>
      <c r="B1597" s="2">
        <v>1977</v>
      </c>
      <c r="C1597" s="2" t="s">
        <v>37</v>
      </c>
      <c r="D1597" s="3">
        <f t="shared" si="187"/>
        <v>838.69600000000003</v>
      </c>
      <c r="E1597" s="3">
        <f t="shared" si="188"/>
        <v>224.62299999999999</v>
      </c>
      <c r="F1597" s="3">
        <f t="shared" si="189"/>
        <v>142.80199999999999</v>
      </c>
      <c r="G1597" s="3">
        <f t="shared" si="190"/>
        <v>76.802000000000007</v>
      </c>
      <c r="H1597" s="3">
        <f t="shared" si="191"/>
        <v>181.96</v>
      </c>
      <c r="I1597" s="3">
        <f t="shared" si="192"/>
        <v>168.86600000000001</v>
      </c>
      <c r="J1597" s="2">
        <v>838696</v>
      </c>
      <c r="K1597" s="2">
        <v>224623</v>
      </c>
      <c r="L1597" s="2">
        <v>142802</v>
      </c>
      <c r="M1597" s="2">
        <v>76802</v>
      </c>
      <c r="N1597" s="2">
        <v>181960</v>
      </c>
      <c r="O1597" s="2">
        <v>168866</v>
      </c>
      <c r="P1597" s="3">
        <f>E1597*(VLOOKUP(B1597,Price_data!A$1:B$190,2,FALSE))</f>
        <v>829.13039226079297</v>
      </c>
      <c r="Q1597" s="3">
        <f>G1597*(VLOOKUP(B1597,Price_data!A$1:B$190,2,FALSE))</f>
        <v>283.49221756638207</v>
      </c>
      <c r="R1597" s="3">
        <f>I1597*(VLOOKUP(B1597,Price_data!A$1:B$190,2,FALSE))</f>
        <v>623.31966370100611</v>
      </c>
      <c r="S1597" s="4" t="str">
        <f>(VLOOKUP(B1597,Price_data!A$1:C$190,3,FALSE))</f>
        <v>EEZ</v>
      </c>
      <c r="T1597" s="2" t="str">
        <f>IF(C1597="Total", (VLOOKUP(B1597,Recommended_fish_intake!A$4:D$122,4,FALSE)), "NA")</f>
        <v>NA</v>
      </c>
      <c r="U1597" s="2">
        <f t="shared" si="186"/>
        <v>410.96104000000003</v>
      </c>
    </row>
    <row r="1598" spans="1:21" ht="14.25" customHeight="1">
      <c r="A1598" s="2" t="s">
        <v>15</v>
      </c>
      <c r="B1598" s="2">
        <v>1977</v>
      </c>
      <c r="C1598" s="2" t="s">
        <v>36</v>
      </c>
      <c r="D1598" s="3">
        <f t="shared" si="187"/>
        <v>8.6280000000000001</v>
      </c>
      <c r="E1598" s="3">
        <f t="shared" si="188"/>
        <v>2.6819999999999999</v>
      </c>
      <c r="F1598" s="3" t="e">
        <f t="shared" si="189"/>
        <v>#N/A</v>
      </c>
      <c r="G1598" s="3" t="e">
        <f t="shared" si="190"/>
        <v>#N/A</v>
      </c>
      <c r="H1598" s="3">
        <f t="shared" si="191"/>
        <v>0.52200000000000002</v>
      </c>
      <c r="I1598" s="3">
        <f t="shared" si="192"/>
        <v>1.6839999999999999</v>
      </c>
      <c r="J1598" s="2">
        <v>8628</v>
      </c>
      <c r="K1598" s="2">
        <v>2682</v>
      </c>
      <c r="N1598" s="2">
        <v>522</v>
      </c>
      <c r="O1598" s="2">
        <v>1684</v>
      </c>
      <c r="P1598" s="3">
        <f>E1598*(VLOOKUP(B1598,Price_data!A$1:B$190,2,FALSE))</f>
        <v>9.8998219774620004</v>
      </c>
      <c r="Q1598" s="3" t="e">
        <f>G1598*(VLOOKUP(B1598,Price_data!A$1:B$190,2,FALSE))</f>
        <v>#N/A</v>
      </c>
      <c r="R1598" s="3">
        <f>I1598*(VLOOKUP(B1598,Price_data!A$1:B$190,2,FALSE))</f>
        <v>6.2159956040440001</v>
      </c>
      <c r="S1598" s="4" t="str">
        <f>(VLOOKUP(B1598,Price_data!A$1:C$190,3,FALSE))</f>
        <v>EEZ</v>
      </c>
      <c r="T1598" s="2" t="str">
        <f>IF(C1598="Total", (VLOOKUP(B1598,Recommended_fish_intake!A$4:D$122,4,FALSE)), "NA")</f>
        <v>NA</v>
      </c>
      <c r="U1598" s="2" t="str">
        <f t="shared" si="186"/>
        <v>NA</v>
      </c>
    </row>
    <row r="1599" spans="1:21" ht="14.25" customHeight="1">
      <c r="A1599" s="2" t="s">
        <v>15</v>
      </c>
      <c r="B1599" s="2">
        <v>1977</v>
      </c>
      <c r="C1599" s="2" t="s">
        <v>52</v>
      </c>
      <c r="D1599" s="3">
        <f t="shared" si="187"/>
        <v>5.5190000000000001</v>
      </c>
      <c r="E1599" s="3">
        <f t="shared" si="188"/>
        <v>2.7149999999999999</v>
      </c>
      <c r="F1599" s="3" t="e">
        <f t="shared" si="189"/>
        <v>#N/A</v>
      </c>
      <c r="G1599" s="3" t="e">
        <f t="shared" si="190"/>
        <v>#N/A</v>
      </c>
      <c r="H1599" s="3" t="e">
        <f t="shared" si="191"/>
        <v>#N/A</v>
      </c>
      <c r="I1599" s="3" t="e">
        <f t="shared" si="192"/>
        <v>#N/A</v>
      </c>
      <c r="J1599" s="2">
        <v>5519</v>
      </c>
      <c r="K1599" s="2">
        <v>2715</v>
      </c>
      <c r="P1599" s="3">
        <f>E1599*(VLOOKUP(B1599,Price_data!A$1:B$190,2,FALSE))</f>
        <v>10.021631867565</v>
      </c>
      <c r="Q1599" s="3" t="e">
        <f>G1599*(VLOOKUP(B1599,Price_data!A$1:B$190,2,FALSE))</f>
        <v>#N/A</v>
      </c>
      <c r="R1599" s="3" t="e">
        <f>I1599*(VLOOKUP(B1599,Price_data!A$1:B$190,2,FALSE))</f>
        <v>#N/A</v>
      </c>
      <c r="S1599" s="4" t="str">
        <f>(VLOOKUP(B1599,Price_data!A$1:C$190,3,FALSE))</f>
        <v>EEZ</v>
      </c>
      <c r="T1599" s="2" t="str">
        <f>IF(C1599="Total", (VLOOKUP(B1599,Recommended_fish_intake!A$4:D$122,4,FALSE)), "NA")</f>
        <v>NA</v>
      </c>
      <c r="U1599" s="2" t="str">
        <f t="shared" si="186"/>
        <v>NA</v>
      </c>
    </row>
    <row r="1600" spans="1:21" ht="14.25" customHeight="1">
      <c r="A1600" s="2" t="s">
        <v>15</v>
      </c>
      <c r="B1600" s="2">
        <v>1977</v>
      </c>
      <c r="C1600" s="2" t="s">
        <v>34</v>
      </c>
      <c r="D1600" s="3">
        <f t="shared" si="187"/>
        <v>0.94599999999999995</v>
      </c>
      <c r="E1600" s="3">
        <f t="shared" si="188"/>
        <v>4.0419999999999998</v>
      </c>
      <c r="F1600" s="3" t="e">
        <f t="shared" si="189"/>
        <v>#N/A</v>
      </c>
      <c r="G1600" s="3" t="e">
        <f t="shared" si="190"/>
        <v>#N/A</v>
      </c>
      <c r="H1600" s="3" t="e">
        <f t="shared" si="191"/>
        <v>#N/A</v>
      </c>
      <c r="I1600" s="3" t="e">
        <f t="shared" si="192"/>
        <v>#N/A</v>
      </c>
      <c r="J1600" s="2">
        <v>946</v>
      </c>
      <c r="K1600" s="2">
        <v>4042</v>
      </c>
      <c r="P1600" s="3">
        <f>E1600*(VLOOKUP(B1600,Price_data!A$1:B$190,2,FALSE))</f>
        <v>14.919865933222001</v>
      </c>
      <c r="Q1600" s="3" t="e">
        <f>G1600*(VLOOKUP(B1600,Price_data!A$1:B$190,2,FALSE))</f>
        <v>#N/A</v>
      </c>
      <c r="R1600" s="3" t="e">
        <f>I1600*(VLOOKUP(B1600,Price_data!A$1:B$190,2,FALSE))</f>
        <v>#N/A</v>
      </c>
      <c r="S1600" s="4" t="str">
        <f>(VLOOKUP(B1600,Price_data!A$1:C$190,3,FALSE))</f>
        <v>EEZ</v>
      </c>
      <c r="T1600" s="2" t="str">
        <f>IF(C1600="Total", (VLOOKUP(B1600,Recommended_fish_intake!A$4:D$122,4,FALSE)), "NA")</f>
        <v>NA</v>
      </c>
      <c r="U1600" s="2" t="str">
        <f t="shared" si="186"/>
        <v>NA</v>
      </c>
    </row>
    <row r="1601" spans="1:21" ht="14.25" customHeight="1">
      <c r="A1601" s="2" t="s">
        <v>15</v>
      </c>
      <c r="B1601" s="2">
        <v>1977</v>
      </c>
      <c r="C1601" s="2" t="s">
        <v>35</v>
      </c>
      <c r="D1601" s="3">
        <f t="shared" si="187"/>
        <v>15.051</v>
      </c>
      <c r="E1601" s="3">
        <f t="shared" si="188"/>
        <v>11.333</v>
      </c>
      <c r="F1601" s="3" t="e">
        <f t="shared" si="189"/>
        <v>#N/A</v>
      </c>
      <c r="G1601" s="3" t="e">
        <f t="shared" si="190"/>
        <v>#N/A</v>
      </c>
      <c r="H1601" s="3" t="e">
        <f t="shared" si="191"/>
        <v>#N/A</v>
      </c>
      <c r="I1601" s="3" t="e">
        <f t="shared" si="192"/>
        <v>#N/A</v>
      </c>
      <c r="J1601" s="2">
        <v>15051</v>
      </c>
      <c r="K1601" s="2">
        <v>11333</v>
      </c>
      <c r="P1601" s="3">
        <f>E1601*(VLOOKUP(B1601,Price_data!A$1:B$190,2,FALSE))</f>
        <v>41.832469228403006</v>
      </c>
      <c r="Q1601" s="3" t="e">
        <f>G1601*(VLOOKUP(B1601,Price_data!A$1:B$190,2,FALSE))</f>
        <v>#N/A</v>
      </c>
      <c r="R1601" s="3" t="e">
        <f>I1601*(VLOOKUP(B1601,Price_data!A$1:B$190,2,FALSE))</f>
        <v>#N/A</v>
      </c>
      <c r="S1601" s="4" t="str">
        <f>(VLOOKUP(B1601,Price_data!A$1:C$190,3,FALSE))</f>
        <v>EEZ</v>
      </c>
      <c r="T1601" s="2" t="str">
        <f>IF(C1601="Total", (VLOOKUP(B1601,Recommended_fish_intake!A$4:D$122,4,FALSE)), "NA")</f>
        <v>NA</v>
      </c>
      <c r="U1601" s="2" t="str">
        <f t="shared" si="186"/>
        <v>NA</v>
      </c>
    </row>
    <row r="1602" spans="1:21" ht="14.25" customHeight="1">
      <c r="A1602" s="2" t="s">
        <v>15</v>
      </c>
      <c r="B1602" s="2">
        <v>1977</v>
      </c>
      <c r="C1602" s="2" t="s">
        <v>30</v>
      </c>
      <c r="D1602" s="3">
        <f t="shared" si="187"/>
        <v>2.7109999999999999</v>
      </c>
      <c r="E1602" s="3">
        <f t="shared" si="188"/>
        <v>1.397</v>
      </c>
      <c r="F1602" s="3" t="e">
        <f t="shared" si="189"/>
        <v>#N/A</v>
      </c>
      <c r="G1602" s="3" t="e">
        <f t="shared" si="190"/>
        <v>#N/A</v>
      </c>
      <c r="H1602" s="3">
        <f t="shared" si="191"/>
        <v>6.07</v>
      </c>
      <c r="I1602" s="3">
        <f t="shared" si="192"/>
        <v>10.78</v>
      </c>
      <c r="J1602" s="2">
        <v>2711</v>
      </c>
      <c r="K1602" s="2">
        <v>1397</v>
      </c>
      <c r="N1602" s="2">
        <f>3810+2260</f>
        <v>6070</v>
      </c>
      <c r="O1602" s="2">
        <f>4620+6160</f>
        <v>10780</v>
      </c>
      <c r="P1602" s="3">
        <f>E1602*(VLOOKUP(B1602,Price_data!A$1:B$190,2,FALSE))</f>
        <v>5.1566186810270001</v>
      </c>
      <c r="Q1602" s="3" t="e">
        <f>G1602*(VLOOKUP(B1602,Price_data!A$1:B$190,2,FALSE))</f>
        <v>#N/A</v>
      </c>
      <c r="R1602" s="3">
        <f>I1602*(VLOOKUP(B1602,Price_data!A$1:B$190,2,FALSE))</f>
        <v>39.79123076698</v>
      </c>
      <c r="S1602" s="4" t="str">
        <f>(VLOOKUP(B1602,Price_data!A$1:C$190,3,FALSE))</f>
        <v>EEZ</v>
      </c>
      <c r="T1602" s="2" t="str">
        <f>IF(C1602="Total", (VLOOKUP(B1602,Recommended_fish_intake!A$4:D$122,4,FALSE)), "NA")</f>
        <v>NA</v>
      </c>
      <c r="U1602" s="2" t="str">
        <f t="shared" ref="U1602:U1665" si="193">IF(C1602="Wet fish", D1602*0.49, IF(C1602="Shellfish", D1602*0.28, "NA"))</f>
        <v>NA</v>
      </c>
    </row>
    <row r="1603" spans="1:21" ht="14.25" customHeight="1">
      <c r="A1603" s="2" t="s">
        <v>15</v>
      </c>
      <c r="B1603" s="2">
        <v>1977</v>
      </c>
      <c r="C1603" s="2" t="s">
        <v>28</v>
      </c>
      <c r="D1603" s="3">
        <f t="shared" si="187"/>
        <v>77.632000000000005</v>
      </c>
      <c r="E1603" s="3">
        <f t="shared" si="188"/>
        <v>27.018999999999998</v>
      </c>
      <c r="F1603" s="3">
        <f t="shared" si="189"/>
        <v>25.47</v>
      </c>
      <c r="G1603" s="3">
        <f t="shared" si="190"/>
        <v>30.47</v>
      </c>
      <c r="H1603" s="3">
        <f t="shared" si="191"/>
        <v>19.864000000000001</v>
      </c>
      <c r="I1603" s="3">
        <f t="shared" si="192"/>
        <v>39.090000000000003</v>
      </c>
      <c r="J1603" s="2">
        <v>77632</v>
      </c>
      <c r="K1603" s="2">
        <v>27019</v>
      </c>
      <c r="L1603" s="2">
        <v>25470</v>
      </c>
      <c r="M1603" s="2">
        <v>30470</v>
      </c>
      <c r="N1603" s="2">
        <v>19864</v>
      </c>
      <c r="O1603" s="2">
        <v>39090</v>
      </c>
      <c r="P1603" s="3">
        <f>E1603*(VLOOKUP(B1603,Price_data!A$1:B$190,2,FALSE))</f>
        <v>99.732770324029005</v>
      </c>
      <c r="Q1603" s="3">
        <f>G1603*(VLOOKUP(B1603,Price_data!A$1:B$190,2,FALSE))</f>
        <v>112.47113186177</v>
      </c>
      <c r="R1603" s="3">
        <f>I1603*(VLOOKUP(B1603,Price_data!A$1:B$190,2,FALSE))</f>
        <v>144.28935164019003</v>
      </c>
      <c r="S1603" s="4" t="str">
        <f>(VLOOKUP(B1603,Price_data!A$1:C$190,3,FALSE))</f>
        <v>EEZ</v>
      </c>
      <c r="T1603" s="2" t="str">
        <f>IF(C1603="Total", (VLOOKUP(B1603,Recommended_fish_intake!A$4:D$122,4,FALSE)), "NA")</f>
        <v>NA</v>
      </c>
      <c r="U1603" s="2">
        <f t="shared" si="193"/>
        <v>21.736960000000003</v>
      </c>
    </row>
    <row r="1604" spans="1:21" ht="14.25" customHeight="1">
      <c r="A1604" s="2" t="s">
        <v>18</v>
      </c>
      <c r="B1604" s="2">
        <v>1977</v>
      </c>
      <c r="C1604" s="2" t="s">
        <v>16</v>
      </c>
      <c r="D1604" s="3">
        <f t="shared" si="187"/>
        <v>492.154</v>
      </c>
      <c r="E1604" s="3">
        <f t="shared" si="188"/>
        <v>130.19</v>
      </c>
      <c r="F1604" s="3" t="e">
        <f t="shared" si="189"/>
        <v>#N/A</v>
      </c>
      <c r="G1604" s="3" t="e">
        <f t="shared" si="190"/>
        <v>#N/A</v>
      </c>
      <c r="H1604" s="3" t="e">
        <f t="shared" si="191"/>
        <v>#N/A</v>
      </c>
      <c r="I1604" s="3" t="e">
        <f t="shared" si="192"/>
        <v>#N/A</v>
      </c>
      <c r="J1604" s="2">
        <v>492154</v>
      </c>
      <c r="K1604" s="2">
        <v>130190</v>
      </c>
      <c r="P1604" s="3">
        <f>E1604*(VLOOKUP(B1604,Price_data!A$1:B$190,2,FALSE))</f>
        <v>480.55847250029001</v>
      </c>
      <c r="Q1604" s="3" t="e">
        <f>G1604*(VLOOKUP(B1604,Price_data!A$1:B$190,2,FALSE))</f>
        <v>#N/A</v>
      </c>
      <c r="R1604" s="3" t="e">
        <f>I1604*(VLOOKUP(B1604,Price_data!A$1:B$190,2,FALSE))</f>
        <v>#N/A</v>
      </c>
      <c r="S1604" s="4" t="str">
        <f>(VLOOKUP(B1604,Price_data!A$1:C$190,3,FALSE))</f>
        <v>EEZ</v>
      </c>
      <c r="T1604" s="2">
        <f>IF(C1604="Total", (VLOOKUP(B1604,Recommended_fish_intake!A$4:D$122,4,FALSE)), "NA")</f>
        <v>728.34644306424002</v>
      </c>
      <c r="U1604" s="2" t="str">
        <f t="shared" si="193"/>
        <v>NA</v>
      </c>
    </row>
    <row r="1605" spans="1:21" ht="14.25" customHeight="1">
      <c r="A1605" s="2" t="s">
        <v>39</v>
      </c>
      <c r="B1605" s="2">
        <v>1977</v>
      </c>
      <c r="C1605" s="2" t="s">
        <v>16</v>
      </c>
      <c r="D1605" s="3">
        <f t="shared" si="187"/>
        <v>412.20800000000003</v>
      </c>
      <c r="E1605" s="3">
        <f t="shared" si="188"/>
        <v>117.128</v>
      </c>
      <c r="F1605" s="3" t="e">
        <f t="shared" si="189"/>
        <v>#N/A</v>
      </c>
      <c r="G1605" s="3" t="e">
        <f t="shared" si="190"/>
        <v>#N/A</v>
      </c>
      <c r="H1605" s="3" t="e">
        <f t="shared" si="191"/>
        <v>#N/A</v>
      </c>
      <c r="I1605" s="3" t="e">
        <f t="shared" si="192"/>
        <v>#N/A</v>
      </c>
      <c r="J1605" s="2">
        <v>412208</v>
      </c>
      <c r="K1605" s="2">
        <v>117128</v>
      </c>
      <c r="P1605" s="3">
        <f>E1605*(VLOOKUP(B1605,Price_data!A$1:B$190,2,FALSE))</f>
        <v>432.34390327224804</v>
      </c>
      <c r="Q1605" s="3" t="e">
        <f>G1605*(VLOOKUP(B1605,Price_data!A$1:B$190,2,FALSE))</f>
        <v>#N/A</v>
      </c>
      <c r="R1605" s="3" t="e">
        <f>I1605*(VLOOKUP(B1605,Price_data!A$1:B$190,2,FALSE))</f>
        <v>#N/A</v>
      </c>
      <c r="S1605" s="4" t="str">
        <f>(VLOOKUP(B1605,Price_data!A$1:C$190,3,FALSE))</f>
        <v>EEZ</v>
      </c>
      <c r="T1605" s="2">
        <f>IF(C1605="Total", (VLOOKUP(B1605,Recommended_fish_intake!A$4:D$122,4,FALSE)), "NA")</f>
        <v>728.34644306424002</v>
      </c>
      <c r="U1605" s="2" t="str">
        <f t="shared" si="193"/>
        <v>NA</v>
      </c>
    </row>
    <row r="1606" spans="1:21" ht="14.25" customHeight="1">
      <c r="A1606" s="2" t="s">
        <v>40</v>
      </c>
      <c r="B1606" s="2">
        <v>1977</v>
      </c>
      <c r="C1606" s="2" t="s">
        <v>16</v>
      </c>
      <c r="D1606" s="3">
        <f t="shared" si="187"/>
        <v>11.965999999999999</v>
      </c>
      <c r="E1606" s="3">
        <f t="shared" si="188"/>
        <v>4.3239999999999998</v>
      </c>
      <c r="F1606" s="3" t="e">
        <f t="shared" si="189"/>
        <v>#N/A</v>
      </c>
      <c r="G1606" s="3" t="e">
        <f t="shared" si="190"/>
        <v>#N/A</v>
      </c>
      <c r="H1606" s="3" t="e">
        <f t="shared" si="191"/>
        <v>#N/A</v>
      </c>
      <c r="I1606" s="3" t="e">
        <f t="shared" si="192"/>
        <v>#N/A</v>
      </c>
      <c r="J1606" s="2">
        <v>11966</v>
      </c>
      <c r="K1606" s="2">
        <v>4324</v>
      </c>
      <c r="P1606" s="3">
        <f>E1606*(VLOOKUP(B1606,Price_data!A$1:B$190,2,FALSE))</f>
        <v>15.960786812284001</v>
      </c>
      <c r="Q1606" s="3" t="e">
        <f>G1606*(VLOOKUP(B1606,Price_data!A$1:B$190,2,FALSE))</f>
        <v>#N/A</v>
      </c>
      <c r="R1606" s="3" t="e">
        <f>I1606*(VLOOKUP(B1606,Price_data!A$1:B$190,2,FALSE))</f>
        <v>#N/A</v>
      </c>
      <c r="S1606" s="4" t="str">
        <f>(VLOOKUP(B1606,Price_data!A$1:C$190,3,FALSE))</f>
        <v>EEZ</v>
      </c>
      <c r="T1606" s="2">
        <f>IF(C1606="Total", (VLOOKUP(B1606,Recommended_fish_intake!A$4:D$122,4,FALSE)), "NA")</f>
        <v>728.34644306424002</v>
      </c>
      <c r="U1606" s="2" t="str">
        <f t="shared" si="193"/>
        <v>NA</v>
      </c>
    </row>
    <row r="1607" spans="1:21" ht="14.25" customHeight="1">
      <c r="A1607" s="2" t="s">
        <v>15</v>
      </c>
      <c r="B1607" s="2">
        <v>1977</v>
      </c>
      <c r="C1607" s="2" t="s">
        <v>16</v>
      </c>
      <c r="D1607" s="3">
        <f t="shared" si="187"/>
        <v>916.32799999999997</v>
      </c>
      <c r="E1607" s="3">
        <f t="shared" si="188"/>
        <v>251.642</v>
      </c>
      <c r="F1607" s="3">
        <f t="shared" si="189"/>
        <v>168.27199999999999</v>
      </c>
      <c r="G1607" s="3">
        <f t="shared" si="190"/>
        <v>107.27200000000001</v>
      </c>
      <c r="H1607" s="3">
        <f t="shared" si="191"/>
        <v>201.82400000000001</v>
      </c>
      <c r="I1607" s="3">
        <f t="shared" si="192"/>
        <v>207.95599999999999</v>
      </c>
      <c r="J1607" s="2">
        <v>916328</v>
      </c>
      <c r="K1607" s="2">
        <v>251642</v>
      </c>
      <c r="L1607" s="2">
        <v>168272</v>
      </c>
      <c r="M1607" s="2">
        <v>107272</v>
      </c>
      <c r="N1607" s="2">
        <v>201824</v>
      </c>
      <c r="O1607" s="2">
        <v>207956</v>
      </c>
      <c r="P1607" s="3">
        <f>E1607*(VLOOKUP(B1607,Price_data!A$1:B$190,2,FALSE))</f>
        <v>928.86316258482202</v>
      </c>
      <c r="Q1607" s="3">
        <f>G1607*(VLOOKUP(B1607,Price_data!A$1:B$190,2,FALSE))</f>
        <v>395.96334942815207</v>
      </c>
      <c r="R1607" s="3">
        <f>I1607*(VLOOKUP(B1607,Price_data!A$1:B$190,2,FALSE))</f>
        <v>767.60901534119603</v>
      </c>
      <c r="S1607" s="4" t="str">
        <f>(VLOOKUP(B1607,Price_data!A$1:C$190,3,FALSE))</f>
        <v>EEZ</v>
      </c>
      <c r="T1607" s="2">
        <f>IF(C1607="Total", (VLOOKUP(B1607,Recommended_fish_intake!A$4:D$122,4,FALSE)), "NA")</f>
        <v>728.34644306424002</v>
      </c>
      <c r="U1607" s="2" t="str">
        <f t="shared" si="193"/>
        <v>NA</v>
      </c>
    </row>
    <row r="1608" spans="1:21" ht="14.25" customHeight="1">
      <c r="A1608" s="2" t="s">
        <v>15</v>
      </c>
      <c r="B1608" s="2">
        <v>1977</v>
      </c>
      <c r="C1608" s="2" t="s">
        <v>29</v>
      </c>
      <c r="D1608" s="3" t="e">
        <f t="shared" si="187"/>
        <v>#N/A</v>
      </c>
      <c r="E1608" s="3" t="e">
        <f t="shared" si="188"/>
        <v>#N/A</v>
      </c>
      <c r="F1608" s="3" t="e">
        <f t="shared" si="189"/>
        <v>#N/A</v>
      </c>
      <c r="G1608" s="3" t="e">
        <f t="shared" si="190"/>
        <v>#N/A</v>
      </c>
      <c r="H1608" s="3">
        <f t="shared" si="191"/>
        <v>17.396000000000001</v>
      </c>
      <c r="I1608" s="3">
        <f t="shared" si="192"/>
        <v>40.393000000000001</v>
      </c>
      <c r="J1608" s="3" t="e">
        <v>#N/A</v>
      </c>
      <c r="K1608" s="3" t="e">
        <v>#N/A</v>
      </c>
      <c r="L1608" s="3" t="e">
        <v>#N/A</v>
      </c>
      <c r="M1608" s="3" t="e">
        <v>#N/A</v>
      </c>
      <c r="N1608" s="2">
        <f>164+3107+14125</f>
        <v>17396</v>
      </c>
      <c r="O1608" s="2">
        <f>620+6943+32830</f>
        <v>40393</v>
      </c>
      <c r="P1608" s="3" t="e">
        <f>E1608*(VLOOKUP(B1608,Price_data!A$1:B$190,2,FALSE))</f>
        <v>#N/A</v>
      </c>
      <c r="Q1608" s="3" t="e">
        <f>G1608*(VLOOKUP(B1608,Price_data!A$1:B$190,2,FALSE))</f>
        <v>#N/A</v>
      </c>
      <c r="R1608" s="3">
        <f>I1608*(VLOOKUP(B1608,Price_data!A$1:B$190,2,FALSE))</f>
        <v>149.09899669486302</v>
      </c>
      <c r="S1608" s="4" t="str">
        <f>(VLOOKUP(B1608,Price_data!A$1:C$190,3,FALSE))</f>
        <v>EEZ</v>
      </c>
      <c r="T1608" s="2" t="str">
        <f>IF(C1608="Total", (VLOOKUP(B1608,Recommended_fish_intake!A$4:D$122,4,FALSE)), "NA")</f>
        <v>NA</v>
      </c>
      <c r="U1608" s="2" t="str">
        <f t="shared" si="193"/>
        <v>NA</v>
      </c>
    </row>
    <row r="1609" spans="1:21" ht="14.25" customHeight="1">
      <c r="A1609" s="2" t="s">
        <v>15</v>
      </c>
      <c r="B1609" s="2">
        <v>1977</v>
      </c>
      <c r="C1609" s="2" t="s">
        <v>43</v>
      </c>
      <c r="D1609" s="3" t="e">
        <f t="shared" si="187"/>
        <v>#N/A</v>
      </c>
      <c r="E1609" s="3" t="e">
        <f t="shared" si="188"/>
        <v>#N/A</v>
      </c>
      <c r="F1609" s="3" t="e">
        <f t="shared" si="189"/>
        <v>#N/A</v>
      </c>
      <c r="G1609" s="3" t="e">
        <f t="shared" si="190"/>
        <v>#N/A</v>
      </c>
      <c r="H1609" s="3">
        <f t="shared" si="191"/>
        <v>7.556</v>
      </c>
      <c r="I1609" s="3">
        <f t="shared" si="192"/>
        <v>11.243</v>
      </c>
      <c r="J1609" s="3" t="e">
        <v>#N/A</v>
      </c>
      <c r="K1609" s="3" t="e">
        <v>#N/A</v>
      </c>
      <c r="L1609" s="3" t="e">
        <v>#N/A</v>
      </c>
      <c r="M1609" s="3" t="e">
        <v>#N/A</v>
      </c>
      <c r="N1609" s="2">
        <v>7556</v>
      </c>
      <c r="O1609" s="2">
        <v>11243</v>
      </c>
      <c r="P1609" s="3" t="e">
        <f>E1609*(VLOOKUP(B1609,Price_data!A$1:B$190,2,FALSE))</f>
        <v>#N/A</v>
      </c>
      <c r="Q1609" s="3" t="e">
        <f>G1609*(VLOOKUP(B1609,Price_data!A$1:B$190,2,FALSE))</f>
        <v>#N/A</v>
      </c>
      <c r="R1609" s="3">
        <f>I1609*(VLOOKUP(B1609,Price_data!A$1:B$190,2,FALSE))</f>
        <v>41.500260437213001</v>
      </c>
      <c r="S1609" s="4" t="str">
        <f>(VLOOKUP(B1609,Price_data!A$1:C$190,3,FALSE))</f>
        <v>EEZ</v>
      </c>
      <c r="T1609" s="2" t="str">
        <f>IF(C1609="Total", (VLOOKUP(B1609,Recommended_fish_intake!A$4:D$122,4,FALSE)), "NA")</f>
        <v>NA</v>
      </c>
      <c r="U1609" s="2" t="str">
        <f t="shared" si="193"/>
        <v>NA</v>
      </c>
    </row>
    <row r="1610" spans="1:21" ht="14.25" customHeight="1">
      <c r="A1610" s="2" t="s">
        <v>18</v>
      </c>
      <c r="B1610" s="2">
        <v>1978</v>
      </c>
      <c r="C1610" s="2" t="s">
        <v>22</v>
      </c>
      <c r="D1610" s="3">
        <f t="shared" si="187"/>
        <v>82.662999999999997</v>
      </c>
      <c r="E1610" s="3">
        <f t="shared" si="188"/>
        <v>43.046999999999997</v>
      </c>
      <c r="F1610" s="3" t="e">
        <f t="shared" si="189"/>
        <v>#N/A</v>
      </c>
      <c r="G1610" s="3" t="e">
        <f t="shared" si="190"/>
        <v>#N/A</v>
      </c>
      <c r="H1610" s="3" t="e">
        <f t="shared" si="191"/>
        <v>#N/A</v>
      </c>
      <c r="I1610" s="3" t="e">
        <f t="shared" si="192"/>
        <v>#N/A</v>
      </c>
      <c r="J1610" s="2">
        <v>82663</v>
      </c>
      <c r="K1610" s="2">
        <v>43047</v>
      </c>
      <c r="P1610" s="3">
        <f>E1610*(VLOOKUP(B1610,Price_data!A$1:B$190,2,FALSE))</f>
        <v>146.72234704268701</v>
      </c>
      <c r="Q1610" s="3" t="e">
        <f>G1610*(VLOOKUP(B1610,Price_data!A$1:B$190,2,FALSE))</f>
        <v>#N/A</v>
      </c>
      <c r="R1610" s="3" t="e">
        <f>I1610*(VLOOKUP(B1610,Price_data!A$1:B$190,2,FALSE))</f>
        <v>#N/A</v>
      </c>
      <c r="S1610" s="4" t="str">
        <f>(VLOOKUP(B1610,Price_data!A$1:C$190,3,FALSE))</f>
        <v>EEZ</v>
      </c>
      <c r="T1610" s="2" t="str">
        <f>IF(C1610="Total", (VLOOKUP(B1610,Recommended_fish_intake!A$4:D$122,4,FALSE)), "NA")</f>
        <v>NA</v>
      </c>
      <c r="U1610" s="2" t="str">
        <f t="shared" si="193"/>
        <v>NA</v>
      </c>
    </row>
    <row r="1611" spans="1:21" ht="14.25" customHeight="1">
      <c r="A1611" s="2" t="s">
        <v>18</v>
      </c>
      <c r="B1611" s="2">
        <v>1978</v>
      </c>
      <c r="C1611" s="2" t="s">
        <v>23</v>
      </c>
      <c r="D1611" s="3">
        <f t="shared" si="187"/>
        <v>19.277000000000001</v>
      </c>
      <c r="E1611" s="3">
        <f t="shared" si="188"/>
        <v>9.5609999999999999</v>
      </c>
      <c r="F1611" s="3" t="e">
        <f t="shared" si="189"/>
        <v>#N/A</v>
      </c>
      <c r="G1611" s="3" t="e">
        <f t="shared" si="190"/>
        <v>#N/A</v>
      </c>
      <c r="H1611" s="3" t="e">
        <f t="shared" si="191"/>
        <v>#N/A</v>
      </c>
      <c r="I1611" s="3" t="e">
        <f t="shared" si="192"/>
        <v>#N/A</v>
      </c>
      <c r="J1611" s="2">
        <v>19277</v>
      </c>
      <c r="K1611" s="2">
        <v>9561</v>
      </c>
      <c r="P1611" s="3">
        <f>E1611*(VLOOKUP(B1611,Price_data!A$1:B$190,2,FALSE))</f>
        <v>32.587923898881002</v>
      </c>
      <c r="Q1611" s="3" t="e">
        <f>G1611*(VLOOKUP(B1611,Price_data!A$1:B$190,2,FALSE))</f>
        <v>#N/A</v>
      </c>
      <c r="R1611" s="3" t="e">
        <f>I1611*(VLOOKUP(B1611,Price_data!A$1:B$190,2,FALSE))</f>
        <v>#N/A</v>
      </c>
      <c r="S1611" s="4" t="str">
        <f>(VLOOKUP(B1611,Price_data!A$1:C$190,3,FALSE))</f>
        <v>EEZ</v>
      </c>
      <c r="T1611" s="2" t="str">
        <f>IF(C1611="Total", (VLOOKUP(B1611,Recommended_fish_intake!A$4:D$122,4,FALSE)), "NA")</f>
        <v>NA</v>
      </c>
      <c r="U1611" s="2" t="str">
        <f t="shared" si="193"/>
        <v>NA</v>
      </c>
    </row>
    <row r="1612" spans="1:21" ht="14.25" customHeight="1">
      <c r="A1612" s="2" t="s">
        <v>18</v>
      </c>
      <c r="B1612" s="2">
        <v>1978</v>
      </c>
      <c r="C1612" s="2" t="s">
        <v>25</v>
      </c>
      <c r="D1612" s="3">
        <f t="shared" si="187"/>
        <v>27.335999999999999</v>
      </c>
      <c r="E1612" s="3">
        <f t="shared" si="188"/>
        <v>13.843999999999999</v>
      </c>
      <c r="F1612" s="3" t="e">
        <f t="shared" si="189"/>
        <v>#N/A</v>
      </c>
      <c r="G1612" s="3" t="e">
        <f t="shared" si="190"/>
        <v>#N/A</v>
      </c>
      <c r="H1612" s="3" t="e">
        <f t="shared" si="191"/>
        <v>#N/A</v>
      </c>
      <c r="I1612" s="3" t="e">
        <f t="shared" si="192"/>
        <v>#N/A</v>
      </c>
      <c r="J1612" s="2">
        <v>27336</v>
      </c>
      <c r="K1612" s="2">
        <v>13844</v>
      </c>
      <c r="P1612" s="3">
        <f>E1612*(VLOOKUP(B1612,Price_data!A$1:B$190,2,FALSE))</f>
        <v>47.186195843123997</v>
      </c>
      <c r="Q1612" s="3" t="e">
        <f>G1612*(VLOOKUP(B1612,Price_data!A$1:B$190,2,FALSE))</f>
        <v>#N/A</v>
      </c>
      <c r="R1612" s="3" t="e">
        <f>I1612*(VLOOKUP(B1612,Price_data!A$1:B$190,2,FALSE))</f>
        <v>#N/A</v>
      </c>
      <c r="S1612" s="4" t="str">
        <f>(VLOOKUP(B1612,Price_data!A$1:C$190,3,FALSE))</f>
        <v>EEZ</v>
      </c>
      <c r="T1612" s="2" t="str">
        <f>IF(C1612="Total", (VLOOKUP(B1612,Recommended_fish_intake!A$4:D$122,4,FALSE)), "NA")</f>
        <v>NA</v>
      </c>
      <c r="U1612" s="2" t="str">
        <f t="shared" si="193"/>
        <v>NA</v>
      </c>
    </row>
    <row r="1613" spans="1:21" ht="14.25" customHeight="1">
      <c r="A1613" s="2" t="s">
        <v>18</v>
      </c>
      <c r="B1613" s="2">
        <v>1978</v>
      </c>
      <c r="C1613" s="2" t="s">
        <v>38</v>
      </c>
      <c r="D1613" s="3">
        <f t="shared" si="187"/>
        <v>13.343</v>
      </c>
      <c r="E1613" s="3">
        <f t="shared" si="188"/>
        <v>3.7770000000000001</v>
      </c>
      <c r="F1613" s="3" t="e">
        <f t="shared" si="189"/>
        <v>#N/A</v>
      </c>
      <c r="G1613" s="3" t="e">
        <f t="shared" si="190"/>
        <v>#N/A</v>
      </c>
      <c r="H1613" s="3" t="e">
        <f t="shared" si="191"/>
        <v>#N/A</v>
      </c>
      <c r="I1613" s="3" t="e">
        <f t="shared" si="192"/>
        <v>#N/A</v>
      </c>
      <c r="J1613" s="2">
        <v>13343</v>
      </c>
      <c r="K1613" s="2">
        <v>3777</v>
      </c>
      <c r="P1613" s="3">
        <f>E1613*(VLOOKUP(B1613,Price_data!A$1:B$190,2,FALSE))</f>
        <v>12.873610351017001</v>
      </c>
      <c r="Q1613" s="3" t="e">
        <f>G1613*(VLOOKUP(B1613,Price_data!A$1:B$190,2,FALSE))</f>
        <v>#N/A</v>
      </c>
      <c r="R1613" s="3" t="e">
        <f>I1613*(VLOOKUP(B1613,Price_data!A$1:B$190,2,FALSE))</f>
        <v>#N/A</v>
      </c>
      <c r="S1613" s="4" t="str">
        <f>(VLOOKUP(B1613,Price_data!A$1:C$190,3,FALSE))</f>
        <v>EEZ</v>
      </c>
      <c r="T1613" s="2" t="str">
        <f>IF(C1613="Total", (VLOOKUP(B1613,Recommended_fish_intake!A$4:D$122,4,FALSE)), "NA")</f>
        <v>NA</v>
      </c>
      <c r="U1613" s="2" t="str">
        <f t="shared" si="193"/>
        <v>NA</v>
      </c>
    </row>
    <row r="1614" spans="1:21" ht="14.25" customHeight="1">
      <c r="A1614" s="2" t="s">
        <v>18</v>
      </c>
      <c r="B1614" s="2">
        <v>1978</v>
      </c>
      <c r="C1614" s="2" t="s">
        <v>24</v>
      </c>
      <c r="D1614" s="3">
        <f t="shared" si="187"/>
        <v>9.3770000000000007</v>
      </c>
      <c r="E1614" s="3">
        <f t="shared" si="188"/>
        <v>2.355</v>
      </c>
      <c r="F1614" s="3" t="e">
        <f t="shared" si="189"/>
        <v>#N/A</v>
      </c>
      <c r="G1614" s="3" t="e">
        <f t="shared" si="190"/>
        <v>#N/A</v>
      </c>
      <c r="H1614" s="3" t="e">
        <f t="shared" si="191"/>
        <v>#N/A</v>
      </c>
      <c r="I1614" s="3" t="e">
        <f t="shared" si="192"/>
        <v>#N/A</v>
      </c>
      <c r="J1614" s="2">
        <v>9377</v>
      </c>
      <c r="K1614" s="2">
        <v>2355</v>
      </c>
      <c r="P1614" s="3">
        <f>E1614*(VLOOKUP(B1614,Price_data!A$1:B$190,2,FALSE))</f>
        <v>8.0268340949549994</v>
      </c>
      <c r="Q1614" s="3" t="e">
        <f>G1614*(VLOOKUP(B1614,Price_data!A$1:B$190,2,FALSE))</f>
        <v>#N/A</v>
      </c>
      <c r="R1614" s="3" t="e">
        <f>I1614*(VLOOKUP(B1614,Price_data!A$1:B$190,2,FALSE))</f>
        <v>#N/A</v>
      </c>
      <c r="S1614" s="4" t="str">
        <f>(VLOOKUP(B1614,Price_data!A$1:C$190,3,FALSE))</f>
        <v>EEZ</v>
      </c>
      <c r="T1614" s="2" t="str">
        <f>IF(C1614="Total", (VLOOKUP(B1614,Recommended_fish_intake!A$4:D$122,4,FALSE)), "NA")</f>
        <v>NA</v>
      </c>
      <c r="U1614" s="2" t="str">
        <f t="shared" si="193"/>
        <v>NA</v>
      </c>
    </row>
    <row r="1615" spans="1:21" ht="14.25" customHeight="1">
      <c r="A1615" s="2" t="s">
        <v>18</v>
      </c>
      <c r="B1615" s="2">
        <v>1978</v>
      </c>
      <c r="C1615" s="2" t="s">
        <v>19</v>
      </c>
      <c r="D1615" s="3">
        <f t="shared" si="187"/>
        <v>0.85399999999999998</v>
      </c>
      <c r="E1615" s="3">
        <f t="shared" si="188"/>
        <v>0.373</v>
      </c>
      <c r="F1615" s="3" t="e">
        <f t="shared" si="189"/>
        <v>#N/A</v>
      </c>
      <c r="G1615" s="3" t="e">
        <f t="shared" si="190"/>
        <v>#N/A</v>
      </c>
      <c r="H1615" s="3" t="e">
        <f t="shared" si="191"/>
        <v>#N/A</v>
      </c>
      <c r="I1615" s="3" t="e">
        <f t="shared" si="192"/>
        <v>#N/A</v>
      </c>
      <c r="J1615" s="2">
        <v>854</v>
      </c>
      <c r="K1615" s="2">
        <v>373</v>
      </c>
      <c r="P1615" s="3">
        <f>E1615*(VLOOKUP(B1615,Price_data!A$1:B$190,2,FALSE))</f>
        <v>1.2713414511330001</v>
      </c>
      <c r="Q1615" s="3" t="e">
        <f>G1615*(VLOOKUP(B1615,Price_data!A$1:B$190,2,FALSE))</f>
        <v>#N/A</v>
      </c>
      <c r="R1615" s="3" t="e">
        <f>I1615*(VLOOKUP(B1615,Price_data!A$1:B$190,2,FALSE))</f>
        <v>#N/A</v>
      </c>
      <c r="S1615" s="4" t="str">
        <f>(VLOOKUP(B1615,Price_data!A$1:C$190,3,FALSE))</f>
        <v>EEZ</v>
      </c>
      <c r="T1615" s="2" t="str">
        <f>IF(C1615="Total", (VLOOKUP(B1615,Recommended_fish_intake!A$4:D$122,4,FALSE)), "NA")</f>
        <v>NA</v>
      </c>
      <c r="U1615" s="2" t="str">
        <f t="shared" si="193"/>
        <v>NA</v>
      </c>
    </row>
    <row r="1616" spans="1:21" ht="14.25" customHeight="1">
      <c r="A1616" s="2" t="s">
        <v>18</v>
      </c>
      <c r="B1616" s="2">
        <v>1978</v>
      </c>
      <c r="C1616" s="2" t="s">
        <v>20</v>
      </c>
      <c r="D1616" s="3">
        <f t="shared" si="187"/>
        <v>213.499</v>
      </c>
      <c r="E1616" s="3">
        <f t="shared" si="188"/>
        <v>21.300999999999998</v>
      </c>
      <c r="F1616" s="3" t="e">
        <f t="shared" si="189"/>
        <v>#N/A</v>
      </c>
      <c r="G1616" s="3" t="e">
        <f t="shared" si="190"/>
        <v>#N/A</v>
      </c>
      <c r="H1616" s="3" t="e">
        <f t="shared" si="191"/>
        <v>#N/A</v>
      </c>
      <c r="I1616" s="3" t="e">
        <f t="shared" si="192"/>
        <v>#N/A</v>
      </c>
      <c r="J1616" s="2">
        <v>213499</v>
      </c>
      <c r="K1616" s="2">
        <v>21301</v>
      </c>
      <c r="P1616" s="3">
        <f>E1616*(VLOOKUP(B1616,Price_data!A$1:B$190,2,FALSE))</f>
        <v>72.60279959942099</v>
      </c>
      <c r="Q1616" s="3" t="e">
        <f>G1616*(VLOOKUP(B1616,Price_data!A$1:B$190,2,FALSE))</f>
        <v>#N/A</v>
      </c>
      <c r="R1616" s="3" t="e">
        <f>I1616*(VLOOKUP(B1616,Price_data!A$1:B$190,2,FALSE))</f>
        <v>#N/A</v>
      </c>
      <c r="S1616" s="4" t="str">
        <f>(VLOOKUP(B1616,Price_data!A$1:C$190,3,FALSE))</f>
        <v>EEZ</v>
      </c>
      <c r="T1616" s="2" t="str">
        <f>IF(C1616="Total", (VLOOKUP(B1616,Recommended_fish_intake!A$4:D$122,4,FALSE)), "NA")</f>
        <v>NA</v>
      </c>
      <c r="U1616" s="2" t="str">
        <f t="shared" si="193"/>
        <v>NA</v>
      </c>
    </row>
    <row r="1617" spans="1:21" ht="14.25" customHeight="1">
      <c r="A1617" s="2" t="s">
        <v>18</v>
      </c>
      <c r="B1617" s="2">
        <v>1978</v>
      </c>
      <c r="C1617" s="2" t="s">
        <v>21</v>
      </c>
      <c r="D1617" s="3">
        <f t="shared" si="187"/>
        <v>57.226999999999997</v>
      </c>
      <c r="E1617" s="3">
        <f t="shared" si="188"/>
        <v>2.6629999999999998</v>
      </c>
      <c r="F1617" s="3" t="e">
        <f t="shared" si="189"/>
        <v>#N/A</v>
      </c>
      <c r="G1617" s="3" t="e">
        <f t="shared" si="190"/>
        <v>#N/A</v>
      </c>
      <c r="H1617" s="3" t="e">
        <f t="shared" si="191"/>
        <v>#N/A</v>
      </c>
      <c r="I1617" s="3" t="e">
        <f t="shared" si="192"/>
        <v>#N/A</v>
      </c>
      <c r="J1617" s="2">
        <v>57227</v>
      </c>
      <c r="K1617" s="2">
        <v>2663</v>
      </c>
      <c r="P1617" s="3">
        <f>E1617*(VLOOKUP(B1617,Price_data!A$1:B$190,2,FALSE))</f>
        <v>9.0766281082229998</v>
      </c>
      <c r="Q1617" s="3" t="e">
        <f>G1617*(VLOOKUP(B1617,Price_data!A$1:B$190,2,FALSE))</f>
        <v>#N/A</v>
      </c>
      <c r="R1617" s="3" t="e">
        <f>I1617*(VLOOKUP(B1617,Price_data!A$1:B$190,2,FALSE))</f>
        <v>#N/A</v>
      </c>
      <c r="S1617" s="4" t="str">
        <f>(VLOOKUP(B1617,Price_data!A$1:C$190,3,FALSE))</f>
        <v>EEZ</v>
      </c>
      <c r="T1617" s="2" t="str">
        <f>IF(C1617="Total", (VLOOKUP(B1617,Recommended_fish_intake!A$4:D$122,4,FALSE)), "NA")</f>
        <v>NA</v>
      </c>
      <c r="U1617" s="2" t="str">
        <f t="shared" si="193"/>
        <v>NA</v>
      </c>
    </row>
    <row r="1618" spans="1:21" ht="14.25" customHeight="1">
      <c r="A1618" s="2" t="s">
        <v>18</v>
      </c>
      <c r="B1618" s="2">
        <v>1978</v>
      </c>
      <c r="C1618" s="2" t="s">
        <v>37</v>
      </c>
      <c r="D1618" s="3">
        <f t="shared" si="187"/>
        <v>481.19600000000003</v>
      </c>
      <c r="E1618" s="3">
        <f t="shared" si="188"/>
        <v>116.38</v>
      </c>
      <c r="F1618" s="3" t="e">
        <f t="shared" si="189"/>
        <v>#N/A</v>
      </c>
      <c r="G1618" s="3" t="e">
        <f t="shared" si="190"/>
        <v>#N/A</v>
      </c>
      <c r="H1618" s="3" t="e">
        <f t="shared" si="191"/>
        <v>#N/A</v>
      </c>
      <c r="I1618" s="3" t="e">
        <f t="shared" si="192"/>
        <v>#N/A</v>
      </c>
      <c r="J1618" s="2">
        <v>481196</v>
      </c>
      <c r="K1618" s="2">
        <v>116380</v>
      </c>
      <c r="P1618" s="3">
        <f>E1618*(VLOOKUP(B1618,Price_data!A$1:B$190,2,FALSE))</f>
        <v>396.67216644197998</v>
      </c>
      <c r="Q1618" s="3" t="e">
        <f>G1618*(VLOOKUP(B1618,Price_data!A$1:B$190,2,FALSE))</f>
        <v>#N/A</v>
      </c>
      <c r="R1618" s="3" t="e">
        <f>I1618*(VLOOKUP(B1618,Price_data!A$1:B$190,2,FALSE))</f>
        <v>#N/A</v>
      </c>
      <c r="S1618" s="4" t="str">
        <f>(VLOOKUP(B1618,Price_data!A$1:C$190,3,FALSE))</f>
        <v>EEZ</v>
      </c>
      <c r="T1618" s="2" t="str">
        <f>IF(C1618="Total", (VLOOKUP(B1618,Recommended_fish_intake!A$4:D$122,4,FALSE)), "NA")</f>
        <v>NA</v>
      </c>
      <c r="U1618" s="2">
        <f t="shared" si="193"/>
        <v>235.78604000000001</v>
      </c>
    </row>
    <row r="1619" spans="1:21" ht="14.25" customHeight="1">
      <c r="A1619" s="2" t="s">
        <v>18</v>
      </c>
      <c r="B1619" s="2">
        <v>1978</v>
      </c>
      <c r="C1619" s="2" t="s">
        <v>36</v>
      </c>
      <c r="D1619" s="3">
        <f t="shared" si="187"/>
        <v>6.9390000000000001</v>
      </c>
      <c r="E1619" s="3">
        <f t="shared" si="188"/>
        <v>2.6619999999999999</v>
      </c>
      <c r="F1619" s="3" t="e">
        <f t="shared" si="189"/>
        <v>#N/A</v>
      </c>
      <c r="G1619" s="3" t="e">
        <f t="shared" si="190"/>
        <v>#N/A</v>
      </c>
      <c r="H1619" s="3" t="e">
        <f t="shared" si="191"/>
        <v>#N/A</v>
      </c>
      <c r="I1619" s="3" t="e">
        <f t="shared" si="192"/>
        <v>#N/A</v>
      </c>
      <c r="J1619" s="2">
        <v>6939</v>
      </c>
      <c r="K1619" s="2">
        <v>2662</v>
      </c>
      <c r="P1619" s="3">
        <f>E1619*(VLOOKUP(B1619,Price_data!A$1:B$190,2,FALSE))</f>
        <v>9.073219686102</v>
      </c>
      <c r="Q1619" s="3" t="e">
        <f>G1619*(VLOOKUP(B1619,Price_data!A$1:B$190,2,FALSE))</f>
        <v>#N/A</v>
      </c>
      <c r="R1619" s="3" t="e">
        <f>I1619*(VLOOKUP(B1619,Price_data!A$1:B$190,2,FALSE))</f>
        <v>#N/A</v>
      </c>
      <c r="S1619" s="4" t="str">
        <f>(VLOOKUP(B1619,Price_data!A$1:C$190,3,FALSE))</f>
        <v>EEZ</v>
      </c>
      <c r="T1619" s="2" t="str">
        <f>IF(C1619="Total", (VLOOKUP(B1619,Recommended_fish_intake!A$4:D$122,4,FALSE)), "NA")</f>
        <v>NA</v>
      </c>
      <c r="U1619" s="2" t="str">
        <f t="shared" si="193"/>
        <v>NA</v>
      </c>
    </row>
    <row r="1620" spans="1:21" ht="14.25" customHeight="1">
      <c r="A1620" s="2" t="s">
        <v>18</v>
      </c>
      <c r="B1620" s="2">
        <v>1978</v>
      </c>
      <c r="C1620" s="2" t="s">
        <v>52</v>
      </c>
      <c r="D1620" s="3">
        <f t="shared" si="187"/>
        <v>3.8140000000000001</v>
      </c>
      <c r="E1620" s="3">
        <f t="shared" si="188"/>
        <v>2.2770000000000001</v>
      </c>
      <c r="F1620" s="3" t="e">
        <f t="shared" si="189"/>
        <v>#N/A</v>
      </c>
      <c r="G1620" s="3" t="e">
        <f t="shared" si="190"/>
        <v>#N/A</v>
      </c>
      <c r="H1620" s="3" t="e">
        <f t="shared" si="191"/>
        <v>#N/A</v>
      </c>
      <c r="I1620" s="3" t="e">
        <f t="shared" si="192"/>
        <v>#N/A</v>
      </c>
      <c r="J1620" s="2">
        <v>3814</v>
      </c>
      <c r="K1620" s="2">
        <v>2277</v>
      </c>
      <c r="P1620" s="3">
        <f>E1620*(VLOOKUP(B1620,Price_data!A$1:B$190,2,FALSE))</f>
        <v>7.7609771695170009</v>
      </c>
      <c r="Q1620" s="3" t="e">
        <f>G1620*(VLOOKUP(B1620,Price_data!A$1:B$190,2,FALSE))</f>
        <v>#N/A</v>
      </c>
      <c r="R1620" s="3" t="e">
        <f>I1620*(VLOOKUP(B1620,Price_data!A$1:B$190,2,FALSE))</f>
        <v>#N/A</v>
      </c>
      <c r="S1620" s="4" t="str">
        <f>(VLOOKUP(B1620,Price_data!A$1:C$190,3,FALSE))</f>
        <v>EEZ</v>
      </c>
      <c r="T1620" s="2" t="str">
        <f>IF(C1620="Total", (VLOOKUP(B1620,Recommended_fish_intake!A$4:D$122,4,FALSE)), "NA")</f>
        <v>NA</v>
      </c>
      <c r="U1620" s="2" t="str">
        <f t="shared" si="193"/>
        <v>NA</v>
      </c>
    </row>
    <row r="1621" spans="1:21" ht="14.25" customHeight="1">
      <c r="A1621" s="2" t="s">
        <v>18</v>
      </c>
      <c r="B1621" s="2">
        <v>1978</v>
      </c>
      <c r="C1621" s="2" t="s">
        <v>34</v>
      </c>
      <c r="D1621" s="3">
        <f t="shared" si="187"/>
        <v>0.314</v>
      </c>
      <c r="E1621" s="3">
        <f t="shared" si="188"/>
        <v>1.5069999999999999</v>
      </c>
      <c r="F1621" s="3" t="e">
        <f t="shared" si="189"/>
        <v>#N/A</v>
      </c>
      <c r="G1621" s="3" t="e">
        <f t="shared" si="190"/>
        <v>#N/A</v>
      </c>
      <c r="H1621" s="3" t="e">
        <f t="shared" si="191"/>
        <v>#N/A</v>
      </c>
      <c r="I1621" s="3" t="e">
        <f t="shared" si="192"/>
        <v>#N/A</v>
      </c>
      <c r="J1621" s="2">
        <v>314</v>
      </c>
      <c r="K1621" s="2">
        <v>1507</v>
      </c>
      <c r="P1621" s="3">
        <f>E1621*(VLOOKUP(B1621,Price_data!A$1:B$190,2,FALSE))</f>
        <v>5.136492136347</v>
      </c>
      <c r="Q1621" s="3" t="e">
        <f>G1621*(VLOOKUP(B1621,Price_data!A$1:B$190,2,FALSE))</f>
        <v>#N/A</v>
      </c>
      <c r="R1621" s="3" t="e">
        <f>I1621*(VLOOKUP(B1621,Price_data!A$1:B$190,2,FALSE))</f>
        <v>#N/A</v>
      </c>
      <c r="S1621" s="4" t="str">
        <f>(VLOOKUP(B1621,Price_data!A$1:C$190,3,FALSE))</f>
        <v>EEZ</v>
      </c>
      <c r="T1621" s="2" t="str">
        <f>IF(C1621="Total", (VLOOKUP(B1621,Recommended_fish_intake!A$4:D$122,4,FALSE)), "NA")</f>
        <v>NA</v>
      </c>
      <c r="U1621" s="2" t="str">
        <f t="shared" si="193"/>
        <v>NA</v>
      </c>
    </row>
    <row r="1622" spans="1:21" ht="14.25" customHeight="1">
      <c r="A1622" s="2" t="s">
        <v>18</v>
      </c>
      <c r="B1622" s="2">
        <v>1978</v>
      </c>
      <c r="C1622" s="2" t="s">
        <v>35</v>
      </c>
      <c r="D1622" s="3">
        <f t="shared" si="187"/>
        <v>1.962</v>
      </c>
      <c r="E1622" s="3">
        <f t="shared" si="188"/>
        <v>1.9450000000000001</v>
      </c>
      <c r="F1622" s="3" t="e">
        <f t="shared" si="189"/>
        <v>#N/A</v>
      </c>
      <c r="G1622" s="3" t="e">
        <f t="shared" si="190"/>
        <v>#N/A</v>
      </c>
      <c r="H1622" s="3" t="e">
        <f t="shared" si="191"/>
        <v>#N/A</v>
      </c>
      <c r="I1622" s="3" t="e">
        <f t="shared" si="192"/>
        <v>#N/A</v>
      </c>
      <c r="J1622" s="2">
        <v>1962</v>
      </c>
      <c r="K1622" s="2">
        <v>1945</v>
      </c>
      <c r="P1622" s="3">
        <f>E1622*(VLOOKUP(B1622,Price_data!A$1:B$190,2,FALSE))</f>
        <v>6.6293810253450003</v>
      </c>
      <c r="Q1622" s="3" t="e">
        <f>G1622*(VLOOKUP(B1622,Price_data!A$1:B$190,2,FALSE))</f>
        <v>#N/A</v>
      </c>
      <c r="R1622" s="3" t="e">
        <f>I1622*(VLOOKUP(B1622,Price_data!A$1:B$190,2,FALSE))</f>
        <v>#N/A</v>
      </c>
      <c r="S1622" s="4" t="str">
        <f>(VLOOKUP(B1622,Price_data!A$1:C$190,3,FALSE))</f>
        <v>EEZ</v>
      </c>
      <c r="T1622" s="2" t="str">
        <f>IF(C1622="Total", (VLOOKUP(B1622,Recommended_fish_intake!A$4:D$122,4,FALSE)), "NA")</f>
        <v>NA</v>
      </c>
      <c r="U1622" s="2" t="str">
        <f t="shared" si="193"/>
        <v>NA</v>
      </c>
    </row>
    <row r="1623" spans="1:21" ht="14.25" customHeight="1">
      <c r="A1623" s="2" t="s">
        <v>18</v>
      </c>
      <c r="B1623" s="2">
        <v>1978</v>
      </c>
      <c r="C1623" s="2" t="s">
        <v>30</v>
      </c>
      <c r="D1623" s="3">
        <f t="shared" si="187"/>
        <v>1.167</v>
      </c>
      <c r="E1623" s="3">
        <f t="shared" si="188"/>
        <v>0.64100000000000001</v>
      </c>
      <c r="F1623" s="3" t="e">
        <f t="shared" si="189"/>
        <v>#N/A</v>
      </c>
      <c r="G1623" s="3" t="e">
        <f t="shared" si="190"/>
        <v>#N/A</v>
      </c>
      <c r="H1623" s="3" t="e">
        <f t="shared" si="191"/>
        <v>#N/A</v>
      </c>
      <c r="I1623" s="3" t="e">
        <f t="shared" si="192"/>
        <v>#N/A</v>
      </c>
      <c r="J1623" s="2">
        <v>1167</v>
      </c>
      <c r="K1623" s="2">
        <v>641</v>
      </c>
      <c r="P1623" s="3">
        <f>E1623*(VLOOKUP(B1623,Price_data!A$1:B$190,2,FALSE))</f>
        <v>2.1847985795610003</v>
      </c>
      <c r="Q1623" s="3" t="e">
        <f>G1623*(VLOOKUP(B1623,Price_data!A$1:B$190,2,FALSE))</f>
        <v>#N/A</v>
      </c>
      <c r="R1623" s="3" t="e">
        <f>I1623*(VLOOKUP(B1623,Price_data!A$1:B$190,2,FALSE))</f>
        <v>#N/A</v>
      </c>
      <c r="S1623" s="4" t="str">
        <f>(VLOOKUP(B1623,Price_data!A$1:C$190,3,FALSE))</f>
        <v>EEZ</v>
      </c>
      <c r="T1623" s="2" t="str">
        <f>IF(C1623="Total", (VLOOKUP(B1623,Recommended_fish_intake!A$4:D$122,4,FALSE)), "NA")</f>
        <v>NA</v>
      </c>
      <c r="U1623" s="2" t="str">
        <f t="shared" si="193"/>
        <v>NA</v>
      </c>
    </row>
    <row r="1624" spans="1:21" ht="14.25" customHeight="1">
      <c r="A1624" s="2" t="s">
        <v>18</v>
      </c>
      <c r="B1624" s="2">
        <v>1978</v>
      </c>
      <c r="C1624" s="2" t="s">
        <v>28</v>
      </c>
      <c r="D1624" s="3">
        <f t="shared" si="187"/>
        <v>37.640999999999998</v>
      </c>
      <c r="E1624" s="3">
        <f t="shared" si="188"/>
        <v>11.311999999999999</v>
      </c>
      <c r="F1624" s="3" t="e">
        <f t="shared" si="189"/>
        <v>#N/A</v>
      </c>
      <c r="G1624" s="3" t="e">
        <f t="shared" si="190"/>
        <v>#N/A</v>
      </c>
      <c r="H1624" s="3" t="e">
        <f t="shared" si="191"/>
        <v>#N/A</v>
      </c>
      <c r="I1624" s="3" t="e">
        <f t="shared" si="192"/>
        <v>#N/A</v>
      </c>
      <c r="J1624" s="2">
        <v>37641</v>
      </c>
      <c r="K1624" s="2">
        <v>11312</v>
      </c>
      <c r="P1624" s="3">
        <f>E1624*(VLOOKUP(B1624,Price_data!A$1:B$190,2,FALSE))</f>
        <v>38.556071032752001</v>
      </c>
      <c r="Q1624" s="3" t="e">
        <f>G1624*(VLOOKUP(B1624,Price_data!A$1:B$190,2,FALSE))</f>
        <v>#N/A</v>
      </c>
      <c r="R1624" s="3" t="e">
        <f>I1624*(VLOOKUP(B1624,Price_data!A$1:B$190,2,FALSE))</f>
        <v>#N/A</v>
      </c>
      <c r="S1624" s="4" t="str">
        <f>(VLOOKUP(B1624,Price_data!A$1:C$190,3,FALSE))</f>
        <v>EEZ</v>
      </c>
      <c r="T1624" s="2" t="str">
        <f>IF(C1624="Total", (VLOOKUP(B1624,Recommended_fish_intake!A$4:D$122,4,FALSE)), "NA")</f>
        <v>NA</v>
      </c>
      <c r="U1624" s="2">
        <f t="shared" si="193"/>
        <v>10.539480000000001</v>
      </c>
    </row>
    <row r="1625" spans="1:21" ht="14.25" customHeight="1">
      <c r="A1625" s="2" t="s">
        <v>39</v>
      </c>
      <c r="B1625" s="2">
        <v>1978</v>
      </c>
      <c r="C1625" s="2" t="s">
        <v>22</v>
      </c>
      <c r="D1625" s="3">
        <f t="shared" si="187"/>
        <v>42.658000000000001</v>
      </c>
      <c r="E1625" s="3">
        <f t="shared" si="188"/>
        <v>23.957000000000001</v>
      </c>
      <c r="F1625" s="3" t="e">
        <f t="shared" si="189"/>
        <v>#N/A</v>
      </c>
      <c r="G1625" s="3" t="e">
        <f t="shared" si="190"/>
        <v>#N/A</v>
      </c>
      <c r="H1625" s="3" t="e">
        <f t="shared" si="191"/>
        <v>#N/A</v>
      </c>
      <c r="I1625" s="3" t="e">
        <f t="shared" si="192"/>
        <v>#N/A</v>
      </c>
      <c r="J1625" s="2">
        <v>42658</v>
      </c>
      <c r="K1625" s="2">
        <v>23957</v>
      </c>
      <c r="P1625" s="3">
        <f>E1625*(VLOOKUP(B1625,Price_data!A$1:B$190,2,FALSE))</f>
        <v>81.655568752797009</v>
      </c>
      <c r="Q1625" s="3" t="e">
        <f>G1625*(VLOOKUP(B1625,Price_data!A$1:B$190,2,FALSE))</f>
        <v>#N/A</v>
      </c>
      <c r="R1625" s="3" t="e">
        <f>I1625*(VLOOKUP(B1625,Price_data!A$1:B$190,2,FALSE))</f>
        <v>#N/A</v>
      </c>
      <c r="S1625" s="4" t="str">
        <f>(VLOOKUP(B1625,Price_data!A$1:C$190,3,FALSE))</f>
        <v>EEZ</v>
      </c>
      <c r="T1625" s="2" t="str">
        <f>IF(C1625="Total", (VLOOKUP(B1625,Recommended_fish_intake!A$4:D$122,4,FALSE)), "NA")</f>
        <v>NA</v>
      </c>
      <c r="U1625" s="2" t="str">
        <f t="shared" si="193"/>
        <v>NA</v>
      </c>
    </row>
    <row r="1626" spans="1:21" ht="14.25" customHeight="1">
      <c r="A1626" s="2" t="s">
        <v>39</v>
      </c>
      <c r="B1626" s="2">
        <v>1978</v>
      </c>
      <c r="C1626" s="2" t="s">
        <v>23</v>
      </c>
      <c r="D1626" s="3">
        <f t="shared" si="187"/>
        <v>63.113999999999997</v>
      </c>
      <c r="E1626" s="3">
        <f t="shared" si="188"/>
        <v>29.794</v>
      </c>
      <c r="F1626" s="3" t="e">
        <f t="shared" si="189"/>
        <v>#N/A</v>
      </c>
      <c r="G1626" s="3" t="e">
        <f t="shared" si="190"/>
        <v>#N/A</v>
      </c>
      <c r="H1626" s="3" t="e">
        <f t="shared" si="191"/>
        <v>#N/A</v>
      </c>
      <c r="I1626" s="3" t="e">
        <f t="shared" si="192"/>
        <v>#N/A</v>
      </c>
      <c r="J1626" s="2">
        <v>63114</v>
      </c>
      <c r="K1626" s="2">
        <v>29794</v>
      </c>
      <c r="P1626" s="3">
        <f>E1626*(VLOOKUP(B1626,Price_data!A$1:B$190,2,FALSE))</f>
        <v>101.550528673074</v>
      </c>
      <c r="Q1626" s="3" t="e">
        <f>G1626*(VLOOKUP(B1626,Price_data!A$1:B$190,2,FALSE))</f>
        <v>#N/A</v>
      </c>
      <c r="R1626" s="3" t="e">
        <f>I1626*(VLOOKUP(B1626,Price_data!A$1:B$190,2,FALSE))</f>
        <v>#N/A</v>
      </c>
      <c r="S1626" s="4" t="str">
        <f>(VLOOKUP(B1626,Price_data!A$1:C$190,3,FALSE))</f>
        <v>EEZ</v>
      </c>
      <c r="T1626" s="2" t="str">
        <f>IF(C1626="Total", (VLOOKUP(B1626,Recommended_fish_intake!A$4:D$122,4,FALSE)), "NA")</f>
        <v>NA</v>
      </c>
      <c r="U1626" s="2" t="str">
        <f t="shared" si="193"/>
        <v>NA</v>
      </c>
    </row>
    <row r="1627" spans="1:21" ht="14.25" customHeight="1">
      <c r="A1627" s="2" t="s">
        <v>39</v>
      </c>
      <c r="B1627" s="2">
        <v>1978</v>
      </c>
      <c r="C1627" s="2" t="s">
        <v>25</v>
      </c>
      <c r="D1627" s="3">
        <f t="shared" si="187"/>
        <v>4.4630000000000001</v>
      </c>
      <c r="E1627" s="3">
        <f t="shared" si="188"/>
        <v>2.0870000000000002</v>
      </c>
      <c r="F1627" s="3" t="e">
        <f t="shared" si="189"/>
        <v>#N/A</v>
      </c>
      <c r="G1627" s="3" t="e">
        <f t="shared" si="190"/>
        <v>#N/A</v>
      </c>
      <c r="H1627" s="3" t="e">
        <f t="shared" si="191"/>
        <v>#N/A</v>
      </c>
      <c r="I1627" s="3" t="e">
        <f t="shared" si="192"/>
        <v>#N/A</v>
      </c>
      <c r="J1627" s="2">
        <v>4463</v>
      </c>
      <c r="K1627" s="2">
        <v>2087</v>
      </c>
      <c r="P1627" s="3">
        <f>E1627*(VLOOKUP(B1627,Price_data!A$1:B$190,2,FALSE))</f>
        <v>7.1133769665270012</v>
      </c>
      <c r="Q1627" s="3" t="e">
        <f>G1627*(VLOOKUP(B1627,Price_data!A$1:B$190,2,FALSE))</f>
        <v>#N/A</v>
      </c>
      <c r="R1627" s="3" t="e">
        <f>I1627*(VLOOKUP(B1627,Price_data!A$1:B$190,2,FALSE))</f>
        <v>#N/A</v>
      </c>
      <c r="S1627" s="4" t="str">
        <f>(VLOOKUP(B1627,Price_data!A$1:C$190,3,FALSE))</f>
        <v>EEZ</v>
      </c>
      <c r="T1627" s="2" t="str">
        <f>IF(C1627="Total", (VLOOKUP(B1627,Recommended_fish_intake!A$4:D$122,4,FALSE)), "NA")</f>
        <v>NA</v>
      </c>
      <c r="U1627" s="2" t="str">
        <f t="shared" si="193"/>
        <v>NA</v>
      </c>
    </row>
    <row r="1628" spans="1:21" ht="14.25" customHeight="1">
      <c r="A1628" s="2" t="s">
        <v>39</v>
      </c>
      <c r="B1628" s="2">
        <v>1978</v>
      </c>
      <c r="C1628" s="2" t="s">
        <v>38</v>
      </c>
      <c r="D1628" s="3">
        <f t="shared" si="187"/>
        <v>17.492999999999999</v>
      </c>
      <c r="E1628" s="3">
        <f t="shared" si="188"/>
        <v>4.7190000000000003</v>
      </c>
      <c r="F1628" s="3" t="e">
        <f t="shared" si="189"/>
        <v>#N/A</v>
      </c>
      <c r="G1628" s="3" t="e">
        <f t="shared" si="190"/>
        <v>#N/A</v>
      </c>
      <c r="H1628" s="3" t="e">
        <f t="shared" si="191"/>
        <v>#N/A</v>
      </c>
      <c r="I1628" s="3" t="e">
        <f t="shared" si="192"/>
        <v>#N/A</v>
      </c>
      <c r="J1628" s="2">
        <v>17493</v>
      </c>
      <c r="K1628" s="2">
        <v>4719</v>
      </c>
      <c r="P1628" s="3">
        <f>E1628*(VLOOKUP(B1628,Price_data!A$1:B$190,2,FALSE))</f>
        <v>16.084343988999002</v>
      </c>
      <c r="Q1628" s="3" t="e">
        <f>G1628*(VLOOKUP(B1628,Price_data!A$1:B$190,2,FALSE))</f>
        <v>#N/A</v>
      </c>
      <c r="R1628" s="3" t="e">
        <f>I1628*(VLOOKUP(B1628,Price_data!A$1:B$190,2,FALSE))</f>
        <v>#N/A</v>
      </c>
      <c r="S1628" s="4" t="str">
        <f>(VLOOKUP(B1628,Price_data!A$1:C$190,3,FALSE))</f>
        <v>EEZ</v>
      </c>
      <c r="T1628" s="2" t="str">
        <f>IF(C1628="Total", (VLOOKUP(B1628,Recommended_fish_intake!A$4:D$122,4,FALSE)), "NA")</f>
        <v>NA</v>
      </c>
      <c r="U1628" s="2" t="str">
        <f t="shared" si="193"/>
        <v>NA</v>
      </c>
    </row>
    <row r="1629" spans="1:21" ht="14.25" customHeight="1">
      <c r="A1629" s="2" t="s">
        <v>39</v>
      </c>
      <c r="B1629" s="2">
        <v>1978</v>
      </c>
      <c r="C1629" s="2" t="s">
        <v>24</v>
      </c>
      <c r="D1629" s="3">
        <f t="shared" si="187"/>
        <v>45.488</v>
      </c>
      <c r="E1629" s="3">
        <f t="shared" si="188"/>
        <v>13.628</v>
      </c>
      <c r="F1629" s="3" t="e">
        <f t="shared" si="189"/>
        <v>#N/A</v>
      </c>
      <c r="G1629" s="3" t="e">
        <f t="shared" si="190"/>
        <v>#N/A</v>
      </c>
      <c r="H1629" s="3" t="e">
        <f t="shared" si="191"/>
        <v>#N/A</v>
      </c>
      <c r="I1629" s="3" t="e">
        <f t="shared" si="192"/>
        <v>#N/A</v>
      </c>
      <c r="J1629" s="2">
        <v>45488</v>
      </c>
      <c r="K1629" s="2">
        <v>13628</v>
      </c>
      <c r="P1629" s="3">
        <f>E1629*(VLOOKUP(B1629,Price_data!A$1:B$190,2,FALSE))</f>
        <v>46.449976664988</v>
      </c>
      <c r="Q1629" s="3" t="e">
        <f>G1629*(VLOOKUP(B1629,Price_data!A$1:B$190,2,FALSE))</f>
        <v>#N/A</v>
      </c>
      <c r="R1629" s="3" t="e">
        <f>I1629*(VLOOKUP(B1629,Price_data!A$1:B$190,2,FALSE))</f>
        <v>#N/A</v>
      </c>
      <c r="S1629" s="4" t="str">
        <f>(VLOOKUP(B1629,Price_data!A$1:C$190,3,FALSE))</f>
        <v>EEZ</v>
      </c>
      <c r="T1629" s="2" t="str">
        <f>IF(C1629="Total", (VLOOKUP(B1629,Recommended_fish_intake!A$4:D$122,4,FALSE)), "NA")</f>
        <v>NA</v>
      </c>
      <c r="U1629" s="2" t="str">
        <f t="shared" si="193"/>
        <v>NA</v>
      </c>
    </row>
    <row r="1630" spans="1:21" ht="14.25" customHeight="1">
      <c r="A1630" s="2" t="s">
        <v>39</v>
      </c>
      <c r="B1630" s="2">
        <v>1978</v>
      </c>
      <c r="C1630" s="2" t="s">
        <v>19</v>
      </c>
      <c r="D1630" s="3">
        <f t="shared" si="187"/>
        <v>13.840999999999999</v>
      </c>
      <c r="E1630" s="3">
        <f t="shared" si="188"/>
        <v>5.4329999999999998</v>
      </c>
      <c r="F1630" s="3" t="e">
        <f t="shared" si="189"/>
        <v>#N/A</v>
      </c>
      <c r="G1630" s="3" t="e">
        <f t="shared" si="190"/>
        <v>#N/A</v>
      </c>
      <c r="H1630" s="3" t="e">
        <f t="shared" si="191"/>
        <v>#N/A</v>
      </c>
      <c r="I1630" s="3" t="e">
        <f t="shared" si="192"/>
        <v>#N/A</v>
      </c>
      <c r="J1630" s="2">
        <v>13841</v>
      </c>
      <c r="K1630" s="2">
        <v>5433</v>
      </c>
      <c r="P1630" s="3">
        <f>E1630*(VLOOKUP(B1630,Price_data!A$1:B$190,2,FALSE))</f>
        <v>18.517957383393</v>
      </c>
      <c r="Q1630" s="3" t="e">
        <f>G1630*(VLOOKUP(B1630,Price_data!A$1:B$190,2,FALSE))</f>
        <v>#N/A</v>
      </c>
      <c r="R1630" s="3" t="e">
        <f>I1630*(VLOOKUP(B1630,Price_data!A$1:B$190,2,FALSE))</f>
        <v>#N/A</v>
      </c>
      <c r="S1630" s="4" t="str">
        <f>(VLOOKUP(B1630,Price_data!A$1:C$190,3,FALSE))</f>
        <v>EEZ</v>
      </c>
      <c r="T1630" s="2" t="str">
        <f>IF(C1630="Total", (VLOOKUP(B1630,Recommended_fish_intake!A$4:D$122,4,FALSE)), "NA")</f>
        <v>NA</v>
      </c>
      <c r="U1630" s="2" t="str">
        <f t="shared" si="193"/>
        <v>NA</v>
      </c>
    </row>
    <row r="1631" spans="1:21" ht="14.25" customHeight="1">
      <c r="A1631" s="2" t="s">
        <v>39</v>
      </c>
      <c r="B1631" s="2">
        <v>1978</v>
      </c>
      <c r="C1631" s="2" t="s">
        <v>20</v>
      </c>
      <c r="D1631" s="3">
        <f t="shared" si="187"/>
        <v>107.41500000000001</v>
      </c>
      <c r="E1631" s="3">
        <f t="shared" si="188"/>
        <v>9.6959999999999997</v>
      </c>
      <c r="F1631" s="3" t="e">
        <f t="shared" si="189"/>
        <v>#N/A</v>
      </c>
      <c r="G1631" s="3" t="e">
        <f t="shared" si="190"/>
        <v>#N/A</v>
      </c>
      <c r="H1631" s="3" t="e">
        <f t="shared" si="191"/>
        <v>#N/A</v>
      </c>
      <c r="I1631" s="3" t="e">
        <f t="shared" si="192"/>
        <v>#N/A</v>
      </c>
      <c r="J1631" s="2">
        <v>107415</v>
      </c>
      <c r="K1631" s="2">
        <v>9696</v>
      </c>
      <c r="P1631" s="3">
        <f>E1631*(VLOOKUP(B1631,Price_data!A$1:B$190,2,FALSE))</f>
        <v>33.048060885216003</v>
      </c>
      <c r="Q1631" s="3" t="e">
        <f>G1631*(VLOOKUP(B1631,Price_data!A$1:B$190,2,FALSE))</f>
        <v>#N/A</v>
      </c>
      <c r="R1631" s="3" t="e">
        <f>I1631*(VLOOKUP(B1631,Price_data!A$1:B$190,2,FALSE))</f>
        <v>#N/A</v>
      </c>
      <c r="S1631" s="4" t="str">
        <f>(VLOOKUP(B1631,Price_data!A$1:C$190,3,FALSE))</f>
        <v>EEZ</v>
      </c>
      <c r="T1631" s="2" t="str">
        <f>IF(C1631="Total", (VLOOKUP(B1631,Recommended_fish_intake!A$4:D$122,4,FALSE)), "NA")</f>
        <v>NA</v>
      </c>
      <c r="U1631" s="2" t="str">
        <f t="shared" si="193"/>
        <v>NA</v>
      </c>
    </row>
    <row r="1632" spans="1:21" ht="14.25" customHeight="1">
      <c r="A1632" s="2" t="s">
        <v>39</v>
      </c>
      <c r="B1632" s="2">
        <v>1978</v>
      </c>
      <c r="C1632" s="2" t="s">
        <v>21</v>
      </c>
      <c r="D1632" s="3">
        <f t="shared" si="187"/>
        <v>45.231000000000002</v>
      </c>
      <c r="E1632" s="3">
        <f t="shared" si="188"/>
        <v>2.3260000000000001</v>
      </c>
      <c r="F1632" s="3" t="e">
        <f t="shared" si="189"/>
        <v>#N/A</v>
      </c>
      <c r="G1632" s="3" t="e">
        <f t="shared" si="190"/>
        <v>#N/A</v>
      </c>
      <c r="H1632" s="3" t="e">
        <f t="shared" si="191"/>
        <v>#N/A</v>
      </c>
      <c r="I1632" s="3" t="e">
        <f t="shared" si="192"/>
        <v>#N/A</v>
      </c>
      <c r="J1632" s="2">
        <v>45231</v>
      </c>
      <c r="K1632" s="2">
        <v>2326</v>
      </c>
      <c r="P1632" s="3">
        <f>E1632*(VLOOKUP(B1632,Price_data!A$1:B$190,2,FALSE))</f>
        <v>7.9279898534460003</v>
      </c>
      <c r="Q1632" s="3" t="e">
        <f>G1632*(VLOOKUP(B1632,Price_data!A$1:B$190,2,FALSE))</f>
        <v>#N/A</v>
      </c>
      <c r="R1632" s="3" t="e">
        <f>I1632*(VLOOKUP(B1632,Price_data!A$1:B$190,2,FALSE))</f>
        <v>#N/A</v>
      </c>
      <c r="S1632" s="4" t="str">
        <f>(VLOOKUP(B1632,Price_data!A$1:C$190,3,FALSE))</f>
        <v>EEZ</v>
      </c>
      <c r="T1632" s="2" t="str">
        <f>IF(C1632="Total", (VLOOKUP(B1632,Recommended_fish_intake!A$4:D$122,4,FALSE)), "NA")</f>
        <v>NA</v>
      </c>
      <c r="U1632" s="2" t="str">
        <f t="shared" si="193"/>
        <v>NA</v>
      </c>
    </row>
    <row r="1633" spans="1:21" ht="14.25" customHeight="1">
      <c r="A1633" s="2" t="s">
        <v>39</v>
      </c>
      <c r="B1633" s="2">
        <v>1978</v>
      </c>
      <c r="C1633" s="2" t="s">
        <v>37</v>
      </c>
      <c r="D1633" s="3">
        <f t="shared" si="187"/>
        <v>399.44</v>
      </c>
      <c r="E1633" s="3">
        <f t="shared" si="188"/>
        <v>103.038</v>
      </c>
      <c r="F1633" s="3" t="e">
        <f t="shared" si="189"/>
        <v>#N/A</v>
      </c>
      <c r="G1633" s="3" t="e">
        <f t="shared" si="190"/>
        <v>#N/A</v>
      </c>
      <c r="H1633" s="3" t="e">
        <f t="shared" si="191"/>
        <v>#N/A</v>
      </c>
      <c r="I1633" s="3" t="e">
        <f t="shared" si="192"/>
        <v>#N/A</v>
      </c>
      <c r="J1633" s="2">
        <v>399440</v>
      </c>
      <c r="K1633" s="2">
        <v>103038</v>
      </c>
      <c r="P1633" s="3">
        <f>E1633*(VLOOKUP(B1633,Price_data!A$1:B$190,2,FALSE))</f>
        <v>351.19699850359802</v>
      </c>
      <c r="Q1633" s="3" t="e">
        <f>G1633*(VLOOKUP(B1633,Price_data!A$1:B$190,2,FALSE))</f>
        <v>#N/A</v>
      </c>
      <c r="R1633" s="3" t="e">
        <f>I1633*(VLOOKUP(B1633,Price_data!A$1:B$190,2,FALSE))</f>
        <v>#N/A</v>
      </c>
      <c r="S1633" s="4" t="str">
        <f>(VLOOKUP(B1633,Price_data!A$1:C$190,3,FALSE))</f>
        <v>EEZ</v>
      </c>
      <c r="T1633" s="2" t="str">
        <f>IF(C1633="Total", (VLOOKUP(B1633,Recommended_fish_intake!A$4:D$122,4,FALSE)), "NA")</f>
        <v>NA</v>
      </c>
      <c r="U1633" s="2">
        <f t="shared" si="193"/>
        <v>195.72559999999999</v>
      </c>
    </row>
    <row r="1634" spans="1:21" ht="14.25" customHeight="1">
      <c r="A1634" s="2" t="s">
        <v>39</v>
      </c>
      <c r="B1634" s="2">
        <v>1978</v>
      </c>
      <c r="C1634" s="2" t="s">
        <v>36</v>
      </c>
      <c r="D1634" s="3">
        <f t="shared" si="187"/>
        <v>2.6379999999999999</v>
      </c>
      <c r="E1634" s="3">
        <f t="shared" si="188"/>
        <v>0.57899999999999996</v>
      </c>
      <c r="F1634" s="3" t="e">
        <f t="shared" si="189"/>
        <v>#N/A</v>
      </c>
      <c r="G1634" s="3" t="e">
        <f t="shared" si="190"/>
        <v>#N/A</v>
      </c>
      <c r="H1634" s="3" t="e">
        <f t="shared" si="191"/>
        <v>#N/A</v>
      </c>
      <c r="I1634" s="3" t="e">
        <f t="shared" si="192"/>
        <v>#N/A</v>
      </c>
      <c r="J1634" s="2">
        <v>2638</v>
      </c>
      <c r="K1634" s="2">
        <v>579</v>
      </c>
      <c r="P1634" s="3">
        <f>E1634*(VLOOKUP(B1634,Price_data!A$1:B$190,2,FALSE))</f>
        <v>1.9734764080589999</v>
      </c>
      <c r="Q1634" s="3" t="e">
        <f>G1634*(VLOOKUP(B1634,Price_data!A$1:B$190,2,FALSE))</f>
        <v>#N/A</v>
      </c>
      <c r="R1634" s="3" t="e">
        <f>I1634*(VLOOKUP(B1634,Price_data!A$1:B$190,2,FALSE))</f>
        <v>#N/A</v>
      </c>
      <c r="S1634" s="4" t="str">
        <f>(VLOOKUP(B1634,Price_data!A$1:C$190,3,FALSE))</f>
        <v>EEZ</v>
      </c>
      <c r="T1634" s="2" t="str">
        <f>IF(C1634="Total", (VLOOKUP(B1634,Recommended_fish_intake!A$4:D$122,4,FALSE)), "NA")</f>
        <v>NA</v>
      </c>
      <c r="U1634" s="2" t="str">
        <f t="shared" si="193"/>
        <v>NA</v>
      </c>
    </row>
    <row r="1635" spans="1:21" ht="14.25" customHeight="1">
      <c r="A1635" s="2" t="s">
        <v>39</v>
      </c>
      <c r="B1635" s="2">
        <v>1978</v>
      </c>
      <c r="C1635" s="2" t="s">
        <v>52</v>
      </c>
      <c r="D1635" s="3">
        <f t="shared" si="187"/>
        <v>2.8370000000000002</v>
      </c>
      <c r="E1635" s="3">
        <f t="shared" si="188"/>
        <v>1.8380000000000001</v>
      </c>
      <c r="F1635" s="3" t="e">
        <f t="shared" si="189"/>
        <v>#N/A</v>
      </c>
      <c r="G1635" s="3" t="e">
        <f t="shared" si="190"/>
        <v>#N/A</v>
      </c>
      <c r="H1635" s="3" t="e">
        <f t="shared" si="191"/>
        <v>#N/A</v>
      </c>
      <c r="I1635" s="3" t="e">
        <f t="shared" si="192"/>
        <v>#N/A</v>
      </c>
      <c r="J1635" s="2">
        <v>2837</v>
      </c>
      <c r="K1635" s="2">
        <v>1838</v>
      </c>
      <c r="P1635" s="3">
        <f>E1635*(VLOOKUP(B1635,Price_data!A$1:B$190,2,FALSE))</f>
        <v>6.2646798583980008</v>
      </c>
      <c r="Q1635" s="3" t="e">
        <f>G1635*(VLOOKUP(B1635,Price_data!A$1:B$190,2,FALSE))</f>
        <v>#N/A</v>
      </c>
      <c r="R1635" s="3" t="e">
        <f>I1635*(VLOOKUP(B1635,Price_data!A$1:B$190,2,FALSE))</f>
        <v>#N/A</v>
      </c>
      <c r="S1635" s="4" t="str">
        <f>(VLOOKUP(B1635,Price_data!A$1:C$190,3,FALSE))</f>
        <v>EEZ</v>
      </c>
      <c r="T1635" s="2" t="str">
        <f>IF(C1635="Total", (VLOOKUP(B1635,Recommended_fish_intake!A$4:D$122,4,FALSE)), "NA")</f>
        <v>NA</v>
      </c>
      <c r="U1635" s="2" t="str">
        <f t="shared" si="193"/>
        <v>NA</v>
      </c>
    </row>
    <row r="1636" spans="1:21" ht="14.25" customHeight="1">
      <c r="A1636" s="2" t="s">
        <v>39</v>
      </c>
      <c r="B1636" s="2">
        <v>1978</v>
      </c>
      <c r="C1636" s="2" t="s">
        <v>34</v>
      </c>
      <c r="D1636" s="3">
        <f t="shared" si="187"/>
        <v>0.51700000000000002</v>
      </c>
      <c r="E1636" s="3">
        <f t="shared" si="188"/>
        <v>2.7909999999999999</v>
      </c>
      <c r="F1636" s="3" t="e">
        <f t="shared" si="189"/>
        <v>#N/A</v>
      </c>
      <c r="G1636" s="3" t="e">
        <f t="shared" si="190"/>
        <v>#N/A</v>
      </c>
      <c r="H1636" s="3" t="e">
        <f t="shared" si="191"/>
        <v>#N/A</v>
      </c>
      <c r="I1636" s="3" t="e">
        <f t="shared" si="192"/>
        <v>#N/A</v>
      </c>
      <c r="J1636" s="2">
        <v>517</v>
      </c>
      <c r="K1636" s="2">
        <v>2791</v>
      </c>
      <c r="P1636" s="3">
        <f>E1636*(VLOOKUP(B1636,Price_data!A$1:B$190,2,FALSE))</f>
        <v>9.5129061397109993</v>
      </c>
      <c r="Q1636" s="3" t="e">
        <f>G1636*(VLOOKUP(B1636,Price_data!A$1:B$190,2,FALSE))</f>
        <v>#N/A</v>
      </c>
      <c r="R1636" s="3" t="e">
        <f>I1636*(VLOOKUP(B1636,Price_data!A$1:B$190,2,FALSE))</f>
        <v>#N/A</v>
      </c>
      <c r="S1636" s="4" t="str">
        <f>(VLOOKUP(B1636,Price_data!A$1:C$190,3,FALSE))</f>
        <v>EEZ</v>
      </c>
      <c r="T1636" s="2" t="str">
        <f>IF(C1636="Total", (VLOOKUP(B1636,Recommended_fish_intake!A$4:D$122,4,FALSE)), "NA")</f>
        <v>NA</v>
      </c>
      <c r="U1636" s="2" t="str">
        <f t="shared" si="193"/>
        <v>NA</v>
      </c>
    </row>
    <row r="1637" spans="1:21" ht="14.25" customHeight="1">
      <c r="A1637" s="2" t="s">
        <v>39</v>
      </c>
      <c r="B1637" s="2">
        <v>1978</v>
      </c>
      <c r="C1637" s="2" t="s">
        <v>35</v>
      </c>
      <c r="D1637" s="3">
        <f t="shared" si="187"/>
        <v>11.337999999999999</v>
      </c>
      <c r="E1637" s="3">
        <f t="shared" si="188"/>
        <v>11.058</v>
      </c>
      <c r="F1637" s="3" t="e">
        <f t="shared" si="189"/>
        <v>#N/A</v>
      </c>
      <c r="G1637" s="3" t="e">
        <f t="shared" si="190"/>
        <v>#N/A</v>
      </c>
      <c r="H1637" s="3" t="e">
        <f t="shared" si="191"/>
        <v>#N/A</v>
      </c>
      <c r="I1637" s="3" t="e">
        <f t="shared" si="192"/>
        <v>#N/A</v>
      </c>
      <c r="J1637" s="2">
        <v>11338</v>
      </c>
      <c r="K1637" s="2">
        <v>11058</v>
      </c>
      <c r="P1637" s="3">
        <f>E1637*(VLOOKUP(B1637,Price_data!A$1:B$190,2,FALSE))</f>
        <v>37.690331814018002</v>
      </c>
      <c r="Q1637" s="3" t="e">
        <f>G1637*(VLOOKUP(B1637,Price_data!A$1:B$190,2,FALSE))</f>
        <v>#N/A</v>
      </c>
      <c r="R1637" s="3" t="e">
        <f>I1637*(VLOOKUP(B1637,Price_data!A$1:B$190,2,FALSE))</f>
        <v>#N/A</v>
      </c>
      <c r="S1637" s="4" t="str">
        <f>(VLOOKUP(B1637,Price_data!A$1:C$190,3,FALSE))</f>
        <v>EEZ</v>
      </c>
      <c r="T1637" s="2" t="str">
        <f>IF(C1637="Total", (VLOOKUP(B1637,Recommended_fish_intake!A$4:D$122,4,FALSE)), "NA")</f>
        <v>NA</v>
      </c>
      <c r="U1637" s="2" t="str">
        <f t="shared" si="193"/>
        <v>NA</v>
      </c>
    </row>
    <row r="1638" spans="1:21" ht="14.25" customHeight="1">
      <c r="A1638" s="2" t="s">
        <v>39</v>
      </c>
      <c r="B1638" s="2">
        <v>1978</v>
      </c>
      <c r="C1638" s="2" t="s">
        <v>30</v>
      </c>
      <c r="D1638" s="3">
        <f t="shared" si="187"/>
        <v>2.044</v>
      </c>
      <c r="E1638" s="3">
        <f t="shared" si="188"/>
        <v>1.4550000000000001</v>
      </c>
      <c r="F1638" s="3" t="e">
        <f t="shared" si="189"/>
        <v>#N/A</v>
      </c>
      <c r="G1638" s="3" t="e">
        <f t="shared" si="190"/>
        <v>#N/A</v>
      </c>
      <c r="H1638" s="3" t="e">
        <f t="shared" si="191"/>
        <v>#N/A</v>
      </c>
      <c r="I1638" s="3" t="e">
        <f t="shared" si="192"/>
        <v>#N/A</v>
      </c>
      <c r="J1638" s="2">
        <v>2044</v>
      </c>
      <c r="K1638" s="2">
        <v>1455</v>
      </c>
      <c r="P1638" s="3">
        <f>E1638*(VLOOKUP(B1638,Price_data!A$1:B$190,2,FALSE))</f>
        <v>4.9592541860550003</v>
      </c>
      <c r="Q1638" s="3" t="e">
        <f>G1638*(VLOOKUP(B1638,Price_data!A$1:B$190,2,FALSE))</f>
        <v>#N/A</v>
      </c>
      <c r="R1638" s="3" t="e">
        <f>I1638*(VLOOKUP(B1638,Price_data!A$1:B$190,2,FALSE))</f>
        <v>#N/A</v>
      </c>
      <c r="S1638" s="4" t="str">
        <f>(VLOOKUP(B1638,Price_data!A$1:C$190,3,FALSE))</f>
        <v>EEZ</v>
      </c>
      <c r="T1638" s="2" t="str">
        <f>IF(C1638="Total", (VLOOKUP(B1638,Recommended_fish_intake!A$4:D$122,4,FALSE)), "NA")</f>
        <v>NA</v>
      </c>
      <c r="U1638" s="2" t="str">
        <f t="shared" si="193"/>
        <v>NA</v>
      </c>
    </row>
    <row r="1639" spans="1:21" ht="14.25" customHeight="1">
      <c r="A1639" s="2" t="s">
        <v>39</v>
      </c>
      <c r="B1639" s="2">
        <v>1978</v>
      </c>
      <c r="C1639" s="2" t="s">
        <v>28</v>
      </c>
      <c r="D1639" s="3">
        <f t="shared" si="187"/>
        <v>26.712</v>
      </c>
      <c r="E1639" s="3">
        <f t="shared" si="188"/>
        <v>19.173999999999999</v>
      </c>
      <c r="F1639" s="3" t="e">
        <f t="shared" si="189"/>
        <v>#N/A</v>
      </c>
      <c r="G1639" s="3" t="e">
        <f t="shared" si="190"/>
        <v>#N/A</v>
      </c>
      <c r="H1639" s="3" t="e">
        <f t="shared" si="191"/>
        <v>#N/A</v>
      </c>
      <c r="I1639" s="3" t="e">
        <f t="shared" si="192"/>
        <v>#N/A</v>
      </c>
      <c r="J1639" s="2">
        <v>26712</v>
      </c>
      <c r="K1639" s="2">
        <v>19174</v>
      </c>
      <c r="P1639" s="3">
        <f>E1639*(VLOOKUP(B1639,Price_data!A$1:B$190,2,FALSE))</f>
        <v>65.353085748053999</v>
      </c>
      <c r="Q1639" s="3" t="e">
        <f>G1639*(VLOOKUP(B1639,Price_data!A$1:B$190,2,FALSE))</f>
        <v>#N/A</v>
      </c>
      <c r="R1639" s="3" t="e">
        <f>I1639*(VLOOKUP(B1639,Price_data!A$1:B$190,2,FALSE))</f>
        <v>#N/A</v>
      </c>
      <c r="S1639" s="4" t="str">
        <f>(VLOOKUP(B1639,Price_data!A$1:C$190,3,FALSE))</f>
        <v>EEZ</v>
      </c>
      <c r="T1639" s="2" t="str">
        <f>IF(C1639="Total", (VLOOKUP(B1639,Recommended_fish_intake!A$4:D$122,4,FALSE)), "NA")</f>
        <v>NA</v>
      </c>
      <c r="U1639" s="2">
        <f t="shared" si="193"/>
        <v>7.4793600000000007</v>
      </c>
    </row>
    <row r="1640" spans="1:21" ht="14.25" customHeight="1">
      <c r="A1640" s="2" t="s">
        <v>40</v>
      </c>
      <c r="B1640" s="2">
        <v>1978</v>
      </c>
      <c r="C1640" s="2" t="s">
        <v>22</v>
      </c>
      <c r="D1640" s="3">
        <f t="shared" ref="D1640:D1703" si="194">J1640/1000</f>
        <v>1.07</v>
      </c>
      <c r="E1640" s="3">
        <f t="shared" ref="E1640:E1703" si="195">K1640/1000</f>
        <v>0.38900000000000001</v>
      </c>
      <c r="F1640" s="3" t="e">
        <f t="shared" ref="F1640:F1703" si="196">IF(L1640="", NA(), L1640/1000)</f>
        <v>#N/A</v>
      </c>
      <c r="G1640" s="3" t="e">
        <f t="shared" ref="G1640:G1703" si="197">IF(M1640="", NA(), M1640/1000)</f>
        <v>#N/A</v>
      </c>
      <c r="H1640" s="3" t="e">
        <f t="shared" ref="H1640:H1703" si="198">IF(N1640="", NA(), N1640/1000)</f>
        <v>#N/A</v>
      </c>
      <c r="I1640" s="3" t="e">
        <f t="shared" ref="I1640:I1703" si="199">IF(O1640="", NA(), O1640/1000)</f>
        <v>#N/A</v>
      </c>
      <c r="J1640" s="2">
        <v>1070</v>
      </c>
      <c r="K1640" s="2">
        <v>389</v>
      </c>
      <c r="P1640" s="3">
        <f>E1640*(VLOOKUP(B1640,Price_data!A$1:B$190,2,FALSE))</f>
        <v>1.3258762050690001</v>
      </c>
      <c r="Q1640" s="3" t="e">
        <f>G1640*(VLOOKUP(B1640,Price_data!A$1:B$190,2,FALSE))</f>
        <v>#N/A</v>
      </c>
      <c r="R1640" s="3" t="e">
        <f>I1640*(VLOOKUP(B1640,Price_data!A$1:B$190,2,FALSE))</f>
        <v>#N/A</v>
      </c>
      <c r="S1640" s="4" t="str">
        <f>(VLOOKUP(B1640,Price_data!A$1:C$190,3,FALSE))</f>
        <v>EEZ</v>
      </c>
      <c r="T1640" s="2" t="str">
        <f>IF(C1640="Total", (VLOOKUP(B1640,Recommended_fish_intake!A$4:D$122,4,FALSE)), "NA")</f>
        <v>NA</v>
      </c>
      <c r="U1640" s="2" t="str">
        <f t="shared" si="193"/>
        <v>NA</v>
      </c>
    </row>
    <row r="1641" spans="1:21" ht="14.25" customHeight="1">
      <c r="A1641" s="2" t="s">
        <v>40</v>
      </c>
      <c r="B1641" s="2">
        <v>1978</v>
      </c>
      <c r="C1641" s="2" t="s">
        <v>23</v>
      </c>
      <c r="D1641" s="3">
        <f t="shared" si="194"/>
        <v>8.0000000000000002E-3</v>
      </c>
      <c r="E1641" s="3">
        <f t="shared" si="195"/>
        <v>2E-3</v>
      </c>
      <c r="F1641" s="3" t="e">
        <f t="shared" si="196"/>
        <v>#N/A</v>
      </c>
      <c r="G1641" s="3" t="e">
        <f t="shared" si="197"/>
        <v>#N/A</v>
      </c>
      <c r="H1641" s="3" t="e">
        <f t="shared" si="198"/>
        <v>#N/A</v>
      </c>
      <c r="I1641" s="3" t="e">
        <f t="shared" si="199"/>
        <v>#N/A</v>
      </c>
      <c r="J1641" s="2">
        <v>8</v>
      </c>
      <c r="K1641" s="2">
        <v>2</v>
      </c>
      <c r="P1641" s="3">
        <f>E1641*(VLOOKUP(B1641,Price_data!A$1:B$190,2,FALSE))</f>
        <v>6.8168442420000006E-3</v>
      </c>
      <c r="Q1641" s="3" t="e">
        <f>G1641*(VLOOKUP(B1641,Price_data!A$1:B$190,2,FALSE))</f>
        <v>#N/A</v>
      </c>
      <c r="R1641" s="3" t="e">
        <f>I1641*(VLOOKUP(B1641,Price_data!A$1:B$190,2,FALSE))</f>
        <v>#N/A</v>
      </c>
      <c r="S1641" s="4" t="str">
        <f>(VLOOKUP(B1641,Price_data!A$1:C$190,3,FALSE))</f>
        <v>EEZ</v>
      </c>
      <c r="T1641" s="2" t="str">
        <f>IF(C1641="Total", (VLOOKUP(B1641,Recommended_fish_intake!A$4:D$122,4,FALSE)), "NA")</f>
        <v>NA</v>
      </c>
      <c r="U1641" s="2" t="str">
        <f t="shared" si="193"/>
        <v>NA</v>
      </c>
    </row>
    <row r="1642" spans="1:21" ht="14.25" customHeight="1">
      <c r="A1642" s="2" t="s">
        <v>40</v>
      </c>
      <c r="B1642" s="2">
        <v>1978</v>
      </c>
      <c r="C1642" s="2" t="s">
        <v>25</v>
      </c>
      <c r="D1642" s="3">
        <f t="shared" si="194"/>
        <v>0.17699999999999999</v>
      </c>
      <c r="E1642" s="3">
        <f t="shared" si="195"/>
        <v>4.9000000000000002E-2</v>
      </c>
      <c r="F1642" s="3" t="e">
        <f t="shared" si="196"/>
        <v>#N/A</v>
      </c>
      <c r="G1642" s="3" t="e">
        <f t="shared" si="197"/>
        <v>#N/A</v>
      </c>
      <c r="H1642" s="3" t="e">
        <f t="shared" si="198"/>
        <v>#N/A</v>
      </c>
      <c r="I1642" s="3" t="e">
        <f t="shared" si="199"/>
        <v>#N/A</v>
      </c>
      <c r="J1642" s="2">
        <v>177</v>
      </c>
      <c r="K1642" s="2">
        <v>49</v>
      </c>
      <c r="P1642" s="3">
        <f>E1642*(VLOOKUP(B1642,Price_data!A$1:B$190,2,FALSE))</f>
        <v>0.16701268392900001</v>
      </c>
      <c r="Q1642" s="3" t="e">
        <f>G1642*(VLOOKUP(B1642,Price_data!A$1:B$190,2,FALSE))</f>
        <v>#N/A</v>
      </c>
      <c r="R1642" s="3" t="e">
        <f>I1642*(VLOOKUP(B1642,Price_data!A$1:B$190,2,FALSE))</f>
        <v>#N/A</v>
      </c>
      <c r="S1642" s="4" t="str">
        <f>(VLOOKUP(B1642,Price_data!A$1:C$190,3,FALSE))</f>
        <v>EEZ</v>
      </c>
      <c r="T1642" s="2" t="str">
        <f>IF(C1642="Total", (VLOOKUP(B1642,Recommended_fish_intake!A$4:D$122,4,FALSE)), "NA")</f>
        <v>NA</v>
      </c>
      <c r="U1642" s="2" t="str">
        <f t="shared" si="193"/>
        <v>NA</v>
      </c>
    </row>
    <row r="1643" spans="1:21" ht="14.25" customHeight="1">
      <c r="A1643" s="2" t="s">
        <v>40</v>
      </c>
      <c r="B1643" s="2">
        <v>1978</v>
      </c>
      <c r="C1643" s="2" t="s">
        <v>38</v>
      </c>
      <c r="D1643" s="3">
        <f t="shared" si="194"/>
        <v>0.37</v>
      </c>
      <c r="E1643" s="3">
        <f t="shared" si="195"/>
        <v>7.2999999999999995E-2</v>
      </c>
      <c r="F1643" s="3" t="e">
        <f t="shared" si="196"/>
        <v>#N/A</v>
      </c>
      <c r="G1643" s="3" t="e">
        <f t="shared" si="197"/>
        <v>#N/A</v>
      </c>
      <c r="H1643" s="3" t="e">
        <f t="shared" si="198"/>
        <v>#N/A</v>
      </c>
      <c r="I1643" s="3" t="e">
        <f t="shared" si="199"/>
        <v>#N/A</v>
      </c>
      <c r="J1643" s="2">
        <v>370</v>
      </c>
      <c r="K1643" s="2">
        <v>73</v>
      </c>
      <c r="P1643" s="3">
        <f>E1643*(VLOOKUP(B1643,Price_data!A$1:B$190,2,FALSE))</f>
        <v>0.248814814833</v>
      </c>
      <c r="Q1643" s="3" t="e">
        <f>G1643*(VLOOKUP(B1643,Price_data!A$1:B$190,2,FALSE))</f>
        <v>#N/A</v>
      </c>
      <c r="R1643" s="3" t="e">
        <f>I1643*(VLOOKUP(B1643,Price_data!A$1:B$190,2,FALSE))</f>
        <v>#N/A</v>
      </c>
      <c r="S1643" s="4" t="str">
        <f>(VLOOKUP(B1643,Price_data!A$1:C$190,3,FALSE))</f>
        <v>EEZ</v>
      </c>
      <c r="T1643" s="2" t="str">
        <f>IF(C1643="Total", (VLOOKUP(B1643,Recommended_fish_intake!A$4:D$122,4,FALSE)), "NA")</f>
        <v>NA</v>
      </c>
      <c r="U1643" s="2" t="str">
        <f t="shared" si="193"/>
        <v>NA</v>
      </c>
    </row>
    <row r="1644" spans="1:21" ht="14.25" customHeight="1">
      <c r="A1644" s="2" t="s">
        <v>40</v>
      </c>
      <c r="B1644" s="2">
        <v>1978</v>
      </c>
      <c r="C1644" s="2" t="s">
        <v>24</v>
      </c>
      <c r="D1644" s="3">
        <f t="shared" si="194"/>
        <v>3.0880000000000001</v>
      </c>
      <c r="E1644" s="3">
        <f t="shared" si="195"/>
        <v>0.68200000000000005</v>
      </c>
      <c r="F1644" s="3" t="e">
        <f t="shared" si="196"/>
        <v>#N/A</v>
      </c>
      <c r="G1644" s="3" t="e">
        <f t="shared" si="197"/>
        <v>#N/A</v>
      </c>
      <c r="H1644" s="3" t="e">
        <f t="shared" si="198"/>
        <v>#N/A</v>
      </c>
      <c r="I1644" s="3" t="e">
        <f t="shared" si="199"/>
        <v>#N/A</v>
      </c>
      <c r="J1644" s="2">
        <v>3088</v>
      </c>
      <c r="K1644" s="2">
        <v>682</v>
      </c>
      <c r="P1644" s="3">
        <f>E1644*(VLOOKUP(B1644,Price_data!A$1:B$190,2,FALSE))</f>
        <v>2.3245438865220001</v>
      </c>
      <c r="Q1644" s="3" t="e">
        <f>G1644*(VLOOKUP(B1644,Price_data!A$1:B$190,2,FALSE))</f>
        <v>#N/A</v>
      </c>
      <c r="R1644" s="3" t="e">
        <f>I1644*(VLOOKUP(B1644,Price_data!A$1:B$190,2,FALSE))</f>
        <v>#N/A</v>
      </c>
      <c r="S1644" s="4" t="str">
        <f>(VLOOKUP(B1644,Price_data!A$1:C$190,3,FALSE))</f>
        <v>EEZ</v>
      </c>
      <c r="T1644" s="2" t="str">
        <f>IF(C1644="Total", (VLOOKUP(B1644,Recommended_fish_intake!A$4:D$122,4,FALSE)), "NA")</f>
        <v>NA</v>
      </c>
      <c r="U1644" s="2" t="str">
        <f t="shared" si="193"/>
        <v>NA</v>
      </c>
    </row>
    <row r="1645" spans="1:21" ht="14.25" customHeight="1">
      <c r="A1645" s="2" t="s">
        <v>40</v>
      </c>
      <c r="B1645" s="2">
        <v>1978</v>
      </c>
      <c r="C1645" s="2" t="s">
        <v>19</v>
      </c>
      <c r="D1645" s="3">
        <f t="shared" si="194"/>
        <v>1.274</v>
      </c>
      <c r="E1645" s="3">
        <f t="shared" si="195"/>
        <v>0.42699999999999999</v>
      </c>
      <c r="F1645" s="3" t="e">
        <f t="shared" si="196"/>
        <v>#N/A</v>
      </c>
      <c r="G1645" s="3" t="e">
        <f t="shared" si="197"/>
        <v>#N/A</v>
      </c>
      <c r="H1645" s="3" t="e">
        <f t="shared" si="198"/>
        <v>#N/A</v>
      </c>
      <c r="I1645" s="3" t="e">
        <f t="shared" si="199"/>
        <v>#N/A</v>
      </c>
      <c r="J1645" s="2">
        <v>1274</v>
      </c>
      <c r="K1645" s="2">
        <v>427</v>
      </c>
      <c r="P1645" s="3">
        <f>E1645*(VLOOKUP(B1645,Price_data!A$1:B$190,2,FALSE))</f>
        <v>1.455396245667</v>
      </c>
      <c r="Q1645" s="3" t="e">
        <f>G1645*(VLOOKUP(B1645,Price_data!A$1:B$190,2,FALSE))</f>
        <v>#N/A</v>
      </c>
      <c r="R1645" s="3" t="e">
        <f>I1645*(VLOOKUP(B1645,Price_data!A$1:B$190,2,FALSE))</f>
        <v>#N/A</v>
      </c>
      <c r="S1645" s="4" t="str">
        <f>(VLOOKUP(B1645,Price_data!A$1:C$190,3,FALSE))</f>
        <v>EEZ</v>
      </c>
      <c r="T1645" s="2" t="str">
        <f>IF(C1645="Total", (VLOOKUP(B1645,Recommended_fish_intake!A$4:D$122,4,FALSE)), "NA")</f>
        <v>NA</v>
      </c>
      <c r="U1645" s="2" t="str">
        <f t="shared" si="193"/>
        <v>NA</v>
      </c>
    </row>
    <row r="1646" spans="1:21" ht="14.25" customHeight="1">
      <c r="A1646" s="2" t="s">
        <v>40</v>
      </c>
      <c r="B1646" s="2">
        <v>1978</v>
      </c>
      <c r="C1646" s="2" t="s">
        <v>20</v>
      </c>
      <c r="D1646" s="3">
        <f t="shared" si="194"/>
        <v>4.5999999999999999E-2</v>
      </c>
      <c r="E1646" s="3">
        <f t="shared" si="195"/>
        <v>4.0000000000000001E-3</v>
      </c>
      <c r="F1646" s="3" t="e">
        <f t="shared" si="196"/>
        <v>#N/A</v>
      </c>
      <c r="G1646" s="3" t="e">
        <f t="shared" si="197"/>
        <v>#N/A</v>
      </c>
      <c r="H1646" s="3" t="e">
        <f t="shared" si="198"/>
        <v>#N/A</v>
      </c>
      <c r="I1646" s="3" t="e">
        <f t="shared" si="199"/>
        <v>#N/A</v>
      </c>
      <c r="J1646" s="2">
        <v>46</v>
      </c>
      <c r="K1646" s="2">
        <v>4</v>
      </c>
      <c r="P1646" s="3">
        <f>E1646*(VLOOKUP(B1646,Price_data!A$1:B$190,2,FALSE))</f>
        <v>1.3633688484000001E-2</v>
      </c>
      <c r="Q1646" s="3" t="e">
        <f>G1646*(VLOOKUP(B1646,Price_data!A$1:B$190,2,FALSE))</f>
        <v>#N/A</v>
      </c>
      <c r="R1646" s="3" t="e">
        <f>I1646*(VLOOKUP(B1646,Price_data!A$1:B$190,2,FALSE))</f>
        <v>#N/A</v>
      </c>
      <c r="S1646" s="4" t="str">
        <f>(VLOOKUP(B1646,Price_data!A$1:C$190,3,FALSE))</f>
        <v>EEZ</v>
      </c>
      <c r="T1646" s="2" t="str">
        <f>IF(C1646="Total", (VLOOKUP(B1646,Recommended_fish_intake!A$4:D$122,4,FALSE)), "NA")</f>
        <v>NA</v>
      </c>
      <c r="U1646" s="2" t="str">
        <f t="shared" si="193"/>
        <v>NA</v>
      </c>
    </row>
    <row r="1647" spans="1:21" ht="14.25" customHeight="1">
      <c r="A1647" s="2" t="s">
        <v>40</v>
      </c>
      <c r="B1647" s="2">
        <v>1978</v>
      </c>
      <c r="C1647" s="2" t="s">
        <v>21</v>
      </c>
      <c r="D1647" s="3">
        <f t="shared" si="194"/>
        <v>0</v>
      </c>
      <c r="E1647" s="3">
        <f t="shared" si="195"/>
        <v>0</v>
      </c>
      <c r="F1647" s="3" t="e">
        <f t="shared" si="196"/>
        <v>#N/A</v>
      </c>
      <c r="G1647" s="3" t="e">
        <f t="shared" si="197"/>
        <v>#N/A</v>
      </c>
      <c r="H1647" s="3" t="e">
        <f t="shared" si="198"/>
        <v>#N/A</v>
      </c>
      <c r="I1647" s="3" t="e">
        <f t="shared" si="199"/>
        <v>#N/A</v>
      </c>
      <c r="J1647" s="2">
        <v>0</v>
      </c>
      <c r="K1647" s="2">
        <v>0</v>
      </c>
      <c r="P1647" s="3">
        <f>E1647*(VLOOKUP(B1647,Price_data!A$1:B$190,2,FALSE))</f>
        <v>0</v>
      </c>
      <c r="Q1647" s="3" t="e">
        <f>G1647*(VLOOKUP(B1647,Price_data!A$1:B$190,2,FALSE))</f>
        <v>#N/A</v>
      </c>
      <c r="R1647" s="3" t="e">
        <f>I1647*(VLOOKUP(B1647,Price_data!A$1:B$190,2,FALSE))</f>
        <v>#N/A</v>
      </c>
      <c r="S1647" s="4" t="str">
        <f>(VLOOKUP(B1647,Price_data!A$1:C$190,3,FALSE))</f>
        <v>EEZ</v>
      </c>
      <c r="T1647" s="2" t="str">
        <f>IF(C1647="Total", (VLOOKUP(B1647,Recommended_fish_intake!A$4:D$122,4,FALSE)), "NA")</f>
        <v>NA</v>
      </c>
      <c r="U1647" s="2" t="str">
        <f t="shared" si="193"/>
        <v>NA</v>
      </c>
    </row>
    <row r="1648" spans="1:21" ht="14.25" customHeight="1">
      <c r="A1648" s="2" t="s">
        <v>40</v>
      </c>
      <c r="B1648" s="2">
        <v>1978</v>
      </c>
      <c r="C1648" s="2" t="s">
        <v>37</v>
      </c>
      <c r="D1648" s="3">
        <f t="shared" si="194"/>
        <v>6.8419999999999996</v>
      </c>
      <c r="E1648" s="3">
        <f t="shared" si="195"/>
        <v>1.8540000000000001</v>
      </c>
      <c r="F1648" s="3" t="e">
        <f t="shared" si="196"/>
        <v>#N/A</v>
      </c>
      <c r="G1648" s="3" t="e">
        <f t="shared" si="197"/>
        <v>#N/A</v>
      </c>
      <c r="H1648" s="3" t="e">
        <f t="shared" si="198"/>
        <v>#N/A</v>
      </c>
      <c r="I1648" s="3" t="e">
        <f t="shared" si="199"/>
        <v>#N/A</v>
      </c>
      <c r="J1648" s="2">
        <v>6842</v>
      </c>
      <c r="K1648" s="2">
        <v>1854</v>
      </c>
      <c r="P1648" s="3">
        <f>E1648*(VLOOKUP(B1648,Price_data!A$1:B$190,2,FALSE))</f>
        <v>6.3192146123340001</v>
      </c>
      <c r="Q1648" s="3" t="e">
        <f>G1648*(VLOOKUP(B1648,Price_data!A$1:B$190,2,FALSE))</f>
        <v>#N/A</v>
      </c>
      <c r="R1648" s="3" t="e">
        <f>I1648*(VLOOKUP(B1648,Price_data!A$1:B$190,2,FALSE))</f>
        <v>#N/A</v>
      </c>
      <c r="S1648" s="4" t="str">
        <f>(VLOOKUP(B1648,Price_data!A$1:C$190,3,FALSE))</f>
        <v>EEZ</v>
      </c>
      <c r="T1648" s="2" t="str">
        <f>IF(C1648="Total", (VLOOKUP(B1648,Recommended_fish_intake!A$4:D$122,4,FALSE)), "NA")</f>
        <v>NA</v>
      </c>
      <c r="U1648" s="2">
        <f t="shared" si="193"/>
        <v>3.3525799999999997</v>
      </c>
    </row>
    <row r="1649" spans="1:21" ht="14.25" customHeight="1">
      <c r="A1649" s="2" t="s">
        <v>40</v>
      </c>
      <c r="B1649" s="2">
        <v>1978</v>
      </c>
      <c r="C1649" s="2" t="s">
        <v>36</v>
      </c>
      <c r="D1649" s="3">
        <f t="shared" si="194"/>
        <v>2E-3</v>
      </c>
      <c r="E1649" s="3">
        <f t="shared" si="195"/>
        <v>1E-3</v>
      </c>
      <c r="F1649" s="3" t="e">
        <f t="shared" si="196"/>
        <v>#N/A</v>
      </c>
      <c r="G1649" s="3" t="e">
        <f t="shared" si="197"/>
        <v>#N/A</v>
      </c>
      <c r="H1649" s="3" t="e">
        <f t="shared" si="198"/>
        <v>#N/A</v>
      </c>
      <c r="I1649" s="3" t="e">
        <f t="shared" si="199"/>
        <v>#N/A</v>
      </c>
      <c r="J1649" s="2">
        <v>2</v>
      </c>
      <c r="K1649" s="2">
        <v>1</v>
      </c>
      <c r="P1649" s="3">
        <f>E1649*(VLOOKUP(B1649,Price_data!A$1:B$190,2,FALSE))</f>
        <v>3.4084221210000003E-3</v>
      </c>
      <c r="Q1649" s="3" t="e">
        <f>G1649*(VLOOKUP(B1649,Price_data!A$1:B$190,2,FALSE))</f>
        <v>#N/A</v>
      </c>
      <c r="R1649" s="3" t="e">
        <f>I1649*(VLOOKUP(B1649,Price_data!A$1:B$190,2,FALSE))</f>
        <v>#N/A</v>
      </c>
      <c r="S1649" s="4" t="str">
        <f>(VLOOKUP(B1649,Price_data!A$1:C$190,3,FALSE))</f>
        <v>EEZ</v>
      </c>
      <c r="T1649" s="2" t="str">
        <f>IF(C1649="Total", (VLOOKUP(B1649,Recommended_fish_intake!A$4:D$122,4,FALSE)), "NA")</f>
        <v>NA</v>
      </c>
      <c r="U1649" s="2" t="str">
        <f t="shared" si="193"/>
        <v>NA</v>
      </c>
    </row>
    <row r="1650" spans="1:21" ht="14.25" customHeight="1">
      <c r="A1650" s="2" t="s">
        <v>40</v>
      </c>
      <c r="B1650" s="2">
        <v>1978</v>
      </c>
      <c r="C1650" s="2" t="s">
        <v>52</v>
      </c>
      <c r="D1650" s="3">
        <f t="shared" si="194"/>
        <v>0.16500000000000001</v>
      </c>
      <c r="E1650" s="3">
        <f t="shared" si="195"/>
        <v>0.123</v>
      </c>
      <c r="F1650" s="3" t="e">
        <f t="shared" si="196"/>
        <v>#N/A</v>
      </c>
      <c r="G1650" s="3" t="e">
        <f t="shared" si="197"/>
        <v>#N/A</v>
      </c>
      <c r="H1650" s="3" t="e">
        <f t="shared" si="198"/>
        <v>#N/A</v>
      </c>
      <c r="I1650" s="3" t="e">
        <f t="shared" si="199"/>
        <v>#N/A</v>
      </c>
      <c r="J1650" s="2">
        <v>165</v>
      </c>
      <c r="K1650" s="2">
        <v>123</v>
      </c>
      <c r="P1650" s="3">
        <f>E1650*(VLOOKUP(B1650,Price_data!A$1:B$190,2,FALSE))</f>
        <v>0.41923592088299999</v>
      </c>
      <c r="Q1650" s="3" t="e">
        <f>G1650*(VLOOKUP(B1650,Price_data!A$1:B$190,2,FALSE))</f>
        <v>#N/A</v>
      </c>
      <c r="R1650" s="3" t="e">
        <f>I1650*(VLOOKUP(B1650,Price_data!A$1:B$190,2,FALSE))</f>
        <v>#N/A</v>
      </c>
      <c r="S1650" s="4" t="str">
        <f>(VLOOKUP(B1650,Price_data!A$1:C$190,3,FALSE))</f>
        <v>EEZ</v>
      </c>
      <c r="T1650" s="2" t="str">
        <f>IF(C1650="Total", (VLOOKUP(B1650,Recommended_fish_intake!A$4:D$122,4,FALSE)), "NA")</f>
        <v>NA</v>
      </c>
      <c r="U1650" s="2" t="str">
        <f t="shared" si="193"/>
        <v>NA</v>
      </c>
    </row>
    <row r="1651" spans="1:21" ht="14.25" customHeight="1">
      <c r="A1651" s="2" t="s">
        <v>40</v>
      </c>
      <c r="B1651" s="2">
        <v>1978</v>
      </c>
      <c r="C1651" s="2" t="s">
        <v>34</v>
      </c>
      <c r="D1651" s="3">
        <f t="shared" si="194"/>
        <v>1.4999999999999999E-2</v>
      </c>
      <c r="E1651" s="3">
        <f t="shared" si="195"/>
        <v>7.4999999999999997E-2</v>
      </c>
      <c r="F1651" s="3" t="e">
        <f t="shared" si="196"/>
        <v>#N/A</v>
      </c>
      <c r="G1651" s="3" t="e">
        <f t="shared" si="197"/>
        <v>#N/A</v>
      </c>
      <c r="H1651" s="3" t="e">
        <f t="shared" si="198"/>
        <v>#N/A</v>
      </c>
      <c r="I1651" s="3" t="e">
        <f t="shared" si="199"/>
        <v>#N/A</v>
      </c>
      <c r="J1651" s="2">
        <v>15</v>
      </c>
      <c r="K1651" s="2">
        <v>75</v>
      </c>
      <c r="P1651" s="3">
        <f>E1651*(VLOOKUP(B1651,Price_data!A$1:B$190,2,FALSE))</f>
        <v>0.25563165907500002</v>
      </c>
      <c r="Q1651" s="3" t="e">
        <f>G1651*(VLOOKUP(B1651,Price_data!A$1:B$190,2,FALSE))</f>
        <v>#N/A</v>
      </c>
      <c r="R1651" s="3" t="e">
        <f>I1651*(VLOOKUP(B1651,Price_data!A$1:B$190,2,FALSE))</f>
        <v>#N/A</v>
      </c>
      <c r="S1651" s="4" t="str">
        <f>(VLOOKUP(B1651,Price_data!A$1:C$190,3,FALSE))</f>
        <v>EEZ</v>
      </c>
      <c r="T1651" s="2" t="str">
        <f>IF(C1651="Total", (VLOOKUP(B1651,Recommended_fish_intake!A$4:D$122,4,FALSE)), "NA")</f>
        <v>NA</v>
      </c>
      <c r="U1651" s="2" t="str">
        <f t="shared" si="193"/>
        <v>NA</v>
      </c>
    </row>
    <row r="1652" spans="1:21" ht="14.25" customHeight="1">
      <c r="A1652" s="2" t="s">
        <v>40</v>
      </c>
      <c r="B1652" s="2">
        <v>1978</v>
      </c>
      <c r="C1652" s="2" t="s">
        <v>35</v>
      </c>
      <c r="D1652" s="3">
        <f t="shared" si="194"/>
        <v>4.1189999999999998</v>
      </c>
      <c r="E1652" s="3">
        <f t="shared" si="195"/>
        <v>2.6779999999999999</v>
      </c>
      <c r="F1652" s="3" t="e">
        <f t="shared" si="196"/>
        <v>#N/A</v>
      </c>
      <c r="G1652" s="3" t="e">
        <f t="shared" si="197"/>
        <v>#N/A</v>
      </c>
      <c r="H1652" s="3" t="e">
        <f t="shared" si="198"/>
        <v>#N/A</v>
      </c>
      <c r="I1652" s="3" t="e">
        <f t="shared" si="199"/>
        <v>#N/A</v>
      </c>
      <c r="J1652" s="2">
        <v>4119</v>
      </c>
      <c r="K1652" s="2">
        <v>2678</v>
      </c>
      <c r="P1652" s="3">
        <f>E1652*(VLOOKUP(B1652,Price_data!A$1:B$190,2,FALSE))</f>
        <v>9.1277544400380002</v>
      </c>
      <c r="Q1652" s="3" t="e">
        <f>G1652*(VLOOKUP(B1652,Price_data!A$1:B$190,2,FALSE))</f>
        <v>#N/A</v>
      </c>
      <c r="R1652" s="3" t="e">
        <f>I1652*(VLOOKUP(B1652,Price_data!A$1:B$190,2,FALSE))</f>
        <v>#N/A</v>
      </c>
      <c r="S1652" s="4" t="str">
        <f>(VLOOKUP(B1652,Price_data!A$1:C$190,3,FALSE))</f>
        <v>EEZ</v>
      </c>
      <c r="T1652" s="2" t="str">
        <f>IF(C1652="Total", (VLOOKUP(B1652,Recommended_fish_intake!A$4:D$122,4,FALSE)), "NA")</f>
        <v>NA</v>
      </c>
      <c r="U1652" s="2" t="str">
        <f t="shared" si="193"/>
        <v>NA</v>
      </c>
    </row>
    <row r="1653" spans="1:21" ht="14.25" customHeight="1">
      <c r="A1653" s="2" t="s">
        <v>40</v>
      </c>
      <c r="B1653" s="2">
        <v>1978</v>
      </c>
      <c r="C1653" s="2" t="s">
        <v>30</v>
      </c>
      <c r="D1653" s="3">
        <f t="shared" si="194"/>
        <v>0</v>
      </c>
      <c r="E1653" s="3">
        <f t="shared" si="195"/>
        <v>0</v>
      </c>
      <c r="F1653" s="3" t="e">
        <f t="shared" si="196"/>
        <v>#N/A</v>
      </c>
      <c r="G1653" s="3" t="e">
        <f t="shared" si="197"/>
        <v>#N/A</v>
      </c>
      <c r="H1653" s="3" t="e">
        <f t="shared" si="198"/>
        <v>#N/A</v>
      </c>
      <c r="I1653" s="3" t="e">
        <f t="shared" si="199"/>
        <v>#N/A</v>
      </c>
      <c r="J1653" s="2">
        <v>0</v>
      </c>
      <c r="K1653" s="2">
        <v>0</v>
      </c>
      <c r="P1653" s="3">
        <f>E1653*(VLOOKUP(B1653,Price_data!A$1:B$190,2,FALSE))</f>
        <v>0</v>
      </c>
      <c r="Q1653" s="3" t="e">
        <f>G1653*(VLOOKUP(B1653,Price_data!A$1:B$190,2,FALSE))</f>
        <v>#N/A</v>
      </c>
      <c r="R1653" s="3" t="e">
        <f>I1653*(VLOOKUP(B1653,Price_data!A$1:B$190,2,FALSE))</f>
        <v>#N/A</v>
      </c>
      <c r="S1653" s="4" t="str">
        <f>(VLOOKUP(B1653,Price_data!A$1:C$190,3,FALSE))</f>
        <v>EEZ</v>
      </c>
      <c r="T1653" s="2" t="str">
        <f>IF(C1653="Total", (VLOOKUP(B1653,Recommended_fish_intake!A$4:D$122,4,FALSE)), "NA")</f>
        <v>NA</v>
      </c>
      <c r="U1653" s="2" t="str">
        <f t="shared" si="193"/>
        <v>NA</v>
      </c>
    </row>
    <row r="1654" spans="1:21" ht="14.25" customHeight="1">
      <c r="A1654" s="2" t="s">
        <v>40</v>
      </c>
      <c r="B1654" s="2">
        <v>1978</v>
      </c>
      <c r="C1654" s="2" t="s">
        <v>28</v>
      </c>
      <c r="D1654" s="3">
        <f t="shared" si="194"/>
        <v>4.681</v>
      </c>
      <c r="E1654" s="3">
        <f t="shared" si="195"/>
        <v>2.9950000000000001</v>
      </c>
      <c r="F1654" s="3" t="e">
        <f t="shared" si="196"/>
        <v>#N/A</v>
      </c>
      <c r="G1654" s="3" t="e">
        <f t="shared" si="197"/>
        <v>#N/A</v>
      </c>
      <c r="H1654" s="3" t="e">
        <f t="shared" si="198"/>
        <v>#N/A</v>
      </c>
      <c r="I1654" s="3" t="e">
        <f t="shared" si="199"/>
        <v>#N/A</v>
      </c>
      <c r="J1654" s="2">
        <v>4681</v>
      </c>
      <c r="K1654" s="2">
        <v>2995</v>
      </c>
      <c r="P1654" s="3">
        <f>E1654*(VLOOKUP(B1654,Price_data!A$1:B$190,2,FALSE))</f>
        <v>10.208224252395</v>
      </c>
      <c r="Q1654" s="3" t="e">
        <f>G1654*(VLOOKUP(B1654,Price_data!A$1:B$190,2,FALSE))</f>
        <v>#N/A</v>
      </c>
      <c r="R1654" s="3" t="e">
        <f>I1654*(VLOOKUP(B1654,Price_data!A$1:B$190,2,FALSE))</f>
        <v>#N/A</v>
      </c>
      <c r="S1654" s="4" t="str">
        <f>(VLOOKUP(B1654,Price_data!A$1:C$190,3,FALSE))</f>
        <v>EEZ</v>
      </c>
      <c r="T1654" s="2" t="str">
        <f>IF(C1654="Total", (VLOOKUP(B1654,Recommended_fish_intake!A$4:D$122,4,FALSE)), "NA")</f>
        <v>NA</v>
      </c>
      <c r="U1654" s="2">
        <f t="shared" si="193"/>
        <v>1.3106800000000001</v>
      </c>
    </row>
    <row r="1655" spans="1:21" ht="14.25" customHeight="1">
      <c r="A1655" s="2" t="s">
        <v>15</v>
      </c>
      <c r="B1655" s="2">
        <v>1978</v>
      </c>
      <c r="C1655" s="2" t="s">
        <v>22</v>
      </c>
      <c r="D1655" s="3">
        <f t="shared" si="194"/>
        <v>126.39100000000001</v>
      </c>
      <c r="E1655" s="3">
        <f t="shared" si="195"/>
        <v>67.393000000000001</v>
      </c>
      <c r="F1655" s="3" t="e">
        <f t="shared" si="196"/>
        <v>#N/A</v>
      </c>
      <c r="G1655" s="3" t="e">
        <f t="shared" si="197"/>
        <v>#N/A</v>
      </c>
      <c r="H1655" s="3">
        <f t="shared" si="198"/>
        <v>99.504999999999995</v>
      </c>
      <c r="I1655" s="3">
        <f t="shared" si="199"/>
        <v>79.915000000000006</v>
      </c>
      <c r="J1655" s="2">
        <v>126391</v>
      </c>
      <c r="K1655" s="2">
        <v>67393</v>
      </c>
      <c r="N1655" s="2">
        <f>43253+686+45870+8931+765</f>
        <v>99505</v>
      </c>
      <c r="O1655" s="2">
        <f>20886+790+53000+4671+568</f>
        <v>79915</v>
      </c>
      <c r="P1655" s="3">
        <f>E1655*(VLOOKUP(B1655,Price_data!A$1:B$190,2,FALSE))</f>
        <v>229.70379200055299</v>
      </c>
      <c r="Q1655" s="3" t="e">
        <f>G1655*(VLOOKUP(B1655,Price_data!A$1:B$190,2,FALSE))</f>
        <v>#N/A</v>
      </c>
      <c r="R1655" s="3">
        <f>I1655*(VLOOKUP(B1655,Price_data!A$1:B$190,2,FALSE))</f>
        <v>272.38405379971505</v>
      </c>
      <c r="S1655" s="4" t="str">
        <f>(VLOOKUP(B1655,Price_data!A$1:C$190,3,FALSE))</f>
        <v>EEZ</v>
      </c>
      <c r="T1655" s="2" t="str">
        <f>IF(C1655="Total", (VLOOKUP(B1655,Recommended_fish_intake!A$4:D$122,4,FALSE)), "NA")</f>
        <v>NA</v>
      </c>
      <c r="U1655" s="2" t="str">
        <f t="shared" si="193"/>
        <v>NA</v>
      </c>
    </row>
    <row r="1656" spans="1:21" ht="14.25" customHeight="1">
      <c r="A1656" s="2" t="s">
        <v>15</v>
      </c>
      <c r="B1656" s="2">
        <v>1978</v>
      </c>
      <c r="C1656" s="2" t="s">
        <v>23</v>
      </c>
      <c r="D1656" s="3">
        <f t="shared" si="194"/>
        <v>82.399000000000001</v>
      </c>
      <c r="E1656" s="3">
        <f t="shared" si="195"/>
        <v>39.356999999999999</v>
      </c>
      <c r="F1656" s="3" t="e">
        <f t="shared" si="196"/>
        <v>#N/A</v>
      </c>
      <c r="G1656" s="3" t="e">
        <f t="shared" si="197"/>
        <v>#N/A</v>
      </c>
      <c r="H1656" s="3">
        <f t="shared" si="198"/>
        <v>12.996</v>
      </c>
      <c r="I1656" s="3">
        <f t="shared" si="199"/>
        <v>11.117000000000001</v>
      </c>
      <c r="J1656" s="2">
        <v>82399</v>
      </c>
      <c r="K1656" s="2">
        <v>39357</v>
      </c>
      <c r="N1656" s="2">
        <f>5349+94+6762+791</f>
        <v>12996</v>
      </c>
      <c r="O1656" s="2">
        <f>2788+142+7795+392</f>
        <v>11117</v>
      </c>
      <c r="P1656" s="3">
        <f>E1656*(VLOOKUP(B1656,Price_data!A$1:B$190,2,FALSE))</f>
        <v>134.14526941619701</v>
      </c>
      <c r="Q1656" s="3" t="e">
        <f>G1656*(VLOOKUP(B1656,Price_data!A$1:B$190,2,FALSE))</f>
        <v>#N/A</v>
      </c>
      <c r="R1656" s="3">
        <f>I1656*(VLOOKUP(B1656,Price_data!A$1:B$190,2,FALSE))</f>
        <v>37.891428719157005</v>
      </c>
      <c r="S1656" s="4" t="str">
        <f>(VLOOKUP(B1656,Price_data!A$1:C$190,3,FALSE))</f>
        <v>EEZ</v>
      </c>
      <c r="T1656" s="2" t="str">
        <f>IF(C1656="Total", (VLOOKUP(B1656,Recommended_fish_intake!A$4:D$122,4,FALSE)), "NA")</f>
        <v>NA</v>
      </c>
      <c r="U1656" s="2" t="str">
        <f t="shared" si="193"/>
        <v>NA</v>
      </c>
    </row>
    <row r="1657" spans="1:21" ht="14.25" customHeight="1">
      <c r="A1657" s="2" t="s">
        <v>15</v>
      </c>
      <c r="B1657" s="2">
        <v>1978</v>
      </c>
      <c r="C1657" s="2" t="s">
        <v>25</v>
      </c>
      <c r="D1657" s="3">
        <f t="shared" si="194"/>
        <v>31.975999999999999</v>
      </c>
      <c r="E1657" s="3">
        <f t="shared" si="195"/>
        <v>15.98</v>
      </c>
      <c r="F1657" s="3" t="e">
        <f t="shared" si="196"/>
        <v>#N/A</v>
      </c>
      <c r="G1657" s="3" t="e">
        <f t="shared" si="197"/>
        <v>#N/A</v>
      </c>
      <c r="H1657" s="3">
        <f t="shared" si="198"/>
        <v>18.202999999999999</v>
      </c>
      <c r="I1657" s="3">
        <f t="shared" si="199"/>
        <v>10.787000000000001</v>
      </c>
      <c r="J1657" s="2">
        <v>31976</v>
      </c>
      <c r="K1657" s="2">
        <v>15980</v>
      </c>
      <c r="N1657" s="2">
        <f>15961+1275+967</f>
        <v>18203</v>
      </c>
      <c r="O1657" s="2">
        <f>8626+1719+442</f>
        <v>10787</v>
      </c>
      <c r="P1657" s="3">
        <f>E1657*(VLOOKUP(B1657,Price_data!A$1:B$190,2,FALSE))</f>
        <v>54.466585493580006</v>
      </c>
      <c r="Q1657" s="3" t="e">
        <f>G1657*(VLOOKUP(B1657,Price_data!A$1:B$190,2,FALSE))</f>
        <v>#N/A</v>
      </c>
      <c r="R1657" s="3">
        <f>I1657*(VLOOKUP(B1657,Price_data!A$1:B$190,2,FALSE))</f>
        <v>36.766649419227001</v>
      </c>
      <c r="S1657" s="4" t="str">
        <f>(VLOOKUP(B1657,Price_data!A$1:C$190,3,FALSE))</f>
        <v>EEZ</v>
      </c>
      <c r="T1657" s="2" t="str">
        <f>IF(C1657="Total", (VLOOKUP(B1657,Recommended_fish_intake!A$4:D$122,4,FALSE)), "NA")</f>
        <v>NA</v>
      </c>
      <c r="U1657" s="2" t="str">
        <f t="shared" si="193"/>
        <v>NA</v>
      </c>
    </row>
    <row r="1658" spans="1:21" ht="14.25" customHeight="1">
      <c r="A1658" s="2" t="s">
        <v>15</v>
      </c>
      <c r="B1658" s="2">
        <v>1978</v>
      </c>
      <c r="C1658" s="2" t="s">
        <v>38</v>
      </c>
      <c r="D1658" s="3">
        <f t="shared" si="194"/>
        <v>31.206</v>
      </c>
      <c r="E1658" s="3">
        <f t="shared" si="195"/>
        <v>8.5690000000000008</v>
      </c>
      <c r="F1658" s="3" t="e">
        <f t="shared" si="196"/>
        <v>#N/A</v>
      </c>
      <c r="G1658" s="3" t="e">
        <f t="shared" si="197"/>
        <v>#N/A</v>
      </c>
      <c r="H1658" s="3">
        <f t="shared" si="198"/>
        <v>2.9079999999999999</v>
      </c>
      <c r="I1658" s="3">
        <f t="shared" si="199"/>
        <v>0.746</v>
      </c>
      <c r="J1658" s="2">
        <v>31206</v>
      </c>
      <c r="K1658" s="2">
        <v>8569</v>
      </c>
      <c r="N1658" s="2">
        <v>2908</v>
      </c>
      <c r="O1658" s="2">
        <v>746</v>
      </c>
      <c r="P1658" s="3">
        <f>E1658*(VLOOKUP(B1658,Price_data!A$1:B$190,2,FALSE))</f>
        <v>29.206769154849002</v>
      </c>
      <c r="Q1658" s="3" t="e">
        <f>G1658*(VLOOKUP(B1658,Price_data!A$1:B$190,2,FALSE))</f>
        <v>#N/A</v>
      </c>
      <c r="R1658" s="3">
        <f>I1658*(VLOOKUP(B1658,Price_data!A$1:B$190,2,FALSE))</f>
        <v>2.5426829022660002</v>
      </c>
      <c r="S1658" s="4" t="str">
        <f>(VLOOKUP(B1658,Price_data!A$1:C$190,3,FALSE))</f>
        <v>EEZ</v>
      </c>
      <c r="T1658" s="2" t="str">
        <f>IF(C1658="Total", (VLOOKUP(B1658,Recommended_fish_intake!A$4:D$122,4,FALSE)), "NA")</f>
        <v>NA</v>
      </c>
      <c r="U1658" s="2" t="str">
        <f t="shared" si="193"/>
        <v>NA</v>
      </c>
    </row>
    <row r="1659" spans="1:21" ht="14.25" customHeight="1">
      <c r="A1659" s="2" t="s">
        <v>15</v>
      </c>
      <c r="B1659" s="2">
        <v>1978</v>
      </c>
      <c r="C1659" s="2" t="s">
        <v>24</v>
      </c>
      <c r="D1659" s="3">
        <f t="shared" si="194"/>
        <v>57.953000000000003</v>
      </c>
      <c r="E1659" s="3">
        <f t="shared" si="195"/>
        <v>16.664999999999999</v>
      </c>
      <c r="F1659" s="3" t="e">
        <f t="shared" si="196"/>
        <v>#N/A</v>
      </c>
      <c r="G1659" s="3" t="e">
        <f t="shared" si="197"/>
        <v>#N/A</v>
      </c>
      <c r="H1659" s="3" t="e">
        <f t="shared" si="198"/>
        <v>#N/A</v>
      </c>
      <c r="I1659" s="3" t="e">
        <f t="shared" si="199"/>
        <v>#N/A</v>
      </c>
      <c r="J1659" s="2">
        <v>57953</v>
      </c>
      <c r="K1659" s="2">
        <v>16665</v>
      </c>
      <c r="P1659" s="3">
        <f>E1659*(VLOOKUP(B1659,Price_data!A$1:B$190,2,FALSE))</f>
        <v>56.801354646465001</v>
      </c>
      <c r="Q1659" s="3" t="e">
        <f>G1659*(VLOOKUP(B1659,Price_data!A$1:B$190,2,FALSE))</f>
        <v>#N/A</v>
      </c>
      <c r="R1659" s="3" t="e">
        <f>I1659*(VLOOKUP(B1659,Price_data!A$1:B$190,2,FALSE))</f>
        <v>#N/A</v>
      </c>
      <c r="S1659" s="4" t="str">
        <f>(VLOOKUP(B1659,Price_data!A$1:C$190,3,FALSE))</f>
        <v>EEZ</v>
      </c>
      <c r="T1659" s="2" t="str">
        <f>IF(C1659="Total", (VLOOKUP(B1659,Recommended_fish_intake!A$4:D$122,4,FALSE)), "NA")</f>
        <v>NA</v>
      </c>
      <c r="U1659" s="2" t="str">
        <f t="shared" si="193"/>
        <v>NA</v>
      </c>
    </row>
    <row r="1660" spans="1:21" ht="14.25" customHeight="1">
      <c r="A1660" s="2" t="s">
        <v>15</v>
      </c>
      <c r="B1660" s="2">
        <v>1978</v>
      </c>
      <c r="C1660" s="2" t="s">
        <v>19</v>
      </c>
      <c r="D1660" s="3">
        <f t="shared" si="194"/>
        <v>15.968999999999999</v>
      </c>
      <c r="E1660" s="3">
        <f t="shared" si="195"/>
        <v>6.2329999999999997</v>
      </c>
      <c r="F1660" s="3" t="e">
        <f t="shared" si="196"/>
        <v>#N/A</v>
      </c>
      <c r="G1660" s="3" t="e">
        <f t="shared" si="197"/>
        <v>#N/A</v>
      </c>
      <c r="H1660" s="3">
        <f t="shared" si="198"/>
        <v>11.499000000000001</v>
      </c>
      <c r="I1660" s="3">
        <f t="shared" si="199"/>
        <v>5.5940000000000003</v>
      </c>
      <c r="J1660" s="2">
        <v>15969</v>
      </c>
      <c r="K1660" s="2">
        <v>6233</v>
      </c>
      <c r="N1660" s="2">
        <f>2877+6166+2046+410</f>
        <v>11499</v>
      </c>
      <c r="O1660" s="2">
        <f>1159+2839+1051+545</f>
        <v>5594</v>
      </c>
      <c r="P1660" s="3">
        <f>E1660*(VLOOKUP(B1660,Price_data!A$1:B$190,2,FALSE))</f>
        <v>21.244695080193001</v>
      </c>
      <c r="Q1660" s="3" t="e">
        <f>G1660*(VLOOKUP(B1660,Price_data!A$1:B$190,2,FALSE))</f>
        <v>#N/A</v>
      </c>
      <c r="R1660" s="3">
        <f>I1660*(VLOOKUP(B1660,Price_data!A$1:B$190,2,FALSE))</f>
        <v>19.066713344874003</v>
      </c>
      <c r="S1660" s="4" t="str">
        <f>(VLOOKUP(B1660,Price_data!A$1:C$190,3,FALSE))</f>
        <v>EEZ</v>
      </c>
      <c r="T1660" s="2" t="str">
        <f>IF(C1660="Total", (VLOOKUP(B1660,Recommended_fish_intake!A$4:D$122,4,FALSE)), "NA")</f>
        <v>NA</v>
      </c>
      <c r="U1660" s="2" t="str">
        <f t="shared" si="193"/>
        <v>NA</v>
      </c>
    </row>
    <row r="1661" spans="1:21" ht="14.25" customHeight="1">
      <c r="A1661" s="2" t="s">
        <v>15</v>
      </c>
      <c r="B1661" s="2">
        <v>1978</v>
      </c>
      <c r="C1661" s="2" t="s">
        <v>20</v>
      </c>
      <c r="D1661" s="3">
        <f t="shared" si="194"/>
        <v>320.95999999999998</v>
      </c>
      <c r="E1661" s="3">
        <f t="shared" si="195"/>
        <v>31.001000000000001</v>
      </c>
      <c r="F1661" s="3" t="e">
        <f t="shared" si="196"/>
        <v>#N/A</v>
      </c>
      <c r="G1661" s="3" t="e">
        <f t="shared" si="197"/>
        <v>#N/A</v>
      </c>
      <c r="H1661" s="3">
        <f t="shared" si="198"/>
        <v>1.254</v>
      </c>
      <c r="I1661" s="3">
        <f t="shared" si="199"/>
        <v>0.997</v>
      </c>
      <c r="J1661" s="2">
        <v>320960</v>
      </c>
      <c r="K1661" s="2">
        <v>31001</v>
      </c>
      <c r="N1661" s="2">
        <v>1254</v>
      </c>
      <c r="O1661" s="2">
        <v>997</v>
      </c>
      <c r="P1661" s="3">
        <f>E1661*(VLOOKUP(B1661,Price_data!A$1:B$190,2,FALSE))</f>
        <v>105.664494173121</v>
      </c>
      <c r="Q1661" s="3" t="e">
        <f>G1661*(VLOOKUP(B1661,Price_data!A$1:B$190,2,FALSE))</f>
        <v>#N/A</v>
      </c>
      <c r="R1661" s="3">
        <f>I1661*(VLOOKUP(B1661,Price_data!A$1:B$190,2,FALSE))</f>
        <v>3.3981968546370003</v>
      </c>
      <c r="S1661" s="4" t="str">
        <f>(VLOOKUP(B1661,Price_data!A$1:C$190,3,FALSE))</f>
        <v>EEZ</v>
      </c>
      <c r="T1661" s="2" t="str">
        <f>IF(C1661="Total", (VLOOKUP(B1661,Recommended_fish_intake!A$4:D$122,4,FALSE)), "NA")</f>
        <v>NA</v>
      </c>
      <c r="U1661" s="2" t="str">
        <f t="shared" si="193"/>
        <v>NA</v>
      </c>
    </row>
    <row r="1662" spans="1:21" ht="14.25" customHeight="1">
      <c r="A1662" s="2" t="s">
        <v>15</v>
      </c>
      <c r="B1662" s="2">
        <v>1978</v>
      </c>
      <c r="C1662" s="2" t="s">
        <v>21</v>
      </c>
      <c r="D1662" s="3">
        <f t="shared" si="194"/>
        <v>102.458</v>
      </c>
      <c r="E1662" s="3">
        <f t="shared" si="195"/>
        <v>4.9889999999999999</v>
      </c>
      <c r="F1662" s="3" t="e">
        <f t="shared" si="196"/>
        <v>#N/A</v>
      </c>
      <c r="G1662" s="3" t="e">
        <f t="shared" si="197"/>
        <v>#N/A</v>
      </c>
      <c r="H1662" s="3" t="e">
        <f t="shared" si="198"/>
        <v>#N/A</v>
      </c>
      <c r="I1662" s="3" t="e">
        <f t="shared" si="199"/>
        <v>#N/A</v>
      </c>
      <c r="J1662" s="2">
        <v>102458</v>
      </c>
      <c r="K1662" s="2">
        <v>4989</v>
      </c>
      <c r="P1662" s="3">
        <f>E1662*(VLOOKUP(B1662,Price_data!A$1:B$190,2,FALSE))</f>
        <v>17.004617961668998</v>
      </c>
      <c r="Q1662" s="3" t="e">
        <f>G1662*(VLOOKUP(B1662,Price_data!A$1:B$190,2,FALSE))</f>
        <v>#N/A</v>
      </c>
      <c r="R1662" s="3" t="e">
        <f>I1662*(VLOOKUP(B1662,Price_data!A$1:B$190,2,FALSE))</f>
        <v>#N/A</v>
      </c>
      <c r="S1662" s="4" t="str">
        <f>(VLOOKUP(B1662,Price_data!A$1:C$190,3,FALSE))</f>
        <v>EEZ</v>
      </c>
      <c r="T1662" s="2" t="str">
        <f>IF(C1662="Total", (VLOOKUP(B1662,Recommended_fish_intake!A$4:D$122,4,FALSE)), "NA")</f>
        <v>NA</v>
      </c>
      <c r="U1662" s="2" t="str">
        <f t="shared" si="193"/>
        <v>NA</v>
      </c>
    </row>
    <row r="1663" spans="1:21" ht="14.25" customHeight="1">
      <c r="A1663" s="2" t="s">
        <v>15</v>
      </c>
      <c r="B1663" s="2">
        <v>1978</v>
      </c>
      <c r="C1663" s="2" t="s">
        <v>37</v>
      </c>
      <c r="D1663" s="3">
        <f t="shared" si="194"/>
        <v>887.47799999999995</v>
      </c>
      <c r="E1663" s="3">
        <f t="shared" si="195"/>
        <v>221.27199999999999</v>
      </c>
      <c r="F1663" s="3">
        <f t="shared" si="196"/>
        <v>332.29399999999998</v>
      </c>
      <c r="G1663" s="3">
        <f t="shared" si="197"/>
        <v>102.96</v>
      </c>
      <c r="H1663" s="3">
        <f t="shared" si="198"/>
        <v>230.40700000000001</v>
      </c>
      <c r="I1663" s="3">
        <f t="shared" si="199"/>
        <v>206.23400000000001</v>
      </c>
      <c r="J1663" s="2">
        <v>887478</v>
      </c>
      <c r="K1663" s="2">
        <v>221272</v>
      </c>
      <c r="L1663" s="2">
        <v>332294</v>
      </c>
      <c r="M1663" s="2">
        <v>102960</v>
      </c>
      <c r="N1663" s="2">
        <v>230407</v>
      </c>
      <c r="O1663" s="2">
        <v>206234</v>
      </c>
      <c r="P1663" s="3">
        <f>E1663*(VLOOKUP(B1663,Price_data!A$1:B$190,2,FALSE))</f>
        <v>754.18837955791196</v>
      </c>
      <c r="Q1663" s="3">
        <f>G1663*(VLOOKUP(B1663,Price_data!A$1:B$190,2,FALSE))</f>
        <v>350.93114157816001</v>
      </c>
      <c r="R1663" s="3">
        <f>I1663*(VLOOKUP(B1663,Price_data!A$1:B$190,2,FALSE))</f>
        <v>702.93252770231402</v>
      </c>
      <c r="S1663" s="4" t="str">
        <f>(VLOOKUP(B1663,Price_data!A$1:C$190,3,FALSE))</f>
        <v>EEZ</v>
      </c>
      <c r="T1663" s="2" t="str">
        <f>IF(C1663="Total", (VLOOKUP(B1663,Recommended_fish_intake!A$4:D$122,4,FALSE)), "NA")</f>
        <v>NA</v>
      </c>
      <c r="U1663" s="2">
        <f t="shared" si="193"/>
        <v>434.86421999999999</v>
      </c>
    </row>
    <row r="1664" spans="1:21" ht="14.25" customHeight="1">
      <c r="A1664" s="2" t="s">
        <v>15</v>
      </c>
      <c r="B1664" s="2">
        <v>1978</v>
      </c>
      <c r="C1664" s="2" t="s">
        <v>36</v>
      </c>
      <c r="D1664" s="3">
        <f t="shared" si="194"/>
        <v>9.5790000000000006</v>
      </c>
      <c r="E1664" s="3">
        <f t="shared" si="195"/>
        <v>3.242</v>
      </c>
      <c r="F1664" s="3" t="e">
        <f t="shared" si="196"/>
        <v>#N/A</v>
      </c>
      <c r="G1664" s="3" t="e">
        <f t="shared" si="197"/>
        <v>#N/A</v>
      </c>
      <c r="H1664" s="3">
        <f t="shared" si="198"/>
        <v>0.57699999999999996</v>
      </c>
      <c r="I1664" s="3">
        <f t="shared" si="199"/>
        <v>1.6060000000000001</v>
      </c>
      <c r="J1664" s="2">
        <v>9579</v>
      </c>
      <c r="K1664" s="2">
        <v>3242</v>
      </c>
      <c r="N1664" s="2">
        <v>577</v>
      </c>
      <c r="O1664" s="2">
        <v>1606</v>
      </c>
      <c r="P1664" s="3">
        <f>E1664*(VLOOKUP(B1664,Price_data!A$1:B$190,2,FALSE))</f>
        <v>11.050104516282</v>
      </c>
      <c r="Q1664" s="3" t="e">
        <f>G1664*(VLOOKUP(B1664,Price_data!A$1:B$190,2,FALSE))</f>
        <v>#N/A</v>
      </c>
      <c r="R1664" s="3">
        <f>I1664*(VLOOKUP(B1664,Price_data!A$1:B$190,2,FALSE))</f>
        <v>5.4739259263260003</v>
      </c>
      <c r="S1664" s="4" t="str">
        <f>(VLOOKUP(B1664,Price_data!A$1:C$190,3,FALSE))</f>
        <v>EEZ</v>
      </c>
      <c r="T1664" s="2" t="str">
        <f>IF(C1664="Total", (VLOOKUP(B1664,Recommended_fish_intake!A$4:D$122,4,FALSE)), "NA")</f>
        <v>NA</v>
      </c>
      <c r="U1664" s="2" t="str">
        <f t="shared" si="193"/>
        <v>NA</v>
      </c>
    </row>
    <row r="1665" spans="1:21" ht="14.25" customHeight="1">
      <c r="A1665" s="2" t="s">
        <v>15</v>
      </c>
      <c r="B1665" s="2">
        <v>1978</v>
      </c>
      <c r="C1665" s="2" t="s">
        <v>52</v>
      </c>
      <c r="D1665" s="3">
        <f t="shared" si="194"/>
        <v>6.8159999999999998</v>
      </c>
      <c r="E1665" s="3">
        <f t="shared" si="195"/>
        <v>4.2380000000000004</v>
      </c>
      <c r="F1665" s="3" t="e">
        <f t="shared" si="196"/>
        <v>#N/A</v>
      </c>
      <c r="G1665" s="3" t="e">
        <f t="shared" si="197"/>
        <v>#N/A</v>
      </c>
      <c r="H1665" s="3" t="e">
        <f t="shared" si="198"/>
        <v>#N/A</v>
      </c>
      <c r="I1665" s="3" t="e">
        <f t="shared" si="199"/>
        <v>#N/A</v>
      </c>
      <c r="J1665" s="2">
        <v>6816</v>
      </c>
      <c r="K1665" s="2">
        <v>4238</v>
      </c>
      <c r="P1665" s="3">
        <f>E1665*(VLOOKUP(B1665,Price_data!A$1:B$190,2,FALSE))</f>
        <v>14.444892948798001</v>
      </c>
      <c r="Q1665" s="3" t="e">
        <f>G1665*(VLOOKUP(B1665,Price_data!A$1:B$190,2,FALSE))</f>
        <v>#N/A</v>
      </c>
      <c r="R1665" s="3" t="e">
        <f>I1665*(VLOOKUP(B1665,Price_data!A$1:B$190,2,FALSE))</f>
        <v>#N/A</v>
      </c>
      <c r="S1665" s="4" t="str">
        <f>(VLOOKUP(B1665,Price_data!A$1:C$190,3,FALSE))</f>
        <v>EEZ</v>
      </c>
      <c r="T1665" s="2" t="str">
        <f>IF(C1665="Total", (VLOOKUP(B1665,Recommended_fish_intake!A$4:D$122,4,FALSE)), "NA")</f>
        <v>NA</v>
      </c>
      <c r="U1665" s="2" t="str">
        <f t="shared" si="193"/>
        <v>NA</v>
      </c>
    </row>
    <row r="1666" spans="1:21" ht="14.25" customHeight="1">
      <c r="A1666" s="2" t="s">
        <v>15</v>
      </c>
      <c r="B1666" s="2">
        <v>1978</v>
      </c>
      <c r="C1666" s="2" t="s">
        <v>34</v>
      </c>
      <c r="D1666" s="3">
        <f t="shared" si="194"/>
        <v>0.84599999999999997</v>
      </c>
      <c r="E1666" s="3">
        <f t="shared" si="195"/>
        <v>4.3730000000000002</v>
      </c>
      <c r="F1666" s="3" t="e">
        <f t="shared" si="196"/>
        <v>#N/A</v>
      </c>
      <c r="G1666" s="3" t="e">
        <f t="shared" si="197"/>
        <v>#N/A</v>
      </c>
      <c r="H1666" s="3" t="e">
        <f t="shared" si="198"/>
        <v>#N/A</v>
      </c>
      <c r="I1666" s="3" t="e">
        <f t="shared" si="199"/>
        <v>#N/A</v>
      </c>
      <c r="J1666" s="2">
        <v>846</v>
      </c>
      <c r="K1666" s="2">
        <v>4373</v>
      </c>
      <c r="P1666" s="3">
        <f>E1666*(VLOOKUP(B1666,Price_data!A$1:B$190,2,FALSE))</f>
        <v>14.905029935133001</v>
      </c>
      <c r="Q1666" s="3" t="e">
        <f>G1666*(VLOOKUP(B1666,Price_data!A$1:B$190,2,FALSE))</f>
        <v>#N/A</v>
      </c>
      <c r="R1666" s="3" t="e">
        <f>I1666*(VLOOKUP(B1666,Price_data!A$1:B$190,2,FALSE))</f>
        <v>#N/A</v>
      </c>
      <c r="S1666" s="4" t="str">
        <f>(VLOOKUP(B1666,Price_data!A$1:C$190,3,FALSE))</f>
        <v>EEZ</v>
      </c>
      <c r="T1666" s="2" t="str">
        <f>IF(C1666="Total", (VLOOKUP(B1666,Recommended_fish_intake!A$4:D$122,4,FALSE)), "NA")</f>
        <v>NA</v>
      </c>
      <c r="U1666" s="2" t="str">
        <f t="shared" ref="U1666:U1729" si="200">IF(C1666="Wet fish", D1666*0.49, IF(C1666="Shellfish", D1666*0.28, "NA"))</f>
        <v>NA</v>
      </c>
    </row>
    <row r="1667" spans="1:21" ht="14.25" customHeight="1">
      <c r="A1667" s="2" t="s">
        <v>15</v>
      </c>
      <c r="B1667" s="2">
        <v>1978</v>
      </c>
      <c r="C1667" s="2" t="s">
        <v>35</v>
      </c>
      <c r="D1667" s="3">
        <f t="shared" si="194"/>
        <v>17.419</v>
      </c>
      <c r="E1667" s="3">
        <f t="shared" si="195"/>
        <v>15.680999999999999</v>
      </c>
      <c r="F1667" s="3" t="e">
        <f t="shared" si="196"/>
        <v>#N/A</v>
      </c>
      <c r="G1667" s="3" t="e">
        <f t="shared" si="197"/>
        <v>#N/A</v>
      </c>
      <c r="H1667" s="3" t="e">
        <f t="shared" si="198"/>
        <v>#N/A</v>
      </c>
      <c r="I1667" s="3" t="e">
        <f t="shared" si="199"/>
        <v>#N/A</v>
      </c>
      <c r="J1667" s="2">
        <v>17419</v>
      </c>
      <c r="K1667" s="2">
        <v>15681</v>
      </c>
      <c r="P1667" s="3">
        <f>E1667*(VLOOKUP(B1667,Price_data!A$1:B$190,2,FALSE))</f>
        <v>53.447467279400996</v>
      </c>
      <c r="Q1667" s="3" t="e">
        <f>G1667*(VLOOKUP(B1667,Price_data!A$1:B$190,2,FALSE))</f>
        <v>#N/A</v>
      </c>
      <c r="R1667" s="3" t="e">
        <f>I1667*(VLOOKUP(B1667,Price_data!A$1:B$190,2,FALSE))</f>
        <v>#N/A</v>
      </c>
      <c r="S1667" s="4" t="str">
        <f>(VLOOKUP(B1667,Price_data!A$1:C$190,3,FALSE))</f>
        <v>EEZ</v>
      </c>
      <c r="T1667" s="2" t="str">
        <f>IF(C1667="Total", (VLOOKUP(B1667,Recommended_fish_intake!A$4:D$122,4,FALSE)), "NA")</f>
        <v>NA</v>
      </c>
      <c r="U1667" s="2" t="str">
        <f t="shared" si="200"/>
        <v>NA</v>
      </c>
    </row>
    <row r="1668" spans="1:21" ht="14.25" customHeight="1">
      <c r="A1668" s="2" t="s">
        <v>15</v>
      </c>
      <c r="B1668" s="2">
        <v>1978</v>
      </c>
      <c r="C1668" s="2" t="s">
        <v>30</v>
      </c>
      <c r="D1668" s="3">
        <f t="shared" si="194"/>
        <v>3.2109999999999999</v>
      </c>
      <c r="E1668" s="3">
        <f t="shared" si="195"/>
        <v>2.0960000000000001</v>
      </c>
      <c r="F1668" s="3" t="e">
        <f t="shared" si="196"/>
        <v>#N/A</v>
      </c>
      <c r="G1668" s="3" t="e">
        <f t="shared" si="197"/>
        <v>#N/A</v>
      </c>
      <c r="H1668" s="3">
        <f t="shared" si="198"/>
        <v>11.624000000000001</v>
      </c>
      <c r="I1668" s="3">
        <f t="shared" si="199"/>
        <v>16.513000000000002</v>
      </c>
      <c r="J1668" s="2">
        <v>3211</v>
      </c>
      <c r="K1668" s="2">
        <v>2096</v>
      </c>
      <c r="N1668" s="2">
        <f>7743+3881</f>
        <v>11624</v>
      </c>
      <c r="O1668" s="2">
        <f>7366+9147</f>
        <v>16513</v>
      </c>
      <c r="P1668" s="3">
        <f>E1668*(VLOOKUP(B1668,Price_data!A$1:B$190,2,FALSE))</f>
        <v>7.1440527656160002</v>
      </c>
      <c r="Q1668" s="3" t="e">
        <f>G1668*(VLOOKUP(B1668,Price_data!A$1:B$190,2,FALSE))</f>
        <v>#N/A</v>
      </c>
      <c r="R1668" s="3">
        <f>I1668*(VLOOKUP(B1668,Price_data!A$1:B$190,2,FALSE))</f>
        <v>56.283274484073004</v>
      </c>
      <c r="S1668" s="4" t="str">
        <f>(VLOOKUP(B1668,Price_data!A$1:C$190,3,FALSE))</f>
        <v>EEZ</v>
      </c>
      <c r="T1668" s="2" t="str">
        <f>IF(C1668="Total", (VLOOKUP(B1668,Recommended_fish_intake!A$4:D$122,4,FALSE)), "NA")</f>
        <v>NA</v>
      </c>
      <c r="U1668" s="2" t="str">
        <f t="shared" si="200"/>
        <v>NA</v>
      </c>
    </row>
    <row r="1669" spans="1:21" ht="14.25" customHeight="1">
      <c r="A1669" s="2" t="s">
        <v>15</v>
      </c>
      <c r="B1669" s="2">
        <v>1978</v>
      </c>
      <c r="C1669" s="2" t="s">
        <v>28</v>
      </c>
      <c r="D1669" s="3">
        <f t="shared" si="194"/>
        <v>69.034000000000006</v>
      </c>
      <c r="E1669" s="3">
        <f t="shared" si="195"/>
        <v>33.481000000000002</v>
      </c>
      <c r="F1669" s="3">
        <f t="shared" si="196"/>
        <v>25.311</v>
      </c>
      <c r="G1669" s="3">
        <f t="shared" si="197"/>
        <v>40.953000000000003</v>
      </c>
      <c r="H1669" s="3">
        <f t="shared" si="198"/>
        <v>28.033000000000001</v>
      </c>
      <c r="I1669" s="3">
        <f t="shared" si="199"/>
        <v>50.152000000000001</v>
      </c>
      <c r="J1669" s="2">
        <v>69034</v>
      </c>
      <c r="K1669" s="2">
        <v>33481</v>
      </c>
      <c r="L1669" s="2">
        <v>25311</v>
      </c>
      <c r="M1669" s="2">
        <v>40953</v>
      </c>
      <c r="N1669" s="2">
        <v>28033</v>
      </c>
      <c r="O1669" s="2">
        <v>50152</v>
      </c>
      <c r="P1669" s="3">
        <f>E1669*(VLOOKUP(B1669,Price_data!A$1:B$190,2,FALSE))</f>
        <v>114.11738103320101</v>
      </c>
      <c r="Q1669" s="3">
        <f>G1669*(VLOOKUP(B1669,Price_data!A$1:B$190,2,FALSE))</f>
        <v>139.58511112131302</v>
      </c>
      <c r="R1669" s="3">
        <f>I1669*(VLOOKUP(B1669,Price_data!A$1:B$190,2,FALSE))</f>
        <v>170.939186212392</v>
      </c>
      <c r="S1669" s="4" t="str">
        <f>(VLOOKUP(B1669,Price_data!A$1:C$190,3,FALSE))</f>
        <v>EEZ</v>
      </c>
      <c r="T1669" s="2" t="str">
        <f>IF(C1669="Total", (VLOOKUP(B1669,Recommended_fish_intake!A$4:D$122,4,FALSE)), "NA")</f>
        <v>NA</v>
      </c>
      <c r="U1669" s="2">
        <f t="shared" si="200"/>
        <v>19.329520000000002</v>
      </c>
    </row>
    <row r="1670" spans="1:21" ht="14.25" customHeight="1">
      <c r="A1670" s="2" t="s">
        <v>18</v>
      </c>
      <c r="B1670" s="2">
        <v>1978</v>
      </c>
      <c r="C1670" s="2" t="s">
        <v>16</v>
      </c>
      <c r="D1670" s="3">
        <f t="shared" si="194"/>
        <v>518.83699999999999</v>
      </c>
      <c r="E1670" s="3">
        <f t="shared" si="195"/>
        <v>127.69199999999999</v>
      </c>
      <c r="F1670" s="3" t="e">
        <f t="shared" si="196"/>
        <v>#N/A</v>
      </c>
      <c r="G1670" s="3" t="e">
        <f t="shared" si="197"/>
        <v>#N/A</v>
      </c>
      <c r="H1670" s="3" t="e">
        <f t="shared" si="198"/>
        <v>#N/A</v>
      </c>
      <c r="I1670" s="3" t="e">
        <f t="shared" si="199"/>
        <v>#N/A</v>
      </c>
      <c r="J1670" s="2">
        <v>518837</v>
      </c>
      <c r="K1670" s="2">
        <v>127692</v>
      </c>
      <c r="P1670" s="3">
        <f>E1670*(VLOOKUP(B1670,Price_data!A$1:B$190,2,FALSE))</f>
        <v>435.228237474732</v>
      </c>
      <c r="Q1670" s="3" t="e">
        <f>G1670*(VLOOKUP(B1670,Price_data!A$1:B$190,2,FALSE))</f>
        <v>#N/A</v>
      </c>
      <c r="R1670" s="3" t="e">
        <f>I1670*(VLOOKUP(B1670,Price_data!A$1:B$190,2,FALSE))</f>
        <v>#N/A</v>
      </c>
      <c r="S1670" s="4" t="str">
        <f>(VLOOKUP(B1670,Price_data!A$1:C$190,3,FALSE))</f>
        <v>EEZ</v>
      </c>
      <c r="T1670" s="2">
        <f>IF(C1670="Total", (VLOOKUP(B1670,Recommended_fish_intake!A$4:D$122,4,FALSE)), "NA")</f>
        <v>730.24287875994003</v>
      </c>
      <c r="U1670" s="2" t="str">
        <f t="shared" si="200"/>
        <v>NA</v>
      </c>
    </row>
    <row r="1671" spans="1:21" ht="14.25" customHeight="1">
      <c r="A1671" s="2" t="s">
        <v>39</v>
      </c>
      <c r="B1671" s="2">
        <v>1978</v>
      </c>
      <c r="C1671" s="2" t="s">
        <v>16</v>
      </c>
      <c r="D1671" s="3">
        <f t="shared" si="194"/>
        <v>426.15199999999999</v>
      </c>
      <c r="E1671" s="3">
        <f t="shared" si="195"/>
        <v>122.212</v>
      </c>
      <c r="F1671" s="3" t="e">
        <f t="shared" si="196"/>
        <v>#N/A</v>
      </c>
      <c r="G1671" s="3" t="e">
        <f t="shared" si="197"/>
        <v>#N/A</v>
      </c>
      <c r="H1671" s="3" t="e">
        <f t="shared" si="198"/>
        <v>#N/A</v>
      </c>
      <c r="I1671" s="3" t="e">
        <f t="shared" si="199"/>
        <v>#N/A</v>
      </c>
      <c r="J1671" s="2">
        <v>426152</v>
      </c>
      <c r="K1671" s="2">
        <v>122212</v>
      </c>
      <c r="P1671" s="3">
        <f>E1671*(VLOOKUP(B1671,Price_data!A$1:B$190,2,FALSE))</f>
        <v>416.55008425165204</v>
      </c>
      <c r="Q1671" s="3" t="e">
        <f>G1671*(VLOOKUP(B1671,Price_data!A$1:B$190,2,FALSE))</f>
        <v>#N/A</v>
      </c>
      <c r="R1671" s="3" t="e">
        <f>I1671*(VLOOKUP(B1671,Price_data!A$1:B$190,2,FALSE))</f>
        <v>#N/A</v>
      </c>
      <c r="S1671" s="4" t="str">
        <f>(VLOOKUP(B1671,Price_data!A$1:C$190,3,FALSE))</f>
        <v>EEZ</v>
      </c>
      <c r="T1671" s="2">
        <f>IF(C1671="Total", (VLOOKUP(B1671,Recommended_fish_intake!A$4:D$122,4,FALSE)), "NA")</f>
        <v>730.24287875994003</v>
      </c>
      <c r="U1671" s="2" t="str">
        <f t="shared" si="200"/>
        <v>NA</v>
      </c>
    </row>
    <row r="1672" spans="1:21" ht="14.25" customHeight="1">
      <c r="A1672" s="2" t="s">
        <v>40</v>
      </c>
      <c r="B1672" s="2">
        <v>1978</v>
      </c>
      <c r="C1672" s="2" t="s">
        <v>16</v>
      </c>
      <c r="D1672" s="3">
        <f t="shared" si="194"/>
        <v>11.523</v>
      </c>
      <c r="E1672" s="3">
        <f t="shared" si="195"/>
        <v>4.8490000000000002</v>
      </c>
      <c r="F1672" s="3" t="e">
        <f t="shared" si="196"/>
        <v>#N/A</v>
      </c>
      <c r="G1672" s="3" t="e">
        <f t="shared" si="197"/>
        <v>#N/A</v>
      </c>
      <c r="H1672" s="3" t="e">
        <f t="shared" si="198"/>
        <v>#N/A</v>
      </c>
      <c r="I1672" s="3" t="e">
        <f t="shared" si="199"/>
        <v>#N/A</v>
      </c>
      <c r="J1672" s="2">
        <v>11523</v>
      </c>
      <c r="K1672" s="2">
        <v>4849</v>
      </c>
      <c r="P1672" s="3">
        <f>E1672*(VLOOKUP(B1672,Price_data!A$1:B$190,2,FALSE))</f>
        <v>16.527438864729</v>
      </c>
      <c r="Q1672" s="3" t="e">
        <f>G1672*(VLOOKUP(B1672,Price_data!A$1:B$190,2,FALSE))</f>
        <v>#N/A</v>
      </c>
      <c r="R1672" s="3" t="e">
        <f>I1672*(VLOOKUP(B1672,Price_data!A$1:B$190,2,FALSE))</f>
        <v>#N/A</v>
      </c>
      <c r="S1672" s="4" t="str">
        <f>(VLOOKUP(B1672,Price_data!A$1:C$190,3,FALSE))</f>
        <v>EEZ</v>
      </c>
      <c r="T1672" s="2">
        <f>IF(C1672="Total", (VLOOKUP(B1672,Recommended_fish_intake!A$4:D$122,4,FALSE)), "NA")</f>
        <v>730.24287875994003</v>
      </c>
      <c r="U1672" s="2" t="str">
        <f t="shared" si="200"/>
        <v>NA</v>
      </c>
    </row>
    <row r="1673" spans="1:21" ht="14.25" customHeight="1">
      <c r="A1673" s="2" t="s">
        <v>15</v>
      </c>
      <c r="B1673" s="2">
        <v>1978</v>
      </c>
      <c r="C1673" s="2" t="s">
        <v>16</v>
      </c>
      <c r="D1673" s="3">
        <f t="shared" si="194"/>
        <v>956.51199999999994</v>
      </c>
      <c r="E1673" s="3">
        <f t="shared" si="195"/>
        <v>254.75299999999999</v>
      </c>
      <c r="F1673" s="3">
        <f t="shared" si="196"/>
        <v>357.60500000000002</v>
      </c>
      <c r="G1673" s="3">
        <f t="shared" si="197"/>
        <v>143.91300000000001</v>
      </c>
      <c r="H1673" s="3">
        <f t="shared" si="198"/>
        <v>258.44</v>
      </c>
      <c r="I1673" s="3">
        <f t="shared" si="199"/>
        <v>256.38600000000002</v>
      </c>
      <c r="J1673" s="2">
        <v>956512</v>
      </c>
      <c r="K1673" s="2">
        <v>254753</v>
      </c>
      <c r="L1673" s="2">
        <v>357605</v>
      </c>
      <c r="M1673" s="2">
        <v>143913</v>
      </c>
      <c r="N1673" s="2">
        <v>258440</v>
      </c>
      <c r="O1673" s="2">
        <v>256386</v>
      </c>
      <c r="P1673" s="3">
        <f>E1673*(VLOOKUP(B1673,Price_data!A$1:B$190,2,FALSE))</f>
        <v>868.30576059111297</v>
      </c>
      <c r="Q1673" s="3">
        <f>G1673*(VLOOKUP(B1673,Price_data!A$1:B$190,2,FALSE))</f>
        <v>490.51625269947306</v>
      </c>
      <c r="R1673" s="3">
        <f>I1673*(VLOOKUP(B1673,Price_data!A$1:B$190,2,FALSE))</f>
        <v>873.87171391470611</v>
      </c>
      <c r="S1673" s="4" t="str">
        <f>(VLOOKUP(B1673,Price_data!A$1:C$190,3,FALSE))</f>
        <v>EEZ</v>
      </c>
      <c r="T1673" s="2">
        <f>IF(C1673="Total", (VLOOKUP(B1673,Recommended_fish_intake!A$4:D$122,4,FALSE)), "NA")</f>
        <v>730.24287875994003</v>
      </c>
      <c r="U1673" s="2" t="str">
        <f t="shared" si="200"/>
        <v>NA</v>
      </c>
    </row>
    <row r="1674" spans="1:21" ht="14.25" customHeight="1">
      <c r="A1674" s="2" t="s">
        <v>15</v>
      </c>
      <c r="B1674" s="2">
        <v>1978</v>
      </c>
      <c r="C1674" s="2" t="s">
        <v>29</v>
      </c>
      <c r="D1674" s="3" t="e">
        <f t="shared" si="194"/>
        <v>#N/A</v>
      </c>
      <c r="E1674" s="3" t="e">
        <f t="shared" si="195"/>
        <v>#N/A</v>
      </c>
      <c r="F1674" s="3" t="e">
        <f t="shared" si="196"/>
        <v>#N/A</v>
      </c>
      <c r="G1674" s="3" t="e">
        <f t="shared" si="197"/>
        <v>#N/A</v>
      </c>
      <c r="H1674" s="3">
        <f t="shared" si="198"/>
        <v>18.815999999999999</v>
      </c>
      <c r="I1674" s="3">
        <f t="shared" si="199"/>
        <v>42.125999999999998</v>
      </c>
      <c r="J1674" s="3" t="e">
        <v>#N/A</v>
      </c>
      <c r="K1674" s="3" t="e">
        <v>#N/A</v>
      </c>
      <c r="L1674" s="3" t="e">
        <v>#N/A</v>
      </c>
      <c r="M1674" s="3" t="e">
        <v>#N/A</v>
      </c>
      <c r="N1674" s="2">
        <f>313+4457+14046</f>
        <v>18816</v>
      </c>
      <c r="O1674" s="2">
        <f>1079+10408+30639</f>
        <v>42126</v>
      </c>
      <c r="P1674" s="3" t="e">
        <f>E1674*(VLOOKUP(B1674,Price_data!A$1:B$190,2,FALSE))</f>
        <v>#N/A</v>
      </c>
      <c r="Q1674" s="3" t="e">
        <f>G1674*(VLOOKUP(B1674,Price_data!A$1:B$190,2,FALSE))</f>
        <v>#N/A</v>
      </c>
      <c r="R1674" s="3">
        <f>I1674*(VLOOKUP(B1674,Price_data!A$1:B$190,2,FALSE))</f>
        <v>143.58319026924599</v>
      </c>
      <c r="S1674" s="4" t="str">
        <f>(VLOOKUP(B1674,Price_data!A$1:C$190,3,FALSE))</f>
        <v>EEZ</v>
      </c>
      <c r="T1674" s="2" t="str">
        <f>IF(C1674="Total", (VLOOKUP(B1674,Recommended_fish_intake!A$4:D$122,4,FALSE)), "NA")</f>
        <v>NA</v>
      </c>
      <c r="U1674" s="2" t="str">
        <f t="shared" si="200"/>
        <v>NA</v>
      </c>
    </row>
    <row r="1675" spans="1:21" ht="14.25" customHeight="1">
      <c r="A1675" s="2" t="s">
        <v>15</v>
      </c>
      <c r="B1675" s="2">
        <v>1978</v>
      </c>
      <c r="C1675" s="2" t="s">
        <v>43</v>
      </c>
      <c r="D1675" s="3" t="e">
        <f t="shared" si="194"/>
        <v>#N/A</v>
      </c>
      <c r="E1675" s="3" t="e">
        <f t="shared" si="195"/>
        <v>#N/A</v>
      </c>
      <c r="F1675" s="3" t="e">
        <f t="shared" si="196"/>
        <v>#N/A</v>
      </c>
      <c r="G1675" s="3" t="e">
        <f t="shared" si="197"/>
        <v>#N/A</v>
      </c>
      <c r="H1675" s="3">
        <f t="shared" si="198"/>
        <v>7.2519999999999998</v>
      </c>
      <c r="I1675" s="3">
        <f t="shared" si="199"/>
        <v>10.375</v>
      </c>
      <c r="J1675" s="3" t="e">
        <v>#N/A</v>
      </c>
      <c r="K1675" s="3" t="e">
        <v>#N/A</v>
      </c>
      <c r="L1675" s="3" t="e">
        <v>#N/A</v>
      </c>
      <c r="M1675" s="3" t="e">
        <v>#N/A</v>
      </c>
      <c r="N1675" s="2">
        <v>7252</v>
      </c>
      <c r="O1675" s="2">
        <v>10375</v>
      </c>
      <c r="P1675" s="3" t="e">
        <f>E1675*(VLOOKUP(B1675,Price_data!A$1:B$190,2,FALSE))</f>
        <v>#N/A</v>
      </c>
      <c r="Q1675" s="3" t="e">
        <f>G1675*(VLOOKUP(B1675,Price_data!A$1:B$190,2,FALSE))</f>
        <v>#N/A</v>
      </c>
      <c r="R1675" s="3">
        <f>I1675*(VLOOKUP(B1675,Price_data!A$1:B$190,2,FALSE))</f>
        <v>35.362379505375003</v>
      </c>
      <c r="S1675" s="4" t="str">
        <f>(VLOOKUP(B1675,Price_data!A$1:C$190,3,FALSE))</f>
        <v>EEZ</v>
      </c>
      <c r="T1675" s="2" t="str">
        <f>IF(C1675="Total", (VLOOKUP(B1675,Recommended_fish_intake!A$4:D$122,4,FALSE)), "NA")</f>
        <v>NA</v>
      </c>
      <c r="U1675" s="2" t="str">
        <f t="shared" si="200"/>
        <v>NA</v>
      </c>
    </row>
    <row r="1676" spans="1:21" ht="14.25" customHeight="1">
      <c r="A1676" s="2" t="s">
        <v>18</v>
      </c>
      <c r="B1676" s="2">
        <v>1979</v>
      </c>
      <c r="C1676" s="2" t="s">
        <v>22</v>
      </c>
      <c r="D1676" s="3">
        <f t="shared" si="194"/>
        <v>64.841999999999999</v>
      </c>
      <c r="E1676" s="3">
        <f t="shared" si="195"/>
        <v>36.463000000000001</v>
      </c>
      <c r="F1676" s="3" t="e">
        <f t="shared" si="196"/>
        <v>#N/A</v>
      </c>
      <c r="G1676" s="3" t="e">
        <f t="shared" si="197"/>
        <v>#N/A</v>
      </c>
      <c r="H1676" s="3" t="e">
        <f t="shared" si="198"/>
        <v>#N/A</v>
      </c>
      <c r="I1676" s="3" t="e">
        <f t="shared" si="199"/>
        <v>#N/A</v>
      </c>
      <c r="J1676" s="2">
        <v>64842</v>
      </c>
      <c r="K1676" s="2">
        <v>36463</v>
      </c>
      <c r="P1676" s="3">
        <f>E1676*(VLOOKUP(B1676,Price_data!A$1:B$190,2,FALSE))</f>
        <v>109.60108904496501</v>
      </c>
      <c r="Q1676" s="3" t="e">
        <f>G1676*(VLOOKUP(B1676,Price_data!A$1:B$190,2,FALSE))</f>
        <v>#N/A</v>
      </c>
      <c r="R1676" s="3" t="e">
        <f>I1676*(VLOOKUP(B1676,Price_data!A$1:B$190,2,FALSE))</f>
        <v>#N/A</v>
      </c>
      <c r="S1676" s="4" t="str">
        <f>(VLOOKUP(B1676,Price_data!A$1:C$190,3,FALSE))</f>
        <v>EEZ</v>
      </c>
      <c r="T1676" s="2" t="str">
        <f>IF(C1676="Total", (VLOOKUP(B1676,Recommended_fish_intake!A$4:D$122,4,FALSE)), "NA")</f>
        <v>NA</v>
      </c>
      <c r="U1676" s="2" t="str">
        <f t="shared" si="200"/>
        <v>NA</v>
      </c>
    </row>
    <row r="1677" spans="1:21" ht="14.25" customHeight="1">
      <c r="A1677" s="2" t="s">
        <v>18</v>
      </c>
      <c r="B1677" s="2">
        <v>1979</v>
      </c>
      <c r="C1677" s="2" t="s">
        <v>23</v>
      </c>
      <c r="D1677" s="3">
        <f t="shared" si="194"/>
        <v>17.225000000000001</v>
      </c>
      <c r="E1677" s="3">
        <f t="shared" si="195"/>
        <v>8.7349999999999994</v>
      </c>
      <c r="F1677" s="3" t="e">
        <f t="shared" si="196"/>
        <v>#N/A</v>
      </c>
      <c r="G1677" s="3" t="e">
        <f t="shared" si="197"/>
        <v>#N/A</v>
      </c>
      <c r="H1677" s="3" t="e">
        <f t="shared" si="198"/>
        <v>#N/A</v>
      </c>
      <c r="I1677" s="3" t="e">
        <f t="shared" si="199"/>
        <v>#N/A</v>
      </c>
      <c r="J1677" s="2">
        <v>17225</v>
      </c>
      <c r="K1677" s="2">
        <v>8735</v>
      </c>
      <c r="P1677" s="3">
        <f>E1677*(VLOOKUP(B1677,Price_data!A$1:B$190,2,FALSE))</f>
        <v>26.255807607925</v>
      </c>
      <c r="Q1677" s="3" t="e">
        <f>G1677*(VLOOKUP(B1677,Price_data!A$1:B$190,2,FALSE))</f>
        <v>#N/A</v>
      </c>
      <c r="R1677" s="3" t="e">
        <f>I1677*(VLOOKUP(B1677,Price_data!A$1:B$190,2,FALSE))</f>
        <v>#N/A</v>
      </c>
      <c r="S1677" s="4" t="str">
        <f>(VLOOKUP(B1677,Price_data!A$1:C$190,3,FALSE))</f>
        <v>EEZ</v>
      </c>
      <c r="T1677" s="2" t="str">
        <f>IF(C1677="Total", (VLOOKUP(B1677,Recommended_fish_intake!A$4:D$122,4,FALSE)), "NA")</f>
        <v>NA</v>
      </c>
      <c r="U1677" s="2" t="str">
        <f t="shared" si="200"/>
        <v>NA</v>
      </c>
    </row>
    <row r="1678" spans="1:21" ht="14.25" customHeight="1">
      <c r="A1678" s="2" t="s">
        <v>18</v>
      </c>
      <c r="B1678" s="2">
        <v>1979</v>
      </c>
      <c r="C1678" s="2" t="s">
        <v>25</v>
      </c>
      <c r="D1678" s="3">
        <f t="shared" si="194"/>
        <v>27.088999999999999</v>
      </c>
      <c r="E1678" s="3">
        <f t="shared" si="195"/>
        <v>14.654999999999999</v>
      </c>
      <c r="F1678" s="3" t="e">
        <f t="shared" si="196"/>
        <v>#N/A</v>
      </c>
      <c r="G1678" s="3" t="e">
        <f t="shared" si="197"/>
        <v>#N/A</v>
      </c>
      <c r="H1678" s="3" t="e">
        <f t="shared" si="198"/>
        <v>#N/A</v>
      </c>
      <c r="I1678" s="3" t="e">
        <f t="shared" si="199"/>
        <v>#N/A</v>
      </c>
      <c r="J1678" s="2">
        <v>27089</v>
      </c>
      <c r="K1678" s="2">
        <v>14655</v>
      </c>
      <c r="P1678" s="3">
        <f>E1678*(VLOOKUP(B1678,Price_data!A$1:B$190,2,FALSE))</f>
        <v>44.050241613524996</v>
      </c>
      <c r="Q1678" s="3" t="e">
        <f>G1678*(VLOOKUP(B1678,Price_data!A$1:B$190,2,FALSE))</f>
        <v>#N/A</v>
      </c>
      <c r="R1678" s="3" t="e">
        <f>I1678*(VLOOKUP(B1678,Price_data!A$1:B$190,2,FALSE))</f>
        <v>#N/A</v>
      </c>
      <c r="S1678" s="4" t="str">
        <f>(VLOOKUP(B1678,Price_data!A$1:C$190,3,FALSE))</f>
        <v>EEZ</v>
      </c>
      <c r="T1678" s="2" t="str">
        <f>IF(C1678="Total", (VLOOKUP(B1678,Recommended_fish_intake!A$4:D$122,4,FALSE)), "NA")</f>
        <v>NA</v>
      </c>
      <c r="U1678" s="2" t="str">
        <f t="shared" si="200"/>
        <v>NA</v>
      </c>
    </row>
    <row r="1679" spans="1:21" ht="14.25" customHeight="1">
      <c r="A1679" s="2" t="s">
        <v>18</v>
      </c>
      <c r="B1679" s="2">
        <v>1979</v>
      </c>
      <c r="C1679" s="2" t="s">
        <v>38</v>
      </c>
      <c r="D1679" s="3">
        <f t="shared" si="194"/>
        <v>8.3930000000000007</v>
      </c>
      <c r="E1679" s="3">
        <f t="shared" si="195"/>
        <v>2.6360000000000001</v>
      </c>
      <c r="F1679" s="3" t="e">
        <f t="shared" si="196"/>
        <v>#N/A</v>
      </c>
      <c r="G1679" s="3" t="e">
        <f t="shared" si="197"/>
        <v>#N/A</v>
      </c>
      <c r="H1679" s="3" t="e">
        <f t="shared" si="198"/>
        <v>#N/A</v>
      </c>
      <c r="I1679" s="3" t="e">
        <f t="shared" si="199"/>
        <v>#N/A</v>
      </c>
      <c r="J1679" s="2">
        <v>8393</v>
      </c>
      <c r="K1679" s="2">
        <v>2636</v>
      </c>
      <c r="P1679" s="3">
        <f>E1679*(VLOOKUP(B1679,Price_data!A$1:B$190,2,FALSE))</f>
        <v>7.9233324389800002</v>
      </c>
      <c r="Q1679" s="3" t="e">
        <f>G1679*(VLOOKUP(B1679,Price_data!A$1:B$190,2,FALSE))</f>
        <v>#N/A</v>
      </c>
      <c r="R1679" s="3" t="e">
        <f>I1679*(VLOOKUP(B1679,Price_data!A$1:B$190,2,FALSE))</f>
        <v>#N/A</v>
      </c>
      <c r="S1679" s="4" t="str">
        <f>(VLOOKUP(B1679,Price_data!A$1:C$190,3,FALSE))</f>
        <v>EEZ</v>
      </c>
      <c r="T1679" s="2" t="str">
        <f>IF(C1679="Total", (VLOOKUP(B1679,Recommended_fish_intake!A$4:D$122,4,FALSE)), "NA")</f>
        <v>NA</v>
      </c>
      <c r="U1679" s="2" t="str">
        <f t="shared" si="200"/>
        <v>NA</v>
      </c>
    </row>
    <row r="1680" spans="1:21" ht="14.25" customHeight="1">
      <c r="A1680" s="2" t="s">
        <v>18</v>
      </c>
      <c r="B1680" s="2">
        <v>1979</v>
      </c>
      <c r="C1680" s="2" t="s">
        <v>24</v>
      </c>
      <c r="D1680" s="3">
        <f t="shared" si="194"/>
        <v>8.7360000000000007</v>
      </c>
      <c r="E1680" s="3">
        <f t="shared" si="195"/>
        <v>2.2909999999999999</v>
      </c>
      <c r="F1680" s="3" t="e">
        <f t="shared" si="196"/>
        <v>#N/A</v>
      </c>
      <c r="G1680" s="3" t="e">
        <f t="shared" si="197"/>
        <v>#N/A</v>
      </c>
      <c r="H1680" s="3" t="e">
        <f t="shared" si="198"/>
        <v>#N/A</v>
      </c>
      <c r="I1680" s="3" t="e">
        <f t="shared" si="199"/>
        <v>#N/A</v>
      </c>
      <c r="J1680" s="2">
        <v>8736</v>
      </c>
      <c r="K1680" s="2">
        <v>2291</v>
      </c>
      <c r="P1680" s="3">
        <f>E1680*(VLOOKUP(B1680,Price_data!A$1:B$190,2,FALSE))</f>
        <v>6.8863257275049996</v>
      </c>
      <c r="Q1680" s="3" t="e">
        <f>G1680*(VLOOKUP(B1680,Price_data!A$1:B$190,2,FALSE))</f>
        <v>#N/A</v>
      </c>
      <c r="R1680" s="3" t="e">
        <f>I1680*(VLOOKUP(B1680,Price_data!A$1:B$190,2,FALSE))</f>
        <v>#N/A</v>
      </c>
      <c r="S1680" s="4" t="str">
        <f>(VLOOKUP(B1680,Price_data!A$1:C$190,3,FALSE))</f>
        <v>EEZ</v>
      </c>
      <c r="T1680" s="2" t="str">
        <f>IF(C1680="Total", (VLOOKUP(B1680,Recommended_fish_intake!A$4:D$122,4,FALSE)), "NA")</f>
        <v>NA</v>
      </c>
      <c r="U1680" s="2" t="str">
        <f t="shared" si="200"/>
        <v>NA</v>
      </c>
    </row>
    <row r="1681" spans="1:21" ht="14.25" customHeight="1">
      <c r="A1681" s="2" t="s">
        <v>18</v>
      </c>
      <c r="B1681" s="2">
        <v>1979</v>
      </c>
      <c r="C1681" s="2" t="s">
        <v>19</v>
      </c>
      <c r="D1681" s="3">
        <f t="shared" si="194"/>
        <v>0.85299999999999998</v>
      </c>
      <c r="E1681" s="3">
        <f t="shared" si="195"/>
        <v>0.28199999999999997</v>
      </c>
      <c r="F1681" s="3" t="e">
        <f t="shared" si="196"/>
        <v>#N/A</v>
      </c>
      <c r="G1681" s="3" t="e">
        <f t="shared" si="197"/>
        <v>#N/A</v>
      </c>
      <c r="H1681" s="3" t="e">
        <f t="shared" si="198"/>
        <v>#N/A</v>
      </c>
      <c r="I1681" s="3" t="e">
        <f t="shared" si="199"/>
        <v>#N/A</v>
      </c>
      <c r="J1681" s="2">
        <v>853</v>
      </c>
      <c r="K1681" s="2">
        <v>282</v>
      </c>
      <c r="P1681" s="3">
        <f>E1681*(VLOOKUP(B1681,Price_data!A$1:B$190,2,FALSE))</f>
        <v>0.84764026850999996</v>
      </c>
      <c r="Q1681" s="3" t="e">
        <f>G1681*(VLOOKUP(B1681,Price_data!A$1:B$190,2,FALSE))</f>
        <v>#N/A</v>
      </c>
      <c r="R1681" s="3" t="e">
        <f>I1681*(VLOOKUP(B1681,Price_data!A$1:B$190,2,FALSE))</f>
        <v>#N/A</v>
      </c>
      <c r="S1681" s="4" t="str">
        <f>(VLOOKUP(B1681,Price_data!A$1:C$190,3,FALSE))</f>
        <v>EEZ</v>
      </c>
      <c r="T1681" s="2" t="str">
        <f>IF(C1681="Total", (VLOOKUP(B1681,Recommended_fish_intake!A$4:D$122,4,FALSE)), "NA")</f>
        <v>NA</v>
      </c>
      <c r="U1681" s="2" t="str">
        <f t="shared" si="200"/>
        <v>NA</v>
      </c>
    </row>
    <row r="1682" spans="1:21" ht="14.25" customHeight="1">
      <c r="A1682" s="2" t="s">
        <v>18</v>
      </c>
      <c r="B1682" s="2">
        <v>1979</v>
      </c>
      <c r="C1682" s="2" t="s">
        <v>20</v>
      </c>
      <c r="D1682" s="3">
        <f t="shared" si="194"/>
        <v>244.99700000000001</v>
      </c>
      <c r="E1682" s="3">
        <f t="shared" si="195"/>
        <v>26.687999999999999</v>
      </c>
      <c r="F1682" s="3" t="e">
        <f t="shared" si="196"/>
        <v>#N/A</v>
      </c>
      <c r="G1682" s="3" t="e">
        <f t="shared" si="197"/>
        <v>#N/A</v>
      </c>
      <c r="H1682" s="3" t="e">
        <f t="shared" si="198"/>
        <v>#N/A</v>
      </c>
      <c r="I1682" s="3" t="e">
        <f t="shared" si="199"/>
        <v>#N/A</v>
      </c>
      <c r="J1682" s="2">
        <v>244997</v>
      </c>
      <c r="K1682" s="2">
        <v>26688</v>
      </c>
      <c r="P1682" s="3">
        <f>E1682*(VLOOKUP(B1682,Price_data!A$1:B$190,2,FALSE))</f>
        <v>80.219232219839995</v>
      </c>
      <c r="Q1682" s="3" t="e">
        <f>G1682*(VLOOKUP(B1682,Price_data!A$1:B$190,2,FALSE))</f>
        <v>#N/A</v>
      </c>
      <c r="R1682" s="3" t="e">
        <f>I1682*(VLOOKUP(B1682,Price_data!A$1:B$190,2,FALSE))</f>
        <v>#N/A</v>
      </c>
      <c r="S1682" s="4" t="str">
        <f>(VLOOKUP(B1682,Price_data!A$1:C$190,3,FALSE))</f>
        <v>EEZ</v>
      </c>
      <c r="T1682" s="2" t="str">
        <f>IF(C1682="Total", (VLOOKUP(B1682,Recommended_fish_intake!A$4:D$122,4,FALSE)), "NA")</f>
        <v>NA</v>
      </c>
      <c r="U1682" s="2" t="str">
        <f t="shared" si="200"/>
        <v>NA</v>
      </c>
    </row>
    <row r="1683" spans="1:21" ht="14.25" customHeight="1">
      <c r="A1683" s="2" t="s">
        <v>18</v>
      </c>
      <c r="B1683" s="2">
        <v>1979</v>
      </c>
      <c r="C1683" s="2" t="s">
        <v>21</v>
      </c>
      <c r="D1683" s="3">
        <f t="shared" si="194"/>
        <v>18.832999999999998</v>
      </c>
      <c r="E1683" s="3">
        <f t="shared" si="195"/>
        <v>0.90600000000000003</v>
      </c>
      <c r="F1683" s="3" t="e">
        <f t="shared" si="196"/>
        <v>#N/A</v>
      </c>
      <c r="G1683" s="3" t="e">
        <f t="shared" si="197"/>
        <v>#N/A</v>
      </c>
      <c r="H1683" s="3" t="e">
        <f t="shared" si="198"/>
        <v>#N/A</v>
      </c>
      <c r="I1683" s="3" t="e">
        <f t="shared" si="199"/>
        <v>#N/A</v>
      </c>
      <c r="J1683" s="2">
        <v>18833</v>
      </c>
      <c r="K1683" s="2">
        <v>906</v>
      </c>
      <c r="P1683" s="3">
        <f>E1683*(VLOOKUP(B1683,Price_data!A$1:B$190,2,FALSE))</f>
        <v>2.7232697988300001</v>
      </c>
      <c r="Q1683" s="3" t="e">
        <f>G1683*(VLOOKUP(B1683,Price_data!A$1:B$190,2,FALSE))</f>
        <v>#N/A</v>
      </c>
      <c r="R1683" s="3" t="e">
        <f>I1683*(VLOOKUP(B1683,Price_data!A$1:B$190,2,FALSE))</f>
        <v>#N/A</v>
      </c>
      <c r="S1683" s="4" t="str">
        <f>(VLOOKUP(B1683,Price_data!A$1:C$190,3,FALSE))</f>
        <v>EEZ</v>
      </c>
      <c r="T1683" s="2" t="str">
        <f>IF(C1683="Total", (VLOOKUP(B1683,Recommended_fish_intake!A$4:D$122,4,FALSE)), "NA")</f>
        <v>NA</v>
      </c>
      <c r="U1683" s="2" t="str">
        <f t="shared" si="200"/>
        <v>NA</v>
      </c>
    </row>
    <row r="1684" spans="1:21" ht="14.25" customHeight="1">
      <c r="A1684" s="2" t="s">
        <v>18</v>
      </c>
      <c r="B1684" s="2">
        <v>1979</v>
      </c>
      <c r="C1684" s="2" t="s">
        <v>37</v>
      </c>
      <c r="D1684" s="3">
        <f t="shared" si="194"/>
        <v>437.48099999999999</v>
      </c>
      <c r="E1684" s="3">
        <f t="shared" si="195"/>
        <v>113.15300000000001</v>
      </c>
      <c r="F1684" s="3" t="e">
        <f t="shared" si="196"/>
        <v>#N/A</v>
      </c>
      <c r="G1684" s="3" t="e">
        <f t="shared" si="197"/>
        <v>#N/A</v>
      </c>
      <c r="H1684" s="3" t="e">
        <f t="shared" si="198"/>
        <v>#N/A</v>
      </c>
      <c r="I1684" s="3" t="e">
        <f t="shared" si="199"/>
        <v>#N/A</v>
      </c>
      <c r="J1684" s="2">
        <v>437481</v>
      </c>
      <c r="K1684" s="2">
        <v>113153</v>
      </c>
      <c r="P1684" s="3">
        <f>E1684*(VLOOKUP(B1684,Price_data!A$1:B$190,2,FALSE))</f>
        <v>340.117160647915</v>
      </c>
      <c r="Q1684" s="3" t="e">
        <f>G1684*(VLOOKUP(B1684,Price_data!A$1:B$190,2,FALSE))</f>
        <v>#N/A</v>
      </c>
      <c r="R1684" s="3" t="e">
        <f>I1684*(VLOOKUP(B1684,Price_data!A$1:B$190,2,FALSE))</f>
        <v>#N/A</v>
      </c>
      <c r="S1684" s="4" t="str">
        <f>(VLOOKUP(B1684,Price_data!A$1:C$190,3,FALSE))</f>
        <v>EEZ</v>
      </c>
      <c r="T1684" s="2" t="str">
        <f>IF(C1684="Total", (VLOOKUP(B1684,Recommended_fish_intake!A$4:D$122,4,FALSE)), "NA")</f>
        <v>NA</v>
      </c>
      <c r="U1684" s="2">
        <f t="shared" si="200"/>
        <v>214.36569</v>
      </c>
    </row>
    <row r="1685" spans="1:21" ht="14.25" customHeight="1">
      <c r="A1685" s="2" t="s">
        <v>18</v>
      </c>
      <c r="B1685" s="2">
        <v>1979</v>
      </c>
      <c r="C1685" s="2" t="s">
        <v>36</v>
      </c>
      <c r="D1685" s="3">
        <f t="shared" si="194"/>
        <v>8.0389999999999997</v>
      </c>
      <c r="E1685" s="3">
        <f t="shared" si="195"/>
        <v>3.39</v>
      </c>
      <c r="F1685" s="3" t="e">
        <f t="shared" si="196"/>
        <v>#N/A</v>
      </c>
      <c r="G1685" s="3" t="e">
        <f t="shared" si="197"/>
        <v>#N/A</v>
      </c>
      <c r="H1685" s="3" t="e">
        <f t="shared" si="198"/>
        <v>#N/A</v>
      </c>
      <c r="I1685" s="3" t="e">
        <f t="shared" si="199"/>
        <v>#N/A</v>
      </c>
      <c r="J1685" s="2">
        <v>8039</v>
      </c>
      <c r="K1685" s="2">
        <v>3390</v>
      </c>
      <c r="P1685" s="3">
        <f>E1685*(VLOOKUP(B1685,Price_data!A$1:B$190,2,FALSE))</f>
        <v>10.189718121450001</v>
      </c>
      <c r="Q1685" s="3" t="e">
        <f>G1685*(VLOOKUP(B1685,Price_data!A$1:B$190,2,FALSE))</f>
        <v>#N/A</v>
      </c>
      <c r="R1685" s="3" t="e">
        <f>I1685*(VLOOKUP(B1685,Price_data!A$1:B$190,2,FALSE))</f>
        <v>#N/A</v>
      </c>
      <c r="S1685" s="4" t="str">
        <f>(VLOOKUP(B1685,Price_data!A$1:C$190,3,FALSE))</f>
        <v>EEZ</v>
      </c>
      <c r="T1685" s="2" t="str">
        <f>IF(C1685="Total", (VLOOKUP(B1685,Recommended_fish_intake!A$4:D$122,4,FALSE)), "NA")</f>
        <v>NA</v>
      </c>
      <c r="U1685" s="2" t="str">
        <f t="shared" si="200"/>
        <v>NA</v>
      </c>
    </row>
    <row r="1686" spans="1:21" ht="14.25" customHeight="1">
      <c r="A1686" s="2" t="s">
        <v>18</v>
      </c>
      <c r="B1686" s="2">
        <v>1979</v>
      </c>
      <c r="C1686" s="2" t="s">
        <v>52</v>
      </c>
      <c r="D1686" s="3">
        <f t="shared" si="194"/>
        <v>3.5659999999999998</v>
      </c>
      <c r="E1686" s="3">
        <f t="shared" si="195"/>
        <v>1.605</v>
      </c>
      <c r="F1686" s="3" t="e">
        <f t="shared" si="196"/>
        <v>#N/A</v>
      </c>
      <c r="G1686" s="3" t="e">
        <f t="shared" si="197"/>
        <v>#N/A</v>
      </c>
      <c r="H1686" s="3" t="e">
        <f t="shared" si="198"/>
        <v>#N/A</v>
      </c>
      <c r="I1686" s="3" t="e">
        <f t="shared" si="199"/>
        <v>#N/A</v>
      </c>
      <c r="J1686" s="2">
        <v>3566</v>
      </c>
      <c r="K1686" s="2">
        <v>1605</v>
      </c>
      <c r="P1686" s="3">
        <f>E1686*(VLOOKUP(B1686,Price_data!A$1:B$190,2,FALSE))</f>
        <v>4.8243355707750002</v>
      </c>
      <c r="Q1686" s="3" t="e">
        <f>G1686*(VLOOKUP(B1686,Price_data!A$1:B$190,2,FALSE))</f>
        <v>#N/A</v>
      </c>
      <c r="R1686" s="3" t="e">
        <f>I1686*(VLOOKUP(B1686,Price_data!A$1:B$190,2,FALSE))</f>
        <v>#N/A</v>
      </c>
      <c r="S1686" s="4" t="str">
        <f>(VLOOKUP(B1686,Price_data!A$1:C$190,3,FALSE))</f>
        <v>EEZ</v>
      </c>
      <c r="T1686" s="2" t="str">
        <f>IF(C1686="Total", (VLOOKUP(B1686,Recommended_fish_intake!A$4:D$122,4,FALSE)), "NA")</f>
        <v>NA</v>
      </c>
      <c r="U1686" s="2" t="str">
        <f t="shared" si="200"/>
        <v>NA</v>
      </c>
    </row>
    <row r="1687" spans="1:21" ht="14.25" customHeight="1">
      <c r="A1687" s="2" t="s">
        <v>18</v>
      </c>
      <c r="B1687" s="2">
        <v>1979</v>
      </c>
      <c r="C1687" s="2" t="s">
        <v>34</v>
      </c>
      <c r="D1687" s="3">
        <f t="shared" si="194"/>
        <v>0.315</v>
      </c>
      <c r="E1687" s="3">
        <f t="shared" si="195"/>
        <v>1.4770000000000001</v>
      </c>
      <c r="F1687" s="3" t="e">
        <f t="shared" si="196"/>
        <v>#N/A</v>
      </c>
      <c r="G1687" s="3" t="e">
        <f t="shared" si="197"/>
        <v>#N/A</v>
      </c>
      <c r="H1687" s="3" t="e">
        <f t="shared" si="198"/>
        <v>#N/A</v>
      </c>
      <c r="I1687" s="3" t="e">
        <f t="shared" si="199"/>
        <v>#N/A</v>
      </c>
      <c r="J1687" s="2">
        <v>315</v>
      </c>
      <c r="K1687" s="2">
        <v>1477</v>
      </c>
      <c r="P1687" s="3">
        <f>E1687*(VLOOKUP(B1687,Price_data!A$1:B$190,2,FALSE))</f>
        <v>4.4395910517350003</v>
      </c>
      <c r="Q1687" s="3" t="e">
        <f>G1687*(VLOOKUP(B1687,Price_data!A$1:B$190,2,FALSE))</f>
        <v>#N/A</v>
      </c>
      <c r="R1687" s="3" t="e">
        <f>I1687*(VLOOKUP(B1687,Price_data!A$1:B$190,2,FALSE))</f>
        <v>#N/A</v>
      </c>
      <c r="S1687" s="4" t="str">
        <f>(VLOOKUP(B1687,Price_data!A$1:C$190,3,FALSE))</f>
        <v>EEZ</v>
      </c>
      <c r="T1687" s="2" t="str">
        <f>IF(C1687="Total", (VLOOKUP(B1687,Recommended_fish_intake!A$4:D$122,4,FALSE)), "NA")</f>
        <v>NA</v>
      </c>
      <c r="U1687" s="2" t="str">
        <f t="shared" si="200"/>
        <v>NA</v>
      </c>
    </row>
    <row r="1688" spans="1:21" ht="14.25" customHeight="1">
      <c r="A1688" s="2" t="s">
        <v>18</v>
      </c>
      <c r="B1688" s="2">
        <v>1979</v>
      </c>
      <c r="C1688" s="2" t="s">
        <v>35</v>
      </c>
      <c r="D1688" s="3">
        <f t="shared" si="194"/>
        <v>1.657</v>
      </c>
      <c r="E1688" s="3">
        <f t="shared" si="195"/>
        <v>2.0920000000000001</v>
      </c>
      <c r="F1688" s="3" t="e">
        <f t="shared" si="196"/>
        <v>#N/A</v>
      </c>
      <c r="G1688" s="3" t="e">
        <f t="shared" si="197"/>
        <v>#N/A</v>
      </c>
      <c r="H1688" s="3" t="e">
        <f t="shared" si="198"/>
        <v>#N/A</v>
      </c>
      <c r="I1688" s="3" t="e">
        <f t="shared" si="199"/>
        <v>#N/A</v>
      </c>
      <c r="J1688" s="2">
        <v>1657</v>
      </c>
      <c r="K1688" s="2">
        <v>2092</v>
      </c>
      <c r="P1688" s="3">
        <f>E1688*(VLOOKUP(B1688,Price_data!A$1:B$190,2,FALSE))</f>
        <v>6.2881682330600004</v>
      </c>
      <c r="Q1688" s="3" t="e">
        <f>G1688*(VLOOKUP(B1688,Price_data!A$1:B$190,2,FALSE))</f>
        <v>#N/A</v>
      </c>
      <c r="R1688" s="3" t="e">
        <f>I1688*(VLOOKUP(B1688,Price_data!A$1:B$190,2,FALSE))</f>
        <v>#N/A</v>
      </c>
      <c r="S1688" s="4" t="str">
        <f>(VLOOKUP(B1688,Price_data!A$1:C$190,3,FALSE))</f>
        <v>EEZ</v>
      </c>
      <c r="T1688" s="2" t="str">
        <f>IF(C1688="Total", (VLOOKUP(B1688,Recommended_fish_intake!A$4:D$122,4,FALSE)), "NA")</f>
        <v>NA</v>
      </c>
      <c r="U1688" s="2" t="str">
        <f t="shared" si="200"/>
        <v>NA</v>
      </c>
    </row>
    <row r="1689" spans="1:21" ht="14.25" customHeight="1">
      <c r="A1689" s="2" t="s">
        <v>18</v>
      </c>
      <c r="B1689" s="2">
        <v>1979</v>
      </c>
      <c r="C1689" s="2" t="s">
        <v>30</v>
      </c>
      <c r="D1689" s="3">
        <f t="shared" si="194"/>
        <v>1.05</v>
      </c>
      <c r="E1689" s="3">
        <f t="shared" si="195"/>
        <v>0.64800000000000002</v>
      </c>
      <c r="F1689" s="3" t="e">
        <f t="shared" si="196"/>
        <v>#N/A</v>
      </c>
      <c r="G1689" s="3" t="e">
        <f t="shared" si="197"/>
        <v>#N/A</v>
      </c>
      <c r="H1689" s="3" t="e">
        <f t="shared" si="198"/>
        <v>#N/A</v>
      </c>
      <c r="I1689" s="3" t="e">
        <f t="shared" si="199"/>
        <v>#N/A</v>
      </c>
      <c r="J1689" s="2">
        <v>1050</v>
      </c>
      <c r="K1689" s="2">
        <v>648</v>
      </c>
      <c r="P1689" s="3">
        <f>E1689*(VLOOKUP(B1689,Price_data!A$1:B$190,2,FALSE))</f>
        <v>1.94776912764</v>
      </c>
      <c r="Q1689" s="3" t="e">
        <f>G1689*(VLOOKUP(B1689,Price_data!A$1:B$190,2,FALSE))</f>
        <v>#N/A</v>
      </c>
      <c r="R1689" s="3" t="e">
        <f>I1689*(VLOOKUP(B1689,Price_data!A$1:B$190,2,FALSE))</f>
        <v>#N/A</v>
      </c>
      <c r="S1689" s="4" t="str">
        <f>(VLOOKUP(B1689,Price_data!A$1:C$190,3,FALSE))</f>
        <v>EEZ</v>
      </c>
      <c r="T1689" s="2" t="str">
        <f>IF(C1689="Total", (VLOOKUP(B1689,Recommended_fish_intake!A$4:D$122,4,FALSE)), "NA")</f>
        <v>NA</v>
      </c>
      <c r="U1689" s="2" t="str">
        <f t="shared" si="200"/>
        <v>NA</v>
      </c>
    </row>
    <row r="1690" spans="1:21" ht="14.25" customHeight="1">
      <c r="A1690" s="2" t="s">
        <v>18</v>
      </c>
      <c r="B1690" s="2">
        <v>1979</v>
      </c>
      <c r="C1690" s="2" t="s">
        <v>28</v>
      </c>
      <c r="D1690" s="3">
        <f t="shared" si="194"/>
        <v>34.264000000000003</v>
      </c>
      <c r="E1690" s="3">
        <f t="shared" si="195"/>
        <v>12.173</v>
      </c>
      <c r="F1690" s="3" t="e">
        <f t="shared" si="196"/>
        <v>#N/A</v>
      </c>
      <c r="G1690" s="3" t="e">
        <f t="shared" si="197"/>
        <v>#N/A</v>
      </c>
      <c r="H1690" s="3" t="e">
        <f t="shared" si="198"/>
        <v>#N/A</v>
      </c>
      <c r="I1690" s="3" t="e">
        <f t="shared" si="199"/>
        <v>#N/A</v>
      </c>
      <c r="J1690" s="2">
        <v>34264</v>
      </c>
      <c r="K1690" s="2">
        <v>12173</v>
      </c>
      <c r="P1690" s="3">
        <f>E1690*(VLOOKUP(B1690,Price_data!A$1:B$190,2,FALSE))</f>
        <v>36.589804924014999</v>
      </c>
      <c r="Q1690" s="3" t="e">
        <f>G1690*(VLOOKUP(B1690,Price_data!A$1:B$190,2,FALSE))</f>
        <v>#N/A</v>
      </c>
      <c r="R1690" s="3" t="e">
        <f>I1690*(VLOOKUP(B1690,Price_data!A$1:B$190,2,FALSE))</f>
        <v>#N/A</v>
      </c>
      <c r="S1690" s="4" t="str">
        <f>(VLOOKUP(B1690,Price_data!A$1:C$190,3,FALSE))</f>
        <v>EEZ</v>
      </c>
      <c r="T1690" s="2" t="str">
        <f>IF(C1690="Total", (VLOOKUP(B1690,Recommended_fish_intake!A$4:D$122,4,FALSE)), "NA")</f>
        <v>NA</v>
      </c>
      <c r="U1690" s="2">
        <f t="shared" si="200"/>
        <v>9.5939200000000024</v>
      </c>
    </row>
    <row r="1691" spans="1:21" ht="14.25" customHeight="1">
      <c r="A1691" s="2" t="s">
        <v>39</v>
      </c>
      <c r="B1691" s="2">
        <v>1979</v>
      </c>
      <c r="C1691" s="2" t="s">
        <v>22</v>
      </c>
      <c r="D1691" s="3">
        <f t="shared" si="194"/>
        <v>42.829000000000001</v>
      </c>
      <c r="E1691" s="3">
        <f t="shared" si="195"/>
        <v>26.388999999999999</v>
      </c>
      <c r="F1691" s="3" t="e">
        <f t="shared" si="196"/>
        <v>#N/A</v>
      </c>
      <c r="G1691" s="3" t="e">
        <f t="shared" si="197"/>
        <v>#N/A</v>
      </c>
      <c r="H1691" s="3" t="e">
        <f t="shared" si="198"/>
        <v>#N/A</v>
      </c>
      <c r="I1691" s="3" t="e">
        <f t="shared" si="199"/>
        <v>#N/A</v>
      </c>
      <c r="J1691" s="2">
        <v>42829</v>
      </c>
      <c r="K1691" s="2">
        <v>26389</v>
      </c>
      <c r="P1691" s="3">
        <f>E1691*(VLOOKUP(B1691,Price_data!A$1:B$190,2,FALSE))</f>
        <v>79.320493069894994</v>
      </c>
      <c r="Q1691" s="3" t="e">
        <f>G1691*(VLOOKUP(B1691,Price_data!A$1:B$190,2,FALSE))</f>
        <v>#N/A</v>
      </c>
      <c r="R1691" s="3" t="e">
        <f>I1691*(VLOOKUP(B1691,Price_data!A$1:B$190,2,FALSE))</f>
        <v>#N/A</v>
      </c>
      <c r="S1691" s="4" t="str">
        <f>(VLOOKUP(B1691,Price_data!A$1:C$190,3,FALSE))</f>
        <v>EEZ</v>
      </c>
      <c r="T1691" s="2" t="str">
        <f>IF(C1691="Total", (VLOOKUP(B1691,Recommended_fish_intake!A$4:D$122,4,FALSE)), "NA")</f>
        <v>NA</v>
      </c>
      <c r="U1691" s="2" t="str">
        <f t="shared" si="200"/>
        <v>NA</v>
      </c>
    </row>
    <row r="1692" spans="1:21" ht="14.25" customHeight="1">
      <c r="A1692" s="2" t="s">
        <v>39</v>
      </c>
      <c r="B1692" s="2">
        <v>1979</v>
      </c>
      <c r="C1692" s="2" t="s">
        <v>23</v>
      </c>
      <c r="D1692" s="3">
        <f t="shared" si="194"/>
        <v>55.527000000000001</v>
      </c>
      <c r="E1692" s="3">
        <f t="shared" si="195"/>
        <v>27.175000000000001</v>
      </c>
      <c r="F1692" s="3" t="e">
        <f t="shared" si="196"/>
        <v>#N/A</v>
      </c>
      <c r="G1692" s="3" t="e">
        <f t="shared" si="197"/>
        <v>#N/A</v>
      </c>
      <c r="H1692" s="3" t="e">
        <f t="shared" si="198"/>
        <v>#N/A</v>
      </c>
      <c r="I1692" s="3" t="e">
        <f t="shared" si="199"/>
        <v>#N/A</v>
      </c>
      <c r="J1692" s="2">
        <v>55527</v>
      </c>
      <c r="K1692" s="2">
        <v>27175</v>
      </c>
      <c r="P1692" s="3">
        <f>E1692*(VLOOKUP(B1692,Price_data!A$1:B$190,2,FALSE))</f>
        <v>81.683064882124995</v>
      </c>
      <c r="Q1692" s="3" t="e">
        <f>G1692*(VLOOKUP(B1692,Price_data!A$1:B$190,2,FALSE))</f>
        <v>#N/A</v>
      </c>
      <c r="R1692" s="3" t="e">
        <f>I1692*(VLOOKUP(B1692,Price_data!A$1:B$190,2,FALSE))</f>
        <v>#N/A</v>
      </c>
      <c r="S1692" s="4" t="str">
        <f>(VLOOKUP(B1692,Price_data!A$1:C$190,3,FALSE))</f>
        <v>EEZ</v>
      </c>
      <c r="T1692" s="2" t="str">
        <f>IF(C1692="Total", (VLOOKUP(B1692,Recommended_fish_intake!A$4:D$122,4,FALSE)), "NA")</f>
        <v>NA</v>
      </c>
      <c r="U1692" s="2" t="str">
        <f t="shared" si="200"/>
        <v>NA</v>
      </c>
    </row>
    <row r="1693" spans="1:21" ht="14.25" customHeight="1">
      <c r="A1693" s="2" t="s">
        <v>39</v>
      </c>
      <c r="B1693" s="2">
        <v>1979</v>
      </c>
      <c r="C1693" s="2" t="s">
        <v>25</v>
      </c>
      <c r="D1693" s="3">
        <f t="shared" si="194"/>
        <v>4.8250000000000002</v>
      </c>
      <c r="E1693" s="3">
        <f t="shared" si="195"/>
        <v>2.4180000000000001</v>
      </c>
      <c r="F1693" s="3" t="e">
        <f t="shared" si="196"/>
        <v>#N/A</v>
      </c>
      <c r="G1693" s="3" t="e">
        <f t="shared" si="197"/>
        <v>#N/A</v>
      </c>
      <c r="H1693" s="3" t="e">
        <f t="shared" si="198"/>
        <v>#N/A</v>
      </c>
      <c r="I1693" s="3" t="e">
        <f t="shared" si="199"/>
        <v>#N/A</v>
      </c>
      <c r="J1693" s="2">
        <v>4825</v>
      </c>
      <c r="K1693" s="2">
        <v>2418</v>
      </c>
      <c r="P1693" s="3">
        <f>E1693*(VLOOKUP(B1693,Price_data!A$1:B$190,2,FALSE))</f>
        <v>7.2680644299900008</v>
      </c>
      <c r="Q1693" s="3" t="e">
        <f>G1693*(VLOOKUP(B1693,Price_data!A$1:B$190,2,FALSE))</f>
        <v>#N/A</v>
      </c>
      <c r="R1693" s="3" t="e">
        <f>I1693*(VLOOKUP(B1693,Price_data!A$1:B$190,2,FALSE))</f>
        <v>#N/A</v>
      </c>
      <c r="S1693" s="4" t="str">
        <f>(VLOOKUP(B1693,Price_data!A$1:C$190,3,FALSE))</f>
        <v>EEZ</v>
      </c>
      <c r="T1693" s="2" t="str">
        <f>IF(C1693="Total", (VLOOKUP(B1693,Recommended_fish_intake!A$4:D$122,4,FALSE)), "NA")</f>
        <v>NA</v>
      </c>
      <c r="U1693" s="2" t="str">
        <f t="shared" si="200"/>
        <v>NA</v>
      </c>
    </row>
    <row r="1694" spans="1:21" ht="14.25" customHeight="1">
      <c r="A1694" s="2" t="s">
        <v>39</v>
      </c>
      <c r="B1694" s="2">
        <v>1979</v>
      </c>
      <c r="C1694" s="2" t="s">
        <v>38</v>
      </c>
      <c r="D1694" s="3">
        <f t="shared" si="194"/>
        <v>10.211</v>
      </c>
      <c r="E1694" s="3">
        <f t="shared" si="195"/>
        <v>3.3029999999999999</v>
      </c>
      <c r="F1694" s="3" t="e">
        <f t="shared" si="196"/>
        <v>#N/A</v>
      </c>
      <c r="G1694" s="3" t="e">
        <f t="shared" si="197"/>
        <v>#N/A</v>
      </c>
      <c r="H1694" s="3" t="e">
        <f t="shared" si="198"/>
        <v>#N/A</v>
      </c>
      <c r="I1694" s="3" t="e">
        <f t="shared" si="199"/>
        <v>#N/A</v>
      </c>
      <c r="J1694" s="2">
        <v>10211</v>
      </c>
      <c r="K1694" s="2">
        <v>3303</v>
      </c>
      <c r="P1694" s="3">
        <f>E1694*(VLOOKUP(B1694,Price_data!A$1:B$190,2,FALSE))</f>
        <v>9.9282120811650003</v>
      </c>
      <c r="Q1694" s="3" t="e">
        <f>G1694*(VLOOKUP(B1694,Price_data!A$1:B$190,2,FALSE))</f>
        <v>#N/A</v>
      </c>
      <c r="R1694" s="3" t="e">
        <f>I1694*(VLOOKUP(B1694,Price_data!A$1:B$190,2,FALSE))</f>
        <v>#N/A</v>
      </c>
      <c r="S1694" s="4" t="str">
        <f>(VLOOKUP(B1694,Price_data!A$1:C$190,3,FALSE))</f>
        <v>EEZ</v>
      </c>
      <c r="T1694" s="2" t="str">
        <f>IF(C1694="Total", (VLOOKUP(B1694,Recommended_fish_intake!A$4:D$122,4,FALSE)), "NA")</f>
        <v>NA</v>
      </c>
      <c r="U1694" s="2" t="str">
        <f t="shared" si="200"/>
        <v>NA</v>
      </c>
    </row>
    <row r="1695" spans="1:21" ht="14.25" customHeight="1">
      <c r="A1695" s="2" t="s">
        <v>39</v>
      </c>
      <c r="B1695" s="2">
        <v>1979</v>
      </c>
      <c r="C1695" s="2" t="s">
        <v>24</v>
      </c>
      <c r="D1695" s="3">
        <f t="shared" si="194"/>
        <v>49.465000000000003</v>
      </c>
      <c r="E1695" s="3">
        <f t="shared" si="195"/>
        <v>16.248000000000001</v>
      </c>
      <c r="F1695" s="3" t="e">
        <f t="shared" si="196"/>
        <v>#N/A</v>
      </c>
      <c r="G1695" s="3" t="e">
        <f t="shared" si="197"/>
        <v>#N/A</v>
      </c>
      <c r="H1695" s="3" t="e">
        <f t="shared" si="198"/>
        <v>#N/A</v>
      </c>
      <c r="I1695" s="3" t="e">
        <f t="shared" si="199"/>
        <v>#N/A</v>
      </c>
      <c r="J1695" s="2">
        <v>49465</v>
      </c>
      <c r="K1695" s="2">
        <v>16248</v>
      </c>
      <c r="P1695" s="3">
        <f>E1695*(VLOOKUP(B1695,Price_data!A$1:B$190,2,FALSE))</f>
        <v>48.83850738564</v>
      </c>
      <c r="Q1695" s="3" t="e">
        <f>G1695*(VLOOKUP(B1695,Price_data!A$1:B$190,2,FALSE))</f>
        <v>#N/A</v>
      </c>
      <c r="R1695" s="3" t="e">
        <f>I1695*(VLOOKUP(B1695,Price_data!A$1:B$190,2,FALSE))</f>
        <v>#N/A</v>
      </c>
      <c r="S1695" s="4" t="str">
        <f>(VLOOKUP(B1695,Price_data!A$1:C$190,3,FALSE))</f>
        <v>EEZ</v>
      </c>
      <c r="T1695" s="2" t="str">
        <f>IF(C1695="Total", (VLOOKUP(B1695,Recommended_fish_intake!A$4:D$122,4,FALSE)), "NA")</f>
        <v>NA</v>
      </c>
      <c r="U1695" s="2" t="str">
        <f t="shared" si="200"/>
        <v>NA</v>
      </c>
    </row>
    <row r="1696" spans="1:21" ht="14.25" customHeight="1">
      <c r="A1696" s="2" t="s">
        <v>39</v>
      </c>
      <c r="B1696" s="2">
        <v>1979</v>
      </c>
      <c r="C1696" s="2" t="s">
        <v>19</v>
      </c>
      <c r="D1696" s="3">
        <f t="shared" si="194"/>
        <v>2.012</v>
      </c>
      <c r="E1696" s="3">
        <f t="shared" si="195"/>
        <v>1.1459999999999999</v>
      </c>
      <c r="F1696" s="3" t="e">
        <f t="shared" si="196"/>
        <v>#N/A</v>
      </c>
      <c r="G1696" s="3" t="e">
        <f t="shared" si="197"/>
        <v>#N/A</v>
      </c>
      <c r="H1696" s="3" t="e">
        <f t="shared" si="198"/>
        <v>#N/A</v>
      </c>
      <c r="I1696" s="3" t="e">
        <f t="shared" si="199"/>
        <v>#N/A</v>
      </c>
      <c r="J1696" s="2">
        <v>2012</v>
      </c>
      <c r="K1696" s="2">
        <v>1146</v>
      </c>
      <c r="P1696" s="3">
        <f>E1696*(VLOOKUP(B1696,Price_data!A$1:B$190,2,FALSE))</f>
        <v>3.4446657720299996</v>
      </c>
      <c r="Q1696" s="3" t="e">
        <f>G1696*(VLOOKUP(B1696,Price_data!A$1:B$190,2,FALSE))</f>
        <v>#N/A</v>
      </c>
      <c r="R1696" s="3" t="e">
        <f>I1696*(VLOOKUP(B1696,Price_data!A$1:B$190,2,FALSE))</f>
        <v>#N/A</v>
      </c>
      <c r="S1696" s="4" t="str">
        <f>(VLOOKUP(B1696,Price_data!A$1:C$190,3,FALSE))</f>
        <v>EEZ</v>
      </c>
      <c r="T1696" s="2" t="str">
        <f>IF(C1696="Total", (VLOOKUP(B1696,Recommended_fish_intake!A$4:D$122,4,FALSE)), "NA")</f>
        <v>NA</v>
      </c>
      <c r="U1696" s="2" t="str">
        <f t="shared" si="200"/>
        <v>NA</v>
      </c>
    </row>
    <row r="1697" spans="1:21" ht="14.25" customHeight="1">
      <c r="A1697" s="2" t="s">
        <v>39</v>
      </c>
      <c r="B1697" s="2">
        <v>1979</v>
      </c>
      <c r="C1697" s="2" t="s">
        <v>20</v>
      </c>
      <c r="D1697" s="3">
        <f t="shared" si="194"/>
        <v>108.432</v>
      </c>
      <c r="E1697" s="3">
        <f t="shared" si="195"/>
        <v>10.275</v>
      </c>
      <c r="F1697" s="3" t="e">
        <f t="shared" si="196"/>
        <v>#N/A</v>
      </c>
      <c r="G1697" s="3" t="e">
        <f t="shared" si="197"/>
        <v>#N/A</v>
      </c>
      <c r="H1697" s="3" t="e">
        <f t="shared" si="198"/>
        <v>#N/A</v>
      </c>
      <c r="I1697" s="3" t="e">
        <f t="shared" si="199"/>
        <v>#N/A</v>
      </c>
      <c r="J1697" s="2">
        <v>108432</v>
      </c>
      <c r="K1697" s="2">
        <v>10275</v>
      </c>
      <c r="P1697" s="3">
        <f>E1697*(VLOOKUP(B1697,Price_data!A$1:B$190,2,FALSE))</f>
        <v>30.884765102625</v>
      </c>
      <c r="Q1697" s="3" t="e">
        <f>G1697*(VLOOKUP(B1697,Price_data!A$1:B$190,2,FALSE))</f>
        <v>#N/A</v>
      </c>
      <c r="R1697" s="3" t="e">
        <f>I1697*(VLOOKUP(B1697,Price_data!A$1:B$190,2,FALSE))</f>
        <v>#N/A</v>
      </c>
      <c r="S1697" s="4" t="str">
        <f>(VLOOKUP(B1697,Price_data!A$1:C$190,3,FALSE))</f>
        <v>EEZ</v>
      </c>
      <c r="T1697" s="2" t="str">
        <f>IF(C1697="Total", (VLOOKUP(B1697,Recommended_fish_intake!A$4:D$122,4,FALSE)), "NA")</f>
        <v>NA</v>
      </c>
      <c r="U1697" s="2" t="str">
        <f t="shared" si="200"/>
        <v>NA</v>
      </c>
    </row>
    <row r="1698" spans="1:21" ht="14.25" customHeight="1">
      <c r="A1698" s="2" t="s">
        <v>39</v>
      </c>
      <c r="B1698" s="2">
        <v>1979</v>
      </c>
      <c r="C1698" s="2" t="s">
        <v>21</v>
      </c>
      <c r="D1698" s="3">
        <f t="shared" si="194"/>
        <v>12.843</v>
      </c>
      <c r="E1698" s="3">
        <f t="shared" si="195"/>
        <v>0.92700000000000005</v>
      </c>
      <c r="F1698" s="3" t="e">
        <f t="shared" si="196"/>
        <v>#N/A</v>
      </c>
      <c r="G1698" s="3" t="e">
        <f t="shared" si="197"/>
        <v>#N/A</v>
      </c>
      <c r="H1698" s="3" t="e">
        <f t="shared" si="198"/>
        <v>#N/A</v>
      </c>
      <c r="I1698" s="3" t="e">
        <f t="shared" si="199"/>
        <v>#N/A</v>
      </c>
      <c r="J1698" s="2">
        <v>12843</v>
      </c>
      <c r="K1698" s="2">
        <v>927</v>
      </c>
      <c r="P1698" s="3">
        <f>E1698*(VLOOKUP(B1698,Price_data!A$1:B$190,2,FALSE))</f>
        <v>2.7863919464850002</v>
      </c>
      <c r="Q1698" s="3" t="e">
        <f>G1698*(VLOOKUP(B1698,Price_data!A$1:B$190,2,FALSE))</f>
        <v>#N/A</v>
      </c>
      <c r="R1698" s="3" t="e">
        <f>I1698*(VLOOKUP(B1698,Price_data!A$1:B$190,2,FALSE))</f>
        <v>#N/A</v>
      </c>
      <c r="S1698" s="4" t="str">
        <f>(VLOOKUP(B1698,Price_data!A$1:C$190,3,FALSE))</f>
        <v>EEZ</v>
      </c>
      <c r="T1698" s="2" t="str">
        <f>IF(C1698="Total", (VLOOKUP(B1698,Recommended_fish_intake!A$4:D$122,4,FALSE)), "NA")</f>
        <v>NA</v>
      </c>
      <c r="U1698" s="2" t="str">
        <f t="shared" si="200"/>
        <v>NA</v>
      </c>
    </row>
    <row r="1699" spans="1:21" ht="14.25" customHeight="1">
      <c r="A1699" s="2" t="s">
        <v>39</v>
      </c>
      <c r="B1699" s="2">
        <v>1979</v>
      </c>
      <c r="C1699" s="2" t="s">
        <v>37</v>
      </c>
      <c r="D1699" s="3">
        <f t="shared" si="194"/>
        <v>326.68200000000002</v>
      </c>
      <c r="E1699" s="3">
        <f t="shared" si="195"/>
        <v>98.804000000000002</v>
      </c>
      <c r="F1699" s="3" t="e">
        <f t="shared" si="196"/>
        <v>#N/A</v>
      </c>
      <c r="G1699" s="3" t="e">
        <f t="shared" si="197"/>
        <v>#N/A</v>
      </c>
      <c r="H1699" s="3" t="e">
        <f t="shared" si="198"/>
        <v>#N/A</v>
      </c>
      <c r="I1699" s="3" t="e">
        <f t="shared" si="199"/>
        <v>#N/A</v>
      </c>
      <c r="J1699" s="2">
        <v>326682</v>
      </c>
      <c r="K1699" s="2">
        <v>98804</v>
      </c>
      <c r="P1699" s="3">
        <f>E1699*(VLOOKUP(B1699,Price_data!A$1:B$190,2,FALSE))</f>
        <v>296.98669890022001</v>
      </c>
      <c r="Q1699" s="3" t="e">
        <f>G1699*(VLOOKUP(B1699,Price_data!A$1:B$190,2,FALSE))</f>
        <v>#N/A</v>
      </c>
      <c r="R1699" s="3" t="e">
        <f>I1699*(VLOOKUP(B1699,Price_data!A$1:B$190,2,FALSE))</f>
        <v>#N/A</v>
      </c>
      <c r="S1699" s="4" t="str">
        <f>(VLOOKUP(B1699,Price_data!A$1:C$190,3,FALSE))</f>
        <v>EEZ</v>
      </c>
      <c r="T1699" s="2" t="str">
        <f>IF(C1699="Total", (VLOOKUP(B1699,Recommended_fish_intake!A$4:D$122,4,FALSE)), "NA")</f>
        <v>NA</v>
      </c>
      <c r="U1699" s="2">
        <f t="shared" si="200"/>
        <v>160.07418000000001</v>
      </c>
    </row>
    <row r="1700" spans="1:21" ht="14.25" customHeight="1">
      <c r="A1700" s="2" t="s">
        <v>39</v>
      </c>
      <c r="B1700" s="2">
        <v>1979</v>
      </c>
      <c r="C1700" s="2" t="s">
        <v>36</v>
      </c>
      <c r="D1700" s="3">
        <f t="shared" si="194"/>
        <v>2.38</v>
      </c>
      <c r="E1700" s="3">
        <f t="shared" si="195"/>
        <v>0.51300000000000001</v>
      </c>
      <c r="F1700" s="3" t="e">
        <f t="shared" si="196"/>
        <v>#N/A</v>
      </c>
      <c r="G1700" s="3" t="e">
        <f t="shared" si="197"/>
        <v>#N/A</v>
      </c>
      <c r="H1700" s="3" t="e">
        <f t="shared" si="198"/>
        <v>#N/A</v>
      </c>
      <c r="I1700" s="3" t="e">
        <f t="shared" si="199"/>
        <v>#N/A</v>
      </c>
      <c r="J1700" s="2">
        <v>2380</v>
      </c>
      <c r="K1700" s="2">
        <v>513</v>
      </c>
      <c r="P1700" s="3">
        <f>E1700*(VLOOKUP(B1700,Price_data!A$1:B$190,2,FALSE))</f>
        <v>1.541983892715</v>
      </c>
      <c r="Q1700" s="3" t="e">
        <f>G1700*(VLOOKUP(B1700,Price_data!A$1:B$190,2,FALSE))</f>
        <v>#N/A</v>
      </c>
      <c r="R1700" s="3" t="e">
        <f>I1700*(VLOOKUP(B1700,Price_data!A$1:B$190,2,FALSE))</f>
        <v>#N/A</v>
      </c>
      <c r="S1700" s="4" t="str">
        <f>(VLOOKUP(B1700,Price_data!A$1:C$190,3,FALSE))</f>
        <v>EEZ</v>
      </c>
      <c r="T1700" s="2" t="str">
        <f>IF(C1700="Total", (VLOOKUP(B1700,Recommended_fish_intake!A$4:D$122,4,FALSE)), "NA")</f>
        <v>NA</v>
      </c>
      <c r="U1700" s="2" t="str">
        <f t="shared" si="200"/>
        <v>NA</v>
      </c>
    </row>
    <row r="1701" spans="1:21" ht="14.25" customHeight="1">
      <c r="A1701" s="2" t="s">
        <v>39</v>
      </c>
      <c r="B1701" s="2">
        <v>1979</v>
      </c>
      <c r="C1701" s="2" t="s">
        <v>52</v>
      </c>
      <c r="D1701" s="3">
        <f t="shared" si="194"/>
        <v>3.71</v>
      </c>
      <c r="E1701" s="3">
        <f t="shared" si="195"/>
        <v>2.21</v>
      </c>
      <c r="F1701" s="3" t="e">
        <f t="shared" si="196"/>
        <v>#N/A</v>
      </c>
      <c r="G1701" s="3" t="e">
        <f t="shared" si="197"/>
        <v>#N/A</v>
      </c>
      <c r="H1701" s="3" t="e">
        <f t="shared" si="198"/>
        <v>#N/A</v>
      </c>
      <c r="I1701" s="3" t="e">
        <f t="shared" si="199"/>
        <v>#N/A</v>
      </c>
      <c r="J1701" s="2">
        <v>3710</v>
      </c>
      <c r="K1701" s="2">
        <v>2210</v>
      </c>
      <c r="P1701" s="3">
        <f>E1701*(VLOOKUP(B1701,Price_data!A$1:B$190,2,FALSE))</f>
        <v>6.6428545865499995</v>
      </c>
      <c r="Q1701" s="3" t="e">
        <f>G1701*(VLOOKUP(B1701,Price_data!A$1:B$190,2,FALSE))</f>
        <v>#N/A</v>
      </c>
      <c r="R1701" s="3" t="e">
        <f>I1701*(VLOOKUP(B1701,Price_data!A$1:B$190,2,FALSE))</f>
        <v>#N/A</v>
      </c>
      <c r="S1701" s="4" t="str">
        <f>(VLOOKUP(B1701,Price_data!A$1:C$190,3,FALSE))</f>
        <v>EEZ</v>
      </c>
      <c r="T1701" s="2" t="str">
        <f>IF(C1701="Total", (VLOOKUP(B1701,Recommended_fish_intake!A$4:D$122,4,FALSE)), "NA")</f>
        <v>NA</v>
      </c>
      <c r="U1701" s="2" t="str">
        <f t="shared" si="200"/>
        <v>NA</v>
      </c>
    </row>
    <row r="1702" spans="1:21" ht="14.25" customHeight="1">
      <c r="A1702" s="2" t="s">
        <v>39</v>
      </c>
      <c r="B1702" s="2">
        <v>1979</v>
      </c>
      <c r="C1702" s="2" t="s">
        <v>34</v>
      </c>
      <c r="D1702" s="3">
        <f t="shared" si="194"/>
        <v>0.46100000000000002</v>
      </c>
      <c r="E1702" s="3">
        <f t="shared" si="195"/>
        <v>2.5819999999999999</v>
      </c>
      <c r="F1702" s="3" t="e">
        <f t="shared" si="196"/>
        <v>#N/A</v>
      </c>
      <c r="G1702" s="3" t="e">
        <f t="shared" si="197"/>
        <v>#N/A</v>
      </c>
      <c r="H1702" s="3" t="e">
        <f t="shared" si="198"/>
        <v>#N/A</v>
      </c>
      <c r="I1702" s="3" t="e">
        <f t="shared" si="199"/>
        <v>#N/A</v>
      </c>
      <c r="J1702" s="2">
        <v>461</v>
      </c>
      <c r="K1702" s="2">
        <v>2582</v>
      </c>
      <c r="P1702" s="3">
        <f>E1702*(VLOOKUP(B1702,Price_data!A$1:B$190,2,FALSE))</f>
        <v>7.7610183450099992</v>
      </c>
      <c r="Q1702" s="3" t="e">
        <f>G1702*(VLOOKUP(B1702,Price_data!A$1:B$190,2,FALSE))</f>
        <v>#N/A</v>
      </c>
      <c r="R1702" s="3" t="e">
        <f>I1702*(VLOOKUP(B1702,Price_data!A$1:B$190,2,FALSE))</f>
        <v>#N/A</v>
      </c>
      <c r="S1702" s="4" t="str">
        <f>(VLOOKUP(B1702,Price_data!A$1:C$190,3,FALSE))</f>
        <v>EEZ</v>
      </c>
      <c r="T1702" s="2" t="str">
        <f>IF(C1702="Total", (VLOOKUP(B1702,Recommended_fish_intake!A$4:D$122,4,FALSE)), "NA")</f>
        <v>NA</v>
      </c>
      <c r="U1702" s="2" t="str">
        <f t="shared" si="200"/>
        <v>NA</v>
      </c>
    </row>
    <row r="1703" spans="1:21" ht="14.25" customHeight="1">
      <c r="A1703" s="2" t="s">
        <v>39</v>
      </c>
      <c r="B1703" s="2">
        <v>1979</v>
      </c>
      <c r="C1703" s="2" t="s">
        <v>35</v>
      </c>
      <c r="D1703" s="3">
        <f t="shared" si="194"/>
        <v>12.888</v>
      </c>
      <c r="E1703" s="3">
        <f t="shared" si="195"/>
        <v>15.95</v>
      </c>
      <c r="F1703" s="3" t="e">
        <f t="shared" si="196"/>
        <v>#N/A</v>
      </c>
      <c r="G1703" s="3" t="e">
        <f t="shared" si="197"/>
        <v>#N/A</v>
      </c>
      <c r="H1703" s="3" t="e">
        <f t="shared" si="198"/>
        <v>#N/A</v>
      </c>
      <c r="I1703" s="3" t="e">
        <f t="shared" si="199"/>
        <v>#N/A</v>
      </c>
      <c r="J1703" s="2">
        <v>12888</v>
      </c>
      <c r="K1703" s="2">
        <v>15950</v>
      </c>
      <c r="P1703" s="3">
        <f>E1703*(VLOOKUP(B1703,Price_data!A$1:B$190,2,FALSE))</f>
        <v>47.942774052249995</v>
      </c>
      <c r="Q1703" s="3" t="e">
        <f>G1703*(VLOOKUP(B1703,Price_data!A$1:B$190,2,FALSE))</f>
        <v>#N/A</v>
      </c>
      <c r="R1703" s="3" t="e">
        <f>I1703*(VLOOKUP(B1703,Price_data!A$1:B$190,2,FALSE))</f>
        <v>#N/A</v>
      </c>
      <c r="S1703" s="4" t="str">
        <f>(VLOOKUP(B1703,Price_data!A$1:C$190,3,FALSE))</f>
        <v>EEZ</v>
      </c>
      <c r="T1703" s="2" t="str">
        <f>IF(C1703="Total", (VLOOKUP(B1703,Recommended_fish_intake!A$4:D$122,4,FALSE)), "NA")</f>
        <v>NA</v>
      </c>
      <c r="U1703" s="2" t="str">
        <f t="shared" si="200"/>
        <v>NA</v>
      </c>
    </row>
    <row r="1704" spans="1:21" ht="14.25" customHeight="1">
      <c r="A1704" s="2" t="s">
        <v>39</v>
      </c>
      <c r="B1704" s="2">
        <v>1979</v>
      </c>
      <c r="C1704" s="2" t="s">
        <v>30</v>
      </c>
      <c r="D1704" s="3">
        <f t="shared" ref="D1704:D1767" si="201">J1704/1000</f>
        <v>0.34799999999999998</v>
      </c>
      <c r="E1704" s="3">
        <f t="shared" ref="E1704:E1767" si="202">K1704/1000</f>
        <v>0.33100000000000002</v>
      </c>
      <c r="F1704" s="3" t="e">
        <f t="shared" ref="F1704:F1767" si="203">IF(L1704="", NA(), L1704/1000)</f>
        <v>#N/A</v>
      </c>
      <c r="G1704" s="3" t="e">
        <f t="shared" ref="G1704:G1767" si="204">IF(M1704="", NA(), M1704/1000)</f>
        <v>#N/A</v>
      </c>
      <c r="H1704" s="3" t="e">
        <f t="shared" ref="H1704:H1767" si="205">IF(N1704="", NA(), N1704/1000)</f>
        <v>#N/A</v>
      </c>
      <c r="I1704" s="3" t="e">
        <f t="shared" ref="I1704:I1767" si="206">IF(O1704="", NA(), O1704/1000)</f>
        <v>#N/A</v>
      </c>
      <c r="J1704" s="2">
        <v>348</v>
      </c>
      <c r="K1704" s="2">
        <v>331</v>
      </c>
      <c r="P1704" s="3">
        <f>E1704*(VLOOKUP(B1704,Price_data!A$1:B$190,2,FALSE))</f>
        <v>0.994925279705</v>
      </c>
      <c r="Q1704" s="3" t="e">
        <f>G1704*(VLOOKUP(B1704,Price_data!A$1:B$190,2,FALSE))</f>
        <v>#N/A</v>
      </c>
      <c r="R1704" s="3" t="e">
        <f>I1704*(VLOOKUP(B1704,Price_data!A$1:B$190,2,FALSE))</f>
        <v>#N/A</v>
      </c>
      <c r="S1704" s="4" t="str">
        <f>(VLOOKUP(B1704,Price_data!A$1:C$190,3,FALSE))</f>
        <v>EEZ</v>
      </c>
      <c r="T1704" s="2" t="str">
        <f>IF(C1704="Total", (VLOOKUP(B1704,Recommended_fish_intake!A$4:D$122,4,FALSE)), "NA")</f>
        <v>NA</v>
      </c>
      <c r="U1704" s="2" t="str">
        <f t="shared" si="200"/>
        <v>NA</v>
      </c>
    </row>
    <row r="1705" spans="1:21" ht="14.25" customHeight="1">
      <c r="A1705" s="2" t="s">
        <v>39</v>
      </c>
      <c r="B1705" s="2">
        <v>1979</v>
      </c>
      <c r="C1705" s="2" t="s">
        <v>28</v>
      </c>
      <c r="D1705" s="3">
        <f t="shared" si="201"/>
        <v>28.294</v>
      </c>
      <c r="E1705" s="3">
        <f t="shared" si="202"/>
        <v>23.42</v>
      </c>
      <c r="F1705" s="3" t="e">
        <f t="shared" si="203"/>
        <v>#N/A</v>
      </c>
      <c r="G1705" s="3" t="e">
        <f t="shared" si="204"/>
        <v>#N/A</v>
      </c>
      <c r="H1705" s="3" t="e">
        <f t="shared" si="205"/>
        <v>#N/A</v>
      </c>
      <c r="I1705" s="3" t="e">
        <f t="shared" si="206"/>
        <v>#N/A</v>
      </c>
      <c r="J1705" s="2">
        <v>28294</v>
      </c>
      <c r="K1705" s="2">
        <v>23420</v>
      </c>
      <c r="P1705" s="3">
        <f>E1705*(VLOOKUP(B1705,Price_data!A$1:B$190,2,FALSE))</f>
        <v>70.396223718100003</v>
      </c>
      <c r="Q1705" s="3" t="e">
        <f>G1705*(VLOOKUP(B1705,Price_data!A$1:B$190,2,FALSE))</f>
        <v>#N/A</v>
      </c>
      <c r="R1705" s="3" t="e">
        <f>I1705*(VLOOKUP(B1705,Price_data!A$1:B$190,2,FALSE))</f>
        <v>#N/A</v>
      </c>
      <c r="S1705" s="4" t="str">
        <f>(VLOOKUP(B1705,Price_data!A$1:C$190,3,FALSE))</f>
        <v>EEZ</v>
      </c>
      <c r="T1705" s="2" t="str">
        <f>IF(C1705="Total", (VLOOKUP(B1705,Recommended_fish_intake!A$4:D$122,4,FALSE)), "NA")</f>
        <v>NA</v>
      </c>
      <c r="U1705" s="2">
        <f t="shared" si="200"/>
        <v>7.9223200000000009</v>
      </c>
    </row>
    <row r="1706" spans="1:21" ht="14.25" customHeight="1">
      <c r="A1706" s="2" t="s">
        <v>40</v>
      </c>
      <c r="B1706" s="2">
        <v>1979</v>
      </c>
      <c r="C1706" s="2" t="s">
        <v>22</v>
      </c>
      <c r="D1706" s="3">
        <f t="shared" si="201"/>
        <v>1.5840000000000001</v>
      </c>
      <c r="E1706" s="3">
        <f t="shared" si="202"/>
        <v>0.71599999999999997</v>
      </c>
      <c r="F1706" s="3" t="e">
        <f t="shared" si="203"/>
        <v>#N/A</v>
      </c>
      <c r="G1706" s="3" t="e">
        <f t="shared" si="204"/>
        <v>#N/A</v>
      </c>
      <c r="H1706" s="3" t="e">
        <f t="shared" si="205"/>
        <v>#N/A</v>
      </c>
      <c r="I1706" s="3" t="e">
        <f t="shared" si="206"/>
        <v>#N/A</v>
      </c>
      <c r="J1706" s="2">
        <v>1584</v>
      </c>
      <c r="K1706" s="2">
        <v>716</v>
      </c>
      <c r="P1706" s="3">
        <f>E1706*(VLOOKUP(B1706,Price_data!A$1:B$190,2,FALSE))</f>
        <v>2.1521646533799998</v>
      </c>
      <c r="Q1706" s="3" t="e">
        <f>G1706*(VLOOKUP(B1706,Price_data!A$1:B$190,2,FALSE))</f>
        <v>#N/A</v>
      </c>
      <c r="R1706" s="3" t="e">
        <f>I1706*(VLOOKUP(B1706,Price_data!A$1:B$190,2,FALSE))</f>
        <v>#N/A</v>
      </c>
      <c r="S1706" s="4" t="str">
        <f>(VLOOKUP(B1706,Price_data!A$1:C$190,3,FALSE))</f>
        <v>EEZ</v>
      </c>
      <c r="T1706" s="2" t="str">
        <f>IF(C1706="Total", (VLOOKUP(B1706,Recommended_fish_intake!A$4:D$122,4,FALSE)), "NA")</f>
        <v>NA</v>
      </c>
      <c r="U1706" s="2" t="str">
        <f t="shared" si="200"/>
        <v>NA</v>
      </c>
    </row>
    <row r="1707" spans="1:21" ht="14.25" customHeight="1">
      <c r="A1707" s="2" t="s">
        <v>40</v>
      </c>
      <c r="B1707" s="2">
        <v>1979</v>
      </c>
      <c r="C1707" s="2" t="s">
        <v>23</v>
      </c>
      <c r="D1707" s="3">
        <f t="shared" si="201"/>
        <v>7.0000000000000001E-3</v>
      </c>
      <c r="E1707" s="3">
        <f t="shared" si="202"/>
        <v>3.0000000000000001E-3</v>
      </c>
      <c r="F1707" s="3" t="e">
        <f t="shared" si="203"/>
        <v>#N/A</v>
      </c>
      <c r="G1707" s="3" t="e">
        <f t="shared" si="204"/>
        <v>#N/A</v>
      </c>
      <c r="H1707" s="3" t="e">
        <f t="shared" si="205"/>
        <v>#N/A</v>
      </c>
      <c r="I1707" s="3" t="e">
        <f t="shared" si="206"/>
        <v>#N/A</v>
      </c>
      <c r="J1707" s="2">
        <v>7</v>
      </c>
      <c r="K1707" s="2">
        <v>3</v>
      </c>
      <c r="P1707" s="3">
        <f>E1707*(VLOOKUP(B1707,Price_data!A$1:B$190,2,FALSE))</f>
        <v>9.0174496649999998E-3</v>
      </c>
      <c r="Q1707" s="3" t="e">
        <f>G1707*(VLOOKUP(B1707,Price_data!A$1:B$190,2,FALSE))</f>
        <v>#N/A</v>
      </c>
      <c r="R1707" s="3" t="e">
        <f>I1707*(VLOOKUP(B1707,Price_data!A$1:B$190,2,FALSE))</f>
        <v>#N/A</v>
      </c>
      <c r="S1707" s="4" t="str">
        <f>(VLOOKUP(B1707,Price_data!A$1:C$190,3,FALSE))</f>
        <v>EEZ</v>
      </c>
      <c r="T1707" s="2" t="str">
        <f>IF(C1707="Total", (VLOOKUP(B1707,Recommended_fish_intake!A$4:D$122,4,FALSE)), "NA")</f>
        <v>NA</v>
      </c>
      <c r="U1707" s="2" t="str">
        <f t="shared" si="200"/>
        <v>NA</v>
      </c>
    </row>
    <row r="1708" spans="1:21" ht="14.25" customHeight="1">
      <c r="A1708" s="2" t="s">
        <v>40</v>
      </c>
      <c r="B1708" s="2">
        <v>1979</v>
      </c>
      <c r="C1708" s="2" t="s">
        <v>25</v>
      </c>
      <c r="D1708" s="3">
        <f t="shared" si="201"/>
        <v>0.153</v>
      </c>
      <c r="E1708" s="3">
        <f t="shared" si="202"/>
        <v>5.1999999999999998E-2</v>
      </c>
      <c r="F1708" s="3" t="e">
        <f t="shared" si="203"/>
        <v>#N/A</v>
      </c>
      <c r="G1708" s="3" t="e">
        <f t="shared" si="204"/>
        <v>#N/A</v>
      </c>
      <c r="H1708" s="3" t="e">
        <f t="shared" si="205"/>
        <v>#N/A</v>
      </c>
      <c r="I1708" s="3" t="e">
        <f t="shared" si="206"/>
        <v>#N/A</v>
      </c>
      <c r="J1708" s="2">
        <v>153</v>
      </c>
      <c r="K1708" s="2">
        <v>52</v>
      </c>
      <c r="P1708" s="3">
        <f>E1708*(VLOOKUP(B1708,Price_data!A$1:B$190,2,FALSE))</f>
        <v>0.15630246085999999</v>
      </c>
      <c r="Q1708" s="3" t="e">
        <f>G1708*(VLOOKUP(B1708,Price_data!A$1:B$190,2,FALSE))</f>
        <v>#N/A</v>
      </c>
      <c r="R1708" s="3" t="e">
        <f>I1708*(VLOOKUP(B1708,Price_data!A$1:B$190,2,FALSE))</f>
        <v>#N/A</v>
      </c>
      <c r="S1708" s="4" t="str">
        <f>(VLOOKUP(B1708,Price_data!A$1:C$190,3,FALSE))</f>
        <v>EEZ</v>
      </c>
      <c r="T1708" s="2" t="str">
        <f>IF(C1708="Total", (VLOOKUP(B1708,Recommended_fish_intake!A$4:D$122,4,FALSE)), "NA")</f>
        <v>NA</v>
      </c>
      <c r="U1708" s="2" t="str">
        <f t="shared" si="200"/>
        <v>NA</v>
      </c>
    </row>
    <row r="1709" spans="1:21" ht="14.25" customHeight="1">
      <c r="A1709" s="2" t="s">
        <v>40</v>
      </c>
      <c r="B1709" s="2">
        <v>1979</v>
      </c>
      <c r="C1709" s="2" t="s">
        <v>38</v>
      </c>
      <c r="D1709" s="3">
        <f t="shared" si="201"/>
        <v>0.23899999999999999</v>
      </c>
      <c r="E1709" s="3">
        <f t="shared" si="202"/>
        <v>6.9000000000000006E-2</v>
      </c>
      <c r="F1709" s="3" t="e">
        <f t="shared" si="203"/>
        <v>#N/A</v>
      </c>
      <c r="G1709" s="3" t="e">
        <f t="shared" si="204"/>
        <v>#N/A</v>
      </c>
      <c r="H1709" s="3" t="e">
        <f t="shared" si="205"/>
        <v>#N/A</v>
      </c>
      <c r="I1709" s="3" t="e">
        <f t="shared" si="206"/>
        <v>#N/A</v>
      </c>
      <c r="J1709" s="2">
        <v>239</v>
      </c>
      <c r="K1709" s="2">
        <v>69</v>
      </c>
      <c r="P1709" s="3">
        <f>E1709*(VLOOKUP(B1709,Price_data!A$1:B$190,2,FALSE))</f>
        <v>0.20740134229500001</v>
      </c>
      <c r="Q1709" s="3" t="e">
        <f>G1709*(VLOOKUP(B1709,Price_data!A$1:B$190,2,FALSE))</f>
        <v>#N/A</v>
      </c>
      <c r="R1709" s="3" t="e">
        <f>I1709*(VLOOKUP(B1709,Price_data!A$1:B$190,2,FALSE))</f>
        <v>#N/A</v>
      </c>
      <c r="S1709" s="4" t="str">
        <f>(VLOOKUP(B1709,Price_data!A$1:C$190,3,FALSE))</f>
        <v>EEZ</v>
      </c>
      <c r="T1709" s="2" t="str">
        <f>IF(C1709="Total", (VLOOKUP(B1709,Recommended_fish_intake!A$4:D$122,4,FALSE)), "NA")</f>
        <v>NA</v>
      </c>
      <c r="U1709" s="2" t="str">
        <f t="shared" si="200"/>
        <v>NA</v>
      </c>
    </row>
    <row r="1710" spans="1:21" ht="14.25" customHeight="1">
      <c r="A1710" s="2" t="s">
        <v>40</v>
      </c>
      <c r="B1710" s="2">
        <v>1979</v>
      </c>
      <c r="C1710" s="2" t="s">
        <v>24</v>
      </c>
      <c r="D1710" s="3">
        <f t="shared" si="201"/>
        <v>2.9460000000000002</v>
      </c>
      <c r="E1710" s="3">
        <f t="shared" si="202"/>
        <v>0.71299999999999997</v>
      </c>
      <c r="F1710" s="3" t="e">
        <f t="shared" si="203"/>
        <v>#N/A</v>
      </c>
      <c r="G1710" s="3" t="e">
        <f t="shared" si="204"/>
        <v>#N/A</v>
      </c>
      <c r="H1710" s="3" t="e">
        <f t="shared" si="205"/>
        <v>#N/A</v>
      </c>
      <c r="I1710" s="3" t="e">
        <f t="shared" si="206"/>
        <v>#N/A</v>
      </c>
      <c r="J1710" s="2">
        <v>2946</v>
      </c>
      <c r="K1710" s="2">
        <v>713</v>
      </c>
      <c r="P1710" s="3">
        <f>E1710*(VLOOKUP(B1710,Price_data!A$1:B$190,2,FALSE))</f>
        <v>2.1431472037149999</v>
      </c>
      <c r="Q1710" s="3" t="e">
        <f>G1710*(VLOOKUP(B1710,Price_data!A$1:B$190,2,FALSE))</f>
        <v>#N/A</v>
      </c>
      <c r="R1710" s="3" t="e">
        <f>I1710*(VLOOKUP(B1710,Price_data!A$1:B$190,2,FALSE))</f>
        <v>#N/A</v>
      </c>
      <c r="S1710" s="4" t="str">
        <f>(VLOOKUP(B1710,Price_data!A$1:C$190,3,FALSE))</f>
        <v>EEZ</v>
      </c>
      <c r="T1710" s="2" t="str">
        <f>IF(C1710="Total", (VLOOKUP(B1710,Recommended_fish_intake!A$4:D$122,4,FALSE)), "NA")</f>
        <v>NA</v>
      </c>
      <c r="U1710" s="2" t="str">
        <f t="shared" si="200"/>
        <v>NA</v>
      </c>
    </row>
    <row r="1711" spans="1:21" ht="14.25" customHeight="1">
      <c r="A1711" s="2" t="s">
        <v>40</v>
      </c>
      <c r="B1711" s="2">
        <v>1979</v>
      </c>
      <c r="C1711" s="2" t="s">
        <v>19</v>
      </c>
      <c r="D1711" s="3">
        <f t="shared" si="201"/>
        <v>1.722</v>
      </c>
      <c r="E1711" s="3">
        <f t="shared" si="202"/>
        <v>0.499</v>
      </c>
      <c r="F1711" s="3" t="e">
        <f t="shared" si="203"/>
        <v>#N/A</v>
      </c>
      <c r="G1711" s="3" t="e">
        <f t="shared" si="204"/>
        <v>#N/A</v>
      </c>
      <c r="H1711" s="3" t="e">
        <f t="shared" si="205"/>
        <v>#N/A</v>
      </c>
      <c r="I1711" s="3" t="e">
        <f t="shared" si="206"/>
        <v>#N/A</v>
      </c>
      <c r="J1711" s="2">
        <v>1722</v>
      </c>
      <c r="K1711" s="2">
        <v>499</v>
      </c>
      <c r="P1711" s="3">
        <f>E1711*(VLOOKUP(B1711,Price_data!A$1:B$190,2,FALSE))</f>
        <v>1.499902460945</v>
      </c>
      <c r="Q1711" s="3" t="e">
        <f>G1711*(VLOOKUP(B1711,Price_data!A$1:B$190,2,FALSE))</f>
        <v>#N/A</v>
      </c>
      <c r="R1711" s="3" t="e">
        <f>I1711*(VLOOKUP(B1711,Price_data!A$1:B$190,2,FALSE))</f>
        <v>#N/A</v>
      </c>
      <c r="S1711" s="4" t="str">
        <f>(VLOOKUP(B1711,Price_data!A$1:C$190,3,FALSE))</f>
        <v>EEZ</v>
      </c>
      <c r="T1711" s="2" t="str">
        <f>IF(C1711="Total", (VLOOKUP(B1711,Recommended_fish_intake!A$4:D$122,4,FALSE)), "NA")</f>
        <v>NA</v>
      </c>
      <c r="U1711" s="2" t="str">
        <f t="shared" si="200"/>
        <v>NA</v>
      </c>
    </row>
    <row r="1712" spans="1:21" ht="14.25" customHeight="1">
      <c r="A1712" s="2" t="s">
        <v>40</v>
      </c>
      <c r="B1712" s="2">
        <v>1979</v>
      </c>
      <c r="C1712" s="2" t="s">
        <v>20</v>
      </c>
      <c r="D1712" s="3">
        <f t="shared" si="201"/>
        <v>2.5000000000000001E-2</v>
      </c>
      <c r="E1712" s="3">
        <f t="shared" si="202"/>
        <v>2E-3</v>
      </c>
      <c r="F1712" s="3" t="e">
        <f t="shared" si="203"/>
        <v>#N/A</v>
      </c>
      <c r="G1712" s="3" t="e">
        <f t="shared" si="204"/>
        <v>#N/A</v>
      </c>
      <c r="H1712" s="3" t="e">
        <f t="shared" si="205"/>
        <v>#N/A</v>
      </c>
      <c r="I1712" s="3" t="e">
        <f t="shared" si="206"/>
        <v>#N/A</v>
      </c>
      <c r="J1712" s="2">
        <v>25</v>
      </c>
      <c r="K1712" s="2">
        <v>2</v>
      </c>
      <c r="P1712" s="3">
        <f>E1712*(VLOOKUP(B1712,Price_data!A$1:B$190,2,FALSE))</f>
        <v>6.0116331100000002E-3</v>
      </c>
      <c r="Q1712" s="3" t="e">
        <f>G1712*(VLOOKUP(B1712,Price_data!A$1:B$190,2,FALSE))</f>
        <v>#N/A</v>
      </c>
      <c r="R1712" s="3" t="e">
        <f>I1712*(VLOOKUP(B1712,Price_data!A$1:B$190,2,FALSE))</f>
        <v>#N/A</v>
      </c>
      <c r="S1712" s="4" t="str">
        <f>(VLOOKUP(B1712,Price_data!A$1:C$190,3,FALSE))</f>
        <v>EEZ</v>
      </c>
      <c r="T1712" s="2" t="str">
        <f>IF(C1712="Total", (VLOOKUP(B1712,Recommended_fish_intake!A$4:D$122,4,FALSE)), "NA")</f>
        <v>NA</v>
      </c>
      <c r="U1712" s="2" t="str">
        <f t="shared" si="200"/>
        <v>NA</v>
      </c>
    </row>
    <row r="1713" spans="1:21" ht="14.25" customHeight="1">
      <c r="A1713" s="2" t="s">
        <v>40</v>
      </c>
      <c r="B1713" s="2">
        <v>1979</v>
      </c>
      <c r="C1713" s="2" t="s">
        <v>21</v>
      </c>
      <c r="D1713" s="3">
        <f t="shared" si="201"/>
        <v>0</v>
      </c>
      <c r="E1713" s="3">
        <f t="shared" si="202"/>
        <v>0</v>
      </c>
      <c r="F1713" s="3" t="e">
        <f t="shared" si="203"/>
        <v>#N/A</v>
      </c>
      <c r="G1713" s="3" t="e">
        <f t="shared" si="204"/>
        <v>#N/A</v>
      </c>
      <c r="H1713" s="3" t="e">
        <f t="shared" si="205"/>
        <v>#N/A</v>
      </c>
      <c r="I1713" s="3" t="e">
        <f t="shared" si="206"/>
        <v>#N/A</v>
      </c>
      <c r="J1713" s="2">
        <v>0</v>
      </c>
      <c r="K1713" s="2">
        <v>0</v>
      </c>
      <c r="P1713" s="3">
        <f>E1713*(VLOOKUP(B1713,Price_data!A$1:B$190,2,FALSE))</f>
        <v>0</v>
      </c>
      <c r="Q1713" s="3" t="e">
        <f>G1713*(VLOOKUP(B1713,Price_data!A$1:B$190,2,FALSE))</f>
        <v>#N/A</v>
      </c>
      <c r="R1713" s="3" t="e">
        <f>I1713*(VLOOKUP(B1713,Price_data!A$1:B$190,2,FALSE))</f>
        <v>#N/A</v>
      </c>
      <c r="S1713" s="4" t="str">
        <f>(VLOOKUP(B1713,Price_data!A$1:C$190,3,FALSE))</f>
        <v>EEZ</v>
      </c>
      <c r="T1713" s="2" t="str">
        <f>IF(C1713="Total", (VLOOKUP(B1713,Recommended_fish_intake!A$4:D$122,4,FALSE)), "NA")</f>
        <v>NA</v>
      </c>
      <c r="U1713" s="2" t="str">
        <f t="shared" si="200"/>
        <v>NA</v>
      </c>
    </row>
    <row r="1714" spans="1:21" ht="14.25" customHeight="1">
      <c r="A1714" s="2" t="s">
        <v>40</v>
      </c>
      <c r="B1714" s="2">
        <v>1979</v>
      </c>
      <c r="C1714" s="2" t="s">
        <v>37</v>
      </c>
      <c r="D1714" s="3">
        <f t="shared" si="201"/>
        <v>7.681</v>
      </c>
      <c r="E1714" s="3">
        <f t="shared" si="202"/>
        <v>2.355</v>
      </c>
      <c r="F1714" s="3" t="e">
        <f t="shared" si="203"/>
        <v>#N/A</v>
      </c>
      <c r="G1714" s="3" t="e">
        <f t="shared" si="204"/>
        <v>#N/A</v>
      </c>
      <c r="H1714" s="3" t="e">
        <f t="shared" si="205"/>
        <v>#N/A</v>
      </c>
      <c r="I1714" s="3" t="e">
        <f t="shared" si="206"/>
        <v>#N/A</v>
      </c>
      <c r="J1714" s="2">
        <v>7681</v>
      </c>
      <c r="K1714" s="2">
        <v>2355</v>
      </c>
      <c r="P1714" s="3">
        <f>E1714*(VLOOKUP(B1714,Price_data!A$1:B$190,2,FALSE))</f>
        <v>7.0786979870249995</v>
      </c>
      <c r="Q1714" s="3" t="e">
        <f>G1714*(VLOOKUP(B1714,Price_data!A$1:B$190,2,FALSE))</f>
        <v>#N/A</v>
      </c>
      <c r="R1714" s="3" t="e">
        <f>I1714*(VLOOKUP(B1714,Price_data!A$1:B$190,2,FALSE))</f>
        <v>#N/A</v>
      </c>
      <c r="S1714" s="4" t="str">
        <f>(VLOOKUP(B1714,Price_data!A$1:C$190,3,FALSE))</f>
        <v>EEZ</v>
      </c>
      <c r="T1714" s="2" t="str">
        <f>IF(C1714="Total", (VLOOKUP(B1714,Recommended_fish_intake!A$4:D$122,4,FALSE)), "NA")</f>
        <v>NA</v>
      </c>
      <c r="U1714" s="2">
        <f t="shared" si="200"/>
        <v>3.76369</v>
      </c>
    </row>
    <row r="1715" spans="1:21" ht="14.25" customHeight="1">
      <c r="A1715" s="2" t="s">
        <v>40</v>
      </c>
      <c r="B1715" s="2">
        <v>1979</v>
      </c>
      <c r="C1715" s="2" t="s">
        <v>36</v>
      </c>
      <c r="D1715" s="3">
        <f t="shared" si="201"/>
        <v>6.0000000000000001E-3</v>
      </c>
      <c r="E1715" s="3">
        <f t="shared" si="202"/>
        <v>3.0000000000000001E-3</v>
      </c>
      <c r="F1715" s="3" t="e">
        <f t="shared" si="203"/>
        <v>#N/A</v>
      </c>
      <c r="G1715" s="3" t="e">
        <f t="shared" si="204"/>
        <v>#N/A</v>
      </c>
      <c r="H1715" s="3" t="e">
        <f t="shared" si="205"/>
        <v>#N/A</v>
      </c>
      <c r="I1715" s="3" t="e">
        <f t="shared" si="206"/>
        <v>#N/A</v>
      </c>
      <c r="J1715" s="2">
        <v>6</v>
      </c>
      <c r="K1715" s="2">
        <v>3</v>
      </c>
      <c r="P1715" s="3">
        <f>E1715*(VLOOKUP(B1715,Price_data!A$1:B$190,2,FALSE))</f>
        <v>9.0174496649999998E-3</v>
      </c>
      <c r="Q1715" s="3" t="e">
        <f>G1715*(VLOOKUP(B1715,Price_data!A$1:B$190,2,FALSE))</f>
        <v>#N/A</v>
      </c>
      <c r="R1715" s="3" t="e">
        <f>I1715*(VLOOKUP(B1715,Price_data!A$1:B$190,2,FALSE))</f>
        <v>#N/A</v>
      </c>
      <c r="S1715" s="4" t="str">
        <f>(VLOOKUP(B1715,Price_data!A$1:C$190,3,FALSE))</f>
        <v>EEZ</v>
      </c>
      <c r="T1715" s="2" t="str">
        <f>IF(C1715="Total", (VLOOKUP(B1715,Recommended_fish_intake!A$4:D$122,4,FALSE)), "NA")</f>
        <v>NA</v>
      </c>
      <c r="U1715" s="2" t="str">
        <f t="shared" si="200"/>
        <v>NA</v>
      </c>
    </row>
    <row r="1716" spans="1:21" ht="14.25" customHeight="1">
      <c r="A1716" s="2" t="s">
        <v>40</v>
      </c>
      <c r="B1716" s="2">
        <v>1979</v>
      </c>
      <c r="C1716" s="2" t="s">
        <v>52</v>
      </c>
      <c r="D1716" s="3">
        <f t="shared" si="201"/>
        <v>6.7000000000000004E-2</v>
      </c>
      <c r="E1716" s="3">
        <f t="shared" si="202"/>
        <v>4.5999999999999999E-2</v>
      </c>
      <c r="F1716" s="3" t="e">
        <f t="shared" si="203"/>
        <v>#N/A</v>
      </c>
      <c r="G1716" s="3" t="e">
        <f t="shared" si="204"/>
        <v>#N/A</v>
      </c>
      <c r="H1716" s="3" t="e">
        <f t="shared" si="205"/>
        <v>#N/A</v>
      </c>
      <c r="I1716" s="3" t="e">
        <f t="shared" si="206"/>
        <v>#N/A</v>
      </c>
      <c r="J1716" s="2">
        <v>67</v>
      </c>
      <c r="K1716" s="2">
        <v>46</v>
      </c>
      <c r="P1716" s="3">
        <f>E1716*(VLOOKUP(B1716,Price_data!A$1:B$190,2,FALSE))</f>
        <v>0.13826756153</v>
      </c>
      <c r="Q1716" s="3" t="e">
        <f>G1716*(VLOOKUP(B1716,Price_data!A$1:B$190,2,FALSE))</f>
        <v>#N/A</v>
      </c>
      <c r="R1716" s="3" t="e">
        <f>I1716*(VLOOKUP(B1716,Price_data!A$1:B$190,2,FALSE))</f>
        <v>#N/A</v>
      </c>
      <c r="S1716" s="4" t="str">
        <f>(VLOOKUP(B1716,Price_data!A$1:C$190,3,FALSE))</f>
        <v>EEZ</v>
      </c>
      <c r="T1716" s="2" t="str">
        <f>IF(C1716="Total", (VLOOKUP(B1716,Recommended_fish_intake!A$4:D$122,4,FALSE)), "NA")</f>
        <v>NA</v>
      </c>
      <c r="U1716" s="2" t="str">
        <f t="shared" si="200"/>
        <v>NA</v>
      </c>
    </row>
    <row r="1717" spans="1:21" ht="14.25" customHeight="1">
      <c r="A1717" s="2" t="s">
        <v>40</v>
      </c>
      <c r="B1717" s="2">
        <v>1979</v>
      </c>
      <c r="C1717" s="2" t="s">
        <v>34</v>
      </c>
      <c r="D1717" s="3">
        <f t="shared" si="201"/>
        <v>1.7999999999999999E-2</v>
      </c>
      <c r="E1717" s="3">
        <f t="shared" si="202"/>
        <v>7.0999999999999994E-2</v>
      </c>
      <c r="F1717" s="3" t="e">
        <f t="shared" si="203"/>
        <v>#N/A</v>
      </c>
      <c r="G1717" s="3" t="e">
        <f t="shared" si="204"/>
        <v>#N/A</v>
      </c>
      <c r="H1717" s="3" t="e">
        <f t="shared" si="205"/>
        <v>#N/A</v>
      </c>
      <c r="I1717" s="3" t="e">
        <f t="shared" si="206"/>
        <v>#N/A</v>
      </c>
      <c r="J1717" s="2">
        <v>18</v>
      </c>
      <c r="K1717" s="2">
        <v>71</v>
      </c>
      <c r="P1717" s="3">
        <f>E1717*(VLOOKUP(B1717,Price_data!A$1:B$190,2,FALSE))</f>
        <v>0.21341297540499998</v>
      </c>
      <c r="Q1717" s="3" t="e">
        <f>G1717*(VLOOKUP(B1717,Price_data!A$1:B$190,2,FALSE))</f>
        <v>#N/A</v>
      </c>
      <c r="R1717" s="3" t="e">
        <f>I1717*(VLOOKUP(B1717,Price_data!A$1:B$190,2,FALSE))</f>
        <v>#N/A</v>
      </c>
      <c r="S1717" s="4" t="str">
        <f>(VLOOKUP(B1717,Price_data!A$1:C$190,3,FALSE))</f>
        <v>EEZ</v>
      </c>
      <c r="T1717" s="2" t="str">
        <f>IF(C1717="Total", (VLOOKUP(B1717,Recommended_fish_intake!A$4:D$122,4,FALSE)), "NA")</f>
        <v>NA</v>
      </c>
      <c r="U1717" s="2" t="str">
        <f t="shared" si="200"/>
        <v>NA</v>
      </c>
    </row>
    <row r="1718" spans="1:21" ht="14.25" customHeight="1">
      <c r="A1718" s="2" t="s">
        <v>40</v>
      </c>
      <c r="B1718" s="2">
        <v>1979</v>
      </c>
      <c r="C1718" s="2" t="s">
        <v>35</v>
      </c>
      <c r="D1718" s="3">
        <f t="shared" si="201"/>
        <v>1.466</v>
      </c>
      <c r="E1718" s="3">
        <f t="shared" si="202"/>
        <v>4.0720000000000001</v>
      </c>
      <c r="F1718" s="3" t="e">
        <f t="shared" si="203"/>
        <v>#N/A</v>
      </c>
      <c r="G1718" s="3" t="e">
        <f t="shared" si="204"/>
        <v>#N/A</v>
      </c>
      <c r="H1718" s="3" t="e">
        <f t="shared" si="205"/>
        <v>#N/A</v>
      </c>
      <c r="I1718" s="3" t="e">
        <f t="shared" si="206"/>
        <v>#N/A</v>
      </c>
      <c r="J1718" s="2">
        <v>1466</v>
      </c>
      <c r="K1718" s="2">
        <v>4072</v>
      </c>
      <c r="P1718" s="3">
        <f>E1718*(VLOOKUP(B1718,Price_data!A$1:B$190,2,FALSE))</f>
        <v>12.239685011960001</v>
      </c>
      <c r="Q1718" s="3" t="e">
        <f>G1718*(VLOOKUP(B1718,Price_data!A$1:B$190,2,FALSE))</f>
        <v>#N/A</v>
      </c>
      <c r="R1718" s="3" t="e">
        <f>I1718*(VLOOKUP(B1718,Price_data!A$1:B$190,2,FALSE))</f>
        <v>#N/A</v>
      </c>
      <c r="S1718" s="4" t="str">
        <f>(VLOOKUP(B1718,Price_data!A$1:C$190,3,FALSE))</f>
        <v>EEZ</v>
      </c>
      <c r="T1718" s="2" t="str">
        <f>IF(C1718="Total", (VLOOKUP(B1718,Recommended_fish_intake!A$4:D$122,4,FALSE)), "NA")</f>
        <v>NA</v>
      </c>
      <c r="U1718" s="2" t="str">
        <f t="shared" si="200"/>
        <v>NA</v>
      </c>
    </row>
    <row r="1719" spans="1:21" ht="14.25" customHeight="1">
      <c r="A1719" s="2" t="s">
        <v>40</v>
      </c>
      <c r="B1719" s="2">
        <v>1979</v>
      </c>
      <c r="C1719" s="2" t="s">
        <v>30</v>
      </c>
      <c r="D1719" s="3">
        <f t="shared" si="201"/>
        <v>0</v>
      </c>
      <c r="E1719" s="3">
        <f t="shared" si="202"/>
        <v>0</v>
      </c>
      <c r="F1719" s="3" t="e">
        <f t="shared" si="203"/>
        <v>#N/A</v>
      </c>
      <c r="G1719" s="3" t="e">
        <f t="shared" si="204"/>
        <v>#N/A</v>
      </c>
      <c r="H1719" s="3" t="e">
        <f t="shared" si="205"/>
        <v>#N/A</v>
      </c>
      <c r="I1719" s="3" t="e">
        <f t="shared" si="206"/>
        <v>#N/A</v>
      </c>
      <c r="J1719" s="2">
        <v>0</v>
      </c>
      <c r="K1719" s="2">
        <v>0</v>
      </c>
      <c r="P1719" s="3">
        <f>E1719*(VLOOKUP(B1719,Price_data!A$1:B$190,2,FALSE))</f>
        <v>0</v>
      </c>
      <c r="Q1719" s="3" t="e">
        <f>G1719*(VLOOKUP(B1719,Price_data!A$1:B$190,2,FALSE))</f>
        <v>#N/A</v>
      </c>
      <c r="R1719" s="3" t="e">
        <f>I1719*(VLOOKUP(B1719,Price_data!A$1:B$190,2,FALSE))</f>
        <v>#N/A</v>
      </c>
      <c r="S1719" s="4" t="str">
        <f>(VLOOKUP(B1719,Price_data!A$1:C$190,3,FALSE))</f>
        <v>EEZ</v>
      </c>
      <c r="T1719" s="2" t="str">
        <f>IF(C1719="Total", (VLOOKUP(B1719,Recommended_fish_intake!A$4:D$122,4,FALSE)), "NA")</f>
        <v>NA</v>
      </c>
      <c r="U1719" s="2" t="str">
        <f t="shared" si="200"/>
        <v>NA</v>
      </c>
    </row>
    <row r="1720" spans="1:21" ht="14.25" customHeight="1">
      <c r="A1720" s="2" t="s">
        <v>40</v>
      </c>
      <c r="B1720" s="2">
        <v>1979</v>
      </c>
      <c r="C1720" s="2" t="s">
        <v>28</v>
      </c>
      <c r="D1720" s="3">
        <f t="shared" si="201"/>
        <v>1.823</v>
      </c>
      <c r="E1720" s="3">
        <f t="shared" si="202"/>
        <v>4.2649999999999997</v>
      </c>
      <c r="F1720" s="3" t="e">
        <f t="shared" si="203"/>
        <v>#N/A</v>
      </c>
      <c r="G1720" s="3" t="e">
        <f t="shared" si="204"/>
        <v>#N/A</v>
      </c>
      <c r="H1720" s="3" t="e">
        <f t="shared" si="205"/>
        <v>#N/A</v>
      </c>
      <c r="I1720" s="3" t="e">
        <f t="shared" si="206"/>
        <v>#N/A</v>
      </c>
      <c r="J1720" s="2">
        <v>1823</v>
      </c>
      <c r="K1720" s="2">
        <v>4265</v>
      </c>
      <c r="P1720" s="3">
        <f>E1720*(VLOOKUP(B1720,Price_data!A$1:B$190,2,FALSE))</f>
        <v>12.819807607074999</v>
      </c>
      <c r="Q1720" s="3" t="e">
        <f>G1720*(VLOOKUP(B1720,Price_data!A$1:B$190,2,FALSE))</f>
        <v>#N/A</v>
      </c>
      <c r="R1720" s="3" t="e">
        <f>I1720*(VLOOKUP(B1720,Price_data!A$1:B$190,2,FALSE))</f>
        <v>#N/A</v>
      </c>
      <c r="S1720" s="4" t="str">
        <f>(VLOOKUP(B1720,Price_data!A$1:C$190,3,FALSE))</f>
        <v>EEZ</v>
      </c>
      <c r="T1720" s="2" t="str">
        <f>IF(C1720="Total", (VLOOKUP(B1720,Recommended_fish_intake!A$4:D$122,4,FALSE)), "NA")</f>
        <v>NA</v>
      </c>
      <c r="U1720" s="2">
        <f t="shared" si="200"/>
        <v>0.51044</v>
      </c>
    </row>
    <row r="1721" spans="1:21" ht="14.25" customHeight="1">
      <c r="A1721" s="2" t="s">
        <v>15</v>
      </c>
      <c r="B1721" s="2">
        <v>1979</v>
      </c>
      <c r="C1721" s="2" t="s">
        <v>22</v>
      </c>
      <c r="D1721" s="3">
        <f t="shared" si="201"/>
        <v>109.255</v>
      </c>
      <c r="E1721" s="3">
        <f t="shared" si="202"/>
        <v>63.567999999999998</v>
      </c>
      <c r="F1721" s="3" t="e">
        <f t="shared" si="203"/>
        <v>#N/A</v>
      </c>
      <c r="G1721" s="3" t="e">
        <f t="shared" si="204"/>
        <v>#N/A</v>
      </c>
      <c r="H1721" s="3">
        <f t="shared" si="205"/>
        <v>122.498</v>
      </c>
      <c r="I1721" s="3">
        <f t="shared" si="206"/>
        <v>100.008</v>
      </c>
      <c r="J1721" s="2">
        <v>109255</v>
      </c>
      <c r="K1721" s="2">
        <v>63568</v>
      </c>
      <c r="N1721" s="2">
        <f>54186+57868+9321+1123</f>
        <v>122498</v>
      </c>
      <c r="O1721" s="2">
        <f>27935+65432+5797+844</f>
        <v>100008</v>
      </c>
      <c r="P1721" s="3">
        <f>E1721*(VLOOKUP(B1721,Price_data!A$1:B$190,2,FALSE))</f>
        <v>191.07374676824</v>
      </c>
      <c r="Q1721" s="3" t="e">
        <f>G1721*(VLOOKUP(B1721,Price_data!A$1:B$190,2,FALSE))</f>
        <v>#N/A</v>
      </c>
      <c r="R1721" s="3">
        <f>I1721*(VLOOKUP(B1721,Price_data!A$1:B$190,2,FALSE))</f>
        <v>300.60570203243998</v>
      </c>
      <c r="S1721" s="4" t="str">
        <f>(VLOOKUP(B1721,Price_data!A$1:C$190,3,FALSE))</f>
        <v>EEZ</v>
      </c>
      <c r="T1721" s="2" t="str">
        <f>IF(C1721="Total", (VLOOKUP(B1721,Recommended_fish_intake!A$4:D$122,4,FALSE)), "NA")</f>
        <v>NA</v>
      </c>
      <c r="U1721" s="2" t="str">
        <f t="shared" si="200"/>
        <v>NA</v>
      </c>
    </row>
    <row r="1722" spans="1:21" ht="14.25" customHeight="1">
      <c r="A1722" s="2" t="s">
        <v>15</v>
      </c>
      <c r="B1722" s="2">
        <v>1979</v>
      </c>
      <c r="C1722" s="2" t="s">
        <v>23</v>
      </c>
      <c r="D1722" s="3">
        <f t="shared" si="201"/>
        <v>72.759</v>
      </c>
      <c r="E1722" s="3">
        <f t="shared" si="202"/>
        <v>35.912999999999997</v>
      </c>
      <c r="F1722" s="3" t="e">
        <f t="shared" si="203"/>
        <v>#N/A</v>
      </c>
      <c r="G1722" s="3" t="e">
        <f t="shared" si="204"/>
        <v>#N/A</v>
      </c>
      <c r="H1722" s="3">
        <f t="shared" si="205"/>
        <v>21.887</v>
      </c>
      <c r="I1722" s="3">
        <f t="shared" si="206"/>
        <v>18.856000000000002</v>
      </c>
      <c r="J1722" s="2">
        <v>72759</v>
      </c>
      <c r="K1722" s="2">
        <v>35913</v>
      </c>
      <c r="N1722" s="2">
        <f>10329+10321+1237</f>
        <v>21887</v>
      </c>
      <c r="O1722" s="2">
        <f>5532+12572+752</f>
        <v>18856</v>
      </c>
      <c r="P1722" s="3">
        <f>E1722*(VLOOKUP(B1722,Price_data!A$1:B$190,2,FALSE))</f>
        <v>107.94788993971498</v>
      </c>
      <c r="Q1722" s="3" t="e">
        <f>G1722*(VLOOKUP(B1722,Price_data!A$1:B$190,2,FALSE))</f>
        <v>#N/A</v>
      </c>
      <c r="R1722" s="3">
        <f>I1722*(VLOOKUP(B1722,Price_data!A$1:B$190,2,FALSE))</f>
        <v>56.677676961080003</v>
      </c>
      <c r="S1722" s="4" t="str">
        <f>(VLOOKUP(B1722,Price_data!A$1:C$190,3,FALSE))</f>
        <v>EEZ</v>
      </c>
      <c r="T1722" s="2" t="str">
        <f>IF(C1722="Total", (VLOOKUP(B1722,Recommended_fish_intake!A$4:D$122,4,FALSE)), "NA")</f>
        <v>NA</v>
      </c>
      <c r="U1722" s="2" t="str">
        <f t="shared" si="200"/>
        <v>NA</v>
      </c>
    </row>
    <row r="1723" spans="1:21" ht="14.25" customHeight="1">
      <c r="A1723" s="2" t="s">
        <v>15</v>
      </c>
      <c r="B1723" s="2">
        <v>1979</v>
      </c>
      <c r="C1723" s="2" t="s">
        <v>25</v>
      </c>
      <c r="D1723" s="3">
        <f t="shared" si="201"/>
        <v>32.067</v>
      </c>
      <c r="E1723" s="3">
        <f t="shared" si="202"/>
        <v>17.125</v>
      </c>
      <c r="F1723" s="3" t="e">
        <f t="shared" si="203"/>
        <v>#N/A</v>
      </c>
      <c r="G1723" s="3" t="e">
        <f t="shared" si="204"/>
        <v>#N/A</v>
      </c>
      <c r="H1723" s="3">
        <f t="shared" si="205"/>
        <v>20.582000000000001</v>
      </c>
      <c r="I1723" s="3">
        <f t="shared" si="206"/>
        <v>12.726000000000001</v>
      </c>
      <c r="J1723" s="2">
        <v>32067</v>
      </c>
      <c r="K1723" s="2">
        <v>17125</v>
      </c>
      <c r="N1723" s="2">
        <f>18476+1188+918</f>
        <v>20582</v>
      </c>
      <c r="O1723" s="2">
        <f>10471+1733+522</f>
        <v>12726</v>
      </c>
      <c r="P1723" s="3">
        <f>E1723*(VLOOKUP(B1723,Price_data!A$1:B$190,2,FALSE))</f>
        <v>51.474608504374999</v>
      </c>
      <c r="Q1723" s="3" t="e">
        <f>G1723*(VLOOKUP(B1723,Price_data!A$1:B$190,2,FALSE))</f>
        <v>#N/A</v>
      </c>
      <c r="R1723" s="3">
        <f>I1723*(VLOOKUP(B1723,Price_data!A$1:B$190,2,FALSE))</f>
        <v>38.252021478930004</v>
      </c>
      <c r="S1723" s="4" t="str">
        <f>(VLOOKUP(B1723,Price_data!A$1:C$190,3,FALSE))</f>
        <v>EEZ</v>
      </c>
      <c r="T1723" s="2" t="str">
        <f>IF(C1723="Total", (VLOOKUP(B1723,Recommended_fish_intake!A$4:D$122,4,FALSE)), "NA")</f>
        <v>NA</v>
      </c>
      <c r="U1723" s="2" t="str">
        <f t="shared" si="200"/>
        <v>NA</v>
      </c>
    </row>
    <row r="1724" spans="1:21" ht="14.25" customHeight="1">
      <c r="A1724" s="2" t="s">
        <v>15</v>
      </c>
      <c r="B1724" s="2">
        <v>1979</v>
      </c>
      <c r="C1724" s="2" t="s">
        <v>38</v>
      </c>
      <c r="D1724" s="3">
        <f t="shared" si="201"/>
        <v>18.843</v>
      </c>
      <c r="E1724" s="3">
        <f t="shared" si="202"/>
        <v>6.008</v>
      </c>
      <c r="F1724" s="3" t="e">
        <f t="shared" si="203"/>
        <v>#N/A</v>
      </c>
      <c r="G1724" s="3" t="e">
        <f t="shared" si="204"/>
        <v>#N/A</v>
      </c>
      <c r="H1724" s="3">
        <f t="shared" si="205"/>
        <v>2.6419999999999999</v>
      </c>
      <c r="I1724" s="3">
        <f t="shared" si="206"/>
        <v>0.82199999999999995</v>
      </c>
      <c r="J1724" s="2">
        <v>18843</v>
      </c>
      <c r="K1724" s="2">
        <v>6008</v>
      </c>
      <c r="N1724" s="2">
        <v>2642</v>
      </c>
      <c r="O1724" s="2">
        <v>822</v>
      </c>
      <c r="P1724" s="3">
        <f>E1724*(VLOOKUP(B1724,Price_data!A$1:B$190,2,FALSE))</f>
        <v>18.058945862440002</v>
      </c>
      <c r="Q1724" s="3" t="e">
        <f>G1724*(VLOOKUP(B1724,Price_data!A$1:B$190,2,FALSE))</f>
        <v>#N/A</v>
      </c>
      <c r="R1724" s="3">
        <f>I1724*(VLOOKUP(B1724,Price_data!A$1:B$190,2,FALSE))</f>
        <v>2.47078120821</v>
      </c>
      <c r="S1724" s="4" t="str">
        <f>(VLOOKUP(B1724,Price_data!A$1:C$190,3,FALSE))</f>
        <v>EEZ</v>
      </c>
      <c r="T1724" s="2" t="str">
        <f>IF(C1724="Total", (VLOOKUP(B1724,Recommended_fish_intake!A$4:D$122,4,FALSE)), "NA")</f>
        <v>NA</v>
      </c>
      <c r="U1724" s="2" t="str">
        <f t="shared" si="200"/>
        <v>NA</v>
      </c>
    </row>
    <row r="1725" spans="1:21" ht="14.25" customHeight="1">
      <c r="A1725" s="2" t="s">
        <v>15</v>
      </c>
      <c r="B1725" s="2">
        <v>1979</v>
      </c>
      <c r="C1725" s="2" t="s">
        <v>24</v>
      </c>
      <c r="D1725" s="3">
        <f t="shared" si="201"/>
        <v>61.146999999999998</v>
      </c>
      <c r="E1725" s="3">
        <f t="shared" si="202"/>
        <v>19.251999999999999</v>
      </c>
      <c r="F1725" s="3" t="e">
        <f t="shared" si="203"/>
        <v>#N/A</v>
      </c>
      <c r="G1725" s="3" t="e">
        <f t="shared" si="204"/>
        <v>#N/A</v>
      </c>
      <c r="H1725" s="3" t="e">
        <f t="shared" si="205"/>
        <v>#N/A</v>
      </c>
      <c r="I1725" s="3" t="e">
        <f t="shared" si="206"/>
        <v>#N/A</v>
      </c>
      <c r="J1725" s="2">
        <v>61147</v>
      </c>
      <c r="K1725" s="2">
        <v>19252</v>
      </c>
      <c r="P1725" s="3">
        <f>E1725*(VLOOKUP(B1725,Price_data!A$1:B$190,2,FALSE))</f>
        <v>57.867980316859999</v>
      </c>
      <c r="Q1725" s="3" t="e">
        <f>G1725*(VLOOKUP(B1725,Price_data!A$1:B$190,2,FALSE))</f>
        <v>#N/A</v>
      </c>
      <c r="R1725" s="3" t="e">
        <f>I1725*(VLOOKUP(B1725,Price_data!A$1:B$190,2,FALSE))</f>
        <v>#N/A</v>
      </c>
      <c r="S1725" s="4" t="str">
        <f>(VLOOKUP(B1725,Price_data!A$1:C$190,3,FALSE))</f>
        <v>EEZ</v>
      </c>
      <c r="T1725" s="2" t="str">
        <f>IF(C1725="Total", (VLOOKUP(B1725,Recommended_fish_intake!A$4:D$122,4,FALSE)), "NA")</f>
        <v>NA</v>
      </c>
      <c r="U1725" s="2" t="str">
        <f t="shared" si="200"/>
        <v>NA</v>
      </c>
    </row>
    <row r="1726" spans="1:21" ht="14.25" customHeight="1">
      <c r="A1726" s="2" t="s">
        <v>15</v>
      </c>
      <c r="B1726" s="2">
        <v>1979</v>
      </c>
      <c r="C1726" s="2" t="s">
        <v>19</v>
      </c>
      <c r="D1726" s="3">
        <f t="shared" si="201"/>
        <v>4.5869999999999997</v>
      </c>
      <c r="E1726" s="3">
        <f t="shared" si="202"/>
        <v>1.927</v>
      </c>
      <c r="F1726" s="3" t="e">
        <f t="shared" si="203"/>
        <v>#N/A</v>
      </c>
      <c r="G1726" s="3" t="e">
        <f t="shared" si="204"/>
        <v>#N/A</v>
      </c>
      <c r="H1726" s="3">
        <f t="shared" si="205"/>
        <v>13.754</v>
      </c>
      <c r="I1726" s="3">
        <f t="shared" si="206"/>
        <v>6.79</v>
      </c>
      <c r="J1726" s="2">
        <v>4587</v>
      </c>
      <c r="K1726" s="2">
        <v>1927</v>
      </c>
      <c r="N1726" s="2">
        <f>2506+8814+1571+863</f>
        <v>13754</v>
      </c>
      <c r="O1726" s="2">
        <f>1202+3758+753+1077</f>
        <v>6790</v>
      </c>
      <c r="P1726" s="3">
        <f>E1726*(VLOOKUP(B1726,Price_data!A$1:B$190,2,FALSE))</f>
        <v>5.7922085014849998</v>
      </c>
      <c r="Q1726" s="3" t="e">
        <f>G1726*(VLOOKUP(B1726,Price_data!A$1:B$190,2,FALSE))</f>
        <v>#N/A</v>
      </c>
      <c r="R1726" s="3">
        <f>I1726*(VLOOKUP(B1726,Price_data!A$1:B$190,2,FALSE))</f>
        <v>20.409494408450001</v>
      </c>
      <c r="S1726" s="4" t="str">
        <f>(VLOOKUP(B1726,Price_data!A$1:C$190,3,FALSE))</f>
        <v>EEZ</v>
      </c>
      <c r="T1726" s="2" t="str">
        <f>IF(C1726="Total", (VLOOKUP(B1726,Recommended_fish_intake!A$4:D$122,4,FALSE)), "NA")</f>
        <v>NA</v>
      </c>
      <c r="U1726" s="2" t="str">
        <f t="shared" si="200"/>
        <v>NA</v>
      </c>
    </row>
    <row r="1727" spans="1:21" ht="14.25" customHeight="1">
      <c r="A1727" s="2" t="s">
        <v>15</v>
      </c>
      <c r="B1727" s="2">
        <v>1979</v>
      </c>
      <c r="C1727" s="2" t="s">
        <v>20</v>
      </c>
      <c r="D1727" s="3">
        <f t="shared" si="201"/>
        <v>353.45400000000001</v>
      </c>
      <c r="E1727" s="3">
        <f t="shared" si="202"/>
        <v>36.965000000000003</v>
      </c>
      <c r="F1727" s="3" t="e">
        <f t="shared" si="203"/>
        <v>#N/A</v>
      </c>
      <c r="G1727" s="3" t="e">
        <f t="shared" si="204"/>
        <v>#N/A</v>
      </c>
      <c r="H1727" s="3">
        <f t="shared" si="205"/>
        <v>1.395</v>
      </c>
      <c r="I1727" s="3">
        <f t="shared" si="206"/>
        <v>1.2949999999999999</v>
      </c>
      <c r="J1727" s="2">
        <v>353454</v>
      </c>
      <c r="K1727" s="2">
        <v>36965</v>
      </c>
      <c r="N1727" s="2">
        <v>1395</v>
      </c>
      <c r="O1727" s="2">
        <v>1295</v>
      </c>
      <c r="P1727" s="3">
        <f>E1727*(VLOOKUP(B1727,Price_data!A$1:B$190,2,FALSE))</f>
        <v>111.11000895557501</v>
      </c>
      <c r="Q1727" s="3" t="e">
        <f>G1727*(VLOOKUP(B1727,Price_data!A$1:B$190,2,FALSE))</f>
        <v>#N/A</v>
      </c>
      <c r="R1727" s="3">
        <f>I1727*(VLOOKUP(B1727,Price_data!A$1:B$190,2,FALSE))</f>
        <v>3.892532438725</v>
      </c>
      <c r="S1727" s="4" t="str">
        <f>(VLOOKUP(B1727,Price_data!A$1:C$190,3,FALSE))</f>
        <v>EEZ</v>
      </c>
      <c r="T1727" s="2" t="str">
        <f>IF(C1727="Total", (VLOOKUP(B1727,Recommended_fish_intake!A$4:D$122,4,FALSE)), "NA")</f>
        <v>NA</v>
      </c>
      <c r="U1727" s="2" t="str">
        <f t="shared" si="200"/>
        <v>NA</v>
      </c>
    </row>
    <row r="1728" spans="1:21" ht="14.25" customHeight="1">
      <c r="A1728" s="2" t="s">
        <v>15</v>
      </c>
      <c r="B1728" s="2">
        <v>1979</v>
      </c>
      <c r="C1728" s="2" t="s">
        <v>21</v>
      </c>
      <c r="D1728" s="3">
        <f t="shared" si="201"/>
        <v>31.675999999999998</v>
      </c>
      <c r="E1728" s="3">
        <f t="shared" si="202"/>
        <v>1.833</v>
      </c>
      <c r="F1728" s="3" t="e">
        <f t="shared" si="203"/>
        <v>#N/A</v>
      </c>
      <c r="G1728" s="3" t="e">
        <f t="shared" si="204"/>
        <v>#N/A</v>
      </c>
      <c r="H1728" s="3" t="e">
        <f t="shared" si="205"/>
        <v>#N/A</v>
      </c>
      <c r="I1728" s="3" t="e">
        <f t="shared" si="206"/>
        <v>#N/A</v>
      </c>
      <c r="J1728" s="2">
        <v>31676</v>
      </c>
      <c r="K1728" s="2">
        <v>1833</v>
      </c>
      <c r="P1728" s="3">
        <f>E1728*(VLOOKUP(B1728,Price_data!A$1:B$190,2,FALSE))</f>
        <v>5.5096617453150003</v>
      </c>
      <c r="Q1728" s="3" t="e">
        <f>G1728*(VLOOKUP(B1728,Price_data!A$1:B$190,2,FALSE))</f>
        <v>#N/A</v>
      </c>
      <c r="R1728" s="3" t="e">
        <f>I1728*(VLOOKUP(B1728,Price_data!A$1:B$190,2,FALSE))</f>
        <v>#N/A</v>
      </c>
      <c r="S1728" s="4" t="str">
        <f>(VLOOKUP(B1728,Price_data!A$1:C$190,3,FALSE))</f>
        <v>EEZ</v>
      </c>
      <c r="T1728" s="2" t="str">
        <f>IF(C1728="Total", (VLOOKUP(B1728,Recommended_fish_intake!A$4:D$122,4,FALSE)), "NA")</f>
        <v>NA</v>
      </c>
      <c r="U1728" s="2" t="str">
        <f t="shared" si="200"/>
        <v>NA</v>
      </c>
    </row>
    <row r="1729" spans="1:21" ht="14.25" customHeight="1">
      <c r="A1729" s="2" t="s">
        <v>15</v>
      </c>
      <c r="B1729" s="2">
        <v>1979</v>
      </c>
      <c r="C1729" s="2" t="s">
        <v>37</v>
      </c>
      <c r="D1729" s="3">
        <f t="shared" si="201"/>
        <v>771.84400000000005</v>
      </c>
      <c r="E1729" s="3">
        <f t="shared" si="202"/>
        <v>214.31200000000001</v>
      </c>
      <c r="F1729" s="3">
        <f t="shared" si="203"/>
        <v>345.892</v>
      </c>
      <c r="G1729" s="3">
        <f t="shared" si="204"/>
        <v>94.105000000000004</v>
      </c>
      <c r="H1729" s="3">
        <f t="shared" si="205"/>
        <v>284.42899999999997</v>
      </c>
      <c r="I1729" s="3">
        <f t="shared" si="206"/>
        <v>259.92700000000002</v>
      </c>
      <c r="J1729" s="2">
        <v>771844</v>
      </c>
      <c r="K1729" s="2">
        <v>214312</v>
      </c>
      <c r="L1729" s="2">
        <v>345892</v>
      </c>
      <c r="M1729" s="2">
        <v>94105</v>
      </c>
      <c r="N1729" s="2">
        <v>284429</v>
      </c>
      <c r="O1729" s="2">
        <v>259927</v>
      </c>
      <c r="P1729" s="3">
        <f>E1729*(VLOOKUP(B1729,Price_data!A$1:B$190,2,FALSE))</f>
        <v>644.18255753516007</v>
      </c>
      <c r="Q1729" s="3">
        <f>G1729*(VLOOKUP(B1729,Price_data!A$1:B$190,2,FALSE))</f>
        <v>282.86236690827502</v>
      </c>
      <c r="R1729" s="3">
        <f>I1729*(VLOOKUP(B1729,Price_data!A$1:B$190,2,FALSE))</f>
        <v>781.29287969148504</v>
      </c>
      <c r="S1729" s="4" t="str">
        <f>(VLOOKUP(B1729,Price_data!A$1:C$190,3,FALSE))</f>
        <v>EEZ</v>
      </c>
      <c r="T1729" s="2" t="str">
        <f>IF(C1729="Total", (VLOOKUP(B1729,Recommended_fish_intake!A$4:D$122,4,FALSE)), "NA")</f>
        <v>NA</v>
      </c>
      <c r="U1729" s="2">
        <f t="shared" si="200"/>
        <v>378.20356000000004</v>
      </c>
    </row>
    <row r="1730" spans="1:21" ht="14.25" customHeight="1">
      <c r="A1730" s="2" t="s">
        <v>15</v>
      </c>
      <c r="B1730" s="2">
        <v>1979</v>
      </c>
      <c r="C1730" s="2" t="s">
        <v>36</v>
      </c>
      <c r="D1730" s="3">
        <f t="shared" si="201"/>
        <v>10.425000000000001</v>
      </c>
      <c r="E1730" s="3">
        <f t="shared" si="202"/>
        <v>3.9060000000000001</v>
      </c>
      <c r="F1730" s="3" t="e">
        <f t="shared" si="203"/>
        <v>#N/A</v>
      </c>
      <c r="G1730" s="3" t="e">
        <f t="shared" si="204"/>
        <v>#N/A</v>
      </c>
      <c r="H1730" s="3">
        <f t="shared" si="205"/>
        <v>0.93100000000000005</v>
      </c>
      <c r="I1730" s="3">
        <f t="shared" si="206"/>
        <v>2.75</v>
      </c>
      <c r="J1730" s="2">
        <v>10425</v>
      </c>
      <c r="K1730" s="2">
        <v>3906</v>
      </c>
      <c r="N1730" s="2">
        <v>931</v>
      </c>
      <c r="O1730" s="2">
        <v>2750</v>
      </c>
      <c r="P1730" s="3">
        <f>E1730*(VLOOKUP(B1730,Price_data!A$1:B$190,2,FALSE))</f>
        <v>11.740719463830001</v>
      </c>
      <c r="Q1730" s="3" t="e">
        <f>G1730*(VLOOKUP(B1730,Price_data!A$1:B$190,2,FALSE))</f>
        <v>#N/A</v>
      </c>
      <c r="R1730" s="3">
        <f>I1730*(VLOOKUP(B1730,Price_data!A$1:B$190,2,FALSE))</f>
        <v>8.2659955262500002</v>
      </c>
      <c r="S1730" s="4" t="str">
        <f>(VLOOKUP(B1730,Price_data!A$1:C$190,3,FALSE))</f>
        <v>EEZ</v>
      </c>
      <c r="T1730" s="2" t="str">
        <f>IF(C1730="Total", (VLOOKUP(B1730,Recommended_fish_intake!A$4:D$122,4,FALSE)), "NA")</f>
        <v>NA</v>
      </c>
      <c r="U1730" s="2" t="str">
        <f t="shared" ref="U1730:U1793" si="207">IF(C1730="Wet fish", D1730*0.49, IF(C1730="Shellfish", D1730*0.28, "NA"))</f>
        <v>NA</v>
      </c>
    </row>
    <row r="1731" spans="1:21" ht="14.25" customHeight="1">
      <c r="A1731" s="2" t="s">
        <v>15</v>
      </c>
      <c r="B1731" s="2">
        <v>1979</v>
      </c>
      <c r="C1731" s="2" t="s">
        <v>52</v>
      </c>
      <c r="D1731" s="3">
        <f t="shared" si="201"/>
        <v>7.343</v>
      </c>
      <c r="E1731" s="3">
        <f t="shared" si="202"/>
        <v>3.8610000000000002</v>
      </c>
      <c r="F1731" s="3" t="e">
        <f t="shared" si="203"/>
        <v>#N/A</v>
      </c>
      <c r="G1731" s="3" t="e">
        <f t="shared" si="204"/>
        <v>#N/A</v>
      </c>
      <c r="H1731" s="3" t="e">
        <f t="shared" si="205"/>
        <v>#N/A</v>
      </c>
      <c r="I1731" s="3" t="e">
        <f t="shared" si="206"/>
        <v>#N/A</v>
      </c>
      <c r="J1731" s="2">
        <v>7343</v>
      </c>
      <c r="K1731" s="2">
        <v>3861</v>
      </c>
      <c r="P1731" s="3">
        <f>E1731*(VLOOKUP(B1731,Price_data!A$1:B$190,2,FALSE))</f>
        <v>11.605457718855</v>
      </c>
      <c r="Q1731" s="3" t="e">
        <f>G1731*(VLOOKUP(B1731,Price_data!A$1:B$190,2,FALSE))</f>
        <v>#N/A</v>
      </c>
      <c r="R1731" s="3" t="e">
        <f>I1731*(VLOOKUP(B1731,Price_data!A$1:B$190,2,FALSE))</f>
        <v>#N/A</v>
      </c>
      <c r="S1731" s="4" t="str">
        <f>(VLOOKUP(B1731,Price_data!A$1:C$190,3,FALSE))</f>
        <v>EEZ</v>
      </c>
      <c r="T1731" s="2" t="str">
        <f>IF(C1731="Total", (VLOOKUP(B1731,Recommended_fish_intake!A$4:D$122,4,FALSE)), "NA")</f>
        <v>NA</v>
      </c>
      <c r="U1731" s="2" t="str">
        <f t="shared" si="207"/>
        <v>NA</v>
      </c>
    </row>
    <row r="1732" spans="1:21" ht="14.25" customHeight="1">
      <c r="A1732" s="2" t="s">
        <v>15</v>
      </c>
      <c r="B1732" s="2">
        <v>1979</v>
      </c>
      <c r="C1732" s="2" t="s">
        <v>34</v>
      </c>
      <c r="D1732" s="3">
        <f t="shared" si="201"/>
        <v>0.79400000000000004</v>
      </c>
      <c r="E1732" s="3">
        <f t="shared" si="202"/>
        <v>4.13</v>
      </c>
      <c r="F1732" s="3" t="e">
        <f t="shared" si="203"/>
        <v>#N/A</v>
      </c>
      <c r="G1732" s="3" t="e">
        <f t="shared" si="204"/>
        <v>#N/A</v>
      </c>
      <c r="H1732" s="3" t="e">
        <f t="shared" si="205"/>
        <v>#N/A</v>
      </c>
      <c r="I1732" s="3" t="e">
        <f t="shared" si="206"/>
        <v>#N/A</v>
      </c>
      <c r="J1732" s="2">
        <v>794</v>
      </c>
      <c r="K1732" s="2">
        <v>4130</v>
      </c>
      <c r="P1732" s="3">
        <f>E1732*(VLOOKUP(B1732,Price_data!A$1:B$190,2,FALSE))</f>
        <v>12.414022372149999</v>
      </c>
      <c r="Q1732" s="3" t="e">
        <f>G1732*(VLOOKUP(B1732,Price_data!A$1:B$190,2,FALSE))</f>
        <v>#N/A</v>
      </c>
      <c r="R1732" s="3" t="e">
        <f>I1732*(VLOOKUP(B1732,Price_data!A$1:B$190,2,FALSE))</f>
        <v>#N/A</v>
      </c>
      <c r="S1732" s="4" t="str">
        <f>(VLOOKUP(B1732,Price_data!A$1:C$190,3,FALSE))</f>
        <v>EEZ</v>
      </c>
      <c r="T1732" s="2" t="str">
        <f>IF(C1732="Total", (VLOOKUP(B1732,Recommended_fish_intake!A$4:D$122,4,FALSE)), "NA")</f>
        <v>NA</v>
      </c>
      <c r="U1732" s="2" t="str">
        <f t="shared" si="207"/>
        <v>NA</v>
      </c>
    </row>
    <row r="1733" spans="1:21" ht="14.25" customHeight="1">
      <c r="A1733" s="2" t="s">
        <v>15</v>
      </c>
      <c r="B1733" s="2">
        <v>1979</v>
      </c>
      <c r="C1733" s="2" t="s">
        <v>35</v>
      </c>
      <c r="D1733" s="3">
        <f t="shared" si="201"/>
        <v>16.010999999999999</v>
      </c>
      <c r="E1733" s="3">
        <f t="shared" si="202"/>
        <v>22.114000000000001</v>
      </c>
      <c r="F1733" s="3" t="e">
        <f t="shared" si="203"/>
        <v>#N/A</v>
      </c>
      <c r="G1733" s="3" t="e">
        <f t="shared" si="204"/>
        <v>#N/A</v>
      </c>
      <c r="H1733" s="3" t="e">
        <f t="shared" si="205"/>
        <v>#N/A</v>
      </c>
      <c r="I1733" s="3" t="e">
        <f t="shared" si="206"/>
        <v>#N/A</v>
      </c>
      <c r="J1733" s="2">
        <v>16011</v>
      </c>
      <c r="K1733" s="2">
        <v>22114</v>
      </c>
      <c r="P1733" s="3">
        <f>E1733*(VLOOKUP(B1733,Price_data!A$1:B$190,2,FALSE))</f>
        <v>66.470627297269999</v>
      </c>
      <c r="Q1733" s="3" t="e">
        <f>G1733*(VLOOKUP(B1733,Price_data!A$1:B$190,2,FALSE))</f>
        <v>#N/A</v>
      </c>
      <c r="R1733" s="3" t="e">
        <f>I1733*(VLOOKUP(B1733,Price_data!A$1:B$190,2,FALSE))</f>
        <v>#N/A</v>
      </c>
      <c r="S1733" s="4" t="str">
        <f>(VLOOKUP(B1733,Price_data!A$1:C$190,3,FALSE))</f>
        <v>EEZ</v>
      </c>
      <c r="T1733" s="2" t="str">
        <f>IF(C1733="Total", (VLOOKUP(B1733,Recommended_fish_intake!A$4:D$122,4,FALSE)), "NA")</f>
        <v>NA</v>
      </c>
      <c r="U1733" s="2" t="str">
        <f t="shared" si="207"/>
        <v>NA</v>
      </c>
    </row>
    <row r="1734" spans="1:21" ht="14.25" customHeight="1">
      <c r="A1734" s="2" t="s">
        <v>15</v>
      </c>
      <c r="B1734" s="2">
        <v>1979</v>
      </c>
      <c r="C1734" s="2" t="s">
        <v>30</v>
      </c>
      <c r="D1734" s="3">
        <f t="shared" si="201"/>
        <v>1.3979999999999999</v>
      </c>
      <c r="E1734" s="3">
        <f t="shared" si="202"/>
        <v>0.97899999999999998</v>
      </c>
      <c r="F1734" s="3" t="e">
        <f t="shared" si="203"/>
        <v>#N/A</v>
      </c>
      <c r="G1734" s="3" t="e">
        <f t="shared" si="204"/>
        <v>#N/A</v>
      </c>
      <c r="H1734" s="3">
        <f t="shared" si="205"/>
        <v>12.824999999999999</v>
      </c>
      <c r="I1734" s="3">
        <f t="shared" si="206"/>
        <v>23.992999999999999</v>
      </c>
      <c r="J1734" s="2">
        <v>1398</v>
      </c>
      <c r="K1734" s="2">
        <v>979</v>
      </c>
      <c r="N1734" s="2">
        <f>6857+5968</f>
        <v>12825</v>
      </c>
      <c r="O1734" s="2">
        <f>8701+15292</f>
        <v>23993</v>
      </c>
      <c r="P1734" s="3">
        <f>E1734*(VLOOKUP(B1734,Price_data!A$1:B$190,2,FALSE))</f>
        <v>2.9426944073449999</v>
      </c>
      <c r="Q1734" s="3" t="e">
        <f>G1734*(VLOOKUP(B1734,Price_data!A$1:B$190,2,FALSE))</f>
        <v>#N/A</v>
      </c>
      <c r="R1734" s="3">
        <f>I1734*(VLOOKUP(B1734,Price_data!A$1:B$190,2,FALSE))</f>
        <v>72.118556604115</v>
      </c>
      <c r="S1734" s="4" t="str">
        <f>(VLOOKUP(B1734,Price_data!A$1:C$190,3,FALSE))</f>
        <v>EEZ</v>
      </c>
      <c r="T1734" s="2" t="str">
        <f>IF(C1734="Total", (VLOOKUP(B1734,Recommended_fish_intake!A$4:D$122,4,FALSE)), "NA")</f>
        <v>NA</v>
      </c>
      <c r="U1734" s="2" t="str">
        <f t="shared" si="207"/>
        <v>NA</v>
      </c>
    </row>
    <row r="1735" spans="1:21" ht="14.25" customHeight="1">
      <c r="A1735" s="2" t="s">
        <v>15</v>
      </c>
      <c r="B1735" s="2">
        <v>1979</v>
      </c>
      <c r="C1735" s="2" t="s">
        <v>28</v>
      </c>
      <c r="D1735" s="3">
        <f t="shared" si="201"/>
        <v>64.381</v>
      </c>
      <c r="E1735" s="3">
        <f t="shared" si="202"/>
        <v>39.857999999999997</v>
      </c>
      <c r="F1735" s="3">
        <f t="shared" si="203"/>
        <v>23.599</v>
      </c>
      <c r="G1735" s="3">
        <f t="shared" si="204"/>
        <v>46.009</v>
      </c>
      <c r="H1735" s="3">
        <f t="shared" si="205"/>
        <v>29.3</v>
      </c>
      <c r="I1735" s="3">
        <f t="shared" si="206"/>
        <v>61.283999999999999</v>
      </c>
      <c r="J1735" s="2">
        <v>64381</v>
      </c>
      <c r="K1735" s="2">
        <v>39858</v>
      </c>
      <c r="L1735" s="2">
        <v>23599</v>
      </c>
      <c r="M1735" s="2">
        <v>46009</v>
      </c>
      <c r="N1735" s="2">
        <v>29300</v>
      </c>
      <c r="O1735" s="2">
        <v>61284</v>
      </c>
      <c r="P1735" s="3">
        <f>E1735*(VLOOKUP(B1735,Price_data!A$1:B$190,2,FALSE))</f>
        <v>119.80583624918999</v>
      </c>
      <c r="Q1735" s="3">
        <f>G1735*(VLOOKUP(B1735,Price_data!A$1:B$190,2,FALSE))</f>
        <v>138.29461387899499</v>
      </c>
      <c r="R1735" s="3">
        <f>I1735*(VLOOKUP(B1735,Price_data!A$1:B$190,2,FALSE))</f>
        <v>184.20846175662001</v>
      </c>
      <c r="S1735" s="4" t="str">
        <f>(VLOOKUP(B1735,Price_data!A$1:C$190,3,FALSE))</f>
        <v>EEZ</v>
      </c>
      <c r="T1735" s="2" t="str">
        <f>IF(C1735="Total", (VLOOKUP(B1735,Recommended_fish_intake!A$4:D$122,4,FALSE)), "NA")</f>
        <v>NA</v>
      </c>
      <c r="U1735" s="2">
        <f t="shared" si="207"/>
        <v>18.026680000000002</v>
      </c>
    </row>
    <row r="1736" spans="1:21" ht="14.25" customHeight="1">
      <c r="A1736" s="2" t="s">
        <v>18</v>
      </c>
      <c r="B1736" s="2">
        <v>1979</v>
      </c>
      <c r="C1736" s="2" t="s">
        <v>16</v>
      </c>
      <c r="D1736" s="3">
        <f t="shared" si="201"/>
        <v>471.745</v>
      </c>
      <c r="E1736" s="3">
        <f t="shared" si="202"/>
        <v>125.32599999999999</v>
      </c>
      <c r="F1736" s="3" t="e">
        <f t="shared" si="203"/>
        <v>#N/A</v>
      </c>
      <c r="G1736" s="3" t="e">
        <f t="shared" si="204"/>
        <v>#N/A</v>
      </c>
      <c r="H1736" s="3" t="e">
        <f t="shared" si="205"/>
        <v>#N/A</v>
      </c>
      <c r="I1736" s="3" t="e">
        <f t="shared" si="206"/>
        <v>#N/A</v>
      </c>
      <c r="J1736" s="2">
        <v>471745</v>
      </c>
      <c r="K1736" s="2">
        <v>125326</v>
      </c>
      <c r="P1736" s="3">
        <f>E1736*(VLOOKUP(B1736,Price_data!A$1:B$190,2,FALSE))</f>
        <v>376.70696557192997</v>
      </c>
      <c r="Q1736" s="3" t="e">
        <f>G1736*(VLOOKUP(B1736,Price_data!A$1:B$190,2,FALSE))</f>
        <v>#N/A</v>
      </c>
      <c r="R1736" s="3" t="e">
        <f>I1736*(VLOOKUP(B1736,Price_data!A$1:B$190,2,FALSE))</f>
        <v>#N/A</v>
      </c>
      <c r="S1736" s="4" t="str">
        <f>(VLOOKUP(B1736,Price_data!A$1:C$190,3,FALSE))</f>
        <v>EEZ</v>
      </c>
      <c r="T1736" s="2">
        <f>IF(C1736="Total", (VLOOKUP(B1736,Recommended_fish_intake!A$4:D$122,4,FALSE)), "NA")</f>
        <v>733.00876873770005</v>
      </c>
      <c r="U1736" s="2" t="str">
        <f t="shared" si="207"/>
        <v>NA</v>
      </c>
    </row>
    <row r="1737" spans="1:21" ht="14.25" customHeight="1">
      <c r="A1737" s="2" t="s">
        <v>39</v>
      </c>
      <c r="B1737" s="2">
        <v>1979</v>
      </c>
      <c r="C1737" s="2" t="s">
        <v>16</v>
      </c>
      <c r="D1737" s="3">
        <f t="shared" si="201"/>
        <v>354.976</v>
      </c>
      <c r="E1737" s="3">
        <f t="shared" si="202"/>
        <v>122.224</v>
      </c>
      <c r="F1737" s="3" t="e">
        <f t="shared" si="203"/>
        <v>#N/A</v>
      </c>
      <c r="G1737" s="3" t="e">
        <f t="shared" si="204"/>
        <v>#N/A</v>
      </c>
      <c r="H1737" s="3" t="e">
        <f t="shared" si="205"/>
        <v>#N/A</v>
      </c>
      <c r="I1737" s="3" t="e">
        <f t="shared" si="206"/>
        <v>#N/A</v>
      </c>
      <c r="J1737" s="2">
        <v>354976</v>
      </c>
      <c r="K1737" s="2">
        <v>122224</v>
      </c>
      <c r="P1737" s="3">
        <f>E1737*(VLOOKUP(B1737,Price_data!A$1:B$190,2,FALSE))</f>
        <v>367.38292261832004</v>
      </c>
      <c r="Q1737" s="3" t="e">
        <f>G1737*(VLOOKUP(B1737,Price_data!A$1:B$190,2,FALSE))</f>
        <v>#N/A</v>
      </c>
      <c r="R1737" s="3" t="e">
        <f>I1737*(VLOOKUP(B1737,Price_data!A$1:B$190,2,FALSE))</f>
        <v>#N/A</v>
      </c>
      <c r="S1737" s="4" t="str">
        <f>(VLOOKUP(B1737,Price_data!A$1:C$190,3,FALSE))</f>
        <v>EEZ</v>
      </c>
      <c r="T1737" s="2">
        <f>IF(C1737="Total", (VLOOKUP(B1737,Recommended_fish_intake!A$4:D$122,4,FALSE)), "NA")</f>
        <v>733.00876873770005</v>
      </c>
      <c r="U1737" s="2" t="str">
        <f t="shared" si="207"/>
        <v>NA</v>
      </c>
    </row>
    <row r="1738" spans="1:21" ht="14.25" customHeight="1">
      <c r="A1738" s="2" t="s">
        <v>40</v>
      </c>
      <c r="B1738" s="2">
        <v>1979</v>
      </c>
      <c r="C1738" s="2" t="s">
        <v>16</v>
      </c>
      <c r="D1738" s="3">
        <f t="shared" si="201"/>
        <v>9.5039999999999996</v>
      </c>
      <c r="E1738" s="3">
        <f t="shared" si="202"/>
        <v>6.62</v>
      </c>
      <c r="F1738" s="3" t="e">
        <f t="shared" si="203"/>
        <v>#N/A</v>
      </c>
      <c r="G1738" s="3" t="e">
        <f t="shared" si="204"/>
        <v>#N/A</v>
      </c>
      <c r="H1738" s="3" t="e">
        <f t="shared" si="205"/>
        <v>#N/A</v>
      </c>
      <c r="I1738" s="3" t="e">
        <f t="shared" si="206"/>
        <v>#N/A</v>
      </c>
      <c r="J1738" s="2">
        <v>9504</v>
      </c>
      <c r="K1738" s="2">
        <v>6620</v>
      </c>
      <c r="P1738" s="3">
        <f>E1738*(VLOOKUP(B1738,Price_data!A$1:B$190,2,FALSE))</f>
        <v>19.898505594100001</v>
      </c>
      <c r="Q1738" s="3" t="e">
        <f>G1738*(VLOOKUP(B1738,Price_data!A$1:B$190,2,FALSE))</f>
        <v>#N/A</v>
      </c>
      <c r="R1738" s="3" t="e">
        <f>I1738*(VLOOKUP(B1738,Price_data!A$1:B$190,2,FALSE))</f>
        <v>#N/A</v>
      </c>
      <c r="S1738" s="4" t="str">
        <f>(VLOOKUP(B1738,Price_data!A$1:C$190,3,FALSE))</f>
        <v>EEZ</v>
      </c>
      <c r="T1738" s="2">
        <f>IF(C1738="Total", (VLOOKUP(B1738,Recommended_fish_intake!A$4:D$122,4,FALSE)), "NA")</f>
        <v>733.00876873770005</v>
      </c>
      <c r="U1738" s="2" t="str">
        <f t="shared" si="207"/>
        <v>NA</v>
      </c>
    </row>
    <row r="1739" spans="1:21" ht="14.25" customHeight="1">
      <c r="A1739" s="2" t="s">
        <v>15</v>
      </c>
      <c r="B1739" s="2">
        <v>1979</v>
      </c>
      <c r="C1739" s="2" t="s">
        <v>16</v>
      </c>
      <c r="D1739" s="3">
        <f t="shared" si="201"/>
        <v>836.22500000000002</v>
      </c>
      <c r="E1739" s="3">
        <f t="shared" si="202"/>
        <v>254.17</v>
      </c>
      <c r="F1739" s="3">
        <f t="shared" si="203"/>
        <v>369.49099999999999</v>
      </c>
      <c r="G1739" s="3">
        <f t="shared" si="204"/>
        <v>140.114</v>
      </c>
      <c r="H1739" s="3">
        <f t="shared" si="205"/>
        <v>313.72899999999998</v>
      </c>
      <c r="I1739" s="3">
        <f t="shared" si="206"/>
        <v>321.21100000000001</v>
      </c>
      <c r="J1739" s="2">
        <v>836225</v>
      </c>
      <c r="K1739" s="2">
        <v>254170</v>
      </c>
      <c r="L1739" s="2">
        <v>369491</v>
      </c>
      <c r="M1739" s="2">
        <v>140114</v>
      </c>
      <c r="N1739" s="2">
        <v>313729</v>
      </c>
      <c r="O1739" s="2">
        <v>321211</v>
      </c>
      <c r="P1739" s="3">
        <f>E1739*(VLOOKUP(B1739,Price_data!A$1:B$190,2,FALSE))</f>
        <v>763.98839378434991</v>
      </c>
      <c r="Q1739" s="3">
        <f>G1739*(VLOOKUP(B1739,Price_data!A$1:B$190,2,FALSE))</f>
        <v>421.15698078727002</v>
      </c>
      <c r="R1739" s="3">
        <f>I1739*(VLOOKUP(B1739,Price_data!A$1:B$190,2,FALSE))</f>
        <v>965.50134144810499</v>
      </c>
      <c r="S1739" s="4" t="str">
        <f>(VLOOKUP(B1739,Price_data!A$1:C$190,3,FALSE))</f>
        <v>EEZ</v>
      </c>
      <c r="T1739" s="2">
        <f>IF(C1739="Total", (VLOOKUP(B1739,Recommended_fish_intake!A$4:D$122,4,FALSE)), "NA")</f>
        <v>733.00876873770005</v>
      </c>
      <c r="U1739" s="2" t="str">
        <f t="shared" si="207"/>
        <v>NA</v>
      </c>
    </row>
    <row r="1740" spans="1:21" ht="14.25" customHeight="1">
      <c r="A1740" s="2" t="s">
        <v>15</v>
      </c>
      <c r="B1740" s="2">
        <v>1979</v>
      </c>
      <c r="C1740" s="2" t="s">
        <v>29</v>
      </c>
      <c r="D1740" s="3" t="e">
        <f t="shared" si="201"/>
        <v>#N/A</v>
      </c>
      <c r="E1740" s="3" t="e">
        <f t="shared" si="202"/>
        <v>#N/A</v>
      </c>
      <c r="F1740" s="3" t="e">
        <f t="shared" si="203"/>
        <v>#N/A</v>
      </c>
      <c r="G1740" s="3" t="e">
        <f t="shared" si="204"/>
        <v>#N/A</v>
      </c>
      <c r="H1740" s="3">
        <f t="shared" si="205"/>
        <v>20.324000000000002</v>
      </c>
      <c r="I1740" s="3">
        <f t="shared" si="206"/>
        <v>49.228000000000002</v>
      </c>
      <c r="J1740" s="3" t="e">
        <v>#N/A</v>
      </c>
      <c r="K1740" s="3" t="e">
        <v>#N/A</v>
      </c>
      <c r="L1740" s="3" t="e">
        <v>#N/A</v>
      </c>
      <c r="M1740" s="3" t="e">
        <v>#N/A</v>
      </c>
      <c r="N1740" s="2">
        <f>552+4596+15176</f>
        <v>20324</v>
      </c>
      <c r="O1740" s="2">
        <f>2287+12555+34386</f>
        <v>49228</v>
      </c>
      <c r="P1740" s="3" t="e">
        <f>E1740*(VLOOKUP(B1740,Price_data!A$1:B$190,2,FALSE))</f>
        <v>#N/A</v>
      </c>
      <c r="Q1740" s="3" t="e">
        <f>G1740*(VLOOKUP(B1740,Price_data!A$1:B$190,2,FALSE))</f>
        <v>#N/A</v>
      </c>
      <c r="R1740" s="3">
        <f>I1740*(VLOOKUP(B1740,Price_data!A$1:B$190,2,FALSE))</f>
        <v>147.97033736954</v>
      </c>
      <c r="S1740" s="4" t="str">
        <f>(VLOOKUP(B1740,Price_data!A$1:C$190,3,FALSE))</f>
        <v>EEZ</v>
      </c>
      <c r="T1740" s="2" t="str">
        <f>IF(C1740="Total", (VLOOKUP(B1740,Recommended_fish_intake!A$4:D$122,4,FALSE)), "NA")</f>
        <v>NA</v>
      </c>
      <c r="U1740" s="2" t="str">
        <f t="shared" si="207"/>
        <v>NA</v>
      </c>
    </row>
    <row r="1741" spans="1:21" ht="14.25" customHeight="1">
      <c r="A1741" s="2" t="s">
        <v>15</v>
      </c>
      <c r="B1741" s="2">
        <v>1979</v>
      </c>
      <c r="C1741" s="2" t="s">
        <v>43</v>
      </c>
      <c r="D1741" s="3" t="e">
        <f t="shared" si="201"/>
        <v>#N/A</v>
      </c>
      <c r="E1741" s="3" t="e">
        <f t="shared" si="202"/>
        <v>#N/A</v>
      </c>
      <c r="F1741" s="3" t="e">
        <f t="shared" si="203"/>
        <v>#N/A</v>
      </c>
      <c r="G1741" s="3" t="e">
        <f t="shared" si="204"/>
        <v>#N/A</v>
      </c>
      <c r="H1741" s="3">
        <f t="shared" si="205"/>
        <v>10.487</v>
      </c>
      <c r="I1741" s="3">
        <f t="shared" si="206"/>
        <v>15.106</v>
      </c>
      <c r="J1741" s="3" t="e">
        <v>#N/A</v>
      </c>
      <c r="K1741" s="3" t="e">
        <v>#N/A</v>
      </c>
      <c r="L1741" s="3" t="e">
        <v>#N/A</v>
      </c>
      <c r="M1741" s="3" t="e">
        <v>#N/A</v>
      </c>
      <c r="N1741" s="2">
        <v>10487</v>
      </c>
      <c r="O1741" s="2">
        <v>15106</v>
      </c>
      <c r="P1741" s="3" t="e">
        <f>E1741*(VLOOKUP(B1741,Price_data!A$1:B$190,2,FALSE))</f>
        <v>#N/A</v>
      </c>
      <c r="Q1741" s="3" t="e">
        <f>G1741*(VLOOKUP(B1741,Price_data!A$1:B$190,2,FALSE))</f>
        <v>#N/A</v>
      </c>
      <c r="R1741" s="3">
        <f>I1741*(VLOOKUP(B1741,Price_data!A$1:B$190,2,FALSE))</f>
        <v>45.405864879829998</v>
      </c>
      <c r="S1741" s="4" t="str">
        <f>(VLOOKUP(B1741,Price_data!A$1:C$190,3,FALSE))</f>
        <v>EEZ</v>
      </c>
      <c r="T1741" s="2" t="str">
        <f>IF(C1741="Total", (VLOOKUP(B1741,Recommended_fish_intake!A$4:D$122,4,FALSE)), "NA")</f>
        <v>NA</v>
      </c>
      <c r="U1741" s="2" t="str">
        <f t="shared" si="207"/>
        <v>NA</v>
      </c>
    </row>
    <row r="1742" spans="1:21" ht="14.25" customHeight="1">
      <c r="A1742" s="2" t="s">
        <v>18</v>
      </c>
      <c r="B1742" s="2">
        <v>1980</v>
      </c>
      <c r="C1742" s="2" t="s">
        <v>22</v>
      </c>
      <c r="D1742" s="3">
        <f t="shared" si="201"/>
        <v>57.3</v>
      </c>
      <c r="E1742" s="3">
        <f t="shared" si="202"/>
        <v>30.591999999999999</v>
      </c>
      <c r="F1742" s="3" t="e">
        <f t="shared" si="203"/>
        <v>#N/A</v>
      </c>
      <c r="G1742" s="3" t="e">
        <f t="shared" si="204"/>
        <v>#N/A</v>
      </c>
      <c r="H1742" s="3" t="e">
        <f t="shared" si="205"/>
        <v>#N/A</v>
      </c>
      <c r="I1742" s="3" t="e">
        <f t="shared" si="206"/>
        <v>#N/A</v>
      </c>
      <c r="J1742" s="2">
        <v>57300</v>
      </c>
      <c r="K1742" s="2">
        <v>30592</v>
      </c>
      <c r="P1742" s="3">
        <f>E1742*(VLOOKUP(B1742,Price_data!A$1:B$190,2,FALSE))</f>
        <v>77.935933270912003</v>
      </c>
      <c r="Q1742" s="3" t="e">
        <f>G1742*(VLOOKUP(B1742,Price_data!A$1:B$190,2,FALSE))</f>
        <v>#N/A</v>
      </c>
      <c r="R1742" s="3" t="e">
        <f>I1742*(VLOOKUP(B1742,Price_data!A$1:B$190,2,FALSE))</f>
        <v>#N/A</v>
      </c>
      <c r="S1742" s="4" t="str">
        <f>(VLOOKUP(B1742,Price_data!A$1:C$190,3,FALSE))</f>
        <v>EEZ</v>
      </c>
      <c r="T1742" s="2" t="str">
        <f>IF(C1742="Total", (VLOOKUP(B1742,Recommended_fish_intake!A$4:D$122,4,FALSE)), "NA")</f>
        <v>NA</v>
      </c>
      <c r="U1742" s="2" t="str">
        <f t="shared" si="207"/>
        <v>NA</v>
      </c>
    </row>
    <row r="1743" spans="1:21" ht="14.25" customHeight="1">
      <c r="A1743" s="2" t="s">
        <v>18</v>
      </c>
      <c r="B1743" s="2">
        <v>1980</v>
      </c>
      <c r="C1743" s="2" t="s">
        <v>23</v>
      </c>
      <c r="D1743" s="3">
        <f t="shared" si="201"/>
        <v>19.173999999999999</v>
      </c>
      <c r="E1743" s="3">
        <f t="shared" si="202"/>
        <v>7.0270000000000001</v>
      </c>
      <c r="F1743" s="3" t="e">
        <f t="shared" si="203"/>
        <v>#N/A</v>
      </c>
      <c r="G1743" s="3" t="e">
        <f t="shared" si="204"/>
        <v>#N/A</v>
      </c>
      <c r="H1743" s="3" t="e">
        <f t="shared" si="205"/>
        <v>#N/A</v>
      </c>
      <c r="I1743" s="3" t="e">
        <f t="shared" si="206"/>
        <v>#N/A</v>
      </c>
      <c r="J1743" s="2">
        <v>19174</v>
      </c>
      <c r="K1743" s="2">
        <v>7027</v>
      </c>
      <c r="P1743" s="3">
        <f>E1743*(VLOOKUP(B1743,Price_data!A$1:B$190,2,FALSE))</f>
        <v>17.901928709947001</v>
      </c>
      <c r="Q1743" s="3" t="e">
        <f>G1743*(VLOOKUP(B1743,Price_data!A$1:B$190,2,FALSE))</f>
        <v>#N/A</v>
      </c>
      <c r="R1743" s="3" t="e">
        <f>I1743*(VLOOKUP(B1743,Price_data!A$1:B$190,2,FALSE))</f>
        <v>#N/A</v>
      </c>
      <c r="S1743" s="4" t="str">
        <f>(VLOOKUP(B1743,Price_data!A$1:C$190,3,FALSE))</f>
        <v>EEZ</v>
      </c>
      <c r="T1743" s="2" t="str">
        <f>IF(C1743="Total", (VLOOKUP(B1743,Recommended_fish_intake!A$4:D$122,4,FALSE)), "NA")</f>
        <v>NA</v>
      </c>
      <c r="U1743" s="2" t="str">
        <f t="shared" si="207"/>
        <v>NA</v>
      </c>
    </row>
    <row r="1744" spans="1:21" ht="14.25" customHeight="1">
      <c r="A1744" s="2" t="s">
        <v>18</v>
      </c>
      <c r="B1744" s="2">
        <v>1980</v>
      </c>
      <c r="C1744" s="2" t="s">
        <v>25</v>
      </c>
      <c r="D1744" s="3">
        <f t="shared" si="201"/>
        <v>20.846</v>
      </c>
      <c r="E1744" s="3">
        <f t="shared" si="202"/>
        <v>10.494</v>
      </c>
      <c r="F1744" s="3" t="e">
        <f t="shared" si="203"/>
        <v>#N/A</v>
      </c>
      <c r="G1744" s="3" t="e">
        <f t="shared" si="204"/>
        <v>#N/A</v>
      </c>
      <c r="H1744" s="3" t="e">
        <f t="shared" si="205"/>
        <v>#N/A</v>
      </c>
      <c r="I1744" s="3" t="e">
        <f t="shared" si="206"/>
        <v>#N/A</v>
      </c>
      <c r="J1744" s="2">
        <v>20846</v>
      </c>
      <c r="K1744" s="2">
        <v>10494</v>
      </c>
      <c r="P1744" s="3">
        <f>E1744*(VLOOKUP(B1744,Price_data!A$1:B$190,2,FALSE))</f>
        <v>26.734430038734001</v>
      </c>
      <c r="Q1744" s="3" t="e">
        <f>G1744*(VLOOKUP(B1744,Price_data!A$1:B$190,2,FALSE))</f>
        <v>#N/A</v>
      </c>
      <c r="R1744" s="3" t="e">
        <f>I1744*(VLOOKUP(B1744,Price_data!A$1:B$190,2,FALSE))</f>
        <v>#N/A</v>
      </c>
      <c r="S1744" s="4" t="str">
        <f>(VLOOKUP(B1744,Price_data!A$1:C$190,3,FALSE))</f>
        <v>EEZ</v>
      </c>
      <c r="T1744" s="2" t="str">
        <f>IF(C1744="Total", (VLOOKUP(B1744,Recommended_fish_intake!A$4:D$122,4,FALSE)), "NA")</f>
        <v>NA</v>
      </c>
      <c r="U1744" s="2" t="str">
        <f t="shared" si="207"/>
        <v>NA</v>
      </c>
    </row>
    <row r="1745" spans="1:21" ht="14.25" customHeight="1">
      <c r="A1745" s="2" t="s">
        <v>18</v>
      </c>
      <c r="B1745" s="2">
        <v>1980</v>
      </c>
      <c r="C1745" s="2" t="s">
        <v>38</v>
      </c>
      <c r="D1745" s="3">
        <f t="shared" si="201"/>
        <v>6.569</v>
      </c>
      <c r="E1745" s="3">
        <f t="shared" si="202"/>
        <v>1.9870000000000001</v>
      </c>
      <c r="F1745" s="3" t="e">
        <f t="shared" si="203"/>
        <v>#N/A</v>
      </c>
      <c r="G1745" s="3" t="e">
        <f t="shared" si="204"/>
        <v>#N/A</v>
      </c>
      <c r="H1745" s="3" t="e">
        <f t="shared" si="205"/>
        <v>#N/A</v>
      </c>
      <c r="I1745" s="3" t="e">
        <f t="shared" si="206"/>
        <v>#N/A</v>
      </c>
      <c r="J1745" s="2">
        <v>6569</v>
      </c>
      <c r="K1745" s="2">
        <v>1987</v>
      </c>
      <c r="P1745" s="3">
        <f>E1745*(VLOOKUP(B1745,Price_data!A$1:B$190,2,FALSE))</f>
        <v>5.0620652265070003</v>
      </c>
      <c r="Q1745" s="3" t="e">
        <f>G1745*(VLOOKUP(B1745,Price_data!A$1:B$190,2,FALSE))</f>
        <v>#N/A</v>
      </c>
      <c r="R1745" s="3" t="e">
        <f>I1745*(VLOOKUP(B1745,Price_data!A$1:B$190,2,FALSE))</f>
        <v>#N/A</v>
      </c>
      <c r="S1745" s="4" t="str">
        <f>(VLOOKUP(B1745,Price_data!A$1:C$190,3,FALSE))</f>
        <v>EEZ</v>
      </c>
      <c r="T1745" s="2" t="str">
        <f>IF(C1745="Total", (VLOOKUP(B1745,Recommended_fish_intake!A$4:D$122,4,FALSE)), "NA")</f>
        <v>NA</v>
      </c>
      <c r="U1745" s="2" t="str">
        <f t="shared" si="207"/>
        <v>NA</v>
      </c>
    </row>
    <row r="1746" spans="1:21" ht="14.25" customHeight="1">
      <c r="A1746" s="2" t="s">
        <v>18</v>
      </c>
      <c r="B1746" s="2">
        <v>1980</v>
      </c>
      <c r="C1746" s="2" t="s">
        <v>24</v>
      </c>
      <c r="D1746" s="3">
        <f t="shared" si="201"/>
        <v>8.0419999999999998</v>
      </c>
      <c r="E1746" s="3">
        <f t="shared" si="202"/>
        <v>2.0680000000000001</v>
      </c>
      <c r="F1746" s="3" t="e">
        <f t="shared" si="203"/>
        <v>#N/A</v>
      </c>
      <c r="G1746" s="3" t="e">
        <f t="shared" si="204"/>
        <v>#N/A</v>
      </c>
      <c r="H1746" s="3" t="e">
        <f t="shared" si="205"/>
        <v>#N/A</v>
      </c>
      <c r="I1746" s="3" t="e">
        <f t="shared" si="206"/>
        <v>#N/A</v>
      </c>
      <c r="J1746" s="2">
        <v>8042</v>
      </c>
      <c r="K1746" s="2">
        <v>2068</v>
      </c>
      <c r="P1746" s="3">
        <f>E1746*(VLOOKUP(B1746,Price_data!A$1:B$190,2,FALSE))</f>
        <v>5.2684201753480009</v>
      </c>
      <c r="Q1746" s="3" t="e">
        <f>G1746*(VLOOKUP(B1746,Price_data!A$1:B$190,2,FALSE))</f>
        <v>#N/A</v>
      </c>
      <c r="R1746" s="3" t="e">
        <f>I1746*(VLOOKUP(B1746,Price_data!A$1:B$190,2,FALSE))</f>
        <v>#N/A</v>
      </c>
      <c r="S1746" s="4" t="str">
        <f>(VLOOKUP(B1746,Price_data!A$1:C$190,3,FALSE))</f>
        <v>EEZ</v>
      </c>
      <c r="T1746" s="2" t="str">
        <f>IF(C1746="Total", (VLOOKUP(B1746,Recommended_fish_intake!A$4:D$122,4,FALSE)), "NA")</f>
        <v>NA</v>
      </c>
      <c r="U1746" s="2" t="str">
        <f t="shared" si="207"/>
        <v>NA</v>
      </c>
    </row>
    <row r="1747" spans="1:21" ht="14.25" customHeight="1">
      <c r="A1747" s="2" t="s">
        <v>18</v>
      </c>
      <c r="B1747" s="2">
        <v>1980</v>
      </c>
      <c r="C1747" s="2" t="s">
        <v>19</v>
      </c>
      <c r="D1747" s="3">
        <f t="shared" si="201"/>
        <v>0.879</v>
      </c>
      <c r="E1747" s="3">
        <f t="shared" si="202"/>
        <v>0.26300000000000001</v>
      </c>
      <c r="F1747" s="3" t="e">
        <f t="shared" si="203"/>
        <v>#N/A</v>
      </c>
      <c r="G1747" s="3" t="e">
        <f t="shared" si="204"/>
        <v>#N/A</v>
      </c>
      <c r="H1747" s="3" t="e">
        <f t="shared" si="205"/>
        <v>#N/A</v>
      </c>
      <c r="I1747" s="3" t="e">
        <f t="shared" si="206"/>
        <v>#N/A</v>
      </c>
      <c r="J1747" s="2">
        <v>879</v>
      </c>
      <c r="K1747" s="2">
        <v>263</v>
      </c>
      <c r="P1747" s="3">
        <f>E1747*(VLOOKUP(B1747,Price_data!A$1:B$190,2,FALSE))</f>
        <v>0.67001668574300011</v>
      </c>
      <c r="Q1747" s="3" t="e">
        <f>G1747*(VLOOKUP(B1747,Price_data!A$1:B$190,2,FALSE))</f>
        <v>#N/A</v>
      </c>
      <c r="R1747" s="3" t="e">
        <f>I1747*(VLOOKUP(B1747,Price_data!A$1:B$190,2,FALSE))</f>
        <v>#N/A</v>
      </c>
      <c r="S1747" s="4" t="str">
        <f>(VLOOKUP(B1747,Price_data!A$1:C$190,3,FALSE))</f>
        <v>EEZ</v>
      </c>
      <c r="T1747" s="2" t="str">
        <f>IF(C1747="Total", (VLOOKUP(B1747,Recommended_fish_intake!A$4:D$122,4,FALSE)), "NA")</f>
        <v>NA</v>
      </c>
      <c r="U1747" s="2" t="str">
        <f t="shared" si="207"/>
        <v>NA</v>
      </c>
    </row>
    <row r="1748" spans="1:21" ht="14.25" customHeight="1">
      <c r="A1748" s="2" t="s">
        <v>18</v>
      </c>
      <c r="B1748" s="2">
        <v>1980</v>
      </c>
      <c r="C1748" s="2" t="s">
        <v>20</v>
      </c>
      <c r="D1748" s="3">
        <f t="shared" si="201"/>
        <v>151.749</v>
      </c>
      <c r="E1748" s="3">
        <f t="shared" si="202"/>
        <v>16.041</v>
      </c>
      <c r="F1748" s="3" t="e">
        <f t="shared" si="203"/>
        <v>#N/A</v>
      </c>
      <c r="G1748" s="3" t="e">
        <f t="shared" si="204"/>
        <v>#N/A</v>
      </c>
      <c r="H1748" s="3" t="e">
        <f t="shared" si="205"/>
        <v>#N/A</v>
      </c>
      <c r="I1748" s="3" t="e">
        <f t="shared" si="206"/>
        <v>#N/A</v>
      </c>
      <c r="J1748" s="2">
        <v>151749</v>
      </c>
      <c r="K1748" s="2">
        <v>16041</v>
      </c>
      <c r="P1748" s="3">
        <f>E1748*(VLOOKUP(B1748,Price_data!A$1:B$190,2,FALSE))</f>
        <v>40.865922646401003</v>
      </c>
      <c r="Q1748" s="3" t="e">
        <f>G1748*(VLOOKUP(B1748,Price_data!A$1:B$190,2,FALSE))</f>
        <v>#N/A</v>
      </c>
      <c r="R1748" s="3" t="e">
        <f>I1748*(VLOOKUP(B1748,Price_data!A$1:B$190,2,FALSE))</f>
        <v>#N/A</v>
      </c>
      <c r="S1748" s="4" t="str">
        <f>(VLOOKUP(B1748,Price_data!A$1:C$190,3,FALSE))</f>
        <v>EEZ</v>
      </c>
      <c r="T1748" s="2" t="str">
        <f>IF(C1748="Total", (VLOOKUP(B1748,Recommended_fish_intake!A$4:D$122,4,FALSE)), "NA")</f>
        <v>NA</v>
      </c>
      <c r="U1748" s="2" t="str">
        <f t="shared" si="207"/>
        <v>NA</v>
      </c>
    </row>
    <row r="1749" spans="1:21" ht="14.25" customHeight="1">
      <c r="A1749" s="2" t="s">
        <v>18</v>
      </c>
      <c r="B1749" s="2">
        <v>1980</v>
      </c>
      <c r="C1749" s="2" t="s">
        <v>21</v>
      </c>
      <c r="D1749" s="3">
        <f t="shared" si="201"/>
        <v>13.86</v>
      </c>
      <c r="E1749" s="3">
        <f t="shared" si="202"/>
        <v>0.96499999999999997</v>
      </c>
      <c r="F1749" s="3" t="e">
        <f t="shared" si="203"/>
        <v>#N/A</v>
      </c>
      <c r="G1749" s="3" t="e">
        <f t="shared" si="204"/>
        <v>#N/A</v>
      </c>
      <c r="H1749" s="3" t="e">
        <f t="shared" si="205"/>
        <v>#N/A</v>
      </c>
      <c r="I1749" s="3" t="e">
        <f t="shared" si="206"/>
        <v>#N/A</v>
      </c>
      <c r="J1749" s="2">
        <v>13860</v>
      </c>
      <c r="K1749" s="2">
        <v>965</v>
      </c>
      <c r="P1749" s="3">
        <f>E1749*(VLOOKUP(B1749,Price_data!A$1:B$190,2,FALSE))</f>
        <v>2.4584262423650003</v>
      </c>
      <c r="Q1749" s="3" t="e">
        <f>G1749*(VLOOKUP(B1749,Price_data!A$1:B$190,2,FALSE))</f>
        <v>#N/A</v>
      </c>
      <c r="R1749" s="3" t="e">
        <f>I1749*(VLOOKUP(B1749,Price_data!A$1:B$190,2,FALSE))</f>
        <v>#N/A</v>
      </c>
      <c r="S1749" s="4" t="str">
        <f>(VLOOKUP(B1749,Price_data!A$1:C$190,3,FALSE))</f>
        <v>EEZ</v>
      </c>
      <c r="T1749" s="2" t="str">
        <f>IF(C1749="Total", (VLOOKUP(B1749,Recommended_fish_intake!A$4:D$122,4,FALSE)), "NA")</f>
        <v>NA</v>
      </c>
      <c r="U1749" s="2" t="str">
        <f t="shared" si="207"/>
        <v>NA</v>
      </c>
    </row>
    <row r="1750" spans="1:21" ht="14.25" customHeight="1">
      <c r="A1750" s="2" t="s">
        <v>18</v>
      </c>
      <c r="B1750" s="2">
        <v>1980</v>
      </c>
      <c r="C1750" s="2" t="s">
        <v>37</v>
      </c>
      <c r="D1750" s="3">
        <f t="shared" si="201"/>
        <v>335.214</v>
      </c>
      <c r="E1750" s="3">
        <f t="shared" si="202"/>
        <v>90.617999999999995</v>
      </c>
      <c r="F1750" s="3" t="e">
        <f t="shared" si="203"/>
        <v>#N/A</v>
      </c>
      <c r="G1750" s="3" t="e">
        <f t="shared" si="204"/>
        <v>#N/A</v>
      </c>
      <c r="H1750" s="3" t="e">
        <f t="shared" si="205"/>
        <v>#N/A</v>
      </c>
      <c r="I1750" s="3" t="e">
        <f t="shared" si="206"/>
        <v>#N/A</v>
      </c>
      <c r="J1750" s="2">
        <v>335214</v>
      </c>
      <c r="K1750" s="2">
        <v>90618</v>
      </c>
      <c r="P1750" s="3">
        <f>E1750*(VLOOKUP(B1750,Price_data!A$1:B$190,2,FALSE))</f>
        <v>230.857688321898</v>
      </c>
      <c r="Q1750" s="3" t="e">
        <f>G1750*(VLOOKUP(B1750,Price_data!A$1:B$190,2,FALSE))</f>
        <v>#N/A</v>
      </c>
      <c r="R1750" s="3" t="e">
        <f>I1750*(VLOOKUP(B1750,Price_data!A$1:B$190,2,FALSE))</f>
        <v>#N/A</v>
      </c>
      <c r="S1750" s="4" t="str">
        <f>(VLOOKUP(B1750,Price_data!A$1:C$190,3,FALSE))</f>
        <v>EEZ</v>
      </c>
      <c r="T1750" s="2" t="str">
        <f>IF(C1750="Total", (VLOOKUP(B1750,Recommended_fish_intake!A$4:D$122,4,FALSE)), "NA")</f>
        <v>NA</v>
      </c>
      <c r="U1750" s="2">
        <f t="shared" si="207"/>
        <v>164.25486000000001</v>
      </c>
    </row>
    <row r="1751" spans="1:21" ht="14.25" customHeight="1">
      <c r="A1751" s="2" t="s">
        <v>18</v>
      </c>
      <c r="B1751" s="2">
        <v>1980</v>
      </c>
      <c r="C1751" s="2" t="s">
        <v>36</v>
      </c>
      <c r="D1751" s="3">
        <f t="shared" si="201"/>
        <v>7.1470000000000002</v>
      </c>
      <c r="E1751" s="3">
        <f t="shared" si="202"/>
        <v>3.3879999999999999</v>
      </c>
      <c r="F1751" s="3" t="e">
        <f t="shared" si="203"/>
        <v>#N/A</v>
      </c>
      <c r="G1751" s="3" t="e">
        <f t="shared" si="204"/>
        <v>#N/A</v>
      </c>
      <c r="H1751" s="3" t="e">
        <f t="shared" si="205"/>
        <v>#N/A</v>
      </c>
      <c r="I1751" s="3" t="e">
        <f t="shared" si="206"/>
        <v>#N/A</v>
      </c>
      <c r="J1751" s="2">
        <v>7147</v>
      </c>
      <c r="K1751" s="2">
        <v>3388</v>
      </c>
      <c r="P1751" s="3">
        <f>E1751*(VLOOKUP(B1751,Price_data!A$1:B$190,2,FALSE))</f>
        <v>8.6312415638680005</v>
      </c>
      <c r="Q1751" s="3" t="e">
        <f>G1751*(VLOOKUP(B1751,Price_data!A$1:B$190,2,FALSE))</f>
        <v>#N/A</v>
      </c>
      <c r="R1751" s="3" t="e">
        <f>I1751*(VLOOKUP(B1751,Price_data!A$1:B$190,2,FALSE))</f>
        <v>#N/A</v>
      </c>
      <c r="S1751" s="4" t="str">
        <f>(VLOOKUP(B1751,Price_data!A$1:C$190,3,FALSE))</f>
        <v>EEZ</v>
      </c>
      <c r="T1751" s="2" t="str">
        <f>IF(C1751="Total", (VLOOKUP(B1751,Recommended_fish_intake!A$4:D$122,4,FALSE)), "NA")</f>
        <v>NA</v>
      </c>
      <c r="U1751" s="2" t="str">
        <f t="shared" si="207"/>
        <v>NA</v>
      </c>
    </row>
    <row r="1752" spans="1:21" ht="14.25" customHeight="1">
      <c r="A1752" s="2" t="s">
        <v>18</v>
      </c>
      <c r="B1752" s="2">
        <v>1980</v>
      </c>
      <c r="C1752" s="2" t="s">
        <v>52</v>
      </c>
      <c r="D1752" s="3">
        <f t="shared" si="201"/>
        <v>3.222</v>
      </c>
      <c r="E1752" s="3">
        <f t="shared" si="202"/>
        <v>2.2349999999999999</v>
      </c>
      <c r="F1752" s="3" t="e">
        <f t="shared" si="203"/>
        <v>#N/A</v>
      </c>
      <c r="G1752" s="3" t="e">
        <f t="shared" si="204"/>
        <v>#N/A</v>
      </c>
      <c r="H1752" s="3" t="e">
        <f t="shared" si="205"/>
        <v>#N/A</v>
      </c>
      <c r="I1752" s="3" t="e">
        <f t="shared" si="206"/>
        <v>#N/A</v>
      </c>
      <c r="J1752" s="2">
        <v>3222</v>
      </c>
      <c r="K1752" s="2">
        <v>2235</v>
      </c>
      <c r="P1752" s="3">
        <f>E1752*(VLOOKUP(B1752,Price_data!A$1:B$190,2,FALSE))</f>
        <v>5.6938680328349998</v>
      </c>
      <c r="Q1752" s="3" t="e">
        <f>G1752*(VLOOKUP(B1752,Price_data!A$1:B$190,2,FALSE))</f>
        <v>#N/A</v>
      </c>
      <c r="R1752" s="3" t="e">
        <f>I1752*(VLOOKUP(B1752,Price_data!A$1:B$190,2,FALSE))</f>
        <v>#N/A</v>
      </c>
      <c r="S1752" s="4" t="str">
        <f>(VLOOKUP(B1752,Price_data!A$1:C$190,3,FALSE))</f>
        <v>EEZ</v>
      </c>
      <c r="T1752" s="2" t="str">
        <f>IF(C1752="Total", (VLOOKUP(B1752,Recommended_fish_intake!A$4:D$122,4,FALSE)), "NA")</f>
        <v>NA</v>
      </c>
      <c r="U1752" s="2" t="str">
        <f t="shared" si="207"/>
        <v>NA</v>
      </c>
    </row>
    <row r="1753" spans="1:21" ht="14.25" customHeight="1">
      <c r="A1753" s="2" t="s">
        <v>18</v>
      </c>
      <c r="B1753" s="2">
        <v>1980</v>
      </c>
      <c r="C1753" s="2" t="s">
        <v>34</v>
      </c>
      <c r="D1753" s="3">
        <f t="shared" si="201"/>
        <v>0.311</v>
      </c>
      <c r="E1753" s="3">
        <f t="shared" si="202"/>
        <v>1.423</v>
      </c>
      <c r="F1753" s="3" t="e">
        <f t="shared" si="203"/>
        <v>#N/A</v>
      </c>
      <c r="G1753" s="3" t="e">
        <f t="shared" si="204"/>
        <v>#N/A</v>
      </c>
      <c r="H1753" s="3" t="e">
        <f t="shared" si="205"/>
        <v>#N/A</v>
      </c>
      <c r="I1753" s="3" t="e">
        <f t="shared" si="206"/>
        <v>#N/A</v>
      </c>
      <c r="J1753" s="2">
        <v>311</v>
      </c>
      <c r="K1753" s="2">
        <v>1423</v>
      </c>
      <c r="P1753" s="3">
        <f>E1753*(VLOOKUP(B1753,Price_data!A$1:B$190,2,FALSE))</f>
        <v>3.6252233605030004</v>
      </c>
      <c r="Q1753" s="3" t="e">
        <f>G1753*(VLOOKUP(B1753,Price_data!A$1:B$190,2,FALSE))</f>
        <v>#N/A</v>
      </c>
      <c r="R1753" s="3" t="e">
        <f>I1753*(VLOOKUP(B1753,Price_data!A$1:B$190,2,FALSE))</f>
        <v>#N/A</v>
      </c>
      <c r="S1753" s="4" t="str">
        <f>(VLOOKUP(B1753,Price_data!A$1:C$190,3,FALSE))</f>
        <v>EEZ</v>
      </c>
      <c r="T1753" s="2" t="str">
        <f>IF(C1753="Total", (VLOOKUP(B1753,Recommended_fish_intake!A$4:D$122,4,FALSE)), "NA")</f>
        <v>NA</v>
      </c>
      <c r="U1753" s="2" t="str">
        <f t="shared" si="207"/>
        <v>NA</v>
      </c>
    </row>
    <row r="1754" spans="1:21" ht="14.25" customHeight="1">
      <c r="A1754" s="2" t="s">
        <v>18</v>
      </c>
      <c r="B1754" s="2">
        <v>1980</v>
      </c>
      <c r="C1754" s="2" t="s">
        <v>35</v>
      </c>
      <c r="D1754" s="3">
        <f t="shared" si="201"/>
        <v>1.665</v>
      </c>
      <c r="E1754" s="3">
        <f t="shared" si="202"/>
        <v>1.8979999999999999</v>
      </c>
      <c r="F1754" s="3" t="e">
        <f t="shared" si="203"/>
        <v>#N/A</v>
      </c>
      <c r="G1754" s="3" t="e">
        <f t="shared" si="204"/>
        <v>#N/A</v>
      </c>
      <c r="H1754" s="3" t="e">
        <f t="shared" si="205"/>
        <v>#N/A</v>
      </c>
      <c r="I1754" s="3" t="e">
        <f t="shared" si="206"/>
        <v>#N/A</v>
      </c>
      <c r="J1754" s="2">
        <v>1665</v>
      </c>
      <c r="K1754" s="2">
        <v>1898</v>
      </c>
      <c r="P1754" s="3">
        <f>E1754*(VLOOKUP(B1754,Price_data!A$1:B$190,2,FALSE))</f>
        <v>4.835329541978</v>
      </c>
      <c r="Q1754" s="3" t="e">
        <f>G1754*(VLOOKUP(B1754,Price_data!A$1:B$190,2,FALSE))</f>
        <v>#N/A</v>
      </c>
      <c r="R1754" s="3" t="e">
        <f>I1754*(VLOOKUP(B1754,Price_data!A$1:B$190,2,FALSE))</f>
        <v>#N/A</v>
      </c>
      <c r="S1754" s="4" t="str">
        <f>(VLOOKUP(B1754,Price_data!A$1:C$190,3,FALSE))</f>
        <v>EEZ</v>
      </c>
      <c r="T1754" s="2" t="str">
        <f>IF(C1754="Total", (VLOOKUP(B1754,Recommended_fish_intake!A$4:D$122,4,FALSE)), "NA")</f>
        <v>NA</v>
      </c>
      <c r="U1754" s="2" t="str">
        <f t="shared" si="207"/>
        <v>NA</v>
      </c>
    </row>
    <row r="1755" spans="1:21" ht="14.25" customHeight="1">
      <c r="A1755" s="2" t="s">
        <v>18</v>
      </c>
      <c r="B1755" s="2">
        <v>1980</v>
      </c>
      <c r="C1755" s="2" t="s">
        <v>30</v>
      </c>
      <c r="D1755" s="3">
        <f t="shared" si="201"/>
        <v>0.81100000000000005</v>
      </c>
      <c r="E1755" s="3">
        <f t="shared" si="202"/>
        <v>0.57799999999999996</v>
      </c>
      <c r="F1755" s="3" t="e">
        <f t="shared" si="203"/>
        <v>#N/A</v>
      </c>
      <c r="G1755" s="3" t="e">
        <f t="shared" si="204"/>
        <v>#N/A</v>
      </c>
      <c r="H1755" s="3" t="e">
        <f t="shared" si="205"/>
        <v>#N/A</v>
      </c>
      <c r="I1755" s="3" t="e">
        <f t="shared" si="206"/>
        <v>#N/A</v>
      </c>
      <c r="J1755" s="2">
        <v>811</v>
      </c>
      <c r="K1755" s="2">
        <v>578</v>
      </c>
      <c r="P1755" s="3">
        <f>E1755*(VLOOKUP(B1755,Price_data!A$1:B$190,2,FALSE))</f>
        <v>1.472508153458</v>
      </c>
      <c r="Q1755" s="3" t="e">
        <f>G1755*(VLOOKUP(B1755,Price_data!A$1:B$190,2,FALSE))</f>
        <v>#N/A</v>
      </c>
      <c r="R1755" s="3" t="e">
        <f>I1755*(VLOOKUP(B1755,Price_data!A$1:B$190,2,FALSE))</f>
        <v>#N/A</v>
      </c>
      <c r="S1755" s="4" t="str">
        <f>(VLOOKUP(B1755,Price_data!A$1:C$190,3,FALSE))</f>
        <v>EEZ</v>
      </c>
      <c r="T1755" s="2" t="str">
        <f>IF(C1755="Total", (VLOOKUP(B1755,Recommended_fish_intake!A$4:D$122,4,FALSE)), "NA")</f>
        <v>NA</v>
      </c>
      <c r="U1755" s="2" t="str">
        <f t="shared" si="207"/>
        <v>NA</v>
      </c>
    </row>
    <row r="1756" spans="1:21" ht="14.25" customHeight="1">
      <c r="A1756" s="2" t="s">
        <v>18</v>
      </c>
      <c r="B1756" s="2">
        <v>1980</v>
      </c>
      <c r="C1756" s="2" t="s">
        <v>28</v>
      </c>
      <c r="D1756" s="3">
        <f t="shared" si="201"/>
        <v>41.064</v>
      </c>
      <c r="E1756" s="3">
        <f t="shared" si="202"/>
        <v>12.877000000000001</v>
      </c>
      <c r="F1756" s="3" t="e">
        <f t="shared" si="203"/>
        <v>#N/A</v>
      </c>
      <c r="G1756" s="3" t="e">
        <f t="shared" si="204"/>
        <v>#N/A</v>
      </c>
      <c r="H1756" s="3" t="e">
        <f t="shared" si="205"/>
        <v>#N/A</v>
      </c>
      <c r="I1756" s="3" t="e">
        <f t="shared" si="206"/>
        <v>#N/A</v>
      </c>
      <c r="J1756" s="2">
        <v>41064</v>
      </c>
      <c r="K1756" s="2">
        <v>12877</v>
      </c>
      <c r="P1756" s="3">
        <f>E1756*(VLOOKUP(B1756,Price_data!A$1:B$190,2,FALSE))</f>
        <v>32.805341681797003</v>
      </c>
      <c r="Q1756" s="3" t="e">
        <f>G1756*(VLOOKUP(B1756,Price_data!A$1:B$190,2,FALSE))</f>
        <v>#N/A</v>
      </c>
      <c r="R1756" s="3" t="e">
        <f>I1756*(VLOOKUP(B1756,Price_data!A$1:B$190,2,FALSE))</f>
        <v>#N/A</v>
      </c>
      <c r="S1756" s="4" t="str">
        <f>(VLOOKUP(B1756,Price_data!A$1:C$190,3,FALSE))</f>
        <v>EEZ</v>
      </c>
      <c r="T1756" s="2" t="str">
        <f>IF(C1756="Total", (VLOOKUP(B1756,Recommended_fish_intake!A$4:D$122,4,FALSE)), "NA")</f>
        <v>NA</v>
      </c>
      <c r="U1756" s="2">
        <f t="shared" si="207"/>
        <v>11.497920000000001</v>
      </c>
    </row>
    <row r="1757" spans="1:21" ht="14.25" customHeight="1">
      <c r="A1757" s="2" t="s">
        <v>39</v>
      </c>
      <c r="B1757" s="2">
        <v>1980</v>
      </c>
      <c r="C1757" s="2" t="s">
        <v>22</v>
      </c>
      <c r="D1757" s="3">
        <f t="shared" si="201"/>
        <v>44.845999999999997</v>
      </c>
      <c r="E1757" s="3">
        <f t="shared" si="202"/>
        <v>26.837</v>
      </c>
      <c r="F1757" s="3" t="e">
        <f t="shared" si="203"/>
        <v>#N/A</v>
      </c>
      <c r="G1757" s="3" t="e">
        <f t="shared" si="204"/>
        <v>#N/A</v>
      </c>
      <c r="H1757" s="3" t="e">
        <f t="shared" si="205"/>
        <v>#N/A</v>
      </c>
      <c r="I1757" s="3" t="e">
        <f t="shared" si="206"/>
        <v>#N/A</v>
      </c>
      <c r="J1757" s="2">
        <v>44846</v>
      </c>
      <c r="K1757" s="2">
        <v>26837</v>
      </c>
      <c r="P1757" s="3">
        <f>E1757*(VLOOKUP(B1757,Price_data!A$1:B$190,2,FALSE))</f>
        <v>68.369725457357006</v>
      </c>
      <c r="Q1757" s="3" t="e">
        <f>G1757*(VLOOKUP(B1757,Price_data!A$1:B$190,2,FALSE))</f>
        <v>#N/A</v>
      </c>
      <c r="R1757" s="3" t="e">
        <f>I1757*(VLOOKUP(B1757,Price_data!A$1:B$190,2,FALSE))</f>
        <v>#N/A</v>
      </c>
      <c r="S1757" s="4" t="str">
        <f>(VLOOKUP(B1757,Price_data!A$1:C$190,3,FALSE))</f>
        <v>EEZ</v>
      </c>
      <c r="T1757" s="2" t="str">
        <f>IF(C1757="Total", (VLOOKUP(B1757,Recommended_fish_intake!A$4:D$122,4,FALSE)), "NA")</f>
        <v>NA</v>
      </c>
      <c r="U1757" s="2" t="str">
        <f t="shared" si="207"/>
        <v>NA</v>
      </c>
    </row>
    <row r="1758" spans="1:21" ht="14.25" customHeight="1">
      <c r="A1758" s="2" t="s">
        <v>39</v>
      </c>
      <c r="B1758" s="2">
        <v>1980</v>
      </c>
      <c r="C1758" s="2" t="s">
        <v>23</v>
      </c>
      <c r="D1758" s="3">
        <f t="shared" si="201"/>
        <v>65.581000000000003</v>
      </c>
      <c r="E1758" s="3">
        <f t="shared" si="202"/>
        <v>27.042000000000002</v>
      </c>
      <c r="F1758" s="3" t="e">
        <f t="shared" si="203"/>
        <v>#N/A</v>
      </c>
      <c r="G1758" s="3" t="e">
        <f t="shared" si="204"/>
        <v>#N/A</v>
      </c>
      <c r="H1758" s="3" t="e">
        <f t="shared" si="205"/>
        <v>#N/A</v>
      </c>
      <c r="I1758" s="3" t="e">
        <f t="shared" si="206"/>
        <v>#N/A</v>
      </c>
      <c r="J1758" s="2">
        <v>65581</v>
      </c>
      <c r="K1758" s="2">
        <v>27042</v>
      </c>
      <c r="P1758" s="3">
        <f>E1758*(VLOOKUP(B1758,Price_data!A$1:B$190,2,FALSE))</f>
        <v>68.891981809362008</v>
      </c>
      <c r="Q1758" s="3" t="e">
        <f>G1758*(VLOOKUP(B1758,Price_data!A$1:B$190,2,FALSE))</f>
        <v>#N/A</v>
      </c>
      <c r="R1758" s="3" t="e">
        <f>I1758*(VLOOKUP(B1758,Price_data!A$1:B$190,2,FALSE))</f>
        <v>#N/A</v>
      </c>
      <c r="S1758" s="4" t="str">
        <f>(VLOOKUP(B1758,Price_data!A$1:C$190,3,FALSE))</f>
        <v>EEZ</v>
      </c>
      <c r="T1758" s="2" t="str">
        <f>IF(C1758="Total", (VLOOKUP(B1758,Recommended_fish_intake!A$4:D$122,4,FALSE)), "NA")</f>
        <v>NA</v>
      </c>
      <c r="U1758" s="2" t="str">
        <f t="shared" si="207"/>
        <v>NA</v>
      </c>
    </row>
    <row r="1759" spans="1:21" ht="14.25" customHeight="1">
      <c r="A1759" s="2" t="s">
        <v>39</v>
      </c>
      <c r="B1759" s="2">
        <v>1980</v>
      </c>
      <c r="C1759" s="2" t="s">
        <v>25</v>
      </c>
      <c r="D1759" s="3">
        <f t="shared" si="201"/>
        <v>5.2240000000000002</v>
      </c>
      <c r="E1759" s="3">
        <f t="shared" si="202"/>
        <v>2.4369999999999998</v>
      </c>
      <c r="F1759" s="3" t="e">
        <f t="shared" si="203"/>
        <v>#N/A</v>
      </c>
      <c r="G1759" s="3" t="e">
        <f t="shared" si="204"/>
        <v>#N/A</v>
      </c>
      <c r="H1759" s="3" t="e">
        <f t="shared" si="205"/>
        <v>#N/A</v>
      </c>
      <c r="I1759" s="3" t="e">
        <f t="shared" si="206"/>
        <v>#N/A</v>
      </c>
      <c r="J1759" s="2">
        <v>5224</v>
      </c>
      <c r="K1759" s="2">
        <v>2437</v>
      </c>
      <c r="P1759" s="3">
        <f>E1759*(VLOOKUP(B1759,Price_data!A$1:B$190,2,FALSE))</f>
        <v>6.2084816089570003</v>
      </c>
      <c r="Q1759" s="3" t="e">
        <f>G1759*(VLOOKUP(B1759,Price_data!A$1:B$190,2,FALSE))</f>
        <v>#N/A</v>
      </c>
      <c r="R1759" s="3" t="e">
        <f>I1759*(VLOOKUP(B1759,Price_data!A$1:B$190,2,FALSE))</f>
        <v>#N/A</v>
      </c>
      <c r="S1759" s="4" t="str">
        <f>(VLOOKUP(B1759,Price_data!A$1:C$190,3,FALSE))</f>
        <v>EEZ</v>
      </c>
      <c r="T1759" s="2" t="str">
        <f>IF(C1759="Total", (VLOOKUP(B1759,Recommended_fish_intake!A$4:D$122,4,FALSE)), "NA")</f>
        <v>NA</v>
      </c>
      <c r="U1759" s="2" t="str">
        <f t="shared" si="207"/>
        <v>NA</v>
      </c>
    </row>
    <row r="1760" spans="1:21" ht="14.25" customHeight="1">
      <c r="A1760" s="2" t="s">
        <v>39</v>
      </c>
      <c r="B1760" s="2">
        <v>1980</v>
      </c>
      <c r="C1760" s="2" t="s">
        <v>38</v>
      </c>
      <c r="D1760" s="3">
        <f t="shared" si="201"/>
        <v>7.9340000000000002</v>
      </c>
      <c r="E1760" s="3">
        <f t="shared" si="202"/>
        <v>2.5529999999999999</v>
      </c>
      <c r="F1760" s="3" t="e">
        <f t="shared" si="203"/>
        <v>#N/A</v>
      </c>
      <c r="G1760" s="3" t="e">
        <f t="shared" si="204"/>
        <v>#N/A</v>
      </c>
      <c r="H1760" s="3" t="e">
        <f t="shared" si="205"/>
        <v>#N/A</v>
      </c>
      <c r="I1760" s="3" t="e">
        <f t="shared" si="206"/>
        <v>#N/A</v>
      </c>
      <c r="J1760" s="2">
        <v>7934</v>
      </c>
      <c r="K1760" s="2">
        <v>2553</v>
      </c>
      <c r="P1760" s="3">
        <f>E1760*(VLOOKUP(B1760,Price_data!A$1:B$190,2,FALSE))</f>
        <v>6.5040022764329999</v>
      </c>
      <c r="Q1760" s="3" t="e">
        <f>G1760*(VLOOKUP(B1760,Price_data!A$1:B$190,2,FALSE))</f>
        <v>#N/A</v>
      </c>
      <c r="R1760" s="3" t="e">
        <f>I1760*(VLOOKUP(B1760,Price_data!A$1:B$190,2,FALSE))</f>
        <v>#N/A</v>
      </c>
      <c r="S1760" s="4" t="str">
        <f>(VLOOKUP(B1760,Price_data!A$1:C$190,3,FALSE))</f>
        <v>EEZ</v>
      </c>
      <c r="T1760" s="2" t="str">
        <f>IF(C1760="Total", (VLOOKUP(B1760,Recommended_fish_intake!A$4:D$122,4,FALSE)), "NA")</f>
        <v>NA</v>
      </c>
      <c r="U1760" s="2" t="str">
        <f t="shared" si="207"/>
        <v>NA</v>
      </c>
    </row>
    <row r="1761" spans="1:21" ht="14.25" customHeight="1">
      <c r="A1761" s="2" t="s">
        <v>39</v>
      </c>
      <c r="B1761" s="2">
        <v>1980</v>
      </c>
      <c r="C1761" s="2" t="s">
        <v>24</v>
      </c>
      <c r="D1761" s="3">
        <f t="shared" si="201"/>
        <v>44.436</v>
      </c>
      <c r="E1761" s="3">
        <f t="shared" si="202"/>
        <v>13.706</v>
      </c>
      <c r="F1761" s="3" t="e">
        <f t="shared" si="203"/>
        <v>#N/A</v>
      </c>
      <c r="G1761" s="3" t="e">
        <f t="shared" si="204"/>
        <v>#N/A</v>
      </c>
      <c r="H1761" s="3" t="e">
        <f t="shared" si="205"/>
        <v>#N/A</v>
      </c>
      <c r="I1761" s="3" t="e">
        <f t="shared" si="206"/>
        <v>#N/A</v>
      </c>
      <c r="J1761" s="2">
        <v>44436</v>
      </c>
      <c r="K1761" s="2">
        <v>13706</v>
      </c>
      <c r="P1761" s="3">
        <f>E1761*(VLOOKUP(B1761,Price_data!A$1:B$190,2,FALSE))</f>
        <v>34.917295417466001</v>
      </c>
      <c r="Q1761" s="3" t="e">
        <f>G1761*(VLOOKUP(B1761,Price_data!A$1:B$190,2,FALSE))</f>
        <v>#N/A</v>
      </c>
      <c r="R1761" s="3" t="e">
        <f>I1761*(VLOOKUP(B1761,Price_data!A$1:B$190,2,FALSE))</f>
        <v>#N/A</v>
      </c>
      <c r="S1761" s="4" t="str">
        <f>(VLOOKUP(B1761,Price_data!A$1:C$190,3,FALSE))</f>
        <v>EEZ</v>
      </c>
      <c r="T1761" s="2" t="str">
        <f>IF(C1761="Total", (VLOOKUP(B1761,Recommended_fish_intake!A$4:D$122,4,FALSE)), "NA")</f>
        <v>NA</v>
      </c>
      <c r="U1761" s="2" t="str">
        <f t="shared" si="207"/>
        <v>NA</v>
      </c>
    </row>
    <row r="1762" spans="1:21" ht="14.25" customHeight="1">
      <c r="A1762" s="2" t="s">
        <v>39</v>
      </c>
      <c r="B1762" s="2">
        <v>1980</v>
      </c>
      <c r="C1762" s="2" t="s">
        <v>19</v>
      </c>
      <c r="D1762" s="3">
        <f t="shared" si="201"/>
        <v>2.2370000000000001</v>
      </c>
      <c r="E1762" s="3">
        <f t="shared" si="202"/>
        <v>0.93200000000000005</v>
      </c>
      <c r="F1762" s="3" t="e">
        <f t="shared" si="203"/>
        <v>#N/A</v>
      </c>
      <c r="G1762" s="3" t="e">
        <f t="shared" si="204"/>
        <v>#N/A</v>
      </c>
      <c r="H1762" s="3" t="e">
        <f t="shared" si="205"/>
        <v>#N/A</v>
      </c>
      <c r="I1762" s="3" t="e">
        <f t="shared" si="206"/>
        <v>#N/A</v>
      </c>
      <c r="J1762" s="2">
        <v>2237</v>
      </c>
      <c r="K1762" s="2">
        <v>932</v>
      </c>
      <c r="P1762" s="3">
        <f>E1762*(VLOOKUP(B1762,Price_data!A$1:B$190,2,FALSE))</f>
        <v>2.3743557076520001</v>
      </c>
      <c r="Q1762" s="3" t="e">
        <f>G1762*(VLOOKUP(B1762,Price_data!A$1:B$190,2,FALSE))</f>
        <v>#N/A</v>
      </c>
      <c r="R1762" s="3" t="e">
        <f>I1762*(VLOOKUP(B1762,Price_data!A$1:B$190,2,FALSE))</f>
        <v>#N/A</v>
      </c>
      <c r="S1762" s="4" t="str">
        <f>(VLOOKUP(B1762,Price_data!A$1:C$190,3,FALSE))</f>
        <v>EEZ</v>
      </c>
      <c r="T1762" s="2" t="str">
        <f>IF(C1762="Total", (VLOOKUP(B1762,Recommended_fish_intake!A$4:D$122,4,FALSE)), "NA")</f>
        <v>NA</v>
      </c>
      <c r="U1762" s="2" t="str">
        <f t="shared" si="207"/>
        <v>NA</v>
      </c>
    </row>
    <row r="1763" spans="1:21" ht="14.25" customHeight="1">
      <c r="A1763" s="2" t="s">
        <v>39</v>
      </c>
      <c r="B1763" s="2">
        <v>1980</v>
      </c>
      <c r="C1763" s="2" t="s">
        <v>20</v>
      </c>
      <c r="D1763" s="3">
        <f t="shared" si="201"/>
        <v>101.292</v>
      </c>
      <c r="E1763" s="3">
        <f t="shared" si="202"/>
        <v>8.0269999999999992</v>
      </c>
      <c r="F1763" s="3" t="e">
        <f t="shared" si="203"/>
        <v>#N/A</v>
      </c>
      <c r="G1763" s="3" t="e">
        <f t="shared" si="204"/>
        <v>#N/A</v>
      </c>
      <c r="H1763" s="3" t="e">
        <f t="shared" si="205"/>
        <v>#N/A</v>
      </c>
      <c r="I1763" s="3" t="e">
        <f t="shared" si="206"/>
        <v>#N/A</v>
      </c>
      <c r="J1763" s="2">
        <v>101292</v>
      </c>
      <c r="K1763" s="2">
        <v>8027</v>
      </c>
      <c r="P1763" s="3">
        <f>E1763*(VLOOKUP(B1763,Price_data!A$1:B$190,2,FALSE))</f>
        <v>20.449520670946999</v>
      </c>
      <c r="Q1763" s="3" t="e">
        <f>G1763*(VLOOKUP(B1763,Price_data!A$1:B$190,2,FALSE))</f>
        <v>#N/A</v>
      </c>
      <c r="R1763" s="3" t="e">
        <f>I1763*(VLOOKUP(B1763,Price_data!A$1:B$190,2,FALSE))</f>
        <v>#N/A</v>
      </c>
      <c r="S1763" s="4" t="str">
        <f>(VLOOKUP(B1763,Price_data!A$1:C$190,3,FALSE))</f>
        <v>EEZ</v>
      </c>
      <c r="T1763" s="2" t="str">
        <f>IF(C1763="Total", (VLOOKUP(B1763,Recommended_fish_intake!A$4:D$122,4,FALSE)), "NA")</f>
        <v>NA</v>
      </c>
      <c r="U1763" s="2" t="str">
        <f t="shared" si="207"/>
        <v>NA</v>
      </c>
    </row>
    <row r="1764" spans="1:21" ht="14.25" customHeight="1">
      <c r="A1764" s="2" t="s">
        <v>39</v>
      </c>
      <c r="B1764" s="2">
        <v>1980</v>
      </c>
      <c r="C1764" s="2" t="s">
        <v>21</v>
      </c>
      <c r="D1764" s="3">
        <f t="shared" si="201"/>
        <v>10.247999999999999</v>
      </c>
      <c r="E1764" s="3">
        <f t="shared" si="202"/>
        <v>0.81299999999999994</v>
      </c>
      <c r="F1764" s="3" t="e">
        <f t="shared" si="203"/>
        <v>#N/A</v>
      </c>
      <c r="G1764" s="3" t="e">
        <f t="shared" si="204"/>
        <v>#N/A</v>
      </c>
      <c r="H1764" s="3" t="e">
        <f t="shared" si="205"/>
        <v>#N/A</v>
      </c>
      <c r="I1764" s="3" t="e">
        <f t="shared" si="206"/>
        <v>#N/A</v>
      </c>
      <c r="J1764" s="2">
        <v>10248</v>
      </c>
      <c r="K1764" s="2">
        <v>813</v>
      </c>
      <c r="P1764" s="3">
        <f>E1764*(VLOOKUP(B1764,Price_data!A$1:B$190,2,FALSE))</f>
        <v>2.0711922642929999</v>
      </c>
      <c r="Q1764" s="3" t="e">
        <f>G1764*(VLOOKUP(B1764,Price_data!A$1:B$190,2,FALSE))</f>
        <v>#N/A</v>
      </c>
      <c r="R1764" s="3" t="e">
        <f>I1764*(VLOOKUP(B1764,Price_data!A$1:B$190,2,FALSE))</f>
        <v>#N/A</v>
      </c>
      <c r="S1764" s="4" t="str">
        <f>(VLOOKUP(B1764,Price_data!A$1:C$190,3,FALSE))</f>
        <v>EEZ</v>
      </c>
      <c r="T1764" s="2" t="str">
        <f>IF(C1764="Total", (VLOOKUP(B1764,Recommended_fish_intake!A$4:D$122,4,FALSE)), "NA")</f>
        <v>NA</v>
      </c>
      <c r="U1764" s="2" t="str">
        <f t="shared" si="207"/>
        <v>NA</v>
      </c>
    </row>
    <row r="1765" spans="1:21" ht="14.25" customHeight="1">
      <c r="A1765" s="2" t="s">
        <v>39</v>
      </c>
      <c r="B1765" s="2">
        <v>1980</v>
      </c>
      <c r="C1765" s="2" t="s">
        <v>37</v>
      </c>
      <c r="D1765" s="3">
        <f t="shared" si="201"/>
        <v>343.79199999999997</v>
      </c>
      <c r="E1765" s="3">
        <f t="shared" si="202"/>
        <v>94.23</v>
      </c>
      <c r="F1765" s="3" t="e">
        <f t="shared" si="203"/>
        <v>#N/A</v>
      </c>
      <c r="G1765" s="3" t="e">
        <f t="shared" si="204"/>
        <v>#N/A</v>
      </c>
      <c r="H1765" s="3" t="e">
        <f t="shared" si="205"/>
        <v>#N/A</v>
      </c>
      <c r="I1765" s="3" t="e">
        <f t="shared" si="206"/>
        <v>#N/A</v>
      </c>
      <c r="J1765" s="2">
        <v>343792</v>
      </c>
      <c r="K1765" s="2">
        <v>94230</v>
      </c>
      <c r="P1765" s="3">
        <f>E1765*(VLOOKUP(B1765,Price_data!A$1:B$190,2,FALSE))</f>
        <v>240.05959048503001</v>
      </c>
      <c r="Q1765" s="3" t="e">
        <f>G1765*(VLOOKUP(B1765,Price_data!A$1:B$190,2,FALSE))</f>
        <v>#N/A</v>
      </c>
      <c r="R1765" s="3" t="e">
        <f>I1765*(VLOOKUP(B1765,Price_data!A$1:B$190,2,FALSE))</f>
        <v>#N/A</v>
      </c>
      <c r="S1765" s="4" t="str">
        <f>(VLOOKUP(B1765,Price_data!A$1:C$190,3,FALSE))</f>
        <v>EEZ</v>
      </c>
      <c r="T1765" s="2" t="str">
        <f>IF(C1765="Total", (VLOOKUP(B1765,Recommended_fish_intake!A$4:D$122,4,FALSE)), "NA")</f>
        <v>NA</v>
      </c>
      <c r="U1765" s="2">
        <f t="shared" si="207"/>
        <v>168.45808</v>
      </c>
    </row>
    <row r="1766" spans="1:21" ht="14.25" customHeight="1">
      <c r="A1766" s="2" t="s">
        <v>39</v>
      </c>
      <c r="B1766" s="2">
        <v>1980</v>
      </c>
      <c r="C1766" s="2" t="s">
        <v>36</v>
      </c>
      <c r="D1766" s="3">
        <f t="shared" si="201"/>
        <v>2.5299999999999998</v>
      </c>
      <c r="E1766" s="3">
        <f t="shared" si="202"/>
        <v>0.57899999999999996</v>
      </c>
      <c r="F1766" s="3" t="e">
        <f t="shared" si="203"/>
        <v>#N/A</v>
      </c>
      <c r="G1766" s="3" t="e">
        <f t="shared" si="204"/>
        <v>#N/A</v>
      </c>
      <c r="H1766" s="3" t="e">
        <f t="shared" si="205"/>
        <v>#N/A</v>
      </c>
      <c r="I1766" s="3" t="e">
        <f t="shared" si="206"/>
        <v>#N/A</v>
      </c>
      <c r="J1766" s="2">
        <v>2530</v>
      </c>
      <c r="K1766" s="2">
        <v>579</v>
      </c>
      <c r="P1766" s="3">
        <f>E1766*(VLOOKUP(B1766,Price_data!A$1:B$190,2,FALSE))</f>
        <v>1.4750557454190001</v>
      </c>
      <c r="Q1766" s="3" t="e">
        <f>G1766*(VLOOKUP(B1766,Price_data!A$1:B$190,2,FALSE))</f>
        <v>#N/A</v>
      </c>
      <c r="R1766" s="3" t="e">
        <f>I1766*(VLOOKUP(B1766,Price_data!A$1:B$190,2,FALSE))</f>
        <v>#N/A</v>
      </c>
      <c r="S1766" s="4" t="str">
        <f>(VLOOKUP(B1766,Price_data!A$1:C$190,3,FALSE))</f>
        <v>EEZ</v>
      </c>
      <c r="T1766" s="2" t="str">
        <f>IF(C1766="Total", (VLOOKUP(B1766,Recommended_fish_intake!A$4:D$122,4,FALSE)), "NA")</f>
        <v>NA</v>
      </c>
      <c r="U1766" s="2" t="str">
        <f t="shared" si="207"/>
        <v>NA</v>
      </c>
    </row>
    <row r="1767" spans="1:21" ht="14.25" customHeight="1">
      <c r="A1767" s="2" t="s">
        <v>39</v>
      </c>
      <c r="B1767" s="2">
        <v>1980</v>
      </c>
      <c r="C1767" s="2" t="s">
        <v>52</v>
      </c>
      <c r="D1767" s="3">
        <f t="shared" si="201"/>
        <v>5.32</v>
      </c>
      <c r="E1767" s="3">
        <f t="shared" si="202"/>
        <v>3.2879999999999998</v>
      </c>
      <c r="F1767" s="3" t="e">
        <f t="shared" si="203"/>
        <v>#N/A</v>
      </c>
      <c r="G1767" s="3" t="e">
        <f t="shared" si="204"/>
        <v>#N/A</v>
      </c>
      <c r="H1767" s="3" t="e">
        <f t="shared" si="205"/>
        <v>#N/A</v>
      </c>
      <c r="I1767" s="3" t="e">
        <f t="shared" si="206"/>
        <v>#N/A</v>
      </c>
      <c r="J1767" s="2">
        <v>5320</v>
      </c>
      <c r="K1767" s="2">
        <v>3288</v>
      </c>
      <c r="P1767" s="3">
        <f>E1767*(VLOOKUP(B1767,Price_data!A$1:B$190,2,FALSE))</f>
        <v>8.3764823677680003</v>
      </c>
      <c r="Q1767" s="3" t="e">
        <f>G1767*(VLOOKUP(B1767,Price_data!A$1:B$190,2,FALSE))</f>
        <v>#N/A</v>
      </c>
      <c r="R1767" s="3" t="e">
        <f>I1767*(VLOOKUP(B1767,Price_data!A$1:B$190,2,FALSE))</f>
        <v>#N/A</v>
      </c>
      <c r="S1767" s="4" t="str">
        <f>(VLOOKUP(B1767,Price_data!A$1:C$190,3,FALSE))</f>
        <v>EEZ</v>
      </c>
      <c r="T1767" s="2" t="str">
        <f>IF(C1767="Total", (VLOOKUP(B1767,Recommended_fish_intake!A$4:D$122,4,FALSE)), "NA")</f>
        <v>NA</v>
      </c>
      <c r="U1767" s="2" t="str">
        <f t="shared" si="207"/>
        <v>NA</v>
      </c>
    </row>
    <row r="1768" spans="1:21" ht="14.25" customHeight="1">
      <c r="A1768" s="2" t="s">
        <v>39</v>
      </c>
      <c r="B1768" s="2">
        <v>1980</v>
      </c>
      <c r="C1768" s="2" t="s">
        <v>34</v>
      </c>
      <c r="D1768" s="3">
        <f t="shared" ref="D1768:D1831" si="208">J1768/1000</f>
        <v>0.42799999999999999</v>
      </c>
      <c r="E1768" s="3">
        <f t="shared" ref="E1768:E1831" si="209">K1768/1000</f>
        <v>1.8720000000000001</v>
      </c>
      <c r="F1768" s="3" t="e">
        <f t="shared" ref="F1768:F1831" si="210">IF(L1768="", NA(), L1768/1000)</f>
        <v>#N/A</v>
      </c>
      <c r="G1768" s="3" t="e">
        <f t="shared" ref="G1768:G1831" si="211">IF(M1768="", NA(), M1768/1000)</f>
        <v>#N/A</v>
      </c>
      <c r="H1768" s="3" t="e">
        <f t="shared" ref="H1768:H1831" si="212">IF(N1768="", NA(), N1768/1000)</f>
        <v>#N/A</v>
      </c>
      <c r="I1768" s="3" t="e">
        <f t="shared" ref="I1768:I1831" si="213">IF(O1768="", NA(), O1768/1000)</f>
        <v>#N/A</v>
      </c>
      <c r="J1768" s="2">
        <v>428</v>
      </c>
      <c r="K1768" s="2">
        <v>1872</v>
      </c>
      <c r="P1768" s="3">
        <f>E1768*(VLOOKUP(B1768,Price_data!A$1:B$190,2,FALSE))</f>
        <v>4.7690921509920008</v>
      </c>
      <c r="Q1768" s="3" t="e">
        <f>G1768*(VLOOKUP(B1768,Price_data!A$1:B$190,2,FALSE))</f>
        <v>#N/A</v>
      </c>
      <c r="R1768" s="3" t="e">
        <f>I1768*(VLOOKUP(B1768,Price_data!A$1:B$190,2,FALSE))</f>
        <v>#N/A</v>
      </c>
      <c r="S1768" s="4" t="str">
        <f>(VLOOKUP(B1768,Price_data!A$1:C$190,3,FALSE))</f>
        <v>EEZ</v>
      </c>
      <c r="T1768" s="2" t="str">
        <f>IF(C1768="Total", (VLOOKUP(B1768,Recommended_fish_intake!A$4:D$122,4,FALSE)), "NA")</f>
        <v>NA</v>
      </c>
      <c r="U1768" s="2" t="str">
        <f t="shared" si="207"/>
        <v>NA</v>
      </c>
    </row>
    <row r="1769" spans="1:21" ht="14.25" customHeight="1">
      <c r="A1769" s="2" t="s">
        <v>39</v>
      </c>
      <c r="B1769" s="2">
        <v>1980</v>
      </c>
      <c r="C1769" s="2" t="s">
        <v>35</v>
      </c>
      <c r="D1769" s="3">
        <f t="shared" si="208"/>
        <v>10.44</v>
      </c>
      <c r="E1769" s="3">
        <f t="shared" si="209"/>
        <v>11.196</v>
      </c>
      <c r="F1769" s="3" t="e">
        <f t="shared" si="210"/>
        <v>#N/A</v>
      </c>
      <c r="G1769" s="3" t="e">
        <f t="shared" si="211"/>
        <v>#N/A</v>
      </c>
      <c r="H1769" s="3" t="e">
        <f t="shared" si="212"/>
        <v>#N/A</v>
      </c>
      <c r="I1769" s="3" t="e">
        <f t="shared" si="213"/>
        <v>#N/A</v>
      </c>
      <c r="J1769" s="2">
        <v>10440</v>
      </c>
      <c r="K1769" s="2">
        <v>11196</v>
      </c>
      <c r="P1769" s="3">
        <f>E1769*(VLOOKUP(B1769,Price_data!A$1:B$190,2,FALSE))</f>
        <v>28.522839595356</v>
      </c>
      <c r="Q1769" s="3" t="e">
        <f>G1769*(VLOOKUP(B1769,Price_data!A$1:B$190,2,FALSE))</f>
        <v>#N/A</v>
      </c>
      <c r="R1769" s="3" t="e">
        <f>I1769*(VLOOKUP(B1769,Price_data!A$1:B$190,2,FALSE))</f>
        <v>#N/A</v>
      </c>
      <c r="S1769" s="4" t="str">
        <f>(VLOOKUP(B1769,Price_data!A$1:C$190,3,FALSE))</f>
        <v>EEZ</v>
      </c>
      <c r="T1769" s="2" t="str">
        <f>IF(C1769="Total", (VLOOKUP(B1769,Recommended_fish_intake!A$4:D$122,4,FALSE)), "NA")</f>
        <v>NA</v>
      </c>
      <c r="U1769" s="2" t="str">
        <f t="shared" si="207"/>
        <v>NA</v>
      </c>
    </row>
    <row r="1770" spans="1:21" ht="14.25" customHeight="1">
      <c r="A1770" s="2" t="s">
        <v>39</v>
      </c>
      <c r="B1770" s="2">
        <v>1980</v>
      </c>
      <c r="C1770" s="2" t="s">
        <v>30</v>
      </c>
      <c r="D1770" s="3">
        <f t="shared" si="208"/>
        <v>0.438</v>
      </c>
      <c r="E1770" s="3">
        <f t="shared" si="209"/>
        <v>0.42</v>
      </c>
      <c r="F1770" s="3" t="e">
        <f t="shared" si="210"/>
        <v>#N/A</v>
      </c>
      <c r="G1770" s="3" t="e">
        <f t="shared" si="211"/>
        <v>#N/A</v>
      </c>
      <c r="H1770" s="3" t="e">
        <f t="shared" si="212"/>
        <v>#N/A</v>
      </c>
      <c r="I1770" s="3" t="e">
        <f t="shared" si="213"/>
        <v>#N/A</v>
      </c>
      <c r="J1770" s="2">
        <v>438</v>
      </c>
      <c r="K1770" s="2">
        <v>420</v>
      </c>
      <c r="P1770" s="3">
        <f>E1770*(VLOOKUP(B1770,Price_data!A$1:B$190,2,FALSE))</f>
        <v>1.06998862362</v>
      </c>
      <c r="Q1770" s="3" t="e">
        <f>G1770*(VLOOKUP(B1770,Price_data!A$1:B$190,2,FALSE))</f>
        <v>#N/A</v>
      </c>
      <c r="R1770" s="3" t="e">
        <f>I1770*(VLOOKUP(B1770,Price_data!A$1:B$190,2,FALSE))</f>
        <v>#N/A</v>
      </c>
      <c r="S1770" s="4" t="str">
        <f>(VLOOKUP(B1770,Price_data!A$1:C$190,3,FALSE))</f>
        <v>EEZ</v>
      </c>
      <c r="T1770" s="2" t="str">
        <f>IF(C1770="Total", (VLOOKUP(B1770,Recommended_fish_intake!A$4:D$122,4,FALSE)), "NA")</f>
        <v>NA</v>
      </c>
      <c r="U1770" s="2" t="str">
        <f t="shared" si="207"/>
        <v>NA</v>
      </c>
    </row>
    <row r="1771" spans="1:21" ht="14.25" customHeight="1">
      <c r="A1771" s="2" t="s">
        <v>39</v>
      </c>
      <c r="B1771" s="2">
        <v>1980</v>
      </c>
      <c r="C1771" s="2" t="s">
        <v>28</v>
      </c>
      <c r="D1771" s="3">
        <f t="shared" si="208"/>
        <v>27.562999999999999</v>
      </c>
      <c r="E1771" s="3">
        <f t="shared" si="209"/>
        <v>19.367999999999999</v>
      </c>
      <c r="F1771" s="3" t="e">
        <f t="shared" si="210"/>
        <v>#N/A</v>
      </c>
      <c r="G1771" s="3" t="e">
        <f t="shared" si="211"/>
        <v>#N/A</v>
      </c>
      <c r="H1771" s="3" t="e">
        <f t="shared" si="212"/>
        <v>#N/A</v>
      </c>
      <c r="I1771" s="3" t="e">
        <f t="shared" si="213"/>
        <v>#N/A</v>
      </c>
      <c r="J1771" s="2">
        <v>27563</v>
      </c>
      <c r="K1771" s="2">
        <v>19368</v>
      </c>
      <c r="P1771" s="3">
        <f>E1771*(VLOOKUP(B1771,Price_data!A$1:B$190,2,FALSE))</f>
        <v>49.341761100648</v>
      </c>
      <c r="Q1771" s="3" t="e">
        <f>G1771*(VLOOKUP(B1771,Price_data!A$1:B$190,2,FALSE))</f>
        <v>#N/A</v>
      </c>
      <c r="R1771" s="3" t="e">
        <f>I1771*(VLOOKUP(B1771,Price_data!A$1:B$190,2,FALSE))</f>
        <v>#N/A</v>
      </c>
      <c r="S1771" s="4" t="str">
        <f>(VLOOKUP(B1771,Price_data!A$1:C$190,3,FALSE))</f>
        <v>EEZ</v>
      </c>
      <c r="T1771" s="2" t="str">
        <f>IF(C1771="Total", (VLOOKUP(B1771,Recommended_fish_intake!A$4:D$122,4,FALSE)), "NA")</f>
        <v>NA</v>
      </c>
      <c r="U1771" s="2">
        <f t="shared" si="207"/>
        <v>7.7176400000000003</v>
      </c>
    </row>
    <row r="1772" spans="1:21" ht="14.25" customHeight="1">
      <c r="A1772" s="2" t="s">
        <v>40</v>
      </c>
      <c r="B1772" s="2">
        <v>1980</v>
      </c>
      <c r="C1772" s="2" t="s">
        <v>22</v>
      </c>
      <c r="D1772" s="3">
        <f t="shared" si="208"/>
        <v>2.161</v>
      </c>
      <c r="E1772" s="3">
        <f t="shared" si="209"/>
        <v>0.90800000000000003</v>
      </c>
      <c r="F1772" s="3" t="e">
        <f t="shared" si="210"/>
        <v>#N/A</v>
      </c>
      <c r="G1772" s="3" t="e">
        <f t="shared" si="211"/>
        <v>#N/A</v>
      </c>
      <c r="H1772" s="3" t="e">
        <f t="shared" si="212"/>
        <v>#N/A</v>
      </c>
      <c r="I1772" s="3" t="e">
        <f t="shared" si="213"/>
        <v>#N/A</v>
      </c>
      <c r="J1772" s="2">
        <v>2161</v>
      </c>
      <c r="K1772" s="2">
        <v>908</v>
      </c>
      <c r="P1772" s="3">
        <f>E1772*(VLOOKUP(B1772,Price_data!A$1:B$190,2,FALSE))</f>
        <v>2.3132135005880001</v>
      </c>
      <c r="Q1772" s="3" t="e">
        <f>G1772*(VLOOKUP(B1772,Price_data!A$1:B$190,2,FALSE))</f>
        <v>#N/A</v>
      </c>
      <c r="R1772" s="3" t="e">
        <f>I1772*(VLOOKUP(B1772,Price_data!A$1:B$190,2,FALSE))</f>
        <v>#N/A</v>
      </c>
      <c r="S1772" s="4" t="str">
        <f>(VLOOKUP(B1772,Price_data!A$1:C$190,3,FALSE))</f>
        <v>EEZ</v>
      </c>
      <c r="T1772" s="2" t="str">
        <f>IF(C1772="Total", (VLOOKUP(B1772,Recommended_fish_intake!A$4:D$122,4,FALSE)), "NA")</f>
        <v>NA</v>
      </c>
      <c r="U1772" s="2" t="str">
        <f t="shared" si="207"/>
        <v>NA</v>
      </c>
    </row>
    <row r="1773" spans="1:21" ht="14.25" customHeight="1">
      <c r="A1773" s="2" t="s">
        <v>40</v>
      </c>
      <c r="B1773" s="2">
        <v>1980</v>
      </c>
      <c r="C1773" s="2" t="s">
        <v>23</v>
      </c>
      <c r="D1773" s="3">
        <f t="shared" si="208"/>
        <v>4.5999999999999999E-2</v>
      </c>
      <c r="E1773" s="3">
        <f t="shared" si="209"/>
        <v>1.2E-2</v>
      </c>
      <c r="F1773" s="3" t="e">
        <f t="shared" si="210"/>
        <v>#N/A</v>
      </c>
      <c r="G1773" s="3" t="e">
        <f t="shared" si="211"/>
        <v>#N/A</v>
      </c>
      <c r="H1773" s="3" t="e">
        <f t="shared" si="212"/>
        <v>#N/A</v>
      </c>
      <c r="I1773" s="3" t="e">
        <f t="shared" si="213"/>
        <v>#N/A</v>
      </c>
      <c r="J1773" s="2">
        <v>46</v>
      </c>
      <c r="K1773" s="2">
        <v>12</v>
      </c>
      <c r="P1773" s="3">
        <f>E1773*(VLOOKUP(B1773,Price_data!A$1:B$190,2,FALSE))</f>
        <v>3.0571103532000002E-2</v>
      </c>
      <c r="Q1773" s="3" t="e">
        <f>G1773*(VLOOKUP(B1773,Price_data!A$1:B$190,2,FALSE))</f>
        <v>#N/A</v>
      </c>
      <c r="R1773" s="3" t="e">
        <f>I1773*(VLOOKUP(B1773,Price_data!A$1:B$190,2,FALSE))</f>
        <v>#N/A</v>
      </c>
      <c r="S1773" s="4" t="str">
        <f>(VLOOKUP(B1773,Price_data!A$1:C$190,3,FALSE))</f>
        <v>EEZ</v>
      </c>
      <c r="T1773" s="2" t="str">
        <f>IF(C1773="Total", (VLOOKUP(B1773,Recommended_fish_intake!A$4:D$122,4,FALSE)), "NA")</f>
        <v>NA</v>
      </c>
      <c r="U1773" s="2" t="str">
        <f t="shared" si="207"/>
        <v>NA</v>
      </c>
    </row>
    <row r="1774" spans="1:21" ht="14.25" customHeight="1">
      <c r="A1774" s="2" t="s">
        <v>40</v>
      </c>
      <c r="B1774" s="2">
        <v>1980</v>
      </c>
      <c r="C1774" s="2" t="s">
        <v>25</v>
      </c>
      <c r="D1774" s="3">
        <f t="shared" si="208"/>
        <v>0.13200000000000001</v>
      </c>
      <c r="E1774" s="3">
        <f t="shared" si="209"/>
        <v>4.2999999999999997E-2</v>
      </c>
      <c r="F1774" s="3" t="e">
        <f t="shared" si="210"/>
        <v>#N/A</v>
      </c>
      <c r="G1774" s="3" t="e">
        <f t="shared" si="211"/>
        <v>#N/A</v>
      </c>
      <c r="H1774" s="3" t="e">
        <f t="shared" si="212"/>
        <v>#N/A</v>
      </c>
      <c r="I1774" s="3" t="e">
        <f t="shared" si="213"/>
        <v>#N/A</v>
      </c>
      <c r="J1774" s="2">
        <v>132</v>
      </c>
      <c r="K1774" s="2">
        <v>43</v>
      </c>
      <c r="P1774" s="3">
        <f>E1774*(VLOOKUP(B1774,Price_data!A$1:B$190,2,FALSE))</f>
        <v>0.109546454323</v>
      </c>
      <c r="Q1774" s="3" t="e">
        <f>G1774*(VLOOKUP(B1774,Price_data!A$1:B$190,2,FALSE))</f>
        <v>#N/A</v>
      </c>
      <c r="R1774" s="3" t="e">
        <f>I1774*(VLOOKUP(B1774,Price_data!A$1:B$190,2,FALSE))</f>
        <v>#N/A</v>
      </c>
      <c r="S1774" s="4" t="str">
        <f>(VLOOKUP(B1774,Price_data!A$1:C$190,3,FALSE))</f>
        <v>EEZ</v>
      </c>
      <c r="T1774" s="2" t="str">
        <f>IF(C1774="Total", (VLOOKUP(B1774,Recommended_fish_intake!A$4:D$122,4,FALSE)), "NA")</f>
        <v>NA</v>
      </c>
      <c r="U1774" s="2" t="str">
        <f t="shared" si="207"/>
        <v>NA</v>
      </c>
    </row>
    <row r="1775" spans="1:21" ht="14.25" customHeight="1">
      <c r="A1775" s="2" t="s">
        <v>40</v>
      </c>
      <c r="B1775" s="2">
        <v>1980</v>
      </c>
      <c r="C1775" s="2" t="s">
        <v>38</v>
      </c>
      <c r="D1775" s="3">
        <f t="shared" si="208"/>
        <v>0.25900000000000001</v>
      </c>
      <c r="E1775" s="3">
        <f t="shared" si="209"/>
        <v>6.3E-2</v>
      </c>
      <c r="F1775" s="3" t="e">
        <f t="shared" si="210"/>
        <v>#N/A</v>
      </c>
      <c r="G1775" s="3" t="e">
        <f t="shared" si="211"/>
        <v>#N/A</v>
      </c>
      <c r="H1775" s="3" t="e">
        <f t="shared" si="212"/>
        <v>#N/A</v>
      </c>
      <c r="I1775" s="3" t="e">
        <f t="shared" si="213"/>
        <v>#N/A</v>
      </c>
      <c r="J1775" s="2">
        <v>259</v>
      </c>
      <c r="K1775" s="2">
        <v>63</v>
      </c>
      <c r="P1775" s="3">
        <f>E1775*(VLOOKUP(B1775,Price_data!A$1:B$190,2,FALSE))</f>
        <v>0.16049829354300002</v>
      </c>
      <c r="Q1775" s="3" t="e">
        <f>G1775*(VLOOKUP(B1775,Price_data!A$1:B$190,2,FALSE))</f>
        <v>#N/A</v>
      </c>
      <c r="R1775" s="3" t="e">
        <f>I1775*(VLOOKUP(B1775,Price_data!A$1:B$190,2,FALSE))</f>
        <v>#N/A</v>
      </c>
      <c r="S1775" s="4" t="str">
        <f>(VLOOKUP(B1775,Price_data!A$1:C$190,3,FALSE))</f>
        <v>EEZ</v>
      </c>
      <c r="T1775" s="2" t="str">
        <f>IF(C1775="Total", (VLOOKUP(B1775,Recommended_fish_intake!A$4:D$122,4,FALSE)), "NA")</f>
        <v>NA</v>
      </c>
      <c r="U1775" s="2" t="str">
        <f t="shared" si="207"/>
        <v>NA</v>
      </c>
    </row>
    <row r="1776" spans="1:21" ht="14.25" customHeight="1">
      <c r="A1776" s="2" t="s">
        <v>40</v>
      </c>
      <c r="B1776" s="2">
        <v>1980</v>
      </c>
      <c r="C1776" s="2" t="s">
        <v>24</v>
      </c>
      <c r="D1776" s="3">
        <f t="shared" si="208"/>
        <v>3.9540000000000002</v>
      </c>
      <c r="E1776" s="3">
        <f t="shared" si="209"/>
        <v>0.72399999999999998</v>
      </c>
      <c r="F1776" s="3" t="e">
        <f t="shared" si="210"/>
        <v>#N/A</v>
      </c>
      <c r="G1776" s="3" t="e">
        <f t="shared" si="211"/>
        <v>#N/A</v>
      </c>
      <c r="H1776" s="3" t="e">
        <f t="shared" si="212"/>
        <v>#N/A</v>
      </c>
      <c r="I1776" s="3" t="e">
        <f t="shared" si="213"/>
        <v>#N/A</v>
      </c>
      <c r="J1776" s="2">
        <v>3954</v>
      </c>
      <c r="K1776" s="2">
        <v>724</v>
      </c>
      <c r="P1776" s="3">
        <f>E1776*(VLOOKUP(B1776,Price_data!A$1:B$190,2,FALSE))</f>
        <v>1.844456579764</v>
      </c>
      <c r="Q1776" s="3" t="e">
        <f>G1776*(VLOOKUP(B1776,Price_data!A$1:B$190,2,FALSE))</f>
        <v>#N/A</v>
      </c>
      <c r="R1776" s="3" t="e">
        <f>I1776*(VLOOKUP(B1776,Price_data!A$1:B$190,2,FALSE))</f>
        <v>#N/A</v>
      </c>
      <c r="S1776" s="4" t="str">
        <f>(VLOOKUP(B1776,Price_data!A$1:C$190,3,FALSE))</f>
        <v>EEZ</v>
      </c>
      <c r="T1776" s="2" t="str">
        <f>IF(C1776="Total", (VLOOKUP(B1776,Recommended_fish_intake!A$4:D$122,4,FALSE)), "NA")</f>
        <v>NA</v>
      </c>
      <c r="U1776" s="2" t="str">
        <f t="shared" si="207"/>
        <v>NA</v>
      </c>
    </row>
    <row r="1777" spans="1:21" ht="14.25" customHeight="1">
      <c r="A1777" s="2" t="s">
        <v>40</v>
      </c>
      <c r="B1777" s="2">
        <v>1980</v>
      </c>
      <c r="C1777" s="2" t="s">
        <v>19</v>
      </c>
      <c r="D1777" s="3">
        <f t="shared" si="208"/>
        <v>2.4500000000000002</v>
      </c>
      <c r="E1777" s="3">
        <f t="shared" si="209"/>
        <v>0.60799999999999998</v>
      </c>
      <c r="F1777" s="3" t="e">
        <f t="shared" si="210"/>
        <v>#N/A</v>
      </c>
      <c r="G1777" s="3" t="e">
        <f t="shared" si="211"/>
        <v>#N/A</v>
      </c>
      <c r="H1777" s="3" t="e">
        <f t="shared" si="212"/>
        <v>#N/A</v>
      </c>
      <c r="I1777" s="3" t="e">
        <f t="shared" si="213"/>
        <v>#N/A</v>
      </c>
      <c r="J1777" s="2">
        <v>2450</v>
      </c>
      <c r="K1777" s="2">
        <v>608</v>
      </c>
      <c r="P1777" s="3">
        <f>E1777*(VLOOKUP(B1777,Price_data!A$1:B$190,2,FALSE))</f>
        <v>1.548935912288</v>
      </c>
      <c r="Q1777" s="3" t="e">
        <f>G1777*(VLOOKUP(B1777,Price_data!A$1:B$190,2,FALSE))</f>
        <v>#N/A</v>
      </c>
      <c r="R1777" s="3" t="e">
        <f>I1777*(VLOOKUP(B1777,Price_data!A$1:B$190,2,FALSE))</f>
        <v>#N/A</v>
      </c>
      <c r="S1777" s="4" t="str">
        <f>(VLOOKUP(B1777,Price_data!A$1:C$190,3,FALSE))</f>
        <v>EEZ</v>
      </c>
      <c r="T1777" s="2" t="str">
        <f>IF(C1777="Total", (VLOOKUP(B1777,Recommended_fish_intake!A$4:D$122,4,FALSE)), "NA")</f>
        <v>NA</v>
      </c>
      <c r="U1777" s="2" t="str">
        <f t="shared" si="207"/>
        <v>NA</v>
      </c>
    </row>
    <row r="1778" spans="1:21" ht="14.25" customHeight="1">
      <c r="A1778" s="2" t="s">
        <v>40</v>
      </c>
      <c r="B1778" s="2">
        <v>1980</v>
      </c>
      <c r="C1778" s="2" t="s">
        <v>20</v>
      </c>
      <c r="D1778" s="3">
        <f t="shared" si="208"/>
        <v>5.8999999999999997E-2</v>
      </c>
      <c r="E1778" s="3">
        <f t="shared" si="209"/>
        <v>5.0000000000000001E-3</v>
      </c>
      <c r="F1778" s="3" t="e">
        <f t="shared" si="210"/>
        <v>#N/A</v>
      </c>
      <c r="G1778" s="3" t="e">
        <f t="shared" si="211"/>
        <v>#N/A</v>
      </c>
      <c r="H1778" s="3" t="e">
        <f t="shared" si="212"/>
        <v>#N/A</v>
      </c>
      <c r="I1778" s="3" t="e">
        <f t="shared" si="213"/>
        <v>#N/A</v>
      </c>
      <c r="J1778" s="2">
        <v>59</v>
      </c>
      <c r="K1778" s="2">
        <v>5</v>
      </c>
      <c r="P1778" s="3">
        <f>E1778*(VLOOKUP(B1778,Price_data!A$1:B$190,2,FALSE))</f>
        <v>1.2737959805000001E-2</v>
      </c>
      <c r="Q1778" s="3" t="e">
        <f>G1778*(VLOOKUP(B1778,Price_data!A$1:B$190,2,FALSE))</f>
        <v>#N/A</v>
      </c>
      <c r="R1778" s="3" t="e">
        <f>I1778*(VLOOKUP(B1778,Price_data!A$1:B$190,2,FALSE))</f>
        <v>#N/A</v>
      </c>
      <c r="S1778" s="4" t="str">
        <f>(VLOOKUP(B1778,Price_data!A$1:C$190,3,FALSE))</f>
        <v>EEZ</v>
      </c>
      <c r="T1778" s="2" t="str">
        <f>IF(C1778="Total", (VLOOKUP(B1778,Recommended_fish_intake!A$4:D$122,4,FALSE)), "NA")</f>
        <v>NA</v>
      </c>
      <c r="U1778" s="2" t="str">
        <f t="shared" si="207"/>
        <v>NA</v>
      </c>
    </row>
    <row r="1779" spans="1:21" ht="14.25" customHeight="1">
      <c r="A1779" s="2" t="s">
        <v>40</v>
      </c>
      <c r="B1779" s="2">
        <v>1980</v>
      </c>
      <c r="C1779" s="2" t="s">
        <v>21</v>
      </c>
      <c r="D1779" s="3">
        <f t="shared" si="208"/>
        <v>1E-3</v>
      </c>
      <c r="E1779" s="3">
        <f t="shared" si="209"/>
        <v>0</v>
      </c>
      <c r="F1779" s="3" t="e">
        <f t="shared" si="210"/>
        <v>#N/A</v>
      </c>
      <c r="G1779" s="3" t="e">
        <f t="shared" si="211"/>
        <v>#N/A</v>
      </c>
      <c r="H1779" s="3" t="e">
        <f t="shared" si="212"/>
        <v>#N/A</v>
      </c>
      <c r="I1779" s="3" t="e">
        <f t="shared" si="213"/>
        <v>#N/A</v>
      </c>
      <c r="J1779" s="2">
        <v>1</v>
      </c>
      <c r="K1779" s="2">
        <v>0</v>
      </c>
      <c r="P1779" s="3">
        <f>E1779*(VLOOKUP(B1779,Price_data!A$1:B$190,2,FALSE))</f>
        <v>0</v>
      </c>
      <c r="Q1779" s="3" t="e">
        <f>G1779*(VLOOKUP(B1779,Price_data!A$1:B$190,2,FALSE))</f>
        <v>#N/A</v>
      </c>
      <c r="R1779" s="3" t="e">
        <f>I1779*(VLOOKUP(B1779,Price_data!A$1:B$190,2,FALSE))</f>
        <v>#N/A</v>
      </c>
      <c r="S1779" s="4" t="str">
        <f>(VLOOKUP(B1779,Price_data!A$1:C$190,3,FALSE))</f>
        <v>EEZ</v>
      </c>
      <c r="T1779" s="2" t="str">
        <f>IF(C1779="Total", (VLOOKUP(B1779,Recommended_fish_intake!A$4:D$122,4,FALSE)), "NA")</f>
        <v>NA</v>
      </c>
      <c r="U1779" s="2" t="str">
        <f t="shared" si="207"/>
        <v>NA</v>
      </c>
    </row>
    <row r="1780" spans="1:21" ht="14.25" customHeight="1">
      <c r="A1780" s="2" t="s">
        <v>40</v>
      </c>
      <c r="B1780" s="2">
        <v>1980</v>
      </c>
      <c r="C1780" s="2" t="s">
        <v>37</v>
      </c>
      <c r="D1780" s="3">
        <f t="shared" si="208"/>
        <v>10.089</v>
      </c>
      <c r="E1780" s="3">
        <f t="shared" si="209"/>
        <v>2.6429999999999998</v>
      </c>
      <c r="F1780" s="3" t="e">
        <f t="shared" si="210"/>
        <v>#N/A</v>
      </c>
      <c r="G1780" s="3" t="e">
        <f t="shared" si="211"/>
        <v>#N/A</v>
      </c>
      <c r="H1780" s="3" t="e">
        <f t="shared" si="212"/>
        <v>#N/A</v>
      </c>
      <c r="I1780" s="3" t="e">
        <f t="shared" si="213"/>
        <v>#N/A</v>
      </c>
      <c r="J1780" s="2">
        <v>10089</v>
      </c>
      <c r="K1780" s="2">
        <v>2643</v>
      </c>
      <c r="P1780" s="3">
        <f>E1780*(VLOOKUP(B1780,Price_data!A$1:B$190,2,FALSE))</f>
        <v>6.7332855529230002</v>
      </c>
      <c r="Q1780" s="3" t="e">
        <f>G1780*(VLOOKUP(B1780,Price_data!A$1:B$190,2,FALSE))</f>
        <v>#N/A</v>
      </c>
      <c r="R1780" s="3" t="e">
        <f>I1780*(VLOOKUP(B1780,Price_data!A$1:B$190,2,FALSE))</f>
        <v>#N/A</v>
      </c>
      <c r="S1780" s="4" t="str">
        <f>(VLOOKUP(B1780,Price_data!A$1:C$190,3,FALSE))</f>
        <v>EEZ</v>
      </c>
      <c r="T1780" s="2" t="str">
        <f>IF(C1780="Total", (VLOOKUP(B1780,Recommended_fish_intake!A$4:D$122,4,FALSE)), "NA")</f>
        <v>NA</v>
      </c>
      <c r="U1780" s="2">
        <f t="shared" si="207"/>
        <v>4.9436100000000005</v>
      </c>
    </row>
    <row r="1781" spans="1:21" ht="14.25" customHeight="1">
      <c r="A1781" s="2" t="s">
        <v>40</v>
      </c>
      <c r="B1781" s="2">
        <v>1980</v>
      </c>
      <c r="C1781" s="2" t="s">
        <v>36</v>
      </c>
      <c r="D1781" s="3">
        <f t="shared" si="208"/>
        <v>6.0000000000000001E-3</v>
      </c>
      <c r="E1781" s="3">
        <f t="shared" si="209"/>
        <v>1E-3</v>
      </c>
      <c r="F1781" s="3" t="e">
        <f t="shared" si="210"/>
        <v>#N/A</v>
      </c>
      <c r="G1781" s="3" t="e">
        <f t="shared" si="211"/>
        <v>#N/A</v>
      </c>
      <c r="H1781" s="3" t="e">
        <f t="shared" si="212"/>
        <v>#N/A</v>
      </c>
      <c r="I1781" s="3" t="e">
        <f t="shared" si="213"/>
        <v>#N/A</v>
      </c>
      <c r="J1781" s="2">
        <v>6</v>
      </c>
      <c r="K1781" s="2">
        <v>1</v>
      </c>
      <c r="P1781" s="3">
        <f>E1781*(VLOOKUP(B1781,Price_data!A$1:B$190,2,FALSE))</f>
        <v>2.5475919610000002E-3</v>
      </c>
      <c r="Q1781" s="3" t="e">
        <f>G1781*(VLOOKUP(B1781,Price_data!A$1:B$190,2,FALSE))</f>
        <v>#N/A</v>
      </c>
      <c r="R1781" s="3" t="e">
        <f>I1781*(VLOOKUP(B1781,Price_data!A$1:B$190,2,FALSE))</f>
        <v>#N/A</v>
      </c>
      <c r="S1781" s="4" t="str">
        <f>(VLOOKUP(B1781,Price_data!A$1:C$190,3,FALSE))</f>
        <v>EEZ</v>
      </c>
      <c r="T1781" s="2" t="str">
        <f>IF(C1781="Total", (VLOOKUP(B1781,Recommended_fish_intake!A$4:D$122,4,FALSE)), "NA")</f>
        <v>NA</v>
      </c>
      <c r="U1781" s="2" t="str">
        <f t="shared" si="207"/>
        <v>NA</v>
      </c>
    </row>
    <row r="1782" spans="1:21" ht="14.25" customHeight="1">
      <c r="A1782" s="2" t="s">
        <v>40</v>
      </c>
      <c r="B1782" s="2">
        <v>1980</v>
      </c>
      <c r="C1782" s="2" t="s">
        <v>52</v>
      </c>
      <c r="D1782" s="3">
        <f t="shared" si="208"/>
        <v>4.1000000000000002E-2</v>
      </c>
      <c r="E1782" s="3">
        <f t="shared" si="209"/>
        <v>1.4E-2</v>
      </c>
      <c r="F1782" s="3" t="e">
        <f t="shared" si="210"/>
        <v>#N/A</v>
      </c>
      <c r="G1782" s="3" t="e">
        <f t="shared" si="211"/>
        <v>#N/A</v>
      </c>
      <c r="H1782" s="3" t="e">
        <f t="shared" si="212"/>
        <v>#N/A</v>
      </c>
      <c r="I1782" s="3" t="e">
        <f t="shared" si="213"/>
        <v>#N/A</v>
      </c>
      <c r="J1782" s="2">
        <v>41</v>
      </c>
      <c r="K1782" s="2">
        <v>14</v>
      </c>
      <c r="P1782" s="3">
        <f>E1782*(VLOOKUP(B1782,Price_data!A$1:B$190,2,FALSE))</f>
        <v>3.5666287454000002E-2</v>
      </c>
      <c r="Q1782" s="3" t="e">
        <f>G1782*(VLOOKUP(B1782,Price_data!A$1:B$190,2,FALSE))</f>
        <v>#N/A</v>
      </c>
      <c r="R1782" s="3" t="e">
        <f>I1782*(VLOOKUP(B1782,Price_data!A$1:B$190,2,FALSE))</f>
        <v>#N/A</v>
      </c>
      <c r="S1782" s="4" t="str">
        <f>(VLOOKUP(B1782,Price_data!A$1:C$190,3,FALSE))</f>
        <v>EEZ</v>
      </c>
      <c r="T1782" s="2" t="str">
        <f>IF(C1782="Total", (VLOOKUP(B1782,Recommended_fish_intake!A$4:D$122,4,FALSE)), "NA")</f>
        <v>NA</v>
      </c>
      <c r="U1782" s="2" t="str">
        <f t="shared" si="207"/>
        <v>NA</v>
      </c>
    </row>
    <row r="1783" spans="1:21" ht="14.25" customHeight="1">
      <c r="A1783" s="2" t="s">
        <v>40</v>
      </c>
      <c r="B1783" s="2">
        <v>1980</v>
      </c>
      <c r="C1783" s="2" t="s">
        <v>34</v>
      </c>
      <c r="D1783" s="3">
        <f t="shared" si="208"/>
        <v>1.6E-2</v>
      </c>
      <c r="E1783" s="3">
        <f t="shared" si="209"/>
        <v>5.2999999999999999E-2</v>
      </c>
      <c r="F1783" s="3" t="e">
        <f t="shared" si="210"/>
        <v>#N/A</v>
      </c>
      <c r="G1783" s="3" t="e">
        <f t="shared" si="211"/>
        <v>#N/A</v>
      </c>
      <c r="H1783" s="3" t="e">
        <f t="shared" si="212"/>
        <v>#N/A</v>
      </c>
      <c r="I1783" s="3" t="e">
        <f t="shared" si="213"/>
        <v>#N/A</v>
      </c>
      <c r="J1783" s="2">
        <v>16</v>
      </c>
      <c r="K1783" s="2">
        <v>53</v>
      </c>
      <c r="P1783" s="3">
        <f>E1783*(VLOOKUP(B1783,Price_data!A$1:B$190,2,FALSE))</f>
        <v>0.13502237393300001</v>
      </c>
      <c r="Q1783" s="3" t="e">
        <f>G1783*(VLOOKUP(B1783,Price_data!A$1:B$190,2,FALSE))</f>
        <v>#N/A</v>
      </c>
      <c r="R1783" s="3" t="e">
        <f>I1783*(VLOOKUP(B1783,Price_data!A$1:B$190,2,FALSE))</f>
        <v>#N/A</v>
      </c>
      <c r="S1783" s="4" t="str">
        <f>(VLOOKUP(B1783,Price_data!A$1:C$190,3,FALSE))</f>
        <v>EEZ</v>
      </c>
      <c r="T1783" s="2" t="str">
        <f>IF(C1783="Total", (VLOOKUP(B1783,Recommended_fish_intake!A$4:D$122,4,FALSE)), "NA")</f>
        <v>NA</v>
      </c>
      <c r="U1783" s="2" t="str">
        <f t="shared" si="207"/>
        <v>NA</v>
      </c>
    </row>
    <row r="1784" spans="1:21" ht="14.25" customHeight="1">
      <c r="A1784" s="2" t="s">
        <v>40</v>
      </c>
      <c r="B1784" s="2">
        <v>1980</v>
      </c>
      <c r="C1784" s="2" t="s">
        <v>35</v>
      </c>
      <c r="D1784" s="3">
        <f t="shared" si="208"/>
        <v>0.84799999999999998</v>
      </c>
      <c r="E1784" s="3">
        <f t="shared" si="209"/>
        <v>1.83</v>
      </c>
      <c r="F1784" s="3" t="e">
        <f t="shared" si="210"/>
        <v>#N/A</v>
      </c>
      <c r="G1784" s="3" t="e">
        <f t="shared" si="211"/>
        <v>#N/A</v>
      </c>
      <c r="H1784" s="3" t="e">
        <f t="shared" si="212"/>
        <v>#N/A</v>
      </c>
      <c r="I1784" s="3" t="e">
        <f t="shared" si="213"/>
        <v>#N/A</v>
      </c>
      <c r="J1784" s="2">
        <v>848</v>
      </c>
      <c r="K1784" s="2">
        <v>1830</v>
      </c>
      <c r="P1784" s="3">
        <f>E1784*(VLOOKUP(B1784,Price_data!A$1:B$190,2,FALSE))</f>
        <v>4.6620932886300004</v>
      </c>
      <c r="Q1784" s="3" t="e">
        <f>G1784*(VLOOKUP(B1784,Price_data!A$1:B$190,2,FALSE))</f>
        <v>#N/A</v>
      </c>
      <c r="R1784" s="3" t="e">
        <f>I1784*(VLOOKUP(B1784,Price_data!A$1:B$190,2,FALSE))</f>
        <v>#N/A</v>
      </c>
      <c r="S1784" s="4" t="str">
        <f>(VLOOKUP(B1784,Price_data!A$1:C$190,3,FALSE))</f>
        <v>EEZ</v>
      </c>
      <c r="T1784" s="2" t="str">
        <f>IF(C1784="Total", (VLOOKUP(B1784,Recommended_fish_intake!A$4:D$122,4,FALSE)), "NA")</f>
        <v>NA</v>
      </c>
      <c r="U1784" s="2" t="str">
        <f t="shared" si="207"/>
        <v>NA</v>
      </c>
    </row>
    <row r="1785" spans="1:21" ht="14.25" customHeight="1">
      <c r="A1785" s="2" t="s">
        <v>40</v>
      </c>
      <c r="B1785" s="2">
        <v>1980</v>
      </c>
      <c r="C1785" s="2" t="s">
        <v>30</v>
      </c>
      <c r="D1785" s="3">
        <f t="shared" si="208"/>
        <v>0</v>
      </c>
      <c r="E1785" s="3">
        <f t="shared" si="209"/>
        <v>0</v>
      </c>
      <c r="F1785" s="3" t="e">
        <f t="shared" si="210"/>
        <v>#N/A</v>
      </c>
      <c r="G1785" s="3" t="e">
        <f t="shared" si="211"/>
        <v>#N/A</v>
      </c>
      <c r="H1785" s="3" t="e">
        <f t="shared" si="212"/>
        <v>#N/A</v>
      </c>
      <c r="I1785" s="3" t="e">
        <f t="shared" si="213"/>
        <v>#N/A</v>
      </c>
      <c r="J1785" s="2">
        <v>0</v>
      </c>
      <c r="K1785" s="2">
        <v>0</v>
      </c>
      <c r="P1785" s="3">
        <f>E1785*(VLOOKUP(B1785,Price_data!A$1:B$190,2,FALSE))</f>
        <v>0</v>
      </c>
      <c r="Q1785" s="3" t="e">
        <f>G1785*(VLOOKUP(B1785,Price_data!A$1:B$190,2,FALSE))</f>
        <v>#N/A</v>
      </c>
      <c r="R1785" s="3" t="e">
        <f>I1785*(VLOOKUP(B1785,Price_data!A$1:B$190,2,FALSE))</f>
        <v>#N/A</v>
      </c>
      <c r="S1785" s="4" t="str">
        <f>(VLOOKUP(B1785,Price_data!A$1:C$190,3,FALSE))</f>
        <v>EEZ</v>
      </c>
      <c r="T1785" s="2" t="str">
        <f>IF(C1785="Total", (VLOOKUP(B1785,Recommended_fish_intake!A$4:D$122,4,FALSE)), "NA")</f>
        <v>NA</v>
      </c>
      <c r="U1785" s="2" t="str">
        <f t="shared" si="207"/>
        <v>NA</v>
      </c>
    </row>
    <row r="1786" spans="1:21" ht="14.25" customHeight="1">
      <c r="A1786" s="2" t="s">
        <v>40</v>
      </c>
      <c r="B1786" s="2">
        <v>1980</v>
      </c>
      <c r="C1786" s="2" t="s">
        <v>28</v>
      </c>
      <c r="D1786" s="3">
        <f t="shared" si="208"/>
        <v>1.349</v>
      </c>
      <c r="E1786" s="3">
        <f t="shared" si="209"/>
        <v>1.9790000000000001</v>
      </c>
      <c r="F1786" s="3" t="e">
        <f t="shared" si="210"/>
        <v>#N/A</v>
      </c>
      <c r="G1786" s="3" t="e">
        <f t="shared" si="211"/>
        <v>#N/A</v>
      </c>
      <c r="H1786" s="3" t="e">
        <f t="shared" si="212"/>
        <v>#N/A</v>
      </c>
      <c r="I1786" s="3" t="e">
        <f t="shared" si="213"/>
        <v>#N/A</v>
      </c>
      <c r="J1786" s="2">
        <v>1349</v>
      </c>
      <c r="K1786" s="2">
        <v>1979</v>
      </c>
      <c r="P1786" s="3">
        <f>E1786*(VLOOKUP(B1786,Price_data!A$1:B$190,2,FALSE))</f>
        <v>5.0416844908190006</v>
      </c>
      <c r="Q1786" s="3" t="e">
        <f>G1786*(VLOOKUP(B1786,Price_data!A$1:B$190,2,FALSE))</f>
        <v>#N/A</v>
      </c>
      <c r="R1786" s="3" t="e">
        <f>I1786*(VLOOKUP(B1786,Price_data!A$1:B$190,2,FALSE))</f>
        <v>#N/A</v>
      </c>
      <c r="S1786" s="4" t="str">
        <f>(VLOOKUP(B1786,Price_data!A$1:C$190,3,FALSE))</f>
        <v>EEZ</v>
      </c>
      <c r="T1786" s="2" t="str">
        <f>IF(C1786="Total", (VLOOKUP(B1786,Recommended_fish_intake!A$4:D$122,4,FALSE)), "NA")</f>
        <v>NA</v>
      </c>
      <c r="U1786" s="2">
        <f t="shared" si="207"/>
        <v>0.37772000000000006</v>
      </c>
    </row>
    <row r="1787" spans="1:21" ht="14.25" customHeight="1">
      <c r="A1787" s="2" t="s">
        <v>15</v>
      </c>
      <c r="B1787" s="2">
        <v>1980</v>
      </c>
      <c r="C1787" s="2" t="s">
        <v>22</v>
      </c>
      <c r="D1787" s="3">
        <f t="shared" si="208"/>
        <v>104.307</v>
      </c>
      <c r="E1787" s="3">
        <f t="shared" si="209"/>
        <v>58.337000000000003</v>
      </c>
      <c r="F1787" s="3" t="e">
        <f t="shared" si="210"/>
        <v>#N/A</v>
      </c>
      <c r="G1787" s="3" t="e">
        <f t="shared" si="211"/>
        <v>#N/A</v>
      </c>
      <c r="H1787" s="3">
        <f t="shared" si="212"/>
        <v>123.03</v>
      </c>
      <c r="I1787" s="3">
        <f t="shared" si="213"/>
        <v>94.876000000000005</v>
      </c>
      <c r="J1787" s="2">
        <v>104307</v>
      </c>
      <c r="K1787" s="2">
        <v>58337</v>
      </c>
      <c r="N1787" s="2">
        <f>56450+56810+8818+952</f>
        <v>123030</v>
      </c>
      <c r="O1787" s="2">
        <f>26787+62127+4938+1024</f>
        <v>94876</v>
      </c>
      <c r="P1787" s="3">
        <f>E1787*(VLOOKUP(B1787,Price_data!A$1:B$190,2,FALSE))</f>
        <v>148.61887222885701</v>
      </c>
      <c r="Q1787" s="3" t="e">
        <f>G1787*(VLOOKUP(B1787,Price_data!A$1:B$190,2,FALSE))</f>
        <v>#N/A</v>
      </c>
      <c r="R1787" s="3">
        <f>I1787*(VLOOKUP(B1787,Price_data!A$1:B$190,2,FALSE))</f>
        <v>241.70533489183603</v>
      </c>
      <c r="S1787" s="4" t="str">
        <f>(VLOOKUP(B1787,Price_data!A$1:C$190,3,FALSE))</f>
        <v>EEZ</v>
      </c>
      <c r="T1787" s="2" t="str">
        <f>IF(C1787="Total", (VLOOKUP(B1787,Recommended_fish_intake!A$4:D$122,4,FALSE)), "NA")</f>
        <v>NA</v>
      </c>
      <c r="U1787" s="2" t="str">
        <f t="shared" si="207"/>
        <v>NA</v>
      </c>
    </row>
    <row r="1788" spans="1:21" ht="14.25" customHeight="1">
      <c r="A1788" s="2" t="s">
        <v>15</v>
      </c>
      <c r="B1788" s="2">
        <v>1980</v>
      </c>
      <c r="C1788" s="2" t="s">
        <v>23</v>
      </c>
      <c r="D1788" s="3">
        <f t="shared" si="208"/>
        <v>84.801000000000002</v>
      </c>
      <c r="E1788" s="3">
        <f t="shared" si="209"/>
        <v>34.081000000000003</v>
      </c>
      <c r="F1788" s="3" t="e">
        <f t="shared" si="210"/>
        <v>#N/A</v>
      </c>
      <c r="G1788" s="3" t="e">
        <f t="shared" si="211"/>
        <v>#N/A</v>
      </c>
      <c r="H1788" s="3">
        <f t="shared" si="212"/>
        <v>21.335000000000001</v>
      </c>
      <c r="I1788" s="3">
        <f t="shared" si="213"/>
        <v>16.388999999999999</v>
      </c>
      <c r="J1788" s="2">
        <v>84801</v>
      </c>
      <c r="K1788" s="2">
        <v>34081</v>
      </c>
      <c r="N1788" s="2">
        <f>11236+8922+1177</f>
        <v>21335</v>
      </c>
      <c r="O1788" s="2">
        <f>5376+10389+624</f>
        <v>16389</v>
      </c>
      <c r="P1788" s="3">
        <f>E1788*(VLOOKUP(B1788,Price_data!A$1:B$190,2,FALSE))</f>
        <v>86.82448162284102</v>
      </c>
      <c r="Q1788" s="3" t="e">
        <f>G1788*(VLOOKUP(B1788,Price_data!A$1:B$190,2,FALSE))</f>
        <v>#N/A</v>
      </c>
      <c r="R1788" s="3">
        <f>I1788*(VLOOKUP(B1788,Price_data!A$1:B$190,2,FALSE))</f>
        <v>41.752484648829004</v>
      </c>
      <c r="S1788" s="4" t="str">
        <f>(VLOOKUP(B1788,Price_data!A$1:C$190,3,FALSE))</f>
        <v>EEZ</v>
      </c>
      <c r="T1788" s="2" t="str">
        <f>IF(C1788="Total", (VLOOKUP(B1788,Recommended_fish_intake!A$4:D$122,4,FALSE)), "NA")</f>
        <v>NA</v>
      </c>
      <c r="U1788" s="2" t="str">
        <f t="shared" si="207"/>
        <v>NA</v>
      </c>
    </row>
    <row r="1789" spans="1:21" ht="14.25" customHeight="1">
      <c r="A1789" s="2" t="s">
        <v>15</v>
      </c>
      <c r="B1789" s="2">
        <v>1980</v>
      </c>
      <c r="C1789" s="2" t="s">
        <v>25</v>
      </c>
      <c r="D1789" s="3">
        <f t="shared" si="208"/>
        <v>26.202000000000002</v>
      </c>
      <c r="E1789" s="3">
        <f t="shared" si="209"/>
        <v>12.974</v>
      </c>
      <c r="F1789" s="3" t="e">
        <f t="shared" si="210"/>
        <v>#N/A</v>
      </c>
      <c r="G1789" s="3" t="e">
        <f t="shared" si="211"/>
        <v>#N/A</v>
      </c>
      <c r="H1789" s="3">
        <f t="shared" si="212"/>
        <v>25.283000000000001</v>
      </c>
      <c r="I1789" s="3">
        <f t="shared" si="213"/>
        <v>15.090999999999999</v>
      </c>
      <c r="J1789" s="2">
        <v>26202</v>
      </c>
      <c r="K1789" s="2">
        <v>12974</v>
      </c>
      <c r="N1789" s="2">
        <f>22944+1615+724</f>
        <v>25283</v>
      </c>
      <c r="O1789" s="2">
        <f>12199+2506+386</f>
        <v>15091</v>
      </c>
      <c r="P1789" s="3">
        <f>E1789*(VLOOKUP(B1789,Price_data!A$1:B$190,2,FALSE))</f>
        <v>33.052458102014</v>
      </c>
      <c r="Q1789" s="3" t="e">
        <f>G1789*(VLOOKUP(B1789,Price_data!A$1:B$190,2,FALSE))</f>
        <v>#N/A</v>
      </c>
      <c r="R1789" s="3">
        <f>I1789*(VLOOKUP(B1789,Price_data!A$1:B$190,2,FALSE))</f>
        <v>38.445710283451</v>
      </c>
      <c r="S1789" s="4" t="str">
        <f>(VLOOKUP(B1789,Price_data!A$1:C$190,3,FALSE))</f>
        <v>EEZ</v>
      </c>
      <c r="T1789" s="2" t="str">
        <f>IF(C1789="Total", (VLOOKUP(B1789,Recommended_fish_intake!A$4:D$122,4,FALSE)), "NA")</f>
        <v>NA</v>
      </c>
      <c r="U1789" s="2" t="str">
        <f t="shared" si="207"/>
        <v>NA</v>
      </c>
    </row>
    <row r="1790" spans="1:21" ht="14.25" customHeight="1">
      <c r="A1790" s="2" t="s">
        <v>15</v>
      </c>
      <c r="B1790" s="2">
        <v>1980</v>
      </c>
      <c r="C1790" s="2" t="s">
        <v>38</v>
      </c>
      <c r="D1790" s="3">
        <f t="shared" si="208"/>
        <v>14.762</v>
      </c>
      <c r="E1790" s="3">
        <f t="shared" si="209"/>
        <v>4.6029999999999998</v>
      </c>
      <c r="F1790" s="3" t="e">
        <f t="shared" si="210"/>
        <v>#N/A</v>
      </c>
      <c r="G1790" s="3" t="e">
        <f t="shared" si="211"/>
        <v>#N/A</v>
      </c>
      <c r="H1790" s="3">
        <f t="shared" si="212"/>
        <v>3.6669999999999998</v>
      </c>
      <c r="I1790" s="3">
        <f t="shared" si="213"/>
        <v>1.071</v>
      </c>
      <c r="J1790" s="2">
        <v>14762</v>
      </c>
      <c r="K1790" s="2">
        <v>4603</v>
      </c>
      <c r="N1790" s="2">
        <v>3667</v>
      </c>
      <c r="O1790" s="2">
        <v>1071</v>
      </c>
      <c r="P1790" s="3">
        <f>E1790*(VLOOKUP(B1790,Price_data!A$1:B$190,2,FALSE))</f>
        <v>11.726565796482999</v>
      </c>
      <c r="Q1790" s="3" t="e">
        <f>G1790*(VLOOKUP(B1790,Price_data!A$1:B$190,2,FALSE))</f>
        <v>#N/A</v>
      </c>
      <c r="R1790" s="3">
        <f>I1790*(VLOOKUP(B1790,Price_data!A$1:B$190,2,FALSE))</f>
        <v>2.728470990231</v>
      </c>
      <c r="S1790" s="4" t="str">
        <f>(VLOOKUP(B1790,Price_data!A$1:C$190,3,FALSE))</f>
        <v>EEZ</v>
      </c>
      <c r="T1790" s="2" t="str">
        <f>IF(C1790="Total", (VLOOKUP(B1790,Recommended_fish_intake!A$4:D$122,4,FALSE)), "NA")</f>
        <v>NA</v>
      </c>
      <c r="U1790" s="2" t="str">
        <f t="shared" si="207"/>
        <v>NA</v>
      </c>
    </row>
    <row r="1791" spans="1:21" ht="14.25" customHeight="1">
      <c r="A1791" s="2" t="s">
        <v>15</v>
      </c>
      <c r="B1791" s="2">
        <v>1980</v>
      </c>
      <c r="C1791" s="2" t="s">
        <v>24</v>
      </c>
      <c r="D1791" s="3">
        <f t="shared" si="208"/>
        <v>56.432000000000002</v>
      </c>
      <c r="E1791" s="3">
        <f t="shared" si="209"/>
        <v>16.498000000000001</v>
      </c>
      <c r="F1791" s="3" t="e">
        <f t="shared" si="210"/>
        <v>#N/A</v>
      </c>
      <c r="G1791" s="3" t="e">
        <f t="shared" si="211"/>
        <v>#N/A</v>
      </c>
      <c r="H1791" s="3" t="e">
        <f t="shared" si="212"/>
        <v>#N/A</v>
      </c>
      <c r="I1791" s="3" t="e">
        <f t="shared" si="213"/>
        <v>#N/A</v>
      </c>
      <c r="J1791" s="2">
        <v>56432</v>
      </c>
      <c r="K1791" s="2">
        <v>16498</v>
      </c>
      <c r="P1791" s="3">
        <f>E1791*(VLOOKUP(B1791,Price_data!A$1:B$190,2,FALSE))</f>
        <v>42.030172172578006</v>
      </c>
      <c r="Q1791" s="3" t="e">
        <f>G1791*(VLOOKUP(B1791,Price_data!A$1:B$190,2,FALSE))</f>
        <v>#N/A</v>
      </c>
      <c r="R1791" s="3" t="e">
        <f>I1791*(VLOOKUP(B1791,Price_data!A$1:B$190,2,FALSE))</f>
        <v>#N/A</v>
      </c>
      <c r="S1791" s="4" t="str">
        <f>(VLOOKUP(B1791,Price_data!A$1:C$190,3,FALSE))</f>
        <v>EEZ</v>
      </c>
      <c r="T1791" s="2" t="str">
        <f>IF(C1791="Total", (VLOOKUP(B1791,Recommended_fish_intake!A$4:D$122,4,FALSE)), "NA")</f>
        <v>NA</v>
      </c>
      <c r="U1791" s="2" t="str">
        <f t="shared" si="207"/>
        <v>NA</v>
      </c>
    </row>
    <row r="1792" spans="1:21" ht="14.25" customHeight="1">
      <c r="A1792" s="2" t="s">
        <v>15</v>
      </c>
      <c r="B1792" s="2">
        <v>1980</v>
      </c>
      <c r="C1792" s="2" t="s">
        <v>19</v>
      </c>
      <c r="D1792" s="3">
        <f t="shared" si="208"/>
        <v>5.5659999999999998</v>
      </c>
      <c r="E1792" s="3">
        <f t="shared" si="209"/>
        <v>1.8029999999999999</v>
      </c>
      <c r="F1792" s="3" t="e">
        <f t="shared" si="210"/>
        <v>#N/A</v>
      </c>
      <c r="G1792" s="3" t="e">
        <f t="shared" si="211"/>
        <v>#N/A</v>
      </c>
      <c r="H1792" s="3">
        <f t="shared" si="212"/>
        <v>17.692</v>
      </c>
      <c r="I1792" s="3">
        <f t="shared" si="213"/>
        <v>8.5660000000000007</v>
      </c>
      <c r="J1792" s="2">
        <v>5566</v>
      </c>
      <c r="K1792" s="2">
        <v>1803</v>
      </c>
      <c r="N1792" s="2">
        <f>6247+8780+1731+934</f>
        <v>17692</v>
      </c>
      <c r="O1792" s="2">
        <f>2035+4577+769+1185</f>
        <v>8566</v>
      </c>
      <c r="P1792" s="3">
        <f>E1792*(VLOOKUP(B1792,Price_data!A$1:B$190,2,FALSE))</f>
        <v>4.5933083056830002</v>
      </c>
      <c r="Q1792" s="3" t="e">
        <f>G1792*(VLOOKUP(B1792,Price_data!A$1:B$190,2,FALSE))</f>
        <v>#N/A</v>
      </c>
      <c r="R1792" s="3">
        <f>I1792*(VLOOKUP(B1792,Price_data!A$1:B$190,2,FALSE))</f>
        <v>21.822672737926002</v>
      </c>
      <c r="S1792" s="4" t="str">
        <f>(VLOOKUP(B1792,Price_data!A$1:C$190,3,FALSE))</f>
        <v>EEZ</v>
      </c>
      <c r="T1792" s="2" t="str">
        <f>IF(C1792="Total", (VLOOKUP(B1792,Recommended_fish_intake!A$4:D$122,4,FALSE)), "NA")</f>
        <v>NA</v>
      </c>
      <c r="U1792" s="2" t="str">
        <f t="shared" si="207"/>
        <v>NA</v>
      </c>
    </row>
    <row r="1793" spans="1:21" ht="14.25" customHeight="1">
      <c r="A1793" s="2" t="s">
        <v>15</v>
      </c>
      <c r="B1793" s="2">
        <v>1980</v>
      </c>
      <c r="C1793" s="2" t="s">
        <v>20</v>
      </c>
      <c r="D1793" s="3">
        <f t="shared" si="208"/>
        <v>253.1</v>
      </c>
      <c r="E1793" s="3">
        <f t="shared" si="209"/>
        <v>24.073</v>
      </c>
      <c r="F1793" s="3" t="e">
        <f t="shared" si="210"/>
        <v>#N/A</v>
      </c>
      <c r="G1793" s="3" t="e">
        <f t="shared" si="211"/>
        <v>#N/A</v>
      </c>
      <c r="H1793" s="3">
        <f t="shared" si="212"/>
        <v>2.2490000000000001</v>
      </c>
      <c r="I1793" s="3">
        <f t="shared" si="213"/>
        <v>1.768</v>
      </c>
      <c r="J1793" s="2">
        <v>253100</v>
      </c>
      <c r="K1793" s="2">
        <v>24073</v>
      </c>
      <c r="N1793" s="2">
        <v>2249</v>
      </c>
      <c r="O1793" s="2">
        <v>1768</v>
      </c>
      <c r="P1793" s="3">
        <f>E1793*(VLOOKUP(B1793,Price_data!A$1:B$190,2,FALSE))</f>
        <v>61.328181277153007</v>
      </c>
      <c r="Q1793" s="3" t="e">
        <f>G1793*(VLOOKUP(B1793,Price_data!A$1:B$190,2,FALSE))</f>
        <v>#N/A</v>
      </c>
      <c r="R1793" s="3">
        <f>I1793*(VLOOKUP(B1793,Price_data!A$1:B$190,2,FALSE))</f>
        <v>4.5041425870480003</v>
      </c>
      <c r="S1793" s="4" t="str">
        <f>(VLOOKUP(B1793,Price_data!A$1:C$190,3,FALSE))</f>
        <v>EEZ</v>
      </c>
      <c r="T1793" s="2" t="str">
        <f>IF(C1793="Total", (VLOOKUP(B1793,Recommended_fish_intake!A$4:D$122,4,FALSE)), "NA")</f>
        <v>NA</v>
      </c>
      <c r="U1793" s="2" t="str">
        <f t="shared" si="207"/>
        <v>NA</v>
      </c>
    </row>
    <row r="1794" spans="1:21" ht="14.25" customHeight="1">
      <c r="A1794" s="2" t="s">
        <v>15</v>
      </c>
      <c r="B1794" s="2">
        <v>1980</v>
      </c>
      <c r="C1794" s="2" t="s">
        <v>21</v>
      </c>
      <c r="D1794" s="3">
        <f t="shared" si="208"/>
        <v>24.109000000000002</v>
      </c>
      <c r="E1794" s="3">
        <f t="shared" si="209"/>
        <v>1.778</v>
      </c>
      <c r="F1794" s="3" t="e">
        <f t="shared" si="210"/>
        <v>#N/A</v>
      </c>
      <c r="G1794" s="3" t="e">
        <f t="shared" si="211"/>
        <v>#N/A</v>
      </c>
      <c r="H1794" s="3" t="e">
        <f t="shared" si="212"/>
        <v>#N/A</v>
      </c>
      <c r="I1794" s="3" t="e">
        <f t="shared" si="213"/>
        <v>#N/A</v>
      </c>
      <c r="J1794" s="2">
        <v>24109</v>
      </c>
      <c r="K1794" s="2">
        <v>1778</v>
      </c>
      <c r="P1794" s="3">
        <f>E1794*(VLOOKUP(B1794,Price_data!A$1:B$190,2,FALSE))</f>
        <v>4.5296185066580001</v>
      </c>
      <c r="Q1794" s="3" t="e">
        <f>G1794*(VLOOKUP(B1794,Price_data!A$1:B$190,2,FALSE))</f>
        <v>#N/A</v>
      </c>
      <c r="R1794" s="3" t="e">
        <f>I1794*(VLOOKUP(B1794,Price_data!A$1:B$190,2,FALSE))</f>
        <v>#N/A</v>
      </c>
      <c r="S1794" s="4" t="str">
        <f>(VLOOKUP(B1794,Price_data!A$1:C$190,3,FALSE))</f>
        <v>EEZ</v>
      </c>
      <c r="T1794" s="2" t="str">
        <f>IF(C1794="Total", (VLOOKUP(B1794,Recommended_fish_intake!A$4:D$122,4,FALSE)), "NA")</f>
        <v>NA</v>
      </c>
      <c r="U1794" s="2" t="str">
        <f t="shared" ref="U1794:U1857" si="214">IF(C1794="Wet fish", D1794*0.49, IF(C1794="Shellfish", D1794*0.28, "NA"))</f>
        <v>NA</v>
      </c>
    </row>
    <row r="1795" spans="1:21" ht="14.25" customHeight="1">
      <c r="A1795" s="2" t="s">
        <v>15</v>
      </c>
      <c r="B1795" s="2">
        <v>1980</v>
      </c>
      <c r="C1795" s="2" t="s">
        <v>37</v>
      </c>
      <c r="D1795" s="3">
        <f t="shared" si="208"/>
        <v>689.096</v>
      </c>
      <c r="E1795" s="3">
        <f t="shared" si="209"/>
        <v>187.49100000000001</v>
      </c>
      <c r="F1795" s="3">
        <f t="shared" si="210"/>
        <v>337.01</v>
      </c>
      <c r="G1795" s="3">
        <f t="shared" si="211"/>
        <v>104.621</v>
      </c>
      <c r="H1795" s="3">
        <f t="shared" si="212"/>
        <v>307.37400000000002</v>
      </c>
      <c r="I1795" s="3">
        <f t="shared" si="213"/>
        <v>277.29899999999998</v>
      </c>
      <c r="J1795" s="2">
        <v>689096</v>
      </c>
      <c r="K1795" s="2">
        <v>187491</v>
      </c>
      <c r="L1795" s="2">
        <v>337010</v>
      </c>
      <c r="M1795" s="2">
        <v>104621</v>
      </c>
      <c r="N1795" s="2">
        <v>307374</v>
      </c>
      <c r="O1795" s="2">
        <v>277299</v>
      </c>
      <c r="P1795" s="3">
        <f>E1795*(VLOOKUP(B1795,Price_data!A$1:B$190,2,FALSE))</f>
        <v>477.65056435985105</v>
      </c>
      <c r="Q1795" s="3">
        <f>G1795*(VLOOKUP(B1795,Price_data!A$1:B$190,2,FALSE))</f>
        <v>266.53161855178098</v>
      </c>
      <c r="R1795" s="3">
        <f>I1795*(VLOOKUP(B1795,Price_data!A$1:B$190,2,FALSE))</f>
        <v>706.44470319333902</v>
      </c>
      <c r="S1795" s="4" t="str">
        <f>(VLOOKUP(B1795,Price_data!A$1:C$190,3,FALSE))</f>
        <v>EEZ</v>
      </c>
      <c r="T1795" s="2" t="str">
        <f>IF(C1795="Total", (VLOOKUP(B1795,Recommended_fish_intake!A$4:D$122,4,FALSE)), "NA")</f>
        <v>NA</v>
      </c>
      <c r="U1795" s="2">
        <f t="shared" si="214"/>
        <v>337.65703999999999</v>
      </c>
    </row>
    <row r="1796" spans="1:21" ht="14.25" customHeight="1">
      <c r="A1796" s="2" t="s">
        <v>15</v>
      </c>
      <c r="B1796" s="2">
        <v>1980</v>
      </c>
      <c r="C1796" s="2" t="s">
        <v>36</v>
      </c>
      <c r="D1796" s="3">
        <f t="shared" si="208"/>
        <v>9.6829999999999998</v>
      </c>
      <c r="E1796" s="3">
        <f t="shared" si="209"/>
        <v>3.968</v>
      </c>
      <c r="F1796" s="3" t="e">
        <f t="shared" si="210"/>
        <v>#N/A</v>
      </c>
      <c r="G1796" s="3" t="e">
        <f t="shared" si="211"/>
        <v>#N/A</v>
      </c>
      <c r="H1796" s="3">
        <f t="shared" si="212"/>
        <v>1.7350000000000001</v>
      </c>
      <c r="I1796" s="3">
        <f t="shared" si="213"/>
        <v>4.7830000000000004</v>
      </c>
      <c r="J1796" s="2">
        <v>9683</v>
      </c>
      <c r="K1796" s="2">
        <v>3968</v>
      </c>
      <c r="N1796" s="2">
        <v>1735</v>
      </c>
      <c r="O1796" s="2">
        <v>4783</v>
      </c>
      <c r="P1796" s="3">
        <f>E1796*(VLOOKUP(B1796,Price_data!A$1:B$190,2,FALSE))</f>
        <v>10.108844901248</v>
      </c>
      <c r="Q1796" s="3" t="e">
        <f>G1796*(VLOOKUP(B1796,Price_data!A$1:B$190,2,FALSE))</f>
        <v>#N/A</v>
      </c>
      <c r="R1796" s="3">
        <f>I1796*(VLOOKUP(B1796,Price_data!A$1:B$190,2,FALSE))</f>
        <v>12.185132349463002</v>
      </c>
      <c r="S1796" s="4" t="str">
        <f>(VLOOKUP(B1796,Price_data!A$1:C$190,3,FALSE))</f>
        <v>EEZ</v>
      </c>
      <c r="T1796" s="2" t="str">
        <f>IF(C1796="Total", (VLOOKUP(B1796,Recommended_fish_intake!A$4:D$122,4,FALSE)), "NA")</f>
        <v>NA</v>
      </c>
      <c r="U1796" s="2" t="str">
        <f t="shared" si="214"/>
        <v>NA</v>
      </c>
    </row>
    <row r="1797" spans="1:21" ht="14.25" customHeight="1">
      <c r="A1797" s="2" t="s">
        <v>15</v>
      </c>
      <c r="B1797" s="2">
        <v>1980</v>
      </c>
      <c r="C1797" s="2" t="s">
        <v>52</v>
      </c>
      <c r="D1797" s="3">
        <f t="shared" si="208"/>
        <v>8.5830000000000002</v>
      </c>
      <c r="E1797" s="3">
        <f t="shared" si="209"/>
        <v>5.5369999999999999</v>
      </c>
      <c r="F1797" s="3" t="e">
        <f t="shared" si="210"/>
        <v>#N/A</v>
      </c>
      <c r="G1797" s="3" t="e">
        <f t="shared" si="211"/>
        <v>#N/A</v>
      </c>
      <c r="H1797" s="3" t="e">
        <f t="shared" si="212"/>
        <v>#N/A</v>
      </c>
      <c r="I1797" s="3" t="e">
        <f t="shared" si="213"/>
        <v>#N/A</v>
      </c>
      <c r="J1797" s="2">
        <v>8583</v>
      </c>
      <c r="K1797" s="2">
        <v>5537</v>
      </c>
      <c r="P1797" s="3">
        <f>E1797*(VLOOKUP(B1797,Price_data!A$1:B$190,2,FALSE))</f>
        <v>14.106016688057</v>
      </c>
      <c r="Q1797" s="3" t="e">
        <f>G1797*(VLOOKUP(B1797,Price_data!A$1:B$190,2,FALSE))</f>
        <v>#N/A</v>
      </c>
      <c r="R1797" s="3" t="e">
        <f>I1797*(VLOOKUP(B1797,Price_data!A$1:B$190,2,FALSE))</f>
        <v>#N/A</v>
      </c>
      <c r="S1797" s="4" t="str">
        <f>(VLOOKUP(B1797,Price_data!A$1:C$190,3,FALSE))</f>
        <v>EEZ</v>
      </c>
      <c r="T1797" s="2" t="str">
        <f>IF(C1797="Total", (VLOOKUP(B1797,Recommended_fish_intake!A$4:D$122,4,FALSE)), "NA")</f>
        <v>NA</v>
      </c>
      <c r="U1797" s="2" t="str">
        <f t="shared" si="214"/>
        <v>NA</v>
      </c>
    </row>
    <row r="1798" spans="1:21" ht="14.25" customHeight="1">
      <c r="A1798" s="2" t="s">
        <v>15</v>
      </c>
      <c r="B1798" s="2">
        <v>1980</v>
      </c>
      <c r="C1798" s="2" t="s">
        <v>34</v>
      </c>
      <c r="D1798" s="3">
        <f t="shared" si="208"/>
        <v>0.75600000000000001</v>
      </c>
      <c r="E1798" s="3">
        <f t="shared" si="209"/>
        <v>3.3479999999999999</v>
      </c>
      <c r="F1798" s="3" t="e">
        <f t="shared" si="210"/>
        <v>#N/A</v>
      </c>
      <c r="G1798" s="3" t="e">
        <f t="shared" si="211"/>
        <v>#N/A</v>
      </c>
      <c r="H1798" s="3" t="e">
        <f t="shared" si="212"/>
        <v>#N/A</v>
      </c>
      <c r="I1798" s="3" t="e">
        <f t="shared" si="213"/>
        <v>#N/A</v>
      </c>
      <c r="J1798" s="2">
        <v>756</v>
      </c>
      <c r="K1798" s="2">
        <v>3348</v>
      </c>
      <c r="P1798" s="3">
        <f>E1798*(VLOOKUP(B1798,Price_data!A$1:B$190,2,FALSE))</f>
        <v>8.5293378854280011</v>
      </c>
      <c r="Q1798" s="3" t="e">
        <f>G1798*(VLOOKUP(B1798,Price_data!A$1:B$190,2,FALSE))</f>
        <v>#N/A</v>
      </c>
      <c r="R1798" s="3" t="e">
        <f>I1798*(VLOOKUP(B1798,Price_data!A$1:B$190,2,FALSE))</f>
        <v>#N/A</v>
      </c>
      <c r="S1798" s="4" t="str">
        <f>(VLOOKUP(B1798,Price_data!A$1:C$190,3,FALSE))</f>
        <v>EEZ</v>
      </c>
      <c r="T1798" s="2" t="str">
        <f>IF(C1798="Total", (VLOOKUP(B1798,Recommended_fish_intake!A$4:D$122,4,FALSE)), "NA")</f>
        <v>NA</v>
      </c>
      <c r="U1798" s="2" t="str">
        <f t="shared" si="214"/>
        <v>NA</v>
      </c>
    </row>
    <row r="1799" spans="1:21" ht="14.25" customHeight="1">
      <c r="A1799" s="2" t="s">
        <v>15</v>
      </c>
      <c r="B1799" s="2">
        <v>1980</v>
      </c>
      <c r="C1799" s="2" t="s">
        <v>35</v>
      </c>
      <c r="D1799" s="3">
        <f t="shared" si="208"/>
        <v>12.952999999999999</v>
      </c>
      <c r="E1799" s="3">
        <f t="shared" si="209"/>
        <v>14.923999999999999</v>
      </c>
      <c r="F1799" s="3" t="e">
        <f t="shared" si="210"/>
        <v>#N/A</v>
      </c>
      <c r="G1799" s="3" t="e">
        <f t="shared" si="211"/>
        <v>#N/A</v>
      </c>
      <c r="H1799" s="3" t="e">
        <f t="shared" si="212"/>
        <v>#N/A</v>
      </c>
      <c r="I1799" s="3" t="e">
        <f t="shared" si="213"/>
        <v>#N/A</v>
      </c>
      <c r="J1799" s="2">
        <v>12953</v>
      </c>
      <c r="K1799" s="2">
        <v>14924</v>
      </c>
      <c r="P1799" s="3">
        <f>E1799*(VLOOKUP(B1799,Price_data!A$1:B$190,2,FALSE))</f>
        <v>38.020262425963999</v>
      </c>
      <c r="Q1799" s="3" t="e">
        <f>G1799*(VLOOKUP(B1799,Price_data!A$1:B$190,2,FALSE))</f>
        <v>#N/A</v>
      </c>
      <c r="R1799" s="3" t="e">
        <f>I1799*(VLOOKUP(B1799,Price_data!A$1:B$190,2,FALSE))</f>
        <v>#N/A</v>
      </c>
      <c r="S1799" s="4" t="str">
        <f>(VLOOKUP(B1799,Price_data!A$1:C$190,3,FALSE))</f>
        <v>EEZ</v>
      </c>
      <c r="T1799" s="2" t="str">
        <f>IF(C1799="Total", (VLOOKUP(B1799,Recommended_fish_intake!A$4:D$122,4,FALSE)), "NA")</f>
        <v>NA</v>
      </c>
      <c r="U1799" s="2" t="str">
        <f t="shared" si="214"/>
        <v>NA</v>
      </c>
    </row>
    <row r="1800" spans="1:21" ht="14.25" customHeight="1">
      <c r="A1800" s="2" t="s">
        <v>15</v>
      </c>
      <c r="B1800" s="2">
        <v>1980</v>
      </c>
      <c r="C1800" s="2" t="s">
        <v>30</v>
      </c>
      <c r="D1800" s="3">
        <f t="shared" si="208"/>
        <v>1.2490000000000001</v>
      </c>
      <c r="E1800" s="3">
        <f t="shared" si="209"/>
        <v>0.998</v>
      </c>
      <c r="F1800" s="3" t="e">
        <f t="shared" si="210"/>
        <v>#N/A</v>
      </c>
      <c r="G1800" s="3" t="e">
        <f t="shared" si="211"/>
        <v>#N/A</v>
      </c>
      <c r="H1800" s="3">
        <f t="shared" si="212"/>
        <v>15.608000000000001</v>
      </c>
      <c r="I1800" s="3">
        <f t="shared" si="213"/>
        <v>24.306999999999999</v>
      </c>
      <c r="J1800" s="2">
        <v>1249</v>
      </c>
      <c r="K1800" s="2">
        <v>998</v>
      </c>
      <c r="N1800" s="2">
        <f>8051+7557</f>
        <v>15608</v>
      </c>
      <c r="O1800" s="2">
        <f>8656+15651</f>
        <v>24307</v>
      </c>
      <c r="P1800" s="3">
        <f>E1800*(VLOOKUP(B1800,Price_data!A$1:B$190,2,FALSE))</f>
        <v>2.542496777078</v>
      </c>
      <c r="Q1800" s="3" t="e">
        <f>G1800*(VLOOKUP(B1800,Price_data!A$1:B$190,2,FALSE))</f>
        <v>#N/A</v>
      </c>
      <c r="R1800" s="3">
        <f>I1800*(VLOOKUP(B1800,Price_data!A$1:B$190,2,FALSE))</f>
        <v>61.924317796026997</v>
      </c>
      <c r="S1800" s="4" t="str">
        <f>(VLOOKUP(B1800,Price_data!A$1:C$190,3,FALSE))</f>
        <v>EEZ</v>
      </c>
      <c r="T1800" s="2" t="str">
        <f>IF(C1800="Total", (VLOOKUP(B1800,Recommended_fish_intake!A$4:D$122,4,FALSE)), "NA")</f>
        <v>NA</v>
      </c>
      <c r="U1800" s="2" t="str">
        <f t="shared" si="214"/>
        <v>NA</v>
      </c>
    </row>
    <row r="1801" spans="1:21" ht="14.25" customHeight="1">
      <c r="A1801" s="2" t="s">
        <v>15</v>
      </c>
      <c r="B1801" s="2">
        <v>1980</v>
      </c>
      <c r="C1801" s="2" t="s">
        <v>28</v>
      </c>
      <c r="D1801" s="3">
        <f t="shared" si="208"/>
        <v>69.977000000000004</v>
      </c>
      <c r="E1801" s="3">
        <f t="shared" si="209"/>
        <v>34.223999999999997</v>
      </c>
      <c r="F1801" s="3">
        <f t="shared" si="210"/>
        <v>29.809000000000001</v>
      </c>
      <c r="G1801" s="3">
        <f t="shared" si="211"/>
        <v>49.219000000000001</v>
      </c>
      <c r="H1801" s="3">
        <f t="shared" si="212"/>
        <v>33.527000000000001</v>
      </c>
      <c r="I1801" s="3">
        <f t="shared" si="213"/>
        <v>68.177999999999997</v>
      </c>
      <c r="J1801" s="2">
        <v>69977</v>
      </c>
      <c r="K1801" s="2">
        <v>34224</v>
      </c>
      <c r="L1801" s="2">
        <v>29809</v>
      </c>
      <c r="M1801" s="2">
        <v>49219</v>
      </c>
      <c r="N1801" s="2">
        <v>33527</v>
      </c>
      <c r="O1801" s="2">
        <v>68178</v>
      </c>
      <c r="P1801" s="3">
        <f>E1801*(VLOOKUP(B1801,Price_data!A$1:B$190,2,FALSE))</f>
        <v>87.188787273263998</v>
      </c>
      <c r="Q1801" s="3">
        <f>G1801*(VLOOKUP(B1801,Price_data!A$1:B$190,2,FALSE))</f>
        <v>125.38992872845901</v>
      </c>
      <c r="R1801" s="3">
        <f>I1801*(VLOOKUP(B1801,Price_data!A$1:B$190,2,FALSE))</f>
        <v>173.689724717058</v>
      </c>
      <c r="S1801" s="4" t="str">
        <f>(VLOOKUP(B1801,Price_data!A$1:C$190,3,FALSE))</f>
        <v>EEZ</v>
      </c>
      <c r="T1801" s="2" t="str">
        <f>IF(C1801="Total", (VLOOKUP(B1801,Recommended_fish_intake!A$4:D$122,4,FALSE)), "NA")</f>
        <v>NA</v>
      </c>
      <c r="U1801" s="2">
        <f t="shared" si="214"/>
        <v>19.593560000000004</v>
      </c>
    </row>
    <row r="1802" spans="1:21" ht="14.25" customHeight="1">
      <c r="A1802" s="2" t="s">
        <v>18</v>
      </c>
      <c r="B1802" s="2">
        <v>1980</v>
      </c>
      <c r="C1802" s="2" t="s">
        <v>16</v>
      </c>
      <c r="D1802" s="3">
        <f t="shared" si="208"/>
        <v>376.27800000000002</v>
      </c>
      <c r="E1802" s="3">
        <f t="shared" si="209"/>
        <v>103.495</v>
      </c>
      <c r="F1802" s="3" t="e">
        <f t="shared" si="210"/>
        <v>#N/A</v>
      </c>
      <c r="G1802" s="3" t="e">
        <f t="shared" si="211"/>
        <v>#N/A</v>
      </c>
      <c r="H1802" s="3" t="e">
        <f t="shared" si="212"/>
        <v>#N/A</v>
      </c>
      <c r="I1802" s="3" t="e">
        <f t="shared" si="213"/>
        <v>#N/A</v>
      </c>
      <c r="J1802" s="2">
        <v>376278</v>
      </c>
      <c r="K1802" s="2">
        <v>103495</v>
      </c>
      <c r="P1802" s="3">
        <f>E1802*(VLOOKUP(B1802,Price_data!A$1:B$190,2,FALSE))</f>
        <v>263.66303000369504</v>
      </c>
      <c r="Q1802" s="3" t="e">
        <f>G1802*(VLOOKUP(B1802,Price_data!A$1:B$190,2,FALSE))</f>
        <v>#N/A</v>
      </c>
      <c r="R1802" s="3" t="e">
        <f>I1802*(VLOOKUP(B1802,Price_data!A$1:B$190,2,FALSE))</f>
        <v>#N/A</v>
      </c>
      <c r="S1802" s="4" t="str">
        <f>(VLOOKUP(B1802,Price_data!A$1:C$190,3,FALSE))</f>
        <v>EEZ</v>
      </c>
      <c r="T1802" s="2">
        <f>IF(C1802="Total", (VLOOKUP(B1802,Recommended_fish_intake!A$4:D$122,4,FALSE)), "NA")</f>
        <v>736.07238273114001</v>
      </c>
      <c r="U1802" s="2" t="str">
        <f t="shared" si="214"/>
        <v>NA</v>
      </c>
    </row>
    <row r="1803" spans="1:21" ht="14.25" customHeight="1">
      <c r="A1803" s="2" t="s">
        <v>39</v>
      </c>
      <c r="B1803" s="2">
        <v>1980</v>
      </c>
      <c r="C1803" s="2" t="s">
        <v>16</v>
      </c>
      <c r="D1803" s="3">
        <f t="shared" si="208"/>
        <v>371.35500000000002</v>
      </c>
      <c r="E1803" s="3">
        <f t="shared" si="209"/>
        <v>113.598</v>
      </c>
      <c r="F1803" s="3" t="e">
        <f t="shared" si="210"/>
        <v>#N/A</v>
      </c>
      <c r="G1803" s="3" t="e">
        <f t="shared" si="211"/>
        <v>#N/A</v>
      </c>
      <c r="H1803" s="3" t="e">
        <f t="shared" si="212"/>
        <v>#N/A</v>
      </c>
      <c r="I1803" s="3" t="e">
        <f t="shared" si="213"/>
        <v>#N/A</v>
      </c>
      <c r="J1803" s="2">
        <v>371355</v>
      </c>
      <c r="K1803" s="2">
        <v>113598</v>
      </c>
      <c r="P1803" s="3">
        <f>E1803*(VLOOKUP(B1803,Price_data!A$1:B$190,2,FALSE))</f>
        <v>289.40135158567801</v>
      </c>
      <c r="Q1803" s="3" t="e">
        <f>G1803*(VLOOKUP(B1803,Price_data!A$1:B$190,2,FALSE))</f>
        <v>#N/A</v>
      </c>
      <c r="R1803" s="3" t="e">
        <f>I1803*(VLOOKUP(B1803,Price_data!A$1:B$190,2,FALSE))</f>
        <v>#N/A</v>
      </c>
      <c r="S1803" s="4" t="str">
        <f>(VLOOKUP(B1803,Price_data!A$1:C$190,3,FALSE))</f>
        <v>EEZ</v>
      </c>
      <c r="T1803" s="2">
        <f>IF(C1803="Total", (VLOOKUP(B1803,Recommended_fish_intake!A$4:D$122,4,FALSE)), "NA")</f>
        <v>736.07238273114001</v>
      </c>
      <c r="U1803" s="2" t="str">
        <f t="shared" si="214"/>
        <v>NA</v>
      </c>
    </row>
    <row r="1804" spans="1:21" ht="14.25" customHeight="1">
      <c r="A1804" s="2" t="s">
        <v>40</v>
      </c>
      <c r="B1804" s="2">
        <v>1980</v>
      </c>
      <c r="C1804" s="2" t="s">
        <v>16</v>
      </c>
      <c r="D1804" s="3">
        <f t="shared" si="208"/>
        <v>11.438000000000001</v>
      </c>
      <c r="E1804" s="3">
        <f t="shared" si="209"/>
        <v>4.6219999999999999</v>
      </c>
      <c r="F1804" s="3" t="e">
        <f t="shared" si="210"/>
        <v>#N/A</v>
      </c>
      <c r="G1804" s="3" t="e">
        <f t="shared" si="211"/>
        <v>#N/A</v>
      </c>
      <c r="H1804" s="3" t="e">
        <f t="shared" si="212"/>
        <v>#N/A</v>
      </c>
      <c r="I1804" s="3" t="e">
        <f t="shared" si="213"/>
        <v>#N/A</v>
      </c>
      <c r="J1804" s="2">
        <v>11438</v>
      </c>
      <c r="K1804" s="2">
        <v>4622</v>
      </c>
      <c r="P1804" s="3">
        <f>E1804*(VLOOKUP(B1804,Price_data!A$1:B$190,2,FALSE))</f>
        <v>11.774970043742</v>
      </c>
      <c r="Q1804" s="3" t="e">
        <f>G1804*(VLOOKUP(B1804,Price_data!A$1:B$190,2,FALSE))</f>
        <v>#N/A</v>
      </c>
      <c r="R1804" s="3" t="e">
        <f>I1804*(VLOOKUP(B1804,Price_data!A$1:B$190,2,FALSE))</f>
        <v>#N/A</v>
      </c>
      <c r="S1804" s="4" t="str">
        <f>(VLOOKUP(B1804,Price_data!A$1:C$190,3,FALSE))</f>
        <v>EEZ</v>
      </c>
      <c r="T1804" s="2">
        <f>IF(C1804="Total", (VLOOKUP(B1804,Recommended_fish_intake!A$4:D$122,4,FALSE)), "NA")</f>
        <v>736.07238273114001</v>
      </c>
      <c r="U1804" s="2" t="str">
        <f t="shared" si="214"/>
        <v>NA</v>
      </c>
    </row>
    <row r="1805" spans="1:21" ht="14.25" customHeight="1">
      <c r="A1805" s="2" t="s">
        <v>15</v>
      </c>
      <c r="B1805" s="2">
        <v>1980</v>
      </c>
      <c r="C1805" s="2" t="s">
        <v>16</v>
      </c>
      <c r="D1805" s="3">
        <f t="shared" si="208"/>
        <v>759.07100000000003</v>
      </c>
      <c r="E1805" s="3">
        <f t="shared" si="209"/>
        <v>221.715</v>
      </c>
      <c r="F1805" s="3">
        <f t="shared" si="210"/>
        <v>366.81900000000002</v>
      </c>
      <c r="G1805" s="3">
        <f t="shared" si="211"/>
        <v>163.84</v>
      </c>
      <c r="H1805" s="3">
        <f t="shared" si="212"/>
        <v>340.90100000000001</v>
      </c>
      <c r="I1805" s="3">
        <f t="shared" si="213"/>
        <v>345.47699999999998</v>
      </c>
      <c r="J1805" s="2">
        <v>759071</v>
      </c>
      <c r="K1805" s="2">
        <v>221715</v>
      </c>
      <c r="L1805" s="2">
        <v>366819</v>
      </c>
      <c r="M1805" s="2">
        <v>163840</v>
      </c>
      <c r="N1805" s="2">
        <v>340901</v>
      </c>
      <c r="O1805" s="2">
        <v>345477</v>
      </c>
      <c r="P1805" s="3">
        <f>E1805*(VLOOKUP(B1805,Price_data!A$1:B$190,2,FALSE))</f>
        <v>564.83935163311503</v>
      </c>
      <c r="Q1805" s="3">
        <f>G1805*(VLOOKUP(B1805,Price_data!A$1:B$190,2,FALSE))</f>
        <v>417.39746689024003</v>
      </c>
      <c r="R1805" s="3">
        <f>I1805*(VLOOKUP(B1805,Price_data!A$1:B$190,2,FALSE))</f>
        <v>880.13442791039699</v>
      </c>
      <c r="S1805" s="4" t="str">
        <f>(VLOOKUP(B1805,Price_data!A$1:C$190,3,FALSE))</f>
        <v>EEZ</v>
      </c>
      <c r="T1805" s="2">
        <f>IF(C1805="Total", (VLOOKUP(B1805,Recommended_fish_intake!A$4:D$122,4,FALSE)), "NA")</f>
        <v>736.07238273114001</v>
      </c>
      <c r="U1805" s="2" t="str">
        <f t="shared" si="214"/>
        <v>NA</v>
      </c>
    </row>
    <row r="1806" spans="1:21" ht="14.25" customHeight="1">
      <c r="A1806" s="2" t="s">
        <v>15</v>
      </c>
      <c r="B1806" s="2">
        <v>1980</v>
      </c>
      <c r="C1806" s="2" t="s">
        <v>29</v>
      </c>
      <c r="D1806" s="3" t="e">
        <f t="shared" si="208"/>
        <v>#N/A</v>
      </c>
      <c r="E1806" s="3" t="e">
        <f t="shared" si="209"/>
        <v>#N/A</v>
      </c>
      <c r="F1806" s="3" t="e">
        <f t="shared" si="210"/>
        <v>#N/A</v>
      </c>
      <c r="G1806" s="3" t="e">
        <f t="shared" si="211"/>
        <v>#N/A</v>
      </c>
      <c r="H1806" s="3">
        <f t="shared" si="212"/>
        <v>29.356999999999999</v>
      </c>
      <c r="I1806" s="3">
        <f t="shared" si="213"/>
        <v>67.472999999999999</v>
      </c>
      <c r="J1806" s="3" t="e">
        <v>#N/A</v>
      </c>
      <c r="K1806" s="3" t="e">
        <v>#N/A</v>
      </c>
      <c r="L1806" s="3" t="e">
        <v>#N/A</v>
      </c>
      <c r="M1806" s="3" t="e">
        <v>#N/A</v>
      </c>
      <c r="N1806" s="2">
        <f>301+4811+24245</f>
        <v>29357</v>
      </c>
      <c r="O1806" s="2">
        <f>1131+10962+55380</f>
        <v>67473</v>
      </c>
      <c r="P1806" s="3" t="e">
        <f>E1806*(VLOOKUP(B1806,Price_data!A$1:B$190,2,FALSE))</f>
        <v>#N/A</v>
      </c>
      <c r="Q1806" s="3" t="e">
        <f>G1806*(VLOOKUP(B1806,Price_data!A$1:B$190,2,FALSE))</f>
        <v>#N/A</v>
      </c>
      <c r="R1806" s="3">
        <f>I1806*(VLOOKUP(B1806,Price_data!A$1:B$190,2,FALSE))</f>
        <v>171.89367238455301</v>
      </c>
      <c r="S1806" s="4" t="str">
        <f>(VLOOKUP(B1806,Price_data!A$1:C$190,3,FALSE))</f>
        <v>EEZ</v>
      </c>
      <c r="T1806" s="2" t="str">
        <f>IF(C1806="Total", (VLOOKUP(B1806,Recommended_fish_intake!A$4:D$122,4,FALSE)), "NA")</f>
        <v>NA</v>
      </c>
      <c r="U1806" s="2" t="str">
        <f t="shared" si="214"/>
        <v>NA</v>
      </c>
    </row>
    <row r="1807" spans="1:21" ht="14.25" customHeight="1">
      <c r="A1807" s="2" t="s">
        <v>15</v>
      </c>
      <c r="B1807" s="2">
        <v>1980</v>
      </c>
      <c r="C1807" s="2" t="s">
        <v>43</v>
      </c>
      <c r="D1807" s="3" t="e">
        <f t="shared" si="208"/>
        <v>#N/A</v>
      </c>
      <c r="E1807" s="3" t="e">
        <f t="shared" si="209"/>
        <v>#N/A</v>
      </c>
      <c r="F1807" s="3" t="e">
        <f t="shared" si="210"/>
        <v>#N/A</v>
      </c>
      <c r="G1807" s="3" t="e">
        <f t="shared" si="211"/>
        <v>#N/A</v>
      </c>
      <c r="H1807" s="3">
        <f t="shared" si="212"/>
        <v>11.015000000000001</v>
      </c>
      <c r="I1807" s="3">
        <f t="shared" si="213"/>
        <v>17.760000000000002</v>
      </c>
      <c r="J1807" s="3" t="e">
        <v>#N/A</v>
      </c>
      <c r="K1807" s="3" t="e">
        <v>#N/A</v>
      </c>
      <c r="L1807" s="3" t="e">
        <v>#N/A</v>
      </c>
      <c r="M1807" s="3" t="e">
        <v>#N/A</v>
      </c>
      <c r="N1807" s="2">
        <v>11015</v>
      </c>
      <c r="O1807" s="2">
        <v>17760</v>
      </c>
      <c r="P1807" s="3" t="e">
        <f>E1807*(VLOOKUP(B1807,Price_data!A$1:B$190,2,FALSE))</f>
        <v>#N/A</v>
      </c>
      <c r="Q1807" s="3" t="e">
        <f>G1807*(VLOOKUP(B1807,Price_data!A$1:B$190,2,FALSE))</f>
        <v>#N/A</v>
      </c>
      <c r="R1807" s="3">
        <f>I1807*(VLOOKUP(B1807,Price_data!A$1:B$190,2,FALSE))</f>
        <v>45.245233227360011</v>
      </c>
      <c r="S1807" s="4" t="str">
        <f>(VLOOKUP(B1807,Price_data!A$1:C$190,3,FALSE))</f>
        <v>EEZ</v>
      </c>
      <c r="T1807" s="2" t="str">
        <f>IF(C1807="Total", (VLOOKUP(B1807,Recommended_fish_intake!A$4:D$122,4,FALSE)), "NA")</f>
        <v>NA</v>
      </c>
      <c r="U1807" s="2" t="str">
        <f t="shared" si="214"/>
        <v>NA</v>
      </c>
    </row>
    <row r="1808" spans="1:21" ht="14.25" customHeight="1">
      <c r="A1808" s="2" t="s">
        <v>18</v>
      </c>
      <c r="B1808" s="2">
        <v>1981</v>
      </c>
      <c r="C1808" s="2" t="s">
        <v>22</v>
      </c>
      <c r="D1808" s="3">
        <f t="shared" si="208"/>
        <v>58.859000000000002</v>
      </c>
      <c r="E1808" s="3">
        <f t="shared" si="209"/>
        <v>29.798999999999999</v>
      </c>
      <c r="F1808" s="3" t="e">
        <f t="shared" si="210"/>
        <v>#N/A</v>
      </c>
      <c r="G1808" s="3" t="e">
        <f t="shared" si="211"/>
        <v>#N/A</v>
      </c>
      <c r="H1808" s="3" t="e">
        <f t="shared" si="212"/>
        <v>#N/A</v>
      </c>
      <c r="I1808" s="3" t="e">
        <f t="shared" si="213"/>
        <v>#N/A</v>
      </c>
      <c r="J1808" s="2">
        <v>58859</v>
      </c>
      <c r="K1808" s="2">
        <v>29799</v>
      </c>
      <c r="P1808" s="3">
        <f>E1808*(VLOOKUP(B1808,Price_data!A$1:B$190,2,FALSE))</f>
        <v>67.860909164664008</v>
      </c>
      <c r="Q1808" s="3" t="e">
        <f>G1808*(VLOOKUP(B1808,Price_data!A$1:B$190,2,FALSE))</f>
        <v>#N/A</v>
      </c>
      <c r="R1808" s="3" t="e">
        <f>I1808*(VLOOKUP(B1808,Price_data!A$1:B$190,2,FALSE))</f>
        <v>#N/A</v>
      </c>
      <c r="S1808" s="4" t="str">
        <f>(VLOOKUP(B1808,Price_data!A$1:C$190,3,FALSE))</f>
        <v>EEZ</v>
      </c>
      <c r="T1808" s="2" t="str">
        <f>IF(C1808="Total", (VLOOKUP(B1808,Recommended_fish_intake!A$4:D$122,4,FALSE)), "NA")</f>
        <v>NA</v>
      </c>
      <c r="U1808" s="2" t="str">
        <f t="shared" si="214"/>
        <v>NA</v>
      </c>
    </row>
    <row r="1809" spans="1:21" ht="14.25" customHeight="1">
      <c r="A1809" s="2" t="s">
        <v>18</v>
      </c>
      <c r="B1809" s="2">
        <v>1981</v>
      </c>
      <c r="C1809" s="2" t="s">
        <v>23</v>
      </c>
      <c r="D1809" s="3">
        <f t="shared" si="208"/>
        <v>15.651</v>
      </c>
      <c r="E1809" s="3">
        <f t="shared" si="209"/>
        <v>6.069</v>
      </c>
      <c r="F1809" s="3" t="e">
        <f t="shared" si="210"/>
        <v>#N/A</v>
      </c>
      <c r="G1809" s="3" t="e">
        <f t="shared" si="211"/>
        <v>#N/A</v>
      </c>
      <c r="H1809" s="3" t="e">
        <f t="shared" si="212"/>
        <v>#N/A</v>
      </c>
      <c r="I1809" s="3" t="e">
        <f t="shared" si="213"/>
        <v>#N/A</v>
      </c>
      <c r="J1809" s="2">
        <v>15651</v>
      </c>
      <c r="K1809" s="2">
        <v>6069</v>
      </c>
      <c r="P1809" s="3">
        <f>E1809*(VLOOKUP(B1809,Price_data!A$1:B$190,2,FALSE))</f>
        <v>13.820861697384</v>
      </c>
      <c r="Q1809" s="3" t="e">
        <f>G1809*(VLOOKUP(B1809,Price_data!A$1:B$190,2,FALSE))</f>
        <v>#N/A</v>
      </c>
      <c r="R1809" s="3" t="e">
        <f>I1809*(VLOOKUP(B1809,Price_data!A$1:B$190,2,FALSE))</f>
        <v>#N/A</v>
      </c>
      <c r="S1809" s="4" t="str">
        <f>(VLOOKUP(B1809,Price_data!A$1:C$190,3,FALSE))</f>
        <v>EEZ</v>
      </c>
      <c r="T1809" s="2" t="str">
        <f>IF(C1809="Total", (VLOOKUP(B1809,Recommended_fish_intake!A$4:D$122,4,FALSE)), "NA")</f>
        <v>NA</v>
      </c>
      <c r="U1809" s="2" t="str">
        <f t="shared" si="214"/>
        <v>NA</v>
      </c>
    </row>
    <row r="1810" spans="1:21" ht="14.25" customHeight="1">
      <c r="A1810" s="2" t="s">
        <v>18</v>
      </c>
      <c r="B1810" s="2">
        <v>1981</v>
      </c>
      <c r="C1810" s="2" t="s">
        <v>25</v>
      </c>
      <c r="D1810" s="3">
        <f t="shared" si="208"/>
        <v>19.902000000000001</v>
      </c>
      <c r="E1810" s="3">
        <f t="shared" si="209"/>
        <v>10.289</v>
      </c>
      <c r="F1810" s="3" t="e">
        <f t="shared" si="210"/>
        <v>#N/A</v>
      </c>
      <c r="G1810" s="3" t="e">
        <f t="shared" si="211"/>
        <v>#N/A</v>
      </c>
      <c r="H1810" s="3" t="e">
        <f t="shared" si="212"/>
        <v>#N/A</v>
      </c>
      <c r="I1810" s="3" t="e">
        <f t="shared" si="213"/>
        <v>#N/A</v>
      </c>
      <c r="J1810" s="2">
        <v>19902</v>
      </c>
      <c r="K1810" s="2">
        <v>10289</v>
      </c>
      <c r="P1810" s="3">
        <f>E1810*(VLOOKUP(B1810,Price_data!A$1:B$190,2,FALSE))</f>
        <v>23.431017631304002</v>
      </c>
      <c r="Q1810" s="3" t="e">
        <f>G1810*(VLOOKUP(B1810,Price_data!A$1:B$190,2,FALSE))</f>
        <v>#N/A</v>
      </c>
      <c r="R1810" s="3" t="e">
        <f>I1810*(VLOOKUP(B1810,Price_data!A$1:B$190,2,FALSE))</f>
        <v>#N/A</v>
      </c>
      <c r="S1810" s="4" t="str">
        <f>(VLOOKUP(B1810,Price_data!A$1:C$190,3,FALSE))</f>
        <v>EEZ</v>
      </c>
      <c r="T1810" s="2" t="str">
        <f>IF(C1810="Total", (VLOOKUP(B1810,Recommended_fish_intake!A$4:D$122,4,FALSE)), "NA")</f>
        <v>NA</v>
      </c>
      <c r="U1810" s="2" t="str">
        <f t="shared" si="214"/>
        <v>NA</v>
      </c>
    </row>
    <row r="1811" spans="1:21" ht="14.25" customHeight="1">
      <c r="A1811" s="2" t="s">
        <v>18</v>
      </c>
      <c r="B1811" s="2">
        <v>1981</v>
      </c>
      <c r="C1811" s="2" t="s">
        <v>24</v>
      </c>
      <c r="D1811" s="3">
        <f t="shared" si="208"/>
        <v>7.3440000000000003</v>
      </c>
      <c r="E1811" s="3">
        <f t="shared" si="209"/>
        <v>1.778</v>
      </c>
      <c r="F1811" s="3" t="e">
        <f t="shared" si="210"/>
        <v>#N/A</v>
      </c>
      <c r="G1811" s="3" t="e">
        <f t="shared" si="211"/>
        <v>#N/A</v>
      </c>
      <c r="H1811" s="3" t="e">
        <f t="shared" si="212"/>
        <v>#N/A</v>
      </c>
      <c r="I1811" s="3" t="e">
        <f t="shared" si="213"/>
        <v>#N/A</v>
      </c>
      <c r="J1811" s="2">
        <v>7344</v>
      </c>
      <c r="K1811" s="2">
        <v>1778</v>
      </c>
      <c r="P1811" s="3">
        <f>E1811*(VLOOKUP(B1811,Price_data!A$1:B$190,2,FALSE))</f>
        <v>4.0490183058080005</v>
      </c>
      <c r="Q1811" s="3" t="e">
        <f>G1811*(VLOOKUP(B1811,Price_data!A$1:B$190,2,FALSE))</f>
        <v>#N/A</v>
      </c>
      <c r="R1811" s="3" t="e">
        <f>I1811*(VLOOKUP(B1811,Price_data!A$1:B$190,2,FALSE))</f>
        <v>#N/A</v>
      </c>
      <c r="S1811" s="4" t="str">
        <f>(VLOOKUP(B1811,Price_data!A$1:C$190,3,FALSE))</f>
        <v>EEZ</v>
      </c>
      <c r="T1811" s="2" t="str">
        <f>IF(C1811="Total", (VLOOKUP(B1811,Recommended_fish_intake!A$4:D$122,4,FALSE)), "NA")</f>
        <v>NA</v>
      </c>
      <c r="U1811" s="2" t="str">
        <f t="shared" si="214"/>
        <v>NA</v>
      </c>
    </row>
    <row r="1812" spans="1:21" ht="14.25" customHeight="1">
      <c r="A1812" s="2" t="s">
        <v>18</v>
      </c>
      <c r="B1812" s="2">
        <v>1981</v>
      </c>
      <c r="C1812" s="2" t="s">
        <v>19</v>
      </c>
      <c r="D1812" s="3">
        <f t="shared" si="208"/>
        <v>1.903</v>
      </c>
      <c r="E1812" s="3">
        <f t="shared" si="209"/>
        <v>0.30599999999999999</v>
      </c>
      <c r="F1812" s="3" t="e">
        <f t="shared" si="210"/>
        <v>#N/A</v>
      </c>
      <c r="G1812" s="3" t="e">
        <f t="shared" si="211"/>
        <v>#N/A</v>
      </c>
      <c r="H1812" s="3" t="e">
        <f t="shared" si="212"/>
        <v>#N/A</v>
      </c>
      <c r="I1812" s="3" t="e">
        <f t="shared" si="213"/>
        <v>#N/A</v>
      </c>
      <c r="J1812" s="2">
        <v>1903</v>
      </c>
      <c r="K1812" s="2">
        <v>306</v>
      </c>
      <c r="P1812" s="3">
        <f>E1812*(VLOOKUP(B1812,Price_data!A$1:B$190,2,FALSE))</f>
        <v>0.69685016961599999</v>
      </c>
      <c r="Q1812" s="3" t="e">
        <f>G1812*(VLOOKUP(B1812,Price_data!A$1:B$190,2,FALSE))</f>
        <v>#N/A</v>
      </c>
      <c r="R1812" s="3" t="e">
        <f>I1812*(VLOOKUP(B1812,Price_data!A$1:B$190,2,FALSE))</f>
        <v>#N/A</v>
      </c>
      <c r="S1812" s="4" t="str">
        <f>(VLOOKUP(B1812,Price_data!A$1:C$190,3,FALSE))</f>
        <v>EEZ</v>
      </c>
      <c r="T1812" s="2" t="str">
        <f>IF(C1812="Total", (VLOOKUP(B1812,Recommended_fish_intake!A$4:D$122,4,FALSE)), "NA")</f>
        <v>NA</v>
      </c>
      <c r="U1812" s="2" t="str">
        <f t="shared" si="214"/>
        <v>NA</v>
      </c>
    </row>
    <row r="1813" spans="1:21" ht="14.25" customHeight="1">
      <c r="A1813" s="2" t="s">
        <v>18</v>
      </c>
      <c r="B1813" s="2">
        <v>1981</v>
      </c>
      <c r="C1813" s="2" t="s">
        <v>20</v>
      </c>
      <c r="D1813" s="3">
        <f t="shared" si="208"/>
        <v>82.545000000000002</v>
      </c>
      <c r="E1813" s="3">
        <f t="shared" si="209"/>
        <v>8.4640000000000004</v>
      </c>
      <c r="F1813" s="3" t="e">
        <f t="shared" si="210"/>
        <v>#N/A</v>
      </c>
      <c r="G1813" s="3" t="e">
        <f t="shared" si="211"/>
        <v>#N/A</v>
      </c>
      <c r="H1813" s="3" t="e">
        <f t="shared" si="212"/>
        <v>#N/A</v>
      </c>
      <c r="I1813" s="3" t="e">
        <f t="shared" si="213"/>
        <v>#N/A</v>
      </c>
      <c r="J1813" s="2">
        <v>82545</v>
      </c>
      <c r="K1813" s="2">
        <v>8464</v>
      </c>
      <c r="P1813" s="3">
        <f>E1813*(VLOOKUP(B1813,Price_data!A$1:B$190,2,FALSE))</f>
        <v>19.274966783104002</v>
      </c>
      <c r="Q1813" s="3" t="e">
        <f>G1813*(VLOOKUP(B1813,Price_data!A$1:B$190,2,FALSE))</f>
        <v>#N/A</v>
      </c>
      <c r="R1813" s="3" t="e">
        <f>I1813*(VLOOKUP(B1813,Price_data!A$1:B$190,2,FALSE))</f>
        <v>#N/A</v>
      </c>
      <c r="S1813" s="4" t="str">
        <f>(VLOOKUP(B1813,Price_data!A$1:C$190,3,FALSE))</f>
        <v>EEZ</v>
      </c>
      <c r="T1813" s="2" t="str">
        <f>IF(C1813="Total", (VLOOKUP(B1813,Recommended_fish_intake!A$4:D$122,4,FALSE)), "NA")</f>
        <v>NA</v>
      </c>
      <c r="U1813" s="2" t="str">
        <f t="shared" si="214"/>
        <v>NA</v>
      </c>
    </row>
    <row r="1814" spans="1:21" ht="14.25" customHeight="1">
      <c r="A1814" s="2" t="s">
        <v>18</v>
      </c>
      <c r="B1814" s="2">
        <v>1981</v>
      </c>
      <c r="C1814" s="2" t="s">
        <v>21</v>
      </c>
      <c r="D1814" s="3">
        <f t="shared" si="208"/>
        <v>24.399000000000001</v>
      </c>
      <c r="E1814" s="3">
        <f t="shared" si="209"/>
        <v>1.48</v>
      </c>
      <c r="F1814" s="3" t="e">
        <f t="shared" si="210"/>
        <v>#N/A</v>
      </c>
      <c r="G1814" s="3" t="e">
        <f t="shared" si="211"/>
        <v>#N/A</v>
      </c>
      <c r="H1814" s="3" t="e">
        <f t="shared" si="212"/>
        <v>#N/A</v>
      </c>
      <c r="I1814" s="3" t="e">
        <f t="shared" si="213"/>
        <v>#N/A</v>
      </c>
      <c r="J1814" s="2">
        <v>24399</v>
      </c>
      <c r="K1814" s="2">
        <v>1480</v>
      </c>
      <c r="P1814" s="3">
        <f>E1814*(VLOOKUP(B1814,Price_data!A$1:B$190,2,FALSE))</f>
        <v>3.37038644128</v>
      </c>
      <c r="Q1814" s="3" t="e">
        <f>G1814*(VLOOKUP(B1814,Price_data!A$1:B$190,2,FALSE))</f>
        <v>#N/A</v>
      </c>
      <c r="R1814" s="3" t="e">
        <f>I1814*(VLOOKUP(B1814,Price_data!A$1:B$190,2,FALSE))</f>
        <v>#N/A</v>
      </c>
      <c r="S1814" s="4" t="str">
        <f>(VLOOKUP(B1814,Price_data!A$1:C$190,3,FALSE))</f>
        <v>EEZ</v>
      </c>
      <c r="T1814" s="2" t="str">
        <f>IF(C1814="Total", (VLOOKUP(B1814,Recommended_fish_intake!A$4:D$122,4,FALSE)), "NA")</f>
        <v>NA</v>
      </c>
      <c r="U1814" s="2" t="str">
        <f t="shared" si="214"/>
        <v>NA</v>
      </c>
    </row>
    <row r="1815" spans="1:21" ht="14.25" customHeight="1">
      <c r="A1815" s="2" t="s">
        <v>18</v>
      </c>
      <c r="B1815" s="2">
        <v>1981</v>
      </c>
      <c r="C1815" s="2" t="s">
        <v>37</v>
      </c>
      <c r="D1815" s="3">
        <f t="shared" si="208"/>
        <v>250.959</v>
      </c>
      <c r="E1815" s="3">
        <f t="shared" si="209"/>
        <v>81.748000000000005</v>
      </c>
      <c r="F1815" s="3" t="e">
        <f t="shared" si="210"/>
        <v>#N/A</v>
      </c>
      <c r="G1815" s="3" t="e">
        <f t="shared" si="211"/>
        <v>#N/A</v>
      </c>
      <c r="H1815" s="3" t="e">
        <f t="shared" si="212"/>
        <v>#N/A</v>
      </c>
      <c r="I1815" s="3" t="e">
        <f t="shared" si="213"/>
        <v>#N/A</v>
      </c>
      <c r="J1815" s="2">
        <v>250959</v>
      </c>
      <c r="K1815" s="2">
        <v>81748</v>
      </c>
      <c r="P1815" s="3">
        <f>E1815*(VLOOKUP(B1815,Price_data!A$1:B$190,2,FALSE))</f>
        <v>186.16375054172804</v>
      </c>
      <c r="Q1815" s="3" t="e">
        <f>G1815*(VLOOKUP(B1815,Price_data!A$1:B$190,2,FALSE))</f>
        <v>#N/A</v>
      </c>
      <c r="R1815" s="3" t="e">
        <f>I1815*(VLOOKUP(B1815,Price_data!A$1:B$190,2,FALSE))</f>
        <v>#N/A</v>
      </c>
      <c r="S1815" s="4" t="str">
        <f>(VLOOKUP(B1815,Price_data!A$1:C$190,3,FALSE))</f>
        <v>EEZ</v>
      </c>
      <c r="T1815" s="2" t="str">
        <f>IF(C1815="Total", (VLOOKUP(B1815,Recommended_fish_intake!A$4:D$122,4,FALSE)), "NA")</f>
        <v>NA</v>
      </c>
      <c r="U1815" s="2">
        <f t="shared" si="214"/>
        <v>122.96991</v>
      </c>
    </row>
    <row r="1816" spans="1:21" ht="14.25" customHeight="1">
      <c r="A1816" s="2" t="s">
        <v>18</v>
      </c>
      <c r="B1816" s="2">
        <v>1981</v>
      </c>
      <c r="C1816" s="2" t="s">
        <v>36</v>
      </c>
      <c r="D1816" s="3">
        <f t="shared" si="208"/>
        <v>7.1040000000000001</v>
      </c>
      <c r="E1816" s="3">
        <f t="shared" si="209"/>
        <v>3.51</v>
      </c>
      <c r="F1816" s="3" t="e">
        <f t="shared" si="210"/>
        <v>#N/A</v>
      </c>
      <c r="G1816" s="3" t="e">
        <f t="shared" si="211"/>
        <v>#N/A</v>
      </c>
      <c r="H1816" s="3" t="e">
        <f t="shared" si="212"/>
        <v>#N/A</v>
      </c>
      <c r="I1816" s="3" t="e">
        <f t="shared" si="213"/>
        <v>#N/A</v>
      </c>
      <c r="J1816" s="2">
        <v>7104</v>
      </c>
      <c r="K1816" s="2">
        <v>3510</v>
      </c>
      <c r="P1816" s="3">
        <f>E1816*(VLOOKUP(B1816,Price_data!A$1:B$190,2,FALSE))</f>
        <v>7.9932813573599999</v>
      </c>
      <c r="Q1816" s="3" t="e">
        <f>G1816*(VLOOKUP(B1816,Price_data!A$1:B$190,2,FALSE))</f>
        <v>#N/A</v>
      </c>
      <c r="R1816" s="3" t="e">
        <f>I1816*(VLOOKUP(B1816,Price_data!A$1:B$190,2,FALSE))</f>
        <v>#N/A</v>
      </c>
      <c r="S1816" s="4" t="str">
        <f>(VLOOKUP(B1816,Price_data!A$1:C$190,3,FALSE))</f>
        <v>EEZ</v>
      </c>
      <c r="T1816" s="2" t="str">
        <f>IF(C1816="Total", (VLOOKUP(B1816,Recommended_fish_intake!A$4:D$122,4,FALSE)), "NA")</f>
        <v>NA</v>
      </c>
      <c r="U1816" s="2" t="str">
        <f t="shared" si="214"/>
        <v>NA</v>
      </c>
    </row>
    <row r="1817" spans="1:21" ht="14.25" customHeight="1">
      <c r="A1817" s="2" t="s">
        <v>18</v>
      </c>
      <c r="B1817" s="2">
        <v>1981</v>
      </c>
      <c r="C1817" s="2" t="s">
        <v>34</v>
      </c>
      <c r="D1817" s="3">
        <f t="shared" si="208"/>
        <v>0.36099999999999999</v>
      </c>
      <c r="E1817" s="3">
        <f t="shared" si="209"/>
        <v>1.7130000000000001</v>
      </c>
      <c r="F1817" s="3" t="e">
        <f t="shared" si="210"/>
        <v>#N/A</v>
      </c>
      <c r="G1817" s="3" t="e">
        <f t="shared" si="211"/>
        <v>#N/A</v>
      </c>
      <c r="H1817" s="3" t="e">
        <f t="shared" si="212"/>
        <v>#N/A</v>
      </c>
      <c r="I1817" s="3" t="e">
        <f t="shared" si="213"/>
        <v>#N/A</v>
      </c>
      <c r="J1817" s="2">
        <v>361</v>
      </c>
      <c r="K1817" s="2">
        <v>1713</v>
      </c>
      <c r="P1817" s="3">
        <f>E1817*(VLOOKUP(B1817,Price_data!A$1:B$190,2,FALSE))</f>
        <v>3.9009945769680003</v>
      </c>
      <c r="Q1817" s="3" t="e">
        <f>G1817*(VLOOKUP(B1817,Price_data!A$1:B$190,2,FALSE))</f>
        <v>#N/A</v>
      </c>
      <c r="R1817" s="3" t="e">
        <f>I1817*(VLOOKUP(B1817,Price_data!A$1:B$190,2,FALSE))</f>
        <v>#N/A</v>
      </c>
      <c r="S1817" s="4" t="str">
        <f>(VLOOKUP(B1817,Price_data!A$1:C$190,3,FALSE))</f>
        <v>EEZ</v>
      </c>
      <c r="T1817" s="2" t="str">
        <f>IF(C1817="Total", (VLOOKUP(B1817,Recommended_fish_intake!A$4:D$122,4,FALSE)), "NA")</f>
        <v>NA</v>
      </c>
      <c r="U1817" s="2" t="str">
        <f t="shared" si="214"/>
        <v>NA</v>
      </c>
    </row>
    <row r="1818" spans="1:21" ht="14.25" customHeight="1">
      <c r="A1818" s="2" t="s">
        <v>18</v>
      </c>
      <c r="B1818" s="2">
        <v>1981</v>
      </c>
      <c r="C1818" s="2" t="s">
        <v>35</v>
      </c>
      <c r="D1818" s="3">
        <f t="shared" si="208"/>
        <v>1.8380000000000001</v>
      </c>
      <c r="E1818" s="3">
        <f t="shared" si="209"/>
        <v>1.6870000000000001</v>
      </c>
      <c r="F1818" s="3" t="e">
        <f t="shared" si="210"/>
        <v>#N/A</v>
      </c>
      <c r="G1818" s="3" t="e">
        <f t="shared" si="211"/>
        <v>#N/A</v>
      </c>
      <c r="H1818" s="3" t="e">
        <f t="shared" si="212"/>
        <v>#N/A</v>
      </c>
      <c r="I1818" s="3" t="e">
        <f t="shared" si="213"/>
        <v>#N/A</v>
      </c>
      <c r="J1818" s="2">
        <v>1838</v>
      </c>
      <c r="K1818" s="2">
        <v>1687</v>
      </c>
      <c r="P1818" s="3">
        <f>E1818*(VLOOKUP(B1818,Price_data!A$1:B$190,2,FALSE))</f>
        <v>3.8417850854320004</v>
      </c>
      <c r="Q1818" s="3" t="e">
        <f>G1818*(VLOOKUP(B1818,Price_data!A$1:B$190,2,FALSE))</f>
        <v>#N/A</v>
      </c>
      <c r="R1818" s="3" t="e">
        <f>I1818*(VLOOKUP(B1818,Price_data!A$1:B$190,2,FALSE))</f>
        <v>#N/A</v>
      </c>
      <c r="S1818" s="4" t="str">
        <f>(VLOOKUP(B1818,Price_data!A$1:C$190,3,FALSE))</f>
        <v>EEZ</v>
      </c>
      <c r="T1818" s="2" t="str">
        <f>IF(C1818="Total", (VLOOKUP(B1818,Recommended_fish_intake!A$4:D$122,4,FALSE)), "NA")</f>
        <v>NA</v>
      </c>
      <c r="U1818" s="2" t="str">
        <f t="shared" si="214"/>
        <v>NA</v>
      </c>
    </row>
    <row r="1819" spans="1:21" ht="14.25" customHeight="1">
      <c r="A1819" s="2" t="s">
        <v>18</v>
      </c>
      <c r="B1819" s="2">
        <v>1981</v>
      </c>
      <c r="C1819" s="2" t="s">
        <v>52</v>
      </c>
      <c r="D1819" s="3">
        <f t="shared" si="208"/>
        <v>3.0259999999999998</v>
      </c>
      <c r="E1819" s="3">
        <f t="shared" si="209"/>
        <v>2.06</v>
      </c>
      <c r="F1819" s="3" t="e">
        <f t="shared" si="210"/>
        <v>#N/A</v>
      </c>
      <c r="G1819" s="3" t="e">
        <f t="shared" si="211"/>
        <v>#N/A</v>
      </c>
      <c r="H1819" s="3" t="e">
        <f t="shared" si="212"/>
        <v>#N/A</v>
      </c>
      <c r="I1819" s="3" t="e">
        <f t="shared" si="213"/>
        <v>#N/A</v>
      </c>
      <c r="J1819" s="2">
        <v>3026</v>
      </c>
      <c r="K1819" s="2">
        <v>2060</v>
      </c>
      <c r="P1819" s="3">
        <f>E1819*(VLOOKUP(B1819,Price_data!A$1:B$190,2,FALSE))</f>
        <v>4.6912135601600005</v>
      </c>
      <c r="Q1819" s="3" t="e">
        <f>G1819*(VLOOKUP(B1819,Price_data!A$1:B$190,2,FALSE))</f>
        <v>#N/A</v>
      </c>
      <c r="R1819" s="3" t="e">
        <f>I1819*(VLOOKUP(B1819,Price_data!A$1:B$190,2,FALSE))</f>
        <v>#N/A</v>
      </c>
      <c r="S1819" s="4" t="str">
        <f>(VLOOKUP(B1819,Price_data!A$1:C$190,3,FALSE))</f>
        <v>EEZ</v>
      </c>
      <c r="T1819" s="2" t="str">
        <f>IF(C1819="Total", (VLOOKUP(B1819,Recommended_fish_intake!A$4:D$122,4,FALSE)), "NA")</f>
        <v>NA</v>
      </c>
      <c r="U1819" s="2" t="str">
        <f t="shared" si="214"/>
        <v>NA</v>
      </c>
    </row>
    <row r="1820" spans="1:21" ht="14.25" customHeight="1">
      <c r="A1820" s="2" t="s">
        <v>18</v>
      </c>
      <c r="B1820" s="2">
        <v>1981</v>
      </c>
      <c r="C1820" s="2" t="s">
        <v>30</v>
      </c>
      <c r="D1820" s="3">
        <f t="shared" si="208"/>
        <v>1.05</v>
      </c>
      <c r="E1820" s="3">
        <f t="shared" si="209"/>
        <v>0.76500000000000001</v>
      </c>
      <c r="F1820" s="3" t="e">
        <f t="shared" si="210"/>
        <v>#N/A</v>
      </c>
      <c r="G1820" s="3" t="e">
        <f t="shared" si="211"/>
        <v>#N/A</v>
      </c>
      <c r="H1820" s="3" t="e">
        <f t="shared" si="212"/>
        <v>#N/A</v>
      </c>
      <c r="I1820" s="3" t="e">
        <f t="shared" si="213"/>
        <v>#N/A</v>
      </c>
      <c r="J1820" s="2">
        <v>1050</v>
      </c>
      <c r="K1820" s="2">
        <v>765</v>
      </c>
      <c r="P1820" s="3">
        <f>E1820*(VLOOKUP(B1820,Price_data!A$1:B$190,2,FALSE))</f>
        <v>1.7421254240400001</v>
      </c>
      <c r="Q1820" s="3" t="e">
        <f>G1820*(VLOOKUP(B1820,Price_data!A$1:B$190,2,FALSE))</f>
        <v>#N/A</v>
      </c>
      <c r="R1820" s="3" t="e">
        <f>I1820*(VLOOKUP(B1820,Price_data!A$1:B$190,2,FALSE))</f>
        <v>#N/A</v>
      </c>
      <c r="S1820" s="4" t="str">
        <f>(VLOOKUP(B1820,Price_data!A$1:C$190,3,FALSE))</f>
        <v>EEZ</v>
      </c>
      <c r="T1820" s="2" t="str">
        <f>IF(C1820="Total", (VLOOKUP(B1820,Recommended_fish_intake!A$4:D$122,4,FALSE)), "NA")</f>
        <v>NA</v>
      </c>
      <c r="U1820" s="2" t="str">
        <f t="shared" si="214"/>
        <v>NA</v>
      </c>
    </row>
    <row r="1821" spans="1:21" ht="14.25" customHeight="1">
      <c r="A1821" s="2" t="s">
        <v>18</v>
      </c>
      <c r="B1821" s="2">
        <v>1981</v>
      </c>
      <c r="C1821" s="2" t="s">
        <v>28</v>
      </c>
      <c r="D1821" s="3">
        <f t="shared" si="208"/>
        <v>32.570999999999998</v>
      </c>
      <c r="E1821" s="3">
        <f t="shared" si="209"/>
        <v>13.321</v>
      </c>
      <c r="F1821" s="3" t="e">
        <f t="shared" si="210"/>
        <v>#N/A</v>
      </c>
      <c r="G1821" s="3" t="e">
        <f t="shared" si="211"/>
        <v>#N/A</v>
      </c>
      <c r="H1821" s="3" t="e">
        <f t="shared" si="212"/>
        <v>#N/A</v>
      </c>
      <c r="I1821" s="3" t="e">
        <f t="shared" si="213"/>
        <v>#N/A</v>
      </c>
      <c r="J1821" s="2">
        <v>32571</v>
      </c>
      <c r="K1821" s="2">
        <v>13321</v>
      </c>
      <c r="P1821" s="3">
        <f>E1821*(VLOOKUP(B1821,Price_data!A$1:B$190,2,FALSE))</f>
        <v>30.335755259656001</v>
      </c>
      <c r="Q1821" s="3" t="e">
        <f>G1821*(VLOOKUP(B1821,Price_data!A$1:B$190,2,FALSE))</f>
        <v>#N/A</v>
      </c>
      <c r="R1821" s="3" t="e">
        <f>I1821*(VLOOKUP(B1821,Price_data!A$1:B$190,2,FALSE))</f>
        <v>#N/A</v>
      </c>
      <c r="S1821" s="4" t="str">
        <f>(VLOOKUP(B1821,Price_data!A$1:C$190,3,FALSE))</f>
        <v>EEZ</v>
      </c>
      <c r="T1821" s="2" t="str">
        <f>IF(C1821="Total", (VLOOKUP(B1821,Recommended_fish_intake!A$4:D$122,4,FALSE)), "NA")</f>
        <v>NA</v>
      </c>
      <c r="U1821" s="2">
        <f t="shared" si="214"/>
        <v>9.1198800000000002</v>
      </c>
    </row>
    <row r="1822" spans="1:21" ht="14.25" customHeight="1">
      <c r="A1822" s="2" t="s">
        <v>39</v>
      </c>
      <c r="B1822" s="2">
        <v>1981</v>
      </c>
      <c r="C1822" s="2" t="s">
        <v>22</v>
      </c>
      <c r="D1822" s="3">
        <f t="shared" si="208"/>
        <v>54.067</v>
      </c>
      <c r="E1822" s="3">
        <f t="shared" si="209"/>
        <v>30.007000000000001</v>
      </c>
      <c r="F1822" s="3" t="e">
        <f t="shared" si="210"/>
        <v>#N/A</v>
      </c>
      <c r="G1822" s="3" t="e">
        <f t="shared" si="211"/>
        <v>#N/A</v>
      </c>
      <c r="H1822" s="3" t="e">
        <f t="shared" si="212"/>
        <v>#N/A</v>
      </c>
      <c r="I1822" s="3" t="e">
        <f t="shared" si="213"/>
        <v>#N/A</v>
      </c>
      <c r="J1822" s="2">
        <v>54067</v>
      </c>
      <c r="K1822" s="2">
        <v>30007</v>
      </c>
      <c r="P1822" s="3">
        <f>E1822*(VLOOKUP(B1822,Price_data!A$1:B$190,2,FALSE))</f>
        <v>68.334585096952011</v>
      </c>
      <c r="Q1822" s="3" t="e">
        <f>G1822*(VLOOKUP(B1822,Price_data!A$1:B$190,2,FALSE))</f>
        <v>#N/A</v>
      </c>
      <c r="R1822" s="3" t="e">
        <f>I1822*(VLOOKUP(B1822,Price_data!A$1:B$190,2,FALSE))</f>
        <v>#N/A</v>
      </c>
      <c r="S1822" s="4" t="str">
        <f>(VLOOKUP(B1822,Price_data!A$1:C$190,3,FALSE))</f>
        <v>EEZ</v>
      </c>
      <c r="T1822" s="2" t="str">
        <f>IF(C1822="Total", (VLOOKUP(B1822,Recommended_fish_intake!A$4:D$122,4,FALSE)), "NA")</f>
        <v>NA</v>
      </c>
      <c r="U1822" s="2" t="str">
        <f t="shared" si="214"/>
        <v>NA</v>
      </c>
    </row>
    <row r="1823" spans="1:21" ht="14.25" customHeight="1">
      <c r="A1823" s="2" t="s">
        <v>39</v>
      </c>
      <c r="B1823" s="2">
        <v>1981</v>
      </c>
      <c r="C1823" s="2" t="s">
        <v>23</v>
      </c>
      <c r="D1823" s="3">
        <f t="shared" si="208"/>
        <v>84.381</v>
      </c>
      <c r="E1823" s="3">
        <f t="shared" si="209"/>
        <v>32.048000000000002</v>
      </c>
      <c r="F1823" s="3" t="e">
        <f t="shared" si="210"/>
        <v>#N/A</v>
      </c>
      <c r="G1823" s="3" t="e">
        <f t="shared" si="211"/>
        <v>#N/A</v>
      </c>
      <c r="H1823" s="3" t="e">
        <f t="shared" si="212"/>
        <v>#N/A</v>
      </c>
      <c r="I1823" s="3" t="e">
        <f t="shared" si="213"/>
        <v>#N/A</v>
      </c>
      <c r="J1823" s="2">
        <v>84381</v>
      </c>
      <c r="K1823" s="2">
        <v>32048</v>
      </c>
      <c r="P1823" s="3">
        <f>E1823*(VLOOKUP(B1823,Price_data!A$1:B$190,2,FALSE))</f>
        <v>72.982530182528009</v>
      </c>
      <c r="Q1823" s="3" t="e">
        <f>G1823*(VLOOKUP(B1823,Price_data!A$1:B$190,2,FALSE))</f>
        <v>#N/A</v>
      </c>
      <c r="R1823" s="3" t="e">
        <f>I1823*(VLOOKUP(B1823,Price_data!A$1:B$190,2,FALSE))</f>
        <v>#N/A</v>
      </c>
      <c r="S1823" s="4" t="str">
        <f>(VLOOKUP(B1823,Price_data!A$1:C$190,3,FALSE))</f>
        <v>EEZ</v>
      </c>
      <c r="T1823" s="2" t="str">
        <f>IF(C1823="Total", (VLOOKUP(B1823,Recommended_fish_intake!A$4:D$122,4,FALSE)), "NA")</f>
        <v>NA</v>
      </c>
      <c r="U1823" s="2" t="str">
        <f t="shared" si="214"/>
        <v>NA</v>
      </c>
    </row>
    <row r="1824" spans="1:21" ht="14.25" customHeight="1">
      <c r="A1824" s="2" t="s">
        <v>39</v>
      </c>
      <c r="B1824" s="2">
        <v>1981</v>
      </c>
      <c r="C1824" s="2" t="s">
        <v>25</v>
      </c>
      <c r="D1824" s="3">
        <f t="shared" si="208"/>
        <v>5.2069999999999999</v>
      </c>
      <c r="E1824" s="3">
        <f t="shared" si="209"/>
        <v>2.4710000000000001</v>
      </c>
      <c r="F1824" s="3" t="e">
        <f t="shared" si="210"/>
        <v>#N/A</v>
      </c>
      <c r="G1824" s="3" t="e">
        <f t="shared" si="211"/>
        <v>#N/A</v>
      </c>
      <c r="H1824" s="3" t="e">
        <f t="shared" si="212"/>
        <v>#N/A</v>
      </c>
      <c r="I1824" s="3" t="e">
        <f t="shared" si="213"/>
        <v>#N/A</v>
      </c>
      <c r="J1824" s="2">
        <v>5207</v>
      </c>
      <c r="K1824" s="2">
        <v>2471</v>
      </c>
      <c r="P1824" s="3">
        <f>E1824*(VLOOKUP(B1824,Price_data!A$1:B$190,2,FALSE))</f>
        <v>5.6271789840560009</v>
      </c>
      <c r="Q1824" s="3" t="e">
        <f>G1824*(VLOOKUP(B1824,Price_data!A$1:B$190,2,FALSE))</f>
        <v>#N/A</v>
      </c>
      <c r="R1824" s="3" t="e">
        <f>I1824*(VLOOKUP(B1824,Price_data!A$1:B$190,2,FALSE))</f>
        <v>#N/A</v>
      </c>
      <c r="S1824" s="4" t="str">
        <f>(VLOOKUP(B1824,Price_data!A$1:C$190,3,FALSE))</f>
        <v>EEZ</v>
      </c>
      <c r="T1824" s="2" t="str">
        <f>IF(C1824="Total", (VLOOKUP(B1824,Recommended_fish_intake!A$4:D$122,4,FALSE)), "NA")</f>
        <v>NA</v>
      </c>
      <c r="U1824" s="2" t="str">
        <f t="shared" si="214"/>
        <v>NA</v>
      </c>
    </row>
    <row r="1825" spans="1:21" ht="14.25" customHeight="1">
      <c r="A1825" s="2" t="s">
        <v>39</v>
      </c>
      <c r="B1825" s="2">
        <v>1981</v>
      </c>
      <c r="C1825" s="2" t="s">
        <v>24</v>
      </c>
      <c r="D1825" s="3">
        <f t="shared" si="208"/>
        <v>35.558999999999997</v>
      </c>
      <c r="E1825" s="3">
        <f t="shared" si="209"/>
        <v>10.843</v>
      </c>
      <c r="F1825" s="3" t="e">
        <f t="shared" si="210"/>
        <v>#N/A</v>
      </c>
      <c r="G1825" s="3" t="e">
        <f t="shared" si="211"/>
        <v>#N/A</v>
      </c>
      <c r="H1825" s="3" t="e">
        <f t="shared" si="212"/>
        <v>#N/A</v>
      </c>
      <c r="I1825" s="3" t="e">
        <f t="shared" si="213"/>
        <v>#N/A</v>
      </c>
      <c r="J1825" s="2">
        <v>35559</v>
      </c>
      <c r="K1825" s="2">
        <v>10843</v>
      </c>
      <c r="P1825" s="3">
        <f>E1825*(VLOOKUP(B1825,Price_data!A$1:B$190,2,FALSE))</f>
        <v>24.692635258648</v>
      </c>
      <c r="Q1825" s="3" t="e">
        <f>G1825*(VLOOKUP(B1825,Price_data!A$1:B$190,2,FALSE))</f>
        <v>#N/A</v>
      </c>
      <c r="R1825" s="3" t="e">
        <f>I1825*(VLOOKUP(B1825,Price_data!A$1:B$190,2,FALSE))</f>
        <v>#N/A</v>
      </c>
      <c r="S1825" s="4" t="str">
        <f>(VLOOKUP(B1825,Price_data!A$1:C$190,3,FALSE))</f>
        <v>EEZ</v>
      </c>
      <c r="T1825" s="2" t="str">
        <f>IF(C1825="Total", (VLOOKUP(B1825,Recommended_fish_intake!A$4:D$122,4,FALSE)), "NA")</f>
        <v>NA</v>
      </c>
      <c r="U1825" s="2" t="str">
        <f t="shared" si="214"/>
        <v>NA</v>
      </c>
    </row>
    <row r="1826" spans="1:21" ht="14.25" customHeight="1">
      <c r="A1826" s="2" t="s">
        <v>39</v>
      </c>
      <c r="B1826" s="2">
        <v>1981</v>
      </c>
      <c r="C1826" s="2" t="s">
        <v>19</v>
      </c>
      <c r="D1826" s="3">
        <f t="shared" si="208"/>
        <v>32.595999999999997</v>
      </c>
      <c r="E1826" s="3">
        <f t="shared" si="209"/>
        <v>4.2389999999999999</v>
      </c>
      <c r="F1826" s="3" t="e">
        <f t="shared" si="210"/>
        <v>#N/A</v>
      </c>
      <c r="G1826" s="3" t="e">
        <f t="shared" si="211"/>
        <v>#N/A</v>
      </c>
      <c r="H1826" s="3" t="e">
        <f t="shared" si="212"/>
        <v>#N/A</v>
      </c>
      <c r="I1826" s="3" t="e">
        <f t="shared" si="213"/>
        <v>#N/A</v>
      </c>
      <c r="J1826" s="2">
        <v>32596</v>
      </c>
      <c r="K1826" s="2">
        <v>4239</v>
      </c>
      <c r="P1826" s="3">
        <f>E1826*(VLOOKUP(B1826,Price_data!A$1:B$190,2,FALSE))</f>
        <v>9.6534244085039997</v>
      </c>
      <c r="Q1826" s="3" t="e">
        <f>G1826*(VLOOKUP(B1826,Price_data!A$1:B$190,2,FALSE))</f>
        <v>#N/A</v>
      </c>
      <c r="R1826" s="3" t="e">
        <f>I1826*(VLOOKUP(B1826,Price_data!A$1:B$190,2,FALSE))</f>
        <v>#N/A</v>
      </c>
      <c r="S1826" s="4" t="str">
        <f>(VLOOKUP(B1826,Price_data!A$1:C$190,3,FALSE))</f>
        <v>EEZ</v>
      </c>
      <c r="T1826" s="2" t="str">
        <f>IF(C1826="Total", (VLOOKUP(B1826,Recommended_fish_intake!A$4:D$122,4,FALSE)), "NA")</f>
        <v>NA</v>
      </c>
      <c r="U1826" s="2" t="str">
        <f t="shared" si="214"/>
        <v>NA</v>
      </c>
    </row>
    <row r="1827" spans="1:21" ht="14.25" customHeight="1">
      <c r="A1827" s="2" t="s">
        <v>39</v>
      </c>
      <c r="B1827" s="2">
        <v>1981</v>
      </c>
      <c r="C1827" s="2" t="s">
        <v>20</v>
      </c>
      <c r="D1827" s="3">
        <f t="shared" si="208"/>
        <v>114.63200000000001</v>
      </c>
      <c r="E1827" s="3">
        <f t="shared" si="209"/>
        <v>10.97</v>
      </c>
      <c r="F1827" s="3" t="e">
        <f t="shared" si="210"/>
        <v>#N/A</v>
      </c>
      <c r="G1827" s="3" t="e">
        <f t="shared" si="211"/>
        <v>#N/A</v>
      </c>
      <c r="H1827" s="3" t="e">
        <f t="shared" si="212"/>
        <v>#N/A</v>
      </c>
      <c r="I1827" s="3" t="e">
        <f t="shared" si="213"/>
        <v>#N/A</v>
      </c>
      <c r="J1827" s="2">
        <v>114632</v>
      </c>
      <c r="K1827" s="2">
        <v>10970</v>
      </c>
      <c r="P1827" s="3">
        <f>E1827*(VLOOKUP(B1827,Price_data!A$1:B$190,2,FALSE))</f>
        <v>24.981850851920004</v>
      </c>
      <c r="Q1827" s="3" t="e">
        <f>G1827*(VLOOKUP(B1827,Price_data!A$1:B$190,2,FALSE))</f>
        <v>#N/A</v>
      </c>
      <c r="R1827" s="3" t="e">
        <f>I1827*(VLOOKUP(B1827,Price_data!A$1:B$190,2,FALSE))</f>
        <v>#N/A</v>
      </c>
      <c r="S1827" s="4" t="str">
        <f>(VLOOKUP(B1827,Price_data!A$1:C$190,3,FALSE))</f>
        <v>EEZ</v>
      </c>
      <c r="T1827" s="2" t="str">
        <f>IF(C1827="Total", (VLOOKUP(B1827,Recommended_fish_intake!A$4:D$122,4,FALSE)), "NA")</f>
        <v>NA</v>
      </c>
      <c r="U1827" s="2" t="str">
        <f t="shared" si="214"/>
        <v>NA</v>
      </c>
    </row>
    <row r="1828" spans="1:21" ht="14.25" customHeight="1">
      <c r="A1828" s="2" t="s">
        <v>39</v>
      </c>
      <c r="B1828" s="2">
        <v>1981</v>
      </c>
      <c r="C1828" s="2" t="s">
        <v>21</v>
      </c>
      <c r="D1828" s="3">
        <f t="shared" si="208"/>
        <v>3.2360000000000002</v>
      </c>
      <c r="E1828" s="3">
        <f t="shared" si="209"/>
        <v>0.23</v>
      </c>
      <c r="F1828" s="3" t="e">
        <f t="shared" si="210"/>
        <v>#N/A</v>
      </c>
      <c r="G1828" s="3" t="e">
        <f t="shared" si="211"/>
        <v>#N/A</v>
      </c>
      <c r="H1828" s="3" t="e">
        <f t="shared" si="212"/>
        <v>#N/A</v>
      </c>
      <c r="I1828" s="3" t="e">
        <f t="shared" si="213"/>
        <v>#N/A</v>
      </c>
      <c r="J1828" s="2">
        <v>3236</v>
      </c>
      <c r="K1828" s="2">
        <v>230</v>
      </c>
      <c r="P1828" s="3">
        <f>E1828*(VLOOKUP(B1828,Price_data!A$1:B$190,2,FALSE))</f>
        <v>0.52377627128000004</v>
      </c>
      <c r="Q1828" s="3" t="e">
        <f>G1828*(VLOOKUP(B1828,Price_data!A$1:B$190,2,FALSE))</f>
        <v>#N/A</v>
      </c>
      <c r="R1828" s="3" t="e">
        <f>I1828*(VLOOKUP(B1828,Price_data!A$1:B$190,2,FALSE))</f>
        <v>#N/A</v>
      </c>
      <c r="S1828" s="4" t="str">
        <f>(VLOOKUP(B1828,Price_data!A$1:C$190,3,FALSE))</f>
        <v>EEZ</v>
      </c>
      <c r="T1828" s="2" t="str">
        <f>IF(C1828="Total", (VLOOKUP(B1828,Recommended_fish_intake!A$4:D$122,4,FALSE)), "NA")</f>
        <v>NA</v>
      </c>
      <c r="U1828" s="2" t="str">
        <f t="shared" si="214"/>
        <v>NA</v>
      </c>
    </row>
    <row r="1829" spans="1:21" ht="14.25" customHeight="1">
      <c r="A1829" s="2" t="s">
        <v>39</v>
      </c>
      <c r="B1829" s="2">
        <v>1981</v>
      </c>
      <c r="C1829" s="2" t="s">
        <v>37</v>
      </c>
      <c r="D1829" s="3">
        <f t="shared" si="208"/>
        <v>413.67599999999999</v>
      </c>
      <c r="E1829" s="3">
        <f t="shared" si="209"/>
        <v>106.404</v>
      </c>
      <c r="F1829" s="3" t="e">
        <f t="shared" si="210"/>
        <v>#N/A</v>
      </c>
      <c r="G1829" s="3" t="e">
        <f t="shared" si="211"/>
        <v>#N/A</v>
      </c>
      <c r="H1829" s="3" t="e">
        <f t="shared" si="212"/>
        <v>#N/A</v>
      </c>
      <c r="I1829" s="3" t="e">
        <f t="shared" si="213"/>
        <v>#N/A</v>
      </c>
      <c r="J1829" s="2">
        <v>413676</v>
      </c>
      <c r="K1829" s="2">
        <v>106404</v>
      </c>
      <c r="P1829" s="3">
        <f>E1829*(VLOOKUP(B1829,Price_data!A$1:B$190,2,FALSE))</f>
        <v>242.31256682294401</v>
      </c>
      <c r="Q1829" s="3" t="e">
        <f>G1829*(VLOOKUP(B1829,Price_data!A$1:B$190,2,FALSE))</f>
        <v>#N/A</v>
      </c>
      <c r="R1829" s="3" t="e">
        <f>I1829*(VLOOKUP(B1829,Price_data!A$1:B$190,2,FALSE))</f>
        <v>#N/A</v>
      </c>
      <c r="S1829" s="4" t="str">
        <f>(VLOOKUP(B1829,Price_data!A$1:C$190,3,FALSE))</f>
        <v>EEZ</v>
      </c>
      <c r="T1829" s="2" t="str">
        <f>IF(C1829="Total", (VLOOKUP(B1829,Recommended_fish_intake!A$4:D$122,4,FALSE)), "NA")</f>
        <v>NA</v>
      </c>
      <c r="U1829" s="2">
        <f t="shared" si="214"/>
        <v>202.70123999999998</v>
      </c>
    </row>
    <row r="1830" spans="1:21" ht="14.25" customHeight="1">
      <c r="A1830" s="2" t="s">
        <v>39</v>
      </c>
      <c r="B1830" s="2">
        <v>1981</v>
      </c>
      <c r="C1830" s="2" t="s">
        <v>36</v>
      </c>
      <c r="D1830" s="3">
        <f t="shared" si="208"/>
        <v>2.637</v>
      </c>
      <c r="E1830" s="3">
        <f t="shared" si="209"/>
        <v>0.747</v>
      </c>
      <c r="F1830" s="3" t="e">
        <f t="shared" si="210"/>
        <v>#N/A</v>
      </c>
      <c r="G1830" s="3" t="e">
        <f t="shared" si="211"/>
        <v>#N/A</v>
      </c>
      <c r="H1830" s="3" t="e">
        <f t="shared" si="212"/>
        <v>#N/A</v>
      </c>
      <c r="I1830" s="3" t="e">
        <f t="shared" si="213"/>
        <v>#N/A</v>
      </c>
      <c r="J1830" s="2">
        <v>2637</v>
      </c>
      <c r="K1830" s="2">
        <v>747</v>
      </c>
      <c r="P1830" s="3">
        <f>E1830*(VLOOKUP(B1830,Price_data!A$1:B$190,2,FALSE))</f>
        <v>1.701134237592</v>
      </c>
      <c r="Q1830" s="3" t="e">
        <f>G1830*(VLOOKUP(B1830,Price_data!A$1:B$190,2,FALSE))</f>
        <v>#N/A</v>
      </c>
      <c r="R1830" s="3" t="e">
        <f>I1830*(VLOOKUP(B1830,Price_data!A$1:B$190,2,FALSE))</f>
        <v>#N/A</v>
      </c>
      <c r="S1830" s="4" t="str">
        <f>(VLOOKUP(B1830,Price_data!A$1:C$190,3,FALSE))</f>
        <v>EEZ</v>
      </c>
      <c r="T1830" s="2" t="str">
        <f>IF(C1830="Total", (VLOOKUP(B1830,Recommended_fish_intake!A$4:D$122,4,FALSE)), "NA")</f>
        <v>NA</v>
      </c>
      <c r="U1830" s="2" t="str">
        <f t="shared" si="214"/>
        <v>NA</v>
      </c>
    </row>
    <row r="1831" spans="1:21" ht="14.25" customHeight="1">
      <c r="A1831" s="2" t="s">
        <v>39</v>
      </c>
      <c r="B1831" s="2">
        <v>1981</v>
      </c>
      <c r="C1831" s="2" t="s">
        <v>34</v>
      </c>
      <c r="D1831" s="3">
        <f t="shared" si="208"/>
        <v>0.45300000000000001</v>
      </c>
      <c r="E1831" s="3">
        <f t="shared" si="209"/>
        <v>2.093</v>
      </c>
      <c r="F1831" s="3" t="e">
        <f t="shared" si="210"/>
        <v>#N/A</v>
      </c>
      <c r="G1831" s="3" t="e">
        <f t="shared" si="211"/>
        <v>#N/A</v>
      </c>
      <c r="H1831" s="3" t="e">
        <f t="shared" si="212"/>
        <v>#N/A</v>
      </c>
      <c r="I1831" s="3" t="e">
        <f t="shared" si="213"/>
        <v>#N/A</v>
      </c>
      <c r="J1831" s="2">
        <v>453</v>
      </c>
      <c r="K1831" s="2">
        <v>2093</v>
      </c>
      <c r="P1831" s="3">
        <f>E1831*(VLOOKUP(B1831,Price_data!A$1:B$190,2,FALSE))</f>
        <v>4.7663640686480004</v>
      </c>
      <c r="Q1831" s="3" t="e">
        <f>G1831*(VLOOKUP(B1831,Price_data!A$1:B$190,2,FALSE))</f>
        <v>#N/A</v>
      </c>
      <c r="R1831" s="3" t="e">
        <f>I1831*(VLOOKUP(B1831,Price_data!A$1:B$190,2,FALSE))</f>
        <v>#N/A</v>
      </c>
      <c r="S1831" s="4" t="str">
        <f>(VLOOKUP(B1831,Price_data!A$1:C$190,3,FALSE))</f>
        <v>EEZ</v>
      </c>
      <c r="T1831" s="2" t="str">
        <f>IF(C1831="Total", (VLOOKUP(B1831,Recommended_fish_intake!A$4:D$122,4,FALSE)), "NA")</f>
        <v>NA</v>
      </c>
      <c r="U1831" s="2" t="str">
        <f t="shared" si="214"/>
        <v>NA</v>
      </c>
    </row>
    <row r="1832" spans="1:21" ht="14.25" customHeight="1">
      <c r="A1832" s="2" t="s">
        <v>39</v>
      </c>
      <c r="B1832" s="2">
        <v>1981</v>
      </c>
      <c r="C1832" s="2" t="s">
        <v>35</v>
      </c>
      <c r="D1832" s="3">
        <f t="shared" ref="D1832:D1895" si="215">J1832/1000</f>
        <v>12.561</v>
      </c>
      <c r="E1832" s="3">
        <f t="shared" ref="E1832:E1895" si="216">K1832/1000</f>
        <v>12.425000000000001</v>
      </c>
      <c r="F1832" s="3" t="e">
        <f t="shared" ref="F1832:F1895" si="217">IF(L1832="", NA(), L1832/1000)</f>
        <v>#N/A</v>
      </c>
      <c r="G1832" s="3" t="e">
        <f t="shared" ref="G1832:G1895" si="218">IF(M1832="", NA(), M1832/1000)</f>
        <v>#N/A</v>
      </c>
      <c r="H1832" s="3" t="e">
        <f t="shared" ref="H1832:H1895" si="219">IF(N1832="", NA(), N1832/1000)</f>
        <v>#N/A</v>
      </c>
      <c r="I1832" s="3" t="e">
        <f t="shared" ref="I1832:I1895" si="220">IF(O1832="", NA(), O1832/1000)</f>
        <v>#N/A</v>
      </c>
      <c r="J1832" s="2">
        <v>12561</v>
      </c>
      <c r="K1832" s="2">
        <v>12425</v>
      </c>
      <c r="P1832" s="3">
        <f>E1832*(VLOOKUP(B1832,Price_data!A$1:B$190,2,FALSE))</f>
        <v>28.295305089800003</v>
      </c>
      <c r="Q1832" s="3" t="e">
        <f>G1832*(VLOOKUP(B1832,Price_data!A$1:B$190,2,FALSE))</f>
        <v>#N/A</v>
      </c>
      <c r="R1832" s="3" t="e">
        <f>I1832*(VLOOKUP(B1832,Price_data!A$1:B$190,2,FALSE))</f>
        <v>#N/A</v>
      </c>
      <c r="S1832" s="4" t="str">
        <f>(VLOOKUP(B1832,Price_data!A$1:C$190,3,FALSE))</f>
        <v>EEZ</v>
      </c>
      <c r="T1832" s="2" t="str">
        <f>IF(C1832="Total", (VLOOKUP(B1832,Recommended_fish_intake!A$4:D$122,4,FALSE)), "NA")</f>
        <v>NA</v>
      </c>
      <c r="U1832" s="2" t="str">
        <f t="shared" si="214"/>
        <v>NA</v>
      </c>
    </row>
    <row r="1833" spans="1:21" ht="14.25" customHeight="1">
      <c r="A1833" s="2" t="s">
        <v>39</v>
      </c>
      <c r="B1833" s="2">
        <v>1981</v>
      </c>
      <c r="C1833" s="2" t="s">
        <v>52</v>
      </c>
      <c r="D1833" s="3">
        <f t="shared" si="215"/>
        <v>5.5209999999999999</v>
      </c>
      <c r="E1833" s="3">
        <f t="shared" si="216"/>
        <v>3.2530000000000001</v>
      </c>
      <c r="F1833" s="3" t="e">
        <f t="shared" si="217"/>
        <v>#N/A</v>
      </c>
      <c r="G1833" s="3" t="e">
        <f t="shared" si="218"/>
        <v>#N/A</v>
      </c>
      <c r="H1833" s="3" t="e">
        <f t="shared" si="219"/>
        <v>#N/A</v>
      </c>
      <c r="I1833" s="3" t="e">
        <f t="shared" si="220"/>
        <v>#N/A</v>
      </c>
      <c r="J1833" s="2">
        <v>5521</v>
      </c>
      <c r="K1833" s="2">
        <v>3253</v>
      </c>
      <c r="P1833" s="3">
        <f>E1833*(VLOOKUP(B1833,Price_data!A$1:B$190,2,FALSE))</f>
        <v>7.4080183064080005</v>
      </c>
      <c r="Q1833" s="3" t="e">
        <f>G1833*(VLOOKUP(B1833,Price_data!A$1:B$190,2,FALSE))</f>
        <v>#N/A</v>
      </c>
      <c r="R1833" s="3" t="e">
        <f>I1833*(VLOOKUP(B1833,Price_data!A$1:B$190,2,FALSE))</f>
        <v>#N/A</v>
      </c>
      <c r="S1833" s="4" t="str">
        <f>(VLOOKUP(B1833,Price_data!A$1:C$190,3,FALSE))</f>
        <v>EEZ</v>
      </c>
      <c r="T1833" s="2" t="str">
        <f>IF(C1833="Total", (VLOOKUP(B1833,Recommended_fish_intake!A$4:D$122,4,FALSE)), "NA")</f>
        <v>NA</v>
      </c>
      <c r="U1833" s="2" t="str">
        <f t="shared" si="214"/>
        <v>NA</v>
      </c>
    </row>
    <row r="1834" spans="1:21" ht="14.25" customHeight="1">
      <c r="A1834" s="2" t="s">
        <v>39</v>
      </c>
      <c r="B1834" s="2">
        <v>1981</v>
      </c>
      <c r="C1834" s="2" t="s">
        <v>30</v>
      </c>
      <c r="D1834" s="3">
        <f t="shared" si="215"/>
        <v>0.36599999999999999</v>
      </c>
      <c r="E1834" s="3">
        <f t="shared" si="216"/>
        <v>0.33200000000000002</v>
      </c>
      <c r="F1834" s="3" t="e">
        <f t="shared" si="217"/>
        <v>#N/A</v>
      </c>
      <c r="G1834" s="3" t="e">
        <f t="shared" si="218"/>
        <v>#N/A</v>
      </c>
      <c r="H1834" s="3" t="e">
        <f t="shared" si="219"/>
        <v>#N/A</v>
      </c>
      <c r="I1834" s="3" t="e">
        <f t="shared" si="220"/>
        <v>#N/A</v>
      </c>
      <c r="J1834" s="2">
        <v>366</v>
      </c>
      <c r="K1834" s="2">
        <v>332</v>
      </c>
      <c r="P1834" s="3">
        <f>E1834*(VLOOKUP(B1834,Price_data!A$1:B$190,2,FALSE))</f>
        <v>0.75605966115200007</v>
      </c>
      <c r="Q1834" s="3" t="e">
        <f>G1834*(VLOOKUP(B1834,Price_data!A$1:B$190,2,FALSE))</f>
        <v>#N/A</v>
      </c>
      <c r="R1834" s="3" t="e">
        <f>I1834*(VLOOKUP(B1834,Price_data!A$1:B$190,2,FALSE))</f>
        <v>#N/A</v>
      </c>
      <c r="S1834" s="4" t="str">
        <f>(VLOOKUP(B1834,Price_data!A$1:C$190,3,FALSE))</f>
        <v>EEZ</v>
      </c>
      <c r="T1834" s="2" t="str">
        <f>IF(C1834="Total", (VLOOKUP(B1834,Recommended_fish_intake!A$4:D$122,4,FALSE)), "NA")</f>
        <v>NA</v>
      </c>
      <c r="U1834" s="2" t="str">
        <f t="shared" si="214"/>
        <v>NA</v>
      </c>
    </row>
    <row r="1835" spans="1:21" ht="14.25" customHeight="1">
      <c r="A1835" s="2" t="s">
        <v>39</v>
      </c>
      <c r="B1835" s="2">
        <v>1981</v>
      </c>
      <c r="C1835" s="2" t="s">
        <v>28</v>
      </c>
      <c r="D1835" s="3">
        <f t="shared" si="215"/>
        <v>30.32</v>
      </c>
      <c r="E1835" s="3">
        <f t="shared" si="216"/>
        <v>21.084</v>
      </c>
      <c r="F1835" s="3" t="e">
        <f t="shared" si="217"/>
        <v>#N/A</v>
      </c>
      <c r="G1835" s="3" t="e">
        <f t="shared" si="218"/>
        <v>#N/A</v>
      </c>
      <c r="H1835" s="3" t="e">
        <f t="shared" si="219"/>
        <v>#N/A</v>
      </c>
      <c r="I1835" s="3" t="e">
        <f t="shared" si="220"/>
        <v>#N/A</v>
      </c>
      <c r="J1835" s="2">
        <v>30320</v>
      </c>
      <c r="K1835" s="2">
        <v>21084</v>
      </c>
      <c r="P1835" s="3">
        <f>E1835*(VLOOKUP(B1835,Price_data!A$1:B$190,2,FALSE))</f>
        <v>48.014343059424</v>
      </c>
      <c r="Q1835" s="3" t="e">
        <f>G1835*(VLOOKUP(B1835,Price_data!A$1:B$190,2,FALSE))</f>
        <v>#N/A</v>
      </c>
      <c r="R1835" s="3" t="e">
        <f>I1835*(VLOOKUP(B1835,Price_data!A$1:B$190,2,FALSE))</f>
        <v>#N/A</v>
      </c>
      <c r="S1835" s="4" t="str">
        <f>(VLOOKUP(B1835,Price_data!A$1:C$190,3,FALSE))</f>
        <v>EEZ</v>
      </c>
      <c r="T1835" s="2" t="str">
        <f>IF(C1835="Total", (VLOOKUP(B1835,Recommended_fish_intake!A$4:D$122,4,FALSE)), "NA")</f>
        <v>NA</v>
      </c>
      <c r="U1835" s="2">
        <f t="shared" si="214"/>
        <v>8.4896000000000011</v>
      </c>
    </row>
    <row r="1836" spans="1:21" ht="14.25" customHeight="1">
      <c r="A1836" s="2" t="s">
        <v>40</v>
      </c>
      <c r="B1836" s="2">
        <v>1981</v>
      </c>
      <c r="C1836" s="2" t="s">
        <v>22</v>
      </c>
      <c r="D1836" s="3">
        <f t="shared" si="215"/>
        <v>2.8069999999999999</v>
      </c>
      <c r="E1836" s="3">
        <f t="shared" si="216"/>
        <v>1.034</v>
      </c>
      <c r="F1836" s="3" t="e">
        <f t="shared" si="217"/>
        <v>#N/A</v>
      </c>
      <c r="G1836" s="3" t="e">
        <f t="shared" si="218"/>
        <v>#N/A</v>
      </c>
      <c r="H1836" s="3" t="e">
        <f t="shared" si="219"/>
        <v>#N/A</v>
      </c>
      <c r="I1836" s="3" t="e">
        <f t="shared" si="220"/>
        <v>#N/A</v>
      </c>
      <c r="J1836" s="2">
        <v>2807</v>
      </c>
      <c r="K1836" s="2">
        <v>1034</v>
      </c>
      <c r="P1836" s="3">
        <f>E1836*(VLOOKUP(B1836,Price_data!A$1:B$190,2,FALSE))</f>
        <v>2.3547159326240004</v>
      </c>
      <c r="Q1836" s="3" t="e">
        <f>G1836*(VLOOKUP(B1836,Price_data!A$1:B$190,2,FALSE))</f>
        <v>#N/A</v>
      </c>
      <c r="R1836" s="3" t="e">
        <f>I1836*(VLOOKUP(B1836,Price_data!A$1:B$190,2,FALSE))</f>
        <v>#N/A</v>
      </c>
      <c r="S1836" s="4" t="str">
        <f>(VLOOKUP(B1836,Price_data!A$1:C$190,3,FALSE))</f>
        <v>EEZ</v>
      </c>
      <c r="T1836" s="2" t="str">
        <f>IF(C1836="Total", (VLOOKUP(B1836,Recommended_fish_intake!A$4:D$122,4,FALSE)), "NA")</f>
        <v>NA</v>
      </c>
      <c r="U1836" s="2" t="str">
        <f t="shared" si="214"/>
        <v>NA</v>
      </c>
    </row>
    <row r="1837" spans="1:21" ht="14.25" customHeight="1">
      <c r="A1837" s="2" t="s">
        <v>40</v>
      </c>
      <c r="B1837" s="2">
        <v>1981</v>
      </c>
      <c r="C1837" s="2" t="s">
        <v>23</v>
      </c>
      <c r="D1837" s="3">
        <f t="shared" si="215"/>
        <v>5.1999999999999998E-2</v>
      </c>
      <c r="E1837" s="3">
        <f t="shared" si="216"/>
        <v>1.6E-2</v>
      </c>
      <c r="F1837" s="3" t="e">
        <f t="shared" si="217"/>
        <v>#N/A</v>
      </c>
      <c r="G1837" s="3" t="e">
        <f t="shared" si="218"/>
        <v>#N/A</v>
      </c>
      <c r="H1837" s="3" t="e">
        <f t="shared" si="219"/>
        <v>#N/A</v>
      </c>
      <c r="I1837" s="3" t="e">
        <f t="shared" si="220"/>
        <v>#N/A</v>
      </c>
      <c r="J1837" s="2">
        <v>52</v>
      </c>
      <c r="K1837" s="2">
        <v>16</v>
      </c>
      <c r="P1837" s="3">
        <f>E1837*(VLOOKUP(B1837,Price_data!A$1:B$190,2,FALSE))</f>
        <v>3.6436610176000001E-2</v>
      </c>
      <c r="Q1837" s="3" t="e">
        <f>G1837*(VLOOKUP(B1837,Price_data!A$1:B$190,2,FALSE))</f>
        <v>#N/A</v>
      </c>
      <c r="R1837" s="3" t="e">
        <f>I1837*(VLOOKUP(B1837,Price_data!A$1:B$190,2,FALSE))</f>
        <v>#N/A</v>
      </c>
      <c r="S1837" s="4" t="str">
        <f>(VLOOKUP(B1837,Price_data!A$1:C$190,3,FALSE))</f>
        <v>EEZ</v>
      </c>
      <c r="T1837" s="2" t="str">
        <f>IF(C1837="Total", (VLOOKUP(B1837,Recommended_fish_intake!A$4:D$122,4,FALSE)), "NA")</f>
        <v>NA</v>
      </c>
      <c r="U1837" s="2" t="str">
        <f t="shared" si="214"/>
        <v>NA</v>
      </c>
    </row>
    <row r="1838" spans="1:21" ht="14.25" customHeight="1">
      <c r="A1838" s="2" t="s">
        <v>40</v>
      </c>
      <c r="B1838" s="2">
        <v>1981</v>
      </c>
      <c r="C1838" s="2" t="s">
        <v>25</v>
      </c>
      <c r="D1838" s="3">
        <f t="shared" si="215"/>
        <v>0.129</v>
      </c>
      <c r="E1838" s="3">
        <f t="shared" si="216"/>
        <v>4.8000000000000001E-2</v>
      </c>
      <c r="F1838" s="3" t="e">
        <f t="shared" si="217"/>
        <v>#N/A</v>
      </c>
      <c r="G1838" s="3" t="e">
        <f t="shared" si="218"/>
        <v>#N/A</v>
      </c>
      <c r="H1838" s="3" t="e">
        <f t="shared" si="219"/>
        <v>#N/A</v>
      </c>
      <c r="I1838" s="3" t="e">
        <f t="shared" si="220"/>
        <v>#N/A</v>
      </c>
      <c r="J1838" s="2">
        <v>129</v>
      </c>
      <c r="K1838" s="2">
        <v>48</v>
      </c>
      <c r="P1838" s="3">
        <f>E1838*(VLOOKUP(B1838,Price_data!A$1:B$190,2,FALSE))</f>
        <v>0.109309830528</v>
      </c>
      <c r="Q1838" s="3" t="e">
        <f>G1838*(VLOOKUP(B1838,Price_data!A$1:B$190,2,FALSE))</f>
        <v>#N/A</v>
      </c>
      <c r="R1838" s="3" t="e">
        <f>I1838*(VLOOKUP(B1838,Price_data!A$1:B$190,2,FALSE))</f>
        <v>#N/A</v>
      </c>
      <c r="S1838" s="4" t="str">
        <f>(VLOOKUP(B1838,Price_data!A$1:C$190,3,FALSE))</f>
        <v>EEZ</v>
      </c>
      <c r="T1838" s="2" t="str">
        <f>IF(C1838="Total", (VLOOKUP(B1838,Recommended_fish_intake!A$4:D$122,4,FALSE)), "NA")</f>
        <v>NA</v>
      </c>
      <c r="U1838" s="2" t="str">
        <f t="shared" si="214"/>
        <v>NA</v>
      </c>
    </row>
    <row r="1839" spans="1:21" ht="14.25" customHeight="1">
      <c r="A1839" s="2" t="s">
        <v>40</v>
      </c>
      <c r="B1839" s="2">
        <v>1981</v>
      </c>
      <c r="C1839" s="2" t="s">
        <v>24</v>
      </c>
      <c r="D1839" s="3">
        <f t="shared" si="215"/>
        <v>9.0500000000000007</v>
      </c>
      <c r="E1839" s="3">
        <f t="shared" si="216"/>
        <v>1.3839999999999999</v>
      </c>
      <c r="F1839" s="3" t="e">
        <f t="shared" si="217"/>
        <v>#N/A</v>
      </c>
      <c r="G1839" s="3" t="e">
        <f t="shared" si="218"/>
        <v>#N/A</v>
      </c>
      <c r="H1839" s="3" t="e">
        <f t="shared" si="219"/>
        <v>#N/A</v>
      </c>
      <c r="I1839" s="3" t="e">
        <f t="shared" si="220"/>
        <v>#N/A</v>
      </c>
      <c r="J1839" s="2">
        <v>9050</v>
      </c>
      <c r="K1839" s="2">
        <v>1384</v>
      </c>
      <c r="P1839" s="3">
        <f>E1839*(VLOOKUP(B1839,Price_data!A$1:B$190,2,FALSE))</f>
        <v>3.1517667802239999</v>
      </c>
      <c r="Q1839" s="3" t="e">
        <f>G1839*(VLOOKUP(B1839,Price_data!A$1:B$190,2,FALSE))</f>
        <v>#N/A</v>
      </c>
      <c r="R1839" s="3" t="e">
        <f>I1839*(VLOOKUP(B1839,Price_data!A$1:B$190,2,FALSE))</f>
        <v>#N/A</v>
      </c>
      <c r="S1839" s="4" t="str">
        <f>(VLOOKUP(B1839,Price_data!A$1:C$190,3,FALSE))</f>
        <v>EEZ</v>
      </c>
      <c r="T1839" s="2" t="str">
        <f>IF(C1839="Total", (VLOOKUP(B1839,Recommended_fish_intake!A$4:D$122,4,FALSE)), "NA")</f>
        <v>NA</v>
      </c>
      <c r="U1839" s="2" t="str">
        <f t="shared" si="214"/>
        <v>NA</v>
      </c>
    </row>
    <row r="1840" spans="1:21" ht="14.25" customHeight="1">
      <c r="A1840" s="2" t="s">
        <v>40</v>
      </c>
      <c r="B1840" s="2">
        <v>1981</v>
      </c>
      <c r="C1840" s="2" t="s">
        <v>19</v>
      </c>
      <c r="D1840" s="3">
        <f t="shared" si="215"/>
        <v>1.8160000000000001</v>
      </c>
      <c r="E1840" s="3">
        <f t="shared" si="216"/>
        <v>0.30599999999999999</v>
      </c>
      <c r="F1840" s="3" t="e">
        <f t="shared" si="217"/>
        <v>#N/A</v>
      </c>
      <c r="G1840" s="3" t="e">
        <f t="shared" si="218"/>
        <v>#N/A</v>
      </c>
      <c r="H1840" s="3" t="e">
        <f t="shared" si="219"/>
        <v>#N/A</v>
      </c>
      <c r="I1840" s="3" t="e">
        <f t="shared" si="220"/>
        <v>#N/A</v>
      </c>
      <c r="J1840" s="2">
        <v>1816</v>
      </c>
      <c r="K1840" s="2">
        <v>306</v>
      </c>
      <c r="P1840" s="3">
        <f>E1840*(VLOOKUP(B1840,Price_data!A$1:B$190,2,FALSE))</f>
        <v>0.69685016961599999</v>
      </c>
      <c r="Q1840" s="3" t="e">
        <f>G1840*(VLOOKUP(B1840,Price_data!A$1:B$190,2,FALSE))</f>
        <v>#N/A</v>
      </c>
      <c r="R1840" s="3" t="e">
        <f>I1840*(VLOOKUP(B1840,Price_data!A$1:B$190,2,FALSE))</f>
        <v>#N/A</v>
      </c>
      <c r="S1840" s="4" t="str">
        <f>(VLOOKUP(B1840,Price_data!A$1:C$190,3,FALSE))</f>
        <v>EEZ</v>
      </c>
      <c r="T1840" s="2" t="str">
        <f>IF(C1840="Total", (VLOOKUP(B1840,Recommended_fish_intake!A$4:D$122,4,FALSE)), "NA")</f>
        <v>NA</v>
      </c>
      <c r="U1840" s="2" t="str">
        <f t="shared" si="214"/>
        <v>NA</v>
      </c>
    </row>
    <row r="1841" spans="1:21" ht="14.25" customHeight="1">
      <c r="A1841" s="2" t="s">
        <v>40</v>
      </c>
      <c r="B1841" s="2">
        <v>1981</v>
      </c>
      <c r="C1841" s="2" t="s">
        <v>20</v>
      </c>
      <c r="D1841" s="3">
        <f t="shared" si="215"/>
        <v>5.5E-2</v>
      </c>
      <c r="E1841" s="3">
        <f t="shared" si="216"/>
        <v>5.0000000000000001E-3</v>
      </c>
      <c r="F1841" s="3" t="e">
        <f t="shared" si="217"/>
        <v>#N/A</v>
      </c>
      <c r="G1841" s="3" t="e">
        <f t="shared" si="218"/>
        <v>#N/A</v>
      </c>
      <c r="H1841" s="3" t="e">
        <f t="shared" si="219"/>
        <v>#N/A</v>
      </c>
      <c r="I1841" s="3" t="e">
        <f t="shared" si="220"/>
        <v>#N/A</v>
      </c>
      <c r="J1841" s="2">
        <v>55</v>
      </c>
      <c r="K1841" s="2">
        <v>5</v>
      </c>
      <c r="P1841" s="3">
        <f>E1841*(VLOOKUP(B1841,Price_data!A$1:B$190,2,FALSE))</f>
        <v>1.138644068E-2</v>
      </c>
      <c r="Q1841" s="3" t="e">
        <f>G1841*(VLOOKUP(B1841,Price_data!A$1:B$190,2,FALSE))</f>
        <v>#N/A</v>
      </c>
      <c r="R1841" s="3" t="e">
        <f>I1841*(VLOOKUP(B1841,Price_data!A$1:B$190,2,FALSE))</f>
        <v>#N/A</v>
      </c>
      <c r="S1841" s="4" t="str">
        <f>(VLOOKUP(B1841,Price_data!A$1:C$190,3,FALSE))</f>
        <v>EEZ</v>
      </c>
      <c r="T1841" s="2" t="str">
        <f>IF(C1841="Total", (VLOOKUP(B1841,Recommended_fish_intake!A$4:D$122,4,FALSE)), "NA")</f>
        <v>NA</v>
      </c>
      <c r="U1841" s="2" t="str">
        <f t="shared" si="214"/>
        <v>NA</v>
      </c>
    </row>
    <row r="1842" spans="1:21" ht="14.25" customHeight="1">
      <c r="A1842" s="2" t="s">
        <v>40</v>
      </c>
      <c r="B1842" s="2">
        <v>1981</v>
      </c>
      <c r="C1842" s="2" t="s">
        <v>21</v>
      </c>
      <c r="D1842" s="3">
        <f t="shared" si="215"/>
        <v>0</v>
      </c>
      <c r="E1842" s="3">
        <f t="shared" si="216"/>
        <v>0</v>
      </c>
      <c r="F1842" s="3" t="e">
        <f t="shared" si="217"/>
        <v>#N/A</v>
      </c>
      <c r="G1842" s="3" t="e">
        <f t="shared" si="218"/>
        <v>#N/A</v>
      </c>
      <c r="H1842" s="3" t="e">
        <f t="shared" si="219"/>
        <v>#N/A</v>
      </c>
      <c r="I1842" s="3" t="e">
        <f t="shared" si="220"/>
        <v>#N/A</v>
      </c>
      <c r="J1842" s="2">
        <v>0</v>
      </c>
      <c r="K1842" s="2">
        <v>0</v>
      </c>
      <c r="P1842" s="3">
        <f>E1842*(VLOOKUP(B1842,Price_data!A$1:B$190,2,FALSE))</f>
        <v>0</v>
      </c>
      <c r="Q1842" s="3" t="e">
        <f>G1842*(VLOOKUP(B1842,Price_data!A$1:B$190,2,FALSE))</f>
        <v>#N/A</v>
      </c>
      <c r="R1842" s="3" t="e">
        <f>I1842*(VLOOKUP(B1842,Price_data!A$1:B$190,2,FALSE))</f>
        <v>#N/A</v>
      </c>
      <c r="S1842" s="4" t="str">
        <f>(VLOOKUP(B1842,Price_data!A$1:C$190,3,FALSE))</f>
        <v>EEZ</v>
      </c>
      <c r="T1842" s="2" t="str">
        <f>IF(C1842="Total", (VLOOKUP(B1842,Recommended_fish_intake!A$4:D$122,4,FALSE)), "NA")</f>
        <v>NA</v>
      </c>
      <c r="U1842" s="2" t="str">
        <f t="shared" si="214"/>
        <v>NA</v>
      </c>
    </row>
    <row r="1843" spans="1:21" ht="14.25" customHeight="1">
      <c r="A1843" s="2" t="s">
        <v>40</v>
      </c>
      <c r="B1843" s="2">
        <v>1981</v>
      </c>
      <c r="C1843" s="2" t="s">
        <v>37</v>
      </c>
      <c r="D1843" s="3">
        <f t="shared" si="215"/>
        <v>16.375</v>
      </c>
      <c r="E1843" s="3">
        <f t="shared" si="216"/>
        <v>3.7629999999999999</v>
      </c>
      <c r="F1843" s="3" t="e">
        <f t="shared" si="217"/>
        <v>#N/A</v>
      </c>
      <c r="G1843" s="3" t="e">
        <f t="shared" si="218"/>
        <v>#N/A</v>
      </c>
      <c r="H1843" s="3" t="e">
        <f t="shared" si="219"/>
        <v>#N/A</v>
      </c>
      <c r="I1843" s="3" t="e">
        <f t="shared" si="220"/>
        <v>#N/A</v>
      </c>
      <c r="J1843" s="2">
        <v>16375</v>
      </c>
      <c r="K1843" s="2">
        <v>3763</v>
      </c>
      <c r="P1843" s="3">
        <f>E1843*(VLOOKUP(B1843,Price_data!A$1:B$190,2,FALSE))</f>
        <v>8.5694352557680009</v>
      </c>
      <c r="Q1843" s="3" t="e">
        <f>G1843*(VLOOKUP(B1843,Price_data!A$1:B$190,2,FALSE))</f>
        <v>#N/A</v>
      </c>
      <c r="R1843" s="3" t="e">
        <f>I1843*(VLOOKUP(B1843,Price_data!A$1:B$190,2,FALSE))</f>
        <v>#N/A</v>
      </c>
      <c r="S1843" s="4" t="str">
        <f>(VLOOKUP(B1843,Price_data!A$1:C$190,3,FALSE))</f>
        <v>EEZ</v>
      </c>
      <c r="T1843" s="2" t="str">
        <f>IF(C1843="Total", (VLOOKUP(B1843,Recommended_fish_intake!A$4:D$122,4,FALSE)), "NA")</f>
        <v>NA</v>
      </c>
      <c r="U1843" s="2">
        <f t="shared" si="214"/>
        <v>8.0237499999999997</v>
      </c>
    </row>
    <row r="1844" spans="1:21" ht="14.25" customHeight="1">
      <c r="A1844" s="2" t="s">
        <v>40</v>
      </c>
      <c r="B1844" s="2">
        <v>1981</v>
      </c>
      <c r="C1844" s="2" t="s">
        <v>36</v>
      </c>
      <c r="D1844" s="3">
        <f t="shared" si="215"/>
        <v>4.0000000000000001E-3</v>
      </c>
      <c r="E1844" s="3">
        <f t="shared" si="216"/>
        <v>1E-3</v>
      </c>
      <c r="F1844" s="3" t="e">
        <f t="shared" si="217"/>
        <v>#N/A</v>
      </c>
      <c r="G1844" s="3" t="e">
        <f t="shared" si="218"/>
        <v>#N/A</v>
      </c>
      <c r="H1844" s="3" t="e">
        <f t="shared" si="219"/>
        <v>#N/A</v>
      </c>
      <c r="I1844" s="3" t="e">
        <f t="shared" si="220"/>
        <v>#N/A</v>
      </c>
      <c r="J1844" s="2">
        <v>4</v>
      </c>
      <c r="K1844" s="2">
        <v>1</v>
      </c>
      <c r="P1844" s="3">
        <f>E1844*(VLOOKUP(B1844,Price_data!A$1:B$190,2,FALSE))</f>
        <v>2.277288136E-3</v>
      </c>
      <c r="Q1844" s="3" t="e">
        <f>G1844*(VLOOKUP(B1844,Price_data!A$1:B$190,2,FALSE))</f>
        <v>#N/A</v>
      </c>
      <c r="R1844" s="3" t="e">
        <f>I1844*(VLOOKUP(B1844,Price_data!A$1:B$190,2,FALSE))</f>
        <v>#N/A</v>
      </c>
      <c r="S1844" s="4" t="str">
        <f>(VLOOKUP(B1844,Price_data!A$1:C$190,3,FALSE))</f>
        <v>EEZ</v>
      </c>
      <c r="T1844" s="2" t="str">
        <f>IF(C1844="Total", (VLOOKUP(B1844,Recommended_fish_intake!A$4:D$122,4,FALSE)), "NA")</f>
        <v>NA</v>
      </c>
      <c r="U1844" s="2" t="str">
        <f t="shared" si="214"/>
        <v>NA</v>
      </c>
    </row>
    <row r="1845" spans="1:21" ht="14.25" customHeight="1">
      <c r="A1845" s="2" t="s">
        <v>40</v>
      </c>
      <c r="B1845" s="2">
        <v>1981</v>
      </c>
      <c r="C1845" s="2" t="s">
        <v>34</v>
      </c>
      <c r="D1845" s="3">
        <f t="shared" si="215"/>
        <v>0.02</v>
      </c>
      <c r="E1845" s="3">
        <f t="shared" si="216"/>
        <v>7.4999999999999997E-2</v>
      </c>
      <c r="F1845" s="3" t="e">
        <f t="shared" si="217"/>
        <v>#N/A</v>
      </c>
      <c r="G1845" s="3" t="e">
        <f t="shared" si="218"/>
        <v>#N/A</v>
      </c>
      <c r="H1845" s="3" t="e">
        <f t="shared" si="219"/>
        <v>#N/A</v>
      </c>
      <c r="I1845" s="3" t="e">
        <f t="shared" si="220"/>
        <v>#N/A</v>
      </c>
      <c r="J1845" s="2">
        <v>20</v>
      </c>
      <c r="K1845" s="2">
        <v>75</v>
      </c>
      <c r="P1845" s="3">
        <f>E1845*(VLOOKUP(B1845,Price_data!A$1:B$190,2,FALSE))</f>
        <v>0.1707966102</v>
      </c>
      <c r="Q1845" s="3" t="e">
        <f>G1845*(VLOOKUP(B1845,Price_data!A$1:B$190,2,FALSE))</f>
        <v>#N/A</v>
      </c>
      <c r="R1845" s="3" t="e">
        <f>I1845*(VLOOKUP(B1845,Price_data!A$1:B$190,2,FALSE))</f>
        <v>#N/A</v>
      </c>
      <c r="S1845" s="4" t="str">
        <f>(VLOOKUP(B1845,Price_data!A$1:C$190,3,FALSE))</f>
        <v>EEZ</v>
      </c>
      <c r="T1845" s="2" t="str">
        <f>IF(C1845="Total", (VLOOKUP(B1845,Recommended_fish_intake!A$4:D$122,4,FALSE)), "NA")</f>
        <v>NA</v>
      </c>
      <c r="U1845" s="2" t="str">
        <f t="shared" si="214"/>
        <v>NA</v>
      </c>
    </row>
    <row r="1846" spans="1:21" ht="14.25" customHeight="1">
      <c r="A1846" s="2" t="s">
        <v>40</v>
      </c>
      <c r="B1846" s="2">
        <v>1981</v>
      </c>
      <c r="C1846" s="2" t="s">
        <v>35</v>
      </c>
      <c r="D1846" s="3">
        <f t="shared" si="215"/>
        <v>1.2509999999999999</v>
      </c>
      <c r="E1846" s="3">
        <f t="shared" si="216"/>
        <v>2.4809999999999999</v>
      </c>
      <c r="F1846" s="3" t="e">
        <f t="shared" si="217"/>
        <v>#N/A</v>
      </c>
      <c r="G1846" s="3" t="e">
        <f t="shared" si="218"/>
        <v>#N/A</v>
      </c>
      <c r="H1846" s="3" t="e">
        <f t="shared" si="219"/>
        <v>#N/A</v>
      </c>
      <c r="I1846" s="3" t="e">
        <f t="shared" si="220"/>
        <v>#N/A</v>
      </c>
      <c r="J1846" s="2">
        <v>1251</v>
      </c>
      <c r="K1846" s="2">
        <v>2481</v>
      </c>
      <c r="P1846" s="3">
        <f>E1846*(VLOOKUP(B1846,Price_data!A$1:B$190,2,FALSE))</f>
        <v>5.6499518654159999</v>
      </c>
      <c r="Q1846" s="3" t="e">
        <f>G1846*(VLOOKUP(B1846,Price_data!A$1:B$190,2,FALSE))</f>
        <v>#N/A</v>
      </c>
      <c r="R1846" s="3" t="e">
        <f>I1846*(VLOOKUP(B1846,Price_data!A$1:B$190,2,FALSE))</f>
        <v>#N/A</v>
      </c>
      <c r="S1846" s="4" t="str">
        <f>(VLOOKUP(B1846,Price_data!A$1:C$190,3,FALSE))</f>
        <v>EEZ</v>
      </c>
      <c r="T1846" s="2" t="str">
        <f>IF(C1846="Total", (VLOOKUP(B1846,Recommended_fish_intake!A$4:D$122,4,FALSE)), "NA")</f>
        <v>NA</v>
      </c>
      <c r="U1846" s="2" t="str">
        <f t="shared" si="214"/>
        <v>NA</v>
      </c>
    </row>
    <row r="1847" spans="1:21" ht="14.25" customHeight="1">
      <c r="A1847" s="2" t="s">
        <v>40</v>
      </c>
      <c r="B1847" s="2">
        <v>1981</v>
      </c>
      <c r="C1847" s="2" t="s">
        <v>52</v>
      </c>
      <c r="D1847" s="3">
        <f t="shared" si="215"/>
        <v>3.3000000000000002E-2</v>
      </c>
      <c r="E1847" s="3">
        <f t="shared" si="216"/>
        <v>6.0999999999999999E-2</v>
      </c>
      <c r="F1847" s="3" t="e">
        <f t="shared" si="217"/>
        <v>#N/A</v>
      </c>
      <c r="G1847" s="3" t="e">
        <f t="shared" si="218"/>
        <v>#N/A</v>
      </c>
      <c r="H1847" s="3" t="e">
        <f t="shared" si="219"/>
        <v>#N/A</v>
      </c>
      <c r="I1847" s="3" t="e">
        <f t="shared" si="220"/>
        <v>#N/A</v>
      </c>
      <c r="J1847" s="2">
        <v>33</v>
      </c>
      <c r="K1847" s="2">
        <v>61</v>
      </c>
      <c r="P1847" s="3">
        <f>E1847*(VLOOKUP(B1847,Price_data!A$1:B$190,2,FALSE))</f>
        <v>0.13891457629600001</v>
      </c>
      <c r="Q1847" s="3" t="e">
        <f>G1847*(VLOOKUP(B1847,Price_data!A$1:B$190,2,FALSE))</f>
        <v>#N/A</v>
      </c>
      <c r="R1847" s="3" t="e">
        <f>I1847*(VLOOKUP(B1847,Price_data!A$1:B$190,2,FALSE))</f>
        <v>#N/A</v>
      </c>
      <c r="S1847" s="4" t="str">
        <f>(VLOOKUP(B1847,Price_data!A$1:C$190,3,FALSE))</f>
        <v>EEZ</v>
      </c>
      <c r="T1847" s="2" t="str">
        <f>IF(C1847="Total", (VLOOKUP(B1847,Recommended_fish_intake!A$4:D$122,4,FALSE)), "NA")</f>
        <v>NA</v>
      </c>
      <c r="U1847" s="2" t="str">
        <f t="shared" si="214"/>
        <v>NA</v>
      </c>
    </row>
    <row r="1848" spans="1:21" ht="14.25" customHeight="1">
      <c r="A1848" s="2" t="s">
        <v>40</v>
      </c>
      <c r="B1848" s="2">
        <v>1981</v>
      </c>
      <c r="C1848" s="2" t="s">
        <v>30</v>
      </c>
      <c r="D1848" s="3">
        <f t="shared" si="215"/>
        <v>0</v>
      </c>
      <c r="E1848" s="3">
        <f t="shared" si="216"/>
        <v>0</v>
      </c>
      <c r="F1848" s="3" t="e">
        <f t="shared" si="217"/>
        <v>#N/A</v>
      </c>
      <c r="G1848" s="3" t="e">
        <f t="shared" si="218"/>
        <v>#N/A</v>
      </c>
      <c r="H1848" s="3" t="e">
        <f t="shared" si="219"/>
        <v>#N/A</v>
      </c>
      <c r="I1848" s="3" t="e">
        <f t="shared" si="220"/>
        <v>#N/A</v>
      </c>
      <c r="J1848" s="2">
        <v>0</v>
      </c>
      <c r="K1848" s="2">
        <v>0</v>
      </c>
      <c r="P1848" s="3">
        <f>E1848*(VLOOKUP(B1848,Price_data!A$1:B$190,2,FALSE))</f>
        <v>0</v>
      </c>
      <c r="Q1848" s="3" t="e">
        <f>G1848*(VLOOKUP(B1848,Price_data!A$1:B$190,2,FALSE))</f>
        <v>#N/A</v>
      </c>
      <c r="R1848" s="3" t="e">
        <f>I1848*(VLOOKUP(B1848,Price_data!A$1:B$190,2,FALSE))</f>
        <v>#N/A</v>
      </c>
      <c r="S1848" s="4" t="str">
        <f>(VLOOKUP(B1848,Price_data!A$1:C$190,3,FALSE))</f>
        <v>EEZ</v>
      </c>
      <c r="T1848" s="2" t="str">
        <f>IF(C1848="Total", (VLOOKUP(B1848,Recommended_fish_intake!A$4:D$122,4,FALSE)), "NA")</f>
        <v>NA</v>
      </c>
      <c r="U1848" s="2" t="str">
        <f t="shared" si="214"/>
        <v>NA</v>
      </c>
    </row>
    <row r="1849" spans="1:21" ht="14.25" customHeight="1">
      <c r="A1849" s="2" t="s">
        <v>40</v>
      </c>
      <c r="B1849" s="2">
        <v>1981</v>
      </c>
      <c r="C1849" s="2" t="s">
        <v>28</v>
      </c>
      <c r="D1849" s="3">
        <f t="shared" si="215"/>
        <v>1.5209999999999999</v>
      </c>
      <c r="E1849" s="3">
        <f t="shared" si="216"/>
        <v>2.7490000000000001</v>
      </c>
      <c r="F1849" s="3" t="e">
        <f t="shared" si="217"/>
        <v>#N/A</v>
      </c>
      <c r="G1849" s="3" t="e">
        <f t="shared" si="218"/>
        <v>#N/A</v>
      </c>
      <c r="H1849" s="3" t="e">
        <f t="shared" si="219"/>
        <v>#N/A</v>
      </c>
      <c r="I1849" s="3" t="e">
        <f t="shared" si="220"/>
        <v>#N/A</v>
      </c>
      <c r="J1849" s="2">
        <v>1521</v>
      </c>
      <c r="K1849" s="2">
        <v>2749</v>
      </c>
      <c r="P1849" s="3">
        <f>E1849*(VLOOKUP(B1849,Price_data!A$1:B$190,2,FALSE))</f>
        <v>6.2602650858640008</v>
      </c>
      <c r="Q1849" s="3" t="e">
        <f>G1849*(VLOOKUP(B1849,Price_data!A$1:B$190,2,FALSE))</f>
        <v>#N/A</v>
      </c>
      <c r="R1849" s="3" t="e">
        <f>I1849*(VLOOKUP(B1849,Price_data!A$1:B$190,2,FALSE))</f>
        <v>#N/A</v>
      </c>
      <c r="S1849" s="4" t="str">
        <f>(VLOOKUP(B1849,Price_data!A$1:C$190,3,FALSE))</f>
        <v>EEZ</v>
      </c>
      <c r="T1849" s="2" t="str">
        <f>IF(C1849="Total", (VLOOKUP(B1849,Recommended_fish_intake!A$4:D$122,4,FALSE)), "NA")</f>
        <v>NA</v>
      </c>
      <c r="U1849" s="2">
        <f t="shared" si="214"/>
        <v>0.42588000000000004</v>
      </c>
    </row>
    <row r="1850" spans="1:21" ht="14.25" customHeight="1">
      <c r="A1850" s="2" t="s">
        <v>15</v>
      </c>
      <c r="B1850" s="2">
        <v>1981</v>
      </c>
      <c r="C1850" s="2" t="s">
        <v>22</v>
      </c>
      <c r="D1850" s="3">
        <f t="shared" si="215"/>
        <v>115.733</v>
      </c>
      <c r="E1850" s="3">
        <f t="shared" si="216"/>
        <v>60.84</v>
      </c>
      <c r="F1850" s="3" t="e">
        <f t="shared" si="217"/>
        <v>#N/A</v>
      </c>
      <c r="G1850" s="3" t="e">
        <f t="shared" si="218"/>
        <v>#N/A</v>
      </c>
      <c r="H1850" s="3">
        <f t="shared" si="219"/>
        <v>114.741</v>
      </c>
      <c r="I1850" s="3">
        <f t="shared" si="220"/>
        <v>93.665999999999997</v>
      </c>
      <c r="J1850" s="2">
        <v>115733</v>
      </c>
      <c r="K1850" s="2">
        <v>60840</v>
      </c>
      <c r="N1850" s="2">
        <f>46640+56749+10392+960</f>
        <v>114741</v>
      </c>
      <c r="O1850" s="2">
        <f>22811+63568+6163+1124</f>
        <v>93666</v>
      </c>
      <c r="P1850" s="3">
        <f>E1850*(VLOOKUP(B1850,Price_data!A$1:B$190,2,FALSE))</f>
        <v>138.55021019424001</v>
      </c>
      <c r="Q1850" s="3" t="e">
        <f>G1850*(VLOOKUP(B1850,Price_data!A$1:B$190,2,FALSE))</f>
        <v>#N/A</v>
      </c>
      <c r="R1850" s="3">
        <f>I1850*(VLOOKUP(B1850,Price_data!A$1:B$190,2,FALSE))</f>
        <v>213.304470546576</v>
      </c>
      <c r="S1850" s="4" t="str">
        <f>(VLOOKUP(B1850,Price_data!A$1:C$190,3,FALSE))</f>
        <v>EEZ</v>
      </c>
      <c r="T1850" s="2" t="str">
        <f>IF(C1850="Total", (VLOOKUP(B1850,Recommended_fish_intake!A$4:D$122,4,FALSE)), "NA")</f>
        <v>NA</v>
      </c>
      <c r="U1850" s="2" t="str">
        <f t="shared" si="214"/>
        <v>NA</v>
      </c>
    </row>
    <row r="1851" spans="1:21" ht="14.25" customHeight="1">
      <c r="A1851" s="2" t="s">
        <v>15</v>
      </c>
      <c r="B1851" s="2">
        <v>1981</v>
      </c>
      <c r="C1851" s="2" t="s">
        <v>23</v>
      </c>
      <c r="D1851" s="3">
        <f t="shared" si="215"/>
        <v>100.084</v>
      </c>
      <c r="E1851" s="3">
        <f t="shared" si="216"/>
        <v>38.133000000000003</v>
      </c>
      <c r="F1851" s="3" t="e">
        <f t="shared" si="217"/>
        <v>#N/A</v>
      </c>
      <c r="G1851" s="3" t="e">
        <f t="shared" si="218"/>
        <v>#N/A</v>
      </c>
      <c r="H1851" s="3">
        <f t="shared" si="219"/>
        <v>19.388999999999999</v>
      </c>
      <c r="I1851" s="3">
        <f t="shared" si="220"/>
        <v>16.343</v>
      </c>
      <c r="J1851" s="2">
        <v>100084</v>
      </c>
      <c r="K1851" s="2">
        <v>38133</v>
      </c>
      <c r="N1851" s="2">
        <f>7285+10516+1588</f>
        <v>19389</v>
      </c>
      <c r="O1851" s="2">
        <f>3674+11857+812</f>
        <v>16343</v>
      </c>
      <c r="P1851" s="3">
        <f>E1851*(VLOOKUP(B1851,Price_data!A$1:B$190,2,FALSE))</f>
        <v>86.83982849008801</v>
      </c>
      <c r="Q1851" s="3" t="e">
        <f>G1851*(VLOOKUP(B1851,Price_data!A$1:B$190,2,FALSE))</f>
        <v>#N/A</v>
      </c>
      <c r="R1851" s="3">
        <f>I1851*(VLOOKUP(B1851,Price_data!A$1:B$190,2,FALSE))</f>
        <v>37.217720006648001</v>
      </c>
      <c r="S1851" s="4" t="str">
        <f>(VLOOKUP(B1851,Price_data!A$1:C$190,3,FALSE))</f>
        <v>EEZ</v>
      </c>
      <c r="T1851" s="2" t="str">
        <f>IF(C1851="Total", (VLOOKUP(B1851,Recommended_fish_intake!A$4:D$122,4,FALSE)), "NA")</f>
        <v>NA</v>
      </c>
      <c r="U1851" s="2" t="str">
        <f t="shared" si="214"/>
        <v>NA</v>
      </c>
    </row>
    <row r="1852" spans="1:21" ht="14.25" customHeight="1">
      <c r="A1852" s="2" t="s">
        <v>15</v>
      </c>
      <c r="B1852" s="2">
        <v>1981</v>
      </c>
      <c r="C1852" s="2" t="s">
        <v>25</v>
      </c>
      <c r="D1852" s="3">
        <f t="shared" si="215"/>
        <v>25.238</v>
      </c>
      <c r="E1852" s="3">
        <f t="shared" si="216"/>
        <v>12.808</v>
      </c>
      <c r="F1852" s="3" t="e">
        <f t="shared" si="217"/>
        <v>#N/A</v>
      </c>
      <c r="G1852" s="3" t="e">
        <f t="shared" si="218"/>
        <v>#N/A</v>
      </c>
      <c r="H1852" s="3">
        <f t="shared" si="219"/>
        <v>24.573</v>
      </c>
      <c r="I1852" s="3">
        <f t="shared" si="220"/>
        <v>15.814</v>
      </c>
      <c r="J1852" s="2">
        <v>25238</v>
      </c>
      <c r="K1852" s="2">
        <v>12808</v>
      </c>
      <c r="N1852" s="2">
        <f>20482+2878+1213</f>
        <v>24573</v>
      </c>
      <c r="O1852" s="2">
        <f>11141+3967+706</f>
        <v>15814</v>
      </c>
      <c r="P1852" s="3">
        <f>E1852*(VLOOKUP(B1852,Price_data!A$1:B$190,2,FALSE))</f>
        <v>29.167506445888002</v>
      </c>
      <c r="Q1852" s="3" t="e">
        <f>G1852*(VLOOKUP(B1852,Price_data!A$1:B$190,2,FALSE))</f>
        <v>#N/A</v>
      </c>
      <c r="R1852" s="3">
        <f>I1852*(VLOOKUP(B1852,Price_data!A$1:B$190,2,FALSE))</f>
        <v>36.013034582704002</v>
      </c>
      <c r="S1852" s="4" t="str">
        <f>(VLOOKUP(B1852,Price_data!A$1:C$190,3,FALSE))</f>
        <v>EEZ</v>
      </c>
      <c r="T1852" s="2" t="str">
        <f>IF(C1852="Total", (VLOOKUP(B1852,Recommended_fish_intake!A$4:D$122,4,FALSE)), "NA")</f>
        <v>NA</v>
      </c>
      <c r="U1852" s="2" t="str">
        <f t="shared" si="214"/>
        <v>NA</v>
      </c>
    </row>
    <row r="1853" spans="1:21" ht="14.25" customHeight="1">
      <c r="A1853" s="2" t="s">
        <v>15</v>
      </c>
      <c r="B1853" s="2">
        <v>1981</v>
      </c>
      <c r="C1853" s="2" t="s">
        <v>24</v>
      </c>
      <c r="D1853" s="3">
        <f t="shared" si="215"/>
        <v>51.953000000000003</v>
      </c>
      <c r="E1853" s="3">
        <f t="shared" si="216"/>
        <v>14.005000000000001</v>
      </c>
      <c r="F1853" s="3" t="e">
        <f t="shared" si="217"/>
        <v>#N/A</v>
      </c>
      <c r="G1853" s="3" t="e">
        <f t="shared" si="218"/>
        <v>#N/A</v>
      </c>
      <c r="H1853" s="3" t="e">
        <f t="shared" si="219"/>
        <v>#N/A</v>
      </c>
      <c r="I1853" s="3" t="e">
        <f t="shared" si="220"/>
        <v>#N/A</v>
      </c>
      <c r="J1853" s="2">
        <v>51953</v>
      </c>
      <c r="K1853" s="2">
        <v>14005</v>
      </c>
      <c r="P1853" s="3">
        <f>E1853*(VLOOKUP(B1853,Price_data!A$1:B$190,2,FALSE))</f>
        <v>31.893420344680003</v>
      </c>
      <c r="Q1853" s="3" t="e">
        <f>G1853*(VLOOKUP(B1853,Price_data!A$1:B$190,2,FALSE))</f>
        <v>#N/A</v>
      </c>
      <c r="R1853" s="3" t="e">
        <f>I1853*(VLOOKUP(B1853,Price_data!A$1:B$190,2,FALSE))</f>
        <v>#N/A</v>
      </c>
      <c r="S1853" s="4" t="str">
        <f>(VLOOKUP(B1853,Price_data!A$1:C$190,3,FALSE))</f>
        <v>EEZ</v>
      </c>
      <c r="T1853" s="2" t="str">
        <f>IF(C1853="Total", (VLOOKUP(B1853,Recommended_fish_intake!A$4:D$122,4,FALSE)), "NA")</f>
        <v>NA</v>
      </c>
      <c r="U1853" s="2" t="str">
        <f t="shared" si="214"/>
        <v>NA</v>
      </c>
    </row>
    <row r="1854" spans="1:21" ht="14.25" customHeight="1">
      <c r="A1854" s="2" t="s">
        <v>15</v>
      </c>
      <c r="B1854" s="2">
        <v>1981</v>
      </c>
      <c r="C1854" s="2" t="s">
        <v>19</v>
      </c>
      <c r="D1854" s="3">
        <f t="shared" si="215"/>
        <v>36.314999999999998</v>
      </c>
      <c r="E1854" s="3">
        <f t="shared" si="216"/>
        <v>4.851</v>
      </c>
      <c r="F1854" s="3" t="e">
        <f t="shared" si="217"/>
        <v>#N/A</v>
      </c>
      <c r="G1854" s="3" t="e">
        <f t="shared" si="218"/>
        <v>#N/A</v>
      </c>
      <c r="H1854" s="3">
        <f t="shared" si="219"/>
        <v>18.684999999999999</v>
      </c>
      <c r="I1854" s="3">
        <f t="shared" si="220"/>
        <v>8.3170000000000002</v>
      </c>
      <c r="J1854" s="2">
        <v>36315</v>
      </c>
      <c r="K1854" s="2">
        <v>4851</v>
      </c>
      <c r="N1854" s="2">
        <f>6983+8966+1708+1028</f>
        <v>18685</v>
      </c>
      <c r="O1854" s="2">
        <f>2034+4003+1062+1218</f>
        <v>8317</v>
      </c>
      <c r="P1854" s="3">
        <f>E1854*(VLOOKUP(B1854,Price_data!A$1:B$190,2,FALSE))</f>
        <v>11.047124747736001</v>
      </c>
      <c r="Q1854" s="3" t="e">
        <f>G1854*(VLOOKUP(B1854,Price_data!A$1:B$190,2,FALSE))</f>
        <v>#N/A</v>
      </c>
      <c r="R1854" s="3">
        <f>I1854*(VLOOKUP(B1854,Price_data!A$1:B$190,2,FALSE))</f>
        <v>18.940205427112002</v>
      </c>
      <c r="S1854" s="4" t="str">
        <f>(VLOOKUP(B1854,Price_data!A$1:C$190,3,FALSE))</f>
        <v>EEZ</v>
      </c>
      <c r="T1854" s="2" t="str">
        <f>IF(C1854="Total", (VLOOKUP(B1854,Recommended_fish_intake!A$4:D$122,4,FALSE)), "NA")</f>
        <v>NA</v>
      </c>
      <c r="U1854" s="2" t="str">
        <f t="shared" si="214"/>
        <v>NA</v>
      </c>
    </row>
    <row r="1855" spans="1:21" ht="14.25" customHeight="1">
      <c r="A1855" s="2" t="s">
        <v>15</v>
      </c>
      <c r="B1855" s="2">
        <v>1981</v>
      </c>
      <c r="C1855" s="2" t="s">
        <v>20</v>
      </c>
      <c r="D1855" s="3">
        <f t="shared" si="215"/>
        <v>197.232</v>
      </c>
      <c r="E1855" s="3">
        <f t="shared" si="216"/>
        <v>19.439</v>
      </c>
      <c r="F1855" s="3" t="e">
        <f t="shared" si="217"/>
        <v>#N/A</v>
      </c>
      <c r="G1855" s="3" t="e">
        <f t="shared" si="218"/>
        <v>#N/A</v>
      </c>
      <c r="H1855" s="3">
        <f t="shared" si="219"/>
        <v>1.6259999999999999</v>
      </c>
      <c r="I1855" s="3">
        <f t="shared" si="220"/>
        <v>1.6679999999999999</v>
      </c>
      <c r="J1855" s="2">
        <v>197232</v>
      </c>
      <c r="K1855" s="2">
        <v>19439</v>
      </c>
      <c r="N1855" s="2">
        <v>1626</v>
      </c>
      <c r="O1855" s="2">
        <v>1668</v>
      </c>
      <c r="P1855" s="3">
        <f>E1855*(VLOOKUP(B1855,Price_data!A$1:B$190,2,FALSE))</f>
        <v>44.268204075704006</v>
      </c>
      <c r="Q1855" s="3" t="e">
        <f>G1855*(VLOOKUP(B1855,Price_data!A$1:B$190,2,FALSE))</f>
        <v>#N/A</v>
      </c>
      <c r="R1855" s="3">
        <f>I1855*(VLOOKUP(B1855,Price_data!A$1:B$190,2,FALSE))</f>
        <v>3.798516610848</v>
      </c>
      <c r="S1855" s="4" t="str">
        <f>(VLOOKUP(B1855,Price_data!A$1:C$190,3,FALSE))</f>
        <v>EEZ</v>
      </c>
      <c r="T1855" s="2" t="str">
        <f>IF(C1855="Total", (VLOOKUP(B1855,Recommended_fish_intake!A$4:D$122,4,FALSE)), "NA")</f>
        <v>NA</v>
      </c>
      <c r="U1855" s="2" t="str">
        <f t="shared" si="214"/>
        <v>NA</v>
      </c>
    </row>
    <row r="1856" spans="1:21" ht="14.25" customHeight="1">
      <c r="A1856" s="2" t="s">
        <v>15</v>
      </c>
      <c r="B1856" s="2">
        <v>1981</v>
      </c>
      <c r="C1856" s="2" t="s">
        <v>21</v>
      </c>
      <c r="D1856" s="3">
        <f t="shared" si="215"/>
        <v>27.635000000000002</v>
      </c>
      <c r="E1856" s="3">
        <f t="shared" si="216"/>
        <v>1.71</v>
      </c>
      <c r="F1856" s="3" t="e">
        <f t="shared" si="217"/>
        <v>#N/A</v>
      </c>
      <c r="G1856" s="3" t="e">
        <f t="shared" si="218"/>
        <v>#N/A</v>
      </c>
      <c r="H1856" s="3" t="e">
        <f t="shared" si="219"/>
        <v>#N/A</v>
      </c>
      <c r="I1856" s="3" t="e">
        <f t="shared" si="220"/>
        <v>#N/A</v>
      </c>
      <c r="J1856" s="2">
        <v>27635</v>
      </c>
      <c r="K1856" s="2">
        <v>1710</v>
      </c>
      <c r="P1856" s="3">
        <f>E1856*(VLOOKUP(B1856,Price_data!A$1:B$190,2,FALSE))</f>
        <v>3.89416271256</v>
      </c>
      <c r="Q1856" s="3" t="e">
        <f>G1856*(VLOOKUP(B1856,Price_data!A$1:B$190,2,FALSE))</f>
        <v>#N/A</v>
      </c>
      <c r="R1856" s="3" t="e">
        <f>I1856*(VLOOKUP(B1856,Price_data!A$1:B$190,2,FALSE))</f>
        <v>#N/A</v>
      </c>
      <c r="S1856" s="4" t="str">
        <f>(VLOOKUP(B1856,Price_data!A$1:C$190,3,FALSE))</f>
        <v>EEZ</v>
      </c>
      <c r="T1856" s="2" t="str">
        <f>IF(C1856="Total", (VLOOKUP(B1856,Recommended_fish_intake!A$4:D$122,4,FALSE)), "NA")</f>
        <v>NA</v>
      </c>
      <c r="U1856" s="2" t="str">
        <f t="shared" si="214"/>
        <v>NA</v>
      </c>
    </row>
    <row r="1857" spans="1:21" ht="14.25" customHeight="1">
      <c r="A1857" s="2" t="s">
        <v>15</v>
      </c>
      <c r="B1857" s="2">
        <v>1981</v>
      </c>
      <c r="C1857" s="2" t="s">
        <v>37</v>
      </c>
      <c r="D1857" s="3">
        <f t="shared" si="215"/>
        <v>681.01</v>
      </c>
      <c r="E1857" s="3">
        <f t="shared" si="216"/>
        <v>191.91499999999999</v>
      </c>
      <c r="F1857" s="3">
        <f t="shared" si="217"/>
        <v>301.54399999999998</v>
      </c>
      <c r="G1857" s="3">
        <f t="shared" si="218"/>
        <v>103.45399999999999</v>
      </c>
      <c r="H1857" s="3">
        <f t="shared" si="219"/>
        <v>315.67700000000002</v>
      </c>
      <c r="I1857" s="3">
        <f t="shared" si="220"/>
        <v>331.71300000000002</v>
      </c>
      <c r="J1857" s="2">
        <v>681010</v>
      </c>
      <c r="K1857" s="2">
        <v>191915</v>
      </c>
      <c r="L1857" s="2">
        <v>301544</v>
      </c>
      <c r="M1857" s="2">
        <v>103454</v>
      </c>
      <c r="N1857" s="2">
        <v>315677</v>
      </c>
      <c r="O1857" s="2">
        <v>331713</v>
      </c>
      <c r="P1857" s="3">
        <f>E1857*(VLOOKUP(B1857,Price_data!A$1:B$190,2,FALSE))</f>
        <v>437.04575262044</v>
      </c>
      <c r="Q1857" s="3">
        <f>G1857*(VLOOKUP(B1857,Price_data!A$1:B$190,2,FALSE))</f>
        <v>235.594566821744</v>
      </c>
      <c r="R1857" s="3">
        <f>I1857*(VLOOKUP(B1857,Price_data!A$1:B$190,2,FALSE))</f>
        <v>755.40607945696809</v>
      </c>
      <c r="S1857" s="4" t="str">
        <f>(VLOOKUP(B1857,Price_data!A$1:C$190,3,FALSE))</f>
        <v>EEZ</v>
      </c>
      <c r="T1857" s="2" t="str">
        <f>IF(C1857="Total", (VLOOKUP(B1857,Recommended_fish_intake!A$4:D$122,4,FALSE)), "NA")</f>
        <v>NA</v>
      </c>
      <c r="U1857" s="2">
        <f t="shared" si="214"/>
        <v>333.69489999999996</v>
      </c>
    </row>
    <row r="1858" spans="1:21" ht="14.25" customHeight="1">
      <c r="A1858" s="2" t="s">
        <v>15</v>
      </c>
      <c r="B1858" s="2">
        <v>1981</v>
      </c>
      <c r="C1858" s="2" t="s">
        <v>36</v>
      </c>
      <c r="D1858" s="3">
        <f t="shared" si="215"/>
        <v>9.7449999999999992</v>
      </c>
      <c r="E1858" s="3">
        <f t="shared" si="216"/>
        <v>4.258</v>
      </c>
      <c r="F1858" s="3" t="e">
        <f t="shared" si="217"/>
        <v>#N/A</v>
      </c>
      <c r="G1858" s="3" t="e">
        <f t="shared" si="218"/>
        <v>#N/A</v>
      </c>
      <c r="H1858" s="3">
        <f t="shared" si="219"/>
        <v>1.5860000000000001</v>
      </c>
      <c r="I1858" s="3">
        <f t="shared" si="220"/>
        <v>5.1829999999999998</v>
      </c>
      <c r="J1858" s="2">
        <v>9745</v>
      </c>
      <c r="K1858" s="2">
        <v>4258</v>
      </c>
      <c r="N1858" s="2">
        <v>1586</v>
      </c>
      <c r="O1858" s="2">
        <v>5183</v>
      </c>
      <c r="P1858" s="3">
        <f>E1858*(VLOOKUP(B1858,Price_data!A$1:B$190,2,FALSE))</f>
        <v>9.6966928830879997</v>
      </c>
      <c r="Q1858" s="3" t="e">
        <f>G1858*(VLOOKUP(B1858,Price_data!A$1:B$190,2,FALSE))</f>
        <v>#N/A</v>
      </c>
      <c r="R1858" s="3">
        <f>I1858*(VLOOKUP(B1858,Price_data!A$1:B$190,2,FALSE))</f>
        <v>11.803184408888001</v>
      </c>
      <c r="S1858" s="4" t="str">
        <f>(VLOOKUP(B1858,Price_data!A$1:C$190,3,FALSE))</f>
        <v>EEZ</v>
      </c>
      <c r="T1858" s="2" t="str">
        <f>IF(C1858="Total", (VLOOKUP(B1858,Recommended_fish_intake!A$4:D$122,4,FALSE)), "NA")</f>
        <v>NA</v>
      </c>
      <c r="U1858" s="2" t="str">
        <f t="shared" ref="U1858:U1921" si="221">IF(C1858="Wet fish", D1858*0.49, IF(C1858="Shellfish", D1858*0.28, "NA"))</f>
        <v>NA</v>
      </c>
    </row>
    <row r="1859" spans="1:21" ht="14.25" customHeight="1">
      <c r="A1859" s="2" t="s">
        <v>15</v>
      </c>
      <c r="B1859" s="2">
        <v>1981</v>
      </c>
      <c r="C1859" s="2" t="s">
        <v>34</v>
      </c>
      <c r="D1859" s="3">
        <f t="shared" si="215"/>
        <v>0.83399999999999996</v>
      </c>
      <c r="E1859" s="3">
        <f t="shared" si="216"/>
        <v>3.8809999999999998</v>
      </c>
      <c r="F1859" s="3" t="e">
        <f t="shared" si="217"/>
        <v>#N/A</v>
      </c>
      <c r="G1859" s="3" t="e">
        <f t="shared" si="218"/>
        <v>#N/A</v>
      </c>
      <c r="H1859" s="3" t="e">
        <f t="shared" si="219"/>
        <v>#N/A</v>
      </c>
      <c r="I1859" s="3" t="e">
        <f t="shared" si="220"/>
        <v>#N/A</v>
      </c>
      <c r="J1859" s="2">
        <v>834</v>
      </c>
      <c r="K1859" s="2">
        <v>3881</v>
      </c>
      <c r="P1859" s="3">
        <f>E1859*(VLOOKUP(B1859,Price_data!A$1:B$190,2,FALSE))</f>
        <v>8.8381552558159999</v>
      </c>
      <c r="Q1859" s="3" t="e">
        <f>G1859*(VLOOKUP(B1859,Price_data!A$1:B$190,2,FALSE))</f>
        <v>#N/A</v>
      </c>
      <c r="R1859" s="3" t="e">
        <f>I1859*(VLOOKUP(B1859,Price_data!A$1:B$190,2,FALSE))</f>
        <v>#N/A</v>
      </c>
      <c r="S1859" s="4" t="str">
        <f>(VLOOKUP(B1859,Price_data!A$1:C$190,3,FALSE))</f>
        <v>EEZ</v>
      </c>
      <c r="T1859" s="2" t="str">
        <f>IF(C1859="Total", (VLOOKUP(B1859,Recommended_fish_intake!A$4:D$122,4,FALSE)), "NA")</f>
        <v>NA</v>
      </c>
      <c r="U1859" s="2" t="str">
        <f t="shared" si="221"/>
        <v>NA</v>
      </c>
    </row>
    <row r="1860" spans="1:21" ht="14.25" customHeight="1">
      <c r="A1860" s="2" t="s">
        <v>15</v>
      </c>
      <c r="B1860" s="2">
        <v>1981</v>
      </c>
      <c r="C1860" s="2" t="s">
        <v>35</v>
      </c>
      <c r="D1860" s="3">
        <f t="shared" si="215"/>
        <v>15.65</v>
      </c>
      <c r="E1860" s="3">
        <f t="shared" si="216"/>
        <v>16.593</v>
      </c>
      <c r="F1860" s="3" t="e">
        <f t="shared" si="217"/>
        <v>#N/A</v>
      </c>
      <c r="G1860" s="3" t="e">
        <f t="shared" si="218"/>
        <v>#N/A</v>
      </c>
      <c r="H1860" s="3" t="e">
        <f t="shared" si="219"/>
        <v>#N/A</v>
      </c>
      <c r="I1860" s="3" t="e">
        <f t="shared" si="220"/>
        <v>#N/A</v>
      </c>
      <c r="J1860" s="2">
        <v>15650</v>
      </c>
      <c r="K1860" s="2">
        <v>16593</v>
      </c>
      <c r="P1860" s="3">
        <f>E1860*(VLOOKUP(B1860,Price_data!A$1:B$190,2,FALSE))</f>
        <v>37.787042040648004</v>
      </c>
      <c r="Q1860" s="3" t="e">
        <f>G1860*(VLOOKUP(B1860,Price_data!A$1:B$190,2,FALSE))</f>
        <v>#N/A</v>
      </c>
      <c r="R1860" s="3" t="e">
        <f>I1860*(VLOOKUP(B1860,Price_data!A$1:B$190,2,FALSE))</f>
        <v>#N/A</v>
      </c>
      <c r="S1860" s="4" t="str">
        <f>(VLOOKUP(B1860,Price_data!A$1:C$190,3,FALSE))</f>
        <v>EEZ</v>
      </c>
      <c r="T1860" s="2" t="str">
        <f>IF(C1860="Total", (VLOOKUP(B1860,Recommended_fish_intake!A$4:D$122,4,FALSE)), "NA")</f>
        <v>NA</v>
      </c>
      <c r="U1860" s="2" t="str">
        <f t="shared" si="221"/>
        <v>NA</v>
      </c>
    </row>
    <row r="1861" spans="1:21" ht="14.25" customHeight="1">
      <c r="A1861" s="2" t="s">
        <v>15</v>
      </c>
      <c r="B1861" s="2">
        <v>1981</v>
      </c>
      <c r="C1861" s="2" t="s">
        <v>52</v>
      </c>
      <c r="D1861" s="3">
        <f t="shared" si="215"/>
        <v>8.58</v>
      </c>
      <c r="E1861" s="3">
        <f t="shared" si="216"/>
        <v>5.3739999999999997</v>
      </c>
      <c r="F1861" s="3" t="e">
        <f t="shared" si="217"/>
        <v>#N/A</v>
      </c>
      <c r="G1861" s="3" t="e">
        <f t="shared" si="218"/>
        <v>#N/A</v>
      </c>
      <c r="H1861" s="3" t="e">
        <f t="shared" si="219"/>
        <v>#N/A</v>
      </c>
      <c r="I1861" s="3" t="e">
        <f t="shared" si="220"/>
        <v>#N/A</v>
      </c>
      <c r="J1861" s="2">
        <v>8580</v>
      </c>
      <c r="K1861" s="2">
        <v>5374</v>
      </c>
      <c r="P1861" s="3">
        <f>E1861*(VLOOKUP(B1861,Price_data!A$1:B$190,2,FALSE))</f>
        <v>12.238146442864</v>
      </c>
      <c r="Q1861" s="3" t="e">
        <f>G1861*(VLOOKUP(B1861,Price_data!A$1:B$190,2,FALSE))</f>
        <v>#N/A</v>
      </c>
      <c r="R1861" s="3" t="e">
        <f>I1861*(VLOOKUP(B1861,Price_data!A$1:B$190,2,FALSE))</f>
        <v>#N/A</v>
      </c>
      <c r="S1861" s="4" t="str">
        <f>(VLOOKUP(B1861,Price_data!A$1:C$190,3,FALSE))</f>
        <v>EEZ</v>
      </c>
      <c r="T1861" s="2" t="str">
        <f>IF(C1861="Total", (VLOOKUP(B1861,Recommended_fish_intake!A$4:D$122,4,FALSE)), "NA")</f>
        <v>NA</v>
      </c>
      <c r="U1861" s="2" t="str">
        <f t="shared" si="221"/>
        <v>NA</v>
      </c>
    </row>
    <row r="1862" spans="1:21" ht="14.25" customHeight="1">
      <c r="A1862" s="2" t="s">
        <v>15</v>
      </c>
      <c r="B1862" s="2">
        <v>1981</v>
      </c>
      <c r="C1862" s="2" t="s">
        <v>30</v>
      </c>
      <c r="D1862" s="3">
        <f t="shared" si="215"/>
        <v>1.4159999999999999</v>
      </c>
      <c r="E1862" s="3">
        <f t="shared" si="216"/>
        <v>1.097</v>
      </c>
      <c r="F1862" s="3" t="e">
        <f t="shared" si="217"/>
        <v>#N/A</v>
      </c>
      <c r="G1862" s="3" t="e">
        <f t="shared" si="218"/>
        <v>#N/A</v>
      </c>
      <c r="H1862" s="3">
        <f t="shared" si="219"/>
        <v>11.286</v>
      </c>
      <c r="I1862" s="3">
        <f t="shared" si="220"/>
        <v>26.725000000000001</v>
      </c>
      <c r="J1862" s="2">
        <v>1416</v>
      </c>
      <c r="K1862" s="2">
        <v>1097</v>
      </c>
      <c r="N1862" s="2">
        <f>4735+6551</f>
        <v>11286</v>
      </c>
      <c r="O1862" s="2">
        <f>9480+17245</f>
        <v>26725</v>
      </c>
      <c r="P1862" s="3">
        <f>E1862*(VLOOKUP(B1862,Price_data!A$1:B$190,2,FALSE))</f>
        <v>2.498185085192</v>
      </c>
      <c r="Q1862" s="3" t="e">
        <f>G1862*(VLOOKUP(B1862,Price_data!A$1:B$190,2,FALSE))</f>
        <v>#N/A</v>
      </c>
      <c r="R1862" s="3">
        <f>I1862*(VLOOKUP(B1862,Price_data!A$1:B$190,2,FALSE))</f>
        <v>60.860525434600007</v>
      </c>
      <c r="S1862" s="4" t="str">
        <f>(VLOOKUP(B1862,Price_data!A$1:C$190,3,FALSE))</f>
        <v>EEZ</v>
      </c>
      <c r="T1862" s="2" t="str">
        <f>IF(C1862="Total", (VLOOKUP(B1862,Recommended_fish_intake!A$4:D$122,4,FALSE)), "NA")</f>
        <v>NA</v>
      </c>
      <c r="U1862" s="2" t="str">
        <f t="shared" si="221"/>
        <v>NA</v>
      </c>
    </row>
    <row r="1863" spans="1:21" ht="14.25" customHeight="1">
      <c r="A1863" s="2" t="s">
        <v>15</v>
      </c>
      <c r="B1863" s="2">
        <v>1981</v>
      </c>
      <c r="C1863" s="2" t="s">
        <v>28</v>
      </c>
      <c r="D1863" s="3">
        <f t="shared" si="215"/>
        <v>64.412000000000006</v>
      </c>
      <c r="E1863" s="3">
        <f t="shared" si="216"/>
        <v>37.154000000000003</v>
      </c>
      <c r="F1863" s="3">
        <f t="shared" si="217"/>
        <v>28.045999999999999</v>
      </c>
      <c r="G1863" s="3">
        <f t="shared" si="218"/>
        <v>51.57</v>
      </c>
      <c r="H1863" s="3">
        <f t="shared" si="219"/>
        <v>28.908999999999999</v>
      </c>
      <c r="I1863" s="3">
        <f t="shared" si="220"/>
        <v>71.994</v>
      </c>
      <c r="J1863" s="2">
        <v>64412</v>
      </c>
      <c r="K1863" s="2">
        <v>37154</v>
      </c>
      <c r="L1863" s="2">
        <v>28046</v>
      </c>
      <c r="M1863" s="2">
        <v>51570</v>
      </c>
      <c r="N1863" s="2">
        <v>28909</v>
      </c>
      <c r="O1863" s="2">
        <v>71994</v>
      </c>
      <c r="P1863" s="3">
        <f>E1863*(VLOOKUP(B1863,Price_data!A$1:B$190,2,FALSE))</f>
        <v>84.61036340494401</v>
      </c>
      <c r="Q1863" s="3">
        <f>G1863*(VLOOKUP(B1863,Price_data!A$1:B$190,2,FALSE))</f>
        <v>117.43974917352001</v>
      </c>
      <c r="R1863" s="3">
        <f>I1863*(VLOOKUP(B1863,Price_data!A$1:B$190,2,FALSE))</f>
        <v>163.951082063184</v>
      </c>
      <c r="S1863" s="4" t="str">
        <f>(VLOOKUP(B1863,Price_data!A$1:C$190,3,FALSE))</f>
        <v>EEZ</v>
      </c>
      <c r="T1863" s="2" t="str">
        <f>IF(C1863="Total", (VLOOKUP(B1863,Recommended_fish_intake!A$4:D$122,4,FALSE)), "NA")</f>
        <v>NA</v>
      </c>
      <c r="U1863" s="2">
        <f t="shared" si="221"/>
        <v>18.035360000000004</v>
      </c>
    </row>
    <row r="1864" spans="1:21" ht="14.25" customHeight="1">
      <c r="A1864" s="2" t="s">
        <v>18</v>
      </c>
      <c r="B1864" s="2">
        <v>1981</v>
      </c>
      <c r="C1864" s="2" t="s">
        <v>16</v>
      </c>
      <c r="D1864" s="3">
        <f t="shared" si="215"/>
        <v>283.52999999999997</v>
      </c>
      <c r="E1864" s="3">
        <f t="shared" si="216"/>
        <v>95.069000000000003</v>
      </c>
      <c r="F1864" s="3" t="e">
        <f t="shared" si="217"/>
        <v>#N/A</v>
      </c>
      <c r="G1864" s="3" t="e">
        <f t="shared" si="218"/>
        <v>#N/A</v>
      </c>
      <c r="H1864" s="3" t="e">
        <f t="shared" si="219"/>
        <v>#N/A</v>
      </c>
      <c r="I1864" s="3" t="e">
        <f t="shared" si="220"/>
        <v>#N/A</v>
      </c>
      <c r="J1864" s="2">
        <v>283530</v>
      </c>
      <c r="K1864" s="2">
        <v>95069</v>
      </c>
      <c r="P1864" s="3">
        <f>E1864*(VLOOKUP(B1864,Price_data!A$1:B$190,2,FALSE))</f>
        <v>216.49950580138403</v>
      </c>
      <c r="Q1864" s="3" t="e">
        <f>G1864*(VLOOKUP(B1864,Price_data!A$1:B$190,2,FALSE))</f>
        <v>#N/A</v>
      </c>
      <c r="R1864" s="3" t="e">
        <f>I1864*(VLOOKUP(B1864,Price_data!A$1:B$190,2,FALSE))</f>
        <v>#N/A</v>
      </c>
      <c r="S1864" s="4" t="str">
        <f>(VLOOKUP(B1864,Price_data!A$1:C$190,3,FALSE))</f>
        <v>EEZ</v>
      </c>
      <c r="T1864" s="2">
        <f>IF(C1864="Total", (VLOOKUP(B1864,Recommended_fish_intake!A$4:D$122,4,FALSE)), "NA")</f>
        <v>738.11608173030004</v>
      </c>
      <c r="U1864" s="2" t="str">
        <f t="shared" si="221"/>
        <v>NA</v>
      </c>
    </row>
    <row r="1865" spans="1:21" ht="14.25" customHeight="1">
      <c r="A1865" s="2" t="s">
        <v>39</v>
      </c>
      <c r="B1865" s="2">
        <v>1981</v>
      </c>
      <c r="C1865" s="2" t="s">
        <v>16</v>
      </c>
      <c r="D1865" s="3">
        <f t="shared" si="215"/>
        <v>443.99599999999998</v>
      </c>
      <c r="E1865" s="3">
        <f t="shared" si="216"/>
        <v>127.488</v>
      </c>
      <c r="F1865" s="3" t="e">
        <f t="shared" si="217"/>
        <v>#N/A</v>
      </c>
      <c r="G1865" s="3" t="e">
        <f t="shared" si="218"/>
        <v>#N/A</v>
      </c>
      <c r="H1865" s="3" t="e">
        <f t="shared" si="219"/>
        <v>#N/A</v>
      </c>
      <c r="I1865" s="3" t="e">
        <f t="shared" si="220"/>
        <v>#N/A</v>
      </c>
      <c r="J1865" s="2">
        <v>443996</v>
      </c>
      <c r="K1865" s="2">
        <v>127488</v>
      </c>
      <c r="P1865" s="3">
        <f>E1865*(VLOOKUP(B1865,Price_data!A$1:B$190,2,FALSE))</f>
        <v>290.326909882368</v>
      </c>
      <c r="Q1865" s="3" t="e">
        <f>G1865*(VLOOKUP(B1865,Price_data!A$1:B$190,2,FALSE))</f>
        <v>#N/A</v>
      </c>
      <c r="R1865" s="3" t="e">
        <f>I1865*(VLOOKUP(B1865,Price_data!A$1:B$190,2,FALSE))</f>
        <v>#N/A</v>
      </c>
      <c r="S1865" s="4" t="str">
        <f>(VLOOKUP(B1865,Price_data!A$1:C$190,3,FALSE))</f>
        <v>EEZ</v>
      </c>
      <c r="T1865" s="2">
        <f>IF(C1865="Total", (VLOOKUP(B1865,Recommended_fish_intake!A$4:D$122,4,FALSE)), "NA")</f>
        <v>738.11608173030004</v>
      </c>
      <c r="U1865" s="2" t="str">
        <f t="shared" si="221"/>
        <v>NA</v>
      </c>
    </row>
    <row r="1866" spans="1:21" ht="14.25" customHeight="1">
      <c r="A1866" s="2" t="s">
        <v>40</v>
      </c>
      <c r="B1866" s="2">
        <v>1981</v>
      </c>
      <c r="C1866" s="2" t="s">
        <v>16</v>
      </c>
      <c r="D1866" s="3">
        <f t="shared" si="215"/>
        <v>17.896000000000001</v>
      </c>
      <c r="E1866" s="3">
        <f t="shared" si="216"/>
        <v>6.5119999999999996</v>
      </c>
      <c r="F1866" s="3" t="e">
        <f t="shared" si="217"/>
        <v>#N/A</v>
      </c>
      <c r="G1866" s="3" t="e">
        <f t="shared" si="218"/>
        <v>#N/A</v>
      </c>
      <c r="H1866" s="3" t="e">
        <f t="shared" si="219"/>
        <v>#N/A</v>
      </c>
      <c r="I1866" s="3" t="e">
        <f t="shared" si="220"/>
        <v>#N/A</v>
      </c>
      <c r="J1866" s="2">
        <v>17896</v>
      </c>
      <c r="K1866" s="2">
        <v>6512</v>
      </c>
      <c r="P1866" s="3">
        <f>E1866*(VLOOKUP(B1866,Price_data!A$1:B$190,2,FALSE))</f>
        <v>14.829700341632</v>
      </c>
      <c r="Q1866" s="3" t="e">
        <f>G1866*(VLOOKUP(B1866,Price_data!A$1:B$190,2,FALSE))</f>
        <v>#N/A</v>
      </c>
      <c r="R1866" s="3" t="e">
        <f>I1866*(VLOOKUP(B1866,Price_data!A$1:B$190,2,FALSE))</f>
        <v>#N/A</v>
      </c>
      <c r="S1866" s="4" t="str">
        <f>(VLOOKUP(B1866,Price_data!A$1:C$190,3,FALSE))</f>
        <v>EEZ</v>
      </c>
      <c r="T1866" s="2">
        <f>IF(C1866="Total", (VLOOKUP(B1866,Recommended_fish_intake!A$4:D$122,4,FALSE)), "NA")</f>
        <v>738.11608173030004</v>
      </c>
      <c r="U1866" s="2" t="str">
        <f t="shared" si="221"/>
        <v>NA</v>
      </c>
    </row>
    <row r="1867" spans="1:21" ht="14.25" customHeight="1">
      <c r="A1867" s="2" t="s">
        <v>15</v>
      </c>
      <c r="B1867" s="2">
        <v>1981</v>
      </c>
      <c r="C1867" s="2" t="s">
        <v>16</v>
      </c>
      <c r="D1867" s="3">
        <f t="shared" si="215"/>
        <v>745.42200000000003</v>
      </c>
      <c r="E1867" s="3">
        <f t="shared" si="216"/>
        <v>229.06899999999999</v>
      </c>
      <c r="F1867" s="3">
        <f t="shared" si="217"/>
        <v>329.59</v>
      </c>
      <c r="G1867" s="3">
        <f t="shared" si="218"/>
        <v>155.024</v>
      </c>
      <c r="H1867" s="3">
        <f t="shared" si="219"/>
        <v>344.58600000000001</v>
      </c>
      <c r="I1867" s="3">
        <f t="shared" si="220"/>
        <v>403.70699999999999</v>
      </c>
      <c r="J1867" s="2">
        <v>745422</v>
      </c>
      <c r="K1867" s="2">
        <v>229069</v>
      </c>
      <c r="L1867" s="2">
        <v>329590</v>
      </c>
      <c r="M1867" s="2">
        <v>155024</v>
      </c>
      <c r="N1867" s="2">
        <v>344586</v>
      </c>
      <c r="O1867" s="2">
        <v>403707</v>
      </c>
      <c r="P1867" s="3">
        <f>E1867*(VLOOKUP(B1867,Price_data!A$1:B$190,2,FALSE))</f>
        <v>521.65611602538399</v>
      </c>
      <c r="Q1867" s="3">
        <f>G1867*(VLOOKUP(B1867,Price_data!A$1:B$190,2,FALSE))</f>
        <v>353.03431599526402</v>
      </c>
      <c r="R1867" s="3">
        <f>I1867*(VLOOKUP(B1867,Price_data!A$1:B$190,2,FALSE))</f>
        <v>919.35716152015209</v>
      </c>
      <c r="S1867" s="4" t="str">
        <f>(VLOOKUP(B1867,Price_data!A$1:C$190,3,FALSE))</f>
        <v>EEZ</v>
      </c>
      <c r="T1867" s="2">
        <f>IF(C1867="Total", (VLOOKUP(B1867,Recommended_fish_intake!A$4:D$122,4,FALSE)), "NA")</f>
        <v>738.11608173030004</v>
      </c>
      <c r="U1867" s="2" t="str">
        <f t="shared" si="221"/>
        <v>NA</v>
      </c>
    </row>
    <row r="1868" spans="1:21" ht="14.25" customHeight="1">
      <c r="A1868" s="2" t="s">
        <v>15</v>
      </c>
      <c r="B1868" s="2">
        <v>1981</v>
      </c>
      <c r="C1868" s="2" t="s">
        <v>29</v>
      </c>
      <c r="D1868" s="3" t="e">
        <f t="shared" si="215"/>
        <v>#N/A</v>
      </c>
      <c r="E1868" s="3" t="e">
        <f t="shared" si="216"/>
        <v>#N/A</v>
      </c>
      <c r="F1868" s="3" t="e">
        <f t="shared" si="217"/>
        <v>#N/A</v>
      </c>
      <c r="G1868" s="3" t="e">
        <f t="shared" si="218"/>
        <v>#N/A</v>
      </c>
      <c r="H1868" s="3">
        <f t="shared" si="219"/>
        <v>35.683999999999997</v>
      </c>
      <c r="I1868" s="3">
        <f t="shared" si="220"/>
        <v>87.132000000000005</v>
      </c>
      <c r="J1868" s="3" t="e">
        <v>#N/A</v>
      </c>
      <c r="K1868" s="3" t="e">
        <v>#N/A</v>
      </c>
      <c r="L1868" s="3" t="e">
        <v>#N/A</v>
      </c>
      <c r="M1868" s="3" t="e">
        <v>#N/A</v>
      </c>
      <c r="N1868" s="2">
        <f>501+5634+29549</f>
        <v>35684</v>
      </c>
      <c r="O1868" s="2">
        <f>1657+12828+72647</f>
        <v>87132</v>
      </c>
      <c r="P1868" s="3" t="e">
        <f>E1868*(VLOOKUP(B1868,Price_data!A$1:B$190,2,FALSE))</f>
        <v>#N/A</v>
      </c>
      <c r="Q1868" s="3" t="e">
        <f>G1868*(VLOOKUP(B1868,Price_data!A$1:B$190,2,FALSE))</f>
        <v>#N/A</v>
      </c>
      <c r="R1868" s="3">
        <f>I1868*(VLOOKUP(B1868,Price_data!A$1:B$190,2,FALSE))</f>
        <v>198.42466986595201</v>
      </c>
      <c r="S1868" s="4" t="str">
        <f>(VLOOKUP(B1868,Price_data!A$1:C$190,3,FALSE))</f>
        <v>EEZ</v>
      </c>
      <c r="T1868" s="2" t="str">
        <f>IF(C1868="Total", (VLOOKUP(B1868,Recommended_fish_intake!A$4:D$122,4,FALSE)), "NA")</f>
        <v>NA</v>
      </c>
      <c r="U1868" s="2" t="str">
        <f t="shared" si="221"/>
        <v>NA</v>
      </c>
    </row>
    <row r="1869" spans="1:21" ht="14.25" customHeight="1">
      <c r="A1869" s="2" t="s">
        <v>15</v>
      </c>
      <c r="B1869" s="2">
        <v>1981</v>
      </c>
      <c r="C1869" s="2" t="s">
        <v>43</v>
      </c>
      <c r="D1869" s="3" t="e">
        <f t="shared" si="215"/>
        <v>#N/A</v>
      </c>
      <c r="E1869" s="3" t="e">
        <f t="shared" si="216"/>
        <v>#N/A</v>
      </c>
      <c r="F1869" s="3" t="e">
        <f t="shared" si="217"/>
        <v>#N/A</v>
      </c>
      <c r="G1869" s="3" t="e">
        <f t="shared" si="218"/>
        <v>#N/A</v>
      </c>
      <c r="H1869" s="3">
        <f t="shared" si="219"/>
        <v>19.201000000000001</v>
      </c>
      <c r="I1869" s="3">
        <f t="shared" si="220"/>
        <v>36.642000000000003</v>
      </c>
      <c r="J1869" s="3" t="e">
        <v>#N/A</v>
      </c>
      <c r="K1869" s="3" t="e">
        <v>#N/A</v>
      </c>
      <c r="L1869" s="3" t="e">
        <v>#N/A</v>
      </c>
      <c r="M1869" s="3" t="e">
        <v>#N/A</v>
      </c>
      <c r="N1869" s="2">
        <v>19201</v>
      </c>
      <c r="O1869" s="2">
        <v>36642</v>
      </c>
      <c r="P1869" s="3" t="e">
        <f>E1869*(VLOOKUP(B1869,Price_data!A$1:B$190,2,FALSE))</f>
        <v>#N/A</v>
      </c>
      <c r="Q1869" s="3" t="e">
        <f>G1869*(VLOOKUP(B1869,Price_data!A$1:B$190,2,FALSE))</f>
        <v>#N/A</v>
      </c>
      <c r="R1869" s="3">
        <f>I1869*(VLOOKUP(B1869,Price_data!A$1:B$190,2,FALSE))</f>
        <v>83.444391879312008</v>
      </c>
      <c r="S1869" s="4" t="str">
        <f>(VLOOKUP(B1869,Price_data!A$1:C$190,3,FALSE))</f>
        <v>EEZ</v>
      </c>
      <c r="T1869" s="2" t="str">
        <f>IF(C1869="Total", (VLOOKUP(B1869,Recommended_fish_intake!A$4:D$122,4,FALSE)), "NA")</f>
        <v>NA</v>
      </c>
      <c r="U1869" s="2" t="str">
        <f t="shared" si="221"/>
        <v>NA</v>
      </c>
    </row>
    <row r="1870" spans="1:21" ht="14.25" customHeight="1">
      <c r="A1870" s="2" t="s">
        <v>18</v>
      </c>
      <c r="B1870" s="2">
        <v>1982</v>
      </c>
      <c r="C1870" s="2" t="s">
        <v>22</v>
      </c>
      <c r="D1870" s="3">
        <f t="shared" si="215"/>
        <v>56.18</v>
      </c>
      <c r="E1870" s="3">
        <f t="shared" si="216"/>
        <v>34.628</v>
      </c>
      <c r="F1870" s="3" t="e">
        <f t="shared" si="217"/>
        <v>#N/A</v>
      </c>
      <c r="G1870" s="3" t="e">
        <f t="shared" si="218"/>
        <v>#N/A</v>
      </c>
      <c r="H1870" s="3" t="e">
        <f t="shared" si="219"/>
        <v>#N/A</v>
      </c>
      <c r="I1870" s="3" t="e">
        <f t="shared" si="220"/>
        <v>#N/A</v>
      </c>
      <c r="J1870" s="2">
        <v>56180</v>
      </c>
      <c r="K1870" s="2">
        <v>34628</v>
      </c>
      <c r="P1870" s="3">
        <f>E1870*(VLOOKUP(B1870,Price_data!A$1:B$190,2,FALSE))</f>
        <v>72.606399485796004</v>
      </c>
      <c r="Q1870" s="3" t="e">
        <f>G1870*(VLOOKUP(B1870,Price_data!A$1:B$190,2,FALSE))</f>
        <v>#N/A</v>
      </c>
      <c r="R1870" s="3" t="e">
        <f>I1870*(VLOOKUP(B1870,Price_data!A$1:B$190,2,FALSE))</f>
        <v>#N/A</v>
      </c>
      <c r="S1870" s="4" t="str">
        <f>(VLOOKUP(B1870,Price_data!A$1:C$190,3,FALSE))</f>
        <v>EEZ</v>
      </c>
      <c r="T1870" s="2" t="str">
        <f>IF(C1870="Total", (VLOOKUP(B1870,Recommended_fish_intake!A$4:D$122,4,FALSE)), "NA")</f>
        <v>NA</v>
      </c>
      <c r="U1870" s="2" t="str">
        <f t="shared" si="221"/>
        <v>NA</v>
      </c>
    </row>
    <row r="1871" spans="1:21" ht="14.25" customHeight="1">
      <c r="A1871" s="2" t="s">
        <v>18</v>
      </c>
      <c r="B1871" s="2">
        <v>1982</v>
      </c>
      <c r="C1871" s="2" t="s">
        <v>23</v>
      </c>
      <c r="D1871" s="3">
        <f t="shared" si="215"/>
        <v>16.405000000000001</v>
      </c>
      <c r="E1871" s="3">
        <f t="shared" si="216"/>
        <v>6.8959999999999999</v>
      </c>
      <c r="F1871" s="3" t="e">
        <f t="shared" si="217"/>
        <v>#N/A</v>
      </c>
      <c r="G1871" s="3" t="e">
        <f t="shared" si="218"/>
        <v>#N/A</v>
      </c>
      <c r="H1871" s="3" t="e">
        <f t="shared" si="219"/>
        <v>#N/A</v>
      </c>
      <c r="I1871" s="3" t="e">
        <f t="shared" si="220"/>
        <v>#N/A</v>
      </c>
      <c r="J1871" s="2">
        <v>16405</v>
      </c>
      <c r="K1871" s="2">
        <v>6896</v>
      </c>
      <c r="P1871" s="3">
        <f>E1871*(VLOOKUP(B1871,Price_data!A$1:B$190,2,FALSE))</f>
        <v>14.459215977072001</v>
      </c>
      <c r="Q1871" s="3" t="e">
        <f>G1871*(VLOOKUP(B1871,Price_data!A$1:B$190,2,FALSE))</f>
        <v>#N/A</v>
      </c>
      <c r="R1871" s="3" t="e">
        <f>I1871*(VLOOKUP(B1871,Price_data!A$1:B$190,2,FALSE))</f>
        <v>#N/A</v>
      </c>
      <c r="S1871" s="4" t="str">
        <f>(VLOOKUP(B1871,Price_data!A$1:C$190,3,FALSE))</f>
        <v>EEZ</v>
      </c>
      <c r="T1871" s="2" t="str">
        <f>IF(C1871="Total", (VLOOKUP(B1871,Recommended_fish_intake!A$4:D$122,4,FALSE)), "NA")</f>
        <v>NA</v>
      </c>
      <c r="U1871" s="2" t="str">
        <f t="shared" si="221"/>
        <v>NA</v>
      </c>
    </row>
    <row r="1872" spans="1:21" ht="14.25" customHeight="1">
      <c r="A1872" s="2" t="s">
        <v>18</v>
      </c>
      <c r="B1872" s="2">
        <v>1982</v>
      </c>
      <c r="C1872" s="2" t="s">
        <v>25</v>
      </c>
      <c r="D1872" s="3">
        <f t="shared" si="215"/>
        <v>19.129000000000001</v>
      </c>
      <c r="E1872" s="3">
        <f t="shared" si="216"/>
        <v>11.034000000000001</v>
      </c>
      <c r="F1872" s="3" t="e">
        <f t="shared" si="217"/>
        <v>#N/A</v>
      </c>
      <c r="G1872" s="3" t="e">
        <f t="shared" si="218"/>
        <v>#N/A</v>
      </c>
      <c r="H1872" s="3" t="e">
        <f t="shared" si="219"/>
        <v>#N/A</v>
      </c>
      <c r="I1872" s="3" t="e">
        <f t="shared" si="220"/>
        <v>#N/A</v>
      </c>
      <c r="J1872" s="2">
        <v>19129</v>
      </c>
      <c r="K1872" s="2">
        <v>11034</v>
      </c>
      <c r="P1872" s="3">
        <f>E1872*(VLOOKUP(B1872,Price_data!A$1:B$190,2,FALSE))</f>
        <v>23.135584264938004</v>
      </c>
      <c r="Q1872" s="3" t="e">
        <f>G1872*(VLOOKUP(B1872,Price_data!A$1:B$190,2,FALSE))</f>
        <v>#N/A</v>
      </c>
      <c r="R1872" s="3" t="e">
        <f>I1872*(VLOOKUP(B1872,Price_data!A$1:B$190,2,FALSE))</f>
        <v>#N/A</v>
      </c>
      <c r="S1872" s="4" t="str">
        <f>(VLOOKUP(B1872,Price_data!A$1:C$190,3,FALSE))</f>
        <v>EEZ</v>
      </c>
      <c r="T1872" s="2" t="str">
        <f>IF(C1872="Total", (VLOOKUP(B1872,Recommended_fish_intake!A$4:D$122,4,FALSE)), "NA")</f>
        <v>NA</v>
      </c>
      <c r="U1872" s="2" t="str">
        <f t="shared" si="221"/>
        <v>NA</v>
      </c>
    </row>
    <row r="1873" spans="1:21" ht="14.25" customHeight="1">
      <c r="A1873" s="2" t="s">
        <v>18</v>
      </c>
      <c r="B1873" s="2">
        <v>1982</v>
      </c>
      <c r="C1873" s="2" t="s">
        <v>24</v>
      </c>
      <c r="D1873" s="3">
        <f t="shared" si="215"/>
        <v>6.7050000000000001</v>
      </c>
      <c r="E1873" s="3">
        <f t="shared" si="216"/>
        <v>1.696</v>
      </c>
      <c r="F1873" s="3" t="e">
        <f t="shared" si="217"/>
        <v>#N/A</v>
      </c>
      <c r="G1873" s="3" t="e">
        <f t="shared" si="218"/>
        <v>#N/A</v>
      </c>
      <c r="H1873" s="3" t="e">
        <f t="shared" si="219"/>
        <v>#N/A</v>
      </c>
      <c r="I1873" s="3" t="e">
        <f t="shared" si="220"/>
        <v>#N/A</v>
      </c>
      <c r="J1873" s="2">
        <v>6705</v>
      </c>
      <c r="K1873" s="2">
        <v>1696</v>
      </c>
      <c r="P1873" s="3">
        <f>E1873*(VLOOKUP(B1873,Price_data!A$1:B$190,2,FALSE))</f>
        <v>3.5560948806720001</v>
      </c>
      <c r="Q1873" s="3" t="e">
        <f>G1873*(VLOOKUP(B1873,Price_data!A$1:B$190,2,FALSE))</f>
        <v>#N/A</v>
      </c>
      <c r="R1873" s="3" t="e">
        <f>I1873*(VLOOKUP(B1873,Price_data!A$1:B$190,2,FALSE))</f>
        <v>#N/A</v>
      </c>
      <c r="S1873" s="4" t="str">
        <f>(VLOOKUP(B1873,Price_data!A$1:C$190,3,FALSE))</f>
        <v>EEZ</v>
      </c>
      <c r="T1873" s="2" t="str">
        <f>IF(C1873="Total", (VLOOKUP(B1873,Recommended_fish_intake!A$4:D$122,4,FALSE)), "NA")</f>
        <v>NA</v>
      </c>
      <c r="U1873" s="2" t="str">
        <f t="shared" si="221"/>
        <v>NA</v>
      </c>
    </row>
    <row r="1874" spans="1:21" ht="14.25" customHeight="1">
      <c r="A1874" s="2" t="s">
        <v>18</v>
      </c>
      <c r="B1874" s="2">
        <v>1982</v>
      </c>
      <c r="C1874" s="2" t="s">
        <v>19</v>
      </c>
      <c r="D1874" s="3">
        <f t="shared" si="215"/>
        <v>4.0970000000000004</v>
      </c>
      <c r="E1874" s="3">
        <f t="shared" si="216"/>
        <v>0.42099999999999999</v>
      </c>
      <c r="F1874" s="3" t="e">
        <f t="shared" si="217"/>
        <v>#N/A</v>
      </c>
      <c r="G1874" s="3" t="e">
        <f t="shared" si="218"/>
        <v>#N/A</v>
      </c>
      <c r="H1874" s="3" t="e">
        <f t="shared" si="219"/>
        <v>#N/A</v>
      </c>
      <c r="I1874" s="3" t="e">
        <f t="shared" si="220"/>
        <v>#N/A</v>
      </c>
      <c r="J1874" s="2">
        <v>4097</v>
      </c>
      <c r="K1874" s="2">
        <v>421</v>
      </c>
      <c r="P1874" s="3">
        <f>E1874*(VLOOKUP(B1874,Price_data!A$1:B$190,2,FALSE))</f>
        <v>0.88273345799699998</v>
      </c>
      <c r="Q1874" s="3" t="e">
        <f>G1874*(VLOOKUP(B1874,Price_data!A$1:B$190,2,FALSE))</f>
        <v>#N/A</v>
      </c>
      <c r="R1874" s="3" t="e">
        <f>I1874*(VLOOKUP(B1874,Price_data!A$1:B$190,2,FALSE))</f>
        <v>#N/A</v>
      </c>
      <c r="S1874" s="4" t="str">
        <f>(VLOOKUP(B1874,Price_data!A$1:C$190,3,FALSE))</f>
        <v>EEZ</v>
      </c>
      <c r="T1874" s="2" t="str">
        <f>IF(C1874="Total", (VLOOKUP(B1874,Recommended_fish_intake!A$4:D$122,4,FALSE)), "NA")</f>
        <v>NA</v>
      </c>
      <c r="U1874" s="2" t="str">
        <f t="shared" si="221"/>
        <v>NA</v>
      </c>
    </row>
    <row r="1875" spans="1:21" ht="14.25" customHeight="1">
      <c r="A1875" s="2" t="s">
        <v>18</v>
      </c>
      <c r="B1875" s="2">
        <v>1982</v>
      </c>
      <c r="C1875" s="2" t="s">
        <v>20</v>
      </c>
      <c r="D1875" s="3">
        <f t="shared" si="215"/>
        <v>54.023000000000003</v>
      </c>
      <c r="E1875" s="3">
        <f t="shared" si="216"/>
        <v>5.8490000000000002</v>
      </c>
      <c r="F1875" s="3" t="e">
        <f t="shared" si="217"/>
        <v>#N/A</v>
      </c>
      <c r="G1875" s="3" t="e">
        <f t="shared" si="218"/>
        <v>#N/A</v>
      </c>
      <c r="H1875" s="3" t="e">
        <f t="shared" si="219"/>
        <v>#N/A</v>
      </c>
      <c r="I1875" s="3" t="e">
        <f t="shared" si="220"/>
        <v>#N/A</v>
      </c>
      <c r="J1875" s="2">
        <v>54023</v>
      </c>
      <c r="K1875" s="2">
        <v>5849</v>
      </c>
      <c r="P1875" s="3">
        <f>E1875*(VLOOKUP(B1875,Price_data!A$1:B$190,2,FALSE))</f>
        <v>12.263914479393001</v>
      </c>
      <c r="Q1875" s="3" t="e">
        <f>G1875*(VLOOKUP(B1875,Price_data!A$1:B$190,2,FALSE))</f>
        <v>#N/A</v>
      </c>
      <c r="R1875" s="3" t="e">
        <f>I1875*(VLOOKUP(B1875,Price_data!A$1:B$190,2,FALSE))</f>
        <v>#N/A</v>
      </c>
      <c r="S1875" s="4" t="str">
        <f>(VLOOKUP(B1875,Price_data!A$1:C$190,3,FALSE))</f>
        <v>EEZ</v>
      </c>
      <c r="T1875" s="2" t="str">
        <f>IF(C1875="Total", (VLOOKUP(B1875,Recommended_fish_intake!A$4:D$122,4,FALSE)), "NA")</f>
        <v>NA</v>
      </c>
      <c r="U1875" s="2" t="str">
        <f t="shared" si="221"/>
        <v>NA</v>
      </c>
    </row>
    <row r="1876" spans="1:21" ht="14.25" customHeight="1">
      <c r="A1876" s="2" t="s">
        <v>18</v>
      </c>
      <c r="B1876" s="2">
        <v>1982</v>
      </c>
      <c r="C1876" s="2" t="s">
        <v>21</v>
      </c>
      <c r="D1876" s="3">
        <f t="shared" si="215"/>
        <v>18.308</v>
      </c>
      <c r="E1876" s="3">
        <f t="shared" si="216"/>
        <v>1.1399999999999999</v>
      </c>
      <c r="F1876" s="3" t="e">
        <f t="shared" si="217"/>
        <v>#N/A</v>
      </c>
      <c r="G1876" s="3" t="e">
        <f t="shared" si="218"/>
        <v>#N/A</v>
      </c>
      <c r="H1876" s="3" t="e">
        <f t="shared" si="219"/>
        <v>#N/A</v>
      </c>
      <c r="I1876" s="3" t="e">
        <f t="shared" si="220"/>
        <v>#N/A</v>
      </c>
      <c r="J1876" s="2">
        <v>18308</v>
      </c>
      <c r="K1876" s="2">
        <v>1140</v>
      </c>
      <c r="P1876" s="3">
        <f>E1876*(VLOOKUP(B1876,Price_data!A$1:B$190,2,FALSE))</f>
        <v>2.3902996249799999</v>
      </c>
      <c r="Q1876" s="3" t="e">
        <f>G1876*(VLOOKUP(B1876,Price_data!A$1:B$190,2,FALSE))</f>
        <v>#N/A</v>
      </c>
      <c r="R1876" s="3" t="e">
        <f>I1876*(VLOOKUP(B1876,Price_data!A$1:B$190,2,FALSE))</f>
        <v>#N/A</v>
      </c>
      <c r="S1876" s="4" t="str">
        <f>(VLOOKUP(B1876,Price_data!A$1:C$190,3,FALSE))</f>
        <v>EEZ</v>
      </c>
      <c r="T1876" s="2" t="str">
        <f>IF(C1876="Total", (VLOOKUP(B1876,Recommended_fish_intake!A$4:D$122,4,FALSE)), "NA")</f>
        <v>NA</v>
      </c>
      <c r="U1876" s="2" t="str">
        <f t="shared" si="221"/>
        <v>NA</v>
      </c>
    </row>
    <row r="1877" spans="1:21" ht="14.25" customHeight="1">
      <c r="A1877" s="2" t="s">
        <v>18</v>
      </c>
      <c r="B1877" s="2">
        <v>1982</v>
      </c>
      <c r="C1877" s="2" t="s">
        <v>37</v>
      </c>
      <c r="D1877" s="3">
        <f t="shared" si="215"/>
        <v>220.21</v>
      </c>
      <c r="E1877" s="3">
        <f t="shared" si="216"/>
        <v>88.155000000000001</v>
      </c>
      <c r="F1877" s="3" t="e">
        <f t="shared" si="217"/>
        <v>#N/A</v>
      </c>
      <c r="G1877" s="3" t="e">
        <f t="shared" si="218"/>
        <v>#N/A</v>
      </c>
      <c r="H1877" s="3" t="e">
        <f t="shared" si="219"/>
        <v>#N/A</v>
      </c>
      <c r="I1877" s="3" t="e">
        <f t="shared" si="220"/>
        <v>#N/A</v>
      </c>
      <c r="J1877" s="2">
        <v>220210</v>
      </c>
      <c r="K1877" s="2">
        <v>88155</v>
      </c>
      <c r="P1877" s="3">
        <f>E1877*(VLOOKUP(B1877,Price_data!A$1:B$190,2,FALSE))</f>
        <v>184.839353894835</v>
      </c>
      <c r="Q1877" s="3" t="e">
        <f>G1877*(VLOOKUP(B1877,Price_data!A$1:B$190,2,FALSE))</f>
        <v>#N/A</v>
      </c>
      <c r="R1877" s="3" t="e">
        <f>I1877*(VLOOKUP(B1877,Price_data!A$1:B$190,2,FALSE))</f>
        <v>#N/A</v>
      </c>
      <c r="S1877" s="4" t="str">
        <f>(VLOOKUP(B1877,Price_data!A$1:C$190,3,FALSE))</f>
        <v>EEZ</v>
      </c>
      <c r="T1877" s="2" t="str">
        <f>IF(C1877="Total", (VLOOKUP(B1877,Recommended_fish_intake!A$4:D$122,4,FALSE)), "NA")</f>
        <v>NA</v>
      </c>
      <c r="U1877" s="2">
        <f t="shared" si="221"/>
        <v>107.9029</v>
      </c>
    </row>
    <row r="1878" spans="1:21" ht="14.25" customHeight="1">
      <c r="A1878" s="2" t="s">
        <v>18</v>
      </c>
      <c r="B1878" s="2">
        <v>1982</v>
      </c>
      <c r="C1878" s="2" t="s">
        <v>36</v>
      </c>
      <c r="D1878" s="3">
        <f t="shared" si="215"/>
        <v>5.4039999999999999</v>
      </c>
      <c r="E1878" s="3">
        <f t="shared" si="216"/>
        <v>3.2309999999999999</v>
      </c>
      <c r="F1878" s="3" t="e">
        <f t="shared" si="217"/>
        <v>#N/A</v>
      </c>
      <c r="G1878" s="3" t="e">
        <f t="shared" si="218"/>
        <v>#N/A</v>
      </c>
      <c r="H1878" s="3" t="e">
        <f t="shared" si="219"/>
        <v>#N/A</v>
      </c>
      <c r="I1878" s="3" t="e">
        <f t="shared" si="220"/>
        <v>#N/A</v>
      </c>
      <c r="J1878" s="2">
        <v>5404</v>
      </c>
      <c r="K1878" s="2">
        <v>3231</v>
      </c>
      <c r="P1878" s="3">
        <f>E1878*(VLOOKUP(B1878,Price_data!A$1:B$190,2,FALSE))</f>
        <v>6.7746123581670004</v>
      </c>
      <c r="Q1878" s="3" t="e">
        <f>G1878*(VLOOKUP(B1878,Price_data!A$1:B$190,2,FALSE))</f>
        <v>#N/A</v>
      </c>
      <c r="R1878" s="3" t="e">
        <f>I1878*(VLOOKUP(B1878,Price_data!A$1:B$190,2,FALSE))</f>
        <v>#N/A</v>
      </c>
      <c r="S1878" s="4" t="str">
        <f>(VLOOKUP(B1878,Price_data!A$1:C$190,3,FALSE))</f>
        <v>EEZ</v>
      </c>
      <c r="T1878" s="2" t="str">
        <f>IF(C1878="Total", (VLOOKUP(B1878,Recommended_fish_intake!A$4:D$122,4,FALSE)), "NA")</f>
        <v>NA</v>
      </c>
      <c r="U1878" s="2" t="str">
        <f t="shared" si="221"/>
        <v>NA</v>
      </c>
    </row>
    <row r="1879" spans="1:21" ht="14.25" customHeight="1">
      <c r="A1879" s="2" t="s">
        <v>18</v>
      </c>
      <c r="B1879" s="2">
        <v>1982</v>
      </c>
      <c r="C1879" s="2" t="s">
        <v>34</v>
      </c>
      <c r="D1879" s="3">
        <f t="shared" si="215"/>
        <v>0.40200000000000002</v>
      </c>
      <c r="E1879" s="3">
        <f t="shared" si="216"/>
        <v>2.1030000000000002</v>
      </c>
      <c r="F1879" s="3" t="e">
        <f t="shared" si="217"/>
        <v>#N/A</v>
      </c>
      <c r="G1879" s="3" t="e">
        <f t="shared" si="218"/>
        <v>#N/A</v>
      </c>
      <c r="H1879" s="3" t="e">
        <f t="shared" si="219"/>
        <v>#N/A</v>
      </c>
      <c r="I1879" s="3" t="e">
        <f t="shared" si="220"/>
        <v>#N/A</v>
      </c>
      <c r="J1879" s="2">
        <v>402</v>
      </c>
      <c r="K1879" s="2">
        <v>2103</v>
      </c>
      <c r="P1879" s="3">
        <f>E1879*(VLOOKUP(B1879,Price_data!A$1:B$190,2,FALSE))</f>
        <v>4.4094737818710001</v>
      </c>
      <c r="Q1879" s="3" t="e">
        <f>G1879*(VLOOKUP(B1879,Price_data!A$1:B$190,2,FALSE))</f>
        <v>#N/A</v>
      </c>
      <c r="R1879" s="3" t="e">
        <f>I1879*(VLOOKUP(B1879,Price_data!A$1:B$190,2,FALSE))</f>
        <v>#N/A</v>
      </c>
      <c r="S1879" s="4" t="str">
        <f>(VLOOKUP(B1879,Price_data!A$1:C$190,3,FALSE))</f>
        <v>EEZ</v>
      </c>
      <c r="T1879" s="2" t="str">
        <f>IF(C1879="Total", (VLOOKUP(B1879,Recommended_fish_intake!A$4:D$122,4,FALSE)), "NA")</f>
        <v>NA</v>
      </c>
      <c r="U1879" s="2" t="str">
        <f t="shared" si="221"/>
        <v>NA</v>
      </c>
    </row>
    <row r="1880" spans="1:21" ht="14.25" customHeight="1">
      <c r="A1880" s="2" t="s">
        <v>18</v>
      </c>
      <c r="B1880" s="2">
        <v>1982</v>
      </c>
      <c r="C1880" s="2" t="s">
        <v>35</v>
      </c>
      <c r="D1880" s="3">
        <f t="shared" si="215"/>
        <v>3.347</v>
      </c>
      <c r="E1880" s="3">
        <f t="shared" si="216"/>
        <v>3.5619999999999998</v>
      </c>
      <c r="F1880" s="3" t="e">
        <f t="shared" si="217"/>
        <v>#N/A</v>
      </c>
      <c r="G1880" s="3" t="e">
        <f t="shared" si="218"/>
        <v>#N/A</v>
      </c>
      <c r="H1880" s="3" t="e">
        <f t="shared" si="219"/>
        <v>#N/A</v>
      </c>
      <c r="I1880" s="3" t="e">
        <f t="shared" si="220"/>
        <v>#N/A</v>
      </c>
      <c r="J1880" s="2">
        <v>3347</v>
      </c>
      <c r="K1880" s="2">
        <v>3562</v>
      </c>
      <c r="P1880" s="3">
        <f>E1880*(VLOOKUP(B1880,Price_data!A$1:B$190,2,FALSE))</f>
        <v>7.4686379510340002</v>
      </c>
      <c r="Q1880" s="3" t="e">
        <f>G1880*(VLOOKUP(B1880,Price_data!A$1:B$190,2,FALSE))</f>
        <v>#N/A</v>
      </c>
      <c r="R1880" s="3" t="e">
        <f>I1880*(VLOOKUP(B1880,Price_data!A$1:B$190,2,FALSE))</f>
        <v>#N/A</v>
      </c>
      <c r="S1880" s="4" t="str">
        <f>(VLOOKUP(B1880,Price_data!A$1:C$190,3,FALSE))</f>
        <v>EEZ</v>
      </c>
      <c r="T1880" s="2" t="str">
        <f>IF(C1880="Total", (VLOOKUP(B1880,Recommended_fish_intake!A$4:D$122,4,FALSE)), "NA")</f>
        <v>NA</v>
      </c>
      <c r="U1880" s="2" t="str">
        <f t="shared" si="221"/>
        <v>NA</v>
      </c>
    </row>
    <row r="1881" spans="1:21" ht="14.25" customHeight="1">
      <c r="A1881" s="2" t="s">
        <v>18</v>
      </c>
      <c r="B1881" s="2">
        <v>1982</v>
      </c>
      <c r="C1881" s="2" t="s">
        <v>52</v>
      </c>
      <c r="D1881" s="3">
        <f t="shared" si="215"/>
        <v>2.3479999999999999</v>
      </c>
      <c r="E1881" s="3">
        <f t="shared" si="216"/>
        <v>1.623</v>
      </c>
      <c r="F1881" s="3" t="e">
        <f t="shared" si="217"/>
        <v>#N/A</v>
      </c>
      <c r="G1881" s="3" t="e">
        <f t="shared" si="218"/>
        <v>#N/A</v>
      </c>
      <c r="H1881" s="3" t="e">
        <f t="shared" si="219"/>
        <v>#N/A</v>
      </c>
      <c r="I1881" s="3" t="e">
        <f t="shared" si="220"/>
        <v>#N/A</v>
      </c>
      <c r="J1881" s="2">
        <v>2348</v>
      </c>
      <c r="K1881" s="2">
        <v>1623</v>
      </c>
      <c r="P1881" s="3">
        <f>E1881*(VLOOKUP(B1881,Price_data!A$1:B$190,2,FALSE))</f>
        <v>3.4030318345110002</v>
      </c>
      <c r="Q1881" s="3" t="e">
        <f>G1881*(VLOOKUP(B1881,Price_data!A$1:B$190,2,FALSE))</f>
        <v>#N/A</v>
      </c>
      <c r="R1881" s="3" t="e">
        <f>I1881*(VLOOKUP(B1881,Price_data!A$1:B$190,2,FALSE))</f>
        <v>#N/A</v>
      </c>
      <c r="S1881" s="4" t="str">
        <f>(VLOOKUP(B1881,Price_data!A$1:C$190,3,FALSE))</f>
        <v>EEZ</v>
      </c>
      <c r="T1881" s="2" t="str">
        <f>IF(C1881="Total", (VLOOKUP(B1881,Recommended_fish_intake!A$4:D$122,4,FALSE)), "NA")</f>
        <v>NA</v>
      </c>
      <c r="U1881" s="2" t="str">
        <f t="shared" si="221"/>
        <v>NA</v>
      </c>
    </row>
    <row r="1882" spans="1:21" ht="14.25" customHeight="1">
      <c r="A1882" s="2" t="s">
        <v>18</v>
      </c>
      <c r="B1882" s="2">
        <v>1982</v>
      </c>
      <c r="C1882" s="2" t="s">
        <v>30</v>
      </c>
      <c r="D1882" s="3">
        <f t="shared" si="215"/>
        <v>1.202</v>
      </c>
      <c r="E1882" s="3">
        <f t="shared" si="216"/>
        <v>0.82199999999999995</v>
      </c>
      <c r="F1882" s="3" t="e">
        <f t="shared" si="217"/>
        <v>#N/A</v>
      </c>
      <c r="G1882" s="3" t="e">
        <f t="shared" si="218"/>
        <v>#N/A</v>
      </c>
      <c r="H1882" s="3" t="e">
        <f t="shared" si="219"/>
        <v>#N/A</v>
      </c>
      <c r="I1882" s="3" t="e">
        <f t="shared" si="220"/>
        <v>#N/A</v>
      </c>
      <c r="J1882" s="2">
        <v>1202</v>
      </c>
      <c r="K1882" s="2">
        <v>822</v>
      </c>
      <c r="P1882" s="3">
        <f>E1882*(VLOOKUP(B1882,Price_data!A$1:B$190,2,FALSE))</f>
        <v>1.7235318348539999</v>
      </c>
      <c r="Q1882" s="3" t="e">
        <f>G1882*(VLOOKUP(B1882,Price_data!A$1:B$190,2,FALSE))</f>
        <v>#N/A</v>
      </c>
      <c r="R1882" s="3" t="e">
        <f>I1882*(VLOOKUP(B1882,Price_data!A$1:B$190,2,FALSE))</f>
        <v>#N/A</v>
      </c>
      <c r="S1882" s="4" t="str">
        <f>(VLOOKUP(B1882,Price_data!A$1:C$190,3,FALSE))</f>
        <v>EEZ</v>
      </c>
      <c r="T1882" s="2" t="str">
        <f>IF(C1882="Total", (VLOOKUP(B1882,Recommended_fish_intake!A$4:D$122,4,FALSE)), "NA")</f>
        <v>NA</v>
      </c>
      <c r="U1882" s="2" t="str">
        <f t="shared" si="221"/>
        <v>NA</v>
      </c>
    </row>
    <row r="1883" spans="1:21" ht="14.25" customHeight="1">
      <c r="A1883" s="2" t="s">
        <v>18</v>
      </c>
      <c r="B1883" s="2">
        <v>1982</v>
      </c>
      <c r="C1883" s="2" t="s">
        <v>28</v>
      </c>
      <c r="D1883" s="3">
        <f t="shared" si="215"/>
        <v>30.96</v>
      </c>
      <c r="E1883" s="3">
        <f t="shared" si="216"/>
        <v>14.930999999999999</v>
      </c>
      <c r="F1883" s="3" t="e">
        <f t="shared" si="217"/>
        <v>#N/A</v>
      </c>
      <c r="G1883" s="3" t="e">
        <f t="shared" si="218"/>
        <v>#N/A</v>
      </c>
      <c r="H1883" s="3" t="e">
        <f t="shared" si="219"/>
        <v>#N/A</v>
      </c>
      <c r="I1883" s="3" t="e">
        <f t="shared" si="220"/>
        <v>#N/A</v>
      </c>
      <c r="J1883" s="2">
        <v>30960</v>
      </c>
      <c r="K1883" s="2">
        <v>14931</v>
      </c>
      <c r="P1883" s="3">
        <f>E1883*(VLOOKUP(B1883,Price_data!A$1:B$190,2,FALSE))</f>
        <v>31.306634825067</v>
      </c>
      <c r="Q1883" s="3" t="e">
        <f>G1883*(VLOOKUP(B1883,Price_data!A$1:B$190,2,FALSE))</f>
        <v>#N/A</v>
      </c>
      <c r="R1883" s="3" t="e">
        <f>I1883*(VLOOKUP(B1883,Price_data!A$1:B$190,2,FALSE))</f>
        <v>#N/A</v>
      </c>
      <c r="S1883" s="4" t="str">
        <f>(VLOOKUP(B1883,Price_data!A$1:C$190,3,FALSE))</f>
        <v>EEZ</v>
      </c>
      <c r="T1883" s="2" t="str">
        <f>IF(C1883="Total", (VLOOKUP(B1883,Recommended_fish_intake!A$4:D$122,4,FALSE)), "NA")</f>
        <v>NA</v>
      </c>
      <c r="U1883" s="2">
        <f t="shared" si="221"/>
        <v>8.6688000000000009</v>
      </c>
    </row>
    <row r="1884" spans="1:21" ht="14.25" customHeight="1">
      <c r="A1884" s="2" t="s">
        <v>39</v>
      </c>
      <c r="B1884" s="2">
        <v>1982</v>
      </c>
      <c r="C1884" s="2" t="s">
        <v>22</v>
      </c>
      <c r="D1884" s="3">
        <f t="shared" si="215"/>
        <v>54.898000000000003</v>
      </c>
      <c r="E1884" s="3">
        <f t="shared" si="216"/>
        <v>35.494</v>
      </c>
      <c r="F1884" s="3" t="e">
        <f t="shared" si="217"/>
        <v>#N/A</v>
      </c>
      <c r="G1884" s="3" t="e">
        <f t="shared" si="218"/>
        <v>#N/A</v>
      </c>
      <c r="H1884" s="3" t="e">
        <f t="shared" si="219"/>
        <v>#N/A</v>
      </c>
      <c r="I1884" s="3" t="e">
        <f t="shared" si="220"/>
        <v>#N/A</v>
      </c>
      <c r="J1884" s="2">
        <v>54898</v>
      </c>
      <c r="K1884" s="2">
        <v>35494</v>
      </c>
      <c r="P1884" s="3">
        <f>E1884*(VLOOKUP(B1884,Price_data!A$1:B$190,2,FALSE))</f>
        <v>74.422188499157997</v>
      </c>
      <c r="Q1884" s="3" t="e">
        <f>G1884*(VLOOKUP(B1884,Price_data!A$1:B$190,2,FALSE))</f>
        <v>#N/A</v>
      </c>
      <c r="R1884" s="3" t="e">
        <f>I1884*(VLOOKUP(B1884,Price_data!A$1:B$190,2,FALSE))</f>
        <v>#N/A</v>
      </c>
      <c r="S1884" s="4" t="str">
        <f>(VLOOKUP(B1884,Price_data!A$1:C$190,3,FALSE))</f>
        <v>EEZ</v>
      </c>
      <c r="T1884" s="2" t="str">
        <f>IF(C1884="Total", (VLOOKUP(B1884,Recommended_fish_intake!A$4:D$122,4,FALSE)), "NA")</f>
        <v>NA</v>
      </c>
      <c r="U1884" s="2" t="str">
        <f t="shared" si="221"/>
        <v>NA</v>
      </c>
    </row>
    <row r="1885" spans="1:21" ht="14.25" customHeight="1">
      <c r="A1885" s="2" t="s">
        <v>39</v>
      </c>
      <c r="B1885" s="2">
        <v>1982</v>
      </c>
      <c r="C1885" s="2" t="s">
        <v>23</v>
      </c>
      <c r="D1885" s="3">
        <f t="shared" si="215"/>
        <v>112.571</v>
      </c>
      <c r="E1885" s="3">
        <f t="shared" si="216"/>
        <v>43.402999999999999</v>
      </c>
      <c r="F1885" s="3" t="e">
        <f t="shared" si="217"/>
        <v>#N/A</v>
      </c>
      <c r="G1885" s="3" t="e">
        <f t="shared" si="218"/>
        <v>#N/A</v>
      </c>
      <c r="H1885" s="3" t="e">
        <f t="shared" si="219"/>
        <v>#N/A</v>
      </c>
      <c r="I1885" s="3" t="e">
        <f t="shared" si="220"/>
        <v>#N/A</v>
      </c>
      <c r="J1885" s="2">
        <v>112571</v>
      </c>
      <c r="K1885" s="2">
        <v>43403</v>
      </c>
      <c r="P1885" s="3">
        <f>E1885*(VLOOKUP(B1885,Price_data!A$1:B$190,2,FALSE))</f>
        <v>91.005416335971006</v>
      </c>
      <c r="Q1885" s="3" t="e">
        <f>G1885*(VLOOKUP(B1885,Price_data!A$1:B$190,2,FALSE))</f>
        <v>#N/A</v>
      </c>
      <c r="R1885" s="3" t="e">
        <f>I1885*(VLOOKUP(B1885,Price_data!A$1:B$190,2,FALSE))</f>
        <v>#N/A</v>
      </c>
      <c r="S1885" s="4" t="str">
        <f>(VLOOKUP(B1885,Price_data!A$1:C$190,3,FALSE))</f>
        <v>EEZ</v>
      </c>
      <c r="T1885" s="2" t="str">
        <f>IF(C1885="Total", (VLOOKUP(B1885,Recommended_fish_intake!A$4:D$122,4,FALSE)), "NA")</f>
        <v>NA</v>
      </c>
      <c r="U1885" s="2" t="str">
        <f t="shared" si="221"/>
        <v>NA</v>
      </c>
    </row>
    <row r="1886" spans="1:21" ht="14.25" customHeight="1">
      <c r="A1886" s="2" t="s">
        <v>39</v>
      </c>
      <c r="B1886" s="2">
        <v>1982</v>
      </c>
      <c r="C1886" s="2" t="s">
        <v>25</v>
      </c>
      <c r="D1886" s="3">
        <f t="shared" si="215"/>
        <v>5.03</v>
      </c>
      <c r="E1886" s="3">
        <f t="shared" si="216"/>
        <v>2.734</v>
      </c>
      <c r="F1886" s="3" t="e">
        <f t="shared" si="217"/>
        <v>#N/A</v>
      </c>
      <c r="G1886" s="3" t="e">
        <f t="shared" si="218"/>
        <v>#N/A</v>
      </c>
      <c r="H1886" s="3" t="e">
        <f t="shared" si="219"/>
        <v>#N/A</v>
      </c>
      <c r="I1886" s="3" t="e">
        <f t="shared" si="220"/>
        <v>#N/A</v>
      </c>
      <c r="J1886" s="2">
        <v>5030</v>
      </c>
      <c r="K1886" s="2">
        <v>2734</v>
      </c>
      <c r="P1886" s="3">
        <f>E1886*(VLOOKUP(B1886,Price_data!A$1:B$190,2,FALSE))</f>
        <v>5.7325255918379998</v>
      </c>
      <c r="Q1886" s="3" t="e">
        <f>G1886*(VLOOKUP(B1886,Price_data!A$1:B$190,2,FALSE))</f>
        <v>#N/A</v>
      </c>
      <c r="R1886" s="3" t="e">
        <f>I1886*(VLOOKUP(B1886,Price_data!A$1:B$190,2,FALSE))</f>
        <v>#N/A</v>
      </c>
      <c r="S1886" s="4" t="str">
        <f>(VLOOKUP(B1886,Price_data!A$1:C$190,3,FALSE))</f>
        <v>EEZ</v>
      </c>
      <c r="T1886" s="2" t="str">
        <f>IF(C1886="Total", (VLOOKUP(B1886,Recommended_fish_intake!A$4:D$122,4,FALSE)), "NA")</f>
        <v>NA</v>
      </c>
      <c r="U1886" s="2" t="str">
        <f t="shared" si="221"/>
        <v>NA</v>
      </c>
    </row>
    <row r="1887" spans="1:21" ht="14.25" customHeight="1">
      <c r="A1887" s="2" t="s">
        <v>39</v>
      </c>
      <c r="B1887" s="2">
        <v>1982</v>
      </c>
      <c r="C1887" s="2" t="s">
        <v>24</v>
      </c>
      <c r="D1887" s="3">
        <f t="shared" si="215"/>
        <v>34.018000000000001</v>
      </c>
      <c r="E1887" s="3">
        <f t="shared" si="216"/>
        <v>9.8659999999999997</v>
      </c>
      <c r="F1887" s="3" t="e">
        <f t="shared" si="217"/>
        <v>#N/A</v>
      </c>
      <c r="G1887" s="3" t="e">
        <f t="shared" si="218"/>
        <v>#N/A</v>
      </c>
      <c r="H1887" s="3" t="e">
        <f t="shared" si="219"/>
        <v>#N/A</v>
      </c>
      <c r="I1887" s="3" t="e">
        <f t="shared" si="220"/>
        <v>#N/A</v>
      </c>
      <c r="J1887" s="2">
        <v>34018</v>
      </c>
      <c r="K1887" s="2">
        <v>9866</v>
      </c>
      <c r="P1887" s="3">
        <f>E1887*(VLOOKUP(B1887,Price_data!A$1:B$190,2,FALSE))</f>
        <v>20.686575526361999</v>
      </c>
      <c r="Q1887" s="3" t="e">
        <f>G1887*(VLOOKUP(B1887,Price_data!A$1:B$190,2,FALSE))</f>
        <v>#N/A</v>
      </c>
      <c r="R1887" s="3" t="e">
        <f>I1887*(VLOOKUP(B1887,Price_data!A$1:B$190,2,FALSE))</f>
        <v>#N/A</v>
      </c>
      <c r="S1887" s="4" t="str">
        <f>(VLOOKUP(B1887,Price_data!A$1:C$190,3,FALSE))</f>
        <v>EEZ</v>
      </c>
      <c r="T1887" s="2" t="str">
        <f>IF(C1887="Total", (VLOOKUP(B1887,Recommended_fish_intake!A$4:D$122,4,FALSE)), "NA")</f>
        <v>NA</v>
      </c>
      <c r="U1887" s="2" t="str">
        <f t="shared" si="221"/>
        <v>NA</v>
      </c>
    </row>
    <row r="1888" spans="1:21" ht="14.25" customHeight="1">
      <c r="A1888" s="2" t="s">
        <v>39</v>
      </c>
      <c r="B1888" s="2">
        <v>1982</v>
      </c>
      <c r="C1888" s="2" t="s">
        <v>19</v>
      </c>
      <c r="D1888" s="3">
        <f t="shared" si="215"/>
        <v>41.581000000000003</v>
      </c>
      <c r="E1888" s="3">
        <f t="shared" si="216"/>
        <v>5.0830000000000002</v>
      </c>
      <c r="F1888" s="3" t="e">
        <f t="shared" si="217"/>
        <v>#N/A</v>
      </c>
      <c r="G1888" s="3" t="e">
        <f t="shared" si="218"/>
        <v>#N/A</v>
      </c>
      <c r="H1888" s="3" t="e">
        <f t="shared" si="219"/>
        <v>#N/A</v>
      </c>
      <c r="I1888" s="3" t="e">
        <f t="shared" si="220"/>
        <v>#N/A</v>
      </c>
      <c r="J1888" s="2">
        <v>41581</v>
      </c>
      <c r="K1888" s="2">
        <v>5083</v>
      </c>
      <c r="P1888" s="3">
        <f>E1888*(VLOOKUP(B1888,Price_data!A$1:B$190,2,FALSE))</f>
        <v>10.657800871731</v>
      </c>
      <c r="Q1888" s="3" t="e">
        <f>G1888*(VLOOKUP(B1888,Price_data!A$1:B$190,2,FALSE))</f>
        <v>#N/A</v>
      </c>
      <c r="R1888" s="3" t="e">
        <f>I1888*(VLOOKUP(B1888,Price_data!A$1:B$190,2,FALSE))</f>
        <v>#N/A</v>
      </c>
      <c r="S1888" s="4" t="str">
        <f>(VLOOKUP(B1888,Price_data!A$1:C$190,3,FALSE))</f>
        <v>EEZ</v>
      </c>
      <c r="T1888" s="2" t="str">
        <f>IF(C1888="Total", (VLOOKUP(B1888,Recommended_fish_intake!A$4:D$122,4,FALSE)), "NA")</f>
        <v>NA</v>
      </c>
      <c r="U1888" s="2" t="str">
        <f t="shared" si="221"/>
        <v>NA</v>
      </c>
    </row>
    <row r="1889" spans="1:21" ht="14.25" customHeight="1">
      <c r="A1889" s="2" t="s">
        <v>39</v>
      </c>
      <c r="B1889" s="2">
        <v>1982</v>
      </c>
      <c r="C1889" s="2" t="s">
        <v>20</v>
      </c>
      <c r="D1889" s="3">
        <f t="shared" si="215"/>
        <v>129.99799999999999</v>
      </c>
      <c r="E1889" s="3">
        <f t="shared" si="216"/>
        <v>13.321</v>
      </c>
      <c r="F1889" s="3" t="e">
        <f t="shared" si="217"/>
        <v>#N/A</v>
      </c>
      <c r="G1889" s="3" t="e">
        <f t="shared" si="218"/>
        <v>#N/A</v>
      </c>
      <c r="H1889" s="3" t="e">
        <f t="shared" si="219"/>
        <v>#N/A</v>
      </c>
      <c r="I1889" s="3" t="e">
        <f t="shared" si="220"/>
        <v>#N/A</v>
      </c>
      <c r="J1889" s="2">
        <v>129998</v>
      </c>
      <c r="K1889" s="2">
        <v>13321</v>
      </c>
      <c r="P1889" s="3">
        <f>E1889*(VLOOKUP(B1889,Price_data!A$1:B$190,2,FALSE))</f>
        <v>27.930860793297001</v>
      </c>
      <c r="Q1889" s="3" t="e">
        <f>G1889*(VLOOKUP(B1889,Price_data!A$1:B$190,2,FALSE))</f>
        <v>#N/A</v>
      </c>
      <c r="R1889" s="3" t="e">
        <f>I1889*(VLOOKUP(B1889,Price_data!A$1:B$190,2,FALSE))</f>
        <v>#N/A</v>
      </c>
      <c r="S1889" s="4" t="str">
        <f>(VLOOKUP(B1889,Price_data!A$1:C$190,3,FALSE))</f>
        <v>EEZ</v>
      </c>
      <c r="T1889" s="2" t="str">
        <f>IF(C1889="Total", (VLOOKUP(B1889,Recommended_fish_intake!A$4:D$122,4,FALSE)), "NA")</f>
        <v>NA</v>
      </c>
      <c r="U1889" s="2" t="str">
        <f t="shared" si="221"/>
        <v>NA</v>
      </c>
    </row>
    <row r="1890" spans="1:21" ht="14.25" customHeight="1">
      <c r="A1890" s="2" t="s">
        <v>39</v>
      </c>
      <c r="B1890" s="2">
        <v>1982</v>
      </c>
      <c r="C1890" s="2" t="s">
        <v>21</v>
      </c>
      <c r="D1890" s="3">
        <f t="shared" si="215"/>
        <v>1.254</v>
      </c>
      <c r="E1890" s="3">
        <f t="shared" si="216"/>
        <v>0.10100000000000001</v>
      </c>
      <c r="F1890" s="3" t="e">
        <f t="shared" si="217"/>
        <v>#N/A</v>
      </c>
      <c r="G1890" s="3" t="e">
        <f t="shared" si="218"/>
        <v>#N/A</v>
      </c>
      <c r="H1890" s="3" t="e">
        <f t="shared" si="219"/>
        <v>#N/A</v>
      </c>
      <c r="I1890" s="3" t="e">
        <f t="shared" si="220"/>
        <v>#N/A</v>
      </c>
      <c r="J1890" s="2">
        <v>1254</v>
      </c>
      <c r="K1890" s="2">
        <v>101</v>
      </c>
      <c r="P1890" s="3">
        <f>E1890*(VLOOKUP(B1890,Price_data!A$1:B$190,2,FALSE))</f>
        <v>0.21177215975700001</v>
      </c>
      <c r="Q1890" s="3" t="e">
        <f>G1890*(VLOOKUP(B1890,Price_data!A$1:B$190,2,FALSE))</f>
        <v>#N/A</v>
      </c>
      <c r="R1890" s="3" t="e">
        <f>I1890*(VLOOKUP(B1890,Price_data!A$1:B$190,2,FALSE))</f>
        <v>#N/A</v>
      </c>
      <c r="S1890" s="4" t="str">
        <f>(VLOOKUP(B1890,Price_data!A$1:C$190,3,FALSE))</f>
        <v>EEZ</v>
      </c>
      <c r="T1890" s="2" t="str">
        <f>IF(C1890="Total", (VLOOKUP(B1890,Recommended_fish_intake!A$4:D$122,4,FALSE)), "NA")</f>
        <v>NA</v>
      </c>
      <c r="U1890" s="2" t="str">
        <f t="shared" si="221"/>
        <v>NA</v>
      </c>
    </row>
    <row r="1891" spans="1:21" ht="14.25" customHeight="1">
      <c r="A1891" s="2" t="s">
        <v>39</v>
      </c>
      <c r="B1891" s="2">
        <v>1982</v>
      </c>
      <c r="C1891" s="2" t="s">
        <v>37</v>
      </c>
      <c r="D1891" s="3">
        <f t="shared" si="215"/>
        <v>469.16</v>
      </c>
      <c r="E1891" s="3">
        <f t="shared" si="216"/>
        <v>124.953</v>
      </c>
      <c r="F1891" s="3" t="e">
        <f t="shared" si="217"/>
        <v>#N/A</v>
      </c>
      <c r="G1891" s="3" t="e">
        <f t="shared" si="218"/>
        <v>#N/A</v>
      </c>
      <c r="H1891" s="3" t="e">
        <f t="shared" si="219"/>
        <v>#N/A</v>
      </c>
      <c r="I1891" s="3" t="e">
        <f t="shared" si="220"/>
        <v>#N/A</v>
      </c>
      <c r="J1891" s="2">
        <v>469160</v>
      </c>
      <c r="K1891" s="2">
        <v>124953</v>
      </c>
      <c r="P1891" s="3">
        <f>E1891*(VLOOKUP(B1891,Price_data!A$1:B$190,2,FALSE))</f>
        <v>261.99570968432101</v>
      </c>
      <c r="Q1891" s="3" t="e">
        <f>G1891*(VLOOKUP(B1891,Price_data!A$1:B$190,2,FALSE))</f>
        <v>#N/A</v>
      </c>
      <c r="R1891" s="3" t="e">
        <f>I1891*(VLOOKUP(B1891,Price_data!A$1:B$190,2,FALSE))</f>
        <v>#N/A</v>
      </c>
      <c r="S1891" s="4" t="str">
        <f>(VLOOKUP(B1891,Price_data!A$1:C$190,3,FALSE))</f>
        <v>EEZ</v>
      </c>
      <c r="T1891" s="2" t="str">
        <f>IF(C1891="Total", (VLOOKUP(B1891,Recommended_fish_intake!A$4:D$122,4,FALSE)), "NA")</f>
        <v>NA</v>
      </c>
      <c r="U1891" s="2">
        <f t="shared" si="221"/>
        <v>229.88840000000002</v>
      </c>
    </row>
    <row r="1892" spans="1:21" ht="14.25" customHeight="1">
      <c r="A1892" s="2" t="s">
        <v>39</v>
      </c>
      <c r="B1892" s="2">
        <v>1982</v>
      </c>
      <c r="C1892" s="2" t="s">
        <v>36</v>
      </c>
      <c r="D1892" s="3">
        <f t="shared" si="215"/>
        <v>3.161</v>
      </c>
      <c r="E1892" s="3">
        <f t="shared" si="216"/>
        <v>1.014</v>
      </c>
      <c r="F1892" s="3" t="e">
        <f t="shared" si="217"/>
        <v>#N/A</v>
      </c>
      <c r="G1892" s="3" t="e">
        <f t="shared" si="218"/>
        <v>#N/A</v>
      </c>
      <c r="H1892" s="3" t="e">
        <f t="shared" si="219"/>
        <v>#N/A</v>
      </c>
      <c r="I1892" s="3" t="e">
        <f t="shared" si="220"/>
        <v>#N/A</v>
      </c>
      <c r="J1892" s="2">
        <v>3161</v>
      </c>
      <c r="K1892" s="2">
        <v>1014</v>
      </c>
      <c r="P1892" s="3">
        <f>E1892*(VLOOKUP(B1892,Price_data!A$1:B$190,2,FALSE))</f>
        <v>2.1261086137979999</v>
      </c>
      <c r="Q1892" s="3" t="e">
        <f>G1892*(VLOOKUP(B1892,Price_data!A$1:B$190,2,FALSE))</f>
        <v>#N/A</v>
      </c>
      <c r="R1892" s="3" t="e">
        <f>I1892*(VLOOKUP(B1892,Price_data!A$1:B$190,2,FALSE))</f>
        <v>#N/A</v>
      </c>
      <c r="S1892" s="4" t="str">
        <f>(VLOOKUP(B1892,Price_data!A$1:C$190,3,FALSE))</f>
        <v>EEZ</v>
      </c>
      <c r="T1892" s="2" t="str">
        <f>IF(C1892="Total", (VLOOKUP(B1892,Recommended_fish_intake!A$4:D$122,4,FALSE)), "NA")</f>
        <v>NA</v>
      </c>
      <c r="U1892" s="2" t="str">
        <f t="shared" si="221"/>
        <v>NA</v>
      </c>
    </row>
    <row r="1893" spans="1:21" ht="14.25" customHeight="1">
      <c r="A1893" s="2" t="s">
        <v>39</v>
      </c>
      <c r="B1893" s="2">
        <v>1982</v>
      </c>
      <c r="C1893" s="2" t="s">
        <v>34</v>
      </c>
      <c r="D1893" s="3">
        <f t="shared" si="215"/>
        <v>0.38300000000000001</v>
      </c>
      <c r="E1893" s="3">
        <f t="shared" si="216"/>
        <v>2.0779999999999998</v>
      </c>
      <c r="F1893" s="3" t="e">
        <f t="shared" si="217"/>
        <v>#N/A</v>
      </c>
      <c r="G1893" s="3" t="e">
        <f t="shared" si="218"/>
        <v>#N/A</v>
      </c>
      <c r="H1893" s="3" t="e">
        <f t="shared" si="219"/>
        <v>#N/A</v>
      </c>
      <c r="I1893" s="3" t="e">
        <f t="shared" si="220"/>
        <v>#N/A</v>
      </c>
      <c r="J1893" s="2">
        <v>383</v>
      </c>
      <c r="K1893" s="2">
        <v>2078</v>
      </c>
      <c r="P1893" s="3">
        <f>E1893*(VLOOKUP(B1893,Price_data!A$1:B$190,2,FALSE))</f>
        <v>4.357054930446</v>
      </c>
      <c r="Q1893" s="3" t="e">
        <f>G1893*(VLOOKUP(B1893,Price_data!A$1:B$190,2,FALSE))</f>
        <v>#N/A</v>
      </c>
      <c r="R1893" s="3" t="e">
        <f>I1893*(VLOOKUP(B1893,Price_data!A$1:B$190,2,FALSE))</f>
        <v>#N/A</v>
      </c>
      <c r="S1893" s="4" t="str">
        <f>(VLOOKUP(B1893,Price_data!A$1:C$190,3,FALSE))</f>
        <v>EEZ</v>
      </c>
      <c r="T1893" s="2" t="str">
        <f>IF(C1893="Total", (VLOOKUP(B1893,Recommended_fish_intake!A$4:D$122,4,FALSE)), "NA")</f>
        <v>NA</v>
      </c>
      <c r="U1893" s="2" t="str">
        <f t="shared" si="221"/>
        <v>NA</v>
      </c>
    </row>
    <row r="1894" spans="1:21" ht="14.25" customHeight="1">
      <c r="A1894" s="2" t="s">
        <v>39</v>
      </c>
      <c r="B1894" s="2">
        <v>1982</v>
      </c>
      <c r="C1894" s="2" t="s">
        <v>35</v>
      </c>
      <c r="D1894" s="3">
        <f t="shared" si="215"/>
        <v>12.084</v>
      </c>
      <c r="E1894" s="3">
        <f t="shared" si="216"/>
        <v>14.236000000000001</v>
      </c>
      <c r="F1894" s="3" t="e">
        <f t="shared" si="217"/>
        <v>#N/A</v>
      </c>
      <c r="G1894" s="3" t="e">
        <f t="shared" si="218"/>
        <v>#N/A</v>
      </c>
      <c r="H1894" s="3" t="e">
        <f t="shared" si="219"/>
        <v>#N/A</v>
      </c>
      <c r="I1894" s="3" t="e">
        <f t="shared" si="220"/>
        <v>#N/A</v>
      </c>
      <c r="J1894" s="2">
        <v>12084</v>
      </c>
      <c r="K1894" s="2">
        <v>14236</v>
      </c>
      <c r="P1894" s="3">
        <f>E1894*(VLOOKUP(B1894,Price_data!A$1:B$190,2,FALSE))</f>
        <v>29.849390755452003</v>
      </c>
      <c r="Q1894" s="3" t="e">
        <f>G1894*(VLOOKUP(B1894,Price_data!A$1:B$190,2,FALSE))</f>
        <v>#N/A</v>
      </c>
      <c r="R1894" s="3" t="e">
        <f>I1894*(VLOOKUP(B1894,Price_data!A$1:B$190,2,FALSE))</f>
        <v>#N/A</v>
      </c>
      <c r="S1894" s="4" t="str">
        <f>(VLOOKUP(B1894,Price_data!A$1:C$190,3,FALSE))</f>
        <v>EEZ</v>
      </c>
      <c r="T1894" s="2" t="str">
        <f>IF(C1894="Total", (VLOOKUP(B1894,Recommended_fish_intake!A$4:D$122,4,FALSE)), "NA")</f>
        <v>NA</v>
      </c>
      <c r="U1894" s="2" t="str">
        <f t="shared" si="221"/>
        <v>NA</v>
      </c>
    </row>
    <row r="1895" spans="1:21" ht="14.25" customHeight="1">
      <c r="A1895" s="2" t="s">
        <v>39</v>
      </c>
      <c r="B1895" s="2">
        <v>1982</v>
      </c>
      <c r="C1895" s="2" t="s">
        <v>52</v>
      </c>
      <c r="D1895" s="3">
        <f t="shared" si="215"/>
        <v>6.5330000000000004</v>
      </c>
      <c r="E1895" s="3">
        <f t="shared" si="216"/>
        <v>4.1710000000000003</v>
      </c>
      <c r="F1895" s="3" t="e">
        <f t="shared" si="217"/>
        <v>#N/A</v>
      </c>
      <c r="G1895" s="3" t="e">
        <f t="shared" si="218"/>
        <v>#N/A</v>
      </c>
      <c r="H1895" s="3" t="e">
        <f t="shared" si="219"/>
        <v>#N/A</v>
      </c>
      <c r="I1895" s="3" t="e">
        <f t="shared" si="220"/>
        <v>#N/A</v>
      </c>
      <c r="J1895" s="2">
        <v>6533</v>
      </c>
      <c r="K1895" s="2">
        <v>4171</v>
      </c>
      <c r="P1895" s="3">
        <f>E1895*(VLOOKUP(B1895,Price_data!A$1:B$190,2,FALSE))</f>
        <v>8.745561171747001</v>
      </c>
      <c r="Q1895" s="3" t="e">
        <f>G1895*(VLOOKUP(B1895,Price_data!A$1:B$190,2,FALSE))</f>
        <v>#N/A</v>
      </c>
      <c r="R1895" s="3" t="e">
        <f>I1895*(VLOOKUP(B1895,Price_data!A$1:B$190,2,FALSE))</f>
        <v>#N/A</v>
      </c>
      <c r="S1895" s="4" t="str">
        <f>(VLOOKUP(B1895,Price_data!A$1:C$190,3,FALSE))</f>
        <v>EEZ</v>
      </c>
      <c r="T1895" s="2" t="str">
        <f>IF(C1895="Total", (VLOOKUP(B1895,Recommended_fish_intake!A$4:D$122,4,FALSE)), "NA")</f>
        <v>NA</v>
      </c>
      <c r="U1895" s="2" t="str">
        <f t="shared" si="221"/>
        <v>NA</v>
      </c>
    </row>
    <row r="1896" spans="1:21" ht="14.25" customHeight="1">
      <c r="A1896" s="2" t="s">
        <v>39</v>
      </c>
      <c r="B1896" s="2">
        <v>1982</v>
      </c>
      <c r="C1896" s="2" t="s">
        <v>30</v>
      </c>
      <c r="D1896" s="3">
        <f t="shared" ref="D1896:D1959" si="222">J1896/1000</f>
        <v>0.38</v>
      </c>
      <c r="E1896" s="3">
        <f t="shared" ref="E1896:E1959" si="223">K1896/1000</f>
        <v>0.32500000000000001</v>
      </c>
      <c r="F1896" s="3" t="e">
        <f t="shared" ref="F1896:F1959" si="224">IF(L1896="", NA(), L1896/1000)</f>
        <v>#N/A</v>
      </c>
      <c r="G1896" s="3" t="e">
        <f t="shared" ref="G1896:G1959" si="225">IF(M1896="", NA(), M1896/1000)</f>
        <v>#N/A</v>
      </c>
      <c r="H1896" s="3" t="e">
        <f t="shared" ref="H1896:H1959" si="226">IF(N1896="", NA(), N1896/1000)</f>
        <v>#N/A</v>
      </c>
      <c r="I1896" s="3" t="e">
        <f t="shared" ref="I1896:I1959" si="227">IF(O1896="", NA(), O1896/1000)</f>
        <v>#N/A</v>
      </c>
      <c r="J1896" s="2">
        <v>380</v>
      </c>
      <c r="K1896" s="2">
        <v>325</v>
      </c>
      <c r="P1896" s="3">
        <f>E1896*(VLOOKUP(B1896,Price_data!A$1:B$190,2,FALSE))</f>
        <v>0.68144506852500009</v>
      </c>
      <c r="Q1896" s="3" t="e">
        <f>G1896*(VLOOKUP(B1896,Price_data!A$1:B$190,2,FALSE))</f>
        <v>#N/A</v>
      </c>
      <c r="R1896" s="3" t="e">
        <f>I1896*(VLOOKUP(B1896,Price_data!A$1:B$190,2,FALSE))</f>
        <v>#N/A</v>
      </c>
      <c r="S1896" s="4" t="str">
        <f>(VLOOKUP(B1896,Price_data!A$1:C$190,3,FALSE))</f>
        <v>EEZ</v>
      </c>
      <c r="T1896" s="2" t="str">
        <f>IF(C1896="Total", (VLOOKUP(B1896,Recommended_fish_intake!A$4:D$122,4,FALSE)), "NA")</f>
        <v>NA</v>
      </c>
      <c r="U1896" s="2" t="str">
        <f t="shared" si="221"/>
        <v>NA</v>
      </c>
    </row>
    <row r="1897" spans="1:21" ht="14.25" customHeight="1">
      <c r="A1897" s="2" t="s">
        <v>39</v>
      </c>
      <c r="B1897" s="2">
        <v>1982</v>
      </c>
      <c r="C1897" s="2" t="s">
        <v>28</v>
      </c>
      <c r="D1897" s="3">
        <f t="shared" si="222"/>
        <v>29.027000000000001</v>
      </c>
      <c r="E1897" s="3">
        <f t="shared" si="223"/>
        <v>23.754000000000001</v>
      </c>
      <c r="F1897" s="3" t="e">
        <f t="shared" si="224"/>
        <v>#N/A</v>
      </c>
      <c r="G1897" s="3" t="e">
        <f t="shared" si="225"/>
        <v>#N/A</v>
      </c>
      <c r="H1897" s="3" t="e">
        <f t="shared" si="226"/>
        <v>#N/A</v>
      </c>
      <c r="I1897" s="3" t="e">
        <f t="shared" si="227"/>
        <v>#N/A</v>
      </c>
      <c r="J1897" s="2">
        <v>29027</v>
      </c>
      <c r="K1897" s="2">
        <v>23754</v>
      </c>
      <c r="P1897" s="3">
        <f>E1897*(VLOOKUP(B1897,Price_data!A$1:B$190,2,FALSE))</f>
        <v>49.806295869978001</v>
      </c>
      <c r="Q1897" s="3" t="e">
        <f>G1897*(VLOOKUP(B1897,Price_data!A$1:B$190,2,FALSE))</f>
        <v>#N/A</v>
      </c>
      <c r="R1897" s="3" t="e">
        <f>I1897*(VLOOKUP(B1897,Price_data!A$1:B$190,2,FALSE))</f>
        <v>#N/A</v>
      </c>
      <c r="S1897" s="4" t="str">
        <f>(VLOOKUP(B1897,Price_data!A$1:C$190,3,FALSE))</f>
        <v>EEZ</v>
      </c>
      <c r="T1897" s="2" t="str">
        <f>IF(C1897="Total", (VLOOKUP(B1897,Recommended_fish_intake!A$4:D$122,4,FALSE)), "NA")</f>
        <v>NA</v>
      </c>
      <c r="U1897" s="2">
        <f t="shared" si="221"/>
        <v>8.1275600000000008</v>
      </c>
    </row>
    <row r="1898" spans="1:21" ht="14.25" customHeight="1">
      <c r="A1898" s="2" t="s">
        <v>40</v>
      </c>
      <c r="B1898" s="2">
        <v>1982</v>
      </c>
      <c r="C1898" s="2" t="s">
        <v>22</v>
      </c>
      <c r="D1898" s="3">
        <f t="shared" si="222"/>
        <v>3.238</v>
      </c>
      <c r="E1898" s="3">
        <f t="shared" si="223"/>
        <v>1.5009999999999999</v>
      </c>
      <c r="F1898" s="3" t="e">
        <f t="shared" si="224"/>
        <v>#N/A</v>
      </c>
      <c r="G1898" s="3" t="e">
        <f t="shared" si="225"/>
        <v>#N/A</v>
      </c>
      <c r="H1898" s="3" t="e">
        <f t="shared" si="226"/>
        <v>#N/A</v>
      </c>
      <c r="I1898" s="3" t="e">
        <f t="shared" si="227"/>
        <v>#N/A</v>
      </c>
      <c r="J1898" s="2">
        <v>3238</v>
      </c>
      <c r="K1898" s="2">
        <v>1501</v>
      </c>
      <c r="P1898" s="3">
        <f>E1898*(VLOOKUP(B1898,Price_data!A$1:B$190,2,FALSE))</f>
        <v>3.1472278395569999</v>
      </c>
      <c r="Q1898" s="3" t="e">
        <f>G1898*(VLOOKUP(B1898,Price_data!A$1:B$190,2,FALSE))</f>
        <v>#N/A</v>
      </c>
      <c r="R1898" s="3" t="e">
        <f>I1898*(VLOOKUP(B1898,Price_data!A$1:B$190,2,FALSE))</f>
        <v>#N/A</v>
      </c>
      <c r="S1898" s="4" t="str">
        <f>(VLOOKUP(B1898,Price_data!A$1:C$190,3,FALSE))</f>
        <v>EEZ</v>
      </c>
      <c r="T1898" s="2" t="str">
        <f>IF(C1898="Total", (VLOOKUP(B1898,Recommended_fish_intake!A$4:D$122,4,FALSE)), "NA")</f>
        <v>NA</v>
      </c>
      <c r="U1898" s="2" t="str">
        <f t="shared" si="221"/>
        <v>NA</v>
      </c>
    </row>
    <row r="1899" spans="1:21" ht="14.25" customHeight="1">
      <c r="A1899" s="2" t="s">
        <v>40</v>
      </c>
      <c r="B1899" s="2">
        <v>1982</v>
      </c>
      <c r="C1899" s="2" t="s">
        <v>23</v>
      </c>
      <c r="D1899" s="3">
        <f t="shared" si="222"/>
        <v>2.5999999999999999E-2</v>
      </c>
      <c r="E1899" s="3">
        <f t="shared" si="223"/>
        <v>1.2E-2</v>
      </c>
      <c r="F1899" s="3" t="e">
        <f t="shared" si="224"/>
        <v>#N/A</v>
      </c>
      <c r="G1899" s="3" t="e">
        <f t="shared" si="225"/>
        <v>#N/A</v>
      </c>
      <c r="H1899" s="3" t="e">
        <f t="shared" si="226"/>
        <v>#N/A</v>
      </c>
      <c r="I1899" s="3" t="e">
        <f t="shared" si="227"/>
        <v>#N/A</v>
      </c>
      <c r="J1899" s="2">
        <v>26</v>
      </c>
      <c r="K1899" s="2">
        <v>12</v>
      </c>
      <c r="P1899" s="3">
        <f>E1899*(VLOOKUP(B1899,Price_data!A$1:B$190,2,FALSE))</f>
        <v>2.5161048684000001E-2</v>
      </c>
      <c r="Q1899" s="3" t="e">
        <f>G1899*(VLOOKUP(B1899,Price_data!A$1:B$190,2,FALSE))</f>
        <v>#N/A</v>
      </c>
      <c r="R1899" s="3" t="e">
        <f>I1899*(VLOOKUP(B1899,Price_data!A$1:B$190,2,FALSE))</f>
        <v>#N/A</v>
      </c>
      <c r="S1899" s="4" t="str">
        <f>(VLOOKUP(B1899,Price_data!A$1:C$190,3,FALSE))</f>
        <v>EEZ</v>
      </c>
      <c r="T1899" s="2" t="str">
        <f>IF(C1899="Total", (VLOOKUP(B1899,Recommended_fish_intake!A$4:D$122,4,FALSE)), "NA")</f>
        <v>NA</v>
      </c>
      <c r="U1899" s="2" t="str">
        <f t="shared" si="221"/>
        <v>NA</v>
      </c>
    </row>
    <row r="1900" spans="1:21" ht="14.25" customHeight="1">
      <c r="A1900" s="2" t="s">
        <v>40</v>
      </c>
      <c r="B1900" s="2">
        <v>1982</v>
      </c>
      <c r="C1900" s="2" t="s">
        <v>25</v>
      </c>
      <c r="D1900" s="3">
        <f t="shared" si="222"/>
        <v>0.152</v>
      </c>
      <c r="E1900" s="3">
        <f t="shared" si="223"/>
        <v>5.3999999999999999E-2</v>
      </c>
      <c r="F1900" s="3" t="e">
        <f t="shared" si="224"/>
        <v>#N/A</v>
      </c>
      <c r="G1900" s="3" t="e">
        <f t="shared" si="225"/>
        <v>#N/A</v>
      </c>
      <c r="H1900" s="3" t="e">
        <f t="shared" si="226"/>
        <v>#N/A</v>
      </c>
      <c r="I1900" s="3" t="e">
        <f t="shared" si="227"/>
        <v>#N/A</v>
      </c>
      <c r="J1900" s="2">
        <v>152</v>
      </c>
      <c r="K1900" s="2">
        <v>54</v>
      </c>
      <c r="P1900" s="3">
        <f>E1900*(VLOOKUP(B1900,Price_data!A$1:B$190,2,FALSE))</f>
        <v>0.113224719078</v>
      </c>
      <c r="Q1900" s="3" t="e">
        <f>G1900*(VLOOKUP(B1900,Price_data!A$1:B$190,2,FALSE))</f>
        <v>#N/A</v>
      </c>
      <c r="R1900" s="3" t="e">
        <f>I1900*(VLOOKUP(B1900,Price_data!A$1:B$190,2,FALSE))</f>
        <v>#N/A</v>
      </c>
      <c r="S1900" s="4" t="str">
        <f>(VLOOKUP(B1900,Price_data!A$1:C$190,3,FALSE))</f>
        <v>EEZ</v>
      </c>
      <c r="T1900" s="2" t="str">
        <f>IF(C1900="Total", (VLOOKUP(B1900,Recommended_fish_intake!A$4:D$122,4,FALSE)), "NA")</f>
        <v>NA</v>
      </c>
      <c r="U1900" s="2" t="str">
        <f t="shared" si="221"/>
        <v>NA</v>
      </c>
    </row>
    <row r="1901" spans="1:21" ht="14.25" customHeight="1">
      <c r="A1901" s="2" t="s">
        <v>40</v>
      </c>
      <c r="B1901" s="2">
        <v>1982</v>
      </c>
      <c r="C1901" s="2" t="s">
        <v>24</v>
      </c>
      <c r="D1901" s="3">
        <f t="shared" si="222"/>
        <v>9.9339999999999993</v>
      </c>
      <c r="E1901" s="3">
        <f t="shared" si="223"/>
        <v>1.8859999999999999</v>
      </c>
      <c r="F1901" s="3" t="e">
        <f t="shared" si="224"/>
        <v>#N/A</v>
      </c>
      <c r="G1901" s="3" t="e">
        <f t="shared" si="225"/>
        <v>#N/A</v>
      </c>
      <c r="H1901" s="3" t="e">
        <f t="shared" si="226"/>
        <v>#N/A</v>
      </c>
      <c r="I1901" s="3" t="e">
        <f t="shared" si="227"/>
        <v>#N/A</v>
      </c>
      <c r="J1901" s="2">
        <v>9934</v>
      </c>
      <c r="K1901" s="2">
        <v>1886</v>
      </c>
      <c r="P1901" s="3">
        <f>E1901*(VLOOKUP(B1901,Price_data!A$1:B$190,2,FALSE))</f>
        <v>3.9544781515019998</v>
      </c>
      <c r="Q1901" s="3" t="e">
        <f>G1901*(VLOOKUP(B1901,Price_data!A$1:B$190,2,FALSE))</f>
        <v>#N/A</v>
      </c>
      <c r="R1901" s="3" t="e">
        <f>I1901*(VLOOKUP(B1901,Price_data!A$1:B$190,2,FALSE))</f>
        <v>#N/A</v>
      </c>
      <c r="S1901" s="4" t="str">
        <f>(VLOOKUP(B1901,Price_data!A$1:C$190,3,FALSE))</f>
        <v>EEZ</v>
      </c>
      <c r="T1901" s="2" t="str">
        <f>IF(C1901="Total", (VLOOKUP(B1901,Recommended_fish_intake!A$4:D$122,4,FALSE)), "NA")</f>
        <v>NA</v>
      </c>
      <c r="U1901" s="2" t="str">
        <f t="shared" si="221"/>
        <v>NA</v>
      </c>
    </row>
    <row r="1902" spans="1:21" ht="14.25" customHeight="1">
      <c r="A1902" s="2" t="s">
        <v>40</v>
      </c>
      <c r="B1902" s="2">
        <v>1982</v>
      </c>
      <c r="C1902" s="2" t="s">
        <v>19</v>
      </c>
      <c r="D1902" s="3">
        <f t="shared" si="222"/>
        <v>2.2629999999999999</v>
      </c>
      <c r="E1902" s="3">
        <f t="shared" si="223"/>
        <v>0.39900000000000002</v>
      </c>
      <c r="F1902" s="3" t="e">
        <f t="shared" si="224"/>
        <v>#N/A</v>
      </c>
      <c r="G1902" s="3" t="e">
        <f t="shared" si="225"/>
        <v>#N/A</v>
      </c>
      <c r="H1902" s="3" t="e">
        <f t="shared" si="226"/>
        <v>#N/A</v>
      </c>
      <c r="I1902" s="3" t="e">
        <f t="shared" si="227"/>
        <v>#N/A</v>
      </c>
      <c r="J1902" s="2">
        <v>2263</v>
      </c>
      <c r="K1902" s="2">
        <v>399</v>
      </c>
      <c r="P1902" s="3">
        <f>E1902*(VLOOKUP(B1902,Price_data!A$1:B$190,2,FALSE))</f>
        <v>0.83660486874300011</v>
      </c>
      <c r="Q1902" s="3" t="e">
        <f>G1902*(VLOOKUP(B1902,Price_data!A$1:B$190,2,FALSE))</f>
        <v>#N/A</v>
      </c>
      <c r="R1902" s="3" t="e">
        <f>I1902*(VLOOKUP(B1902,Price_data!A$1:B$190,2,FALSE))</f>
        <v>#N/A</v>
      </c>
      <c r="S1902" s="4" t="str">
        <f>(VLOOKUP(B1902,Price_data!A$1:C$190,3,FALSE))</f>
        <v>EEZ</v>
      </c>
      <c r="T1902" s="2" t="str">
        <f>IF(C1902="Total", (VLOOKUP(B1902,Recommended_fish_intake!A$4:D$122,4,FALSE)), "NA")</f>
        <v>NA</v>
      </c>
      <c r="U1902" s="2" t="str">
        <f t="shared" si="221"/>
        <v>NA</v>
      </c>
    </row>
    <row r="1903" spans="1:21" ht="14.25" customHeight="1">
      <c r="A1903" s="2" t="s">
        <v>40</v>
      </c>
      <c r="B1903" s="2">
        <v>1982</v>
      </c>
      <c r="C1903" s="2" t="s">
        <v>20</v>
      </c>
      <c r="D1903" s="3">
        <f t="shared" si="222"/>
        <v>1.645</v>
      </c>
      <c r="E1903" s="3">
        <f t="shared" si="223"/>
        <v>0.16200000000000001</v>
      </c>
      <c r="F1903" s="3" t="e">
        <f t="shared" si="224"/>
        <v>#N/A</v>
      </c>
      <c r="G1903" s="3" t="e">
        <f t="shared" si="225"/>
        <v>#N/A</v>
      </c>
      <c r="H1903" s="3" t="e">
        <f t="shared" si="226"/>
        <v>#N/A</v>
      </c>
      <c r="I1903" s="3" t="e">
        <f t="shared" si="227"/>
        <v>#N/A</v>
      </c>
      <c r="J1903" s="2">
        <v>1645</v>
      </c>
      <c r="K1903" s="2">
        <v>162</v>
      </c>
      <c r="P1903" s="3">
        <f>E1903*(VLOOKUP(B1903,Price_data!A$1:B$190,2,FALSE))</f>
        <v>0.33967415723400002</v>
      </c>
      <c r="Q1903" s="3" t="e">
        <f>G1903*(VLOOKUP(B1903,Price_data!A$1:B$190,2,FALSE))</f>
        <v>#N/A</v>
      </c>
      <c r="R1903" s="3" t="e">
        <f>I1903*(VLOOKUP(B1903,Price_data!A$1:B$190,2,FALSE))</f>
        <v>#N/A</v>
      </c>
      <c r="S1903" s="4" t="str">
        <f>(VLOOKUP(B1903,Price_data!A$1:C$190,3,FALSE))</f>
        <v>EEZ</v>
      </c>
      <c r="T1903" s="2" t="str">
        <f>IF(C1903="Total", (VLOOKUP(B1903,Recommended_fish_intake!A$4:D$122,4,FALSE)), "NA")</f>
        <v>NA</v>
      </c>
      <c r="U1903" s="2" t="str">
        <f t="shared" si="221"/>
        <v>NA</v>
      </c>
    </row>
    <row r="1904" spans="1:21" ht="14.25" customHeight="1">
      <c r="A1904" s="2" t="s">
        <v>40</v>
      </c>
      <c r="B1904" s="2">
        <v>1982</v>
      </c>
      <c r="C1904" s="2" t="s">
        <v>21</v>
      </c>
      <c r="D1904" s="3">
        <f t="shared" si="222"/>
        <v>0</v>
      </c>
      <c r="E1904" s="3">
        <f t="shared" si="223"/>
        <v>0</v>
      </c>
      <c r="F1904" s="3" t="e">
        <f t="shared" si="224"/>
        <v>#N/A</v>
      </c>
      <c r="G1904" s="3" t="e">
        <f t="shared" si="225"/>
        <v>#N/A</v>
      </c>
      <c r="H1904" s="3" t="e">
        <f t="shared" si="226"/>
        <v>#N/A</v>
      </c>
      <c r="I1904" s="3" t="e">
        <f t="shared" si="227"/>
        <v>#N/A</v>
      </c>
      <c r="J1904" s="2">
        <v>0</v>
      </c>
      <c r="K1904" s="2">
        <v>0</v>
      </c>
      <c r="P1904" s="3">
        <f>E1904*(VLOOKUP(B1904,Price_data!A$1:B$190,2,FALSE))</f>
        <v>0</v>
      </c>
      <c r="Q1904" s="3" t="e">
        <f>G1904*(VLOOKUP(B1904,Price_data!A$1:B$190,2,FALSE))</f>
        <v>#N/A</v>
      </c>
      <c r="R1904" s="3" t="e">
        <f>I1904*(VLOOKUP(B1904,Price_data!A$1:B$190,2,FALSE))</f>
        <v>#N/A</v>
      </c>
      <c r="S1904" s="4" t="str">
        <f>(VLOOKUP(B1904,Price_data!A$1:C$190,3,FALSE))</f>
        <v>EEZ</v>
      </c>
      <c r="T1904" s="2" t="str">
        <f>IF(C1904="Total", (VLOOKUP(B1904,Recommended_fish_intake!A$4:D$122,4,FALSE)), "NA")</f>
        <v>NA</v>
      </c>
      <c r="U1904" s="2" t="str">
        <f t="shared" si="221"/>
        <v>NA</v>
      </c>
    </row>
    <row r="1905" spans="1:21" ht="14.25" customHeight="1">
      <c r="A1905" s="2" t="s">
        <v>40</v>
      </c>
      <c r="B1905" s="2">
        <v>1982</v>
      </c>
      <c r="C1905" s="2" t="s">
        <v>37</v>
      </c>
      <c r="D1905" s="3">
        <f t="shared" si="222"/>
        <v>20.318000000000001</v>
      </c>
      <c r="E1905" s="3">
        <f t="shared" si="223"/>
        <v>5.0209999999999999</v>
      </c>
      <c r="F1905" s="3" t="e">
        <f t="shared" si="224"/>
        <v>#N/A</v>
      </c>
      <c r="G1905" s="3" t="e">
        <f t="shared" si="225"/>
        <v>#N/A</v>
      </c>
      <c r="H1905" s="3" t="e">
        <f t="shared" si="226"/>
        <v>#N/A</v>
      </c>
      <c r="I1905" s="3" t="e">
        <f t="shared" si="227"/>
        <v>#N/A</v>
      </c>
      <c r="J1905" s="2">
        <v>20318</v>
      </c>
      <c r="K1905" s="2">
        <v>5021</v>
      </c>
      <c r="P1905" s="3">
        <f>E1905*(VLOOKUP(B1905,Price_data!A$1:B$190,2,FALSE))</f>
        <v>10.527802120197</v>
      </c>
      <c r="Q1905" s="3" t="e">
        <f>G1905*(VLOOKUP(B1905,Price_data!A$1:B$190,2,FALSE))</f>
        <v>#N/A</v>
      </c>
      <c r="R1905" s="3" t="e">
        <f>I1905*(VLOOKUP(B1905,Price_data!A$1:B$190,2,FALSE))</f>
        <v>#N/A</v>
      </c>
      <c r="S1905" s="4" t="str">
        <f>(VLOOKUP(B1905,Price_data!A$1:C$190,3,FALSE))</f>
        <v>EEZ</v>
      </c>
      <c r="T1905" s="2" t="str">
        <f>IF(C1905="Total", (VLOOKUP(B1905,Recommended_fish_intake!A$4:D$122,4,FALSE)), "NA")</f>
        <v>NA</v>
      </c>
      <c r="U1905" s="2">
        <f t="shared" si="221"/>
        <v>9.955820000000001</v>
      </c>
    </row>
    <row r="1906" spans="1:21" ht="14.25" customHeight="1">
      <c r="A1906" s="2" t="s">
        <v>40</v>
      </c>
      <c r="B1906" s="2">
        <v>1982</v>
      </c>
      <c r="C1906" s="2" t="s">
        <v>36</v>
      </c>
      <c r="D1906" s="3">
        <f t="shared" si="222"/>
        <v>2E-3</v>
      </c>
      <c r="E1906" s="3">
        <f t="shared" si="223"/>
        <v>1E-3</v>
      </c>
      <c r="F1906" s="3" t="e">
        <f t="shared" si="224"/>
        <v>#N/A</v>
      </c>
      <c r="G1906" s="3" t="e">
        <f t="shared" si="225"/>
        <v>#N/A</v>
      </c>
      <c r="H1906" s="3" t="e">
        <f t="shared" si="226"/>
        <v>#N/A</v>
      </c>
      <c r="I1906" s="3" t="e">
        <f t="shared" si="227"/>
        <v>#N/A</v>
      </c>
      <c r="J1906" s="2">
        <v>2</v>
      </c>
      <c r="K1906" s="2">
        <v>1</v>
      </c>
      <c r="P1906" s="3">
        <f>E1906*(VLOOKUP(B1906,Price_data!A$1:B$190,2,FALSE))</f>
        <v>2.0967540569999999E-3</v>
      </c>
      <c r="Q1906" s="3" t="e">
        <f>G1906*(VLOOKUP(B1906,Price_data!A$1:B$190,2,FALSE))</f>
        <v>#N/A</v>
      </c>
      <c r="R1906" s="3" t="e">
        <f>I1906*(VLOOKUP(B1906,Price_data!A$1:B$190,2,FALSE))</f>
        <v>#N/A</v>
      </c>
      <c r="S1906" s="4" t="str">
        <f>(VLOOKUP(B1906,Price_data!A$1:C$190,3,FALSE))</f>
        <v>EEZ</v>
      </c>
      <c r="T1906" s="2" t="str">
        <f>IF(C1906="Total", (VLOOKUP(B1906,Recommended_fish_intake!A$4:D$122,4,FALSE)), "NA")</f>
        <v>NA</v>
      </c>
      <c r="U1906" s="2" t="str">
        <f t="shared" si="221"/>
        <v>NA</v>
      </c>
    </row>
    <row r="1907" spans="1:21" ht="14.25" customHeight="1">
      <c r="A1907" s="2" t="s">
        <v>40</v>
      </c>
      <c r="B1907" s="2">
        <v>1982</v>
      </c>
      <c r="C1907" s="2" t="s">
        <v>34</v>
      </c>
      <c r="D1907" s="3">
        <f t="shared" si="222"/>
        <v>1.4999999999999999E-2</v>
      </c>
      <c r="E1907" s="3">
        <f t="shared" si="223"/>
        <v>7.0000000000000007E-2</v>
      </c>
      <c r="F1907" s="3" t="e">
        <f t="shared" si="224"/>
        <v>#N/A</v>
      </c>
      <c r="G1907" s="3" t="e">
        <f t="shared" si="225"/>
        <v>#N/A</v>
      </c>
      <c r="H1907" s="3" t="e">
        <f t="shared" si="226"/>
        <v>#N/A</v>
      </c>
      <c r="I1907" s="3" t="e">
        <f t="shared" si="227"/>
        <v>#N/A</v>
      </c>
      <c r="J1907" s="2">
        <v>15</v>
      </c>
      <c r="K1907" s="2">
        <v>70</v>
      </c>
      <c r="P1907" s="3">
        <f>E1907*(VLOOKUP(B1907,Price_data!A$1:B$190,2,FALSE))</f>
        <v>0.14677278399000002</v>
      </c>
      <c r="Q1907" s="3" t="e">
        <f>G1907*(VLOOKUP(B1907,Price_data!A$1:B$190,2,FALSE))</f>
        <v>#N/A</v>
      </c>
      <c r="R1907" s="3" t="e">
        <f>I1907*(VLOOKUP(B1907,Price_data!A$1:B$190,2,FALSE))</f>
        <v>#N/A</v>
      </c>
      <c r="S1907" s="4" t="str">
        <f>(VLOOKUP(B1907,Price_data!A$1:C$190,3,FALSE))</f>
        <v>EEZ</v>
      </c>
      <c r="T1907" s="2" t="str">
        <f>IF(C1907="Total", (VLOOKUP(B1907,Recommended_fish_intake!A$4:D$122,4,FALSE)), "NA")</f>
        <v>NA</v>
      </c>
      <c r="U1907" s="2" t="str">
        <f t="shared" si="221"/>
        <v>NA</v>
      </c>
    </row>
    <row r="1908" spans="1:21" ht="14.25" customHeight="1">
      <c r="A1908" s="2" t="s">
        <v>40</v>
      </c>
      <c r="B1908" s="2">
        <v>1982</v>
      </c>
      <c r="C1908" s="2" t="s">
        <v>35</v>
      </c>
      <c r="D1908" s="3">
        <f t="shared" si="222"/>
        <v>4.4880000000000004</v>
      </c>
      <c r="E1908" s="3">
        <f t="shared" si="223"/>
        <v>3.4910000000000001</v>
      </c>
      <c r="F1908" s="3" t="e">
        <f t="shared" si="224"/>
        <v>#N/A</v>
      </c>
      <c r="G1908" s="3" t="e">
        <f t="shared" si="225"/>
        <v>#N/A</v>
      </c>
      <c r="H1908" s="3" t="e">
        <f t="shared" si="226"/>
        <v>#N/A</v>
      </c>
      <c r="I1908" s="3" t="e">
        <f t="shared" si="227"/>
        <v>#N/A</v>
      </c>
      <c r="J1908" s="2">
        <v>4488</v>
      </c>
      <c r="K1908" s="2">
        <v>3491</v>
      </c>
      <c r="P1908" s="3">
        <f>E1908*(VLOOKUP(B1908,Price_data!A$1:B$190,2,FALSE))</f>
        <v>7.319768412987</v>
      </c>
      <c r="Q1908" s="3" t="e">
        <f>G1908*(VLOOKUP(B1908,Price_data!A$1:B$190,2,FALSE))</f>
        <v>#N/A</v>
      </c>
      <c r="R1908" s="3" t="e">
        <f>I1908*(VLOOKUP(B1908,Price_data!A$1:B$190,2,FALSE))</f>
        <v>#N/A</v>
      </c>
      <c r="S1908" s="4" t="str">
        <f>(VLOOKUP(B1908,Price_data!A$1:C$190,3,FALSE))</f>
        <v>EEZ</v>
      </c>
      <c r="T1908" s="2" t="str">
        <f>IF(C1908="Total", (VLOOKUP(B1908,Recommended_fish_intake!A$4:D$122,4,FALSE)), "NA")</f>
        <v>NA</v>
      </c>
      <c r="U1908" s="2" t="str">
        <f t="shared" si="221"/>
        <v>NA</v>
      </c>
    </row>
    <row r="1909" spans="1:21" ht="14.25" customHeight="1">
      <c r="A1909" s="2" t="s">
        <v>40</v>
      </c>
      <c r="B1909" s="2">
        <v>1982</v>
      </c>
      <c r="C1909" s="2" t="s">
        <v>52</v>
      </c>
      <c r="D1909" s="3">
        <f t="shared" si="222"/>
        <v>1.2999999999999999E-2</v>
      </c>
      <c r="E1909" s="3">
        <f t="shared" si="223"/>
        <v>3.5999999999999997E-2</v>
      </c>
      <c r="F1909" s="3" t="e">
        <f t="shared" si="224"/>
        <v>#N/A</v>
      </c>
      <c r="G1909" s="3" t="e">
        <f t="shared" si="225"/>
        <v>#N/A</v>
      </c>
      <c r="H1909" s="3" t="e">
        <f t="shared" si="226"/>
        <v>#N/A</v>
      </c>
      <c r="I1909" s="3" t="e">
        <f t="shared" si="227"/>
        <v>#N/A</v>
      </c>
      <c r="J1909" s="2">
        <v>13</v>
      </c>
      <c r="K1909" s="2">
        <v>36</v>
      </c>
      <c r="P1909" s="3">
        <f>E1909*(VLOOKUP(B1909,Price_data!A$1:B$190,2,FALSE))</f>
        <v>7.5483146052000002E-2</v>
      </c>
      <c r="Q1909" s="3" t="e">
        <f>G1909*(VLOOKUP(B1909,Price_data!A$1:B$190,2,FALSE))</f>
        <v>#N/A</v>
      </c>
      <c r="R1909" s="3" t="e">
        <f>I1909*(VLOOKUP(B1909,Price_data!A$1:B$190,2,FALSE))</f>
        <v>#N/A</v>
      </c>
      <c r="S1909" s="4" t="str">
        <f>(VLOOKUP(B1909,Price_data!A$1:C$190,3,FALSE))</f>
        <v>EEZ</v>
      </c>
      <c r="T1909" s="2" t="str">
        <f>IF(C1909="Total", (VLOOKUP(B1909,Recommended_fish_intake!A$4:D$122,4,FALSE)), "NA")</f>
        <v>NA</v>
      </c>
      <c r="U1909" s="2" t="str">
        <f t="shared" si="221"/>
        <v>NA</v>
      </c>
    </row>
    <row r="1910" spans="1:21" ht="14.25" customHeight="1">
      <c r="A1910" s="2" t="s">
        <v>40</v>
      </c>
      <c r="B1910" s="2">
        <v>1982</v>
      </c>
      <c r="C1910" s="2" t="s">
        <v>30</v>
      </c>
      <c r="D1910" s="3">
        <f t="shared" si="222"/>
        <v>0</v>
      </c>
      <c r="E1910" s="3">
        <f t="shared" si="223"/>
        <v>0</v>
      </c>
      <c r="F1910" s="3" t="e">
        <f t="shared" si="224"/>
        <v>#N/A</v>
      </c>
      <c r="G1910" s="3" t="e">
        <f t="shared" si="225"/>
        <v>#N/A</v>
      </c>
      <c r="H1910" s="3" t="e">
        <f t="shared" si="226"/>
        <v>#N/A</v>
      </c>
      <c r="I1910" s="3" t="e">
        <f t="shared" si="227"/>
        <v>#N/A</v>
      </c>
      <c r="J1910" s="2">
        <v>0</v>
      </c>
      <c r="K1910" s="2">
        <v>0</v>
      </c>
      <c r="P1910" s="3">
        <f>E1910*(VLOOKUP(B1910,Price_data!A$1:B$190,2,FALSE))</f>
        <v>0</v>
      </c>
      <c r="Q1910" s="3" t="e">
        <f>G1910*(VLOOKUP(B1910,Price_data!A$1:B$190,2,FALSE))</f>
        <v>#N/A</v>
      </c>
      <c r="R1910" s="3" t="e">
        <f>I1910*(VLOOKUP(B1910,Price_data!A$1:B$190,2,FALSE))</f>
        <v>#N/A</v>
      </c>
      <c r="S1910" s="4" t="str">
        <f>(VLOOKUP(B1910,Price_data!A$1:C$190,3,FALSE))</f>
        <v>EEZ</v>
      </c>
      <c r="T1910" s="2" t="str">
        <f>IF(C1910="Total", (VLOOKUP(B1910,Recommended_fish_intake!A$4:D$122,4,FALSE)), "NA")</f>
        <v>NA</v>
      </c>
      <c r="U1910" s="2" t="str">
        <f t="shared" si="221"/>
        <v>NA</v>
      </c>
    </row>
    <row r="1911" spans="1:21" ht="14.25" customHeight="1">
      <c r="A1911" s="2" t="s">
        <v>40</v>
      </c>
      <c r="B1911" s="2">
        <v>1982</v>
      </c>
      <c r="C1911" s="2" t="s">
        <v>28</v>
      </c>
      <c r="D1911" s="3">
        <f t="shared" si="222"/>
        <v>4.96</v>
      </c>
      <c r="E1911" s="3">
        <f t="shared" si="223"/>
        <v>3.8109999999999999</v>
      </c>
      <c r="F1911" s="3" t="e">
        <f t="shared" si="224"/>
        <v>#N/A</v>
      </c>
      <c r="G1911" s="3" t="e">
        <f t="shared" si="225"/>
        <v>#N/A</v>
      </c>
      <c r="H1911" s="3" t="e">
        <f t="shared" si="226"/>
        <v>#N/A</v>
      </c>
      <c r="I1911" s="3" t="e">
        <f t="shared" si="227"/>
        <v>#N/A</v>
      </c>
      <c r="J1911" s="2">
        <v>4960</v>
      </c>
      <c r="K1911" s="2">
        <v>3811</v>
      </c>
      <c r="P1911" s="3">
        <f>E1911*(VLOOKUP(B1911,Price_data!A$1:B$190,2,FALSE))</f>
        <v>7.9907297112269999</v>
      </c>
      <c r="Q1911" s="3" t="e">
        <f>G1911*(VLOOKUP(B1911,Price_data!A$1:B$190,2,FALSE))</f>
        <v>#N/A</v>
      </c>
      <c r="R1911" s="3" t="e">
        <f>I1911*(VLOOKUP(B1911,Price_data!A$1:B$190,2,FALSE))</f>
        <v>#N/A</v>
      </c>
      <c r="S1911" s="4" t="str">
        <f>(VLOOKUP(B1911,Price_data!A$1:C$190,3,FALSE))</f>
        <v>EEZ</v>
      </c>
      <c r="T1911" s="2" t="str">
        <f>IF(C1911="Total", (VLOOKUP(B1911,Recommended_fish_intake!A$4:D$122,4,FALSE)), "NA")</f>
        <v>NA</v>
      </c>
      <c r="U1911" s="2">
        <f t="shared" si="221"/>
        <v>1.3888</v>
      </c>
    </row>
    <row r="1912" spans="1:21" ht="14.25" customHeight="1">
      <c r="A1912" s="2" t="s">
        <v>15</v>
      </c>
      <c r="B1912" s="2">
        <v>1982</v>
      </c>
      <c r="C1912" s="2" t="s">
        <v>22</v>
      </c>
      <c r="D1912" s="3">
        <f t="shared" si="222"/>
        <v>114.316</v>
      </c>
      <c r="E1912" s="3">
        <f t="shared" si="223"/>
        <v>71.623000000000005</v>
      </c>
      <c r="F1912" s="3" t="e">
        <f t="shared" si="224"/>
        <v>#N/A</v>
      </c>
      <c r="G1912" s="3" t="e">
        <f t="shared" si="225"/>
        <v>#N/A</v>
      </c>
      <c r="H1912" s="3">
        <f t="shared" si="226"/>
        <v>107.738</v>
      </c>
      <c r="I1912" s="3">
        <f t="shared" si="227"/>
        <v>106.991</v>
      </c>
      <c r="J1912" s="2">
        <v>114316</v>
      </c>
      <c r="K1912" s="2">
        <v>71623</v>
      </c>
      <c r="N1912" s="2">
        <f>33533+63665+9730+810</f>
        <v>107738</v>
      </c>
      <c r="O1912" s="2">
        <f>19175+80479+6646+691</f>
        <v>106991</v>
      </c>
      <c r="P1912" s="3">
        <f>E1912*(VLOOKUP(B1912,Price_data!A$1:B$190,2,FALSE))</f>
        <v>150.17581582451101</v>
      </c>
      <c r="Q1912" s="3" t="e">
        <f>G1912*(VLOOKUP(B1912,Price_data!A$1:B$190,2,FALSE))</f>
        <v>#N/A</v>
      </c>
      <c r="R1912" s="3">
        <f>I1912*(VLOOKUP(B1912,Price_data!A$1:B$190,2,FALSE))</f>
        <v>224.333813312487</v>
      </c>
      <c r="S1912" s="4" t="str">
        <f>(VLOOKUP(B1912,Price_data!A$1:C$190,3,FALSE))</f>
        <v>EEZ</v>
      </c>
      <c r="T1912" s="2" t="str">
        <f>IF(C1912="Total", (VLOOKUP(B1912,Recommended_fish_intake!A$4:D$122,4,FALSE)), "NA")</f>
        <v>NA</v>
      </c>
      <c r="U1912" s="2" t="str">
        <f t="shared" si="221"/>
        <v>NA</v>
      </c>
    </row>
    <row r="1913" spans="1:21" ht="14.25" customHeight="1">
      <c r="A1913" s="2" t="s">
        <v>15</v>
      </c>
      <c r="B1913" s="2">
        <v>1982</v>
      </c>
      <c r="C1913" s="2" t="s">
        <v>23</v>
      </c>
      <c r="D1913" s="3">
        <f t="shared" si="222"/>
        <v>129.00200000000001</v>
      </c>
      <c r="E1913" s="3">
        <f t="shared" si="223"/>
        <v>50.311</v>
      </c>
      <c r="F1913" s="3" t="e">
        <f t="shared" si="224"/>
        <v>#N/A</v>
      </c>
      <c r="G1913" s="3" t="e">
        <f t="shared" si="225"/>
        <v>#N/A</v>
      </c>
      <c r="H1913" s="3">
        <f t="shared" si="226"/>
        <v>15.629</v>
      </c>
      <c r="I1913" s="3">
        <f t="shared" si="227"/>
        <v>14.875</v>
      </c>
      <c r="J1913" s="2">
        <v>129002</v>
      </c>
      <c r="K1913" s="2">
        <v>50311</v>
      </c>
      <c r="N1913" s="2">
        <f>5253+9197+1179</f>
        <v>15629</v>
      </c>
      <c r="O1913" s="2">
        <f>2699+11549+627</f>
        <v>14875</v>
      </c>
      <c r="P1913" s="3">
        <f>E1913*(VLOOKUP(B1913,Price_data!A$1:B$190,2,FALSE))</f>
        <v>105.48979336172701</v>
      </c>
      <c r="Q1913" s="3" t="e">
        <f>G1913*(VLOOKUP(B1913,Price_data!A$1:B$190,2,FALSE))</f>
        <v>#N/A</v>
      </c>
      <c r="R1913" s="3">
        <f>I1913*(VLOOKUP(B1913,Price_data!A$1:B$190,2,FALSE))</f>
        <v>31.189216597874999</v>
      </c>
      <c r="S1913" s="4" t="str">
        <f>(VLOOKUP(B1913,Price_data!A$1:C$190,3,FALSE))</f>
        <v>EEZ</v>
      </c>
      <c r="T1913" s="2" t="str">
        <f>IF(C1913="Total", (VLOOKUP(B1913,Recommended_fish_intake!A$4:D$122,4,FALSE)), "NA")</f>
        <v>NA</v>
      </c>
      <c r="U1913" s="2" t="str">
        <f t="shared" si="221"/>
        <v>NA</v>
      </c>
    </row>
    <row r="1914" spans="1:21" ht="14.25" customHeight="1">
      <c r="A1914" s="2" t="s">
        <v>15</v>
      </c>
      <c r="B1914" s="2">
        <v>1982</v>
      </c>
      <c r="C1914" s="2" t="s">
        <v>25</v>
      </c>
      <c r="D1914" s="3">
        <f t="shared" si="222"/>
        <v>24.311</v>
      </c>
      <c r="E1914" s="3">
        <f t="shared" si="223"/>
        <v>13.821999999999999</v>
      </c>
      <c r="F1914" s="3" t="e">
        <f t="shared" si="224"/>
        <v>#N/A</v>
      </c>
      <c r="G1914" s="3" t="e">
        <f t="shared" si="225"/>
        <v>#N/A</v>
      </c>
      <c r="H1914" s="3">
        <f t="shared" si="226"/>
        <v>24.132999999999999</v>
      </c>
      <c r="I1914" s="3">
        <f t="shared" si="227"/>
        <v>16.631</v>
      </c>
      <c r="J1914" s="2">
        <v>24311</v>
      </c>
      <c r="K1914" s="2">
        <v>13822</v>
      </c>
      <c r="N1914" s="2">
        <f>20332+2633+1168</f>
        <v>24133</v>
      </c>
      <c r="O1914" s="2">
        <f>12114+3870+647</f>
        <v>16631</v>
      </c>
      <c r="P1914" s="3">
        <f>E1914*(VLOOKUP(B1914,Price_data!A$1:B$190,2,FALSE))</f>
        <v>28.981334575854</v>
      </c>
      <c r="Q1914" s="3" t="e">
        <f>G1914*(VLOOKUP(B1914,Price_data!A$1:B$190,2,FALSE))</f>
        <v>#N/A</v>
      </c>
      <c r="R1914" s="3">
        <f>I1914*(VLOOKUP(B1914,Price_data!A$1:B$190,2,FALSE))</f>
        <v>34.871116721966999</v>
      </c>
      <c r="S1914" s="4" t="str">
        <f>(VLOOKUP(B1914,Price_data!A$1:C$190,3,FALSE))</f>
        <v>EEZ</v>
      </c>
      <c r="T1914" s="2" t="str">
        <f>IF(C1914="Total", (VLOOKUP(B1914,Recommended_fish_intake!A$4:D$122,4,FALSE)), "NA")</f>
        <v>NA</v>
      </c>
      <c r="U1914" s="2" t="str">
        <f t="shared" si="221"/>
        <v>NA</v>
      </c>
    </row>
    <row r="1915" spans="1:21" ht="14.25" customHeight="1">
      <c r="A1915" s="2" t="s">
        <v>15</v>
      </c>
      <c r="B1915" s="2">
        <v>1982</v>
      </c>
      <c r="C1915" s="2" t="s">
        <v>24</v>
      </c>
      <c r="D1915" s="3">
        <f t="shared" si="222"/>
        <v>50.656999999999996</v>
      </c>
      <c r="E1915" s="3">
        <f t="shared" si="223"/>
        <v>13.448</v>
      </c>
      <c r="F1915" s="3" t="e">
        <f t="shared" si="224"/>
        <v>#N/A</v>
      </c>
      <c r="G1915" s="3" t="e">
        <f t="shared" si="225"/>
        <v>#N/A</v>
      </c>
      <c r="H1915" s="3" t="e">
        <f t="shared" si="226"/>
        <v>#N/A</v>
      </c>
      <c r="I1915" s="3" t="e">
        <f t="shared" si="227"/>
        <v>#N/A</v>
      </c>
      <c r="J1915" s="2">
        <v>50657</v>
      </c>
      <c r="K1915" s="2">
        <v>13448</v>
      </c>
      <c r="P1915" s="3">
        <f>E1915*(VLOOKUP(B1915,Price_data!A$1:B$190,2,FALSE))</f>
        <v>28.197148558536</v>
      </c>
      <c r="Q1915" s="3" t="e">
        <f>G1915*(VLOOKUP(B1915,Price_data!A$1:B$190,2,FALSE))</f>
        <v>#N/A</v>
      </c>
      <c r="R1915" s="3" t="e">
        <f>I1915*(VLOOKUP(B1915,Price_data!A$1:B$190,2,FALSE))</f>
        <v>#N/A</v>
      </c>
      <c r="S1915" s="4" t="str">
        <f>(VLOOKUP(B1915,Price_data!A$1:C$190,3,FALSE))</f>
        <v>EEZ</v>
      </c>
      <c r="T1915" s="2" t="str">
        <f>IF(C1915="Total", (VLOOKUP(B1915,Recommended_fish_intake!A$4:D$122,4,FALSE)), "NA")</f>
        <v>NA</v>
      </c>
      <c r="U1915" s="2" t="str">
        <f t="shared" si="221"/>
        <v>NA</v>
      </c>
    </row>
    <row r="1916" spans="1:21" ht="14.25" customHeight="1">
      <c r="A1916" s="2" t="s">
        <v>15</v>
      </c>
      <c r="B1916" s="2">
        <v>1982</v>
      </c>
      <c r="C1916" s="2" t="s">
        <v>19</v>
      </c>
      <c r="D1916" s="3">
        <f t="shared" si="222"/>
        <v>47.941000000000003</v>
      </c>
      <c r="E1916" s="3">
        <f t="shared" si="223"/>
        <v>5.9029999999999996</v>
      </c>
      <c r="F1916" s="3" t="e">
        <f t="shared" si="224"/>
        <v>#N/A</v>
      </c>
      <c r="G1916" s="3" t="e">
        <f t="shared" si="225"/>
        <v>#N/A</v>
      </c>
      <c r="H1916" s="3">
        <f t="shared" si="226"/>
        <v>12.196999999999999</v>
      </c>
      <c r="I1916" s="3">
        <f t="shared" si="227"/>
        <v>5.65</v>
      </c>
      <c r="J1916" s="2">
        <v>47941</v>
      </c>
      <c r="K1916" s="2">
        <v>5903</v>
      </c>
      <c r="N1916" s="2">
        <f>4348+6029+870+950</f>
        <v>12197</v>
      </c>
      <c r="O1916" s="2">
        <f>1279+2576+456+1339</f>
        <v>5650</v>
      </c>
      <c r="P1916" s="3">
        <f>E1916*(VLOOKUP(B1916,Price_data!A$1:B$190,2,FALSE))</f>
        <v>12.377139198470999</v>
      </c>
      <c r="Q1916" s="3" t="e">
        <f>G1916*(VLOOKUP(B1916,Price_data!A$1:B$190,2,FALSE))</f>
        <v>#N/A</v>
      </c>
      <c r="R1916" s="3">
        <f>I1916*(VLOOKUP(B1916,Price_data!A$1:B$190,2,FALSE))</f>
        <v>11.84666042205</v>
      </c>
      <c r="S1916" s="4" t="str">
        <f>(VLOOKUP(B1916,Price_data!A$1:C$190,3,FALSE))</f>
        <v>EEZ</v>
      </c>
      <c r="T1916" s="2" t="str">
        <f>IF(C1916="Total", (VLOOKUP(B1916,Recommended_fish_intake!A$4:D$122,4,FALSE)), "NA")</f>
        <v>NA</v>
      </c>
      <c r="U1916" s="2" t="str">
        <f t="shared" si="221"/>
        <v>NA</v>
      </c>
    </row>
    <row r="1917" spans="1:21" ht="14.25" customHeight="1">
      <c r="A1917" s="2" t="s">
        <v>15</v>
      </c>
      <c r="B1917" s="2">
        <v>1982</v>
      </c>
      <c r="C1917" s="2" t="s">
        <v>20</v>
      </c>
      <c r="D1917" s="3">
        <f t="shared" si="222"/>
        <v>185.666</v>
      </c>
      <c r="E1917" s="3">
        <f t="shared" si="223"/>
        <v>19.332000000000001</v>
      </c>
      <c r="F1917" s="3" t="e">
        <f t="shared" si="224"/>
        <v>#N/A</v>
      </c>
      <c r="G1917" s="3" t="e">
        <f t="shared" si="225"/>
        <v>#N/A</v>
      </c>
      <c r="H1917" s="3">
        <f t="shared" si="226"/>
        <v>1.546</v>
      </c>
      <c r="I1917" s="3">
        <f t="shared" si="227"/>
        <v>1.752</v>
      </c>
      <c r="J1917" s="2">
        <v>185666</v>
      </c>
      <c r="K1917" s="2">
        <v>19332</v>
      </c>
      <c r="N1917" s="2">
        <v>1546</v>
      </c>
      <c r="O1917" s="2">
        <v>1752</v>
      </c>
      <c r="P1917" s="3">
        <f>E1917*(VLOOKUP(B1917,Price_data!A$1:B$190,2,FALSE))</f>
        <v>40.534449429924003</v>
      </c>
      <c r="Q1917" s="3" t="e">
        <f>G1917*(VLOOKUP(B1917,Price_data!A$1:B$190,2,FALSE))</f>
        <v>#N/A</v>
      </c>
      <c r="R1917" s="3">
        <f>I1917*(VLOOKUP(B1917,Price_data!A$1:B$190,2,FALSE))</f>
        <v>3.6735131078640002</v>
      </c>
      <c r="S1917" s="4" t="str">
        <f>(VLOOKUP(B1917,Price_data!A$1:C$190,3,FALSE))</f>
        <v>EEZ</v>
      </c>
      <c r="T1917" s="2" t="str">
        <f>IF(C1917="Total", (VLOOKUP(B1917,Recommended_fish_intake!A$4:D$122,4,FALSE)), "NA")</f>
        <v>NA</v>
      </c>
      <c r="U1917" s="2" t="str">
        <f t="shared" si="221"/>
        <v>NA</v>
      </c>
    </row>
    <row r="1918" spans="1:21" ht="14.25" customHeight="1">
      <c r="A1918" s="2" t="s">
        <v>15</v>
      </c>
      <c r="B1918" s="2">
        <v>1982</v>
      </c>
      <c r="C1918" s="2" t="s">
        <v>21</v>
      </c>
      <c r="D1918" s="3">
        <f t="shared" si="222"/>
        <v>19.562000000000001</v>
      </c>
      <c r="E1918" s="3">
        <f t="shared" si="223"/>
        <v>1.2410000000000001</v>
      </c>
      <c r="F1918" s="3" t="e">
        <f t="shared" si="224"/>
        <v>#N/A</v>
      </c>
      <c r="G1918" s="3" t="e">
        <f t="shared" si="225"/>
        <v>#N/A</v>
      </c>
      <c r="H1918" s="3" t="e">
        <f t="shared" si="226"/>
        <v>#N/A</v>
      </c>
      <c r="I1918" s="3" t="e">
        <f t="shared" si="227"/>
        <v>#N/A</v>
      </c>
      <c r="J1918" s="2">
        <v>19562</v>
      </c>
      <c r="K1918" s="2">
        <v>1241</v>
      </c>
      <c r="P1918" s="3">
        <f>E1918*(VLOOKUP(B1918,Price_data!A$1:B$190,2,FALSE))</f>
        <v>2.6020717847370003</v>
      </c>
      <c r="Q1918" s="3" t="e">
        <f>G1918*(VLOOKUP(B1918,Price_data!A$1:B$190,2,FALSE))</f>
        <v>#N/A</v>
      </c>
      <c r="R1918" s="3" t="e">
        <f>I1918*(VLOOKUP(B1918,Price_data!A$1:B$190,2,FALSE))</f>
        <v>#N/A</v>
      </c>
      <c r="S1918" s="4" t="str">
        <f>(VLOOKUP(B1918,Price_data!A$1:C$190,3,FALSE))</f>
        <v>EEZ</v>
      </c>
      <c r="T1918" s="2" t="str">
        <f>IF(C1918="Total", (VLOOKUP(B1918,Recommended_fish_intake!A$4:D$122,4,FALSE)), "NA")</f>
        <v>NA</v>
      </c>
      <c r="U1918" s="2" t="str">
        <f t="shared" si="221"/>
        <v>NA</v>
      </c>
    </row>
    <row r="1919" spans="1:21" ht="14.25" customHeight="1">
      <c r="A1919" s="2" t="s">
        <v>15</v>
      </c>
      <c r="B1919" s="2">
        <v>1982</v>
      </c>
      <c r="C1919" s="2" t="s">
        <v>37</v>
      </c>
      <c r="D1919" s="3">
        <f t="shared" si="222"/>
        <v>709.68799999999999</v>
      </c>
      <c r="E1919" s="3">
        <f t="shared" si="223"/>
        <v>218.12899999999999</v>
      </c>
      <c r="F1919" s="3">
        <f t="shared" si="224"/>
        <v>239.57400000000001</v>
      </c>
      <c r="G1919" s="3">
        <f t="shared" si="225"/>
        <v>100.572</v>
      </c>
      <c r="H1919" s="3">
        <f t="shared" si="226"/>
        <v>290.00599999999997</v>
      </c>
      <c r="I1919" s="3">
        <f t="shared" si="227"/>
        <v>306.911</v>
      </c>
      <c r="J1919" s="2">
        <v>709688</v>
      </c>
      <c r="K1919" s="2">
        <v>218129</v>
      </c>
      <c r="L1919" s="2">
        <v>239574</v>
      </c>
      <c r="M1919" s="2">
        <v>100572</v>
      </c>
      <c r="N1919" s="2">
        <v>290006</v>
      </c>
      <c r="O1919" s="2">
        <v>306911</v>
      </c>
      <c r="P1919" s="3">
        <f>E1919*(VLOOKUP(B1919,Price_data!A$1:B$190,2,FALSE))</f>
        <v>457.36286569935299</v>
      </c>
      <c r="Q1919" s="3">
        <f>G1919*(VLOOKUP(B1919,Price_data!A$1:B$190,2,FALSE))</f>
        <v>210.87474902060401</v>
      </c>
      <c r="R1919" s="3">
        <f>I1919*(VLOOKUP(B1919,Price_data!A$1:B$190,2,FALSE))</f>
        <v>643.51688438792701</v>
      </c>
      <c r="S1919" s="4" t="str">
        <f>(VLOOKUP(B1919,Price_data!A$1:C$190,3,FALSE))</f>
        <v>EEZ</v>
      </c>
      <c r="T1919" s="2" t="str">
        <f>IF(C1919="Total", (VLOOKUP(B1919,Recommended_fish_intake!A$4:D$122,4,FALSE)), "NA")</f>
        <v>NA</v>
      </c>
      <c r="U1919" s="2">
        <f t="shared" si="221"/>
        <v>347.74712</v>
      </c>
    </row>
    <row r="1920" spans="1:21" ht="14.25" customHeight="1">
      <c r="A1920" s="2" t="s">
        <v>15</v>
      </c>
      <c r="B1920" s="2">
        <v>1982</v>
      </c>
      <c r="C1920" s="2" t="s">
        <v>36</v>
      </c>
      <c r="D1920" s="3">
        <f t="shared" si="222"/>
        <v>8.5670000000000002</v>
      </c>
      <c r="E1920" s="3">
        <f t="shared" si="223"/>
        <v>4.2460000000000004</v>
      </c>
      <c r="F1920" s="3" t="e">
        <f t="shared" si="224"/>
        <v>#N/A</v>
      </c>
      <c r="G1920" s="3" t="e">
        <f t="shared" si="225"/>
        <v>#N/A</v>
      </c>
      <c r="H1920" s="3">
        <f t="shared" si="226"/>
        <v>1.5720000000000001</v>
      </c>
      <c r="I1920" s="3">
        <f t="shared" si="227"/>
        <v>5.8109999999999999</v>
      </c>
      <c r="J1920" s="2">
        <v>8567</v>
      </c>
      <c r="K1920" s="2">
        <v>4246</v>
      </c>
      <c r="N1920" s="2">
        <v>1572</v>
      </c>
      <c r="O1920" s="2">
        <v>5811</v>
      </c>
      <c r="P1920" s="3">
        <f>E1920*(VLOOKUP(B1920,Price_data!A$1:B$190,2,FALSE))</f>
        <v>8.9028177260220005</v>
      </c>
      <c r="Q1920" s="3" t="e">
        <f>G1920*(VLOOKUP(B1920,Price_data!A$1:B$190,2,FALSE))</f>
        <v>#N/A</v>
      </c>
      <c r="R1920" s="3">
        <f>I1920*(VLOOKUP(B1920,Price_data!A$1:B$190,2,FALSE))</f>
        <v>12.184237825227001</v>
      </c>
      <c r="S1920" s="4" t="str">
        <f>(VLOOKUP(B1920,Price_data!A$1:C$190,3,FALSE))</f>
        <v>EEZ</v>
      </c>
      <c r="T1920" s="2" t="str">
        <f>IF(C1920="Total", (VLOOKUP(B1920,Recommended_fish_intake!A$4:D$122,4,FALSE)), "NA")</f>
        <v>NA</v>
      </c>
      <c r="U1920" s="2" t="str">
        <f t="shared" si="221"/>
        <v>NA</v>
      </c>
    </row>
    <row r="1921" spans="1:21" ht="14.25" customHeight="1">
      <c r="A1921" s="2" t="s">
        <v>15</v>
      </c>
      <c r="B1921" s="2">
        <v>1982</v>
      </c>
      <c r="C1921" s="2" t="s">
        <v>34</v>
      </c>
      <c r="D1921" s="3">
        <f t="shared" si="222"/>
        <v>0.8</v>
      </c>
      <c r="E1921" s="3">
        <f t="shared" si="223"/>
        <v>4.2510000000000003</v>
      </c>
      <c r="F1921" s="3" t="e">
        <f t="shared" si="224"/>
        <v>#N/A</v>
      </c>
      <c r="G1921" s="3" t="e">
        <f t="shared" si="225"/>
        <v>#N/A</v>
      </c>
      <c r="H1921" s="3" t="e">
        <f t="shared" si="226"/>
        <v>#N/A</v>
      </c>
      <c r="I1921" s="3" t="e">
        <f t="shared" si="227"/>
        <v>#N/A</v>
      </c>
      <c r="J1921" s="2">
        <v>800</v>
      </c>
      <c r="K1921" s="2">
        <v>4251</v>
      </c>
      <c r="P1921" s="3">
        <f>E1921*(VLOOKUP(B1921,Price_data!A$1:B$190,2,FALSE))</f>
        <v>8.9133014963070014</v>
      </c>
      <c r="Q1921" s="3" t="e">
        <f>G1921*(VLOOKUP(B1921,Price_data!A$1:B$190,2,FALSE))</f>
        <v>#N/A</v>
      </c>
      <c r="R1921" s="3" t="e">
        <f>I1921*(VLOOKUP(B1921,Price_data!A$1:B$190,2,FALSE))</f>
        <v>#N/A</v>
      </c>
      <c r="S1921" s="4" t="str">
        <f>(VLOOKUP(B1921,Price_data!A$1:C$190,3,FALSE))</f>
        <v>EEZ</v>
      </c>
      <c r="T1921" s="2" t="str">
        <f>IF(C1921="Total", (VLOOKUP(B1921,Recommended_fish_intake!A$4:D$122,4,FALSE)), "NA")</f>
        <v>NA</v>
      </c>
      <c r="U1921" s="2" t="str">
        <f t="shared" si="221"/>
        <v>NA</v>
      </c>
    </row>
    <row r="1922" spans="1:21" ht="14.25" customHeight="1">
      <c r="A1922" s="2" t="s">
        <v>15</v>
      </c>
      <c r="B1922" s="2">
        <v>1982</v>
      </c>
      <c r="C1922" s="2" t="s">
        <v>35</v>
      </c>
      <c r="D1922" s="3">
        <f t="shared" si="222"/>
        <v>19.919</v>
      </c>
      <c r="E1922" s="3">
        <f t="shared" si="223"/>
        <v>21.289000000000001</v>
      </c>
      <c r="F1922" s="3" t="e">
        <f t="shared" si="224"/>
        <v>#N/A</v>
      </c>
      <c r="G1922" s="3" t="e">
        <f t="shared" si="225"/>
        <v>#N/A</v>
      </c>
      <c r="H1922" s="3" t="e">
        <f t="shared" si="226"/>
        <v>#N/A</v>
      </c>
      <c r="I1922" s="3" t="e">
        <f t="shared" si="227"/>
        <v>#N/A</v>
      </c>
      <c r="J1922" s="2">
        <v>19919</v>
      </c>
      <c r="K1922" s="2">
        <v>21289</v>
      </c>
      <c r="P1922" s="3">
        <f>E1922*(VLOOKUP(B1922,Price_data!A$1:B$190,2,FALSE))</f>
        <v>44.637797119473007</v>
      </c>
      <c r="Q1922" s="3" t="e">
        <f>G1922*(VLOOKUP(B1922,Price_data!A$1:B$190,2,FALSE))</f>
        <v>#N/A</v>
      </c>
      <c r="R1922" s="3" t="e">
        <f>I1922*(VLOOKUP(B1922,Price_data!A$1:B$190,2,FALSE))</f>
        <v>#N/A</v>
      </c>
      <c r="S1922" s="4" t="str">
        <f>(VLOOKUP(B1922,Price_data!A$1:C$190,3,FALSE))</f>
        <v>EEZ</v>
      </c>
      <c r="T1922" s="2" t="str">
        <f>IF(C1922="Total", (VLOOKUP(B1922,Recommended_fish_intake!A$4:D$122,4,FALSE)), "NA")</f>
        <v>NA</v>
      </c>
      <c r="U1922" s="2" t="str">
        <f t="shared" ref="U1922:U1985" si="228">IF(C1922="Wet fish", D1922*0.49, IF(C1922="Shellfish", D1922*0.28, "NA"))</f>
        <v>NA</v>
      </c>
    </row>
    <row r="1923" spans="1:21" ht="14.25" customHeight="1">
      <c r="A1923" s="2" t="s">
        <v>15</v>
      </c>
      <c r="B1923" s="2">
        <v>1982</v>
      </c>
      <c r="C1923" s="2" t="s">
        <v>52</v>
      </c>
      <c r="D1923" s="3">
        <f t="shared" si="222"/>
        <v>8.8940000000000001</v>
      </c>
      <c r="E1923" s="3">
        <f t="shared" si="223"/>
        <v>5.83</v>
      </c>
      <c r="F1923" s="3" t="e">
        <f t="shared" si="224"/>
        <v>#N/A</v>
      </c>
      <c r="G1923" s="3" t="e">
        <f t="shared" si="225"/>
        <v>#N/A</v>
      </c>
      <c r="H1923" s="3" t="e">
        <f t="shared" si="226"/>
        <v>#N/A</v>
      </c>
      <c r="I1923" s="3" t="e">
        <f t="shared" si="227"/>
        <v>#N/A</v>
      </c>
      <c r="J1923" s="2">
        <v>8894</v>
      </c>
      <c r="K1923" s="2">
        <v>5830</v>
      </c>
      <c r="P1923" s="3">
        <f>E1923*(VLOOKUP(B1923,Price_data!A$1:B$190,2,FALSE))</f>
        <v>12.224076152310001</v>
      </c>
      <c r="Q1923" s="3" t="e">
        <f>G1923*(VLOOKUP(B1923,Price_data!A$1:B$190,2,FALSE))</f>
        <v>#N/A</v>
      </c>
      <c r="R1923" s="3" t="e">
        <f>I1923*(VLOOKUP(B1923,Price_data!A$1:B$190,2,FALSE))</f>
        <v>#N/A</v>
      </c>
      <c r="S1923" s="4" t="str">
        <f>(VLOOKUP(B1923,Price_data!A$1:C$190,3,FALSE))</f>
        <v>EEZ</v>
      </c>
      <c r="T1923" s="2" t="str">
        <f>IF(C1923="Total", (VLOOKUP(B1923,Recommended_fish_intake!A$4:D$122,4,FALSE)), "NA")</f>
        <v>NA</v>
      </c>
      <c r="U1923" s="2" t="str">
        <f t="shared" si="228"/>
        <v>NA</v>
      </c>
    </row>
    <row r="1924" spans="1:21" ht="14.25" customHeight="1">
      <c r="A1924" s="2" t="s">
        <v>15</v>
      </c>
      <c r="B1924" s="2">
        <v>1982</v>
      </c>
      <c r="C1924" s="2" t="s">
        <v>30</v>
      </c>
      <c r="D1924" s="3">
        <f t="shared" si="222"/>
        <v>1.5820000000000001</v>
      </c>
      <c r="E1924" s="3">
        <f t="shared" si="223"/>
        <v>1.147</v>
      </c>
      <c r="F1924" s="3" t="e">
        <f t="shared" si="224"/>
        <v>#N/A</v>
      </c>
      <c r="G1924" s="3" t="e">
        <f t="shared" si="225"/>
        <v>#N/A</v>
      </c>
      <c r="H1924" s="3">
        <f t="shared" si="226"/>
        <v>14.348000000000001</v>
      </c>
      <c r="I1924" s="3">
        <f t="shared" si="227"/>
        <v>38.735999999999997</v>
      </c>
      <c r="J1924" s="2">
        <v>1582</v>
      </c>
      <c r="K1924" s="2">
        <v>1147</v>
      </c>
      <c r="N1924" s="2">
        <f>5189+9159</f>
        <v>14348</v>
      </c>
      <c r="O1924" s="2">
        <f>10467+28269</f>
        <v>38736</v>
      </c>
      <c r="P1924" s="3">
        <f>E1924*(VLOOKUP(B1924,Price_data!A$1:B$190,2,FALSE))</f>
        <v>2.4049769033790001</v>
      </c>
      <c r="Q1924" s="3" t="e">
        <f>G1924*(VLOOKUP(B1924,Price_data!A$1:B$190,2,FALSE))</f>
        <v>#N/A</v>
      </c>
      <c r="R1924" s="3">
        <f>I1924*(VLOOKUP(B1924,Price_data!A$1:B$190,2,FALSE))</f>
        <v>81.219865151951993</v>
      </c>
      <c r="S1924" s="4" t="str">
        <f>(VLOOKUP(B1924,Price_data!A$1:C$190,3,FALSE))</f>
        <v>EEZ</v>
      </c>
      <c r="T1924" s="2" t="str">
        <f>IF(C1924="Total", (VLOOKUP(B1924,Recommended_fish_intake!A$4:D$122,4,FALSE)), "NA")</f>
        <v>NA</v>
      </c>
      <c r="U1924" s="2" t="str">
        <f t="shared" si="228"/>
        <v>NA</v>
      </c>
    </row>
    <row r="1925" spans="1:21" ht="14.25" customHeight="1">
      <c r="A1925" s="2" t="s">
        <v>15</v>
      </c>
      <c r="B1925" s="2">
        <v>1982</v>
      </c>
      <c r="C1925" s="2" t="s">
        <v>28</v>
      </c>
      <c r="D1925" s="3">
        <f t="shared" si="222"/>
        <v>64.947000000000003</v>
      </c>
      <c r="E1925" s="3">
        <f t="shared" si="223"/>
        <v>42.496000000000002</v>
      </c>
      <c r="F1925" s="3">
        <f t="shared" si="224"/>
        <v>29.88</v>
      </c>
      <c r="G1925" s="3">
        <f t="shared" si="225"/>
        <v>61.710999999999999</v>
      </c>
      <c r="H1925" s="3">
        <f t="shared" si="226"/>
        <v>35.194000000000003</v>
      </c>
      <c r="I1925" s="3">
        <f t="shared" si="227"/>
        <v>96.706999999999994</v>
      </c>
      <c r="J1925" s="2">
        <v>64947</v>
      </c>
      <c r="K1925" s="2">
        <v>42496</v>
      </c>
      <c r="L1925" s="2">
        <v>29880</v>
      </c>
      <c r="M1925" s="2">
        <v>61711</v>
      </c>
      <c r="N1925" s="2">
        <v>35194</v>
      </c>
      <c r="O1925" s="2">
        <v>96707</v>
      </c>
      <c r="P1925" s="3">
        <f>E1925*(VLOOKUP(B1925,Price_data!A$1:B$190,2,FALSE))</f>
        <v>89.103660406272013</v>
      </c>
      <c r="Q1925" s="3">
        <f>G1925*(VLOOKUP(B1925,Price_data!A$1:B$190,2,FALSE))</f>
        <v>129.39278961152701</v>
      </c>
      <c r="R1925" s="3">
        <f>I1925*(VLOOKUP(B1925,Price_data!A$1:B$190,2,FALSE))</f>
        <v>202.770794590299</v>
      </c>
      <c r="S1925" s="4" t="str">
        <f>(VLOOKUP(B1925,Price_data!A$1:C$190,3,FALSE))</f>
        <v>EEZ</v>
      </c>
      <c r="T1925" s="2" t="str">
        <f>IF(C1925="Total", (VLOOKUP(B1925,Recommended_fish_intake!A$4:D$122,4,FALSE)), "NA")</f>
        <v>NA</v>
      </c>
      <c r="U1925" s="2">
        <f t="shared" si="228"/>
        <v>18.185160000000003</v>
      </c>
    </row>
    <row r="1926" spans="1:21" ht="14.25" customHeight="1">
      <c r="A1926" s="2" t="s">
        <v>18</v>
      </c>
      <c r="B1926" s="2">
        <v>1982</v>
      </c>
      <c r="C1926" s="2" t="s">
        <v>16</v>
      </c>
      <c r="D1926" s="3">
        <f t="shared" si="222"/>
        <v>251.17</v>
      </c>
      <c r="E1926" s="3">
        <f t="shared" si="223"/>
        <v>103.086</v>
      </c>
      <c r="F1926" s="3" t="e">
        <f t="shared" si="224"/>
        <v>#N/A</v>
      </c>
      <c r="G1926" s="3" t="e">
        <f t="shared" si="225"/>
        <v>#N/A</v>
      </c>
      <c r="H1926" s="3" t="e">
        <f t="shared" si="226"/>
        <v>#N/A</v>
      </c>
      <c r="I1926" s="3" t="e">
        <f t="shared" si="227"/>
        <v>#N/A</v>
      </c>
      <c r="J1926" s="2">
        <v>251170</v>
      </c>
      <c r="K1926" s="2">
        <v>103086</v>
      </c>
      <c r="P1926" s="3">
        <f>E1926*(VLOOKUP(B1926,Price_data!A$1:B$190,2,FALSE))</f>
        <v>216.14598871990199</v>
      </c>
      <c r="Q1926" s="3" t="e">
        <f>G1926*(VLOOKUP(B1926,Price_data!A$1:B$190,2,FALSE))</f>
        <v>#N/A</v>
      </c>
      <c r="R1926" s="3" t="e">
        <f>I1926*(VLOOKUP(B1926,Price_data!A$1:B$190,2,FALSE))</f>
        <v>#N/A</v>
      </c>
      <c r="S1926" s="4" t="str">
        <f>(VLOOKUP(B1926,Price_data!A$1:C$190,3,FALSE))</f>
        <v>EEZ</v>
      </c>
      <c r="T1926" s="2">
        <f>IF(C1926="Total", (VLOOKUP(B1926,Recommended_fish_intake!A$4:D$122,4,FALSE)), "NA")</f>
        <v>738.93652367807999</v>
      </c>
      <c r="U1926" s="2" t="str">
        <f t="shared" si="228"/>
        <v>NA</v>
      </c>
    </row>
    <row r="1927" spans="1:21" ht="14.25" customHeight="1">
      <c r="A1927" s="2" t="s">
        <v>39</v>
      </c>
      <c r="B1927" s="2">
        <v>1982</v>
      </c>
      <c r="C1927" s="2" t="s">
        <v>16</v>
      </c>
      <c r="D1927" s="3">
        <f t="shared" si="222"/>
        <v>498.18700000000001</v>
      </c>
      <c r="E1927" s="3">
        <f t="shared" si="223"/>
        <v>148.70699999999999</v>
      </c>
      <c r="F1927" s="3" t="e">
        <f t="shared" si="224"/>
        <v>#N/A</v>
      </c>
      <c r="G1927" s="3" t="e">
        <f t="shared" si="225"/>
        <v>#N/A</v>
      </c>
      <c r="H1927" s="3" t="e">
        <f t="shared" si="226"/>
        <v>#N/A</v>
      </c>
      <c r="I1927" s="3" t="e">
        <f t="shared" si="227"/>
        <v>#N/A</v>
      </c>
      <c r="J1927" s="2">
        <v>498187</v>
      </c>
      <c r="K1927" s="2">
        <v>148707</v>
      </c>
      <c r="P1927" s="3">
        <f>E1927*(VLOOKUP(B1927,Price_data!A$1:B$190,2,FALSE))</f>
        <v>311.802005554299</v>
      </c>
      <c r="Q1927" s="3" t="e">
        <f>G1927*(VLOOKUP(B1927,Price_data!A$1:B$190,2,FALSE))</f>
        <v>#N/A</v>
      </c>
      <c r="R1927" s="3" t="e">
        <f>I1927*(VLOOKUP(B1927,Price_data!A$1:B$190,2,FALSE))</f>
        <v>#N/A</v>
      </c>
      <c r="S1927" s="4" t="str">
        <f>(VLOOKUP(B1927,Price_data!A$1:C$190,3,FALSE))</f>
        <v>EEZ</v>
      </c>
      <c r="T1927" s="2">
        <f>IF(C1927="Total", (VLOOKUP(B1927,Recommended_fish_intake!A$4:D$122,4,FALSE)), "NA")</f>
        <v>738.93652367807999</v>
      </c>
      <c r="U1927" s="2" t="str">
        <f t="shared" si="228"/>
        <v>NA</v>
      </c>
    </row>
    <row r="1928" spans="1:21" ht="14.25" customHeight="1">
      <c r="A1928" s="2" t="s">
        <v>40</v>
      </c>
      <c r="B1928" s="2">
        <v>1982</v>
      </c>
      <c r="C1928" s="2" t="s">
        <v>16</v>
      </c>
      <c r="D1928" s="3">
        <f t="shared" si="222"/>
        <v>25.277999999999999</v>
      </c>
      <c r="E1928" s="3">
        <f t="shared" si="223"/>
        <v>8.8320000000000007</v>
      </c>
      <c r="F1928" s="3" t="e">
        <f t="shared" si="224"/>
        <v>#N/A</v>
      </c>
      <c r="G1928" s="3" t="e">
        <f t="shared" si="225"/>
        <v>#N/A</v>
      </c>
      <c r="H1928" s="3" t="e">
        <f t="shared" si="226"/>
        <v>#N/A</v>
      </c>
      <c r="I1928" s="3" t="e">
        <f t="shared" si="227"/>
        <v>#N/A</v>
      </c>
      <c r="J1928" s="2">
        <v>25278</v>
      </c>
      <c r="K1928" s="2">
        <v>8832</v>
      </c>
      <c r="P1928" s="3">
        <f>E1928*(VLOOKUP(B1928,Price_data!A$1:B$190,2,FALSE))</f>
        <v>18.518531831424003</v>
      </c>
      <c r="Q1928" s="3" t="e">
        <f>G1928*(VLOOKUP(B1928,Price_data!A$1:B$190,2,FALSE))</f>
        <v>#N/A</v>
      </c>
      <c r="R1928" s="3" t="e">
        <f>I1928*(VLOOKUP(B1928,Price_data!A$1:B$190,2,FALSE))</f>
        <v>#N/A</v>
      </c>
      <c r="S1928" s="4" t="str">
        <f>(VLOOKUP(B1928,Price_data!A$1:C$190,3,FALSE))</f>
        <v>EEZ</v>
      </c>
      <c r="T1928" s="2">
        <f>IF(C1928="Total", (VLOOKUP(B1928,Recommended_fish_intake!A$4:D$122,4,FALSE)), "NA")</f>
        <v>738.93652367807999</v>
      </c>
      <c r="U1928" s="2" t="str">
        <f t="shared" si="228"/>
        <v>NA</v>
      </c>
    </row>
    <row r="1929" spans="1:21" ht="14.25" customHeight="1">
      <c r="A1929" s="2" t="s">
        <v>15</v>
      </c>
      <c r="B1929" s="2">
        <v>1982</v>
      </c>
      <c r="C1929" s="2" t="s">
        <v>16</v>
      </c>
      <c r="D1929" s="3">
        <f t="shared" si="222"/>
        <v>774.63499999999999</v>
      </c>
      <c r="E1929" s="3">
        <f t="shared" si="223"/>
        <v>260.62400000000002</v>
      </c>
      <c r="F1929" s="3">
        <f t="shared" si="224"/>
        <v>269.45400000000001</v>
      </c>
      <c r="G1929" s="3">
        <f t="shared" si="225"/>
        <v>162.28299999999999</v>
      </c>
      <c r="H1929" s="3">
        <f t="shared" si="226"/>
        <v>325.2</v>
      </c>
      <c r="I1929" s="3">
        <f t="shared" si="227"/>
        <v>403.61799999999999</v>
      </c>
      <c r="J1929" s="2">
        <v>774635</v>
      </c>
      <c r="K1929" s="2">
        <v>260624</v>
      </c>
      <c r="L1929" s="2">
        <v>269454</v>
      </c>
      <c r="M1929" s="2">
        <v>162283</v>
      </c>
      <c r="N1929" s="2">
        <v>325200</v>
      </c>
      <c r="O1929" s="2">
        <v>403618</v>
      </c>
      <c r="P1929" s="3">
        <f>E1929*(VLOOKUP(B1929,Price_data!A$1:B$190,2,FALSE))</f>
        <v>546.46442935156801</v>
      </c>
      <c r="Q1929" s="3">
        <f>G1929*(VLOOKUP(B1929,Price_data!A$1:B$190,2,FALSE))</f>
        <v>340.26753863213099</v>
      </c>
      <c r="R1929" s="3">
        <f>I1929*(VLOOKUP(B1929,Price_data!A$1:B$190,2,FALSE))</f>
        <v>846.28767897822604</v>
      </c>
      <c r="S1929" s="4" t="str">
        <f>(VLOOKUP(B1929,Price_data!A$1:C$190,3,FALSE))</f>
        <v>EEZ</v>
      </c>
      <c r="T1929" s="2">
        <f>IF(C1929="Total", (VLOOKUP(B1929,Recommended_fish_intake!A$4:D$122,4,FALSE)), "NA")</f>
        <v>738.93652367807999</v>
      </c>
      <c r="U1929" s="2" t="str">
        <f t="shared" si="228"/>
        <v>NA</v>
      </c>
    </row>
    <row r="1930" spans="1:21" ht="14.25" customHeight="1">
      <c r="A1930" s="2" t="s">
        <v>15</v>
      </c>
      <c r="B1930" s="2">
        <v>1982</v>
      </c>
      <c r="C1930" s="2" t="s">
        <v>29</v>
      </c>
      <c r="D1930" s="3" t="e">
        <f t="shared" si="222"/>
        <v>#N/A</v>
      </c>
      <c r="E1930" s="3" t="e">
        <f t="shared" si="223"/>
        <v>#N/A</v>
      </c>
      <c r="F1930" s="3" t="e">
        <f t="shared" si="224"/>
        <v>#N/A</v>
      </c>
      <c r="G1930" s="3" t="e">
        <f t="shared" si="225"/>
        <v>#N/A</v>
      </c>
      <c r="H1930" s="3">
        <f t="shared" si="226"/>
        <v>22.462</v>
      </c>
      <c r="I1930" s="3">
        <f t="shared" si="227"/>
        <v>60.859000000000002</v>
      </c>
      <c r="J1930" s="3" t="e">
        <v>#N/A</v>
      </c>
      <c r="K1930" s="3" t="e">
        <v>#N/A</v>
      </c>
      <c r="L1930" s="3" t="e">
        <v>#N/A</v>
      </c>
      <c r="M1930" s="3" t="e">
        <v>#N/A</v>
      </c>
      <c r="N1930" s="2">
        <f>763+5520+16179</f>
        <v>22462</v>
      </c>
      <c r="O1930" s="2">
        <f>2741+13774+44344</f>
        <v>60859</v>
      </c>
      <c r="P1930" s="3" t="e">
        <f>E1930*(VLOOKUP(B1930,Price_data!A$1:B$190,2,FALSE))</f>
        <v>#N/A</v>
      </c>
      <c r="Q1930" s="3" t="e">
        <f>G1930*(VLOOKUP(B1930,Price_data!A$1:B$190,2,FALSE))</f>
        <v>#N/A</v>
      </c>
      <c r="R1930" s="3">
        <f>I1930*(VLOOKUP(B1930,Price_data!A$1:B$190,2,FALSE))</f>
        <v>127.60635515496301</v>
      </c>
      <c r="S1930" s="4" t="str">
        <f>(VLOOKUP(B1930,Price_data!A$1:C$190,3,FALSE))</f>
        <v>EEZ</v>
      </c>
      <c r="T1930" s="2" t="str">
        <f>IF(C1930="Total", (VLOOKUP(B1930,Recommended_fish_intake!A$4:D$122,4,FALSE)), "NA")</f>
        <v>NA</v>
      </c>
      <c r="U1930" s="2" t="str">
        <f t="shared" si="228"/>
        <v>NA</v>
      </c>
    </row>
    <row r="1931" spans="1:21" ht="14.25" customHeight="1">
      <c r="A1931" s="2" t="s">
        <v>15</v>
      </c>
      <c r="B1931" s="2">
        <v>1982</v>
      </c>
      <c r="C1931" s="2" t="s">
        <v>43</v>
      </c>
      <c r="D1931" s="3" t="e">
        <f t="shared" si="222"/>
        <v>#N/A</v>
      </c>
      <c r="E1931" s="3" t="e">
        <f t="shared" si="223"/>
        <v>#N/A</v>
      </c>
      <c r="F1931" s="3" t="e">
        <f t="shared" si="224"/>
        <v>#N/A</v>
      </c>
      <c r="G1931" s="3" t="e">
        <f t="shared" si="225"/>
        <v>#N/A</v>
      </c>
      <c r="H1931" s="3">
        <f t="shared" si="226"/>
        <v>13.308</v>
      </c>
      <c r="I1931" s="3">
        <f t="shared" si="227"/>
        <v>23.082000000000001</v>
      </c>
      <c r="J1931" s="3" t="e">
        <v>#N/A</v>
      </c>
      <c r="K1931" s="3" t="e">
        <v>#N/A</v>
      </c>
      <c r="L1931" s="3" t="e">
        <v>#N/A</v>
      </c>
      <c r="M1931" s="3" t="e">
        <v>#N/A</v>
      </c>
      <c r="N1931" s="2">
        <v>13308</v>
      </c>
      <c r="O1931" s="2">
        <v>23082</v>
      </c>
      <c r="P1931" s="3" t="e">
        <f>E1931*(VLOOKUP(B1931,Price_data!A$1:B$190,2,FALSE))</f>
        <v>#N/A</v>
      </c>
      <c r="Q1931" s="3" t="e">
        <f>G1931*(VLOOKUP(B1931,Price_data!A$1:B$190,2,FALSE))</f>
        <v>#N/A</v>
      </c>
      <c r="R1931" s="3">
        <f>I1931*(VLOOKUP(B1931,Price_data!A$1:B$190,2,FALSE))</f>
        <v>48.397277143674003</v>
      </c>
      <c r="S1931" s="4" t="str">
        <f>(VLOOKUP(B1931,Price_data!A$1:C$190,3,FALSE))</f>
        <v>EEZ</v>
      </c>
      <c r="T1931" s="2" t="str">
        <f>IF(C1931="Total", (VLOOKUP(B1931,Recommended_fish_intake!A$4:D$122,4,FALSE)), "NA")</f>
        <v>NA</v>
      </c>
      <c r="U1931" s="2" t="str">
        <f t="shared" si="228"/>
        <v>NA</v>
      </c>
    </row>
    <row r="1932" spans="1:21" ht="14.25" customHeight="1">
      <c r="A1932" s="2" t="s">
        <v>18</v>
      </c>
      <c r="B1932" s="2">
        <v>1983</v>
      </c>
      <c r="C1932" s="2" t="s">
        <v>22</v>
      </c>
      <c r="D1932" s="3">
        <f t="shared" si="222"/>
        <v>53.29</v>
      </c>
      <c r="E1932" s="3">
        <f t="shared" si="223"/>
        <v>33.115000000000002</v>
      </c>
      <c r="F1932" s="3" t="e">
        <f t="shared" si="224"/>
        <v>#N/A</v>
      </c>
      <c r="G1932" s="3" t="e">
        <f t="shared" si="225"/>
        <v>#N/A</v>
      </c>
      <c r="H1932" s="3" t="e">
        <f t="shared" si="226"/>
        <v>#N/A</v>
      </c>
      <c r="I1932" s="3" t="e">
        <f t="shared" si="227"/>
        <v>#N/A</v>
      </c>
      <c r="J1932" s="2">
        <v>53290</v>
      </c>
      <c r="K1932" s="2">
        <v>33115</v>
      </c>
      <c r="P1932" s="3">
        <f>E1932*(VLOOKUP(B1932,Price_data!A$1:B$190,2,FALSE))</f>
        <v>66.388113991810002</v>
      </c>
      <c r="Q1932" s="3" t="e">
        <f>G1932*(VLOOKUP(B1932,Price_data!A$1:B$190,2,FALSE))</f>
        <v>#N/A</v>
      </c>
      <c r="R1932" s="3" t="e">
        <f>I1932*(VLOOKUP(B1932,Price_data!A$1:B$190,2,FALSE))</f>
        <v>#N/A</v>
      </c>
      <c r="S1932" s="4" t="str">
        <f>(VLOOKUP(B1932,Price_data!A$1:C$190,3,FALSE))</f>
        <v>EEZ</v>
      </c>
      <c r="T1932" s="2" t="str">
        <f>IF(C1932="Total", (VLOOKUP(B1932,Recommended_fish_intake!A$4:D$122,4,FALSE)), "NA")</f>
        <v>NA</v>
      </c>
      <c r="U1932" s="2" t="str">
        <f t="shared" si="228"/>
        <v>NA</v>
      </c>
    </row>
    <row r="1933" spans="1:21" ht="14.25" customHeight="1">
      <c r="A1933" s="2" t="s">
        <v>18</v>
      </c>
      <c r="B1933" s="2">
        <v>1983</v>
      </c>
      <c r="C1933" s="2" t="s">
        <v>23</v>
      </c>
      <c r="D1933" s="3">
        <f t="shared" si="222"/>
        <v>14.096</v>
      </c>
      <c r="E1933" s="3">
        <f t="shared" si="223"/>
        <v>6.4210000000000003</v>
      </c>
      <c r="F1933" s="3" t="e">
        <f t="shared" si="224"/>
        <v>#N/A</v>
      </c>
      <c r="G1933" s="3" t="e">
        <f t="shared" si="225"/>
        <v>#N/A</v>
      </c>
      <c r="H1933" s="3" t="e">
        <f t="shared" si="226"/>
        <v>#N/A</v>
      </c>
      <c r="I1933" s="3" t="e">
        <f t="shared" si="227"/>
        <v>#N/A</v>
      </c>
      <c r="J1933" s="2">
        <v>14096</v>
      </c>
      <c r="K1933" s="2">
        <v>6421</v>
      </c>
      <c r="P1933" s="3">
        <f>E1933*(VLOOKUP(B1933,Price_data!A$1:B$190,2,FALSE))</f>
        <v>12.872658310174</v>
      </c>
      <c r="Q1933" s="3" t="e">
        <f>G1933*(VLOOKUP(B1933,Price_data!A$1:B$190,2,FALSE))</f>
        <v>#N/A</v>
      </c>
      <c r="R1933" s="3" t="e">
        <f>I1933*(VLOOKUP(B1933,Price_data!A$1:B$190,2,FALSE))</f>
        <v>#N/A</v>
      </c>
      <c r="S1933" s="4" t="str">
        <f>(VLOOKUP(B1933,Price_data!A$1:C$190,3,FALSE))</f>
        <v>EEZ</v>
      </c>
      <c r="T1933" s="2" t="str">
        <f>IF(C1933="Total", (VLOOKUP(B1933,Recommended_fish_intake!A$4:D$122,4,FALSE)), "NA")</f>
        <v>NA</v>
      </c>
      <c r="U1933" s="2" t="str">
        <f t="shared" si="228"/>
        <v>NA</v>
      </c>
    </row>
    <row r="1934" spans="1:21" ht="14.25" customHeight="1">
      <c r="A1934" s="2" t="s">
        <v>18</v>
      </c>
      <c r="B1934" s="2">
        <v>1983</v>
      </c>
      <c r="C1934" s="2" t="s">
        <v>25</v>
      </c>
      <c r="D1934" s="3">
        <f t="shared" si="222"/>
        <v>16.024999999999999</v>
      </c>
      <c r="E1934" s="3">
        <f t="shared" si="223"/>
        <v>10.722</v>
      </c>
      <c r="F1934" s="3" t="e">
        <f t="shared" si="224"/>
        <v>#N/A</v>
      </c>
      <c r="G1934" s="3" t="e">
        <f t="shared" si="225"/>
        <v>#N/A</v>
      </c>
      <c r="H1934" s="3" t="e">
        <f t="shared" si="226"/>
        <v>#N/A</v>
      </c>
      <c r="I1934" s="3" t="e">
        <f t="shared" si="227"/>
        <v>#N/A</v>
      </c>
      <c r="J1934" s="2">
        <v>16025</v>
      </c>
      <c r="K1934" s="2">
        <v>10722</v>
      </c>
      <c r="P1934" s="3">
        <f>E1934*(VLOOKUP(B1934,Price_data!A$1:B$190,2,FALSE))</f>
        <v>21.495194269067998</v>
      </c>
      <c r="Q1934" s="3" t="e">
        <f>G1934*(VLOOKUP(B1934,Price_data!A$1:B$190,2,FALSE))</f>
        <v>#N/A</v>
      </c>
      <c r="R1934" s="3" t="e">
        <f>I1934*(VLOOKUP(B1934,Price_data!A$1:B$190,2,FALSE))</f>
        <v>#N/A</v>
      </c>
      <c r="S1934" s="4" t="str">
        <f>(VLOOKUP(B1934,Price_data!A$1:C$190,3,FALSE))</f>
        <v>EEZ</v>
      </c>
      <c r="T1934" s="2" t="str">
        <f>IF(C1934="Total", (VLOOKUP(B1934,Recommended_fish_intake!A$4:D$122,4,FALSE)), "NA")</f>
        <v>NA</v>
      </c>
      <c r="U1934" s="2" t="str">
        <f t="shared" si="228"/>
        <v>NA</v>
      </c>
    </row>
    <row r="1935" spans="1:21" ht="14.25" customHeight="1">
      <c r="A1935" s="2" t="s">
        <v>18</v>
      </c>
      <c r="B1935" s="2">
        <v>1983</v>
      </c>
      <c r="C1935" s="2" t="s">
        <v>24</v>
      </c>
      <c r="D1935" s="3">
        <f t="shared" si="222"/>
        <v>6.2809999999999997</v>
      </c>
      <c r="E1935" s="3">
        <f t="shared" si="223"/>
        <v>1.732</v>
      </c>
      <c r="F1935" s="3" t="e">
        <f t="shared" si="224"/>
        <v>#N/A</v>
      </c>
      <c r="G1935" s="3" t="e">
        <f t="shared" si="225"/>
        <v>#N/A</v>
      </c>
      <c r="H1935" s="3" t="e">
        <f t="shared" si="226"/>
        <v>#N/A</v>
      </c>
      <c r="I1935" s="3" t="e">
        <f t="shared" si="227"/>
        <v>#N/A</v>
      </c>
      <c r="J1935" s="2">
        <v>6281</v>
      </c>
      <c r="K1935" s="2">
        <v>1732</v>
      </c>
      <c r="P1935" s="3">
        <f>E1935*(VLOOKUP(B1935,Price_data!A$1:B$190,2,FALSE))</f>
        <v>3.4722697700079999</v>
      </c>
      <c r="Q1935" s="3" t="e">
        <f>G1935*(VLOOKUP(B1935,Price_data!A$1:B$190,2,FALSE))</f>
        <v>#N/A</v>
      </c>
      <c r="R1935" s="3" t="e">
        <f>I1935*(VLOOKUP(B1935,Price_data!A$1:B$190,2,FALSE))</f>
        <v>#N/A</v>
      </c>
      <c r="S1935" s="4" t="str">
        <f>(VLOOKUP(B1935,Price_data!A$1:C$190,3,FALSE))</f>
        <v>EEZ</v>
      </c>
      <c r="T1935" s="2" t="str">
        <f>IF(C1935="Total", (VLOOKUP(B1935,Recommended_fish_intake!A$4:D$122,4,FALSE)), "NA")</f>
        <v>NA</v>
      </c>
      <c r="U1935" s="2" t="str">
        <f t="shared" si="228"/>
        <v>NA</v>
      </c>
    </row>
    <row r="1936" spans="1:21" ht="14.25" customHeight="1">
      <c r="A1936" s="2" t="s">
        <v>18</v>
      </c>
      <c r="B1936" s="2">
        <v>1983</v>
      </c>
      <c r="C1936" s="2" t="s">
        <v>19</v>
      </c>
      <c r="D1936" s="3">
        <f t="shared" si="222"/>
        <v>0.81799999999999995</v>
      </c>
      <c r="E1936" s="3">
        <f t="shared" si="223"/>
        <v>0.20200000000000001</v>
      </c>
      <c r="F1936" s="3" t="e">
        <f t="shared" si="224"/>
        <v>#N/A</v>
      </c>
      <c r="G1936" s="3" t="e">
        <f t="shared" si="225"/>
        <v>#N/A</v>
      </c>
      <c r="H1936" s="3" t="e">
        <f t="shared" si="226"/>
        <v>#N/A</v>
      </c>
      <c r="I1936" s="3" t="e">
        <f t="shared" si="227"/>
        <v>#N/A</v>
      </c>
      <c r="J1936" s="2">
        <v>818</v>
      </c>
      <c r="K1936" s="2">
        <v>202</v>
      </c>
      <c r="P1936" s="3">
        <f>E1936*(VLOOKUP(B1936,Price_data!A$1:B$190,2,FALSE))</f>
        <v>0.40496448818800002</v>
      </c>
      <c r="Q1936" s="3" t="e">
        <f>G1936*(VLOOKUP(B1936,Price_data!A$1:B$190,2,FALSE))</f>
        <v>#N/A</v>
      </c>
      <c r="R1936" s="3" t="e">
        <f>I1936*(VLOOKUP(B1936,Price_data!A$1:B$190,2,FALSE))</f>
        <v>#N/A</v>
      </c>
      <c r="S1936" s="4" t="str">
        <f>(VLOOKUP(B1936,Price_data!A$1:C$190,3,FALSE))</f>
        <v>EEZ</v>
      </c>
      <c r="T1936" s="2" t="str">
        <f>IF(C1936="Total", (VLOOKUP(B1936,Recommended_fish_intake!A$4:D$122,4,FALSE)), "NA")</f>
        <v>NA</v>
      </c>
      <c r="U1936" s="2" t="str">
        <f t="shared" si="228"/>
        <v>NA</v>
      </c>
    </row>
    <row r="1937" spans="1:21" ht="14.25" customHeight="1">
      <c r="A1937" s="2" t="s">
        <v>18</v>
      </c>
      <c r="B1937" s="2">
        <v>1983</v>
      </c>
      <c r="C1937" s="2" t="s">
        <v>20</v>
      </c>
      <c r="D1937" s="3">
        <f t="shared" si="222"/>
        <v>54.521000000000001</v>
      </c>
      <c r="E1937" s="3">
        <f t="shared" si="223"/>
        <v>5.3079999999999998</v>
      </c>
      <c r="F1937" s="3" t="e">
        <f t="shared" si="224"/>
        <v>#N/A</v>
      </c>
      <c r="G1937" s="3" t="e">
        <f t="shared" si="225"/>
        <v>#N/A</v>
      </c>
      <c r="H1937" s="3" t="e">
        <f t="shared" si="226"/>
        <v>#N/A</v>
      </c>
      <c r="I1937" s="3" t="e">
        <f t="shared" si="227"/>
        <v>#N/A</v>
      </c>
      <c r="J1937" s="2">
        <v>54521</v>
      </c>
      <c r="K1937" s="2">
        <v>5308</v>
      </c>
      <c r="P1937" s="3">
        <f>E1937*(VLOOKUP(B1937,Price_data!A$1:B$190,2,FALSE))</f>
        <v>10.641344075752</v>
      </c>
      <c r="Q1937" s="3" t="e">
        <f>G1937*(VLOOKUP(B1937,Price_data!A$1:B$190,2,FALSE))</f>
        <v>#N/A</v>
      </c>
      <c r="R1937" s="3" t="e">
        <f>I1937*(VLOOKUP(B1937,Price_data!A$1:B$190,2,FALSE))</f>
        <v>#N/A</v>
      </c>
      <c r="S1937" s="4" t="str">
        <f>(VLOOKUP(B1937,Price_data!A$1:C$190,3,FALSE))</f>
        <v>EEZ</v>
      </c>
      <c r="T1937" s="2" t="str">
        <f>IF(C1937="Total", (VLOOKUP(B1937,Recommended_fish_intake!A$4:D$122,4,FALSE)), "NA")</f>
        <v>NA</v>
      </c>
      <c r="U1937" s="2" t="str">
        <f t="shared" si="228"/>
        <v>NA</v>
      </c>
    </row>
    <row r="1938" spans="1:21" ht="14.25" customHeight="1">
      <c r="A1938" s="2" t="s">
        <v>18</v>
      </c>
      <c r="B1938" s="2">
        <v>1983</v>
      </c>
      <c r="C1938" s="2" t="s">
        <v>21</v>
      </c>
      <c r="D1938" s="3">
        <f t="shared" si="222"/>
        <v>8.3000000000000007</v>
      </c>
      <c r="E1938" s="3">
        <f t="shared" si="223"/>
        <v>0.69599999999999995</v>
      </c>
      <c r="F1938" s="3" t="e">
        <f t="shared" si="224"/>
        <v>#N/A</v>
      </c>
      <c r="G1938" s="3" t="e">
        <f t="shared" si="225"/>
        <v>#N/A</v>
      </c>
      <c r="H1938" s="3" t="e">
        <f t="shared" si="226"/>
        <v>#N/A</v>
      </c>
      <c r="I1938" s="3" t="e">
        <f t="shared" si="227"/>
        <v>#N/A</v>
      </c>
      <c r="J1938" s="2">
        <v>8300</v>
      </c>
      <c r="K1938" s="2">
        <v>696</v>
      </c>
      <c r="P1938" s="3">
        <f>E1938*(VLOOKUP(B1938,Price_data!A$1:B$190,2,FALSE))</f>
        <v>1.3953231870239999</v>
      </c>
      <c r="Q1938" s="3" t="e">
        <f>G1938*(VLOOKUP(B1938,Price_data!A$1:B$190,2,FALSE))</f>
        <v>#N/A</v>
      </c>
      <c r="R1938" s="3" t="e">
        <f>I1938*(VLOOKUP(B1938,Price_data!A$1:B$190,2,FALSE))</f>
        <v>#N/A</v>
      </c>
      <c r="S1938" s="4" t="str">
        <f>(VLOOKUP(B1938,Price_data!A$1:C$190,3,FALSE))</f>
        <v>EEZ</v>
      </c>
      <c r="T1938" s="2" t="str">
        <f>IF(C1938="Total", (VLOOKUP(B1938,Recommended_fish_intake!A$4:D$122,4,FALSE)), "NA")</f>
        <v>NA</v>
      </c>
      <c r="U1938" s="2" t="str">
        <f t="shared" si="228"/>
        <v>NA</v>
      </c>
    </row>
    <row r="1939" spans="1:21" ht="14.25" customHeight="1">
      <c r="A1939" s="2" t="s">
        <v>18</v>
      </c>
      <c r="B1939" s="2">
        <v>1983</v>
      </c>
      <c r="C1939" s="2" t="s">
        <v>37</v>
      </c>
      <c r="D1939" s="3">
        <f t="shared" si="222"/>
        <v>196.285</v>
      </c>
      <c r="E1939" s="3">
        <f t="shared" si="223"/>
        <v>83.759</v>
      </c>
      <c r="F1939" s="3" t="e">
        <f t="shared" si="224"/>
        <v>#N/A</v>
      </c>
      <c r="G1939" s="3" t="e">
        <f t="shared" si="225"/>
        <v>#N/A</v>
      </c>
      <c r="H1939" s="3" t="e">
        <f t="shared" si="226"/>
        <v>#N/A</v>
      </c>
      <c r="I1939" s="3" t="e">
        <f t="shared" si="227"/>
        <v>#N/A</v>
      </c>
      <c r="J1939" s="2">
        <v>196285</v>
      </c>
      <c r="K1939" s="2">
        <v>83759</v>
      </c>
      <c r="P1939" s="3">
        <f>E1939*(VLOOKUP(B1939,Price_data!A$1:B$190,2,FALSE))</f>
        <v>167.91792359474599</v>
      </c>
      <c r="Q1939" s="3" t="e">
        <f>G1939*(VLOOKUP(B1939,Price_data!A$1:B$190,2,FALSE))</f>
        <v>#N/A</v>
      </c>
      <c r="R1939" s="3" t="e">
        <f>I1939*(VLOOKUP(B1939,Price_data!A$1:B$190,2,FALSE))</f>
        <v>#N/A</v>
      </c>
      <c r="S1939" s="4" t="str">
        <f>(VLOOKUP(B1939,Price_data!A$1:C$190,3,FALSE))</f>
        <v>EEZ</v>
      </c>
      <c r="T1939" s="2" t="str">
        <f>IF(C1939="Total", (VLOOKUP(B1939,Recommended_fish_intake!A$4:D$122,4,FALSE)), "NA")</f>
        <v>NA</v>
      </c>
      <c r="U1939" s="2">
        <f t="shared" si="228"/>
        <v>96.179649999999995</v>
      </c>
    </row>
    <row r="1940" spans="1:21" ht="14.25" customHeight="1">
      <c r="A1940" s="2" t="s">
        <v>18</v>
      </c>
      <c r="B1940" s="2">
        <v>1983</v>
      </c>
      <c r="C1940" s="2" t="s">
        <v>36</v>
      </c>
      <c r="D1940" s="3">
        <f t="shared" si="222"/>
        <v>7.31</v>
      </c>
      <c r="E1940" s="3">
        <f t="shared" si="223"/>
        <v>4.7889999999999997</v>
      </c>
      <c r="F1940" s="3" t="e">
        <f t="shared" si="224"/>
        <v>#N/A</v>
      </c>
      <c r="G1940" s="3" t="e">
        <f t="shared" si="225"/>
        <v>#N/A</v>
      </c>
      <c r="H1940" s="3" t="e">
        <f t="shared" si="226"/>
        <v>#N/A</v>
      </c>
      <c r="I1940" s="3" t="e">
        <f t="shared" si="227"/>
        <v>#N/A</v>
      </c>
      <c r="J1940" s="2">
        <v>7310</v>
      </c>
      <c r="K1940" s="2">
        <v>4789</v>
      </c>
      <c r="P1940" s="3">
        <f>E1940*(VLOOKUP(B1940,Price_data!A$1:B$190,2,FALSE))</f>
        <v>9.6008660095659994</v>
      </c>
      <c r="Q1940" s="3" t="e">
        <f>G1940*(VLOOKUP(B1940,Price_data!A$1:B$190,2,FALSE))</f>
        <v>#N/A</v>
      </c>
      <c r="R1940" s="3" t="e">
        <f>I1940*(VLOOKUP(B1940,Price_data!A$1:B$190,2,FALSE))</f>
        <v>#N/A</v>
      </c>
      <c r="S1940" s="4" t="str">
        <f>(VLOOKUP(B1940,Price_data!A$1:C$190,3,FALSE))</f>
        <v>EEZ</v>
      </c>
      <c r="T1940" s="2" t="str">
        <f>IF(C1940="Total", (VLOOKUP(B1940,Recommended_fish_intake!A$4:D$122,4,FALSE)), "NA")</f>
        <v>NA</v>
      </c>
      <c r="U1940" s="2" t="str">
        <f t="shared" si="228"/>
        <v>NA</v>
      </c>
    </row>
    <row r="1941" spans="1:21" ht="14.25" customHeight="1">
      <c r="A1941" s="2" t="s">
        <v>18</v>
      </c>
      <c r="B1941" s="2">
        <v>1983</v>
      </c>
      <c r="C1941" s="2" t="s">
        <v>34</v>
      </c>
      <c r="D1941" s="3">
        <f t="shared" si="222"/>
        <v>0.48099999999999998</v>
      </c>
      <c r="E1941" s="3">
        <f t="shared" si="223"/>
        <v>2.7810000000000001</v>
      </c>
      <c r="F1941" s="3" t="e">
        <f t="shared" si="224"/>
        <v>#N/A</v>
      </c>
      <c r="G1941" s="3" t="e">
        <f t="shared" si="225"/>
        <v>#N/A</v>
      </c>
      <c r="H1941" s="3" t="e">
        <f t="shared" si="226"/>
        <v>#N/A</v>
      </c>
      <c r="I1941" s="3" t="e">
        <f t="shared" si="227"/>
        <v>#N/A</v>
      </c>
      <c r="J1941" s="2">
        <v>481</v>
      </c>
      <c r="K1941" s="2">
        <v>2781</v>
      </c>
      <c r="P1941" s="3">
        <f>E1941*(VLOOKUP(B1941,Price_data!A$1:B$190,2,FALSE))</f>
        <v>5.5752784240139999</v>
      </c>
      <c r="Q1941" s="3" t="e">
        <f>G1941*(VLOOKUP(B1941,Price_data!A$1:B$190,2,FALSE))</f>
        <v>#N/A</v>
      </c>
      <c r="R1941" s="3" t="e">
        <f>I1941*(VLOOKUP(B1941,Price_data!A$1:B$190,2,FALSE))</f>
        <v>#N/A</v>
      </c>
      <c r="S1941" s="4" t="str">
        <f>(VLOOKUP(B1941,Price_data!A$1:C$190,3,FALSE))</f>
        <v>EEZ</v>
      </c>
      <c r="T1941" s="2" t="str">
        <f>IF(C1941="Total", (VLOOKUP(B1941,Recommended_fish_intake!A$4:D$122,4,FALSE)), "NA")</f>
        <v>NA</v>
      </c>
      <c r="U1941" s="2" t="str">
        <f t="shared" si="228"/>
        <v>NA</v>
      </c>
    </row>
    <row r="1942" spans="1:21" ht="14.25" customHeight="1">
      <c r="A1942" s="2" t="s">
        <v>18</v>
      </c>
      <c r="B1942" s="2">
        <v>1983</v>
      </c>
      <c r="C1942" s="2" t="s">
        <v>35</v>
      </c>
      <c r="D1942" s="3">
        <f t="shared" si="222"/>
        <v>2.92</v>
      </c>
      <c r="E1942" s="3">
        <f t="shared" si="223"/>
        <v>3.3980000000000001</v>
      </c>
      <c r="F1942" s="3" t="e">
        <f t="shared" si="224"/>
        <v>#N/A</v>
      </c>
      <c r="G1942" s="3" t="e">
        <f t="shared" si="225"/>
        <v>#N/A</v>
      </c>
      <c r="H1942" s="3" t="e">
        <f t="shared" si="226"/>
        <v>#N/A</v>
      </c>
      <c r="I1942" s="3" t="e">
        <f t="shared" si="227"/>
        <v>#N/A</v>
      </c>
      <c r="J1942" s="2">
        <v>2920</v>
      </c>
      <c r="K1942" s="2">
        <v>3398</v>
      </c>
      <c r="P1942" s="3">
        <f>E1942*(VLOOKUP(B1942,Price_data!A$1:B$190,2,FALSE))</f>
        <v>6.812224410212</v>
      </c>
      <c r="Q1942" s="3" t="e">
        <f>G1942*(VLOOKUP(B1942,Price_data!A$1:B$190,2,FALSE))</f>
        <v>#N/A</v>
      </c>
      <c r="R1942" s="3" t="e">
        <f>I1942*(VLOOKUP(B1942,Price_data!A$1:B$190,2,FALSE))</f>
        <v>#N/A</v>
      </c>
      <c r="S1942" s="4" t="str">
        <f>(VLOOKUP(B1942,Price_data!A$1:C$190,3,FALSE))</f>
        <v>EEZ</v>
      </c>
      <c r="T1942" s="2" t="str">
        <f>IF(C1942="Total", (VLOOKUP(B1942,Recommended_fish_intake!A$4:D$122,4,FALSE)), "NA")</f>
        <v>NA</v>
      </c>
      <c r="U1942" s="2" t="str">
        <f t="shared" si="228"/>
        <v>NA</v>
      </c>
    </row>
    <row r="1943" spans="1:21" ht="14.25" customHeight="1">
      <c r="A1943" s="2" t="s">
        <v>18</v>
      </c>
      <c r="B1943" s="2">
        <v>1983</v>
      </c>
      <c r="C1943" s="2" t="s">
        <v>52</v>
      </c>
      <c r="D1943" s="3">
        <f t="shared" si="222"/>
        <v>2.7480000000000002</v>
      </c>
      <c r="E1943" s="3">
        <f t="shared" si="223"/>
        <v>2.347</v>
      </c>
      <c r="F1943" s="3" t="e">
        <f t="shared" si="224"/>
        <v>#N/A</v>
      </c>
      <c r="G1943" s="3" t="e">
        <f t="shared" si="225"/>
        <v>#N/A</v>
      </c>
      <c r="H1943" s="3" t="e">
        <f t="shared" si="226"/>
        <v>#N/A</v>
      </c>
      <c r="I1943" s="3" t="e">
        <f t="shared" si="227"/>
        <v>#N/A</v>
      </c>
      <c r="J1943" s="2">
        <v>2748</v>
      </c>
      <c r="K1943" s="2">
        <v>2347</v>
      </c>
      <c r="P1943" s="3">
        <f>E1943*(VLOOKUP(B1943,Price_data!A$1:B$190,2,FALSE))</f>
        <v>4.7052062068179996</v>
      </c>
      <c r="Q1943" s="3" t="e">
        <f>G1943*(VLOOKUP(B1943,Price_data!A$1:B$190,2,FALSE))</f>
        <v>#N/A</v>
      </c>
      <c r="R1943" s="3" t="e">
        <f>I1943*(VLOOKUP(B1943,Price_data!A$1:B$190,2,FALSE))</f>
        <v>#N/A</v>
      </c>
      <c r="S1943" s="4" t="str">
        <f>(VLOOKUP(B1943,Price_data!A$1:C$190,3,FALSE))</f>
        <v>EEZ</v>
      </c>
      <c r="T1943" s="2" t="str">
        <f>IF(C1943="Total", (VLOOKUP(B1943,Recommended_fish_intake!A$4:D$122,4,FALSE)), "NA")</f>
        <v>NA</v>
      </c>
      <c r="U1943" s="2" t="str">
        <f t="shared" si="228"/>
        <v>NA</v>
      </c>
    </row>
    <row r="1944" spans="1:21" ht="14.25" customHeight="1">
      <c r="A1944" s="2" t="s">
        <v>18</v>
      </c>
      <c r="B1944" s="2">
        <v>1983</v>
      </c>
      <c r="C1944" s="2" t="s">
        <v>30</v>
      </c>
      <c r="D1944" s="3">
        <f t="shared" si="222"/>
        <v>1.0609999999999999</v>
      </c>
      <c r="E1944" s="3">
        <f t="shared" si="223"/>
        <v>0.72499999999999998</v>
      </c>
      <c r="F1944" s="3" t="e">
        <f t="shared" si="224"/>
        <v>#N/A</v>
      </c>
      <c r="G1944" s="3" t="e">
        <f t="shared" si="225"/>
        <v>#N/A</v>
      </c>
      <c r="H1944" s="3" t="e">
        <f t="shared" si="226"/>
        <v>#N/A</v>
      </c>
      <c r="I1944" s="3" t="e">
        <f t="shared" si="227"/>
        <v>#N/A</v>
      </c>
      <c r="J1944" s="2">
        <v>1061</v>
      </c>
      <c r="K1944" s="2">
        <v>725</v>
      </c>
      <c r="P1944" s="3">
        <f>E1944*(VLOOKUP(B1944,Price_data!A$1:B$190,2,FALSE))</f>
        <v>1.45346165315</v>
      </c>
      <c r="Q1944" s="3" t="e">
        <f>G1944*(VLOOKUP(B1944,Price_data!A$1:B$190,2,FALSE))</f>
        <v>#N/A</v>
      </c>
      <c r="R1944" s="3" t="e">
        <f>I1944*(VLOOKUP(B1944,Price_data!A$1:B$190,2,FALSE))</f>
        <v>#N/A</v>
      </c>
      <c r="S1944" s="4" t="str">
        <f>(VLOOKUP(B1944,Price_data!A$1:C$190,3,FALSE))</f>
        <v>EEZ</v>
      </c>
      <c r="T1944" s="2" t="str">
        <f>IF(C1944="Total", (VLOOKUP(B1944,Recommended_fish_intake!A$4:D$122,4,FALSE)), "NA")</f>
        <v>NA</v>
      </c>
      <c r="U1944" s="2" t="str">
        <f t="shared" si="228"/>
        <v>NA</v>
      </c>
    </row>
    <row r="1945" spans="1:21" ht="14.25" customHeight="1">
      <c r="A1945" s="2" t="s">
        <v>18</v>
      </c>
      <c r="B1945" s="2">
        <v>1983</v>
      </c>
      <c r="C1945" s="2" t="s">
        <v>28</v>
      </c>
      <c r="D1945" s="3">
        <f t="shared" si="222"/>
        <v>34.21</v>
      </c>
      <c r="E1945" s="3">
        <f t="shared" si="223"/>
        <v>18.036999999999999</v>
      </c>
      <c r="F1945" s="3" t="e">
        <f t="shared" si="224"/>
        <v>#N/A</v>
      </c>
      <c r="G1945" s="3" t="e">
        <f t="shared" si="225"/>
        <v>#N/A</v>
      </c>
      <c r="H1945" s="3" t="e">
        <f t="shared" si="226"/>
        <v>#N/A</v>
      </c>
      <c r="I1945" s="3" t="e">
        <f t="shared" si="227"/>
        <v>#N/A</v>
      </c>
      <c r="J1945" s="2">
        <v>34210</v>
      </c>
      <c r="K1945" s="2">
        <v>18037</v>
      </c>
      <c r="P1945" s="3">
        <f>E1945*(VLOOKUP(B1945,Price_data!A$1:B$190,2,FALSE))</f>
        <v>36.160121155677999</v>
      </c>
      <c r="Q1945" s="3" t="e">
        <f>G1945*(VLOOKUP(B1945,Price_data!A$1:B$190,2,FALSE))</f>
        <v>#N/A</v>
      </c>
      <c r="R1945" s="3" t="e">
        <f>I1945*(VLOOKUP(B1945,Price_data!A$1:B$190,2,FALSE))</f>
        <v>#N/A</v>
      </c>
      <c r="S1945" s="4" t="str">
        <f>(VLOOKUP(B1945,Price_data!A$1:C$190,3,FALSE))</f>
        <v>EEZ</v>
      </c>
      <c r="T1945" s="2" t="str">
        <f>IF(C1945="Total", (VLOOKUP(B1945,Recommended_fish_intake!A$4:D$122,4,FALSE)), "NA")</f>
        <v>NA</v>
      </c>
      <c r="U1945" s="2">
        <f t="shared" si="228"/>
        <v>9.5788000000000011</v>
      </c>
    </row>
    <row r="1946" spans="1:21" ht="14.25" customHeight="1">
      <c r="A1946" s="2" t="s">
        <v>39</v>
      </c>
      <c r="B1946" s="2">
        <v>1983</v>
      </c>
      <c r="C1946" s="2" t="s">
        <v>22</v>
      </c>
      <c r="D1946" s="3">
        <f t="shared" si="222"/>
        <v>56.396999999999998</v>
      </c>
      <c r="E1946" s="3">
        <f t="shared" si="223"/>
        <v>37.813000000000002</v>
      </c>
      <c r="F1946" s="3" t="e">
        <f t="shared" si="224"/>
        <v>#N/A</v>
      </c>
      <c r="G1946" s="3" t="e">
        <f t="shared" si="225"/>
        <v>#N/A</v>
      </c>
      <c r="H1946" s="3" t="e">
        <f t="shared" si="226"/>
        <v>#N/A</v>
      </c>
      <c r="I1946" s="3" t="e">
        <f t="shared" si="227"/>
        <v>#N/A</v>
      </c>
      <c r="J1946" s="2">
        <v>56397</v>
      </c>
      <c r="K1946" s="2">
        <v>37813</v>
      </c>
      <c r="P1946" s="3">
        <f>E1946*(VLOOKUP(B1946,Price_data!A$1:B$190,2,FALSE))</f>
        <v>75.806545504222001</v>
      </c>
      <c r="Q1946" s="3" t="e">
        <f>G1946*(VLOOKUP(B1946,Price_data!A$1:B$190,2,FALSE))</f>
        <v>#N/A</v>
      </c>
      <c r="R1946" s="3" t="e">
        <f>I1946*(VLOOKUP(B1946,Price_data!A$1:B$190,2,FALSE))</f>
        <v>#N/A</v>
      </c>
      <c r="S1946" s="4" t="str">
        <f>(VLOOKUP(B1946,Price_data!A$1:C$190,3,FALSE))</f>
        <v>EEZ</v>
      </c>
      <c r="T1946" s="2" t="str">
        <f>IF(C1946="Total", (VLOOKUP(B1946,Recommended_fish_intake!A$4:D$122,4,FALSE)), "NA")</f>
        <v>NA</v>
      </c>
      <c r="U1946" s="2" t="str">
        <f t="shared" si="228"/>
        <v>NA</v>
      </c>
    </row>
    <row r="1947" spans="1:21" ht="14.25" customHeight="1">
      <c r="A1947" s="2" t="s">
        <v>39</v>
      </c>
      <c r="B1947" s="2">
        <v>1983</v>
      </c>
      <c r="C1947" s="2" t="s">
        <v>23</v>
      </c>
      <c r="D1947" s="3">
        <f t="shared" si="222"/>
        <v>108.53</v>
      </c>
      <c r="E1947" s="3">
        <f t="shared" si="223"/>
        <v>50.93</v>
      </c>
      <c r="F1947" s="3" t="e">
        <f t="shared" si="224"/>
        <v>#N/A</v>
      </c>
      <c r="G1947" s="3" t="e">
        <f t="shared" si="225"/>
        <v>#N/A</v>
      </c>
      <c r="H1947" s="3" t="e">
        <f t="shared" si="226"/>
        <v>#N/A</v>
      </c>
      <c r="I1947" s="3" t="e">
        <f t="shared" si="227"/>
        <v>#N/A</v>
      </c>
      <c r="J1947" s="2">
        <v>108530</v>
      </c>
      <c r="K1947" s="2">
        <v>50930</v>
      </c>
      <c r="P1947" s="3">
        <f>E1947*(VLOOKUP(B1947,Price_data!A$1:B$190,2,FALSE))</f>
        <v>102.10317516542</v>
      </c>
      <c r="Q1947" s="3" t="e">
        <f>G1947*(VLOOKUP(B1947,Price_data!A$1:B$190,2,FALSE))</f>
        <v>#N/A</v>
      </c>
      <c r="R1947" s="3" t="e">
        <f>I1947*(VLOOKUP(B1947,Price_data!A$1:B$190,2,FALSE))</f>
        <v>#N/A</v>
      </c>
      <c r="S1947" s="4" t="str">
        <f>(VLOOKUP(B1947,Price_data!A$1:C$190,3,FALSE))</f>
        <v>EEZ</v>
      </c>
      <c r="T1947" s="2" t="str">
        <f>IF(C1947="Total", (VLOOKUP(B1947,Recommended_fish_intake!A$4:D$122,4,FALSE)), "NA")</f>
        <v>NA</v>
      </c>
      <c r="U1947" s="2" t="str">
        <f t="shared" si="228"/>
        <v>NA</v>
      </c>
    </row>
    <row r="1948" spans="1:21" ht="14.25" customHeight="1">
      <c r="A1948" s="2" t="s">
        <v>39</v>
      </c>
      <c r="B1948" s="2">
        <v>1983</v>
      </c>
      <c r="C1948" s="2" t="s">
        <v>25</v>
      </c>
      <c r="D1948" s="3">
        <f t="shared" si="222"/>
        <v>4.8529999999999998</v>
      </c>
      <c r="E1948" s="3">
        <f t="shared" si="223"/>
        <v>2.992</v>
      </c>
      <c r="F1948" s="3" t="e">
        <f t="shared" si="224"/>
        <v>#N/A</v>
      </c>
      <c r="G1948" s="3" t="e">
        <f t="shared" si="225"/>
        <v>#N/A</v>
      </c>
      <c r="H1948" s="3" t="e">
        <f t="shared" si="226"/>
        <v>#N/A</v>
      </c>
      <c r="I1948" s="3" t="e">
        <f t="shared" si="227"/>
        <v>#N/A</v>
      </c>
      <c r="J1948" s="2">
        <v>4853</v>
      </c>
      <c r="K1948" s="2">
        <v>2992</v>
      </c>
      <c r="P1948" s="3">
        <f>E1948*(VLOOKUP(B1948,Price_data!A$1:B$190,2,FALSE))</f>
        <v>5.9982858844480003</v>
      </c>
      <c r="Q1948" s="3" t="e">
        <f>G1948*(VLOOKUP(B1948,Price_data!A$1:B$190,2,FALSE))</f>
        <v>#N/A</v>
      </c>
      <c r="R1948" s="3" t="e">
        <f>I1948*(VLOOKUP(B1948,Price_data!A$1:B$190,2,FALSE))</f>
        <v>#N/A</v>
      </c>
      <c r="S1948" s="4" t="str">
        <f>(VLOOKUP(B1948,Price_data!A$1:C$190,3,FALSE))</f>
        <v>EEZ</v>
      </c>
      <c r="T1948" s="2" t="str">
        <f>IF(C1948="Total", (VLOOKUP(B1948,Recommended_fish_intake!A$4:D$122,4,FALSE)), "NA")</f>
        <v>NA</v>
      </c>
      <c r="U1948" s="2" t="str">
        <f t="shared" si="228"/>
        <v>NA</v>
      </c>
    </row>
    <row r="1949" spans="1:21" ht="14.25" customHeight="1">
      <c r="A1949" s="2" t="s">
        <v>39</v>
      </c>
      <c r="B1949" s="2">
        <v>1983</v>
      </c>
      <c r="C1949" s="2" t="s">
        <v>24</v>
      </c>
      <c r="D1949" s="3">
        <f t="shared" si="222"/>
        <v>45.484999999999999</v>
      </c>
      <c r="E1949" s="3">
        <f t="shared" si="223"/>
        <v>14.593</v>
      </c>
      <c r="F1949" s="3" t="e">
        <f t="shared" si="224"/>
        <v>#N/A</v>
      </c>
      <c r="G1949" s="3" t="e">
        <f t="shared" si="225"/>
        <v>#N/A</v>
      </c>
      <c r="H1949" s="3" t="e">
        <f t="shared" si="226"/>
        <v>#N/A</v>
      </c>
      <c r="I1949" s="3" t="e">
        <f t="shared" si="227"/>
        <v>#N/A</v>
      </c>
      <c r="J1949" s="2">
        <v>45485</v>
      </c>
      <c r="K1949" s="2">
        <v>14593</v>
      </c>
      <c r="P1949" s="3">
        <f>E1949*(VLOOKUP(B1949,Price_data!A$1:B$190,2,FALSE))</f>
        <v>29.255677109541999</v>
      </c>
      <c r="Q1949" s="3" t="e">
        <f>G1949*(VLOOKUP(B1949,Price_data!A$1:B$190,2,FALSE))</f>
        <v>#N/A</v>
      </c>
      <c r="R1949" s="3" t="e">
        <f>I1949*(VLOOKUP(B1949,Price_data!A$1:B$190,2,FALSE))</f>
        <v>#N/A</v>
      </c>
      <c r="S1949" s="4" t="str">
        <f>(VLOOKUP(B1949,Price_data!A$1:C$190,3,FALSE))</f>
        <v>EEZ</v>
      </c>
      <c r="T1949" s="2" t="str">
        <f>IF(C1949="Total", (VLOOKUP(B1949,Recommended_fish_intake!A$4:D$122,4,FALSE)), "NA")</f>
        <v>NA</v>
      </c>
      <c r="U1949" s="2" t="str">
        <f t="shared" si="228"/>
        <v>NA</v>
      </c>
    </row>
    <row r="1950" spans="1:21" ht="14.25" customHeight="1">
      <c r="A1950" s="2" t="s">
        <v>39</v>
      </c>
      <c r="B1950" s="2">
        <v>1983</v>
      </c>
      <c r="C1950" s="2" t="s">
        <v>19</v>
      </c>
      <c r="D1950" s="3">
        <f t="shared" si="222"/>
        <v>51.384999999999998</v>
      </c>
      <c r="E1950" s="3">
        <f t="shared" si="223"/>
        <v>6.492</v>
      </c>
      <c r="F1950" s="3" t="e">
        <f t="shared" si="224"/>
        <v>#N/A</v>
      </c>
      <c r="G1950" s="3" t="e">
        <f t="shared" si="225"/>
        <v>#N/A</v>
      </c>
      <c r="H1950" s="3" t="e">
        <f t="shared" si="226"/>
        <v>#N/A</v>
      </c>
      <c r="I1950" s="3" t="e">
        <f t="shared" si="227"/>
        <v>#N/A</v>
      </c>
      <c r="J1950" s="2">
        <v>51385</v>
      </c>
      <c r="K1950" s="2">
        <v>6492</v>
      </c>
      <c r="P1950" s="3">
        <f>E1950*(VLOOKUP(B1950,Price_data!A$1:B$190,2,FALSE))</f>
        <v>13.014997313447999</v>
      </c>
      <c r="Q1950" s="3" t="e">
        <f>G1950*(VLOOKUP(B1950,Price_data!A$1:B$190,2,FALSE))</f>
        <v>#N/A</v>
      </c>
      <c r="R1950" s="3" t="e">
        <f>I1950*(VLOOKUP(B1950,Price_data!A$1:B$190,2,FALSE))</f>
        <v>#N/A</v>
      </c>
      <c r="S1950" s="4" t="str">
        <f>(VLOOKUP(B1950,Price_data!A$1:C$190,3,FALSE))</f>
        <v>EEZ</v>
      </c>
      <c r="T1950" s="2" t="str">
        <f>IF(C1950="Total", (VLOOKUP(B1950,Recommended_fish_intake!A$4:D$122,4,FALSE)), "NA")</f>
        <v>NA</v>
      </c>
      <c r="U1950" s="2" t="str">
        <f t="shared" si="228"/>
        <v>NA</v>
      </c>
    </row>
    <row r="1951" spans="1:21" ht="14.25" customHeight="1">
      <c r="A1951" s="2" t="s">
        <v>39</v>
      </c>
      <c r="B1951" s="2">
        <v>1983</v>
      </c>
      <c r="C1951" s="2" t="s">
        <v>20</v>
      </c>
      <c r="D1951" s="3">
        <f t="shared" si="222"/>
        <v>120.015</v>
      </c>
      <c r="E1951" s="3">
        <f t="shared" si="223"/>
        <v>13.224</v>
      </c>
      <c r="F1951" s="3" t="e">
        <f t="shared" si="224"/>
        <v>#N/A</v>
      </c>
      <c r="G1951" s="3" t="e">
        <f t="shared" si="225"/>
        <v>#N/A</v>
      </c>
      <c r="H1951" s="3" t="e">
        <f t="shared" si="226"/>
        <v>#N/A</v>
      </c>
      <c r="I1951" s="3" t="e">
        <f t="shared" si="227"/>
        <v>#N/A</v>
      </c>
      <c r="J1951" s="2">
        <v>120015</v>
      </c>
      <c r="K1951" s="2">
        <v>13224</v>
      </c>
      <c r="P1951" s="3">
        <f>E1951*(VLOOKUP(B1951,Price_data!A$1:B$190,2,FALSE))</f>
        <v>26.511140553455999</v>
      </c>
      <c r="Q1951" s="3" t="e">
        <f>G1951*(VLOOKUP(B1951,Price_data!A$1:B$190,2,FALSE))</f>
        <v>#N/A</v>
      </c>
      <c r="R1951" s="3" t="e">
        <f>I1951*(VLOOKUP(B1951,Price_data!A$1:B$190,2,FALSE))</f>
        <v>#N/A</v>
      </c>
      <c r="S1951" s="4" t="str">
        <f>(VLOOKUP(B1951,Price_data!A$1:C$190,3,FALSE))</f>
        <v>EEZ</v>
      </c>
      <c r="T1951" s="2" t="str">
        <f>IF(C1951="Total", (VLOOKUP(B1951,Recommended_fish_intake!A$4:D$122,4,FALSE)), "NA")</f>
        <v>NA</v>
      </c>
      <c r="U1951" s="2" t="str">
        <f t="shared" si="228"/>
        <v>NA</v>
      </c>
    </row>
    <row r="1952" spans="1:21" ht="14.25" customHeight="1">
      <c r="A1952" s="2" t="s">
        <v>39</v>
      </c>
      <c r="B1952" s="2">
        <v>1983</v>
      </c>
      <c r="C1952" s="2" t="s">
        <v>21</v>
      </c>
      <c r="D1952" s="3">
        <f t="shared" si="222"/>
        <v>2.1219999999999999</v>
      </c>
      <c r="E1952" s="3">
        <f t="shared" si="223"/>
        <v>0.21</v>
      </c>
      <c r="F1952" s="3" t="e">
        <f t="shared" si="224"/>
        <v>#N/A</v>
      </c>
      <c r="G1952" s="3" t="e">
        <f t="shared" si="225"/>
        <v>#N/A</v>
      </c>
      <c r="H1952" s="3" t="e">
        <f t="shared" si="226"/>
        <v>#N/A</v>
      </c>
      <c r="I1952" s="3" t="e">
        <f t="shared" si="227"/>
        <v>#N/A</v>
      </c>
      <c r="J1952" s="2">
        <v>2122</v>
      </c>
      <c r="K1952" s="2">
        <v>210</v>
      </c>
      <c r="P1952" s="3">
        <f>E1952*(VLOOKUP(B1952,Price_data!A$1:B$190,2,FALSE))</f>
        <v>0.42100268573999999</v>
      </c>
      <c r="Q1952" s="3" t="e">
        <f>G1952*(VLOOKUP(B1952,Price_data!A$1:B$190,2,FALSE))</f>
        <v>#N/A</v>
      </c>
      <c r="R1952" s="3" t="e">
        <f>I1952*(VLOOKUP(B1952,Price_data!A$1:B$190,2,FALSE))</f>
        <v>#N/A</v>
      </c>
      <c r="S1952" s="4" t="str">
        <f>(VLOOKUP(B1952,Price_data!A$1:C$190,3,FALSE))</f>
        <v>EEZ</v>
      </c>
      <c r="T1952" s="2" t="str">
        <f>IF(C1952="Total", (VLOOKUP(B1952,Recommended_fish_intake!A$4:D$122,4,FALSE)), "NA")</f>
        <v>NA</v>
      </c>
      <c r="U1952" s="2" t="str">
        <f t="shared" si="228"/>
        <v>NA</v>
      </c>
    </row>
    <row r="1953" spans="1:21" ht="14.25" customHeight="1">
      <c r="A1953" s="2" t="s">
        <v>39</v>
      </c>
      <c r="B1953" s="2">
        <v>1983</v>
      </c>
      <c r="C1953" s="2" t="s">
        <v>37</v>
      </c>
      <c r="D1953" s="3">
        <f t="shared" si="222"/>
        <v>466.40699999999998</v>
      </c>
      <c r="E1953" s="3">
        <f t="shared" si="223"/>
        <v>141.03</v>
      </c>
      <c r="F1953" s="3" t="e">
        <f t="shared" si="224"/>
        <v>#N/A</v>
      </c>
      <c r="G1953" s="3" t="e">
        <f t="shared" si="225"/>
        <v>#N/A</v>
      </c>
      <c r="H1953" s="3" t="e">
        <f t="shared" si="226"/>
        <v>#N/A</v>
      </c>
      <c r="I1953" s="3" t="e">
        <f t="shared" si="227"/>
        <v>#N/A</v>
      </c>
      <c r="J1953" s="2">
        <v>466407</v>
      </c>
      <c r="K1953" s="2">
        <v>141030</v>
      </c>
      <c r="P1953" s="3">
        <f>E1953*(VLOOKUP(B1953,Price_data!A$1:B$190,2,FALSE))</f>
        <v>282.73337509482002</v>
      </c>
      <c r="Q1953" s="3" t="e">
        <f>G1953*(VLOOKUP(B1953,Price_data!A$1:B$190,2,FALSE))</f>
        <v>#N/A</v>
      </c>
      <c r="R1953" s="3" t="e">
        <f>I1953*(VLOOKUP(B1953,Price_data!A$1:B$190,2,FALSE))</f>
        <v>#N/A</v>
      </c>
      <c r="S1953" s="4" t="str">
        <f>(VLOOKUP(B1953,Price_data!A$1:C$190,3,FALSE))</f>
        <v>EEZ</v>
      </c>
      <c r="T1953" s="2" t="str">
        <f>IF(C1953="Total", (VLOOKUP(B1953,Recommended_fish_intake!A$4:D$122,4,FALSE)), "NA")</f>
        <v>NA</v>
      </c>
      <c r="U1953" s="2">
        <f t="shared" si="228"/>
        <v>228.53942999999998</v>
      </c>
    </row>
    <row r="1954" spans="1:21" ht="14.25" customHeight="1">
      <c r="A1954" s="2" t="s">
        <v>39</v>
      </c>
      <c r="B1954" s="2">
        <v>1983</v>
      </c>
      <c r="C1954" s="2" t="s">
        <v>36</v>
      </c>
      <c r="D1954" s="3">
        <f t="shared" si="222"/>
        <v>4.0039999999999996</v>
      </c>
      <c r="E1954" s="3">
        <f t="shared" si="223"/>
        <v>1.583</v>
      </c>
      <c r="F1954" s="3" t="e">
        <f t="shared" si="224"/>
        <v>#N/A</v>
      </c>
      <c r="G1954" s="3" t="e">
        <f t="shared" si="225"/>
        <v>#N/A</v>
      </c>
      <c r="H1954" s="3" t="e">
        <f t="shared" si="226"/>
        <v>#N/A</v>
      </c>
      <c r="I1954" s="3" t="e">
        <f t="shared" si="227"/>
        <v>#N/A</v>
      </c>
      <c r="J1954" s="2">
        <v>4004</v>
      </c>
      <c r="K1954" s="2">
        <v>1583</v>
      </c>
      <c r="P1954" s="3">
        <f>E1954*(VLOOKUP(B1954,Price_data!A$1:B$190,2,FALSE))</f>
        <v>3.1735583406019998</v>
      </c>
      <c r="Q1954" s="3" t="e">
        <f>G1954*(VLOOKUP(B1954,Price_data!A$1:B$190,2,FALSE))</f>
        <v>#N/A</v>
      </c>
      <c r="R1954" s="3" t="e">
        <f>I1954*(VLOOKUP(B1954,Price_data!A$1:B$190,2,FALSE))</f>
        <v>#N/A</v>
      </c>
      <c r="S1954" s="4" t="str">
        <f>(VLOOKUP(B1954,Price_data!A$1:C$190,3,FALSE))</f>
        <v>EEZ</v>
      </c>
      <c r="T1954" s="2" t="str">
        <f>IF(C1954="Total", (VLOOKUP(B1954,Recommended_fish_intake!A$4:D$122,4,FALSE)), "NA")</f>
        <v>NA</v>
      </c>
      <c r="U1954" s="2" t="str">
        <f t="shared" si="228"/>
        <v>NA</v>
      </c>
    </row>
    <row r="1955" spans="1:21" ht="14.25" customHeight="1">
      <c r="A1955" s="2" t="s">
        <v>39</v>
      </c>
      <c r="B1955" s="2">
        <v>1983</v>
      </c>
      <c r="C1955" s="2" t="s">
        <v>34</v>
      </c>
      <c r="D1955" s="3">
        <f t="shared" si="222"/>
        <v>0.50600000000000001</v>
      </c>
      <c r="E1955" s="3">
        <f t="shared" si="223"/>
        <v>2.9159999999999999</v>
      </c>
      <c r="F1955" s="3" t="e">
        <f t="shared" si="224"/>
        <v>#N/A</v>
      </c>
      <c r="G1955" s="3" t="e">
        <f t="shared" si="225"/>
        <v>#N/A</v>
      </c>
      <c r="H1955" s="3" t="e">
        <f t="shared" si="226"/>
        <v>#N/A</v>
      </c>
      <c r="I1955" s="3" t="e">
        <f t="shared" si="227"/>
        <v>#N/A</v>
      </c>
      <c r="J1955" s="2">
        <v>506</v>
      </c>
      <c r="K1955" s="2">
        <v>2916</v>
      </c>
      <c r="P1955" s="3">
        <f>E1955*(VLOOKUP(B1955,Price_data!A$1:B$190,2,FALSE))</f>
        <v>5.8459230077040001</v>
      </c>
      <c r="Q1955" s="3" t="e">
        <f>G1955*(VLOOKUP(B1955,Price_data!A$1:B$190,2,FALSE))</f>
        <v>#N/A</v>
      </c>
      <c r="R1955" s="3" t="e">
        <f>I1955*(VLOOKUP(B1955,Price_data!A$1:B$190,2,FALSE))</f>
        <v>#N/A</v>
      </c>
      <c r="S1955" s="4" t="str">
        <f>(VLOOKUP(B1955,Price_data!A$1:C$190,3,FALSE))</f>
        <v>EEZ</v>
      </c>
      <c r="T1955" s="2" t="str">
        <f>IF(C1955="Total", (VLOOKUP(B1955,Recommended_fish_intake!A$4:D$122,4,FALSE)), "NA")</f>
        <v>NA</v>
      </c>
      <c r="U1955" s="2" t="str">
        <f t="shared" si="228"/>
        <v>NA</v>
      </c>
    </row>
    <row r="1956" spans="1:21" ht="14.25" customHeight="1">
      <c r="A1956" s="2" t="s">
        <v>39</v>
      </c>
      <c r="B1956" s="2">
        <v>1983</v>
      </c>
      <c r="C1956" s="2" t="s">
        <v>35</v>
      </c>
      <c r="D1956" s="3">
        <f t="shared" si="222"/>
        <v>14.188000000000001</v>
      </c>
      <c r="E1956" s="3">
        <f t="shared" si="223"/>
        <v>16.832000000000001</v>
      </c>
      <c r="F1956" s="3" t="e">
        <f t="shared" si="224"/>
        <v>#N/A</v>
      </c>
      <c r="G1956" s="3" t="e">
        <f t="shared" si="225"/>
        <v>#N/A</v>
      </c>
      <c r="H1956" s="3" t="e">
        <f t="shared" si="226"/>
        <v>#N/A</v>
      </c>
      <c r="I1956" s="3" t="e">
        <f t="shared" si="227"/>
        <v>#N/A</v>
      </c>
      <c r="J1956" s="2">
        <v>14188</v>
      </c>
      <c r="K1956" s="2">
        <v>16832</v>
      </c>
      <c r="P1956" s="3">
        <f>E1956*(VLOOKUP(B1956,Price_data!A$1:B$190,2,FALSE))</f>
        <v>33.744367649407998</v>
      </c>
      <c r="Q1956" s="3" t="e">
        <f>G1956*(VLOOKUP(B1956,Price_data!A$1:B$190,2,FALSE))</f>
        <v>#N/A</v>
      </c>
      <c r="R1956" s="3" t="e">
        <f>I1956*(VLOOKUP(B1956,Price_data!A$1:B$190,2,FALSE))</f>
        <v>#N/A</v>
      </c>
      <c r="S1956" s="4" t="str">
        <f>(VLOOKUP(B1956,Price_data!A$1:C$190,3,FALSE))</f>
        <v>EEZ</v>
      </c>
      <c r="T1956" s="2" t="str">
        <f>IF(C1956="Total", (VLOOKUP(B1956,Recommended_fish_intake!A$4:D$122,4,FALSE)), "NA")</f>
        <v>NA</v>
      </c>
      <c r="U1956" s="2" t="str">
        <f t="shared" si="228"/>
        <v>NA</v>
      </c>
    </row>
    <row r="1957" spans="1:21" ht="14.25" customHeight="1">
      <c r="A1957" s="2" t="s">
        <v>39</v>
      </c>
      <c r="B1957" s="2">
        <v>1983</v>
      </c>
      <c r="C1957" s="2" t="s">
        <v>52</v>
      </c>
      <c r="D1957" s="3">
        <f t="shared" si="222"/>
        <v>5.09</v>
      </c>
      <c r="E1957" s="3">
        <f t="shared" si="223"/>
        <v>3.7629999999999999</v>
      </c>
      <c r="F1957" s="3" t="e">
        <f t="shared" si="224"/>
        <v>#N/A</v>
      </c>
      <c r="G1957" s="3" t="e">
        <f t="shared" si="225"/>
        <v>#N/A</v>
      </c>
      <c r="H1957" s="3" t="e">
        <f t="shared" si="226"/>
        <v>#N/A</v>
      </c>
      <c r="I1957" s="3" t="e">
        <f t="shared" si="227"/>
        <v>#N/A</v>
      </c>
      <c r="J1957" s="2">
        <v>5090</v>
      </c>
      <c r="K1957" s="2">
        <v>3763</v>
      </c>
      <c r="P1957" s="3">
        <f>E1957*(VLOOKUP(B1957,Price_data!A$1:B$190,2,FALSE))</f>
        <v>7.5439671735219997</v>
      </c>
      <c r="Q1957" s="3" t="e">
        <f>G1957*(VLOOKUP(B1957,Price_data!A$1:B$190,2,FALSE))</f>
        <v>#N/A</v>
      </c>
      <c r="R1957" s="3" t="e">
        <f>I1957*(VLOOKUP(B1957,Price_data!A$1:B$190,2,FALSE))</f>
        <v>#N/A</v>
      </c>
      <c r="S1957" s="4" t="str">
        <f>(VLOOKUP(B1957,Price_data!A$1:C$190,3,FALSE))</f>
        <v>EEZ</v>
      </c>
      <c r="T1957" s="2" t="str">
        <f>IF(C1957="Total", (VLOOKUP(B1957,Recommended_fish_intake!A$4:D$122,4,FALSE)), "NA")</f>
        <v>NA</v>
      </c>
      <c r="U1957" s="2" t="str">
        <f t="shared" si="228"/>
        <v>NA</v>
      </c>
    </row>
    <row r="1958" spans="1:21" ht="14.25" customHeight="1">
      <c r="A1958" s="2" t="s">
        <v>39</v>
      </c>
      <c r="B1958" s="2">
        <v>1983</v>
      </c>
      <c r="C1958" s="2" t="s">
        <v>30</v>
      </c>
      <c r="D1958" s="3">
        <f t="shared" si="222"/>
        <v>1.0999999999999999E-2</v>
      </c>
      <c r="E1958" s="3">
        <f t="shared" si="223"/>
        <v>1.4E-2</v>
      </c>
      <c r="F1958" s="3" t="e">
        <f t="shared" si="224"/>
        <v>#N/A</v>
      </c>
      <c r="G1958" s="3" t="e">
        <f t="shared" si="225"/>
        <v>#N/A</v>
      </c>
      <c r="H1958" s="3" t="e">
        <f t="shared" si="226"/>
        <v>#N/A</v>
      </c>
      <c r="I1958" s="3" t="e">
        <f t="shared" si="227"/>
        <v>#N/A</v>
      </c>
      <c r="J1958" s="2">
        <v>11</v>
      </c>
      <c r="K1958" s="2">
        <v>14</v>
      </c>
      <c r="P1958" s="3">
        <f>E1958*(VLOOKUP(B1958,Price_data!A$1:B$190,2,FALSE))</f>
        <v>2.8066845715999999E-2</v>
      </c>
      <c r="Q1958" s="3" t="e">
        <f>G1958*(VLOOKUP(B1958,Price_data!A$1:B$190,2,FALSE))</f>
        <v>#N/A</v>
      </c>
      <c r="R1958" s="3" t="e">
        <f>I1958*(VLOOKUP(B1958,Price_data!A$1:B$190,2,FALSE))</f>
        <v>#N/A</v>
      </c>
      <c r="S1958" s="4" t="str">
        <f>(VLOOKUP(B1958,Price_data!A$1:C$190,3,FALSE))</f>
        <v>EEZ</v>
      </c>
      <c r="T1958" s="2" t="str">
        <f>IF(C1958="Total", (VLOOKUP(B1958,Recommended_fish_intake!A$4:D$122,4,FALSE)), "NA")</f>
        <v>NA</v>
      </c>
      <c r="U1958" s="2" t="str">
        <f t="shared" si="228"/>
        <v>NA</v>
      </c>
    </row>
    <row r="1959" spans="1:21" ht="14.25" customHeight="1">
      <c r="A1959" s="2" t="s">
        <v>39</v>
      </c>
      <c r="B1959" s="2">
        <v>1983</v>
      </c>
      <c r="C1959" s="2" t="s">
        <v>28</v>
      </c>
      <c r="D1959" s="3">
        <f t="shared" si="222"/>
        <v>32.713000000000001</v>
      </c>
      <c r="E1959" s="3">
        <f t="shared" si="223"/>
        <v>28.981000000000002</v>
      </c>
      <c r="F1959" s="3" t="e">
        <f t="shared" si="224"/>
        <v>#N/A</v>
      </c>
      <c r="G1959" s="3" t="e">
        <f t="shared" si="225"/>
        <v>#N/A</v>
      </c>
      <c r="H1959" s="3" t="e">
        <f t="shared" si="226"/>
        <v>#N/A</v>
      </c>
      <c r="I1959" s="3" t="e">
        <f t="shared" si="227"/>
        <v>#N/A</v>
      </c>
      <c r="J1959" s="2">
        <v>32713</v>
      </c>
      <c r="K1959" s="2">
        <v>28981</v>
      </c>
      <c r="P1959" s="3">
        <f>E1959*(VLOOKUP(B1959,Price_data!A$1:B$190,2,FALSE))</f>
        <v>58.100375406814003</v>
      </c>
      <c r="Q1959" s="3" t="e">
        <f>G1959*(VLOOKUP(B1959,Price_data!A$1:B$190,2,FALSE))</f>
        <v>#N/A</v>
      </c>
      <c r="R1959" s="3" t="e">
        <f>I1959*(VLOOKUP(B1959,Price_data!A$1:B$190,2,FALSE))</f>
        <v>#N/A</v>
      </c>
      <c r="S1959" s="4" t="str">
        <f>(VLOOKUP(B1959,Price_data!A$1:C$190,3,FALSE))</f>
        <v>EEZ</v>
      </c>
      <c r="T1959" s="2" t="str">
        <f>IF(C1959="Total", (VLOOKUP(B1959,Recommended_fish_intake!A$4:D$122,4,FALSE)), "NA")</f>
        <v>NA</v>
      </c>
      <c r="U1959" s="2">
        <f t="shared" si="228"/>
        <v>9.1596400000000013</v>
      </c>
    </row>
    <row r="1960" spans="1:21" ht="14.25" customHeight="1">
      <c r="A1960" s="2" t="s">
        <v>40</v>
      </c>
      <c r="B1960" s="2">
        <v>1983</v>
      </c>
      <c r="C1960" s="2" t="s">
        <v>22</v>
      </c>
      <c r="D1960" s="3">
        <f t="shared" ref="D1960:D2023" si="229">J1960/1000</f>
        <v>2.9159999999999999</v>
      </c>
      <c r="E1960" s="3">
        <f t="shared" ref="E1960:E2023" si="230">K1960/1000</f>
        <v>1.538</v>
      </c>
      <c r="F1960" s="3" t="e">
        <f t="shared" ref="F1960:F2023" si="231">IF(L1960="", NA(), L1960/1000)</f>
        <v>#N/A</v>
      </c>
      <c r="G1960" s="3" t="e">
        <f t="shared" ref="G1960:G2023" si="232">IF(M1960="", NA(), M1960/1000)</f>
        <v>#N/A</v>
      </c>
      <c r="H1960" s="3" t="e">
        <f t="shared" ref="H1960:H2023" si="233">IF(N1960="", NA(), N1960/1000)</f>
        <v>#N/A</v>
      </c>
      <c r="I1960" s="3" t="e">
        <f t="shared" ref="I1960:I2023" si="234">IF(O1960="", NA(), O1960/1000)</f>
        <v>#N/A</v>
      </c>
      <c r="J1960" s="2">
        <v>2916</v>
      </c>
      <c r="K1960" s="2">
        <v>1538</v>
      </c>
      <c r="P1960" s="3">
        <f>E1960*(VLOOKUP(B1960,Price_data!A$1:B$190,2,FALSE))</f>
        <v>3.083343479372</v>
      </c>
      <c r="Q1960" s="3" t="e">
        <f>G1960*(VLOOKUP(B1960,Price_data!A$1:B$190,2,FALSE))</f>
        <v>#N/A</v>
      </c>
      <c r="R1960" s="3" t="e">
        <f>I1960*(VLOOKUP(B1960,Price_data!A$1:B$190,2,FALSE))</f>
        <v>#N/A</v>
      </c>
      <c r="S1960" s="4" t="str">
        <f>(VLOOKUP(B1960,Price_data!A$1:C$190,3,FALSE))</f>
        <v>EEZ</v>
      </c>
      <c r="T1960" s="2" t="str">
        <f>IF(C1960="Total", (VLOOKUP(B1960,Recommended_fish_intake!A$4:D$122,4,FALSE)), "NA")</f>
        <v>NA</v>
      </c>
      <c r="U1960" s="2" t="str">
        <f t="shared" si="228"/>
        <v>NA</v>
      </c>
    </row>
    <row r="1961" spans="1:21" ht="14.25" customHeight="1">
      <c r="A1961" s="2" t="s">
        <v>40</v>
      </c>
      <c r="B1961" s="2">
        <v>1983</v>
      </c>
      <c r="C1961" s="2" t="s">
        <v>23</v>
      </c>
      <c r="D1961" s="3">
        <f t="shared" si="229"/>
        <v>2.1000000000000001E-2</v>
      </c>
      <c r="E1961" s="3">
        <f t="shared" si="230"/>
        <v>0.01</v>
      </c>
      <c r="F1961" s="3" t="e">
        <f t="shared" si="231"/>
        <v>#N/A</v>
      </c>
      <c r="G1961" s="3" t="e">
        <f t="shared" si="232"/>
        <v>#N/A</v>
      </c>
      <c r="H1961" s="3" t="e">
        <f t="shared" si="233"/>
        <v>#N/A</v>
      </c>
      <c r="I1961" s="3" t="e">
        <f t="shared" si="234"/>
        <v>#N/A</v>
      </c>
      <c r="J1961" s="2">
        <v>21</v>
      </c>
      <c r="K1961" s="2">
        <v>10</v>
      </c>
      <c r="P1961" s="3">
        <f>E1961*(VLOOKUP(B1961,Price_data!A$1:B$190,2,FALSE))</f>
        <v>2.004774694E-2</v>
      </c>
      <c r="Q1961" s="3" t="e">
        <f>G1961*(VLOOKUP(B1961,Price_data!A$1:B$190,2,FALSE))</f>
        <v>#N/A</v>
      </c>
      <c r="R1961" s="3" t="e">
        <f>I1961*(VLOOKUP(B1961,Price_data!A$1:B$190,2,FALSE))</f>
        <v>#N/A</v>
      </c>
      <c r="S1961" s="4" t="str">
        <f>(VLOOKUP(B1961,Price_data!A$1:C$190,3,FALSE))</f>
        <v>EEZ</v>
      </c>
      <c r="T1961" s="2" t="str">
        <f>IF(C1961="Total", (VLOOKUP(B1961,Recommended_fish_intake!A$4:D$122,4,FALSE)), "NA")</f>
        <v>NA</v>
      </c>
      <c r="U1961" s="2" t="str">
        <f t="shared" si="228"/>
        <v>NA</v>
      </c>
    </row>
    <row r="1962" spans="1:21" ht="14.25" customHeight="1">
      <c r="A1962" s="2" t="s">
        <v>40</v>
      </c>
      <c r="B1962" s="2">
        <v>1983</v>
      </c>
      <c r="C1962" s="2" t="s">
        <v>25</v>
      </c>
      <c r="D1962" s="3">
        <f t="shared" si="229"/>
        <v>0.16800000000000001</v>
      </c>
      <c r="E1962" s="3">
        <f t="shared" si="230"/>
        <v>0.06</v>
      </c>
      <c r="F1962" s="3" t="e">
        <f t="shared" si="231"/>
        <v>#N/A</v>
      </c>
      <c r="G1962" s="3" t="e">
        <f t="shared" si="232"/>
        <v>#N/A</v>
      </c>
      <c r="H1962" s="3" t="e">
        <f t="shared" si="233"/>
        <v>#N/A</v>
      </c>
      <c r="I1962" s="3" t="e">
        <f t="shared" si="234"/>
        <v>#N/A</v>
      </c>
      <c r="J1962" s="2">
        <v>168</v>
      </c>
      <c r="K1962" s="2">
        <v>60</v>
      </c>
      <c r="P1962" s="3">
        <f>E1962*(VLOOKUP(B1962,Price_data!A$1:B$190,2,FALSE))</f>
        <v>0.12028648164</v>
      </c>
      <c r="Q1962" s="3" t="e">
        <f>G1962*(VLOOKUP(B1962,Price_data!A$1:B$190,2,FALSE))</f>
        <v>#N/A</v>
      </c>
      <c r="R1962" s="3" t="e">
        <f>I1962*(VLOOKUP(B1962,Price_data!A$1:B$190,2,FALSE))</f>
        <v>#N/A</v>
      </c>
      <c r="S1962" s="4" t="str">
        <f>(VLOOKUP(B1962,Price_data!A$1:C$190,3,FALSE))</f>
        <v>EEZ</v>
      </c>
      <c r="T1962" s="2" t="str">
        <f>IF(C1962="Total", (VLOOKUP(B1962,Recommended_fish_intake!A$4:D$122,4,FALSE)), "NA")</f>
        <v>NA</v>
      </c>
      <c r="U1962" s="2" t="str">
        <f t="shared" si="228"/>
        <v>NA</v>
      </c>
    </row>
    <row r="1963" spans="1:21" ht="14.25" customHeight="1">
      <c r="A1963" s="2" t="s">
        <v>40</v>
      </c>
      <c r="B1963" s="2">
        <v>1983</v>
      </c>
      <c r="C1963" s="2" t="s">
        <v>24</v>
      </c>
      <c r="D1963" s="3">
        <f t="shared" si="229"/>
        <v>5.26</v>
      </c>
      <c r="E1963" s="3">
        <f t="shared" si="230"/>
        <v>1.39</v>
      </c>
      <c r="F1963" s="3" t="e">
        <f t="shared" si="231"/>
        <v>#N/A</v>
      </c>
      <c r="G1963" s="3" t="e">
        <f t="shared" si="232"/>
        <v>#N/A</v>
      </c>
      <c r="H1963" s="3" t="e">
        <f t="shared" si="233"/>
        <v>#N/A</v>
      </c>
      <c r="I1963" s="3" t="e">
        <f t="shared" si="234"/>
        <v>#N/A</v>
      </c>
      <c r="J1963" s="2">
        <v>5260</v>
      </c>
      <c r="K1963" s="2">
        <v>1390</v>
      </c>
      <c r="P1963" s="3">
        <f>E1963*(VLOOKUP(B1963,Price_data!A$1:B$190,2,FALSE))</f>
        <v>2.78663682466</v>
      </c>
      <c r="Q1963" s="3" t="e">
        <f>G1963*(VLOOKUP(B1963,Price_data!A$1:B$190,2,FALSE))</f>
        <v>#N/A</v>
      </c>
      <c r="R1963" s="3" t="e">
        <f>I1963*(VLOOKUP(B1963,Price_data!A$1:B$190,2,FALSE))</f>
        <v>#N/A</v>
      </c>
      <c r="S1963" s="4" t="str">
        <f>(VLOOKUP(B1963,Price_data!A$1:C$190,3,FALSE))</f>
        <v>EEZ</v>
      </c>
      <c r="T1963" s="2" t="str">
        <f>IF(C1963="Total", (VLOOKUP(B1963,Recommended_fish_intake!A$4:D$122,4,FALSE)), "NA")</f>
        <v>NA</v>
      </c>
      <c r="U1963" s="2" t="str">
        <f t="shared" si="228"/>
        <v>NA</v>
      </c>
    </row>
    <row r="1964" spans="1:21" ht="14.25" customHeight="1">
      <c r="A1964" s="2" t="s">
        <v>40</v>
      </c>
      <c r="B1964" s="2">
        <v>1983</v>
      </c>
      <c r="C1964" s="2" t="s">
        <v>19</v>
      </c>
      <c r="D1964" s="3">
        <f t="shared" si="229"/>
        <v>1.9890000000000001</v>
      </c>
      <c r="E1964" s="3">
        <f t="shared" si="230"/>
        <v>0.3</v>
      </c>
      <c r="F1964" s="3" t="e">
        <f t="shared" si="231"/>
        <v>#N/A</v>
      </c>
      <c r="G1964" s="3" t="e">
        <f t="shared" si="232"/>
        <v>#N/A</v>
      </c>
      <c r="H1964" s="3" t="e">
        <f t="shared" si="233"/>
        <v>#N/A</v>
      </c>
      <c r="I1964" s="3" t="e">
        <f t="shared" si="234"/>
        <v>#N/A</v>
      </c>
      <c r="J1964" s="2">
        <v>1989</v>
      </c>
      <c r="K1964" s="2">
        <v>300</v>
      </c>
      <c r="P1964" s="3">
        <f>E1964*(VLOOKUP(B1964,Price_data!A$1:B$190,2,FALSE))</f>
        <v>0.60143240819999999</v>
      </c>
      <c r="Q1964" s="3" t="e">
        <f>G1964*(VLOOKUP(B1964,Price_data!A$1:B$190,2,FALSE))</f>
        <v>#N/A</v>
      </c>
      <c r="R1964" s="3" t="e">
        <f>I1964*(VLOOKUP(B1964,Price_data!A$1:B$190,2,FALSE))</f>
        <v>#N/A</v>
      </c>
      <c r="S1964" s="4" t="str">
        <f>(VLOOKUP(B1964,Price_data!A$1:C$190,3,FALSE))</f>
        <v>EEZ</v>
      </c>
      <c r="T1964" s="2" t="str">
        <f>IF(C1964="Total", (VLOOKUP(B1964,Recommended_fish_intake!A$4:D$122,4,FALSE)), "NA")</f>
        <v>NA</v>
      </c>
      <c r="U1964" s="2" t="str">
        <f t="shared" si="228"/>
        <v>NA</v>
      </c>
    </row>
    <row r="1965" spans="1:21" ht="14.25" customHeight="1">
      <c r="A1965" s="2" t="s">
        <v>40</v>
      </c>
      <c r="B1965" s="2">
        <v>1983</v>
      </c>
      <c r="C1965" s="2" t="s">
        <v>20</v>
      </c>
      <c r="D1965" s="3">
        <f t="shared" si="229"/>
        <v>0.93899999999999995</v>
      </c>
      <c r="E1965" s="3">
        <f t="shared" si="230"/>
        <v>0.11700000000000001</v>
      </c>
      <c r="F1965" s="3" t="e">
        <f t="shared" si="231"/>
        <v>#N/A</v>
      </c>
      <c r="G1965" s="3" t="e">
        <f t="shared" si="232"/>
        <v>#N/A</v>
      </c>
      <c r="H1965" s="3" t="e">
        <f t="shared" si="233"/>
        <v>#N/A</v>
      </c>
      <c r="I1965" s="3" t="e">
        <f t="shared" si="234"/>
        <v>#N/A</v>
      </c>
      <c r="J1965" s="2">
        <v>939</v>
      </c>
      <c r="K1965" s="2">
        <v>117</v>
      </c>
      <c r="P1965" s="3">
        <f>E1965*(VLOOKUP(B1965,Price_data!A$1:B$190,2,FALSE))</f>
        <v>0.23455863919800002</v>
      </c>
      <c r="Q1965" s="3" t="e">
        <f>G1965*(VLOOKUP(B1965,Price_data!A$1:B$190,2,FALSE))</f>
        <v>#N/A</v>
      </c>
      <c r="R1965" s="3" t="e">
        <f>I1965*(VLOOKUP(B1965,Price_data!A$1:B$190,2,FALSE))</f>
        <v>#N/A</v>
      </c>
      <c r="S1965" s="4" t="str">
        <f>(VLOOKUP(B1965,Price_data!A$1:C$190,3,FALSE))</f>
        <v>EEZ</v>
      </c>
      <c r="T1965" s="2" t="str">
        <f>IF(C1965="Total", (VLOOKUP(B1965,Recommended_fish_intake!A$4:D$122,4,FALSE)), "NA")</f>
        <v>NA</v>
      </c>
      <c r="U1965" s="2" t="str">
        <f t="shared" si="228"/>
        <v>NA</v>
      </c>
    </row>
    <row r="1966" spans="1:21" ht="14.25" customHeight="1">
      <c r="A1966" s="2" t="s">
        <v>40</v>
      </c>
      <c r="B1966" s="2">
        <v>1983</v>
      </c>
      <c r="C1966" s="2" t="s">
        <v>21</v>
      </c>
      <c r="D1966" s="3">
        <f t="shared" si="229"/>
        <v>0</v>
      </c>
      <c r="E1966" s="3">
        <f t="shared" si="230"/>
        <v>0</v>
      </c>
      <c r="F1966" s="3" t="e">
        <f t="shared" si="231"/>
        <v>#N/A</v>
      </c>
      <c r="G1966" s="3" t="e">
        <f t="shared" si="232"/>
        <v>#N/A</v>
      </c>
      <c r="H1966" s="3" t="e">
        <f t="shared" si="233"/>
        <v>#N/A</v>
      </c>
      <c r="I1966" s="3" t="e">
        <f t="shared" si="234"/>
        <v>#N/A</v>
      </c>
      <c r="J1966" s="2">
        <v>0</v>
      </c>
      <c r="K1966" s="2">
        <v>0</v>
      </c>
      <c r="P1966" s="3">
        <f>E1966*(VLOOKUP(B1966,Price_data!A$1:B$190,2,FALSE))</f>
        <v>0</v>
      </c>
      <c r="Q1966" s="3" t="e">
        <f>G1966*(VLOOKUP(B1966,Price_data!A$1:B$190,2,FALSE))</f>
        <v>#N/A</v>
      </c>
      <c r="R1966" s="3" t="e">
        <f>I1966*(VLOOKUP(B1966,Price_data!A$1:B$190,2,FALSE))</f>
        <v>#N/A</v>
      </c>
      <c r="S1966" s="4" t="str">
        <f>(VLOOKUP(B1966,Price_data!A$1:C$190,3,FALSE))</f>
        <v>EEZ</v>
      </c>
      <c r="T1966" s="2" t="str">
        <f>IF(C1966="Total", (VLOOKUP(B1966,Recommended_fish_intake!A$4:D$122,4,FALSE)), "NA")</f>
        <v>NA</v>
      </c>
      <c r="U1966" s="2" t="str">
        <f t="shared" si="228"/>
        <v>NA</v>
      </c>
    </row>
    <row r="1967" spans="1:21" ht="14.25" customHeight="1">
      <c r="A1967" s="2" t="s">
        <v>40</v>
      </c>
      <c r="B1967" s="2">
        <v>1983</v>
      </c>
      <c r="C1967" s="2" t="s">
        <v>37</v>
      </c>
      <c r="D1967" s="3">
        <f t="shared" si="229"/>
        <v>13.55</v>
      </c>
      <c r="E1967" s="3">
        <f t="shared" si="230"/>
        <v>4.444</v>
      </c>
      <c r="F1967" s="3" t="e">
        <f t="shared" si="231"/>
        <v>#N/A</v>
      </c>
      <c r="G1967" s="3" t="e">
        <f t="shared" si="232"/>
        <v>#N/A</v>
      </c>
      <c r="H1967" s="3" t="e">
        <f t="shared" si="233"/>
        <v>#N/A</v>
      </c>
      <c r="I1967" s="3" t="e">
        <f t="shared" si="234"/>
        <v>#N/A</v>
      </c>
      <c r="J1967" s="2">
        <v>13550</v>
      </c>
      <c r="K1967" s="2">
        <v>4444</v>
      </c>
      <c r="P1967" s="3">
        <f>E1967*(VLOOKUP(B1967,Price_data!A$1:B$190,2,FALSE))</f>
        <v>8.9092187401359997</v>
      </c>
      <c r="Q1967" s="3" t="e">
        <f>G1967*(VLOOKUP(B1967,Price_data!A$1:B$190,2,FALSE))</f>
        <v>#N/A</v>
      </c>
      <c r="R1967" s="3" t="e">
        <f>I1967*(VLOOKUP(B1967,Price_data!A$1:B$190,2,FALSE))</f>
        <v>#N/A</v>
      </c>
      <c r="S1967" s="4" t="str">
        <f>(VLOOKUP(B1967,Price_data!A$1:C$190,3,FALSE))</f>
        <v>EEZ</v>
      </c>
      <c r="T1967" s="2" t="str">
        <f>IF(C1967="Total", (VLOOKUP(B1967,Recommended_fish_intake!A$4:D$122,4,FALSE)), "NA")</f>
        <v>NA</v>
      </c>
      <c r="U1967" s="2">
        <f t="shared" si="228"/>
        <v>6.6395</v>
      </c>
    </row>
    <row r="1968" spans="1:21" ht="14.25" customHeight="1">
      <c r="A1968" s="2" t="s">
        <v>40</v>
      </c>
      <c r="B1968" s="2">
        <v>1983</v>
      </c>
      <c r="C1968" s="2" t="s">
        <v>36</v>
      </c>
      <c r="D1968" s="3">
        <f t="shared" si="229"/>
        <v>4.0000000000000001E-3</v>
      </c>
      <c r="E1968" s="3">
        <f t="shared" si="230"/>
        <v>1E-3</v>
      </c>
      <c r="F1968" s="3" t="e">
        <f t="shared" si="231"/>
        <v>#N/A</v>
      </c>
      <c r="G1968" s="3" t="e">
        <f t="shared" si="232"/>
        <v>#N/A</v>
      </c>
      <c r="H1968" s="3" t="e">
        <f t="shared" si="233"/>
        <v>#N/A</v>
      </c>
      <c r="I1968" s="3" t="e">
        <f t="shared" si="234"/>
        <v>#N/A</v>
      </c>
      <c r="J1968" s="2">
        <v>4</v>
      </c>
      <c r="K1968" s="2">
        <v>1</v>
      </c>
      <c r="P1968" s="3">
        <f>E1968*(VLOOKUP(B1968,Price_data!A$1:B$190,2,FALSE))</f>
        <v>2.0047746939999998E-3</v>
      </c>
      <c r="Q1968" s="3" t="e">
        <f>G1968*(VLOOKUP(B1968,Price_data!A$1:B$190,2,FALSE))</f>
        <v>#N/A</v>
      </c>
      <c r="R1968" s="3" t="e">
        <f>I1968*(VLOOKUP(B1968,Price_data!A$1:B$190,2,FALSE))</f>
        <v>#N/A</v>
      </c>
      <c r="S1968" s="4" t="str">
        <f>(VLOOKUP(B1968,Price_data!A$1:C$190,3,FALSE))</f>
        <v>EEZ</v>
      </c>
      <c r="T1968" s="2" t="str">
        <f>IF(C1968="Total", (VLOOKUP(B1968,Recommended_fish_intake!A$4:D$122,4,FALSE)), "NA")</f>
        <v>NA</v>
      </c>
      <c r="U1968" s="2" t="str">
        <f t="shared" si="228"/>
        <v>NA</v>
      </c>
    </row>
    <row r="1969" spans="1:21" ht="14.25" customHeight="1">
      <c r="A1969" s="2" t="s">
        <v>40</v>
      </c>
      <c r="B1969" s="2">
        <v>1983</v>
      </c>
      <c r="C1969" s="2" t="s">
        <v>34</v>
      </c>
      <c r="D1969" s="3">
        <f t="shared" si="229"/>
        <v>1.2999999999999999E-2</v>
      </c>
      <c r="E1969" s="3">
        <f t="shared" si="230"/>
        <v>5.0999999999999997E-2</v>
      </c>
      <c r="F1969" s="3" t="e">
        <f t="shared" si="231"/>
        <v>#N/A</v>
      </c>
      <c r="G1969" s="3" t="e">
        <f t="shared" si="232"/>
        <v>#N/A</v>
      </c>
      <c r="H1969" s="3" t="e">
        <f t="shared" si="233"/>
        <v>#N/A</v>
      </c>
      <c r="I1969" s="3" t="e">
        <f t="shared" si="234"/>
        <v>#N/A</v>
      </c>
      <c r="J1969" s="2">
        <v>13</v>
      </c>
      <c r="K1969" s="2">
        <v>51</v>
      </c>
      <c r="P1969" s="3">
        <f>E1969*(VLOOKUP(B1969,Price_data!A$1:B$190,2,FALSE))</f>
        <v>0.102243509394</v>
      </c>
      <c r="Q1969" s="3" t="e">
        <f>G1969*(VLOOKUP(B1969,Price_data!A$1:B$190,2,FALSE))</f>
        <v>#N/A</v>
      </c>
      <c r="R1969" s="3" t="e">
        <f>I1969*(VLOOKUP(B1969,Price_data!A$1:B$190,2,FALSE))</f>
        <v>#N/A</v>
      </c>
      <c r="S1969" s="4" t="str">
        <f>(VLOOKUP(B1969,Price_data!A$1:C$190,3,FALSE))</f>
        <v>EEZ</v>
      </c>
      <c r="T1969" s="2" t="str">
        <f>IF(C1969="Total", (VLOOKUP(B1969,Recommended_fish_intake!A$4:D$122,4,FALSE)), "NA")</f>
        <v>NA</v>
      </c>
      <c r="U1969" s="2" t="str">
        <f t="shared" si="228"/>
        <v>NA</v>
      </c>
    </row>
    <row r="1970" spans="1:21" ht="14.25" customHeight="1">
      <c r="A1970" s="2" t="s">
        <v>40</v>
      </c>
      <c r="B1970" s="2">
        <v>1983</v>
      </c>
      <c r="C1970" s="2" t="s">
        <v>35</v>
      </c>
      <c r="D1970" s="3">
        <f t="shared" si="229"/>
        <v>4.95</v>
      </c>
      <c r="E1970" s="3">
        <f t="shared" si="230"/>
        <v>3.831</v>
      </c>
      <c r="F1970" s="3" t="e">
        <f t="shared" si="231"/>
        <v>#N/A</v>
      </c>
      <c r="G1970" s="3" t="e">
        <f t="shared" si="232"/>
        <v>#N/A</v>
      </c>
      <c r="H1970" s="3" t="e">
        <f t="shared" si="233"/>
        <v>#N/A</v>
      </c>
      <c r="I1970" s="3" t="e">
        <f t="shared" si="234"/>
        <v>#N/A</v>
      </c>
      <c r="J1970" s="2">
        <v>4950</v>
      </c>
      <c r="K1970" s="2">
        <v>3831</v>
      </c>
      <c r="P1970" s="3">
        <f>E1970*(VLOOKUP(B1970,Price_data!A$1:B$190,2,FALSE))</f>
        <v>7.6802918527139994</v>
      </c>
      <c r="Q1970" s="3" t="e">
        <f>G1970*(VLOOKUP(B1970,Price_data!A$1:B$190,2,FALSE))</f>
        <v>#N/A</v>
      </c>
      <c r="R1970" s="3" t="e">
        <f>I1970*(VLOOKUP(B1970,Price_data!A$1:B$190,2,FALSE))</f>
        <v>#N/A</v>
      </c>
      <c r="S1970" s="4" t="str">
        <f>(VLOOKUP(B1970,Price_data!A$1:C$190,3,FALSE))</f>
        <v>EEZ</v>
      </c>
      <c r="T1970" s="2" t="str">
        <f>IF(C1970="Total", (VLOOKUP(B1970,Recommended_fish_intake!A$4:D$122,4,FALSE)), "NA")</f>
        <v>NA</v>
      </c>
      <c r="U1970" s="2" t="str">
        <f t="shared" si="228"/>
        <v>NA</v>
      </c>
    </row>
    <row r="1971" spans="1:21" ht="14.25" customHeight="1">
      <c r="A1971" s="2" t="s">
        <v>40</v>
      </c>
      <c r="B1971" s="2">
        <v>1983</v>
      </c>
      <c r="C1971" s="2" t="s">
        <v>52</v>
      </c>
      <c r="D1971" s="3">
        <f t="shared" si="229"/>
        <v>3.0000000000000001E-3</v>
      </c>
      <c r="E1971" s="3">
        <f t="shared" si="230"/>
        <v>6.0000000000000001E-3</v>
      </c>
      <c r="F1971" s="3" t="e">
        <f t="shared" si="231"/>
        <v>#N/A</v>
      </c>
      <c r="G1971" s="3" t="e">
        <f t="shared" si="232"/>
        <v>#N/A</v>
      </c>
      <c r="H1971" s="3" t="e">
        <f t="shared" si="233"/>
        <v>#N/A</v>
      </c>
      <c r="I1971" s="3" t="e">
        <f t="shared" si="234"/>
        <v>#N/A</v>
      </c>
      <c r="J1971" s="2">
        <v>3</v>
      </c>
      <c r="K1971" s="2">
        <v>6</v>
      </c>
      <c r="P1971" s="3">
        <f>E1971*(VLOOKUP(B1971,Price_data!A$1:B$190,2,FALSE))</f>
        <v>1.2028648164000001E-2</v>
      </c>
      <c r="Q1971" s="3" t="e">
        <f>G1971*(VLOOKUP(B1971,Price_data!A$1:B$190,2,FALSE))</f>
        <v>#N/A</v>
      </c>
      <c r="R1971" s="3" t="e">
        <f>I1971*(VLOOKUP(B1971,Price_data!A$1:B$190,2,FALSE))</f>
        <v>#N/A</v>
      </c>
      <c r="S1971" s="4" t="str">
        <f>(VLOOKUP(B1971,Price_data!A$1:C$190,3,FALSE))</f>
        <v>EEZ</v>
      </c>
      <c r="T1971" s="2" t="str">
        <f>IF(C1971="Total", (VLOOKUP(B1971,Recommended_fish_intake!A$4:D$122,4,FALSE)), "NA")</f>
        <v>NA</v>
      </c>
      <c r="U1971" s="2" t="str">
        <f t="shared" si="228"/>
        <v>NA</v>
      </c>
    </row>
    <row r="1972" spans="1:21" ht="14.25" customHeight="1">
      <c r="A1972" s="2" t="s">
        <v>40</v>
      </c>
      <c r="B1972" s="2">
        <v>1983</v>
      </c>
      <c r="C1972" s="2" t="s">
        <v>30</v>
      </c>
      <c r="D1972" s="3">
        <f t="shared" si="229"/>
        <v>0</v>
      </c>
      <c r="E1972" s="3">
        <f t="shared" si="230"/>
        <v>0</v>
      </c>
      <c r="F1972" s="3" t="e">
        <f t="shared" si="231"/>
        <v>#N/A</v>
      </c>
      <c r="G1972" s="3" t="e">
        <f t="shared" si="232"/>
        <v>#N/A</v>
      </c>
      <c r="H1972" s="3" t="e">
        <f t="shared" si="233"/>
        <v>#N/A</v>
      </c>
      <c r="I1972" s="3" t="e">
        <f t="shared" si="234"/>
        <v>#N/A</v>
      </c>
      <c r="J1972" s="2">
        <v>0</v>
      </c>
      <c r="K1972" s="2">
        <v>0</v>
      </c>
      <c r="P1972" s="3">
        <f>E1972*(VLOOKUP(B1972,Price_data!A$1:B$190,2,FALSE))</f>
        <v>0</v>
      </c>
      <c r="Q1972" s="3" t="e">
        <f>G1972*(VLOOKUP(B1972,Price_data!A$1:B$190,2,FALSE))</f>
        <v>#N/A</v>
      </c>
      <c r="R1972" s="3" t="e">
        <f>I1972*(VLOOKUP(B1972,Price_data!A$1:B$190,2,FALSE))</f>
        <v>#N/A</v>
      </c>
      <c r="S1972" s="4" t="str">
        <f>(VLOOKUP(B1972,Price_data!A$1:C$190,3,FALSE))</f>
        <v>EEZ</v>
      </c>
      <c r="T1972" s="2" t="str">
        <f>IF(C1972="Total", (VLOOKUP(B1972,Recommended_fish_intake!A$4:D$122,4,FALSE)), "NA")</f>
        <v>NA</v>
      </c>
      <c r="U1972" s="2" t="str">
        <f t="shared" si="228"/>
        <v>NA</v>
      </c>
    </row>
    <row r="1973" spans="1:21" ht="14.25" customHeight="1">
      <c r="A1973" s="2" t="s">
        <v>40</v>
      </c>
      <c r="B1973" s="2">
        <v>1983</v>
      </c>
      <c r="C1973" s="2" t="s">
        <v>28</v>
      </c>
      <c r="D1973" s="3">
        <f t="shared" si="229"/>
        <v>5.2560000000000002</v>
      </c>
      <c r="E1973" s="3">
        <f t="shared" si="230"/>
        <v>4.0119999999999996</v>
      </c>
      <c r="F1973" s="3" t="e">
        <f t="shared" si="231"/>
        <v>#N/A</v>
      </c>
      <c r="G1973" s="3" t="e">
        <f t="shared" si="232"/>
        <v>#N/A</v>
      </c>
      <c r="H1973" s="3" t="e">
        <f t="shared" si="233"/>
        <v>#N/A</v>
      </c>
      <c r="I1973" s="3" t="e">
        <f t="shared" si="234"/>
        <v>#N/A</v>
      </c>
      <c r="J1973" s="2">
        <v>5256</v>
      </c>
      <c r="K1973" s="2">
        <v>4012</v>
      </c>
      <c r="P1973" s="3">
        <f>E1973*(VLOOKUP(B1973,Price_data!A$1:B$190,2,FALSE))</f>
        <v>8.0431560723279993</v>
      </c>
      <c r="Q1973" s="3" t="e">
        <f>G1973*(VLOOKUP(B1973,Price_data!A$1:B$190,2,FALSE))</f>
        <v>#N/A</v>
      </c>
      <c r="R1973" s="3" t="e">
        <f>I1973*(VLOOKUP(B1973,Price_data!A$1:B$190,2,FALSE))</f>
        <v>#N/A</v>
      </c>
      <c r="S1973" s="4" t="str">
        <f>(VLOOKUP(B1973,Price_data!A$1:C$190,3,FALSE))</f>
        <v>EEZ</v>
      </c>
      <c r="T1973" s="2" t="str">
        <f>IF(C1973="Total", (VLOOKUP(B1973,Recommended_fish_intake!A$4:D$122,4,FALSE)), "NA")</f>
        <v>NA</v>
      </c>
      <c r="U1973" s="2">
        <f t="shared" si="228"/>
        <v>1.4716800000000001</v>
      </c>
    </row>
    <row r="1974" spans="1:21" ht="14.25" customHeight="1">
      <c r="A1974" s="2" t="s">
        <v>15</v>
      </c>
      <c r="B1974" s="2">
        <v>1983</v>
      </c>
      <c r="C1974" s="2" t="s">
        <v>22</v>
      </c>
      <c r="D1974" s="3">
        <f t="shared" si="229"/>
        <v>112.60299999999999</v>
      </c>
      <c r="E1974" s="3">
        <f t="shared" si="230"/>
        <v>72.465999999999994</v>
      </c>
      <c r="F1974" s="3" t="e">
        <f t="shared" si="231"/>
        <v>#N/A</v>
      </c>
      <c r="G1974" s="3" t="e">
        <f t="shared" si="232"/>
        <v>#N/A</v>
      </c>
      <c r="H1974" s="3">
        <f t="shared" si="233"/>
        <v>96.382000000000005</v>
      </c>
      <c r="I1974" s="3">
        <f t="shared" si="234"/>
        <v>102.02800000000001</v>
      </c>
      <c r="J1974" s="2">
        <v>112603</v>
      </c>
      <c r="K1974" s="2">
        <v>72466</v>
      </c>
      <c r="N1974" s="2">
        <f>27026+53614+15124+618</f>
        <v>96382</v>
      </c>
      <c r="O1974" s="2">
        <f>16493+75499+9443+593</f>
        <v>102028</v>
      </c>
      <c r="P1974" s="3">
        <f>E1974*(VLOOKUP(B1974,Price_data!A$1:B$190,2,FALSE))</f>
        <v>145.27800297540398</v>
      </c>
      <c r="Q1974" s="3" t="e">
        <f>G1974*(VLOOKUP(B1974,Price_data!A$1:B$190,2,FALSE))</f>
        <v>#N/A</v>
      </c>
      <c r="R1974" s="3">
        <f>I1974*(VLOOKUP(B1974,Price_data!A$1:B$190,2,FALSE))</f>
        <v>204.543152479432</v>
      </c>
      <c r="S1974" s="4" t="str">
        <f>(VLOOKUP(B1974,Price_data!A$1:C$190,3,FALSE))</f>
        <v>EEZ</v>
      </c>
      <c r="T1974" s="2" t="str">
        <f>IF(C1974="Total", (VLOOKUP(B1974,Recommended_fish_intake!A$4:D$122,4,FALSE)), "NA")</f>
        <v>NA</v>
      </c>
      <c r="U1974" s="2" t="str">
        <f t="shared" si="228"/>
        <v>NA</v>
      </c>
    </row>
    <row r="1975" spans="1:21" ht="14.25" customHeight="1">
      <c r="A1975" s="2" t="s">
        <v>15</v>
      </c>
      <c r="B1975" s="2">
        <v>1983</v>
      </c>
      <c r="C1975" s="2" t="s">
        <v>23</v>
      </c>
      <c r="D1975" s="3">
        <f t="shared" si="229"/>
        <v>122.64700000000001</v>
      </c>
      <c r="E1975" s="3">
        <f t="shared" si="230"/>
        <v>57.360999999999997</v>
      </c>
      <c r="F1975" s="3" t="e">
        <f t="shared" si="231"/>
        <v>#N/A</v>
      </c>
      <c r="G1975" s="3" t="e">
        <f t="shared" si="232"/>
        <v>#N/A</v>
      </c>
      <c r="H1975" s="3">
        <f t="shared" si="233"/>
        <v>16.748999999999999</v>
      </c>
      <c r="I1975" s="3">
        <f t="shared" si="234"/>
        <v>16.190999999999999</v>
      </c>
      <c r="J1975" s="2">
        <v>122647</v>
      </c>
      <c r="K1975" s="2">
        <v>57361</v>
      </c>
      <c r="N1975" s="2">
        <f>7124+7965+1660</f>
        <v>16749</v>
      </c>
      <c r="O1975" s="2">
        <f>3991+11233+967</f>
        <v>16191</v>
      </c>
      <c r="P1975" s="3">
        <f>E1975*(VLOOKUP(B1975,Price_data!A$1:B$190,2,FALSE))</f>
        <v>114.995881222534</v>
      </c>
      <c r="Q1975" s="3" t="e">
        <f>G1975*(VLOOKUP(B1975,Price_data!A$1:B$190,2,FALSE))</f>
        <v>#N/A</v>
      </c>
      <c r="R1975" s="3">
        <f>I1975*(VLOOKUP(B1975,Price_data!A$1:B$190,2,FALSE))</f>
        <v>32.459307070553997</v>
      </c>
      <c r="S1975" s="4" t="str">
        <f>(VLOOKUP(B1975,Price_data!A$1:C$190,3,FALSE))</f>
        <v>EEZ</v>
      </c>
      <c r="T1975" s="2" t="str">
        <f>IF(C1975="Total", (VLOOKUP(B1975,Recommended_fish_intake!A$4:D$122,4,FALSE)), "NA")</f>
        <v>NA</v>
      </c>
      <c r="U1975" s="2" t="str">
        <f t="shared" si="228"/>
        <v>NA</v>
      </c>
    </row>
    <row r="1976" spans="1:21" ht="14.25" customHeight="1">
      <c r="A1976" s="2" t="s">
        <v>15</v>
      </c>
      <c r="B1976" s="2">
        <v>1983</v>
      </c>
      <c r="C1976" s="2" t="s">
        <v>25</v>
      </c>
      <c r="D1976" s="3">
        <f t="shared" si="229"/>
        <v>21.045999999999999</v>
      </c>
      <c r="E1976" s="3">
        <f t="shared" si="230"/>
        <v>13.773999999999999</v>
      </c>
      <c r="F1976" s="3" t="e">
        <f t="shared" si="231"/>
        <v>#N/A</v>
      </c>
      <c r="G1976" s="3" t="e">
        <f t="shared" si="232"/>
        <v>#N/A</v>
      </c>
      <c r="H1976" s="3">
        <f t="shared" si="233"/>
        <v>21.885000000000002</v>
      </c>
      <c r="I1976" s="3">
        <f t="shared" si="234"/>
        <v>19.093</v>
      </c>
      <c r="J1976" s="2">
        <v>21046</v>
      </c>
      <c r="K1976" s="2">
        <v>13774</v>
      </c>
      <c r="N1976" s="2">
        <f>17062+3548+1275</f>
        <v>21885</v>
      </c>
      <c r="O1976" s="2">
        <f>12141+6222+730</f>
        <v>19093</v>
      </c>
      <c r="P1976" s="3">
        <f>E1976*(VLOOKUP(B1976,Price_data!A$1:B$190,2,FALSE))</f>
        <v>27.613766635155997</v>
      </c>
      <c r="Q1976" s="3" t="e">
        <f>G1976*(VLOOKUP(B1976,Price_data!A$1:B$190,2,FALSE))</f>
        <v>#N/A</v>
      </c>
      <c r="R1976" s="3">
        <f>I1976*(VLOOKUP(B1976,Price_data!A$1:B$190,2,FALSE))</f>
        <v>38.277163232542001</v>
      </c>
      <c r="S1976" s="4" t="str">
        <f>(VLOOKUP(B1976,Price_data!A$1:C$190,3,FALSE))</f>
        <v>EEZ</v>
      </c>
      <c r="T1976" s="2" t="str">
        <f>IF(C1976="Total", (VLOOKUP(B1976,Recommended_fish_intake!A$4:D$122,4,FALSE)), "NA")</f>
        <v>NA</v>
      </c>
      <c r="U1976" s="2" t="str">
        <f t="shared" si="228"/>
        <v>NA</v>
      </c>
    </row>
    <row r="1977" spans="1:21" ht="14.25" customHeight="1">
      <c r="A1977" s="2" t="s">
        <v>15</v>
      </c>
      <c r="B1977" s="2">
        <v>1983</v>
      </c>
      <c r="C1977" s="2" t="s">
        <v>24</v>
      </c>
      <c r="D1977" s="3">
        <f t="shared" si="229"/>
        <v>57.026000000000003</v>
      </c>
      <c r="E1977" s="3">
        <f t="shared" si="230"/>
        <v>17.715</v>
      </c>
      <c r="F1977" s="3" t="e">
        <f t="shared" si="231"/>
        <v>#N/A</v>
      </c>
      <c r="G1977" s="3" t="e">
        <f t="shared" si="232"/>
        <v>#N/A</v>
      </c>
      <c r="H1977" s="3" t="e">
        <f t="shared" si="233"/>
        <v>#N/A</v>
      </c>
      <c r="I1977" s="3" t="e">
        <f t="shared" si="234"/>
        <v>#N/A</v>
      </c>
      <c r="J1977" s="2">
        <v>57026</v>
      </c>
      <c r="K1977" s="2">
        <v>17715</v>
      </c>
      <c r="P1977" s="3">
        <f>E1977*(VLOOKUP(B1977,Price_data!A$1:B$190,2,FALSE))</f>
        <v>35.514583704209997</v>
      </c>
      <c r="Q1977" s="3" t="e">
        <f>G1977*(VLOOKUP(B1977,Price_data!A$1:B$190,2,FALSE))</f>
        <v>#N/A</v>
      </c>
      <c r="R1977" s="3" t="e">
        <f>I1977*(VLOOKUP(B1977,Price_data!A$1:B$190,2,FALSE))</f>
        <v>#N/A</v>
      </c>
      <c r="S1977" s="4" t="str">
        <f>(VLOOKUP(B1977,Price_data!A$1:C$190,3,FALSE))</f>
        <v>EEZ</v>
      </c>
      <c r="T1977" s="2" t="str">
        <f>IF(C1977="Total", (VLOOKUP(B1977,Recommended_fish_intake!A$4:D$122,4,FALSE)), "NA")</f>
        <v>NA</v>
      </c>
      <c r="U1977" s="2" t="str">
        <f t="shared" si="228"/>
        <v>NA</v>
      </c>
    </row>
    <row r="1978" spans="1:21" ht="14.25" customHeight="1">
      <c r="A1978" s="2" t="s">
        <v>15</v>
      </c>
      <c r="B1978" s="2">
        <v>1983</v>
      </c>
      <c r="C1978" s="2" t="s">
        <v>19</v>
      </c>
      <c r="D1978" s="3">
        <f t="shared" si="229"/>
        <v>54.192</v>
      </c>
      <c r="E1978" s="3">
        <f t="shared" si="230"/>
        <v>6.9939999999999998</v>
      </c>
      <c r="F1978" s="3" t="e">
        <f t="shared" si="231"/>
        <v>#N/A</v>
      </c>
      <c r="G1978" s="3" t="e">
        <f t="shared" si="232"/>
        <v>#N/A</v>
      </c>
      <c r="H1978" s="3">
        <f t="shared" si="233"/>
        <v>13.349</v>
      </c>
      <c r="I1978" s="3">
        <f t="shared" si="234"/>
        <v>5.5819999999999999</v>
      </c>
      <c r="J1978" s="2">
        <v>54192</v>
      </c>
      <c r="K1978" s="2">
        <v>6994</v>
      </c>
      <c r="N1978" s="2">
        <f>7418+4486+422+1023</f>
        <v>13349</v>
      </c>
      <c r="O1978" s="2">
        <f>1864+1965+210+1543</f>
        <v>5582</v>
      </c>
      <c r="P1978" s="3">
        <f>E1978*(VLOOKUP(B1978,Price_data!A$1:B$190,2,FALSE))</f>
        <v>14.021394209836</v>
      </c>
      <c r="Q1978" s="3" t="e">
        <f>G1978*(VLOOKUP(B1978,Price_data!A$1:B$190,2,FALSE))</f>
        <v>#N/A</v>
      </c>
      <c r="R1978" s="3">
        <f>I1978*(VLOOKUP(B1978,Price_data!A$1:B$190,2,FALSE))</f>
        <v>11.190652341907999</v>
      </c>
      <c r="S1978" s="4" t="str">
        <f>(VLOOKUP(B1978,Price_data!A$1:C$190,3,FALSE))</f>
        <v>EEZ</v>
      </c>
      <c r="T1978" s="2" t="str">
        <f>IF(C1978="Total", (VLOOKUP(B1978,Recommended_fish_intake!A$4:D$122,4,FALSE)), "NA")</f>
        <v>NA</v>
      </c>
      <c r="U1978" s="2" t="str">
        <f t="shared" si="228"/>
        <v>NA</v>
      </c>
    </row>
    <row r="1979" spans="1:21" ht="14.25" customHeight="1">
      <c r="A1979" s="2" t="s">
        <v>15</v>
      </c>
      <c r="B1979" s="2">
        <v>1983</v>
      </c>
      <c r="C1979" s="2" t="s">
        <v>20</v>
      </c>
      <c r="D1979" s="3">
        <f t="shared" si="229"/>
        <v>175.47499999999999</v>
      </c>
      <c r="E1979" s="3">
        <f t="shared" si="230"/>
        <v>18.649000000000001</v>
      </c>
      <c r="F1979" s="3" t="e">
        <f t="shared" si="231"/>
        <v>#N/A</v>
      </c>
      <c r="G1979" s="3" t="e">
        <f t="shared" si="232"/>
        <v>#N/A</v>
      </c>
      <c r="H1979" s="3">
        <f t="shared" si="233"/>
        <v>2.0489999999999999</v>
      </c>
      <c r="I1979" s="3">
        <f t="shared" si="234"/>
        <v>2.2210000000000001</v>
      </c>
      <c r="J1979" s="2">
        <v>175475</v>
      </c>
      <c r="K1979" s="2">
        <v>18649</v>
      </c>
      <c r="N1979" s="2">
        <v>2049</v>
      </c>
      <c r="O1979" s="2">
        <v>2221</v>
      </c>
      <c r="P1979" s="3">
        <f>E1979*(VLOOKUP(B1979,Price_data!A$1:B$190,2,FALSE))</f>
        <v>37.387043268406003</v>
      </c>
      <c r="Q1979" s="3" t="e">
        <f>G1979*(VLOOKUP(B1979,Price_data!A$1:B$190,2,FALSE))</f>
        <v>#N/A</v>
      </c>
      <c r="R1979" s="3">
        <f>I1979*(VLOOKUP(B1979,Price_data!A$1:B$190,2,FALSE))</f>
        <v>4.4526045953739999</v>
      </c>
      <c r="S1979" s="4" t="str">
        <f>(VLOOKUP(B1979,Price_data!A$1:C$190,3,FALSE))</f>
        <v>EEZ</v>
      </c>
      <c r="T1979" s="2" t="str">
        <f>IF(C1979="Total", (VLOOKUP(B1979,Recommended_fish_intake!A$4:D$122,4,FALSE)), "NA")</f>
        <v>NA</v>
      </c>
      <c r="U1979" s="2" t="str">
        <f t="shared" si="228"/>
        <v>NA</v>
      </c>
    </row>
    <row r="1980" spans="1:21" ht="14.25" customHeight="1">
      <c r="A1980" s="2" t="s">
        <v>15</v>
      </c>
      <c r="B1980" s="2">
        <v>1983</v>
      </c>
      <c r="C1980" s="2" t="s">
        <v>21</v>
      </c>
      <c r="D1980" s="3">
        <f t="shared" si="229"/>
        <v>10.422000000000001</v>
      </c>
      <c r="E1980" s="3">
        <f t="shared" si="230"/>
        <v>0.90600000000000003</v>
      </c>
      <c r="F1980" s="3" t="e">
        <f t="shared" si="231"/>
        <v>#N/A</v>
      </c>
      <c r="G1980" s="3" t="e">
        <f t="shared" si="232"/>
        <v>#N/A</v>
      </c>
      <c r="H1980" s="3" t="e">
        <f t="shared" si="233"/>
        <v>#N/A</v>
      </c>
      <c r="I1980" s="3" t="e">
        <f t="shared" si="234"/>
        <v>#N/A</v>
      </c>
      <c r="J1980" s="2">
        <v>10422</v>
      </c>
      <c r="K1980" s="2">
        <v>906</v>
      </c>
      <c r="P1980" s="3">
        <f>E1980*(VLOOKUP(B1980,Price_data!A$1:B$190,2,FALSE))</f>
        <v>1.8163258727639999</v>
      </c>
      <c r="Q1980" s="3" t="e">
        <f>G1980*(VLOOKUP(B1980,Price_data!A$1:B$190,2,FALSE))</f>
        <v>#N/A</v>
      </c>
      <c r="R1980" s="3" t="e">
        <f>I1980*(VLOOKUP(B1980,Price_data!A$1:B$190,2,FALSE))</f>
        <v>#N/A</v>
      </c>
      <c r="S1980" s="4" t="str">
        <f>(VLOOKUP(B1980,Price_data!A$1:C$190,3,FALSE))</f>
        <v>EEZ</v>
      </c>
      <c r="T1980" s="2" t="str">
        <f>IF(C1980="Total", (VLOOKUP(B1980,Recommended_fish_intake!A$4:D$122,4,FALSE)), "NA")</f>
        <v>NA</v>
      </c>
      <c r="U1980" s="2" t="str">
        <f t="shared" si="228"/>
        <v>NA</v>
      </c>
    </row>
    <row r="1981" spans="1:21" ht="14.25" customHeight="1">
      <c r="A1981" s="2" t="s">
        <v>15</v>
      </c>
      <c r="B1981" s="2">
        <v>1983</v>
      </c>
      <c r="C1981" s="2" t="s">
        <v>37</v>
      </c>
      <c r="D1981" s="3">
        <f t="shared" si="229"/>
        <v>676.24199999999996</v>
      </c>
      <c r="E1981" s="3">
        <f t="shared" si="230"/>
        <v>229.233</v>
      </c>
      <c r="F1981" s="3">
        <f t="shared" si="231"/>
        <v>324.86</v>
      </c>
      <c r="G1981" s="3">
        <f t="shared" si="232"/>
        <v>122.247</v>
      </c>
      <c r="H1981" s="3">
        <f t="shared" si="233"/>
        <v>306.07499999999999</v>
      </c>
      <c r="I1981" s="3">
        <f t="shared" si="234"/>
        <v>373.09800000000001</v>
      </c>
      <c r="J1981" s="2">
        <v>676242</v>
      </c>
      <c r="K1981" s="2">
        <v>229233</v>
      </c>
      <c r="L1981" s="2">
        <v>324860</v>
      </c>
      <c r="M1981" s="2">
        <v>122247</v>
      </c>
      <c r="N1981" s="2">
        <v>306075</v>
      </c>
      <c r="O1981" s="2">
        <v>373098</v>
      </c>
      <c r="P1981" s="3">
        <f>E1981*(VLOOKUP(B1981,Price_data!A$1:B$190,2,FALSE))</f>
        <v>459.56051742970197</v>
      </c>
      <c r="Q1981" s="3">
        <f>G1981*(VLOOKUP(B1981,Price_data!A$1:B$190,2,FALSE))</f>
        <v>245.077692017418</v>
      </c>
      <c r="R1981" s="3">
        <f>I1981*(VLOOKUP(B1981,Price_data!A$1:B$190,2,FALSE))</f>
        <v>747.977428782012</v>
      </c>
      <c r="S1981" s="4" t="str">
        <f>(VLOOKUP(B1981,Price_data!A$1:C$190,3,FALSE))</f>
        <v>EEZ</v>
      </c>
      <c r="T1981" s="2" t="str">
        <f>IF(C1981="Total", (VLOOKUP(B1981,Recommended_fish_intake!A$4:D$122,4,FALSE)), "NA")</f>
        <v>NA</v>
      </c>
      <c r="U1981" s="2">
        <f t="shared" si="228"/>
        <v>331.35857999999996</v>
      </c>
    </row>
    <row r="1982" spans="1:21" ht="14.25" customHeight="1">
      <c r="A1982" s="2" t="s">
        <v>15</v>
      </c>
      <c r="B1982" s="2">
        <v>1983</v>
      </c>
      <c r="C1982" s="2" t="s">
        <v>36</v>
      </c>
      <c r="D1982" s="3">
        <f t="shared" si="229"/>
        <v>11.318</v>
      </c>
      <c r="E1982" s="3">
        <f t="shared" si="230"/>
        <v>6.3730000000000002</v>
      </c>
      <c r="F1982" s="3" t="e">
        <f t="shared" si="231"/>
        <v>#N/A</v>
      </c>
      <c r="G1982" s="3" t="e">
        <f t="shared" si="232"/>
        <v>#N/A</v>
      </c>
      <c r="H1982" s="3">
        <f t="shared" si="233"/>
        <v>1.2989999999999999</v>
      </c>
      <c r="I1982" s="3">
        <f t="shared" si="234"/>
        <v>5.5679999999999996</v>
      </c>
      <c r="J1982" s="2">
        <v>11318</v>
      </c>
      <c r="K1982" s="2">
        <v>6373</v>
      </c>
      <c r="N1982" s="2">
        <v>1299</v>
      </c>
      <c r="O1982" s="2">
        <v>5568</v>
      </c>
      <c r="P1982" s="3">
        <f>E1982*(VLOOKUP(B1982,Price_data!A$1:B$190,2,FALSE))</f>
        <v>12.776429124862</v>
      </c>
      <c r="Q1982" s="3" t="e">
        <f>G1982*(VLOOKUP(B1982,Price_data!A$1:B$190,2,FALSE))</f>
        <v>#N/A</v>
      </c>
      <c r="R1982" s="3">
        <f>I1982*(VLOOKUP(B1982,Price_data!A$1:B$190,2,FALSE))</f>
        <v>11.162585496191999</v>
      </c>
      <c r="S1982" s="4" t="str">
        <f>(VLOOKUP(B1982,Price_data!A$1:C$190,3,FALSE))</f>
        <v>EEZ</v>
      </c>
      <c r="T1982" s="2" t="str">
        <f>IF(C1982="Total", (VLOOKUP(B1982,Recommended_fish_intake!A$4:D$122,4,FALSE)), "NA")</f>
        <v>NA</v>
      </c>
      <c r="U1982" s="2" t="str">
        <f t="shared" si="228"/>
        <v>NA</v>
      </c>
    </row>
    <row r="1983" spans="1:21" ht="14.25" customHeight="1">
      <c r="A1983" s="2" t="s">
        <v>15</v>
      </c>
      <c r="B1983" s="2">
        <v>1983</v>
      </c>
      <c r="C1983" s="2" t="s">
        <v>34</v>
      </c>
      <c r="D1983" s="3">
        <f t="shared" si="229"/>
        <v>1</v>
      </c>
      <c r="E1983" s="3">
        <f t="shared" si="230"/>
        <v>5.7480000000000002</v>
      </c>
      <c r="F1983" s="3" t="e">
        <f t="shared" si="231"/>
        <v>#N/A</v>
      </c>
      <c r="G1983" s="3" t="e">
        <f t="shared" si="232"/>
        <v>#N/A</v>
      </c>
      <c r="H1983" s="3" t="e">
        <f t="shared" si="233"/>
        <v>#N/A</v>
      </c>
      <c r="I1983" s="3" t="e">
        <f t="shared" si="234"/>
        <v>#N/A</v>
      </c>
      <c r="J1983" s="2">
        <v>1000</v>
      </c>
      <c r="K1983" s="2">
        <v>5748</v>
      </c>
      <c r="P1983" s="3">
        <f>E1983*(VLOOKUP(B1983,Price_data!A$1:B$190,2,FALSE))</f>
        <v>11.523444941112</v>
      </c>
      <c r="Q1983" s="3" t="e">
        <f>G1983*(VLOOKUP(B1983,Price_data!A$1:B$190,2,FALSE))</f>
        <v>#N/A</v>
      </c>
      <c r="R1983" s="3" t="e">
        <f>I1983*(VLOOKUP(B1983,Price_data!A$1:B$190,2,FALSE))</f>
        <v>#N/A</v>
      </c>
      <c r="S1983" s="4" t="str">
        <f>(VLOOKUP(B1983,Price_data!A$1:C$190,3,FALSE))</f>
        <v>EEZ</v>
      </c>
      <c r="T1983" s="2" t="str">
        <f>IF(C1983="Total", (VLOOKUP(B1983,Recommended_fish_intake!A$4:D$122,4,FALSE)), "NA")</f>
        <v>NA</v>
      </c>
      <c r="U1983" s="2" t="str">
        <f t="shared" si="228"/>
        <v>NA</v>
      </c>
    </row>
    <row r="1984" spans="1:21" ht="14.25" customHeight="1">
      <c r="A1984" s="2" t="s">
        <v>15</v>
      </c>
      <c r="B1984" s="2">
        <v>1983</v>
      </c>
      <c r="C1984" s="2" t="s">
        <v>35</v>
      </c>
      <c r="D1984" s="3">
        <f t="shared" si="229"/>
        <v>22.058</v>
      </c>
      <c r="E1984" s="3">
        <f t="shared" si="230"/>
        <v>24.061</v>
      </c>
      <c r="F1984" s="3" t="e">
        <f t="shared" si="231"/>
        <v>#N/A</v>
      </c>
      <c r="G1984" s="3" t="e">
        <f t="shared" si="232"/>
        <v>#N/A</v>
      </c>
      <c r="H1984" s="3" t="e">
        <f t="shared" si="233"/>
        <v>#N/A</v>
      </c>
      <c r="I1984" s="3" t="e">
        <f t="shared" si="234"/>
        <v>#N/A</v>
      </c>
      <c r="J1984" s="2">
        <v>22058</v>
      </c>
      <c r="K1984" s="2">
        <v>24061</v>
      </c>
      <c r="P1984" s="3">
        <f>E1984*(VLOOKUP(B1984,Price_data!A$1:B$190,2,FALSE))</f>
        <v>48.236883912334001</v>
      </c>
      <c r="Q1984" s="3" t="e">
        <f>G1984*(VLOOKUP(B1984,Price_data!A$1:B$190,2,FALSE))</f>
        <v>#N/A</v>
      </c>
      <c r="R1984" s="3" t="e">
        <f>I1984*(VLOOKUP(B1984,Price_data!A$1:B$190,2,FALSE))</f>
        <v>#N/A</v>
      </c>
      <c r="S1984" s="4" t="str">
        <f>(VLOOKUP(B1984,Price_data!A$1:C$190,3,FALSE))</f>
        <v>EEZ</v>
      </c>
      <c r="T1984" s="2" t="str">
        <f>IF(C1984="Total", (VLOOKUP(B1984,Recommended_fish_intake!A$4:D$122,4,FALSE)), "NA")</f>
        <v>NA</v>
      </c>
      <c r="U1984" s="2" t="str">
        <f t="shared" si="228"/>
        <v>NA</v>
      </c>
    </row>
    <row r="1985" spans="1:21" ht="14.25" customHeight="1">
      <c r="A1985" s="2" t="s">
        <v>15</v>
      </c>
      <c r="B1985" s="2">
        <v>1983</v>
      </c>
      <c r="C1985" s="2" t="s">
        <v>52</v>
      </c>
      <c r="D1985" s="3">
        <f t="shared" si="229"/>
        <v>7.8410000000000002</v>
      </c>
      <c r="E1985" s="3">
        <f t="shared" si="230"/>
        <v>6.1159999999999997</v>
      </c>
      <c r="F1985" s="3" t="e">
        <f t="shared" si="231"/>
        <v>#N/A</v>
      </c>
      <c r="G1985" s="3" t="e">
        <f t="shared" si="232"/>
        <v>#N/A</v>
      </c>
      <c r="H1985" s="3" t="e">
        <f t="shared" si="233"/>
        <v>#N/A</v>
      </c>
      <c r="I1985" s="3" t="e">
        <f t="shared" si="234"/>
        <v>#N/A</v>
      </c>
      <c r="J1985" s="2">
        <v>7841</v>
      </c>
      <c r="K1985" s="2">
        <v>6116</v>
      </c>
      <c r="P1985" s="3">
        <f>E1985*(VLOOKUP(B1985,Price_data!A$1:B$190,2,FALSE))</f>
        <v>12.261202028504</v>
      </c>
      <c r="Q1985" s="3" t="e">
        <f>G1985*(VLOOKUP(B1985,Price_data!A$1:B$190,2,FALSE))</f>
        <v>#N/A</v>
      </c>
      <c r="R1985" s="3" t="e">
        <f>I1985*(VLOOKUP(B1985,Price_data!A$1:B$190,2,FALSE))</f>
        <v>#N/A</v>
      </c>
      <c r="S1985" s="4" t="str">
        <f>(VLOOKUP(B1985,Price_data!A$1:C$190,3,FALSE))</f>
        <v>EEZ</v>
      </c>
      <c r="T1985" s="2" t="str">
        <f>IF(C1985="Total", (VLOOKUP(B1985,Recommended_fish_intake!A$4:D$122,4,FALSE)), "NA")</f>
        <v>NA</v>
      </c>
      <c r="U1985" s="2" t="str">
        <f t="shared" si="228"/>
        <v>NA</v>
      </c>
    </row>
    <row r="1986" spans="1:21" ht="14.25" customHeight="1">
      <c r="A1986" s="2" t="s">
        <v>15</v>
      </c>
      <c r="B1986" s="2">
        <v>1983</v>
      </c>
      <c r="C1986" s="2" t="s">
        <v>30</v>
      </c>
      <c r="D1986" s="3">
        <f t="shared" si="229"/>
        <v>1.0720000000000001</v>
      </c>
      <c r="E1986" s="3">
        <f t="shared" si="230"/>
        <v>0.73899999999999999</v>
      </c>
      <c r="F1986" s="3" t="e">
        <f t="shared" si="231"/>
        <v>#N/A</v>
      </c>
      <c r="G1986" s="3" t="e">
        <f t="shared" si="232"/>
        <v>#N/A</v>
      </c>
      <c r="H1986" s="3">
        <f t="shared" si="233"/>
        <v>15.853</v>
      </c>
      <c r="I1986" s="3">
        <f t="shared" si="234"/>
        <v>31.782</v>
      </c>
      <c r="J1986" s="2">
        <v>1072</v>
      </c>
      <c r="K1986" s="2">
        <v>739</v>
      </c>
      <c r="N1986" s="2">
        <f>5752+10101</f>
        <v>15853</v>
      </c>
      <c r="O1986" s="2">
        <f>16231+15551</f>
        <v>31782</v>
      </c>
      <c r="P1986" s="3">
        <f>E1986*(VLOOKUP(B1986,Price_data!A$1:B$190,2,FALSE))</f>
        <v>1.481528498866</v>
      </c>
      <c r="Q1986" s="3" t="e">
        <f>G1986*(VLOOKUP(B1986,Price_data!A$1:B$190,2,FALSE))</f>
        <v>#N/A</v>
      </c>
      <c r="R1986" s="3">
        <f>I1986*(VLOOKUP(B1986,Price_data!A$1:B$190,2,FALSE))</f>
        <v>63.715749324708</v>
      </c>
      <c r="S1986" s="4" t="str">
        <f>(VLOOKUP(B1986,Price_data!A$1:C$190,3,FALSE))</f>
        <v>EEZ</v>
      </c>
      <c r="T1986" s="2" t="str">
        <f>IF(C1986="Total", (VLOOKUP(B1986,Recommended_fish_intake!A$4:D$122,4,FALSE)), "NA")</f>
        <v>NA</v>
      </c>
      <c r="U1986" s="2" t="str">
        <f t="shared" ref="U1986:U2049" si="235">IF(C1986="Wet fish", D1986*0.49, IF(C1986="Shellfish", D1986*0.28, "NA"))</f>
        <v>NA</v>
      </c>
    </row>
    <row r="1987" spans="1:21" ht="14.25" customHeight="1">
      <c r="A1987" s="2" t="s">
        <v>15</v>
      </c>
      <c r="B1987" s="2">
        <v>1983</v>
      </c>
      <c r="C1987" s="2" t="s">
        <v>28</v>
      </c>
      <c r="D1987" s="3">
        <f t="shared" si="229"/>
        <v>72.179000000000002</v>
      </c>
      <c r="E1987" s="3">
        <f t="shared" si="230"/>
        <v>51.03</v>
      </c>
      <c r="F1987" s="3">
        <f t="shared" si="231"/>
        <v>34.256999999999998</v>
      </c>
      <c r="G1987" s="3">
        <f t="shared" si="232"/>
        <v>81.251000000000005</v>
      </c>
      <c r="H1987" s="3">
        <f t="shared" si="233"/>
        <v>39.185000000000002</v>
      </c>
      <c r="I1987" s="3">
        <f t="shared" si="234"/>
        <v>130.71799999999999</v>
      </c>
      <c r="J1987" s="2">
        <v>72179</v>
      </c>
      <c r="K1987" s="2">
        <v>51030</v>
      </c>
      <c r="L1987" s="2">
        <v>34257</v>
      </c>
      <c r="M1987" s="2">
        <v>81251</v>
      </c>
      <c r="N1987" s="2">
        <v>39185</v>
      </c>
      <c r="O1987" s="2">
        <v>130718</v>
      </c>
      <c r="P1987" s="3">
        <f>E1987*(VLOOKUP(B1987,Price_data!A$1:B$190,2,FALSE))</f>
        <v>102.30365263482</v>
      </c>
      <c r="Q1987" s="3">
        <f>G1987*(VLOOKUP(B1987,Price_data!A$1:B$190,2,FALSE))</f>
        <v>162.889948662194</v>
      </c>
      <c r="R1987" s="3">
        <f>I1987*(VLOOKUP(B1987,Price_data!A$1:B$190,2,FALSE))</f>
        <v>262.06013845029196</v>
      </c>
      <c r="S1987" s="4" t="str">
        <f>(VLOOKUP(B1987,Price_data!A$1:C$190,3,FALSE))</f>
        <v>EEZ</v>
      </c>
      <c r="T1987" s="2" t="str">
        <f>IF(C1987="Total", (VLOOKUP(B1987,Recommended_fish_intake!A$4:D$122,4,FALSE)), "NA")</f>
        <v>NA</v>
      </c>
      <c r="U1987" s="2">
        <f t="shared" si="235"/>
        <v>20.210120000000003</v>
      </c>
    </row>
    <row r="1988" spans="1:21" ht="14.25" customHeight="1">
      <c r="A1988" s="2" t="s">
        <v>18</v>
      </c>
      <c r="B1988" s="2">
        <v>1983</v>
      </c>
      <c r="C1988" s="2" t="s">
        <v>16</v>
      </c>
      <c r="D1988" s="3">
        <f t="shared" si="229"/>
        <v>230.495</v>
      </c>
      <c r="E1988" s="3">
        <f t="shared" si="230"/>
        <v>101.79600000000001</v>
      </c>
      <c r="F1988" s="3" t="e">
        <f t="shared" si="231"/>
        <v>#N/A</v>
      </c>
      <c r="G1988" s="3" t="e">
        <f t="shared" si="232"/>
        <v>#N/A</v>
      </c>
      <c r="H1988" s="3" t="e">
        <f t="shared" si="233"/>
        <v>#N/A</v>
      </c>
      <c r="I1988" s="3" t="e">
        <f t="shared" si="234"/>
        <v>#N/A</v>
      </c>
      <c r="J1988" s="2">
        <v>230495</v>
      </c>
      <c r="K1988" s="2">
        <v>101796</v>
      </c>
      <c r="P1988" s="3">
        <f>E1988*(VLOOKUP(B1988,Price_data!A$1:B$190,2,FALSE))</f>
        <v>204.078044750424</v>
      </c>
      <c r="Q1988" s="3" t="e">
        <f>G1988*(VLOOKUP(B1988,Price_data!A$1:B$190,2,FALSE))</f>
        <v>#N/A</v>
      </c>
      <c r="R1988" s="3" t="e">
        <f>I1988*(VLOOKUP(B1988,Price_data!A$1:B$190,2,FALSE))</f>
        <v>#N/A</v>
      </c>
      <c r="S1988" s="4" t="str">
        <f>(VLOOKUP(B1988,Price_data!A$1:C$190,3,FALSE))</f>
        <v>EEZ</v>
      </c>
      <c r="T1988" s="2">
        <f>IF(C1988="Total", (VLOOKUP(B1988,Recommended_fish_intake!A$4:D$122,4,FALSE)), "NA")</f>
        <v>740.77961082761999</v>
      </c>
      <c r="U1988" s="2" t="str">
        <f t="shared" si="235"/>
        <v>NA</v>
      </c>
    </row>
    <row r="1989" spans="1:21" ht="14.25" customHeight="1">
      <c r="A1989" s="2" t="s">
        <v>39</v>
      </c>
      <c r="B1989" s="2">
        <v>1983</v>
      </c>
      <c r="C1989" s="2" t="s">
        <v>16</v>
      </c>
      <c r="D1989" s="3">
        <f t="shared" si="229"/>
        <v>499.12099999999998</v>
      </c>
      <c r="E1989" s="3">
        <f t="shared" si="230"/>
        <v>170.011</v>
      </c>
      <c r="F1989" s="3" t="e">
        <f t="shared" si="231"/>
        <v>#N/A</v>
      </c>
      <c r="G1989" s="3" t="e">
        <f t="shared" si="232"/>
        <v>#N/A</v>
      </c>
      <c r="H1989" s="3" t="e">
        <f t="shared" si="233"/>
        <v>#N/A</v>
      </c>
      <c r="I1989" s="3" t="e">
        <f t="shared" si="234"/>
        <v>#N/A</v>
      </c>
      <c r="J1989" s="2">
        <v>499121</v>
      </c>
      <c r="K1989" s="2">
        <v>170011</v>
      </c>
      <c r="P1989" s="3">
        <f>E1989*(VLOOKUP(B1989,Price_data!A$1:B$190,2,FALSE))</f>
        <v>340.83375050163397</v>
      </c>
      <c r="Q1989" s="3" t="e">
        <f>G1989*(VLOOKUP(B1989,Price_data!A$1:B$190,2,FALSE))</f>
        <v>#N/A</v>
      </c>
      <c r="R1989" s="3" t="e">
        <f>I1989*(VLOOKUP(B1989,Price_data!A$1:B$190,2,FALSE))</f>
        <v>#N/A</v>
      </c>
      <c r="S1989" s="4" t="str">
        <f>(VLOOKUP(B1989,Price_data!A$1:C$190,3,FALSE))</f>
        <v>EEZ</v>
      </c>
      <c r="T1989" s="2">
        <f>IF(C1989="Total", (VLOOKUP(B1989,Recommended_fish_intake!A$4:D$122,4,FALSE)), "NA")</f>
        <v>740.77961082761999</v>
      </c>
      <c r="U1989" s="2" t="str">
        <f t="shared" si="235"/>
        <v>NA</v>
      </c>
    </row>
    <row r="1990" spans="1:21" ht="14.25" customHeight="1">
      <c r="A1990" s="2" t="s">
        <v>40</v>
      </c>
      <c r="B1990" s="2">
        <v>1983</v>
      </c>
      <c r="C1990" s="2" t="s">
        <v>16</v>
      </c>
      <c r="D1990" s="3">
        <f t="shared" si="229"/>
        <v>18.806000000000001</v>
      </c>
      <c r="E1990" s="3">
        <f t="shared" si="230"/>
        <v>8.4559999999999995</v>
      </c>
      <c r="F1990" s="3" t="e">
        <f t="shared" si="231"/>
        <v>#N/A</v>
      </c>
      <c r="G1990" s="3" t="e">
        <f t="shared" si="232"/>
        <v>#N/A</v>
      </c>
      <c r="H1990" s="3" t="e">
        <f t="shared" si="233"/>
        <v>#N/A</v>
      </c>
      <c r="I1990" s="3" t="e">
        <f t="shared" si="234"/>
        <v>#N/A</v>
      </c>
      <c r="J1990" s="2">
        <v>18806</v>
      </c>
      <c r="K1990" s="2">
        <v>8456</v>
      </c>
      <c r="P1990" s="3">
        <f>E1990*(VLOOKUP(B1990,Price_data!A$1:B$190,2,FALSE))</f>
        <v>16.952374812463997</v>
      </c>
      <c r="Q1990" s="3" t="e">
        <f>G1990*(VLOOKUP(B1990,Price_data!A$1:B$190,2,FALSE))</f>
        <v>#N/A</v>
      </c>
      <c r="R1990" s="3" t="e">
        <f>I1990*(VLOOKUP(B1990,Price_data!A$1:B$190,2,FALSE))</f>
        <v>#N/A</v>
      </c>
      <c r="S1990" s="4" t="str">
        <f>(VLOOKUP(B1990,Price_data!A$1:C$190,3,FALSE))</f>
        <v>EEZ</v>
      </c>
      <c r="T1990" s="2">
        <f>IF(C1990="Total", (VLOOKUP(B1990,Recommended_fish_intake!A$4:D$122,4,FALSE)), "NA")</f>
        <v>740.77961082761999</v>
      </c>
      <c r="U1990" s="2" t="str">
        <f t="shared" si="235"/>
        <v>NA</v>
      </c>
    </row>
    <row r="1991" spans="1:21" ht="14.25" customHeight="1">
      <c r="A1991" s="2" t="s">
        <v>15</v>
      </c>
      <c r="B1991" s="2">
        <v>1983</v>
      </c>
      <c r="C1991" s="2" t="s">
        <v>16</v>
      </c>
      <c r="D1991" s="3">
        <f t="shared" si="229"/>
        <v>748.42100000000005</v>
      </c>
      <c r="E1991" s="3">
        <f t="shared" si="230"/>
        <v>280.26299999999998</v>
      </c>
      <c r="F1991" s="3">
        <f t="shared" si="231"/>
        <v>359.11700000000002</v>
      </c>
      <c r="G1991" s="3">
        <f t="shared" si="232"/>
        <v>203.49799999999999</v>
      </c>
      <c r="H1991" s="3">
        <f t="shared" si="233"/>
        <v>345.26</v>
      </c>
      <c r="I1991" s="3">
        <f t="shared" si="234"/>
        <v>503.81599999999997</v>
      </c>
      <c r="J1991" s="2">
        <v>748421</v>
      </c>
      <c r="K1991" s="2">
        <v>280263</v>
      </c>
      <c r="L1991" s="2">
        <v>359117</v>
      </c>
      <c r="M1991" s="2">
        <v>203498</v>
      </c>
      <c r="N1991" s="2">
        <v>345260</v>
      </c>
      <c r="O1991" s="2">
        <v>503816</v>
      </c>
      <c r="P1991" s="3">
        <f>E1991*(VLOOKUP(B1991,Price_data!A$1:B$190,2,FALSE))</f>
        <v>561.864170064522</v>
      </c>
      <c r="Q1991" s="3">
        <f>G1991*(VLOOKUP(B1991,Price_data!A$1:B$190,2,FALSE))</f>
        <v>407.96764067961197</v>
      </c>
      <c r="R1991" s="3">
        <f>I1991*(VLOOKUP(B1991,Price_data!A$1:B$190,2,FALSE))</f>
        <v>1010.0375672323039</v>
      </c>
      <c r="S1991" s="4" t="str">
        <f>(VLOOKUP(B1991,Price_data!A$1:C$190,3,FALSE))</f>
        <v>EEZ</v>
      </c>
      <c r="T1991" s="2">
        <f>IF(C1991="Total", (VLOOKUP(B1991,Recommended_fish_intake!A$4:D$122,4,FALSE)), "NA")</f>
        <v>740.77961082761999</v>
      </c>
      <c r="U1991" s="2" t="str">
        <f t="shared" si="235"/>
        <v>NA</v>
      </c>
    </row>
    <row r="1992" spans="1:21" ht="14.25" customHeight="1">
      <c r="A1992" s="2" t="s">
        <v>15</v>
      </c>
      <c r="B1992" s="2">
        <v>1983</v>
      </c>
      <c r="C1992" s="2" t="s">
        <v>29</v>
      </c>
      <c r="D1992" s="3" t="e">
        <f t="shared" si="229"/>
        <v>#N/A</v>
      </c>
      <c r="E1992" s="3" t="e">
        <f t="shared" si="230"/>
        <v>#N/A</v>
      </c>
      <c r="F1992" s="3" t="e">
        <f t="shared" si="231"/>
        <v>#N/A</v>
      </c>
      <c r="G1992" s="3" t="e">
        <f t="shared" si="232"/>
        <v>#N/A</v>
      </c>
      <c r="H1992" s="3">
        <f t="shared" si="233"/>
        <v>32.966000000000001</v>
      </c>
      <c r="I1992" s="3">
        <f t="shared" si="234"/>
        <v>102.63800000000001</v>
      </c>
      <c r="J1992" s="3" t="e">
        <v>#N/A</v>
      </c>
      <c r="K1992" s="3" t="e">
        <v>#N/A</v>
      </c>
      <c r="L1992" s="3" t="e">
        <v>#N/A</v>
      </c>
      <c r="M1992" s="3" t="e">
        <v>#N/A</v>
      </c>
      <c r="N1992" s="2">
        <f>1373+5841+25752</f>
        <v>32966</v>
      </c>
      <c r="O1992" s="2">
        <f>4958+14446+83234</f>
        <v>102638</v>
      </c>
      <c r="P1992" s="3" t="e">
        <f>E1992*(VLOOKUP(B1992,Price_data!A$1:B$190,2,FALSE))</f>
        <v>#N/A</v>
      </c>
      <c r="Q1992" s="3" t="e">
        <f>G1992*(VLOOKUP(B1992,Price_data!A$1:B$190,2,FALSE))</f>
        <v>#N/A</v>
      </c>
      <c r="R1992" s="3">
        <f>I1992*(VLOOKUP(B1992,Price_data!A$1:B$190,2,FALSE))</f>
        <v>205.766065042772</v>
      </c>
      <c r="S1992" s="4" t="str">
        <f>(VLOOKUP(B1992,Price_data!A$1:C$190,3,FALSE))</f>
        <v>EEZ</v>
      </c>
      <c r="T1992" s="2" t="str">
        <f>IF(C1992="Total", (VLOOKUP(B1992,Recommended_fish_intake!A$4:D$122,4,FALSE)), "NA")</f>
        <v>NA</v>
      </c>
      <c r="U1992" s="2" t="str">
        <f t="shared" si="235"/>
        <v>NA</v>
      </c>
    </row>
    <row r="1993" spans="1:21" ht="14.25" customHeight="1">
      <c r="A1993" s="2" t="s">
        <v>15</v>
      </c>
      <c r="B1993" s="2">
        <v>1983</v>
      </c>
      <c r="C1993" s="2" t="s">
        <v>43</v>
      </c>
      <c r="D1993" s="3" t="e">
        <f t="shared" si="229"/>
        <v>#N/A</v>
      </c>
      <c r="E1993" s="3" t="e">
        <f t="shared" si="230"/>
        <v>#N/A</v>
      </c>
      <c r="F1993" s="3" t="e">
        <f t="shared" si="231"/>
        <v>#N/A</v>
      </c>
      <c r="G1993" s="3" t="e">
        <f t="shared" si="232"/>
        <v>#N/A</v>
      </c>
      <c r="H1993" s="3">
        <f t="shared" si="233"/>
        <v>17.584</v>
      </c>
      <c r="I1993" s="3">
        <f t="shared" si="234"/>
        <v>32.703000000000003</v>
      </c>
      <c r="J1993" s="3" t="e">
        <v>#N/A</v>
      </c>
      <c r="K1993" s="3" t="e">
        <v>#N/A</v>
      </c>
      <c r="L1993" s="3" t="e">
        <v>#N/A</v>
      </c>
      <c r="M1993" s="3" t="e">
        <v>#N/A</v>
      </c>
      <c r="N1993" s="2">
        <v>17584</v>
      </c>
      <c r="O1993" s="2">
        <v>32703</v>
      </c>
      <c r="P1993" s="3" t="e">
        <f>E1993*(VLOOKUP(B1993,Price_data!A$1:B$190,2,FALSE))</f>
        <v>#N/A</v>
      </c>
      <c r="Q1993" s="3" t="e">
        <f>G1993*(VLOOKUP(B1993,Price_data!A$1:B$190,2,FALSE))</f>
        <v>#N/A</v>
      </c>
      <c r="R1993" s="3">
        <f>I1993*(VLOOKUP(B1993,Price_data!A$1:B$190,2,FALSE))</f>
        <v>65.562146817882009</v>
      </c>
      <c r="S1993" s="4" t="str">
        <f>(VLOOKUP(B1993,Price_data!A$1:C$190,3,FALSE))</f>
        <v>EEZ</v>
      </c>
      <c r="T1993" s="2" t="str">
        <f>IF(C1993="Total", (VLOOKUP(B1993,Recommended_fish_intake!A$4:D$122,4,FALSE)), "NA")</f>
        <v>NA</v>
      </c>
      <c r="U1993" s="2" t="str">
        <f t="shared" si="235"/>
        <v>NA</v>
      </c>
    </row>
    <row r="1994" spans="1:21" ht="14.25" customHeight="1">
      <c r="A1994" s="2" t="s">
        <v>18</v>
      </c>
      <c r="B1994" s="2">
        <v>1984</v>
      </c>
      <c r="C1994" s="2" t="s">
        <v>22</v>
      </c>
      <c r="D1994" s="3">
        <f t="shared" si="229"/>
        <v>34.725999999999999</v>
      </c>
      <c r="E1994" s="3">
        <f t="shared" si="230"/>
        <v>25.748000000000001</v>
      </c>
      <c r="F1994" s="3" t="e">
        <f t="shared" si="231"/>
        <v>#N/A</v>
      </c>
      <c r="G1994" s="3" t="e">
        <f t="shared" si="232"/>
        <v>#N/A</v>
      </c>
      <c r="H1994" s="3" t="e">
        <f t="shared" si="233"/>
        <v>#N/A</v>
      </c>
      <c r="I1994" s="3" t="e">
        <f t="shared" si="234"/>
        <v>#N/A</v>
      </c>
      <c r="J1994" s="2">
        <v>34726</v>
      </c>
      <c r="K1994" s="2">
        <v>25748</v>
      </c>
      <c r="P1994" s="3">
        <f>E1994*(VLOOKUP(B1994,Price_data!A$1:B$190,2,FALSE))</f>
        <v>49.168579883536005</v>
      </c>
      <c r="Q1994" s="3" t="e">
        <f>G1994*(VLOOKUP(B1994,Price_data!A$1:B$190,2,FALSE))</f>
        <v>#N/A</v>
      </c>
      <c r="R1994" s="3" t="e">
        <f>I1994*(VLOOKUP(B1994,Price_data!A$1:B$190,2,FALSE))</f>
        <v>#N/A</v>
      </c>
      <c r="S1994" s="4" t="str">
        <f>(VLOOKUP(B1994,Price_data!A$1:C$190,3,FALSE))</f>
        <v>EEZ</v>
      </c>
      <c r="T1994" s="2" t="str">
        <f>IF(C1994="Total", (VLOOKUP(B1994,Recommended_fish_intake!A$4:D$122,4,FALSE)), "NA")</f>
        <v>NA</v>
      </c>
      <c r="U1994" s="2" t="str">
        <f t="shared" si="235"/>
        <v>NA</v>
      </c>
    </row>
    <row r="1995" spans="1:21" ht="14.25" customHeight="1">
      <c r="A1995" s="2" t="s">
        <v>18</v>
      </c>
      <c r="B1995" s="2">
        <v>1984</v>
      </c>
      <c r="C1995" s="2" t="s">
        <v>23</v>
      </c>
      <c r="D1995" s="3">
        <f t="shared" si="229"/>
        <v>11.702</v>
      </c>
      <c r="E1995" s="3">
        <f t="shared" si="230"/>
        <v>6.7409999999999997</v>
      </c>
      <c r="F1995" s="3" t="e">
        <f t="shared" si="231"/>
        <v>#N/A</v>
      </c>
      <c r="G1995" s="3" t="e">
        <f t="shared" si="232"/>
        <v>#N/A</v>
      </c>
      <c r="H1995" s="3" t="e">
        <f t="shared" si="233"/>
        <v>#N/A</v>
      </c>
      <c r="I1995" s="3" t="e">
        <f t="shared" si="234"/>
        <v>#N/A</v>
      </c>
      <c r="J1995" s="2">
        <v>11702</v>
      </c>
      <c r="K1995" s="2">
        <v>6741</v>
      </c>
      <c r="P1995" s="3">
        <f>E1995*(VLOOKUP(B1995,Price_data!A$1:B$190,2,FALSE))</f>
        <v>12.872665721412</v>
      </c>
      <c r="Q1995" s="3" t="e">
        <f>G1995*(VLOOKUP(B1995,Price_data!A$1:B$190,2,FALSE))</f>
        <v>#N/A</v>
      </c>
      <c r="R1995" s="3" t="e">
        <f>I1995*(VLOOKUP(B1995,Price_data!A$1:B$190,2,FALSE))</f>
        <v>#N/A</v>
      </c>
      <c r="S1995" s="4" t="str">
        <f>(VLOOKUP(B1995,Price_data!A$1:C$190,3,FALSE))</f>
        <v>EEZ</v>
      </c>
      <c r="T1995" s="2" t="str">
        <f>IF(C1995="Total", (VLOOKUP(B1995,Recommended_fish_intake!A$4:D$122,4,FALSE)), "NA")</f>
        <v>NA</v>
      </c>
      <c r="U1995" s="2" t="str">
        <f t="shared" si="235"/>
        <v>NA</v>
      </c>
    </row>
    <row r="1996" spans="1:21" ht="14.25" customHeight="1">
      <c r="A1996" s="2" t="s">
        <v>18</v>
      </c>
      <c r="B1996" s="2">
        <v>1984</v>
      </c>
      <c r="C1996" s="2" t="s">
        <v>25</v>
      </c>
      <c r="D1996" s="3">
        <f t="shared" si="229"/>
        <v>16.256</v>
      </c>
      <c r="E1996" s="3">
        <f t="shared" si="230"/>
        <v>10.98</v>
      </c>
      <c r="F1996" s="3" t="e">
        <f t="shared" si="231"/>
        <v>#N/A</v>
      </c>
      <c r="G1996" s="3" t="e">
        <f t="shared" si="232"/>
        <v>#N/A</v>
      </c>
      <c r="H1996" s="3" t="e">
        <f t="shared" si="233"/>
        <v>#N/A</v>
      </c>
      <c r="I1996" s="3" t="e">
        <f t="shared" si="234"/>
        <v>#N/A</v>
      </c>
      <c r="J1996" s="2">
        <v>16256</v>
      </c>
      <c r="K1996" s="2">
        <v>10980</v>
      </c>
      <c r="P1996" s="3">
        <f>E1996*(VLOOKUP(B1996,Price_data!A$1:B$190,2,FALSE))</f>
        <v>20.96749289736</v>
      </c>
      <c r="Q1996" s="3" t="e">
        <f>G1996*(VLOOKUP(B1996,Price_data!A$1:B$190,2,FALSE))</f>
        <v>#N/A</v>
      </c>
      <c r="R1996" s="3" t="e">
        <f>I1996*(VLOOKUP(B1996,Price_data!A$1:B$190,2,FALSE))</f>
        <v>#N/A</v>
      </c>
      <c r="S1996" s="4" t="str">
        <f>(VLOOKUP(B1996,Price_data!A$1:C$190,3,FALSE))</f>
        <v>EEZ</v>
      </c>
      <c r="T1996" s="2" t="str">
        <f>IF(C1996="Total", (VLOOKUP(B1996,Recommended_fish_intake!A$4:D$122,4,FALSE)), "NA")</f>
        <v>NA</v>
      </c>
      <c r="U1996" s="2" t="str">
        <f t="shared" si="235"/>
        <v>NA</v>
      </c>
    </row>
    <row r="1997" spans="1:21" ht="14.25" customHeight="1">
      <c r="A1997" s="2" t="s">
        <v>18</v>
      </c>
      <c r="B1997" s="2">
        <v>1984</v>
      </c>
      <c r="C1997" s="2" t="s">
        <v>24</v>
      </c>
      <c r="D1997" s="3">
        <f t="shared" si="229"/>
        <v>6.5549999999999997</v>
      </c>
      <c r="E1997" s="3">
        <f t="shared" si="230"/>
        <v>2.0169999999999999</v>
      </c>
      <c r="F1997" s="3" t="e">
        <f t="shared" si="231"/>
        <v>#N/A</v>
      </c>
      <c r="G1997" s="3" t="e">
        <f t="shared" si="232"/>
        <v>#N/A</v>
      </c>
      <c r="H1997" s="3" t="e">
        <f t="shared" si="233"/>
        <v>#N/A</v>
      </c>
      <c r="I1997" s="3" t="e">
        <f t="shared" si="234"/>
        <v>#N/A</v>
      </c>
      <c r="J1997" s="2">
        <v>6555</v>
      </c>
      <c r="K1997" s="2">
        <v>2017</v>
      </c>
      <c r="P1997" s="3">
        <f>E1997*(VLOOKUP(B1997,Price_data!A$1:B$190,2,FALSE))</f>
        <v>3.8516787954439997</v>
      </c>
      <c r="Q1997" s="3" t="e">
        <f>G1997*(VLOOKUP(B1997,Price_data!A$1:B$190,2,FALSE))</f>
        <v>#N/A</v>
      </c>
      <c r="R1997" s="3" t="e">
        <f>I1997*(VLOOKUP(B1997,Price_data!A$1:B$190,2,FALSE))</f>
        <v>#N/A</v>
      </c>
      <c r="S1997" s="4" t="str">
        <f>(VLOOKUP(B1997,Price_data!A$1:C$190,3,FALSE))</f>
        <v>EEZ</v>
      </c>
      <c r="T1997" s="2" t="str">
        <f>IF(C1997="Total", (VLOOKUP(B1997,Recommended_fish_intake!A$4:D$122,4,FALSE)), "NA")</f>
        <v>NA</v>
      </c>
      <c r="U1997" s="2" t="str">
        <f t="shared" si="235"/>
        <v>NA</v>
      </c>
    </row>
    <row r="1998" spans="1:21" ht="14.25" customHeight="1">
      <c r="A1998" s="2" t="s">
        <v>18</v>
      </c>
      <c r="B1998" s="2">
        <v>1984</v>
      </c>
      <c r="C1998" s="2" t="s">
        <v>19</v>
      </c>
      <c r="D1998" s="3">
        <f t="shared" si="229"/>
        <v>1.8759999999999999</v>
      </c>
      <c r="E1998" s="3">
        <f t="shared" si="230"/>
        <v>0.28899999999999998</v>
      </c>
      <c r="F1998" s="3" t="e">
        <f t="shared" si="231"/>
        <v>#N/A</v>
      </c>
      <c r="G1998" s="3" t="e">
        <f t="shared" si="232"/>
        <v>#N/A</v>
      </c>
      <c r="H1998" s="3" t="e">
        <f t="shared" si="233"/>
        <v>#N/A</v>
      </c>
      <c r="I1998" s="3" t="e">
        <f t="shared" si="234"/>
        <v>#N/A</v>
      </c>
      <c r="J1998" s="2">
        <v>1876</v>
      </c>
      <c r="K1998" s="2">
        <v>289</v>
      </c>
      <c r="P1998" s="3">
        <f>E1998*(VLOOKUP(B1998,Price_data!A$1:B$190,2,FALSE))</f>
        <v>0.55187663454799996</v>
      </c>
      <c r="Q1998" s="3" t="e">
        <f>G1998*(VLOOKUP(B1998,Price_data!A$1:B$190,2,FALSE))</f>
        <v>#N/A</v>
      </c>
      <c r="R1998" s="3" t="e">
        <f>I1998*(VLOOKUP(B1998,Price_data!A$1:B$190,2,FALSE))</f>
        <v>#N/A</v>
      </c>
      <c r="S1998" s="4" t="str">
        <f>(VLOOKUP(B1998,Price_data!A$1:C$190,3,FALSE))</f>
        <v>EEZ</v>
      </c>
      <c r="T1998" s="2" t="str">
        <f>IF(C1998="Total", (VLOOKUP(B1998,Recommended_fish_intake!A$4:D$122,4,FALSE)), "NA")</f>
        <v>NA</v>
      </c>
      <c r="U1998" s="2" t="str">
        <f t="shared" si="235"/>
        <v>NA</v>
      </c>
    </row>
    <row r="1999" spans="1:21" ht="14.25" customHeight="1">
      <c r="A1999" s="2" t="s">
        <v>18</v>
      </c>
      <c r="B1999" s="2">
        <v>1984</v>
      </c>
      <c r="C1999" s="2" t="s">
        <v>20</v>
      </c>
      <c r="D1999" s="3">
        <f t="shared" si="229"/>
        <v>30.196999999999999</v>
      </c>
      <c r="E1999" s="3">
        <f t="shared" si="230"/>
        <v>3.07</v>
      </c>
      <c r="F1999" s="3" t="e">
        <f t="shared" si="231"/>
        <v>#N/A</v>
      </c>
      <c r="G1999" s="3" t="e">
        <f t="shared" si="232"/>
        <v>#N/A</v>
      </c>
      <c r="H1999" s="3" t="e">
        <f t="shared" si="233"/>
        <v>#N/A</v>
      </c>
      <c r="I1999" s="3" t="e">
        <f t="shared" si="234"/>
        <v>#N/A</v>
      </c>
      <c r="J1999" s="2">
        <v>30197</v>
      </c>
      <c r="K1999" s="2">
        <v>3070</v>
      </c>
      <c r="P1999" s="3">
        <f>E1999*(VLOOKUP(B1999,Price_data!A$1:B$190,2,FALSE))</f>
        <v>5.8624957372399997</v>
      </c>
      <c r="Q1999" s="3" t="e">
        <f>G1999*(VLOOKUP(B1999,Price_data!A$1:B$190,2,FALSE))</f>
        <v>#N/A</v>
      </c>
      <c r="R1999" s="3" t="e">
        <f>I1999*(VLOOKUP(B1999,Price_data!A$1:B$190,2,FALSE))</f>
        <v>#N/A</v>
      </c>
      <c r="S1999" s="4" t="str">
        <f>(VLOOKUP(B1999,Price_data!A$1:C$190,3,FALSE))</f>
        <v>EEZ</v>
      </c>
      <c r="T1999" s="2" t="str">
        <f>IF(C1999="Total", (VLOOKUP(B1999,Recommended_fish_intake!A$4:D$122,4,FALSE)), "NA")</f>
        <v>NA</v>
      </c>
      <c r="U1999" s="2" t="str">
        <f t="shared" si="235"/>
        <v>NA</v>
      </c>
    </row>
    <row r="2000" spans="1:21" ht="14.25" customHeight="1">
      <c r="A2000" s="2" t="s">
        <v>18</v>
      </c>
      <c r="B2000" s="2">
        <v>1984</v>
      </c>
      <c r="C2000" s="2" t="s">
        <v>21</v>
      </c>
      <c r="D2000" s="3">
        <f t="shared" si="229"/>
        <v>3.3079999999999998</v>
      </c>
      <c r="E2000" s="3">
        <f t="shared" si="230"/>
        <v>0.41099999999999998</v>
      </c>
      <c r="F2000" s="3" t="e">
        <f t="shared" si="231"/>
        <v>#N/A</v>
      </c>
      <c r="G2000" s="3" t="e">
        <f t="shared" si="232"/>
        <v>#N/A</v>
      </c>
      <c r="H2000" s="3" t="e">
        <f t="shared" si="233"/>
        <v>#N/A</v>
      </c>
      <c r="I2000" s="3" t="e">
        <f t="shared" si="234"/>
        <v>#N/A</v>
      </c>
      <c r="J2000" s="2">
        <v>3308</v>
      </c>
      <c r="K2000" s="2">
        <v>411</v>
      </c>
      <c r="P2000" s="3">
        <f>E2000*(VLOOKUP(B2000,Price_data!A$1:B$190,2,FALSE))</f>
        <v>0.78484877785199991</v>
      </c>
      <c r="Q2000" s="3" t="e">
        <f>G2000*(VLOOKUP(B2000,Price_data!A$1:B$190,2,FALSE))</f>
        <v>#N/A</v>
      </c>
      <c r="R2000" s="3" t="e">
        <f>I2000*(VLOOKUP(B2000,Price_data!A$1:B$190,2,FALSE))</f>
        <v>#N/A</v>
      </c>
      <c r="S2000" s="4" t="str">
        <f>(VLOOKUP(B2000,Price_data!A$1:C$190,3,FALSE))</f>
        <v>EEZ</v>
      </c>
      <c r="T2000" s="2" t="str">
        <f>IF(C2000="Total", (VLOOKUP(B2000,Recommended_fish_intake!A$4:D$122,4,FALSE)), "NA")</f>
        <v>NA</v>
      </c>
      <c r="U2000" s="2" t="str">
        <f t="shared" si="235"/>
        <v>NA</v>
      </c>
    </row>
    <row r="2001" spans="1:21" ht="14.25" customHeight="1">
      <c r="A2001" s="2" t="s">
        <v>18</v>
      </c>
      <c r="B2001" s="2">
        <v>1984</v>
      </c>
      <c r="C2001" s="2" t="s">
        <v>37</v>
      </c>
      <c r="D2001" s="3">
        <f t="shared" si="229"/>
        <v>138.184</v>
      </c>
      <c r="E2001" s="3">
        <f t="shared" si="230"/>
        <v>75.891999999999996</v>
      </c>
      <c r="F2001" s="3" t="e">
        <f t="shared" si="231"/>
        <v>#N/A</v>
      </c>
      <c r="G2001" s="3" t="e">
        <f t="shared" si="232"/>
        <v>#N/A</v>
      </c>
      <c r="H2001" s="3" t="e">
        <f t="shared" si="233"/>
        <v>#N/A</v>
      </c>
      <c r="I2001" s="3" t="e">
        <f t="shared" si="234"/>
        <v>#N/A</v>
      </c>
      <c r="J2001" s="2">
        <v>138184</v>
      </c>
      <c r="K2001" s="2">
        <v>75892</v>
      </c>
      <c r="P2001" s="3">
        <f>E2001*(VLOOKUP(B2001,Price_data!A$1:B$190,2,FALSE))</f>
        <v>144.923949996944</v>
      </c>
      <c r="Q2001" s="3" t="e">
        <f>G2001*(VLOOKUP(B2001,Price_data!A$1:B$190,2,FALSE))</f>
        <v>#N/A</v>
      </c>
      <c r="R2001" s="3" t="e">
        <f>I2001*(VLOOKUP(B2001,Price_data!A$1:B$190,2,FALSE))</f>
        <v>#N/A</v>
      </c>
      <c r="S2001" s="4" t="str">
        <f>(VLOOKUP(B2001,Price_data!A$1:C$190,3,FALSE))</f>
        <v>EEZ</v>
      </c>
      <c r="T2001" s="2" t="str">
        <f>IF(C2001="Total", (VLOOKUP(B2001,Recommended_fish_intake!A$4:D$122,4,FALSE)), "NA")</f>
        <v>NA</v>
      </c>
      <c r="U2001" s="2">
        <f t="shared" si="235"/>
        <v>67.710160000000002</v>
      </c>
    </row>
    <row r="2002" spans="1:21" ht="14.25" customHeight="1">
      <c r="A2002" s="2" t="s">
        <v>18</v>
      </c>
      <c r="B2002" s="2">
        <v>1984</v>
      </c>
      <c r="C2002" s="2" t="s">
        <v>36</v>
      </c>
      <c r="D2002" s="3">
        <f t="shared" si="229"/>
        <v>9.07</v>
      </c>
      <c r="E2002" s="3">
        <f t="shared" si="230"/>
        <v>6.3129999999999997</v>
      </c>
      <c r="F2002" s="3" t="e">
        <f t="shared" si="231"/>
        <v>#N/A</v>
      </c>
      <c r="G2002" s="3" t="e">
        <f t="shared" si="232"/>
        <v>#N/A</v>
      </c>
      <c r="H2002" s="3" t="e">
        <f t="shared" si="233"/>
        <v>#N/A</v>
      </c>
      <c r="I2002" s="3" t="e">
        <f t="shared" si="234"/>
        <v>#N/A</v>
      </c>
      <c r="J2002" s="2">
        <v>9070</v>
      </c>
      <c r="K2002" s="2">
        <v>6313</v>
      </c>
      <c r="P2002" s="3">
        <f>E2002*(VLOOKUP(B2002,Price_data!A$1:B$190,2,FALSE))</f>
        <v>12.055353612115999</v>
      </c>
      <c r="Q2002" s="3" t="e">
        <f>G2002*(VLOOKUP(B2002,Price_data!A$1:B$190,2,FALSE))</f>
        <v>#N/A</v>
      </c>
      <c r="R2002" s="3" t="e">
        <f>I2002*(VLOOKUP(B2002,Price_data!A$1:B$190,2,FALSE))</f>
        <v>#N/A</v>
      </c>
      <c r="S2002" s="4" t="str">
        <f>(VLOOKUP(B2002,Price_data!A$1:C$190,3,FALSE))</f>
        <v>EEZ</v>
      </c>
      <c r="T2002" s="2" t="str">
        <f>IF(C2002="Total", (VLOOKUP(B2002,Recommended_fish_intake!A$4:D$122,4,FALSE)), "NA")</f>
        <v>NA</v>
      </c>
      <c r="U2002" s="2" t="str">
        <f t="shared" si="235"/>
        <v>NA</v>
      </c>
    </row>
    <row r="2003" spans="1:21" ht="14.25" customHeight="1">
      <c r="A2003" s="2" t="s">
        <v>18</v>
      </c>
      <c r="B2003" s="2">
        <v>1984</v>
      </c>
      <c r="C2003" s="2" t="s">
        <v>34</v>
      </c>
      <c r="D2003" s="3">
        <f t="shared" si="229"/>
        <v>0.59199999999999997</v>
      </c>
      <c r="E2003" s="3">
        <f t="shared" si="230"/>
        <v>3.66</v>
      </c>
      <c r="F2003" s="3" t="e">
        <f t="shared" si="231"/>
        <v>#N/A</v>
      </c>
      <c r="G2003" s="3" t="e">
        <f t="shared" si="232"/>
        <v>#N/A</v>
      </c>
      <c r="H2003" s="3" t="e">
        <f t="shared" si="233"/>
        <v>#N/A</v>
      </c>
      <c r="I2003" s="3" t="e">
        <f t="shared" si="234"/>
        <v>#N/A</v>
      </c>
      <c r="J2003" s="2">
        <v>592</v>
      </c>
      <c r="K2003" s="2">
        <v>3660</v>
      </c>
      <c r="P2003" s="3">
        <f>E2003*(VLOOKUP(B2003,Price_data!A$1:B$190,2,FALSE))</f>
        <v>6.9891642991200005</v>
      </c>
      <c r="Q2003" s="3" t="e">
        <f>G2003*(VLOOKUP(B2003,Price_data!A$1:B$190,2,FALSE))</f>
        <v>#N/A</v>
      </c>
      <c r="R2003" s="3" t="e">
        <f>I2003*(VLOOKUP(B2003,Price_data!A$1:B$190,2,FALSE))</f>
        <v>#N/A</v>
      </c>
      <c r="S2003" s="4" t="str">
        <f>(VLOOKUP(B2003,Price_data!A$1:C$190,3,FALSE))</f>
        <v>EEZ</v>
      </c>
      <c r="T2003" s="2" t="str">
        <f>IF(C2003="Total", (VLOOKUP(B2003,Recommended_fish_intake!A$4:D$122,4,FALSE)), "NA")</f>
        <v>NA</v>
      </c>
      <c r="U2003" s="2" t="str">
        <f t="shared" si="235"/>
        <v>NA</v>
      </c>
    </row>
    <row r="2004" spans="1:21" ht="14.25" customHeight="1">
      <c r="A2004" s="2" t="s">
        <v>18</v>
      </c>
      <c r="B2004" s="2">
        <v>1984</v>
      </c>
      <c r="C2004" s="2" t="s">
        <v>35</v>
      </c>
      <c r="D2004" s="3">
        <f t="shared" si="229"/>
        <v>2.12</v>
      </c>
      <c r="E2004" s="3">
        <f t="shared" si="230"/>
        <v>2.3969999999999998</v>
      </c>
      <c r="F2004" s="3" t="e">
        <f t="shared" si="231"/>
        <v>#N/A</v>
      </c>
      <c r="G2004" s="3" t="e">
        <f t="shared" si="232"/>
        <v>#N/A</v>
      </c>
      <c r="H2004" s="3" t="e">
        <f t="shared" si="233"/>
        <v>#N/A</v>
      </c>
      <c r="I2004" s="3" t="e">
        <f t="shared" si="234"/>
        <v>#N/A</v>
      </c>
      <c r="J2004" s="2">
        <v>2120</v>
      </c>
      <c r="K2004" s="2">
        <v>2397</v>
      </c>
      <c r="P2004" s="3">
        <f>E2004*(VLOOKUP(B2004,Price_data!A$1:B$190,2,FALSE))</f>
        <v>4.5773297336039995</v>
      </c>
      <c r="Q2004" s="3" t="e">
        <f>G2004*(VLOOKUP(B2004,Price_data!A$1:B$190,2,FALSE))</f>
        <v>#N/A</v>
      </c>
      <c r="R2004" s="3" t="e">
        <f>I2004*(VLOOKUP(B2004,Price_data!A$1:B$190,2,FALSE))</f>
        <v>#N/A</v>
      </c>
      <c r="S2004" s="4" t="str">
        <f>(VLOOKUP(B2004,Price_data!A$1:C$190,3,FALSE))</f>
        <v>EEZ</v>
      </c>
      <c r="T2004" s="2" t="str">
        <f>IF(C2004="Total", (VLOOKUP(B2004,Recommended_fish_intake!A$4:D$122,4,FALSE)), "NA")</f>
        <v>NA</v>
      </c>
      <c r="U2004" s="2" t="str">
        <f t="shared" si="235"/>
        <v>NA</v>
      </c>
    </row>
    <row r="2005" spans="1:21" ht="14.25" customHeight="1">
      <c r="A2005" s="2" t="s">
        <v>18</v>
      </c>
      <c r="B2005" s="2">
        <v>1984</v>
      </c>
      <c r="C2005" s="2" t="s">
        <v>52</v>
      </c>
      <c r="D2005" s="3">
        <f t="shared" si="229"/>
        <v>3.6789999999999998</v>
      </c>
      <c r="E2005" s="3">
        <f t="shared" si="230"/>
        <v>3.355</v>
      </c>
      <c r="F2005" s="3" t="e">
        <f t="shared" si="231"/>
        <v>#N/A</v>
      </c>
      <c r="G2005" s="3" t="e">
        <f t="shared" si="232"/>
        <v>#N/A</v>
      </c>
      <c r="H2005" s="3" t="e">
        <f t="shared" si="233"/>
        <v>#N/A</v>
      </c>
      <c r="I2005" s="3" t="e">
        <f t="shared" si="234"/>
        <v>#N/A</v>
      </c>
      <c r="J2005" s="2">
        <v>3679</v>
      </c>
      <c r="K2005" s="2">
        <v>3355</v>
      </c>
      <c r="P2005" s="3">
        <f>E2005*(VLOOKUP(B2005,Price_data!A$1:B$190,2,FALSE))</f>
        <v>6.4067339408599997</v>
      </c>
      <c r="Q2005" s="3" t="e">
        <f>G2005*(VLOOKUP(B2005,Price_data!A$1:B$190,2,FALSE))</f>
        <v>#N/A</v>
      </c>
      <c r="R2005" s="3" t="e">
        <f>I2005*(VLOOKUP(B2005,Price_data!A$1:B$190,2,FALSE))</f>
        <v>#N/A</v>
      </c>
      <c r="S2005" s="4" t="str">
        <f>(VLOOKUP(B2005,Price_data!A$1:C$190,3,FALSE))</f>
        <v>EEZ</v>
      </c>
      <c r="T2005" s="2" t="str">
        <f>IF(C2005="Total", (VLOOKUP(B2005,Recommended_fish_intake!A$4:D$122,4,FALSE)), "NA")</f>
        <v>NA</v>
      </c>
      <c r="U2005" s="2" t="str">
        <f t="shared" si="235"/>
        <v>NA</v>
      </c>
    </row>
    <row r="2006" spans="1:21" ht="14.25" customHeight="1">
      <c r="A2006" s="2" t="s">
        <v>18</v>
      </c>
      <c r="B2006" s="2">
        <v>1984</v>
      </c>
      <c r="C2006" s="2" t="s">
        <v>30</v>
      </c>
      <c r="D2006" s="3">
        <f t="shared" si="229"/>
        <v>0.64200000000000002</v>
      </c>
      <c r="E2006" s="3">
        <f t="shared" si="230"/>
        <v>0.54300000000000004</v>
      </c>
      <c r="F2006" s="3" t="e">
        <f t="shared" si="231"/>
        <v>#N/A</v>
      </c>
      <c r="G2006" s="3" t="e">
        <f t="shared" si="232"/>
        <v>#N/A</v>
      </c>
      <c r="H2006" s="3" t="e">
        <f t="shared" si="233"/>
        <v>#N/A</v>
      </c>
      <c r="I2006" s="3" t="e">
        <f t="shared" si="234"/>
        <v>#N/A</v>
      </c>
      <c r="J2006" s="2">
        <v>642</v>
      </c>
      <c r="K2006" s="2">
        <v>543</v>
      </c>
      <c r="P2006" s="3">
        <f>E2006*(VLOOKUP(B2006,Price_data!A$1:B$190,2,FALSE))</f>
        <v>1.0369169984760001</v>
      </c>
      <c r="Q2006" s="3" t="e">
        <f>G2006*(VLOOKUP(B2006,Price_data!A$1:B$190,2,FALSE))</f>
        <v>#N/A</v>
      </c>
      <c r="R2006" s="3" t="e">
        <f>I2006*(VLOOKUP(B2006,Price_data!A$1:B$190,2,FALSE))</f>
        <v>#N/A</v>
      </c>
      <c r="S2006" s="4" t="str">
        <f>(VLOOKUP(B2006,Price_data!A$1:C$190,3,FALSE))</f>
        <v>EEZ</v>
      </c>
      <c r="T2006" s="2" t="str">
        <f>IF(C2006="Total", (VLOOKUP(B2006,Recommended_fish_intake!A$4:D$122,4,FALSE)), "NA")</f>
        <v>NA</v>
      </c>
      <c r="U2006" s="2" t="str">
        <f t="shared" si="235"/>
        <v>NA</v>
      </c>
    </row>
    <row r="2007" spans="1:21" ht="14.25" customHeight="1">
      <c r="A2007" s="2" t="s">
        <v>18</v>
      </c>
      <c r="B2007" s="2">
        <v>1984</v>
      </c>
      <c r="C2007" s="2" t="s">
        <v>28</v>
      </c>
      <c r="D2007" s="3">
        <f t="shared" si="229"/>
        <v>33.606999999999999</v>
      </c>
      <c r="E2007" s="3">
        <f t="shared" si="230"/>
        <v>20.407</v>
      </c>
      <c r="F2007" s="3" t="e">
        <f t="shared" si="231"/>
        <v>#N/A</v>
      </c>
      <c r="G2007" s="3" t="e">
        <f t="shared" si="232"/>
        <v>#N/A</v>
      </c>
      <c r="H2007" s="3" t="e">
        <f t="shared" si="233"/>
        <v>#N/A</v>
      </c>
      <c r="I2007" s="3" t="e">
        <f t="shared" si="234"/>
        <v>#N/A</v>
      </c>
      <c r="J2007" s="2">
        <v>33607</v>
      </c>
      <c r="K2007" s="2">
        <v>20407</v>
      </c>
      <c r="P2007" s="3">
        <f>E2007*(VLOOKUP(B2007,Price_data!A$1:B$190,2,FALSE))</f>
        <v>38.969364986923999</v>
      </c>
      <c r="Q2007" s="3" t="e">
        <f>G2007*(VLOOKUP(B2007,Price_data!A$1:B$190,2,FALSE))</f>
        <v>#N/A</v>
      </c>
      <c r="R2007" s="3" t="e">
        <f>I2007*(VLOOKUP(B2007,Price_data!A$1:B$190,2,FALSE))</f>
        <v>#N/A</v>
      </c>
      <c r="S2007" s="4" t="str">
        <f>(VLOOKUP(B2007,Price_data!A$1:C$190,3,FALSE))</f>
        <v>EEZ</v>
      </c>
      <c r="T2007" s="2" t="str">
        <f>IF(C2007="Total", (VLOOKUP(B2007,Recommended_fish_intake!A$4:D$122,4,FALSE)), "NA")</f>
        <v>NA</v>
      </c>
      <c r="U2007" s="2">
        <f t="shared" si="235"/>
        <v>9.4099599999999999</v>
      </c>
    </row>
    <row r="2008" spans="1:21" ht="14.25" customHeight="1">
      <c r="A2008" s="2" t="s">
        <v>39</v>
      </c>
      <c r="B2008" s="2">
        <v>1984</v>
      </c>
      <c r="C2008" s="2" t="s">
        <v>22</v>
      </c>
      <c r="D2008" s="3">
        <f t="shared" si="229"/>
        <v>53.926000000000002</v>
      </c>
      <c r="E2008" s="3">
        <f t="shared" si="230"/>
        <v>38.152999999999999</v>
      </c>
      <c r="F2008" s="3" t="e">
        <f t="shared" si="231"/>
        <v>#N/A</v>
      </c>
      <c r="G2008" s="3" t="e">
        <f t="shared" si="232"/>
        <v>#N/A</v>
      </c>
      <c r="H2008" s="3" t="e">
        <f t="shared" si="233"/>
        <v>#N/A</v>
      </c>
      <c r="I2008" s="3" t="e">
        <f t="shared" si="234"/>
        <v>#N/A</v>
      </c>
      <c r="J2008" s="2">
        <v>53926</v>
      </c>
      <c r="K2008" s="2">
        <v>38153</v>
      </c>
      <c r="P2008" s="3">
        <f>E2008*(VLOOKUP(B2008,Price_data!A$1:B$190,2,FALSE))</f>
        <v>72.857263798996001</v>
      </c>
      <c r="Q2008" s="3" t="e">
        <f>G2008*(VLOOKUP(B2008,Price_data!A$1:B$190,2,FALSE))</f>
        <v>#N/A</v>
      </c>
      <c r="R2008" s="3" t="e">
        <f>I2008*(VLOOKUP(B2008,Price_data!A$1:B$190,2,FALSE))</f>
        <v>#N/A</v>
      </c>
      <c r="S2008" s="4" t="str">
        <f>(VLOOKUP(B2008,Price_data!A$1:C$190,3,FALSE))</f>
        <v>EEZ</v>
      </c>
      <c r="T2008" s="2" t="str">
        <f>IF(C2008="Total", (VLOOKUP(B2008,Recommended_fish_intake!A$4:D$122,4,FALSE)), "NA")</f>
        <v>NA</v>
      </c>
      <c r="U2008" s="2" t="str">
        <f t="shared" si="235"/>
        <v>NA</v>
      </c>
    </row>
    <row r="2009" spans="1:21" ht="14.25" customHeight="1">
      <c r="A2009" s="2" t="s">
        <v>39</v>
      </c>
      <c r="B2009" s="2">
        <v>1984</v>
      </c>
      <c r="C2009" s="2" t="s">
        <v>23</v>
      </c>
      <c r="D2009" s="3">
        <f t="shared" si="229"/>
        <v>95.739000000000004</v>
      </c>
      <c r="E2009" s="3">
        <f t="shared" si="230"/>
        <v>57.451000000000001</v>
      </c>
      <c r="F2009" s="3" t="e">
        <f t="shared" si="231"/>
        <v>#N/A</v>
      </c>
      <c r="G2009" s="3" t="e">
        <f t="shared" si="232"/>
        <v>#N/A</v>
      </c>
      <c r="H2009" s="3" t="e">
        <f t="shared" si="233"/>
        <v>#N/A</v>
      </c>
      <c r="I2009" s="3" t="e">
        <f t="shared" si="234"/>
        <v>#N/A</v>
      </c>
      <c r="J2009" s="2">
        <v>95739</v>
      </c>
      <c r="K2009" s="2">
        <v>57451</v>
      </c>
      <c r="P2009" s="3">
        <f>E2009*(VLOOKUP(B2009,Price_data!A$1:B$190,2,FALSE))</f>
        <v>109.70887381113199</v>
      </c>
      <c r="Q2009" s="3" t="e">
        <f>G2009*(VLOOKUP(B2009,Price_data!A$1:B$190,2,FALSE))</f>
        <v>#N/A</v>
      </c>
      <c r="R2009" s="3" t="e">
        <f>I2009*(VLOOKUP(B2009,Price_data!A$1:B$190,2,FALSE))</f>
        <v>#N/A</v>
      </c>
      <c r="S2009" s="4" t="str">
        <f>(VLOOKUP(B2009,Price_data!A$1:C$190,3,FALSE))</f>
        <v>EEZ</v>
      </c>
      <c r="T2009" s="2" t="str">
        <f>IF(C2009="Total", (VLOOKUP(B2009,Recommended_fish_intake!A$4:D$122,4,FALSE)), "NA")</f>
        <v>NA</v>
      </c>
      <c r="U2009" s="2" t="str">
        <f t="shared" si="235"/>
        <v>NA</v>
      </c>
    </row>
    <row r="2010" spans="1:21" ht="14.25" customHeight="1">
      <c r="A2010" s="2" t="s">
        <v>39</v>
      </c>
      <c r="B2010" s="2">
        <v>1984</v>
      </c>
      <c r="C2010" s="2" t="s">
        <v>25</v>
      </c>
      <c r="D2010" s="3">
        <f t="shared" si="229"/>
        <v>5.0469999999999997</v>
      </c>
      <c r="E2010" s="3">
        <f t="shared" si="230"/>
        <v>3.0430000000000001</v>
      </c>
      <c r="F2010" s="3" t="e">
        <f t="shared" si="231"/>
        <v>#N/A</v>
      </c>
      <c r="G2010" s="3" t="e">
        <f t="shared" si="232"/>
        <v>#N/A</v>
      </c>
      <c r="H2010" s="3" t="e">
        <f t="shared" si="233"/>
        <v>#N/A</v>
      </c>
      <c r="I2010" s="3" t="e">
        <f t="shared" si="234"/>
        <v>#N/A</v>
      </c>
      <c r="J2010" s="2">
        <v>5047</v>
      </c>
      <c r="K2010" s="2">
        <v>3043</v>
      </c>
      <c r="P2010" s="3">
        <f>E2010*(VLOOKUP(B2010,Price_data!A$1:B$190,2,FALSE))</f>
        <v>5.8109363284760001</v>
      </c>
      <c r="Q2010" s="3" t="e">
        <f>G2010*(VLOOKUP(B2010,Price_data!A$1:B$190,2,FALSE))</f>
        <v>#N/A</v>
      </c>
      <c r="R2010" s="3" t="e">
        <f>I2010*(VLOOKUP(B2010,Price_data!A$1:B$190,2,FALSE))</f>
        <v>#N/A</v>
      </c>
      <c r="S2010" s="4" t="str">
        <f>(VLOOKUP(B2010,Price_data!A$1:C$190,3,FALSE))</f>
        <v>EEZ</v>
      </c>
      <c r="T2010" s="2" t="str">
        <f>IF(C2010="Total", (VLOOKUP(B2010,Recommended_fish_intake!A$4:D$122,4,FALSE)), "NA")</f>
        <v>NA</v>
      </c>
      <c r="U2010" s="2" t="str">
        <f t="shared" si="235"/>
        <v>NA</v>
      </c>
    </row>
    <row r="2011" spans="1:21" ht="14.25" customHeight="1">
      <c r="A2011" s="2" t="s">
        <v>39</v>
      </c>
      <c r="B2011" s="2">
        <v>1984</v>
      </c>
      <c r="C2011" s="2" t="s">
        <v>24</v>
      </c>
      <c r="D2011" s="3">
        <f t="shared" si="229"/>
        <v>48.481999999999999</v>
      </c>
      <c r="E2011" s="3">
        <f t="shared" si="230"/>
        <v>19.597999999999999</v>
      </c>
      <c r="F2011" s="3" t="e">
        <f t="shared" si="231"/>
        <v>#N/A</v>
      </c>
      <c r="G2011" s="3" t="e">
        <f t="shared" si="232"/>
        <v>#N/A</v>
      </c>
      <c r="H2011" s="3" t="e">
        <f t="shared" si="233"/>
        <v>#N/A</v>
      </c>
      <c r="I2011" s="3" t="e">
        <f t="shared" si="234"/>
        <v>#N/A</v>
      </c>
      <c r="J2011" s="2">
        <v>48482</v>
      </c>
      <c r="K2011" s="2">
        <v>19598</v>
      </c>
      <c r="P2011" s="3">
        <f>E2011*(VLOOKUP(B2011,Price_data!A$1:B$190,2,FALSE))</f>
        <v>37.424492331735998</v>
      </c>
      <c r="Q2011" s="3" t="e">
        <f>G2011*(VLOOKUP(B2011,Price_data!A$1:B$190,2,FALSE))</f>
        <v>#N/A</v>
      </c>
      <c r="R2011" s="3" t="e">
        <f>I2011*(VLOOKUP(B2011,Price_data!A$1:B$190,2,FALSE))</f>
        <v>#N/A</v>
      </c>
      <c r="S2011" s="4" t="str">
        <f>(VLOOKUP(B2011,Price_data!A$1:C$190,3,FALSE))</f>
        <v>EEZ</v>
      </c>
      <c r="T2011" s="2" t="str">
        <f>IF(C2011="Total", (VLOOKUP(B2011,Recommended_fish_intake!A$4:D$122,4,FALSE)), "NA")</f>
        <v>NA</v>
      </c>
      <c r="U2011" s="2" t="str">
        <f t="shared" si="235"/>
        <v>NA</v>
      </c>
    </row>
    <row r="2012" spans="1:21" ht="14.25" customHeight="1">
      <c r="A2012" s="2" t="s">
        <v>39</v>
      </c>
      <c r="B2012" s="2">
        <v>1984</v>
      </c>
      <c r="C2012" s="2" t="s">
        <v>19</v>
      </c>
      <c r="D2012" s="3">
        <f t="shared" si="229"/>
        <v>67.826999999999998</v>
      </c>
      <c r="E2012" s="3">
        <f t="shared" si="230"/>
        <v>8.5229999999999997</v>
      </c>
      <c r="F2012" s="3" t="e">
        <f t="shared" si="231"/>
        <v>#N/A</v>
      </c>
      <c r="G2012" s="3" t="e">
        <f t="shared" si="232"/>
        <v>#N/A</v>
      </c>
      <c r="H2012" s="3" t="e">
        <f t="shared" si="233"/>
        <v>#N/A</v>
      </c>
      <c r="I2012" s="3" t="e">
        <f t="shared" si="234"/>
        <v>#N/A</v>
      </c>
      <c r="J2012" s="2">
        <v>67827</v>
      </c>
      <c r="K2012" s="2">
        <v>8523</v>
      </c>
      <c r="P2012" s="3">
        <f>E2012*(VLOOKUP(B2012,Price_data!A$1:B$190,2,FALSE))</f>
        <v>16.275586699835998</v>
      </c>
      <c r="Q2012" s="3" t="e">
        <f>G2012*(VLOOKUP(B2012,Price_data!A$1:B$190,2,FALSE))</f>
        <v>#N/A</v>
      </c>
      <c r="R2012" s="3" t="e">
        <f>I2012*(VLOOKUP(B2012,Price_data!A$1:B$190,2,FALSE))</f>
        <v>#N/A</v>
      </c>
      <c r="S2012" s="4" t="str">
        <f>(VLOOKUP(B2012,Price_data!A$1:C$190,3,FALSE))</f>
        <v>EEZ</v>
      </c>
      <c r="T2012" s="2" t="str">
        <f>IF(C2012="Total", (VLOOKUP(B2012,Recommended_fish_intake!A$4:D$122,4,FALSE)), "NA")</f>
        <v>NA</v>
      </c>
      <c r="U2012" s="2" t="str">
        <f t="shared" si="235"/>
        <v>NA</v>
      </c>
    </row>
    <row r="2013" spans="1:21" ht="14.25" customHeight="1">
      <c r="A2013" s="2" t="s">
        <v>39</v>
      </c>
      <c r="B2013" s="2">
        <v>1984</v>
      </c>
      <c r="C2013" s="2" t="s">
        <v>20</v>
      </c>
      <c r="D2013" s="3">
        <f t="shared" si="229"/>
        <v>155.00800000000001</v>
      </c>
      <c r="E2013" s="3">
        <f t="shared" si="230"/>
        <v>15.593</v>
      </c>
      <c r="F2013" s="3" t="e">
        <f t="shared" si="231"/>
        <v>#N/A</v>
      </c>
      <c r="G2013" s="3" t="e">
        <f t="shared" si="232"/>
        <v>#N/A</v>
      </c>
      <c r="H2013" s="3" t="e">
        <f t="shared" si="233"/>
        <v>#N/A</v>
      </c>
      <c r="I2013" s="3" t="e">
        <f t="shared" si="234"/>
        <v>#N/A</v>
      </c>
      <c r="J2013" s="2">
        <v>155008</v>
      </c>
      <c r="K2013" s="2">
        <v>15593</v>
      </c>
      <c r="P2013" s="3">
        <f>E2013*(VLOOKUP(B2013,Price_data!A$1:B$190,2,FALSE))</f>
        <v>29.776513365075999</v>
      </c>
      <c r="Q2013" s="3" t="e">
        <f>G2013*(VLOOKUP(B2013,Price_data!A$1:B$190,2,FALSE))</f>
        <v>#N/A</v>
      </c>
      <c r="R2013" s="3" t="e">
        <f>I2013*(VLOOKUP(B2013,Price_data!A$1:B$190,2,FALSE))</f>
        <v>#N/A</v>
      </c>
      <c r="S2013" s="4" t="str">
        <f>(VLOOKUP(B2013,Price_data!A$1:C$190,3,FALSE))</f>
        <v>EEZ</v>
      </c>
      <c r="T2013" s="2" t="str">
        <f>IF(C2013="Total", (VLOOKUP(B2013,Recommended_fish_intake!A$4:D$122,4,FALSE)), "NA")</f>
        <v>NA</v>
      </c>
      <c r="U2013" s="2" t="str">
        <f t="shared" si="235"/>
        <v>NA</v>
      </c>
    </row>
    <row r="2014" spans="1:21" ht="14.25" customHeight="1">
      <c r="A2014" s="2" t="s">
        <v>39</v>
      </c>
      <c r="B2014" s="2">
        <v>1984</v>
      </c>
      <c r="C2014" s="2" t="s">
        <v>21</v>
      </c>
      <c r="D2014" s="3">
        <f t="shared" si="229"/>
        <v>2.4790000000000001</v>
      </c>
      <c r="E2014" s="3">
        <f t="shared" si="230"/>
        <v>0.29199999999999998</v>
      </c>
      <c r="F2014" s="3" t="e">
        <f t="shared" si="231"/>
        <v>#N/A</v>
      </c>
      <c r="G2014" s="3" t="e">
        <f t="shared" si="232"/>
        <v>#N/A</v>
      </c>
      <c r="H2014" s="3" t="e">
        <f t="shared" si="233"/>
        <v>#N/A</v>
      </c>
      <c r="I2014" s="3" t="e">
        <f t="shared" si="234"/>
        <v>#N/A</v>
      </c>
      <c r="J2014" s="2">
        <v>2479</v>
      </c>
      <c r="K2014" s="2">
        <v>292</v>
      </c>
      <c r="P2014" s="3">
        <f>E2014*(VLOOKUP(B2014,Price_data!A$1:B$190,2,FALSE))</f>
        <v>0.55760545774399994</v>
      </c>
      <c r="Q2014" s="3" t="e">
        <f>G2014*(VLOOKUP(B2014,Price_data!A$1:B$190,2,FALSE))</f>
        <v>#N/A</v>
      </c>
      <c r="R2014" s="3" t="e">
        <f>I2014*(VLOOKUP(B2014,Price_data!A$1:B$190,2,FALSE))</f>
        <v>#N/A</v>
      </c>
      <c r="S2014" s="4" t="str">
        <f>(VLOOKUP(B2014,Price_data!A$1:C$190,3,FALSE))</f>
        <v>EEZ</v>
      </c>
      <c r="T2014" s="2" t="str">
        <f>IF(C2014="Total", (VLOOKUP(B2014,Recommended_fish_intake!A$4:D$122,4,FALSE)), "NA")</f>
        <v>NA</v>
      </c>
      <c r="U2014" s="2" t="str">
        <f t="shared" si="235"/>
        <v>NA</v>
      </c>
    </row>
    <row r="2015" spans="1:21" ht="14.25" customHeight="1">
      <c r="A2015" s="2" t="s">
        <v>39</v>
      </c>
      <c r="B2015" s="2">
        <v>1984</v>
      </c>
      <c r="C2015" s="2" t="s">
        <v>37</v>
      </c>
      <c r="D2015" s="3">
        <f t="shared" si="229"/>
        <v>508.76900000000001</v>
      </c>
      <c r="E2015" s="3">
        <f t="shared" si="230"/>
        <v>160.44200000000001</v>
      </c>
      <c r="F2015" s="3" t="e">
        <f t="shared" si="231"/>
        <v>#N/A</v>
      </c>
      <c r="G2015" s="3" t="e">
        <f t="shared" si="232"/>
        <v>#N/A</v>
      </c>
      <c r="H2015" s="3" t="e">
        <f t="shared" si="233"/>
        <v>#N/A</v>
      </c>
      <c r="I2015" s="3" t="e">
        <f t="shared" si="234"/>
        <v>#N/A</v>
      </c>
      <c r="J2015" s="2">
        <v>508769</v>
      </c>
      <c r="K2015" s="2">
        <v>160442</v>
      </c>
      <c r="P2015" s="3">
        <f>E2015*(VLOOKUP(B2015,Price_data!A$1:B$190,2,FALSE))</f>
        <v>306.38128373754404</v>
      </c>
      <c r="Q2015" s="3" t="e">
        <f>G2015*(VLOOKUP(B2015,Price_data!A$1:B$190,2,FALSE))</f>
        <v>#N/A</v>
      </c>
      <c r="R2015" s="3" t="e">
        <f>I2015*(VLOOKUP(B2015,Price_data!A$1:B$190,2,FALSE))</f>
        <v>#N/A</v>
      </c>
      <c r="S2015" s="4" t="str">
        <f>(VLOOKUP(B2015,Price_data!A$1:C$190,3,FALSE))</f>
        <v>EEZ</v>
      </c>
      <c r="T2015" s="2" t="str">
        <f>IF(C2015="Total", (VLOOKUP(B2015,Recommended_fish_intake!A$4:D$122,4,FALSE)), "NA")</f>
        <v>NA</v>
      </c>
      <c r="U2015" s="2">
        <f t="shared" si="235"/>
        <v>249.29680999999999</v>
      </c>
    </row>
    <row r="2016" spans="1:21" ht="14.25" customHeight="1">
      <c r="A2016" s="2" t="s">
        <v>39</v>
      </c>
      <c r="B2016" s="2">
        <v>1984</v>
      </c>
      <c r="C2016" s="2" t="s">
        <v>36</v>
      </c>
      <c r="D2016" s="3">
        <f t="shared" si="229"/>
        <v>4.952</v>
      </c>
      <c r="E2016" s="3">
        <f t="shared" si="230"/>
        <v>2.1080000000000001</v>
      </c>
      <c r="F2016" s="3" t="e">
        <f t="shared" si="231"/>
        <v>#N/A</v>
      </c>
      <c r="G2016" s="3" t="e">
        <f t="shared" si="232"/>
        <v>#N/A</v>
      </c>
      <c r="H2016" s="3" t="e">
        <f t="shared" si="233"/>
        <v>#N/A</v>
      </c>
      <c r="I2016" s="3" t="e">
        <f t="shared" si="234"/>
        <v>#N/A</v>
      </c>
      <c r="J2016" s="2">
        <v>4952</v>
      </c>
      <c r="K2016" s="2">
        <v>2108</v>
      </c>
      <c r="P2016" s="3">
        <f>E2016*(VLOOKUP(B2016,Price_data!A$1:B$190,2,FALSE))</f>
        <v>4.0254530990560005</v>
      </c>
      <c r="Q2016" s="3" t="e">
        <f>G2016*(VLOOKUP(B2016,Price_data!A$1:B$190,2,FALSE))</f>
        <v>#N/A</v>
      </c>
      <c r="R2016" s="3" t="e">
        <f>I2016*(VLOOKUP(B2016,Price_data!A$1:B$190,2,FALSE))</f>
        <v>#N/A</v>
      </c>
      <c r="S2016" s="4" t="str">
        <f>(VLOOKUP(B2016,Price_data!A$1:C$190,3,FALSE))</f>
        <v>EEZ</v>
      </c>
      <c r="T2016" s="2" t="str">
        <f>IF(C2016="Total", (VLOOKUP(B2016,Recommended_fish_intake!A$4:D$122,4,FALSE)), "NA")</f>
        <v>NA</v>
      </c>
      <c r="U2016" s="2" t="str">
        <f t="shared" si="235"/>
        <v>NA</v>
      </c>
    </row>
    <row r="2017" spans="1:21" ht="14.25" customHeight="1">
      <c r="A2017" s="2" t="s">
        <v>39</v>
      </c>
      <c r="B2017" s="2">
        <v>1984</v>
      </c>
      <c r="C2017" s="2" t="s">
        <v>34</v>
      </c>
      <c r="D2017" s="3">
        <f t="shared" si="229"/>
        <v>0.629</v>
      </c>
      <c r="E2017" s="3">
        <f t="shared" si="230"/>
        <v>3.9540000000000002</v>
      </c>
      <c r="F2017" s="3" t="e">
        <f t="shared" si="231"/>
        <v>#N/A</v>
      </c>
      <c r="G2017" s="3" t="e">
        <f t="shared" si="232"/>
        <v>#N/A</v>
      </c>
      <c r="H2017" s="3" t="e">
        <f t="shared" si="233"/>
        <v>#N/A</v>
      </c>
      <c r="I2017" s="3" t="e">
        <f t="shared" si="234"/>
        <v>#N/A</v>
      </c>
      <c r="J2017" s="2">
        <v>629</v>
      </c>
      <c r="K2017" s="2">
        <v>3954</v>
      </c>
      <c r="P2017" s="3">
        <f>E2017*(VLOOKUP(B2017,Price_data!A$1:B$190,2,FALSE))</f>
        <v>7.5505889723280006</v>
      </c>
      <c r="Q2017" s="3" t="e">
        <f>G2017*(VLOOKUP(B2017,Price_data!A$1:B$190,2,FALSE))</f>
        <v>#N/A</v>
      </c>
      <c r="R2017" s="3" t="e">
        <f>I2017*(VLOOKUP(B2017,Price_data!A$1:B$190,2,FALSE))</f>
        <v>#N/A</v>
      </c>
      <c r="S2017" s="4" t="str">
        <f>(VLOOKUP(B2017,Price_data!A$1:C$190,3,FALSE))</f>
        <v>EEZ</v>
      </c>
      <c r="T2017" s="2" t="str">
        <f>IF(C2017="Total", (VLOOKUP(B2017,Recommended_fish_intake!A$4:D$122,4,FALSE)), "NA")</f>
        <v>NA</v>
      </c>
      <c r="U2017" s="2" t="str">
        <f t="shared" si="235"/>
        <v>NA</v>
      </c>
    </row>
    <row r="2018" spans="1:21" ht="14.25" customHeight="1">
      <c r="A2018" s="2" t="s">
        <v>39</v>
      </c>
      <c r="B2018" s="2">
        <v>1984</v>
      </c>
      <c r="C2018" s="2" t="s">
        <v>35</v>
      </c>
      <c r="D2018" s="3">
        <f t="shared" si="229"/>
        <v>16.077000000000002</v>
      </c>
      <c r="E2018" s="3">
        <f t="shared" si="230"/>
        <v>19.045000000000002</v>
      </c>
      <c r="F2018" s="3" t="e">
        <f t="shared" si="231"/>
        <v>#N/A</v>
      </c>
      <c r="G2018" s="3" t="e">
        <f t="shared" si="232"/>
        <v>#N/A</v>
      </c>
      <c r="H2018" s="3" t="e">
        <f t="shared" si="233"/>
        <v>#N/A</v>
      </c>
      <c r="I2018" s="3" t="e">
        <f t="shared" si="234"/>
        <v>#N/A</v>
      </c>
      <c r="J2018" s="2">
        <v>16077</v>
      </c>
      <c r="K2018" s="2">
        <v>19045</v>
      </c>
      <c r="P2018" s="3">
        <f>E2018*(VLOOKUP(B2018,Price_data!A$1:B$190,2,FALSE))</f>
        <v>36.368479255940002</v>
      </c>
      <c r="Q2018" s="3" t="e">
        <f>G2018*(VLOOKUP(B2018,Price_data!A$1:B$190,2,FALSE))</f>
        <v>#N/A</v>
      </c>
      <c r="R2018" s="3" t="e">
        <f>I2018*(VLOOKUP(B2018,Price_data!A$1:B$190,2,FALSE))</f>
        <v>#N/A</v>
      </c>
      <c r="S2018" s="4" t="str">
        <f>(VLOOKUP(B2018,Price_data!A$1:C$190,3,FALSE))</f>
        <v>EEZ</v>
      </c>
      <c r="T2018" s="2" t="str">
        <f>IF(C2018="Total", (VLOOKUP(B2018,Recommended_fish_intake!A$4:D$122,4,FALSE)), "NA")</f>
        <v>NA</v>
      </c>
      <c r="U2018" s="2" t="str">
        <f t="shared" si="235"/>
        <v>NA</v>
      </c>
    </row>
    <row r="2019" spans="1:21" ht="14.25" customHeight="1">
      <c r="A2019" s="2" t="s">
        <v>39</v>
      </c>
      <c r="B2019" s="2">
        <v>1984</v>
      </c>
      <c r="C2019" s="2" t="s">
        <v>52</v>
      </c>
      <c r="D2019" s="3">
        <f t="shared" si="229"/>
        <v>6</v>
      </c>
      <c r="E2019" s="3">
        <f t="shared" si="230"/>
        <v>5.5410000000000004</v>
      </c>
      <c r="F2019" s="3" t="e">
        <f t="shared" si="231"/>
        <v>#N/A</v>
      </c>
      <c r="G2019" s="3" t="e">
        <f t="shared" si="232"/>
        <v>#N/A</v>
      </c>
      <c r="H2019" s="3" t="e">
        <f t="shared" si="233"/>
        <v>#N/A</v>
      </c>
      <c r="I2019" s="3" t="e">
        <f t="shared" si="234"/>
        <v>#N/A</v>
      </c>
      <c r="J2019" s="2">
        <v>6000</v>
      </c>
      <c r="K2019" s="2">
        <v>5541</v>
      </c>
      <c r="P2019" s="3">
        <f>E2019*(VLOOKUP(B2019,Price_data!A$1:B$190,2,FALSE))</f>
        <v>10.581136443012001</v>
      </c>
      <c r="Q2019" s="3" t="e">
        <f>G2019*(VLOOKUP(B2019,Price_data!A$1:B$190,2,FALSE))</f>
        <v>#N/A</v>
      </c>
      <c r="R2019" s="3" t="e">
        <f>I2019*(VLOOKUP(B2019,Price_data!A$1:B$190,2,FALSE))</f>
        <v>#N/A</v>
      </c>
      <c r="S2019" s="4" t="str">
        <f>(VLOOKUP(B2019,Price_data!A$1:C$190,3,FALSE))</f>
        <v>EEZ</v>
      </c>
      <c r="T2019" s="2" t="str">
        <f>IF(C2019="Total", (VLOOKUP(B2019,Recommended_fish_intake!A$4:D$122,4,FALSE)), "NA")</f>
        <v>NA</v>
      </c>
      <c r="U2019" s="2" t="str">
        <f t="shared" si="235"/>
        <v>NA</v>
      </c>
    </row>
    <row r="2020" spans="1:21" ht="14.25" customHeight="1">
      <c r="A2020" s="2" t="s">
        <v>39</v>
      </c>
      <c r="B2020" s="2">
        <v>1984</v>
      </c>
      <c r="C2020" s="2" t="s">
        <v>30</v>
      </c>
      <c r="D2020" s="3">
        <f t="shared" si="229"/>
        <v>1.2999999999999999E-2</v>
      </c>
      <c r="E2020" s="3">
        <f t="shared" si="230"/>
        <v>2.3E-2</v>
      </c>
      <c r="F2020" s="3" t="e">
        <f t="shared" si="231"/>
        <v>#N/A</v>
      </c>
      <c r="G2020" s="3" t="e">
        <f t="shared" si="232"/>
        <v>#N/A</v>
      </c>
      <c r="H2020" s="3" t="e">
        <f t="shared" si="233"/>
        <v>#N/A</v>
      </c>
      <c r="I2020" s="3" t="e">
        <f t="shared" si="234"/>
        <v>#N/A</v>
      </c>
      <c r="J2020" s="2">
        <v>13</v>
      </c>
      <c r="K2020" s="2">
        <v>23</v>
      </c>
      <c r="P2020" s="3">
        <f>E2020*(VLOOKUP(B2020,Price_data!A$1:B$190,2,FALSE))</f>
        <v>4.3920977835999998E-2</v>
      </c>
      <c r="Q2020" s="3" t="e">
        <f>G2020*(VLOOKUP(B2020,Price_data!A$1:B$190,2,FALSE))</f>
        <v>#N/A</v>
      </c>
      <c r="R2020" s="3" t="e">
        <f>I2020*(VLOOKUP(B2020,Price_data!A$1:B$190,2,FALSE))</f>
        <v>#N/A</v>
      </c>
      <c r="S2020" s="4" t="str">
        <f>(VLOOKUP(B2020,Price_data!A$1:C$190,3,FALSE))</f>
        <v>EEZ</v>
      </c>
      <c r="T2020" s="2" t="str">
        <f>IF(C2020="Total", (VLOOKUP(B2020,Recommended_fish_intake!A$4:D$122,4,FALSE)), "NA")</f>
        <v>NA</v>
      </c>
      <c r="U2020" s="2" t="str">
        <f t="shared" si="235"/>
        <v>NA</v>
      </c>
    </row>
    <row r="2021" spans="1:21" ht="14.25" customHeight="1">
      <c r="A2021" s="2" t="s">
        <v>39</v>
      </c>
      <c r="B2021" s="2">
        <v>1984</v>
      </c>
      <c r="C2021" s="2" t="s">
        <v>28</v>
      </c>
      <c r="D2021" s="3">
        <f t="shared" si="229"/>
        <v>34.542999999999999</v>
      </c>
      <c r="E2021" s="3">
        <f t="shared" si="230"/>
        <v>33.476999999999997</v>
      </c>
      <c r="F2021" s="3" t="e">
        <f t="shared" si="231"/>
        <v>#N/A</v>
      </c>
      <c r="G2021" s="3" t="e">
        <f t="shared" si="232"/>
        <v>#N/A</v>
      </c>
      <c r="H2021" s="3" t="e">
        <f t="shared" si="233"/>
        <v>#N/A</v>
      </c>
      <c r="I2021" s="3" t="e">
        <f t="shared" si="234"/>
        <v>#N/A</v>
      </c>
      <c r="J2021" s="2">
        <v>34543</v>
      </c>
      <c r="K2021" s="2">
        <v>33477</v>
      </c>
      <c r="P2021" s="3">
        <f>E2021*(VLOOKUP(B2021,Price_data!A$1:B$190,2,FALSE))</f>
        <v>63.927938044163994</v>
      </c>
      <c r="Q2021" s="3" t="e">
        <f>G2021*(VLOOKUP(B2021,Price_data!A$1:B$190,2,FALSE))</f>
        <v>#N/A</v>
      </c>
      <c r="R2021" s="3" t="e">
        <f>I2021*(VLOOKUP(B2021,Price_data!A$1:B$190,2,FALSE))</f>
        <v>#N/A</v>
      </c>
      <c r="S2021" s="4" t="str">
        <f>(VLOOKUP(B2021,Price_data!A$1:C$190,3,FALSE))</f>
        <v>EEZ</v>
      </c>
      <c r="T2021" s="2" t="str">
        <f>IF(C2021="Total", (VLOOKUP(B2021,Recommended_fish_intake!A$4:D$122,4,FALSE)), "NA")</f>
        <v>NA</v>
      </c>
      <c r="U2021" s="2">
        <f t="shared" si="235"/>
        <v>9.6720400000000009</v>
      </c>
    </row>
    <row r="2022" spans="1:21" ht="14.25" customHeight="1">
      <c r="A2022" s="2" t="s">
        <v>40</v>
      </c>
      <c r="B2022" s="2">
        <v>1984</v>
      </c>
      <c r="C2022" s="2" t="s">
        <v>22</v>
      </c>
      <c r="D2022" s="3">
        <f t="shared" si="229"/>
        <v>2.222</v>
      </c>
      <c r="E2022" s="3">
        <f t="shared" si="230"/>
        <v>1.357</v>
      </c>
      <c r="F2022" s="3" t="e">
        <f t="shared" si="231"/>
        <v>#N/A</v>
      </c>
      <c r="G2022" s="3" t="e">
        <f t="shared" si="232"/>
        <v>#N/A</v>
      </c>
      <c r="H2022" s="3" t="e">
        <f t="shared" si="233"/>
        <v>#N/A</v>
      </c>
      <c r="I2022" s="3" t="e">
        <f t="shared" si="234"/>
        <v>#N/A</v>
      </c>
      <c r="J2022" s="2">
        <v>2222</v>
      </c>
      <c r="K2022" s="2">
        <v>1357</v>
      </c>
      <c r="P2022" s="3">
        <f>E2022*(VLOOKUP(B2022,Price_data!A$1:B$190,2,FALSE))</f>
        <v>2.5913376923240001</v>
      </c>
      <c r="Q2022" s="3" t="e">
        <f>G2022*(VLOOKUP(B2022,Price_data!A$1:B$190,2,FALSE))</f>
        <v>#N/A</v>
      </c>
      <c r="R2022" s="3" t="e">
        <f>I2022*(VLOOKUP(B2022,Price_data!A$1:B$190,2,FALSE))</f>
        <v>#N/A</v>
      </c>
      <c r="S2022" s="4" t="str">
        <f>(VLOOKUP(B2022,Price_data!A$1:C$190,3,FALSE))</f>
        <v>EEZ</v>
      </c>
      <c r="T2022" s="2" t="str">
        <f>IF(C2022="Total", (VLOOKUP(B2022,Recommended_fish_intake!A$4:D$122,4,FALSE)), "NA")</f>
        <v>NA</v>
      </c>
      <c r="U2022" s="2" t="str">
        <f t="shared" si="235"/>
        <v>NA</v>
      </c>
    </row>
    <row r="2023" spans="1:21" ht="14.25" customHeight="1">
      <c r="A2023" s="2" t="s">
        <v>40</v>
      </c>
      <c r="B2023" s="2">
        <v>1984</v>
      </c>
      <c r="C2023" s="2" t="s">
        <v>23</v>
      </c>
      <c r="D2023" s="3">
        <f t="shared" si="229"/>
        <v>3.4000000000000002E-2</v>
      </c>
      <c r="E2023" s="3">
        <f t="shared" si="230"/>
        <v>1.2E-2</v>
      </c>
      <c r="F2023" s="3" t="e">
        <f t="shared" si="231"/>
        <v>#N/A</v>
      </c>
      <c r="G2023" s="3" t="e">
        <f t="shared" si="232"/>
        <v>#N/A</v>
      </c>
      <c r="H2023" s="3" t="e">
        <f t="shared" si="233"/>
        <v>#N/A</v>
      </c>
      <c r="I2023" s="3" t="e">
        <f t="shared" si="234"/>
        <v>#N/A</v>
      </c>
      <c r="J2023" s="2">
        <v>34</v>
      </c>
      <c r="K2023" s="2">
        <v>12</v>
      </c>
      <c r="P2023" s="3">
        <f>E2023*(VLOOKUP(B2023,Price_data!A$1:B$190,2,FALSE))</f>
        <v>2.2915292784000001E-2</v>
      </c>
      <c r="Q2023" s="3" t="e">
        <f>G2023*(VLOOKUP(B2023,Price_data!A$1:B$190,2,FALSE))</f>
        <v>#N/A</v>
      </c>
      <c r="R2023" s="3" t="e">
        <f>I2023*(VLOOKUP(B2023,Price_data!A$1:B$190,2,FALSE))</f>
        <v>#N/A</v>
      </c>
      <c r="S2023" s="4" t="str">
        <f>(VLOOKUP(B2023,Price_data!A$1:C$190,3,FALSE))</f>
        <v>EEZ</v>
      </c>
      <c r="T2023" s="2" t="str">
        <f>IF(C2023="Total", (VLOOKUP(B2023,Recommended_fish_intake!A$4:D$122,4,FALSE)), "NA")</f>
        <v>NA</v>
      </c>
      <c r="U2023" s="2" t="str">
        <f t="shared" si="235"/>
        <v>NA</v>
      </c>
    </row>
    <row r="2024" spans="1:21" ht="14.25" customHeight="1">
      <c r="A2024" s="2" t="s">
        <v>40</v>
      </c>
      <c r="B2024" s="2">
        <v>1984</v>
      </c>
      <c r="C2024" s="2" t="s">
        <v>25</v>
      </c>
      <c r="D2024" s="3">
        <f t="shared" ref="D2024:D2087" si="236">J2024/1000</f>
        <v>0.189</v>
      </c>
      <c r="E2024" s="3">
        <f t="shared" ref="E2024:E2087" si="237">K2024/1000</f>
        <v>7.3999999999999996E-2</v>
      </c>
      <c r="F2024" s="3" t="e">
        <f t="shared" ref="F2024:F2087" si="238">IF(L2024="", NA(), L2024/1000)</f>
        <v>#N/A</v>
      </c>
      <c r="G2024" s="3" t="e">
        <f t="shared" ref="G2024:G2087" si="239">IF(M2024="", NA(), M2024/1000)</f>
        <v>#N/A</v>
      </c>
      <c r="H2024" s="3" t="e">
        <f t="shared" ref="H2024:H2087" si="240">IF(N2024="", NA(), N2024/1000)</f>
        <v>#N/A</v>
      </c>
      <c r="I2024" s="3" t="e">
        <f t="shared" ref="I2024:I2087" si="241">IF(O2024="", NA(), O2024/1000)</f>
        <v>#N/A</v>
      </c>
      <c r="J2024" s="2">
        <v>189</v>
      </c>
      <c r="K2024" s="2">
        <v>74</v>
      </c>
      <c r="P2024" s="3">
        <f>E2024*(VLOOKUP(B2024,Price_data!A$1:B$190,2,FALSE))</f>
        <v>0.14131097216799998</v>
      </c>
      <c r="Q2024" s="3" t="e">
        <f>G2024*(VLOOKUP(B2024,Price_data!A$1:B$190,2,FALSE))</f>
        <v>#N/A</v>
      </c>
      <c r="R2024" s="3" t="e">
        <f>I2024*(VLOOKUP(B2024,Price_data!A$1:B$190,2,FALSE))</f>
        <v>#N/A</v>
      </c>
      <c r="S2024" s="4" t="str">
        <f>(VLOOKUP(B2024,Price_data!A$1:C$190,3,FALSE))</f>
        <v>EEZ</v>
      </c>
      <c r="T2024" s="2" t="str">
        <f>IF(C2024="Total", (VLOOKUP(B2024,Recommended_fish_intake!A$4:D$122,4,FALSE)), "NA")</f>
        <v>NA</v>
      </c>
      <c r="U2024" s="2" t="str">
        <f t="shared" si="235"/>
        <v>NA</v>
      </c>
    </row>
    <row r="2025" spans="1:21" ht="14.25" customHeight="1">
      <c r="A2025" s="2" t="s">
        <v>40</v>
      </c>
      <c r="B2025" s="2">
        <v>1984</v>
      </c>
      <c r="C2025" s="2" t="s">
        <v>24</v>
      </c>
      <c r="D2025" s="3">
        <f t="shared" si="236"/>
        <v>5.6639999999999997</v>
      </c>
      <c r="E2025" s="3">
        <f t="shared" si="237"/>
        <v>1.391</v>
      </c>
      <c r="F2025" s="3" t="e">
        <f t="shared" si="238"/>
        <v>#N/A</v>
      </c>
      <c r="G2025" s="3" t="e">
        <f t="shared" si="239"/>
        <v>#N/A</v>
      </c>
      <c r="H2025" s="3" t="e">
        <f t="shared" si="240"/>
        <v>#N/A</v>
      </c>
      <c r="I2025" s="3" t="e">
        <f t="shared" si="241"/>
        <v>#N/A</v>
      </c>
      <c r="J2025" s="2">
        <v>5664</v>
      </c>
      <c r="K2025" s="2">
        <v>1391</v>
      </c>
      <c r="P2025" s="3">
        <f>E2025*(VLOOKUP(B2025,Price_data!A$1:B$190,2,FALSE))</f>
        <v>2.656264355212</v>
      </c>
      <c r="Q2025" s="3" t="e">
        <f>G2025*(VLOOKUP(B2025,Price_data!A$1:B$190,2,FALSE))</f>
        <v>#N/A</v>
      </c>
      <c r="R2025" s="3" t="e">
        <f>I2025*(VLOOKUP(B2025,Price_data!A$1:B$190,2,FALSE))</f>
        <v>#N/A</v>
      </c>
      <c r="S2025" s="4" t="str">
        <f>(VLOOKUP(B2025,Price_data!A$1:C$190,3,FALSE))</f>
        <v>EEZ</v>
      </c>
      <c r="T2025" s="2" t="str">
        <f>IF(C2025="Total", (VLOOKUP(B2025,Recommended_fish_intake!A$4:D$122,4,FALSE)), "NA")</f>
        <v>NA</v>
      </c>
      <c r="U2025" s="2" t="str">
        <f t="shared" si="235"/>
        <v>NA</v>
      </c>
    </row>
    <row r="2026" spans="1:21" ht="14.25" customHeight="1">
      <c r="A2026" s="2" t="s">
        <v>40</v>
      </c>
      <c r="B2026" s="2">
        <v>1984</v>
      </c>
      <c r="C2026" s="2" t="s">
        <v>19</v>
      </c>
      <c r="D2026" s="3">
        <f t="shared" si="236"/>
        <v>1.776</v>
      </c>
      <c r="E2026" s="3">
        <f t="shared" si="237"/>
        <v>0.26400000000000001</v>
      </c>
      <c r="F2026" s="3" t="e">
        <f t="shared" si="238"/>
        <v>#N/A</v>
      </c>
      <c r="G2026" s="3" t="e">
        <f t="shared" si="239"/>
        <v>#N/A</v>
      </c>
      <c r="H2026" s="3" t="e">
        <f t="shared" si="240"/>
        <v>#N/A</v>
      </c>
      <c r="I2026" s="3" t="e">
        <f t="shared" si="241"/>
        <v>#N/A</v>
      </c>
      <c r="J2026" s="2">
        <v>1776</v>
      </c>
      <c r="K2026" s="2">
        <v>264</v>
      </c>
      <c r="P2026" s="3">
        <f>E2026*(VLOOKUP(B2026,Price_data!A$1:B$190,2,FALSE))</f>
        <v>0.50413644124800006</v>
      </c>
      <c r="Q2026" s="3" t="e">
        <f>G2026*(VLOOKUP(B2026,Price_data!A$1:B$190,2,FALSE))</f>
        <v>#N/A</v>
      </c>
      <c r="R2026" s="3" t="e">
        <f>I2026*(VLOOKUP(B2026,Price_data!A$1:B$190,2,FALSE))</f>
        <v>#N/A</v>
      </c>
      <c r="S2026" s="4" t="str">
        <f>(VLOOKUP(B2026,Price_data!A$1:C$190,3,FALSE))</f>
        <v>EEZ</v>
      </c>
      <c r="T2026" s="2" t="str">
        <f>IF(C2026="Total", (VLOOKUP(B2026,Recommended_fish_intake!A$4:D$122,4,FALSE)), "NA")</f>
        <v>NA</v>
      </c>
      <c r="U2026" s="2" t="str">
        <f t="shared" si="235"/>
        <v>NA</v>
      </c>
    </row>
    <row r="2027" spans="1:21" ht="14.25" customHeight="1">
      <c r="A2027" s="2" t="s">
        <v>40</v>
      </c>
      <c r="B2027" s="2">
        <v>1984</v>
      </c>
      <c r="C2027" s="2" t="s">
        <v>20</v>
      </c>
      <c r="D2027" s="3">
        <f t="shared" si="236"/>
        <v>1.1240000000000001</v>
      </c>
      <c r="E2027" s="3">
        <f t="shared" si="237"/>
        <v>0.105</v>
      </c>
      <c r="F2027" s="3" t="e">
        <f t="shared" si="238"/>
        <v>#N/A</v>
      </c>
      <c r="G2027" s="3" t="e">
        <f t="shared" si="239"/>
        <v>#N/A</v>
      </c>
      <c r="H2027" s="3" t="e">
        <f t="shared" si="240"/>
        <v>#N/A</v>
      </c>
      <c r="I2027" s="3" t="e">
        <f t="shared" si="241"/>
        <v>#N/A</v>
      </c>
      <c r="J2027" s="2">
        <v>1124</v>
      </c>
      <c r="K2027" s="2">
        <v>105</v>
      </c>
      <c r="P2027" s="3">
        <f>E2027*(VLOOKUP(B2027,Price_data!A$1:B$190,2,FALSE))</f>
        <v>0.20050881186</v>
      </c>
      <c r="Q2027" s="3" t="e">
        <f>G2027*(VLOOKUP(B2027,Price_data!A$1:B$190,2,FALSE))</f>
        <v>#N/A</v>
      </c>
      <c r="R2027" s="3" t="e">
        <f>I2027*(VLOOKUP(B2027,Price_data!A$1:B$190,2,FALSE))</f>
        <v>#N/A</v>
      </c>
      <c r="S2027" s="4" t="str">
        <f>(VLOOKUP(B2027,Price_data!A$1:C$190,3,FALSE))</f>
        <v>EEZ</v>
      </c>
      <c r="T2027" s="2" t="str">
        <f>IF(C2027="Total", (VLOOKUP(B2027,Recommended_fish_intake!A$4:D$122,4,FALSE)), "NA")</f>
        <v>NA</v>
      </c>
      <c r="U2027" s="2" t="str">
        <f t="shared" si="235"/>
        <v>NA</v>
      </c>
    </row>
    <row r="2028" spans="1:21" ht="14.25" customHeight="1">
      <c r="A2028" s="2" t="s">
        <v>40</v>
      </c>
      <c r="B2028" s="2">
        <v>1984</v>
      </c>
      <c r="C2028" s="2" t="s">
        <v>21</v>
      </c>
      <c r="D2028" s="3">
        <f t="shared" si="236"/>
        <v>0</v>
      </c>
      <c r="E2028" s="3">
        <f t="shared" si="237"/>
        <v>0</v>
      </c>
      <c r="F2028" s="3" t="e">
        <f t="shared" si="238"/>
        <v>#N/A</v>
      </c>
      <c r="G2028" s="3" t="e">
        <f t="shared" si="239"/>
        <v>#N/A</v>
      </c>
      <c r="H2028" s="3" t="e">
        <f t="shared" si="240"/>
        <v>#N/A</v>
      </c>
      <c r="I2028" s="3" t="e">
        <f t="shared" si="241"/>
        <v>#N/A</v>
      </c>
      <c r="J2028" s="2">
        <v>0</v>
      </c>
      <c r="K2028" s="2">
        <v>0</v>
      </c>
      <c r="P2028" s="3">
        <f>E2028*(VLOOKUP(B2028,Price_data!A$1:B$190,2,FALSE))</f>
        <v>0</v>
      </c>
      <c r="Q2028" s="3" t="e">
        <f>G2028*(VLOOKUP(B2028,Price_data!A$1:B$190,2,FALSE))</f>
        <v>#N/A</v>
      </c>
      <c r="R2028" s="3" t="e">
        <f>I2028*(VLOOKUP(B2028,Price_data!A$1:B$190,2,FALSE))</f>
        <v>#N/A</v>
      </c>
      <c r="S2028" s="4" t="str">
        <f>(VLOOKUP(B2028,Price_data!A$1:C$190,3,FALSE))</f>
        <v>EEZ</v>
      </c>
      <c r="T2028" s="2" t="str">
        <f>IF(C2028="Total", (VLOOKUP(B2028,Recommended_fish_intake!A$4:D$122,4,FALSE)), "NA")</f>
        <v>NA</v>
      </c>
      <c r="U2028" s="2" t="str">
        <f t="shared" si="235"/>
        <v>NA</v>
      </c>
    </row>
    <row r="2029" spans="1:21" ht="14.25" customHeight="1">
      <c r="A2029" s="2" t="s">
        <v>40</v>
      </c>
      <c r="B2029" s="2">
        <v>1984</v>
      </c>
      <c r="C2029" s="2" t="s">
        <v>37</v>
      </c>
      <c r="D2029" s="3">
        <f t="shared" si="236"/>
        <v>14.093</v>
      </c>
      <c r="E2029" s="3">
        <f t="shared" si="237"/>
        <v>4.2530000000000001</v>
      </c>
      <c r="F2029" s="3" t="e">
        <f t="shared" si="238"/>
        <v>#N/A</v>
      </c>
      <c r="G2029" s="3" t="e">
        <f t="shared" si="239"/>
        <v>#N/A</v>
      </c>
      <c r="H2029" s="3" t="e">
        <f t="shared" si="240"/>
        <v>#N/A</v>
      </c>
      <c r="I2029" s="3" t="e">
        <f t="shared" si="241"/>
        <v>#N/A</v>
      </c>
      <c r="J2029" s="2">
        <v>14093</v>
      </c>
      <c r="K2029" s="2">
        <v>4253</v>
      </c>
      <c r="P2029" s="3">
        <f>E2029*(VLOOKUP(B2029,Price_data!A$1:B$190,2,FALSE))</f>
        <v>8.121561684196001</v>
      </c>
      <c r="Q2029" s="3" t="e">
        <f>G2029*(VLOOKUP(B2029,Price_data!A$1:B$190,2,FALSE))</f>
        <v>#N/A</v>
      </c>
      <c r="R2029" s="3" t="e">
        <f>I2029*(VLOOKUP(B2029,Price_data!A$1:B$190,2,FALSE))</f>
        <v>#N/A</v>
      </c>
      <c r="S2029" s="4" t="str">
        <f>(VLOOKUP(B2029,Price_data!A$1:C$190,3,FALSE))</f>
        <v>EEZ</v>
      </c>
      <c r="T2029" s="2" t="str">
        <f>IF(C2029="Total", (VLOOKUP(B2029,Recommended_fish_intake!A$4:D$122,4,FALSE)), "NA")</f>
        <v>NA</v>
      </c>
      <c r="U2029" s="2">
        <f t="shared" si="235"/>
        <v>6.90557</v>
      </c>
    </row>
    <row r="2030" spans="1:21" ht="14.25" customHeight="1">
      <c r="A2030" s="2" t="s">
        <v>40</v>
      </c>
      <c r="B2030" s="2">
        <v>1984</v>
      </c>
      <c r="C2030" s="2" t="s">
        <v>36</v>
      </c>
      <c r="D2030" s="3">
        <f t="shared" si="236"/>
        <v>4.0000000000000001E-3</v>
      </c>
      <c r="E2030" s="3">
        <f t="shared" si="237"/>
        <v>1E-3</v>
      </c>
      <c r="F2030" s="3" t="e">
        <f t="shared" si="238"/>
        <v>#N/A</v>
      </c>
      <c r="G2030" s="3" t="e">
        <f t="shared" si="239"/>
        <v>#N/A</v>
      </c>
      <c r="H2030" s="3" t="e">
        <f t="shared" si="240"/>
        <v>#N/A</v>
      </c>
      <c r="I2030" s="3" t="e">
        <f t="shared" si="241"/>
        <v>#N/A</v>
      </c>
      <c r="J2030" s="2">
        <v>4</v>
      </c>
      <c r="K2030" s="2">
        <v>1</v>
      </c>
      <c r="P2030" s="3">
        <f>E2030*(VLOOKUP(B2030,Price_data!A$1:B$190,2,FALSE))</f>
        <v>1.9096077320000001E-3</v>
      </c>
      <c r="Q2030" s="3" t="e">
        <f>G2030*(VLOOKUP(B2030,Price_data!A$1:B$190,2,FALSE))</f>
        <v>#N/A</v>
      </c>
      <c r="R2030" s="3" t="e">
        <f>I2030*(VLOOKUP(B2030,Price_data!A$1:B$190,2,FALSE))</f>
        <v>#N/A</v>
      </c>
      <c r="S2030" s="4" t="str">
        <f>(VLOOKUP(B2030,Price_data!A$1:C$190,3,FALSE))</f>
        <v>EEZ</v>
      </c>
      <c r="T2030" s="2" t="str">
        <f>IF(C2030="Total", (VLOOKUP(B2030,Recommended_fish_intake!A$4:D$122,4,FALSE)), "NA")</f>
        <v>NA</v>
      </c>
      <c r="U2030" s="2" t="str">
        <f t="shared" si="235"/>
        <v>NA</v>
      </c>
    </row>
    <row r="2031" spans="1:21" ht="14.25" customHeight="1">
      <c r="A2031" s="2" t="s">
        <v>40</v>
      </c>
      <c r="B2031" s="2">
        <v>1984</v>
      </c>
      <c r="C2031" s="2" t="s">
        <v>34</v>
      </c>
      <c r="D2031" s="3">
        <f t="shared" si="236"/>
        <v>1.7999999999999999E-2</v>
      </c>
      <c r="E2031" s="3">
        <f t="shared" si="237"/>
        <v>8.2000000000000003E-2</v>
      </c>
      <c r="F2031" s="3" t="e">
        <f t="shared" si="238"/>
        <v>#N/A</v>
      </c>
      <c r="G2031" s="3" t="e">
        <f t="shared" si="239"/>
        <v>#N/A</v>
      </c>
      <c r="H2031" s="3" t="e">
        <f t="shared" si="240"/>
        <v>#N/A</v>
      </c>
      <c r="I2031" s="3" t="e">
        <f t="shared" si="241"/>
        <v>#N/A</v>
      </c>
      <c r="J2031" s="2">
        <v>18</v>
      </c>
      <c r="K2031" s="2">
        <v>82</v>
      </c>
      <c r="P2031" s="3">
        <f>E2031*(VLOOKUP(B2031,Price_data!A$1:B$190,2,FALSE))</f>
        <v>0.15658783402400001</v>
      </c>
      <c r="Q2031" s="3" t="e">
        <f>G2031*(VLOOKUP(B2031,Price_data!A$1:B$190,2,FALSE))</f>
        <v>#N/A</v>
      </c>
      <c r="R2031" s="3" t="e">
        <f>I2031*(VLOOKUP(B2031,Price_data!A$1:B$190,2,FALSE))</f>
        <v>#N/A</v>
      </c>
      <c r="S2031" s="4" t="str">
        <f>(VLOOKUP(B2031,Price_data!A$1:C$190,3,FALSE))</f>
        <v>EEZ</v>
      </c>
      <c r="T2031" s="2" t="str">
        <f>IF(C2031="Total", (VLOOKUP(B2031,Recommended_fish_intake!A$4:D$122,4,FALSE)), "NA")</f>
        <v>NA</v>
      </c>
      <c r="U2031" s="2" t="str">
        <f t="shared" si="235"/>
        <v>NA</v>
      </c>
    </row>
    <row r="2032" spans="1:21" ht="14.25" customHeight="1">
      <c r="A2032" s="2" t="s">
        <v>40</v>
      </c>
      <c r="B2032" s="2">
        <v>1984</v>
      </c>
      <c r="C2032" s="2" t="s">
        <v>35</v>
      </c>
      <c r="D2032" s="3">
        <f t="shared" si="236"/>
        <v>4.03</v>
      </c>
      <c r="E2032" s="3">
        <f t="shared" si="237"/>
        <v>3.1030000000000002</v>
      </c>
      <c r="F2032" s="3" t="e">
        <f t="shared" si="238"/>
        <v>#N/A</v>
      </c>
      <c r="G2032" s="3" t="e">
        <f t="shared" si="239"/>
        <v>#N/A</v>
      </c>
      <c r="H2032" s="3" t="e">
        <f t="shared" si="240"/>
        <v>#N/A</v>
      </c>
      <c r="I2032" s="3" t="e">
        <f t="shared" si="241"/>
        <v>#N/A</v>
      </c>
      <c r="J2032" s="2">
        <v>4030</v>
      </c>
      <c r="K2032" s="2">
        <v>3103</v>
      </c>
      <c r="P2032" s="3">
        <f>E2032*(VLOOKUP(B2032,Price_data!A$1:B$190,2,FALSE))</f>
        <v>5.9255127923960007</v>
      </c>
      <c r="Q2032" s="3" t="e">
        <f>G2032*(VLOOKUP(B2032,Price_data!A$1:B$190,2,FALSE))</f>
        <v>#N/A</v>
      </c>
      <c r="R2032" s="3" t="e">
        <f>I2032*(VLOOKUP(B2032,Price_data!A$1:B$190,2,FALSE))</f>
        <v>#N/A</v>
      </c>
      <c r="S2032" s="4" t="str">
        <f>(VLOOKUP(B2032,Price_data!A$1:C$190,3,FALSE))</f>
        <v>EEZ</v>
      </c>
      <c r="T2032" s="2" t="str">
        <f>IF(C2032="Total", (VLOOKUP(B2032,Recommended_fish_intake!A$4:D$122,4,FALSE)), "NA")</f>
        <v>NA</v>
      </c>
      <c r="U2032" s="2" t="str">
        <f t="shared" si="235"/>
        <v>NA</v>
      </c>
    </row>
    <row r="2033" spans="1:21" ht="14.25" customHeight="1">
      <c r="A2033" s="2" t="s">
        <v>40</v>
      </c>
      <c r="B2033" s="2">
        <v>1984</v>
      </c>
      <c r="C2033" s="2" t="s">
        <v>52</v>
      </c>
      <c r="D2033" s="3">
        <f t="shared" si="236"/>
        <v>0.104</v>
      </c>
      <c r="E2033" s="3">
        <f t="shared" si="237"/>
        <v>5.2999999999999999E-2</v>
      </c>
      <c r="F2033" s="3" t="e">
        <f t="shared" si="238"/>
        <v>#N/A</v>
      </c>
      <c r="G2033" s="3" t="e">
        <f t="shared" si="239"/>
        <v>#N/A</v>
      </c>
      <c r="H2033" s="3" t="e">
        <f t="shared" si="240"/>
        <v>#N/A</v>
      </c>
      <c r="I2033" s="3" t="e">
        <f t="shared" si="241"/>
        <v>#N/A</v>
      </c>
      <c r="J2033" s="2">
        <v>104</v>
      </c>
      <c r="K2033" s="2">
        <v>53</v>
      </c>
      <c r="P2033" s="3">
        <f>E2033*(VLOOKUP(B2033,Price_data!A$1:B$190,2,FALSE))</f>
        <v>0.101209209796</v>
      </c>
      <c r="Q2033" s="3" t="e">
        <f>G2033*(VLOOKUP(B2033,Price_data!A$1:B$190,2,FALSE))</f>
        <v>#N/A</v>
      </c>
      <c r="R2033" s="3" t="e">
        <f>I2033*(VLOOKUP(B2033,Price_data!A$1:B$190,2,FALSE))</f>
        <v>#N/A</v>
      </c>
      <c r="S2033" s="4" t="str">
        <f>(VLOOKUP(B2033,Price_data!A$1:C$190,3,FALSE))</f>
        <v>EEZ</v>
      </c>
      <c r="T2033" s="2" t="str">
        <f>IF(C2033="Total", (VLOOKUP(B2033,Recommended_fish_intake!A$4:D$122,4,FALSE)), "NA")</f>
        <v>NA</v>
      </c>
      <c r="U2033" s="2" t="str">
        <f t="shared" si="235"/>
        <v>NA</v>
      </c>
    </row>
    <row r="2034" spans="1:21" ht="14.25" customHeight="1">
      <c r="A2034" s="2" t="s">
        <v>40</v>
      </c>
      <c r="B2034" s="2">
        <v>1984</v>
      </c>
      <c r="C2034" s="2" t="s">
        <v>30</v>
      </c>
      <c r="D2034" s="3">
        <f t="shared" si="236"/>
        <v>0</v>
      </c>
      <c r="E2034" s="3">
        <f t="shared" si="237"/>
        <v>0</v>
      </c>
      <c r="F2034" s="3" t="e">
        <f t="shared" si="238"/>
        <v>#N/A</v>
      </c>
      <c r="G2034" s="3" t="e">
        <f t="shared" si="239"/>
        <v>#N/A</v>
      </c>
      <c r="H2034" s="3" t="e">
        <f t="shared" si="240"/>
        <v>#N/A</v>
      </c>
      <c r="I2034" s="3" t="e">
        <f t="shared" si="241"/>
        <v>#N/A</v>
      </c>
      <c r="J2034" s="2">
        <v>0</v>
      </c>
      <c r="K2034" s="2">
        <v>0</v>
      </c>
      <c r="P2034" s="3">
        <f>E2034*(VLOOKUP(B2034,Price_data!A$1:B$190,2,FALSE))</f>
        <v>0</v>
      </c>
      <c r="Q2034" s="3" t="e">
        <f>G2034*(VLOOKUP(B2034,Price_data!A$1:B$190,2,FALSE))</f>
        <v>#N/A</v>
      </c>
      <c r="R2034" s="3" t="e">
        <f>I2034*(VLOOKUP(B2034,Price_data!A$1:B$190,2,FALSE))</f>
        <v>#N/A</v>
      </c>
      <c r="S2034" s="4" t="str">
        <f>(VLOOKUP(B2034,Price_data!A$1:C$190,3,FALSE))</f>
        <v>EEZ</v>
      </c>
      <c r="T2034" s="2" t="str">
        <f>IF(C2034="Total", (VLOOKUP(B2034,Recommended_fish_intake!A$4:D$122,4,FALSE)), "NA")</f>
        <v>NA</v>
      </c>
      <c r="U2034" s="2" t="str">
        <f t="shared" si="235"/>
        <v>NA</v>
      </c>
    </row>
    <row r="2035" spans="1:21" ht="14.25" customHeight="1">
      <c r="A2035" s="2" t="s">
        <v>40</v>
      </c>
      <c r="B2035" s="2">
        <v>1984</v>
      </c>
      <c r="C2035" s="2" t="s">
        <v>28</v>
      </c>
      <c r="D2035" s="3">
        <f t="shared" si="236"/>
        <v>4.4560000000000004</v>
      </c>
      <c r="E2035" s="3">
        <f t="shared" si="237"/>
        <v>3.39</v>
      </c>
      <c r="F2035" s="3" t="e">
        <f t="shared" si="238"/>
        <v>#N/A</v>
      </c>
      <c r="G2035" s="3" t="e">
        <f t="shared" si="239"/>
        <v>#N/A</v>
      </c>
      <c r="H2035" s="3" t="e">
        <f t="shared" si="240"/>
        <v>#N/A</v>
      </c>
      <c r="I2035" s="3" t="e">
        <f t="shared" si="241"/>
        <v>#N/A</v>
      </c>
      <c r="J2035" s="2">
        <v>4456</v>
      </c>
      <c r="K2035" s="2">
        <v>3390</v>
      </c>
      <c r="P2035" s="3">
        <f>E2035*(VLOOKUP(B2035,Price_data!A$1:B$190,2,FALSE))</f>
        <v>6.4735702114800002</v>
      </c>
      <c r="Q2035" s="3" t="e">
        <f>G2035*(VLOOKUP(B2035,Price_data!A$1:B$190,2,FALSE))</f>
        <v>#N/A</v>
      </c>
      <c r="R2035" s="3" t="e">
        <f>I2035*(VLOOKUP(B2035,Price_data!A$1:B$190,2,FALSE))</f>
        <v>#N/A</v>
      </c>
      <c r="S2035" s="4" t="str">
        <f>(VLOOKUP(B2035,Price_data!A$1:C$190,3,FALSE))</f>
        <v>EEZ</v>
      </c>
      <c r="T2035" s="2" t="str">
        <f>IF(C2035="Total", (VLOOKUP(B2035,Recommended_fish_intake!A$4:D$122,4,FALSE)), "NA")</f>
        <v>NA</v>
      </c>
      <c r="U2035" s="2">
        <f t="shared" si="235"/>
        <v>1.2476800000000001</v>
      </c>
    </row>
    <row r="2036" spans="1:21" ht="14.25" customHeight="1">
      <c r="A2036" s="2" t="s">
        <v>15</v>
      </c>
      <c r="B2036" s="2">
        <v>1984</v>
      </c>
      <c r="C2036" s="2" t="s">
        <v>22</v>
      </c>
      <c r="D2036" s="3">
        <f t="shared" si="236"/>
        <v>90.873999999999995</v>
      </c>
      <c r="E2036" s="3">
        <f t="shared" si="237"/>
        <v>65.257999999999996</v>
      </c>
      <c r="F2036" s="3" t="e">
        <f t="shared" si="238"/>
        <v>#N/A</v>
      </c>
      <c r="G2036" s="3" t="e">
        <f t="shared" si="239"/>
        <v>#N/A</v>
      </c>
      <c r="H2036" s="3">
        <f t="shared" si="240"/>
        <v>117.194</v>
      </c>
      <c r="I2036" s="3">
        <f t="shared" si="241"/>
        <v>120.09699999999999</v>
      </c>
      <c r="J2036" s="2">
        <v>90874</v>
      </c>
      <c r="K2036" s="2">
        <v>65258</v>
      </c>
      <c r="N2036" s="2">
        <f>38165+59983+18579+467</f>
        <v>117194</v>
      </c>
      <c r="O2036" s="2">
        <f>22975+85971+10527+624</f>
        <v>120097</v>
      </c>
      <c r="P2036" s="3">
        <f>E2036*(VLOOKUP(B2036,Price_data!A$1:B$190,2,FALSE))</f>
        <v>124.61718137485599</v>
      </c>
      <c r="Q2036" s="3" t="e">
        <f>G2036*(VLOOKUP(B2036,Price_data!A$1:B$190,2,FALSE))</f>
        <v>#N/A</v>
      </c>
      <c r="R2036" s="3">
        <f>I2036*(VLOOKUP(B2036,Price_data!A$1:B$190,2,FALSE))</f>
        <v>229.338159790004</v>
      </c>
      <c r="S2036" s="4" t="str">
        <f>(VLOOKUP(B2036,Price_data!A$1:C$190,3,FALSE))</f>
        <v>EEZ</v>
      </c>
      <c r="T2036" s="2" t="str">
        <f>IF(C2036="Total", (VLOOKUP(B2036,Recommended_fish_intake!A$4:D$122,4,FALSE)), "NA")</f>
        <v>NA</v>
      </c>
      <c r="U2036" s="2" t="str">
        <f t="shared" si="235"/>
        <v>NA</v>
      </c>
    </row>
    <row r="2037" spans="1:21" ht="14.25" customHeight="1">
      <c r="A2037" s="2" t="s">
        <v>15</v>
      </c>
      <c r="B2037" s="2">
        <v>1984</v>
      </c>
      <c r="C2037" s="2" t="s">
        <v>23</v>
      </c>
      <c r="D2037" s="3">
        <f t="shared" si="236"/>
        <v>107.47499999999999</v>
      </c>
      <c r="E2037" s="3">
        <f t="shared" si="237"/>
        <v>64.203999999999994</v>
      </c>
      <c r="F2037" s="3" t="e">
        <f t="shared" si="238"/>
        <v>#N/A</v>
      </c>
      <c r="G2037" s="3" t="e">
        <f t="shared" si="239"/>
        <v>#N/A</v>
      </c>
      <c r="H2037" s="3">
        <f t="shared" si="240"/>
        <v>13.898999999999999</v>
      </c>
      <c r="I2037" s="3">
        <f t="shared" si="241"/>
        <v>12.37</v>
      </c>
      <c r="J2037" s="2">
        <v>107475</v>
      </c>
      <c r="K2037" s="2">
        <v>64204</v>
      </c>
      <c r="N2037" s="2">
        <f>7832+4620+1447</f>
        <v>13899</v>
      </c>
      <c r="O2037" s="2">
        <f>4668+6885+817</f>
        <v>12370</v>
      </c>
      <c r="P2037" s="3">
        <f>E2037*(VLOOKUP(B2037,Price_data!A$1:B$190,2,FALSE))</f>
        <v>122.60445482532799</v>
      </c>
      <c r="Q2037" s="3" t="e">
        <f>G2037*(VLOOKUP(B2037,Price_data!A$1:B$190,2,FALSE))</f>
        <v>#N/A</v>
      </c>
      <c r="R2037" s="3">
        <f>I2037*(VLOOKUP(B2037,Price_data!A$1:B$190,2,FALSE))</f>
        <v>23.621847644839999</v>
      </c>
      <c r="S2037" s="4" t="str">
        <f>(VLOOKUP(B2037,Price_data!A$1:C$190,3,FALSE))</f>
        <v>EEZ</v>
      </c>
      <c r="T2037" s="2" t="str">
        <f>IF(C2037="Total", (VLOOKUP(B2037,Recommended_fish_intake!A$4:D$122,4,FALSE)), "NA")</f>
        <v>NA</v>
      </c>
      <c r="U2037" s="2" t="str">
        <f t="shared" si="235"/>
        <v>NA</v>
      </c>
    </row>
    <row r="2038" spans="1:21" ht="14.25" customHeight="1">
      <c r="A2038" s="2" t="s">
        <v>15</v>
      </c>
      <c r="B2038" s="2">
        <v>1984</v>
      </c>
      <c r="C2038" s="2" t="s">
        <v>25</v>
      </c>
      <c r="D2038" s="3">
        <f t="shared" si="236"/>
        <v>21.492000000000001</v>
      </c>
      <c r="E2038" s="3">
        <f t="shared" si="237"/>
        <v>14.097</v>
      </c>
      <c r="F2038" s="3" t="e">
        <f t="shared" si="238"/>
        <v>#N/A</v>
      </c>
      <c r="G2038" s="3" t="e">
        <f t="shared" si="239"/>
        <v>#N/A</v>
      </c>
      <c r="H2038" s="3">
        <f t="shared" si="240"/>
        <v>18.920999999999999</v>
      </c>
      <c r="I2038" s="3">
        <f t="shared" si="241"/>
        <v>16.885000000000002</v>
      </c>
      <c r="J2038" s="2">
        <v>21492</v>
      </c>
      <c r="K2038" s="2">
        <v>14097</v>
      </c>
      <c r="N2038" s="2">
        <f>14701+3188+1032</f>
        <v>18921</v>
      </c>
      <c r="O2038" s="2">
        <f>10360+5909+616</f>
        <v>16885</v>
      </c>
      <c r="P2038" s="3">
        <f>E2038*(VLOOKUP(B2038,Price_data!A$1:B$190,2,FALSE))</f>
        <v>26.919740198004</v>
      </c>
      <c r="Q2038" s="3" t="e">
        <f>G2038*(VLOOKUP(B2038,Price_data!A$1:B$190,2,FALSE))</f>
        <v>#N/A</v>
      </c>
      <c r="R2038" s="3">
        <f>I2038*(VLOOKUP(B2038,Price_data!A$1:B$190,2,FALSE))</f>
        <v>32.24372655482</v>
      </c>
      <c r="S2038" s="4" t="str">
        <f>(VLOOKUP(B2038,Price_data!A$1:C$190,3,FALSE))</f>
        <v>EEZ</v>
      </c>
      <c r="T2038" s="2" t="str">
        <f>IF(C2038="Total", (VLOOKUP(B2038,Recommended_fish_intake!A$4:D$122,4,FALSE)), "NA")</f>
        <v>NA</v>
      </c>
      <c r="U2038" s="2" t="str">
        <f t="shared" si="235"/>
        <v>NA</v>
      </c>
    </row>
    <row r="2039" spans="1:21" ht="14.25" customHeight="1">
      <c r="A2039" s="2" t="s">
        <v>15</v>
      </c>
      <c r="B2039" s="2">
        <v>1984</v>
      </c>
      <c r="C2039" s="2" t="s">
        <v>24</v>
      </c>
      <c r="D2039" s="3">
        <f t="shared" si="236"/>
        <v>60.701000000000001</v>
      </c>
      <c r="E2039" s="3">
        <f t="shared" si="237"/>
        <v>23.006</v>
      </c>
      <c r="F2039" s="3" t="e">
        <f t="shared" si="238"/>
        <v>#N/A</v>
      </c>
      <c r="G2039" s="3" t="e">
        <f t="shared" si="239"/>
        <v>#N/A</v>
      </c>
      <c r="H2039" s="3" t="e">
        <f t="shared" si="240"/>
        <v>#N/A</v>
      </c>
      <c r="I2039" s="3" t="e">
        <f t="shared" si="241"/>
        <v>#N/A</v>
      </c>
      <c r="J2039" s="2">
        <v>60701</v>
      </c>
      <c r="K2039" s="2">
        <v>23006</v>
      </c>
      <c r="P2039" s="3">
        <f>E2039*(VLOOKUP(B2039,Price_data!A$1:B$190,2,FALSE))</f>
        <v>43.932435482392002</v>
      </c>
      <c r="Q2039" s="3" t="e">
        <f>G2039*(VLOOKUP(B2039,Price_data!A$1:B$190,2,FALSE))</f>
        <v>#N/A</v>
      </c>
      <c r="R2039" s="3" t="e">
        <f>I2039*(VLOOKUP(B2039,Price_data!A$1:B$190,2,FALSE))</f>
        <v>#N/A</v>
      </c>
      <c r="S2039" s="4" t="str">
        <f>(VLOOKUP(B2039,Price_data!A$1:C$190,3,FALSE))</f>
        <v>EEZ</v>
      </c>
      <c r="T2039" s="2" t="str">
        <f>IF(C2039="Total", (VLOOKUP(B2039,Recommended_fish_intake!A$4:D$122,4,FALSE)), "NA")</f>
        <v>NA</v>
      </c>
      <c r="U2039" s="2" t="str">
        <f t="shared" si="235"/>
        <v>NA</v>
      </c>
    </row>
    <row r="2040" spans="1:21" ht="14.25" customHeight="1">
      <c r="A2040" s="2" t="s">
        <v>15</v>
      </c>
      <c r="B2040" s="2">
        <v>1984</v>
      </c>
      <c r="C2040" s="2" t="s">
        <v>19</v>
      </c>
      <c r="D2040" s="3">
        <f t="shared" si="236"/>
        <v>71.478999999999999</v>
      </c>
      <c r="E2040" s="3">
        <f t="shared" si="237"/>
        <v>9.0760000000000005</v>
      </c>
      <c r="F2040" s="3" t="e">
        <f t="shared" si="238"/>
        <v>#N/A</v>
      </c>
      <c r="G2040" s="3" t="e">
        <f t="shared" si="239"/>
        <v>#N/A</v>
      </c>
      <c r="H2040" s="3">
        <f t="shared" si="240"/>
        <v>11.14</v>
      </c>
      <c r="I2040" s="3">
        <f t="shared" si="241"/>
        <v>4.9619999999999997</v>
      </c>
      <c r="J2040" s="2">
        <v>71479</v>
      </c>
      <c r="K2040" s="2">
        <v>9076</v>
      </c>
      <c r="N2040" s="2">
        <f>6512+3243+256+1129</f>
        <v>11140</v>
      </c>
      <c r="O2040" s="2">
        <f>1675+1382+168+1737</f>
        <v>4962</v>
      </c>
      <c r="P2040" s="3">
        <f>E2040*(VLOOKUP(B2040,Price_data!A$1:B$190,2,FALSE))</f>
        <v>17.331599775632</v>
      </c>
      <c r="Q2040" s="3" t="e">
        <f>G2040*(VLOOKUP(B2040,Price_data!A$1:B$190,2,FALSE))</f>
        <v>#N/A</v>
      </c>
      <c r="R2040" s="3">
        <f>I2040*(VLOOKUP(B2040,Price_data!A$1:B$190,2,FALSE))</f>
        <v>9.4754735661840002</v>
      </c>
      <c r="S2040" s="4" t="str">
        <f>(VLOOKUP(B2040,Price_data!A$1:C$190,3,FALSE))</f>
        <v>EEZ</v>
      </c>
      <c r="T2040" s="2" t="str">
        <f>IF(C2040="Total", (VLOOKUP(B2040,Recommended_fish_intake!A$4:D$122,4,FALSE)), "NA")</f>
        <v>NA</v>
      </c>
      <c r="U2040" s="2" t="str">
        <f t="shared" si="235"/>
        <v>NA</v>
      </c>
    </row>
    <row r="2041" spans="1:21" ht="14.25" customHeight="1">
      <c r="A2041" s="2" t="s">
        <v>15</v>
      </c>
      <c r="B2041" s="2">
        <v>1984</v>
      </c>
      <c r="C2041" s="2" t="s">
        <v>20</v>
      </c>
      <c r="D2041" s="3">
        <f t="shared" si="236"/>
        <v>186.32900000000001</v>
      </c>
      <c r="E2041" s="3">
        <f t="shared" si="237"/>
        <v>18.768000000000001</v>
      </c>
      <c r="F2041" s="3" t="e">
        <f t="shared" si="238"/>
        <v>#N/A</v>
      </c>
      <c r="G2041" s="3" t="e">
        <f t="shared" si="239"/>
        <v>#N/A</v>
      </c>
      <c r="H2041" s="3">
        <f t="shared" si="240"/>
        <v>1.923</v>
      </c>
      <c r="I2041" s="3">
        <f t="shared" si="241"/>
        <v>2.5430000000000001</v>
      </c>
      <c r="J2041" s="2">
        <v>186329</v>
      </c>
      <c r="K2041" s="2">
        <v>18768</v>
      </c>
      <c r="N2041" s="2">
        <v>1923</v>
      </c>
      <c r="O2041" s="2">
        <v>2543</v>
      </c>
      <c r="P2041" s="3">
        <f>E2041*(VLOOKUP(B2041,Price_data!A$1:B$190,2,FALSE))</f>
        <v>35.839517914176</v>
      </c>
      <c r="Q2041" s="3" t="e">
        <f>G2041*(VLOOKUP(B2041,Price_data!A$1:B$190,2,FALSE))</f>
        <v>#N/A</v>
      </c>
      <c r="R2041" s="3">
        <f>I2041*(VLOOKUP(B2041,Price_data!A$1:B$190,2,FALSE))</f>
        <v>4.8561324624760003</v>
      </c>
      <c r="S2041" s="4" t="str">
        <f>(VLOOKUP(B2041,Price_data!A$1:C$190,3,FALSE))</f>
        <v>EEZ</v>
      </c>
      <c r="T2041" s="2" t="str">
        <f>IF(C2041="Total", (VLOOKUP(B2041,Recommended_fish_intake!A$4:D$122,4,FALSE)), "NA")</f>
        <v>NA</v>
      </c>
      <c r="U2041" s="2" t="str">
        <f t="shared" si="235"/>
        <v>NA</v>
      </c>
    </row>
    <row r="2042" spans="1:21" ht="14.25" customHeight="1">
      <c r="A2042" s="2" t="s">
        <v>15</v>
      </c>
      <c r="B2042" s="2">
        <v>1984</v>
      </c>
      <c r="C2042" s="2" t="s">
        <v>21</v>
      </c>
      <c r="D2042" s="3">
        <f t="shared" si="236"/>
        <v>5.7869999999999999</v>
      </c>
      <c r="E2042" s="3">
        <f t="shared" si="237"/>
        <v>0.70299999999999996</v>
      </c>
      <c r="F2042" s="3" t="e">
        <f t="shared" si="238"/>
        <v>#N/A</v>
      </c>
      <c r="G2042" s="3" t="e">
        <f t="shared" si="239"/>
        <v>#N/A</v>
      </c>
      <c r="H2042" s="3" t="e">
        <f t="shared" si="240"/>
        <v>#N/A</v>
      </c>
      <c r="I2042" s="3" t="e">
        <f t="shared" si="241"/>
        <v>#N/A</v>
      </c>
      <c r="J2042" s="2">
        <v>5787</v>
      </c>
      <c r="K2042" s="2">
        <v>703</v>
      </c>
      <c r="P2042" s="3">
        <f>E2042*(VLOOKUP(B2042,Price_data!A$1:B$190,2,FALSE))</f>
        <v>1.3424542355959999</v>
      </c>
      <c r="Q2042" s="3" t="e">
        <f>G2042*(VLOOKUP(B2042,Price_data!A$1:B$190,2,FALSE))</f>
        <v>#N/A</v>
      </c>
      <c r="R2042" s="3" t="e">
        <f>I2042*(VLOOKUP(B2042,Price_data!A$1:B$190,2,FALSE))</f>
        <v>#N/A</v>
      </c>
      <c r="S2042" s="4" t="str">
        <f>(VLOOKUP(B2042,Price_data!A$1:C$190,3,FALSE))</f>
        <v>EEZ</v>
      </c>
      <c r="T2042" s="2" t="str">
        <f>IF(C2042="Total", (VLOOKUP(B2042,Recommended_fish_intake!A$4:D$122,4,FALSE)), "NA")</f>
        <v>NA</v>
      </c>
      <c r="U2042" s="2" t="str">
        <f t="shared" si="235"/>
        <v>NA</v>
      </c>
    </row>
    <row r="2043" spans="1:21" ht="14.25" customHeight="1">
      <c r="A2043" s="2" t="s">
        <v>15</v>
      </c>
      <c r="B2043" s="2">
        <v>1984</v>
      </c>
      <c r="C2043" s="2" t="s">
        <v>37</v>
      </c>
      <c r="D2043" s="3">
        <f t="shared" si="236"/>
        <v>661.04700000000003</v>
      </c>
      <c r="E2043" s="3">
        <f t="shared" si="237"/>
        <v>240.58699999999999</v>
      </c>
      <c r="F2043" s="3">
        <f t="shared" si="238"/>
        <v>254.79900000000001</v>
      </c>
      <c r="G2043" s="3">
        <f t="shared" si="239"/>
        <v>131.46100000000001</v>
      </c>
      <c r="H2043" s="3">
        <f t="shared" si="240"/>
        <v>317.37700000000001</v>
      </c>
      <c r="I2043" s="3">
        <f t="shared" si="241"/>
        <v>399.84199999999998</v>
      </c>
      <c r="J2043" s="2">
        <v>661047</v>
      </c>
      <c r="K2043" s="2">
        <v>240587</v>
      </c>
      <c r="L2043" s="2">
        <v>254799</v>
      </c>
      <c r="M2043" s="2">
        <v>131461</v>
      </c>
      <c r="N2043" s="2">
        <v>317377</v>
      </c>
      <c r="O2043" s="2">
        <v>399842</v>
      </c>
      <c r="P2043" s="3">
        <f>E2043*(VLOOKUP(B2043,Price_data!A$1:B$190,2,FALSE))</f>
        <v>459.42679541868398</v>
      </c>
      <c r="Q2043" s="3">
        <f>G2043*(VLOOKUP(B2043,Price_data!A$1:B$190,2,FALSE))</f>
        <v>251.03894205645202</v>
      </c>
      <c r="R2043" s="3">
        <f>I2043*(VLOOKUP(B2043,Price_data!A$1:B$190,2,FALSE))</f>
        <v>763.54137477834399</v>
      </c>
      <c r="S2043" s="4" t="str">
        <f>(VLOOKUP(B2043,Price_data!A$1:C$190,3,FALSE))</f>
        <v>EEZ</v>
      </c>
      <c r="T2043" s="2" t="str">
        <f>IF(C2043="Total", (VLOOKUP(B2043,Recommended_fish_intake!A$4:D$122,4,FALSE)), "NA")</f>
        <v>NA</v>
      </c>
      <c r="U2043" s="2">
        <f t="shared" si="235"/>
        <v>323.91302999999999</v>
      </c>
    </row>
    <row r="2044" spans="1:21" ht="14.25" customHeight="1">
      <c r="A2044" s="2" t="s">
        <v>15</v>
      </c>
      <c r="B2044" s="2">
        <v>1984</v>
      </c>
      <c r="C2044" s="2" t="s">
        <v>36</v>
      </c>
      <c r="D2044" s="3">
        <f t="shared" si="236"/>
        <v>14.026</v>
      </c>
      <c r="E2044" s="3">
        <f t="shared" si="237"/>
        <v>8.4220000000000006</v>
      </c>
      <c r="F2044" s="3" t="e">
        <f t="shared" si="238"/>
        <v>#N/A</v>
      </c>
      <c r="G2044" s="3" t="e">
        <f t="shared" si="239"/>
        <v>#N/A</v>
      </c>
      <c r="H2044" s="3">
        <f t="shared" si="240"/>
        <v>1.28</v>
      </c>
      <c r="I2044" s="3">
        <f t="shared" si="241"/>
        <v>6.556</v>
      </c>
      <c r="J2044" s="2">
        <v>14026</v>
      </c>
      <c r="K2044" s="2">
        <v>8422</v>
      </c>
      <c r="N2044" s="2">
        <v>1280</v>
      </c>
      <c r="O2044" s="2">
        <v>6556</v>
      </c>
      <c r="P2044" s="3">
        <f>E2044*(VLOOKUP(B2044,Price_data!A$1:B$190,2,FALSE))</f>
        <v>16.082716318904001</v>
      </c>
      <c r="Q2044" s="3" t="e">
        <f>G2044*(VLOOKUP(B2044,Price_data!A$1:B$190,2,FALSE))</f>
        <v>#N/A</v>
      </c>
      <c r="R2044" s="3">
        <f>I2044*(VLOOKUP(B2044,Price_data!A$1:B$190,2,FALSE))</f>
        <v>12.519388290992</v>
      </c>
      <c r="S2044" s="4" t="str">
        <f>(VLOOKUP(B2044,Price_data!A$1:C$190,3,FALSE))</f>
        <v>EEZ</v>
      </c>
      <c r="T2044" s="2" t="str">
        <f>IF(C2044="Total", (VLOOKUP(B2044,Recommended_fish_intake!A$4:D$122,4,FALSE)), "NA")</f>
        <v>NA</v>
      </c>
      <c r="U2044" s="2" t="str">
        <f t="shared" si="235"/>
        <v>NA</v>
      </c>
    </row>
    <row r="2045" spans="1:21" ht="14.25" customHeight="1">
      <c r="A2045" s="2" t="s">
        <v>15</v>
      </c>
      <c r="B2045" s="2">
        <v>1984</v>
      </c>
      <c r="C2045" s="2" t="s">
        <v>34</v>
      </c>
      <c r="D2045" s="3">
        <f t="shared" si="236"/>
        <v>1.2390000000000001</v>
      </c>
      <c r="E2045" s="3">
        <f t="shared" si="237"/>
        <v>7.6959999999999997</v>
      </c>
      <c r="F2045" s="3" t="e">
        <f t="shared" si="238"/>
        <v>#N/A</v>
      </c>
      <c r="G2045" s="3" t="e">
        <f t="shared" si="239"/>
        <v>#N/A</v>
      </c>
      <c r="H2045" s="3" t="e">
        <f t="shared" si="240"/>
        <v>#N/A</v>
      </c>
      <c r="I2045" s="3" t="e">
        <f t="shared" si="241"/>
        <v>#N/A</v>
      </c>
      <c r="J2045" s="2">
        <v>1239</v>
      </c>
      <c r="K2045" s="2">
        <v>7696</v>
      </c>
      <c r="P2045" s="3">
        <f>E2045*(VLOOKUP(B2045,Price_data!A$1:B$190,2,FALSE))</f>
        <v>14.696341105471999</v>
      </c>
      <c r="Q2045" s="3" t="e">
        <f>G2045*(VLOOKUP(B2045,Price_data!A$1:B$190,2,FALSE))</f>
        <v>#N/A</v>
      </c>
      <c r="R2045" s="3" t="e">
        <f>I2045*(VLOOKUP(B2045,Price_data!A$1:B$190,2,FALSE))</f>
        <v>#N/A</v>
      </c>
      <c r="S2045" s="4" t="str">
        <f>(VLOOKUP(B2045,Price_data!A$1:C$190,3,FALSE))</f>
        <v>EEZ</v>
      </c>
      <c r="T2045" s="2" t="str">
        <f>IF(C2045="Total", (VLOOKUP(B2045,Recommended_fish_intake!A$4:D$122,4,FALSE)), "NA")</f>
        <v>NA</v>
      </c>
      <c r="U2045" s="2" t="str">
        <f t="shared" si="235"/>
        <v>NA</v>
      </c>
    </row>
    <row r="2046" spans="1:21" ht="14.25" customHeight="1">
      <c r="A2046" s="2" t="s">
        <v>15</v>
      </c>
      <c r="B2046" s="2">
        <v>1984</v>
      </c>
      <c r="C2046" s="2" t="s">
        <v>35</v>
      </c>
      <c r="D2046" s="3">
        <f t="shared" si="236"/>
        <v>22.227</v>
      </c>
      <c r="E2046" s="3">
        <f t="shared" si="237"/>
        <v>24.545000000000002</v>
      </c>
      <c r="F2046" s="3" t="e">
        <f t="shared" si="238"/>
        <v>#N/A</v>
      </c>
      <c r="G2046" s="3" t="e">
        <f t="shared" si="239"/>
        <v>#N/A</v>
      </c>
      <c r="H2046" s="3" t="e">
        <f t="shared" si="240"/>
        <v>#N/A</v>
      </c>
      <c r="I2046" s="3" t="e">
        <f t="shared" si="241"/>
        <v>#N/A</v>
      </c>
      <c r="J2046" s="2">
        <v>22227</v>
      </c>
      <c r="K2046" s="2">
        <v>24545</v>
      </c>
      <c r="P2046" s="3">
        <f>E2046*(VLOOKUP(B2046,Price_data!A$1:B$190,2,FALSE))</f>
        <v>46.871321781940004</v>
      </c>
      <c r="Q2046" s="3" t="e">
        <f>G2046*(VLOOKUP(B2046,Price_data!A$1:B$190,2,FALSE))</f>
        <v>#N/A</v>
      </c>
      <c r="R2046" s="3" t="e">
        <f>I2046*(VLOOKUP(B2046,Price_data!A$1:B$190,2,FALSE))</f>
        <v>#N/A</v>
      </c>
      <c r="S2046" s="4" t="str">
        <f>(VLOOKUP(B2046,Price_data!A$1:C$190,3,FALSE))</f>
        <v>EEZ</v>
      </c>
      <c r="T2046" s="2" t="str">
        <f>IF(C2046="Total", (VLOOKUP(B2046,Recommended_fish_intake!A$4:D$122,4,FALSE)), "NA")</f>
        <v>NA</v>
      </c>
      <c r="U2046" s="2" t="str">
        <f t="shared" si="235"/>
        <v>NA</v>
      </c>
    </row>
    <row r="2047" spans="1:21" ht="14.25" customHeight="1">
      <c r="A2047" s="2" t="s">
        <v>15</v>
      </c>
      <c r="B2047" s="2">
        <v>1984</v>
      </c>
      <c r="C2047" s="2" t="s">
        <v>52</v>
      </c>
      <c r="D2047" s="3">
        <f t="shared" si="236"/>
        <v>9.7829999999999995</v>
      </c>
      <c r="E2047" s="3">
        <f t="shared" si="237"/>
        <v>8.9489999999999998</v>
      </c>
      <c r="F2047" s="3" t="e">
        <f t="shared" si="238"/>
        <v>#N/A</v>
      </c>
      <c r="G2047" s="3" t="e">
        <f t="shared" si="239"/>
        <v>#N/A</v>
      </c>
      <c r="H2047" s="3" t="e">
        <f t="shared" si="240"/>
        <v>#N/A</v>
      </c>
      <c r="I2047" s="3" t="e">
        <f t="shared" si="241"/>
        <v>#N/A</v>
      </c>
      <c r="J2047" s="2">
        <v>9783</v>
      </c>
      <c r="K2047" s="2">
        <v>8949</v>
      </c>
      <c r="P2047" s="3">
        <f>E2047*(VLOOKUP(B2047,Price_data!A$1:B$190,2,FALSE))</f>
        <v>17.089079593668</v>
      </c>
      <c r="Q2047" s="3" t="e">
        <f>G2047*(VLOOKUP(B2047,Price_data!A$1:B$190,2,FALSE))</f>
        <v>#N/A</v>
      </c>
      <c r="R2047" s="3" t="e">
        <f>I2047*(VLOOKUP(B2047,Price_data!A$1:B$190,2,FALSE))</f>
        <v>#N/A</v>
      </c>
      <c r="S2047" s="4" t="str">
        <f>(VLOOKUP(B2047,Price_data!A$1:C$190,3,FALSE))</f>
        <v>EEZ</v>
      </c>
      <c r="T2047" s="2" t="str">
        <f>IF(C2047="Total", (VLOOKUP(B2047,Recommended_fish_intake!A$4:D$122,4,FALSE)), "NA")</f>
        <v>NA</v>
      </c>
      <c r="U2047" s="2" t="str">
        <f t="shared" si="235"/>
        <v>NA</v>
      </c>
    </row>
    <row r="2048" spans="1:21" ht="14.25" customHeight="1">
      <c r="A2048" s="2" t="s">
        <v>15</v>
      </c>
      <c r="B2048" s="2">
        <v>1984</v>
      </c>
      <c r="C2048" s="2" t="s">
        <v>30</v>
      </c>
      <c r="D2048" s="3">
        <f t="shared" si="236"/>
        <v>0.65500000000000003</v>
      </c>
      <c r="E2048" s="3">
        <f t="shared" si="237"/>
        <v>0.56599999999999995</v>
      </c>
      <c r="F2048" s="3" t="e">
        <f t="shared" si="238"/>
        <v>#N/A</v>
      </c>
      <c r="G2048" s="3" t="e">
        <f t="shared" si="239"/>
        <v>#N/A</v>
      </c>
      <c r="H2048" s="3">
        <f t="shared" si="240"/>
        <v>18.402999999999999</v>
      </c>
      <c r="I2048" s="3">
        <f t="shared" si="241"/>
        <v>59.402000000000001</v>
      </c>
      <c r="J2048" s="2">
        <v>655</v>
      </c>
      <c r="K2048" s="2">
        <v>566</v>
      </c>
      <c r="N2048" s="2">
        <f>5061+13342</f>
        <v>18403</v>
      </c>
      <c r="O2048" s="2">
        <f>13364+46038</f>
        <v>59402</v>
      </c>
      <c r="P2048" s="3">
        <f>E2048*(VLOOKUP(B2048,Price_data!A$1:B$190,2,FALSE))</f>
        <v>1.080837976312</v>
      </c>
      <c r="Q2048" s="3" t="e">
        <f>G2048*(VLOOKUP(B2048,Price_data!A$1:B$190,2,FALSE))</f>
        <v>#N/A</v>
      </c>
      <c r="R2048" s="3">
        <f>I2048*(VLOOKUP(B2048,Price_data!A$1:B$190,2,FALSE))</f>
        <v>113.434518496264</v>
      </c>
      <c r="S2048" s="4" t="str">
        <f>(VLOOKUP(B2048,Price_data!A$1:C$190,3,FALSE))</f>
        <v>EEZ</v>
      </c>
      <c r="T2048" s="2" t="str">
        <f>IF(C2048="Total", (VLOOKUP(B2048,Recommended_fish_intake!A$4:D$122,4,FALSE)), "NA")</f>
        <v>NA</v>
      </c>
      <c r="U2048" s="2" t="str">
        <f t="shared" si="235"/>
        <v>NA</v>
      </c>
    </row>
    <row r="2049" spans="1:21" ht="14.25" customHeight="1">
      <c r="A2049" s="2" t="s">
        <v>15</v>
      </c>
      <c r="B2049" s="2">
        <v>1984</v>
      </c>
      <c r="C2049" s="2" t="s">
        <v>28</v>
      </c>
      <c r="D2049" s="3">
        <f t="shared" si="236"/>
        <v>72.605999999999995</v>
      </c>
      <c r="E2049" s="3">
        <f t="shared" si="237"/>
        <v>57.274000000000001</v>
      </c>
      <c r="F2049" s="3">
        <f t="shared" si="238"/>
        <v>36.656999999999996</v>
      </c>
      <c r="G2049" s="3">
        <f t="shared" si="239"/>
        <v>92.935000000000002</v>
      </c>
      <c r="H2049" s="3">
        <f t="shared" si="240"/>
        <v>42.973999999999997</v>
      </c>
      <c r="I2049" s="3">
        <f t="shared" si="241"/>
        <v>136.18600000000001</v>
      </c>
      <c r="J2049" s="2">
        <v>72606</v>
      </c>
      <c r="K2049" s="2">
        <v>57274</v>
      </c>
      <c r="L2049" s="2">
        <v>36657</v>
      </c>
      <c r="M2049" s="2">
        <v>92935</v>
      </c>
      <c r="N2049" s="2">
        <v>42974</v>
      </c>
      <c r="O2049" s="2">
        <v>136186</v>
      </c>
      <c r="P2049" s="3">
        <f>E2049*(VLOOKUP(B2049,Price_data!A$1:B$190,2,FALSE))</f>
        <v>109.370873242568</v>
      </c>
      <c r="Q2049" s="3">
        <f>G2049*(VLOOKUP(B2049,Price_data!A$1:B$190,2,FALSE))</f>
        <v>177.46939457342</v>
      </c>
      <c r="R2049" s="3">
        <f>I2049*(VLOOKUP(B2049,Price_data!A$1:B$190,2,FALSE))</f>
        <v>260.06183859015204</v>
      </c>
      <c r="S2049" s="4" t="str">
        <f>(VLOOKUP(B2049,Price_data!A$1:C$190,3,FALSE))</f>
        <v>EEZ</v>
      </c>
      <c r="T2049" s="2" t="str">
        <f>IF(C2049="Total", (VLOOKUP(B2049,Recommended_fish_intake!A$4:D$122,4,FALSE)), "NA")</f>
        <v>NA</v>
      </c>
      <c r="U2049" s="2">
        <f t="shared" si="235"/>
        <v>20.32968</v>
      </c>
    </row>
    <row r="2050" spans="1:21" ht="14.25" customHeight="1">
      <c r="A2050" s="2" t="s">
        <v>18</v>
      </c>
      <c r="B2050" s="2">
        <v>1984</v>
      </c>
      <c r="C2050" s="2" t="s">
        <v>16</v>
      </c>
      <c r="D2050" s="3">
        <f t="shared" si="236"/>
        <v>171.791</v>
      </c>
      <c r="E2050" s="3">
        <f t="shared" si="237"/>
        <v>96.3</v>
      </c>
      <c r="F2050" s="3" t="e">
        <f t="shared" si="238"/>
        <v>#N/A</v>
      </c>
      <c r="G2050" s="3" t="e">
        <f t="shared" si="239"/>
        <v>#N/A</v>
      </c>
      <c r="H2050" s="3" t="e">
        <f t="shared" si="240"/>
        <v>#N/A</v>
      </c>
      <c r="I2050" s="3" t="e">
        <f t="shared" si="241"/>
        <v>#N/A</v>
      </c>
      <c r="J2050" s="2">
        <v>171791</v>
      </c>
      <c r="K2050" s="2">
        <v>96300</v>
      </c>
      <c r="P2050" s="3">
        <f>E2050*(VLOOKUP(B2050,Price_data!A$1:B$190,2,FALSE))</f>
        <v>183.8952245916</v>
      </c>
      <c r="Q2050" s="3" t="e">
        <f>G2050*(VLOOKUP(B2050,Price_data!A$1:B$190,2,FALSE))</f>
        <v>#N/A</v>
      </c>
      <c r="R2050" s="3" t="e">
        <f>I2050*(VLOOKUP(B2050,Price_data!A$1:B$190,2,FALSE))</f>
        <v>#N/A</v>
      </c>
      <c r="S2050" s="4" t="str">
        <f>(VLOOKUP(B2050,Price_data!A$1:C$190,3,FALSE))</f>
        <v>EEZ</v>
      </c>
      <c r="T2050" s="2">
        <f>IF(C2050="Total", (VLOOKUP(B2050,Recommended_fish_intake!A$4:D$122,4,FALSE)), "NA")</f>
        <v>743.44973914302011</v>
      </c>
      <c r="U2050" s="2" t="str">
        <f t="shared" ref="U2050:U2113" si="242">IF(C2050="Wet fish", D2050*0.49, IF(C2050="Shellfish", D2050*0.28, "NA"))</f>
        <v>NA</v>
      </c>
    </row>
    <row r="2051" spans="1:21" ht="14.25" customHeight="1">
      <c r="A2051" s="2" t="s">
        <v>39</v>
      </c>
      <c r="B2051" s="2">
        <v>1984</v>
      </c>
      <c r="C2051" s="2" t="s">
        <v>16</v>
      </c>
      <c r="D2051" s="3">
        <f t="shared" si="236"/>
        <v>543.31200000000001</v>
      </c>
      <c r="E2051" s="3">
        <f t="shared" si="237"/>
        <v>193.92</v>
      </c>
      <c r="F2051" s="3" t="e">
        <f t="shared" si="238"/>
        <v>#N/A</v>
      </c>
      <c r="G2051" s="3" t="e">
        <f t="shared" si="239"/>
        <v>#N/A</v>
      </c>
      <c r="H2051" s="3" t="e">
        <f t="shared" si="240"/>
        <v>#N/A</v>
      </c>
      <c r="I2051" s="3" t="e">
        <f t="shared" si="241"/>
        <v>#N/A</v>
      </c>
      <c r="J2051" s="2">
        <v>543312</v>
      </c>
      <c r="K2051" s="2">
        <v>193920</v>
      </c>
      <c r="P2051" s="3">
        <f>E2051*(VLOOKUP(B2051,Price_data!A$1:B$190,2,FALSE))</f>
        <v>370.31113138943999</v>
      </c>
      <c r="Q2051" s="3" t="e">
        <f>G2051*(VLOOKUP(B2051,Price_data!A$1:B$190,2,FALSE))</f>
        <v>#N/A</v>
      </c>
      <c r="R2051" s="3" t="e">
        <f>I2051*(VLOOKUP(B2051,Price_data!A$1:B$190,2,FALSE))</f>
        <v>#N/A</v>
      </c>
      <c r="S2051" s="4" t="str">
        <f>(VLOOKUP(B2051,Price_data!A$1:C$190,3,FALSE))</f>
        <v>EEZ</v>
      </c>
      <c r="T2051" s="2">
        <f>IF(C2051="Total", (VLOOKUP(B2051,Recommended_fish_intake!A$4:D$122,4,FALSE)), "NA")</f>
        <v>743.44973914302011</v>
      </c>
      <c r="U2051" s="2" t="str">
        <f t="shared" si="242"/>
        <v>NA</v>
      </c>
    </row>
    <row r="2052" spans="1:21" ht="14.25" customHeight="1">
      <c r="A2052" s="2" t="s">
        <v>40</v>
      </c>
      <c r="B2052" s="2">
        <v>1984</v>
      </c>
      <c r="C2052" s="2" t="s">
        <v>16</v>
      </c>
      <c r="D2052" s="3">
        <f t="shared" si="236"/>
        <v>18.548999999999999</v>
      </c>
      <c r="E2052" s="3">
        <f t="shared" si="237"/>
        <v>7.6429999999999998</v>
      </c>
      <c r="F2052" s="3" t="e">
        <f t="shared" si="238"/>
        <v>#N/A</v>
      </c>
      <c r="G2052" s="3" t="e">
        <f t="shared" si="239"/>
        <v>#N/A</v>
      </c>
      <c r="H2052" s="3" t="e">
        <f t="shared" si="240"/>
        <v>#N/A</v>
      </c>
      <c r="I2052" s="3" t="e">
        <f t="shared" si="241"/>
        <v>#N/A</v>
      </c>
      <c r="J2052" s="2">
        <v>18549</v>
      </c>
      <c r="K2052" s="2">
        <v>7643</v>
      </c>
      <c r="P2052" s="3">
        <f>E2052*(VLOOKUP(B2052,Price_data!A$1:B$190,2,FALSE))</f>
        <v>14.595131895675999</v>
      </c>
      <c r="Q2052" s="3" t="e">
        <f>G2052*(VLOOKUP(B2052,Price_data!A$1:B$190,2,FALSE))</f>
        <v>#N/A</v>
      </c>
      <c r="R2052" s="3" t="e">
        <f>I2052*(VLOOKUP(B2052,Price_data!A$1:B$190,2,FALSE))</f>
        <v>#N/A</v>
      </c>
      <c r="S2052" s="4" t="str">
        <f>(VLOOKUP(B2052,Price_data!A$1:C$190,3,FALSE))</f>
        <v>EEZ</v>
      </c>
      <c r="T2052" s="2">
        <f>IF(C2052="Total", (VLOOKUP(B2052,Recommended_fish_intake!A$4:D$122,4,FALSE)), "NA")</f>
        <v>743.44973914302011</v>
      </c>
      <c r="U2052" s="2" t="str">
        <f t="shared" si="242"/>
        <v>NA</v>
      </c>
    </row>
    <row r="2053" spans="1:21" ht="14.25" customHeight="1">
      <c r="A2053" s="2" t="s">
        <v>15</v>
      </c>
      <c r="B2053" s="2">
        <v>1984</v>
      </c>
      <c r="C2053" s="2" t="s">
        <v>16</v>
      </c>
      <c r="D2053" s="3">
        <f t="shared" si="236"/>
        <v>733.65300000000002</v>
      </c>
      <c r="E2053" s="3">
        <f t="shared" si="237"/>
        <v>297.863</v>
      </c>
      <c r="F2053" s="3">
        <f t="shared" si="238"/>
        <v>291.45600000000002</v>
      </c>
      <c r="G2053" s="3">
        <f t="shared" si="239"/>
        <v>224.39599999999999</v>
      </c>
      <c r="H2053" s="3">
        <f t="shared" si="240"/>
        <v>360.351</v>
      </c>
      <c r="I2053" s="3">
        <f t="shared" si="241"/>
        <v>536.02800000000002</v>
      </c>
      <c r="J2053" s="2">
        <v>733653</v>
      </c>
      <c r="K2053" s="2">
        <v>297863</v>
      </c>
      <c r="L2053" s="2">
        <v>291456</v>
      </c>
      <c r="M2053" s="2">
        <v>224396</v>
      </c>
      <c r="N2053" s="2">
        <v>360351</v>
      </c>
      <c r="O2053" s="2">
        <v>536028</v>
      </c>
      <c r="P2053" s="3">
        <f>E2053*(VLOOKUP(B2053,Price_data!A$1:B$190,2,FALSE))</f>
        <v>568.80148787671601</v>
      </c>
      <c r="Q2053" s="3">
        <f>G2053*(VLOOKUP(B2053,Price_data!A$1:B$190,2,FALSE))</f>
        <v>428.50833662987196</v>
      </c>
      <c r="R2053" s="3">
        <f>I2053*(VLOOKUP(B2053,Price_data!A$1:B$190,2,FALSE))</f>
        <v>1023.6032133684961</v>
      </c>
      <c r="S2053" s="4" t="str">
        <f>(VLOOKUP(B2053,Price_data!A$1:C$190,3,FALSE))</f>
        <v>EEZ</v>
      </c>
      <c r="T2053" s="2">
        <f>IF(C2053="Total", (VLOOKUP(B2053,Recommended_fish_intake!A$4:D$122,4,FALSE)), "NA")</f>
        <v>743.44973914302011</v>
      </c>
      <c r="U2053" s="2" t="str">
        <f t="shared" si="242"/>
        <v>NA</v>
      </c>
    </row>
    <row r="2054" spans="1:21" ht="14.25" customHeight="1">
      <c r="A2054" s="2" t="s">
        <v>15</v>
      </c>
      <c r="B2054" s="2">
        <v>1984</v>
      </c>
      <c r="C2054" s="2" t="s">
        <v>29</v>
      </c>
      <c r="D2054" s="3" t="e">
        <f t="shared" si="236"/>
        <v>#N/A</v>
      </c>
      <c r="E2054" s="3" t="e">
        <f t="shared" si="237"/>
        <v>#N/A</v>
      </c>
      <c r="F2054" s="3" t="e">
        <f t="shared" si="238"/>
        <v>#N/A</v>
      </c>
      <c r="G2054" s="3" t="e">
        <f t="shared" si="239"/>
        <v>#N/A</v>
      </c>
      <c r="H2054" s="3">
        <f t="shared" si="240"/>
        <v>28.047999999999998</v>
      </c>
      <c r="I2054" s="3">
        <f t="shared" si="241"/>
        <v>97.04</v>
      </c>
      <c r="J2054" s="3" t="e">
        <v>#N/A</v>
      </c>
      <c r="K2054" s="3" t="e">
        <v>#N/A</v>
      </c>
      <c r="L2054" s="3" t="e">
        <v>#N/A</v>
      </c>
      <c r="M2054" s="3" t="e">
        <v>#N/A</v>
      </c>
      <c r="N2054" s="2">
        <f>1467+5104+21477</f>
        <v>28048</v>
      </c>
      <c r="O2054" s="2">
        <f>6495+16020+74525</f>
        <v>97040</v>
      </c>
      <c r="P2054" s="3" t="e">
        <f>E2054*(VLOOKUP(B2054,Price_data!A$1:B$190,2,FALSE))</f>
        <v>#N/A</v>
      </c>
      <c r="Q2054" s="3" t="e">
        <f>G2054*(VLOOKUP(B2054,Price_data!A$1:B$190,2,FALSE))</f>
        <v>#N/A</v>
      </c>
      <c r="R2054" s="3">
        <f>I2054*(VLOOKUP(B2054,Price_data!A$1:B$190,2,FALSE))</f>
        <v>185.30833431328</v>
      </c>
      <c r="S2054" s="4" t="str">
        <f>(VLOOKUP(B2054,Price_data!A$1:C$190,3,FALSE))</f>
        <v>EEZ</v>
      </c>
      <c r="T2054" s="2" t="str">
        <f>IF(C2054="Total", (VLOOKUP(B2054,Recommended_fish_intake!A$4:D$122,4,FALSE)), "NA")</f>
        <v>NA</v>
      </c>
      <c r="U2054" s="2" t="str">
        <f t="shared" si="242"/>
        <v>NA</v>
      </c>
    </row>
    <row r="2055" spans="1:21" ht="14.25" customHeight="1">
      <c r="A2055" s="2" t="s">
        <v>15</v>
      </c>
      <c r="B2055" s="2">
        <v>1984</v>
      </c>
      <c r="C2055" s="2" t="s">
        <v>43</v>
      </c>
      <c r="D2055" s="3" t="e">
        <f t="shared" si="236"/>
        <v>#N/A</v>
      </c>
      <c r="E2055" s="3" t="e">
        <f t="shared" si="237"/>
        <v>#N/A</v>
      </c>
      <c r="F2055" s="3" t="e">
        <f t="shared" si="238"/>
        <v>#N/A</v>
      </c>
      <c r="G2055" s="3" t="e">
        <f t="shared" si="239"/>
        <v>#N/A</v>
      </c>
      <c r="H2055" s="3">
        <f t="shared" si="240"/>
        <v>24.045999999999999</v>
      </c>
      <c r="I2055" s="3">
        <f t="shared" si="241"/>
        <v>46.9</v>
      </c>
      <c r="J2055" s="3" t="e">
        <v>#N/A</v>
      </c>
      <c r="K2055" s="3" t="e">
        <v>#N/A</v>
      </c>
      <c r="L2055" s="3" t="e">
        <v>#N/A</v>
      </c>
      <c r="M2055" s="3" t="e">
        <v>#N/A</v>
      </c>
      <c r="N2055" s="2">
        <v>24046</v>
      </c>
      <c r="O2055" s="2">
        <v>46900</v>
      </c>
      <c r="P2055" s="3" t="e">
        <f>E2055*(VLOOKUP(B2055,Price_data!A$1:B$190,2,FALSE))</f>
        <v>#N/A</v>
      </c>
      <c r="Q2055" s="3" t="e">
        <f>G2055*(VLOOKUP(B2055,Price_data!A$1:B$190,2,FALSE))</f>
        <v>#N/A</v>
      </c>
      <c r="R2055" s="3">
        <f>I2055*(VLOOKUP(B2055,Price_data!A$1:B$190,2,FALSE))</f>
        <v>89.560602630799991</v>
      </c>
      <c r="S2055" s="4" t="str">
        <f>(VLOOKUP(B2055,Price_data!A$1:C$190,3,FALSE))</f>
        <v>EEZ</v>
      </c>
      <c r="T2055" s="2" t="str">
        <f>IF(C2055="Total", (VLOOKUP(B2055,Recommended_fish_intake!A$4:D$122,4,FALSE)), "NA")</f>
        <v>NA</v>
      </c>
      <c r="U2055" s="2" t="str">
        <f t="shared" si="242"/>
        <v>NA</v>
      </c>
    </row>
    <row r="2056" spans="1:21" ht="14.25" customHeight="1">
      <c r="A2056" s="2" t="s">
        <v>18</v>
      </c>
      <c r="B2056" s="2">
        <v>1985</v>
      </c>
      <c r="C2056" s="2" t="s">
        <v>22</v>
      </c>
      <c r="D2056" s="3">
        <f t="shared" si="236"/>
        <v>29.283999999999999</v>
      </c>
      <c r="E2056" s="3">
        <f t="shared" si="237"/>
        <v>24.292999999999999</v>
      </c>
      <c r="F2056" s="3" t="e">
        <f t="shared" si="238"/>
        <v>#N/A</v>
      </c>
      <c r="G2056" s="3" t="e">
        <f t="shared" si="239"/>
        <v>#N/A</v>
      </c>
      <c r="H2056" s="3" t="e">
        <f t="shared" si="240"/>
        <v>#N/A</v>
      </c>
      <c r="I2056" s="3" t="e">
        <f t="shared" si="241"/>
        <v>#N/A</v>
      </c>
      <c r="J2056" s="2">
        <v>29284</v>
      </c>
      <c r="K2056" s="2">
        <v>24293</v>
      </c>
      <c r="P2056" s="3">
        <f>E2056*(VLOOKUP(B2056,Price_data!A$1:B$190,2,FALSE))</f>
        <v>43.730003748032999</v>
      </c>
      <c r="Q2056" s="3" t="e">
        <f>G2056*(VLOOKUP(B2056,Price_data!A$1:B$190,2,FALSE))</f>
        <v>#N/A</v>
      </c>
      <c r="R2056" s="3" t="e">
        <f>I2056*(VLOOKUP(B2056,Price_data!A$1:B$190,2,FALSE))</f>
        <v>#N/A</v>
      </c>
      <c r="S2056" s="4" t="str">
        <f>(VLOOKUP(B2056,Price_data!A$1:C$190,3,FALSE))</f>
        <v>EEZ</v>
      </c>
      <c r="T2056" s="2" t="str">
        <f>IF(C2056="Total", (VLOOKUP(B2056,Recommended_fish_intake!A$4:D$122,4,FALSE)), "NA")</f>
        <v>NA</v>
      </c>
      <c r="U2056" s="2" t="str">
        <f t="shared" si="242"/>
        <v>NA</v>
      </c>
    </row>
    <row r="2057" spans="1:21" ht="14.25" customHeight="1">
      <c r="A2057" s="2" t="s">
        <v>18</v>
      </c>
      <c r="B2057" s="2">
        <v>1985</v>
      </c>
      <c r="C2057" s="2" t="s">
        <v>23</v>
      </c>
      <c r="D2057" s="3">
        <f t="shared" si="236"/>
        <v>12.978999999999999</v>
      </c>
      <c r="E2057" s="3">
        <f t="shared" si="237"/>
        <v>6.8739999999999997</v>
      </c>
      <c r="F2057" s="3" t="e">
        <f t="shared" si="238"/>
        <v>#N/A</v>
      </c>
      <c r="G2057" s="3" t="e">
        <f t="shared" si="239"/>
        <v>#N/A</v>
      </c>
      <c r="H2057" s="3" t="e">
        <f t="shared" si="240"/>
        <v>#N/A</v>
      </c>
      <c r="I2057" s="3" t="e">
        <f t="shared" si="241"/>
        <v>#N/A</v>
      </c>
      <c r="J2057" s="2">
        <v>12979</v>
      </c>
      <c r="K2057" s="2">
        <v>6874</v>
      </c>
      <c r="P2057" s="3">
        <f>E2057*(VLOOKUP(B2057,Price_data!A$1:B$190,2,FALSE))</f>
        <v>12.373936762193999</v>
      </c>
      <c r="Q2057" s="3" t="e">
        <f>G2057*(VLOOKUP(B2057,Price_data!A$1:B$190,2,FALSE))</f>
        <v>#N/A</v>
      </c>
      <c r="R2057" s="3" t="e">
        <f>I2057*(VLOOKUP(B2057,Price_data!A$1:B$190,2,FALSE))</f>
        <v>#N/A</v>
      </c>
      <c r="S2057" s="4" t="str">
        <f>(VLOOKUP(B2057,Price_data!A$1:C$190,3,FALSE))</f>
        <v>EEZ</v>
      </c>
      <c r="T2057" s="2" t="str">
        <f>IF(C2057="Total", (VLOOKUP(B2057,Recommended_fish_intake!A$4:D$122,4,FALSE)), "NA")</f>
        <v>NA</v>
      </c>
      <c r="U2057" s="2" t="str">
        <f t="shared" si="242"/>
        <v>NA</v>
      </c>
    </row>
    <row r="2058" spans="1:21" ht="14.25" customHeight="1">
      <c r="A2058" s="2" t="s">
        <v>18</v>
      </c>
      <c r="B2058" s="2">
        <v>1985</v>
      </c>
      <c r="C2058" s="2" t="s">
        <v>58</v>
      </c>
      <c r="D2058" s="3">
        <f t="shared" si="236"/>
        <v>3.6739999999999999</v>
      </c>
      <c r="E2058" s="3">
        <f t="shared" si="237"/>
        <v>4.2839999999999998</v>
      </c>
      <c r="F2058" s="3" t="e">
        <f t="shared" si="238"/>
        <v>#N/A</v>
      </c>
      <c r="G2058" s="3" t="e">
        <f t="shared" si="239"/>
        <v>#N/A</v>
      </c>
      <c r="H2058" s="3" t="e">
        <f t="shared" si="240"/>
        <v>#N/A</v>
      </c>
      <c r="I2058" s="3" t="e">
        <f t="shared" si="241"/>
        <v>#N/A</v>
      </c>
      <c r="J2058" s="2">
        <v>3674</v>
      </c>
      <c r="K2058" s="2">
        <v>4284</v>
      </c>
      <c r="P2058" s="3">
        <f>E2058*(VLOOKUP(B2058,Price_data!A$1:B$190,2,FALSE))</f>
        <v>7.7116591634039997</v>
      </c>
      <c r="Q2058" s="3" t="e">
        <f>G2058*(VLOOKUP(B2058,Price_data!A$1:B$190,2,FALSE))</f>
        <v>#N/A</v>
      </c>
      <c r="R2058" s="3" t="e">
        <f>I2058*(VLOOKUP(B2058,Price_data!A$1:B$190,2,FALSE))</f>
        <v>#N/A</v>
      </c>
      <c r="S2058" s="4" t="str">
        <f>(VLOOKUP(B2058,Price_data!A$1:C$190,3,FALSE))</f>
        <v>EEZ</v>
      </c>
      <c r="T2058" s="2" t="str">
        <f>IF(C2058="Total", (VLOOKUP(B2058,Recommended_fish_intake!A$4:D$122,4,FALSE)), "NA")</f>
        <v>NA</v>
      </c>
      <c r="U2058" s="2" t="str">
        <f t="shared" si="242"/>
        <v>NA</v>
      </c>
    </row>
    <row r="2059" spans="1:21" ht="14.25" customHeight="1">
      <c r="A2059" s="2" t="s">
        <v>18</v>
      </c>
      <c r="B2059" s="2">
        <v>1985</v>
      </c>
      <c r="C2059" s="2" t="s">
        <v>25</v>
      </c>
      <c r="D2059" s="3">
        <f t="shared" si="236"/>
        <v>14.834</v>
      </c>
      <c r="E2059" s="3">
        <f t="shared" si="237"/>
        <v>10.472</v>
      </c>
      <c r="F2059" s="3" t="e">
        <f t="shared" si="238"/>
        <v>#N/A</v>
      </c>
      <c r="G2059" s="3" t="e">
        <f t="shared" si="239"/>
        <v>#N/A</v>
      </c>
      <c r="H2059" s="3" t="e">
        <f t="shared" si="240"/>
        <v>#N/A</v>
      </c>
      <c r="I2059" s="3" t="e">
        <f t="shared" si="241"/>
        <v>#N/A</v>
      </c>
      <c r="J2059" s="2">
        <v>14834</v>
      </c>
      <c r="K2059" s="2">
        <v>10472</v>
      </c>
      <c r="P2059" s="3">
        <f>E2059*(VLOOKUP(B2059,Price_data!A$1:B$190,2,FALSE))</f>
        <v>18.850722399431998</v>
      </c>
      <c r="Q2059" s="3" t="e">
        <f>G2059*(VLOOKUP(B2059,Price_data!A$1:B$190,2,FALSE))</f>
        <v>#N/A</v>
      </c>
      <c r="R2059" s="3" t="e">
        <f>I2059*(VLOOKUP(B2059,Price_data!A$1:B$190,2,FALSE))</f>
        <v>#N/A</v>
      </c>
      <c r="S2059" s="4" t="str">
        <f>(VLOOKUP(B2059,Price_data!A$1:C$190,3,FALSE))</f>
        <v>EEZ</v>
      </c>
      <c r="T2059" s="2" t="str">
        <f>IF(C2059="Total", (VLOOKUP(B2059,Recommended_fish_intake!A$4:D$122,4,FALSE)), "NA")</f>
        <v>NA</v>
      </c>
      <c r="U2059" s="2" t="str">
        <f t="shared" si="242"/>
        <v>NA</v>
      </c>
    </row>
    <row r="2060" spans="1:21" ht="14.25" customHeight="1">
      <c r="A2060" s="2" t="s">
        <v>18</v>
      </c>
      <c r="B2060" s="2">
        <v>1985</v>
      </c>
      <c r="C2060" s="2" t="s">
        <v>24</v>
      </c>
      <c r="D2060" s="3">
        <f t="shared" si="236"/>
        <v>6.4390000000000001</v>
      </c>
      <c r="E2060" s="3">
        <f t="shared" si="237"/>
        <v>2.0329999999999999</v>
      </c>
      <c r="F2060" s="3" t="e">
        <f t="shared" si="238"/>
        <v>#N/A</v>
      </c>
      <c r="G2060" s="3" t="e">
        <f t="shared" si="239"/>
        <v>#N/A</v>
      </c>
      <c r="H2060" s="3" t="e">
        <f t="shared" si="240"/>
        <v>#N/A</v>
      </c>
      <c r="I2060" s="3" t="e">
        <f t="shared" si="241"/>
        <v>#N/A</v>
      </c>
      <c r="J2060" s="2">
        <v>6439</v>
      </c>
      <c r="K2060" s="2">
        <v>2033</v>
      </c>
      <c r="P2060" s="3">
        <f>E2060*(VLOOKUP(B2060,Price_data!A$1:B$190,2,FALSE))</f>
        <v>3.6596178989729999</v>
      </c>
      <c r="Q2060" s="3" t="e">
        <f>G2060*(VLOOKUP(B2060,Price_data!A$1:B$190,2,FALSE))</f>
        <v>#N/A</v>
      </c>
      <c r="R2060" s="3" t="e">
        <f>I2060*(VLOOKUP(B2060,Price_data!A$1:B$190,2,FALSE))</f>
        <v>#N/A</v>
      </c>
      <c r="S2060" s="4" t="str">
        <f>(VLOOKUP(B2060,Price_data!A$1:C$190,3,FALSE))</f>
        <v>EEZ</v>
      </c>
      <c r="T2060" s="2" t="str">
        <f>IF(C2060="Total", (VLOOKUP(B2060,Recommended_fish_intake!A$4:D$122,4,FALSE)), "NA")</f>
        <v>NA</v>
      </c>
      <c r="U2060" s="2" t="str">
        <f t="shared" si="242"/>
        <v>NA</v>
      </c>
    </row>
    <row r="2061" spans="1:21" ht="14.25" customHeight="1">
      <c r="A2061" s="2" t="s">
        <v>18</v>
      </c>
      <c r="B2061" s="2">
        <v>1985</v>
      </c>
      <c r="C2061" s="2" t="s">
        <v>19</v>
      </c>
      <c r="D2061" s="3">
        <f t="shared" si="236"/>
        <v>5.7480000000000002</v>
      </c>
      <c r="E2061" s="3">
        <f t="shared" si="237"/>
        <v>0.55800000000000005</v>
      </c>
      <c r="F2061" s="3" t="e">
        <f t="shared" si="238"/>
        <v>#N/A</v>
      </c>
      <c r="G2061" s="3" t="e">
        <f t="shared" si="239"/>
        <v>#N/A</v>
      </c>
      <c r="H2061" s="3" t="e">
        <f t="shared" si="240"/>
        <v>#N/A</v>
      </c>
      <c r="I2061" s="3" t="e">
        <f t="shared" si="241"/>
        <v>#N/A</v>
      </c>
      <c r="J2061" s="2">
        <v>5748</v>
      </c>
      <c r="K2061" s="2">
        <v>558</v>
      </c>
      <c r="P2061" s="3">
        <f>E2061*(VLOOKUP(B2061,Price_data!A$1:B$190,2,FALSE))</f>
        <v>1.0044598069980002</v>
      </c>
      <c r="Q2061" s="3" t="e">
        <f>G2061*(VLOOKUP(B2061,Price_data!A$1:B$190,2,FALSE))</f>
        <v>#N/A</v>
      </c>
      <c r="R2061" s="3" t="e">
        <f>I2061*(VLOOKUP(B2061,Price_data!A$1:B$190,2,FALSE))</f>
        <v>#N/A</v>
      </c>
      <c r="S2061" s="4" t="str">
        <f>(VLOOKUP(B2061,Price_data!A$1:C$190,3,FALSE))</f>
        <v>EEZ</v>
      </c>
      <c r="T2061" s="2" t="str">
        <f>IF(C2061="Total", (VLOOKUP(B2061,Recommended_fish_intake!A$4:D$122,4,FALSE)), "NA")</f>
        <v>NA</v>
      </c>
      <c r="U2061" s="2" t="str">
        <f t="shared" si="242"/>
        <v>NA</v>
      </c>
    </row>
    <row r="2062" spans="1:21" ht="14.25" customHeight="1">
      <c r="A2062" s="2" t="s">
        <v>18</v>
      </c>
      <c r="B2062" s="2">
        <v>1985</v>
      </c>
      <c r="C2062" s="2" t="s">
        <v>20</v>
      </c>
      <c r="D2062" s="3">
        <f t="shared" si="236"/>
        <v>2.1800000000000002</v>
      </c>
      <c r="E2062" s="3">
        <f t="shared" si="237"/>
        <v>0.499</v>
      </c>
      <c r="F2062" s="3" t="e">
        <f t="shared" si="238"/>
        <v>#N/A</v>
      </c>
      <c r="G2062" s="3" t="e">
        <f t="shared" si="239"/>
        <v>#N/A</v>
      </c>
      <c r="H2062" s="3" t="e">
        <f t="shared" si="240"/>
        <v>#N/A</v>
      </c>
      <c r="I2062" s="3" t="e">
        <f t="shared" si="241"/>
        <v>#N/A</v>
      </c>
      <c r="J2062" s="2">
        <v>2180</v>
      </c>
      <c r="K2062" s="2">
        <v>499</v>
      </c>
      <c r="P2062" s="3">
        <f>E2062*(VLOOKUP(B2062,Price_data!A$1:B$190,2,FALSE))</f>
        <v>0.89825348331900001</v>
      </c>
      <c r="Q2062" s="3" t="e">
        <f>G2062*(VLOOKUP(B2062,Price_data!A$1:B$190,2,FALSE))</f>
        <v>#N/A</v>
      </c>
      <c r="R2062" s="3" t="e">
        <f>I2062*(VLOOKUP(B2062,Price_data!A$1:B$190,2,FALSE))</f>
        <v>#N/A</v>
      </c>
      <c r="S2062" s="4" t="str">
        <f>(VLOOKUP(B2062,Price_data!A$1:C$190,3,FALSE))</f>
        <v>EEZ</v>
      </c>
      <c r="T2062" s="2" t="str">
        <f>IF(C2062="Total", (VLOOKUP(B2062,Recommended_fish_intake!A$4:D$122,4,FALSE)), "NA")</f>
        <v>NA</v>
      </c>
      <c r="U2062" s="2" t="str">
        <f t="shared" si="242"/>
        <v>NA</v>
      </c>
    </row>
    <row r="2063" spans="1:21" ht="14.25" customHeight="1">
      <c r="A2063" s="2" t="s">
        <v>18</v>
      </c>
      <c r="B2063" s="2">
        <v>1985</v>
      </c>
      <c r="C2063" s="2" t="s">
        <v>37</v>
      </c>
      <c r="D2063" s="3">
        <f t="shared" si="236"/>
        <v>111.44799999999999</v>
      </c>
      <c r="E2063" s="3">
        <f t="shared" si="237"/>
        <v>76.933000000000007</v>
      </c>
      <c r="F2063" s="3" t="e">
        <f t="shared" si="238"/>
        <v>#N/A</v>
      </c>
      <c r="G2063" s="3" t="e">
        <f t="shared" si="239"/>
        <v>#N/A</v>
      </c>
      <c r="H2063" s="3" t="e">
        <f t="shared" si="240"/>
        <v>#N/A</v>
      </c>
      <c r="I2063" s="3" t="e">
        <f t="shared" si="241"/>
        <v>#N/A</v>
      </c>
      <c r="J2063" s="2">
        <v>111448</v>
      </c>
      <c r="K2063" s="2">
        <v>76933</v>
      </c>
      <c r="P2063" s="3">
        <f>E2063*(VLOOKUP(B2063,Price_data!A$1:B$190,2,FALSE))</f>
        <v>138.48764575587302</v>
      </c>
      <c r="Q2063" s="3" t="e">
        <f>G2063*(VLOOKUP(B2063,Price_data!A$1:B$190,2,FALSE))</f>
        <v>#N/A</v>
      </c>
      <c r="R2063" s="3" t="e">
        <f>I2063*(VLOOKUP(B2063,Price_data!A$1:B$190,2,FALSE))</f>
        <v>#N/A</v>
      </c>
      <c r="S2063" s="4" t="str">
        <f>(VLOOKUP(B2063,Price_data!A$1:C$190,3,FALSE))</f>
        <v>EEZ</v>
      </c>
      <c r="T2063" s="2" t="str">
        <f>IF(C2063="Total", (VLOOKUP(B2063,Recommended_fish_intake!A$4:D$122,4,FALSE)), "NA")</f>
        <v>NA</v>
      </c>
      <c r="U2063" s="2">
        <f t="shared" si="242"/>
        <v>54.609519999999996</v>
      </c>
    </row>
    <row r="2064" spans="1:21" ht="14.25" customHeight="1">
      <c r="A2064" s="2" t="s">
        <v>18</v>
      </c>
      <c r="B2064" s="2">
        <v>1985</v>
      </c>
      <c r="C2064" s="2" t="s">
        <v>36</v>
      </c>
      <c r="D2064" s="3">
        <f t="shared" si="236"/>
        <v>8.83</v>
      </c>
      <c r="E2064" s="3">
        <f t="shared" si="237"/>
        <v>6.367</v>
      </c>
      <c r="F2064" s="3" t="e">
        <f t="shared" si="238"/>
        <v>#N/A</v>
      </c>
      <c r="G2064" s="3" t="e">
        <f t="shared" si="239"/>
        <v>#N/A</v>
      </c>
      <c r="H2064" s="3" t="e">
        <f t="shared" si="240"/>
        <v>#N/A</v>
      </c>
      <c r="I2064" s="3" t="e">
        <f t="shared" si="241"/>
        <v>#N/A</v>
      </c>
      <c r="J2064" s="2">
        <v>8830</v>
      </c>
      <c r="K2064" s="2">
        <v>6367</v>
      </c>
      <c r="P2064" s="3">
        <f>E2064*(VLOOKUP(B2064,Price_data!A$1:B$190,2,FALSE))</f>
        <v>11.461282421427001</v>
      </c>
      <c r="Q2064" s="3" t="e">
        <f>G2064*(VLOOKUP(B2064,Price_data!A$1:B$190,2,FALSE))</f>
        <v>#N/A</v>
      </c>
      <c r="R2064" s="3" t="e">
        <f>I2064*(VLOOKUP(B2064,Price_data!A$1:B$190,2,FALSE))</f>
        <v>#N/A</v>
      </c>
      <c r="S2064" s="4" t="str">
        <f>(VLOOKUP(B2064,Price_data!A$1:C$190,3,FALSE))</f>
        <v>EEZ</v>
      </c>
      <c r="T2064" s="2" t="str">
        <f>IF(C2064="Total", (VLOOKUP(B2064,Recommended_fish_intake!A$4:D$122,4,FALSE)), "NA")</f>
        <v>NA</v>
      </c>
      <c r="U2064" s="2" t="str">
        <f t="shared" si="242"/>
        <v>NA</v>
      </c>
    </row>
    <row r="2065" spans="1:21" ht="14.25" customHeight="1">
      <c r="A2065" s="2" t="s">
        <v>18</v>
      </c>
      <c r="B2065" s="2">
        <v>1985</v>
      </c>
      <c r="C2065" s="2" t="s">
        <v>34</v>
      </c>
      <c r="D2065" s="3">
        <f t="shared" si="236"/>
        <v>0.49099999999999999</v>
      </c>
      <c r="E2065" s="3">
        <f t="shared" si="237"/>
        <v>3.4950000000000001</v>
      </c>
      <c r="F2065" s="3" t="e">
        <f t="shared" si="238"/>
        <v>#N/A</v>
      </c>
      <c r="G2065" s="3" t="e">
        <f t="shared" si="239"/>
        <v>#N/A</v>
      </c>
      <c r="H2065" s="3" t="e">
        <f t="shared" si="240"/>
        <v>#N/A</v>
      </c>
      <c r="I2065" s="3" t="e">
        <f t="shared" si="241"/>
        <v>#N/A</v>
      </c>
      <c r="J2065" s="2">
        <v>491</v>
      </c>
      <c r="K2065" s="2">
        <v>3495</v>
      </c>
      <c r="P2065" s="3">
        <f>E2065*(VLOOKUP(B2065,Price_data!A$1:B$190,2,FALSE))</f>
        <v>6.2913745975950004</v>
      </c>
      <c r="Q2065" s="3" t="e">
        <f>G2065*(VLOOKUP(B2065,Price_data!A$1:B$190,2,FALSE))</f>
        <v>#N/A</v>
      </c>
      <c r="R2065" s="3" t="e">
        <f>I2065*(VLOOKUP(B2065,Price_data!A$1:B$190,2,FALSE))</f>
        <v>#N/A</v>
      </c>
      <c r="S2065" s="4" t="str">
        <f>(VLOOKUP(B2065,Price_data!A$1:C$190,3,FALSE))</f>
        <v>EEZ</v>
      </c>
      <c r="T2065" s="2" t="str">
        <f>IF(C2065="Total", (VLOOKUP(B2065,Recommended_fish_intake!A$4:D$122,4,FALSE)), "NA")</f>
        <v>NA</v>
      </c>
      <c r="U2065" s="2" t="str">
        <f t="shared" si="242"/>
        <v>NA</v>
      </c>
    </row>
    <row r="2066" spans="1:21" ht="14.25" customHeight="1">
      <c r="A2066" s="2" t="s">
        <v>18</v>
      </c>
      <c r="B2066" s="2">
        <v>1985</v>
      </c>
      <c r="C2066" s="2" t="s">
        <v>35</v>
      </c>
      <c r="D2066" s="3">
        <f t="shared" si="236"/>
        <v>2.577</v>
      </c>
      <c r="E2066" s="3">
        <f t="shared" si="237"/>
        <v>3.1779999999999999</v>
      </c>
      <c r="F2066" s="3" t="e">
        <f t="shared" si="238"/>
        <v>#N/A</v>
      </c>
      <c r="G2066" s="3" t="e">
        <f t="shared" si="239"/>
        <v>#N/A</v>
      </c>
      <c r="H2066" s="3" t="e">
        <f t="shared" si="240"/>
        <v>#N/A</v>
      </c>
      <c r="I2066" s="3" t="e">
        <f t="shared" si="241"/>
        <v>#N/A</v>
      </c>
      <c r="J2066" s="2">
        <v>2577</v>
      </c>
      <c r="K2066" s="2">
        <v>3178</v>
      </c>
      <c r="P2066" s="3">
        <f>E2066*(VLOOKUP(B2066,Price_data!A$1:B$190,2,FALSE))</f>
        <v>5.7207406212179999</v>
      </c>
      <c r="Q2066" s="3" t="e">
        <f>G2066*(VLOOKUP(B2066,Price_data!A$1:B$190,2,FALSE))</f>
        <v>#N/A</v>
      </c>
      <c r="R2066" s="3" t="e">
        <f>I2066*(VLOOKUP(B2066,Price_data!A$1:B$190,2,FALSE))</f>
        <v>#N/A</v>
      </c>
      <c r="S2066" s="4" t="str">
        <f>(VLOOKUP(B2066,Price_data!A$1:C$190,3,FALSE))</f>
        <v>EEZ</v>
      </c>
      <c r="T2066" s="2" t="str">
        <f>IF(C2066="Total", (VLOOKUP(B2066,Recommended_fish_intake!A$4:D$122,4,FALSE)), "NA")</f>
        <v>NA</v>
      </c>
      <c r="U2066" s="2" t="str">
        <f t="shared" si="242"/>
        <v>NA</v>
      </c>
    </row>
    <row r="2067" spans="1:21" ht="14.25" customHeight="1">
      <c r="A2067" s="2" t="s">
        <v>18</v>
      </c>
      <c r="B2067" s="2">
        <v>1985</v>
      </c>
      <c r="C2067" s="2" t="s">
        <v>52</v>
      </c>
      <c r="D2067" s="3">
        <f t="shared" si="236"/>
        <v>3.1720000000000002</v>
      </c>
      <c r="E2067" s="3">
        <f t="shared" si="237"/>
        <v>3.355</v>
      </c>
      <c r="F2067" s="3" t="e">
        <f t="shared" si="238"/>
        <v>#N/A</v>
      </c>
      <c r="G2067" s="3" t="e">
        <f t="shared" si="239"/>
        <v>#N/A</v>
      </c>
      <c r="H2067" s="3" t="e">
        <f t="shared" si="240"/>
        <v>#N/A</v>
      </c>
      <c r="I2067" s="3" t="e">
        <f t="shared" si="241"/>
        <v>#N/A</v>
      </c>
      <c r="J2067" s="2">
        <v>3172</v>
      </c>
      <c r="K2067" s="2">
        <v>3355</v>
      </c>
      <c r="P2067" s="3">
        <f>E2067*(VLOOKUP(B2067,Price_data!A$1:B$190,2,FALSE))</f>
        <v>6.0393595922549999</v>
      </c>
      <c r="Q2067" s="3" t="e">
        <f>G2067*(VLOOKUP(B2067,Price_data!A$1:B$190,2,FALSE))</f>
        <v>#N/A</v>
      </c>
      <c r="R2067" s="3" t="e">
        <f>I2067*(VLOOKUP(B2067,Price_data!A$1:B$190,2,FALSE))</f>
        <v>#N/A</v>
      </c>
      <c r="S2067" s="4" t="str">
        <f>(VLOOKUP(B2067,Price_data!A$1:C$190,3,FALSE))</f>
        <v>EEZ</v>
      </c>
      <c r="T2067" s="2" t="str">
        <f>IF(C2067="Total", (VLOOKUP(B2067,Recommended_fish_intake!A$4:D$122,4,FALSE)), "NA")</f>
        <v>NA</v>
      </c>
      <c r="U2067" s="2" t="str">
        <f t="shared" si="242"/>
        <v>NA</v>
      </c>
    </row>
    <row r="2068" spans="1:21" ht="14.25" customHeight="1">
      <c r="A2068" s="2" t="s">
        <v>18</v>
      </c>
      <c r="B2068" s="2">
        <v>1985</v>
      </c>
      <c r="C2068" s="2" t="s">
        <v>30</v>
      </c>
      <c r="D2068" s="3">
        <f t="shared" si="236"/>
        <v>0.81699999999999995</v>
      </c>
      <c r="E2068" s="3">
        <f t="shared" si="237"/>
        <v>0.68400000000000005</v>
      </c>
      <c r="F2068" s="3" t="e">
        <f t="shared" si="238"/>
        <v>#N/A</v>
      </c>
      <c r="G2068" s="3" t="e">
        <f t="shared" si="239"/>
        <v>#N/A</v>
      </c>
      <c r="H2068" s="3" t="e">
        <f t="shared" si="240"/>
        <v>#N/A</v>
      </c>
      <c r="I2068" s="3" t="e">
        <f t="shared" si="241"/>
        <v>#N/A</v>
      </c>
      <c r="J2068" s="2">
        <v>817</v>
      </c>
      <c r="K2068" s="2">
        <v>684</v>
      </c>
      <c r="P2068" s="3">
        <f>E2068*(VLOOKUP(B2068,Price_data!A$1:B$190,2,FALSE))</f>
        <v>1.231273311804</v>
      </c>
      <c r="Q2068" s="3" t="e">
        <f>G2068*(VLOOKUP(B2068,Price_data!A$1:B$190,2,FALSE))</f>
        <v>#N/A</v>
      </c>
      <c r="R2068" s="3" t="e">
        <f>I2068*(VLOOKUP(B2068,Price_data!A$1:B$190,2,FALSE))</f>
        <v>#N/A</v>
      </c>
      <c r="S2068" s="4" t="str">
        <f>(VLOOKUP(B2068,Price_data!A$1:C$190,3,FALSE))</f>
        <v>EEZ</v>
      </c>
      <c r="T2068" s="2" t="str">
        <f>IF(C2068="Total", (VLOOKUP(B2068,Recommended_fish_intake!A$4:D$122,4,FALSE)), "NA")</f>
        <v>NA</v>
      </c>
      <c r="U2068" s="2" t="str">
        <f t="shared" si="242"/>
        <v>NA</v>
      </c>
    </row>
    <row r="2069" spans="1:21" ht="14.25" customHeight="1">
      <c r="A2069" s="2" t="s">
        <v>18</v>
      </c>
      <c r="B2069" s="2">
        <v>1985</v>
      </c>
      <c r="C2069" s="2" t="s">
        <v>28</v>
      </c>
      <c r="D2069" s="3">
        <f t="shared" si="236"/>
        <v>35.448</v>
      </c>
      <c r="E2069" s="3">
        <f t="shared" si="237"/>
        <v>21.524999999999999</v>
      </c>
      <c r="F2069" s="3" t="e">
        <f t="shared" si="238"/>
        <v>#N/A</v>
      </c>
      <c r="G2069" s="3" t="e">
        <f t="shared" si="239"/>
        <v>#N/A</v>
      </c>
      <c r="H2069" s="3" t="e">
        <f t="shared" si="240"/>
        <v>#N/A</v>
      </c>
      <c r="I2069" s="3" t="e">
        <f t="shared" si="241"/>
        <v>#N/A</v>
      </c>
      <c r="J2069" s="2">
        <v>35448</v>
      </c>
      <c r="K2069" s="2">
        <v>21525</v>
      </c>
      <c r="P2069" s="3">
        <f>E2069*(VLOOKUP(B2069,Price_data!A$1:B$190,2,FALSE))</f>
        <v>38.747307071024998</v>
      </c>
      <c r="Q2069" s="3" t="e">
        <f>G2069*(VLOOKUP(B2069,Price_data!A$1:B$190,2,FALSE))</f>
        <v>#N/A</v>
      </c>
      <c r="R2069" s="3" t="e">
        <f>I2069*(VLOOKUP(B2069,Price_data!A$1:B$190,2,FALSE))</f>
        <v>#N/A</v>
      </c>
      <c r="S2069" s="4" t="str">
        <f>(VLOOKUP(B2069,Price_data!A$1:C$190,3,FALSE))</f>
        <v>EEZ</v>
      </c>
      <c r="T2069" s="2" t="str">
        <f>IF(C2069="Total", (VLOOKUP(B2069,Recommended_fish_intake!A$4:D$122,4,FALSE)), "NA")</f>
        <v>NA</v>
      </c>
      <c r="U2069" s="2">
        <f t="shared" si="242"/>
        <v>9.9254400000000018</v>
      </c>
    </row>
    <row r="2070" spans="1:21" ht="14.25" customHeight="1">
      <c r="A2070" s="2" t="s">
        <v>39</v>
      </c>
      <c r="B2070" s="2">
        <v>1985</v>
      </c>
      <c r="C2070" s="2" t="s">
        <v>22</v>
      </c>
      <c r="D2070" s="3">
        <f t="shared" si="236"/>
        <v>58.624000000000002</v>
      </c>
      <c r="E2070" s="3">
        <f t="shared" si="237"/>
        <v>43.920999999999999</v>
      </c>
      <c r="F2070" s="3" t="e">
        <f t="shared" si="238"/>
        <v>#N/A</v>
      </c>
      <c r="G2070" s="3" t="e">
        <f t="shared" si="239"/>
        <v>#N/A</v>
      </c>
      <c r="H2070" s="3" t="e">
        <f t="shared" si="240"/>
        <v>#N/A</v>
      </c>
      <c r="I2070" s="3" t="e">
        <f t="shared" si="241"/>
        <v>#N/A</v>
      </c>
      <c r="J2070" s="2">
        <v>58624</v>
      </c>
      <c r="K2070" s="2">
        <v>43921</v>
      </c>
      <c r="P2070" s="3">
        <f>E2070*(VLOOKUP(B2070,Price_data!A$1:B$190,2,FALSE))</f>
        <v>79.062507496701002</v>
      </c>
      <c r="Q2070" s="3" t="e">
        <f>G2070*(VLOOKUP(B2070,Price_data!A$1:B$190,2,FALSE))</f>
        <v>#N/A</v>
      </c>
      <c r="R2070" s="3" t="e">
        <f>I2070*(VLOOKUP(B2070,Price_data!A$1:B$190,2,FALSE))</f>
        <v>#N/A</v>
      </c>
      <c r="S2070" s="4" t="str">
        <f>(VLOOKUP(B2070,Price_data!A$1:C$190,3,FALSE))</f>
        <v>EEZ</v>
      </c>
      <c r="T2070" s="2" t="str">
        <f>IF(C2070="Total", (VLOOKUP(B2070,Recommended_fish_intake!A$4:D$122,4,FALSE)), "NA")</f>
        <v>NA</v>
      </c>
      <c r="U2070" s="2" t="str">
        <f t="shared" si="242"/>
        <v>NA</v>
      </c>
    </row>
    <row r="2071" spans="1:21" ht="14.25" customHeight="1">
      <c r="A2071" s="2" t="s">
        <v>39</v>
      </c>
      <c r="B2071" s="2">
        <v>1985</v>
      </c>
      <c r="C2071" s="2" t="s">
        <v>23</v>
      </c>
      <c r="D2071" s="3">
        <f t="shared" si="236"/>
        <v>119.075</v>
      </c>
      <c r="E2071" s="3">
        <f t="shared" si="237"/>
        <v>60.776000000000003</v>
      </c>
      <c r="F2071" s="3" t="e">
        <f t="shared" si="238"/>
        <v>#N/A</v>
      </c>
      <c r="G2071" s="3" t="e">
        <f t="shared" si="239"/>
        <v>#N/A</v>
      </c>
      <c r="H2071" s="3" t="e">
        <f t="shared" si="240"/>
        <v>#N/A</v>
      </c>
      <c r="I2071" s="3" t="e">
        <f t="shared" si="241"/>
        <v>#N/A</v>
      </c>
      <c r="J2071" s="2">
        <v>119075</v>
      </c>
      <c r="K2071" s="2">
        <v>60776</v>
      </c>
      <c r="P2071" s="3">
        <f>E2071*(VLOOKUP(B2071,Price_data!A$1:B$190,2,FALSE))</f>
        <v>109.40331403245601</v>
      </c>
      <c r="Q2071" s="3" t="e">
        <f>G2071*(VLOOKUP(B2071,Price_data!A$1:B$190,2,FALSE))</f>
        <v>#N/A</v>
      </c>
      <c r="R2071" s="3" t="e">
        <f>I2071*(VLOOKUP(B2071,Price_data!A$1:B$190,2,FALSE))</f>
        <v>#N/A</v>
      </c>
      <c r="S2071" s="4" t="str">
        <f>(VLOOKUP(B2071,Price_data!A$1:C$190,3,FALSE))</f>
        <v>EEZ</v>
      </c>
      <c r="T2071" s="2" t="str">
        <f>IF(C2071="Total", (VLOOKUP(B2071,Recommended_fish_intake!A$4:D$122,4,FALSE)), "NA")</f>
        <v>NA</v>
      </c>
      <c r="U2071" s="2" t="str">
        <f t="shared" si="242"/>
        <v>NA</v>
      </c>
    </row>
    <row r="2072" spans="1:21" ht="14.25" customHeight="1">
      <c r="A2072" s="2" t="s">
        <v>39</v>
      </c>
      <c r="B2072" s="2">
        <v>1985</v>
      </c>
      <c r="C2072" s="2" t="s">
        <v>58</v>
      </c>
      <c r="D2072" s="3">
        <f t="shared" si="236"/>
        <v>4.9779999999999998</v>
      </c>
      <c r="E2072" s="3">
        <f t="shared" si="237"/>
        <v>5.883</v>
      </c>
      <c r="F2072" s="3" t="e">
        <f t="shared" si="238"/>
        <v>#N/A</v>
      </c>
      <c r="G2072" s="3" t="e">
        <f t="shared" si="239"/>
        <v>#N/A</v>
      </c>
      <c r="H2072" s="3" t="e">
        <f t="shared" si="240"/>
        <v>#N/A</v>
      </c>
      <c r="I2072" s="3" t="e">
        <f t="shared" si="241"/>
        <v>#N/A</v>
      </c>
      <c r="J2072" s="2">
        <v>4978</v>
      </c>
      <c r="K2072" s="2">
        <v>5883</v>
      </c>
      <c r="P2072" s="3">
        <f>E2072*(VLOOKUP(B2072,Price_data!A$1:B$190,2,FALSE))</f>
        <v>10.590030545823</v>
      </c>
      <c r="Q2072" s="3" t="e">
        <f>G2072*(VLOOKUP(B2072,Price_data!A$1:B$190,2,FALSE))</f>
        <v>#N/A</v>
      </c>
      <c r="R2072" s="3" t="e">
        <f>I2072*(VLOOKUP(B2072,Price_data!A$1:B$190,2,FALSE))</f>
        <v>#N/A</v>
      </c>
      <c r="S2072" s="4" t="str">
        <f>(VLOOKUP(B2072,Price_data!A$1:C$190,3,FALSE))</f>
        <v>EEZ</v>
      </c>
      <c r="T2072" s="2" t="str">
        <f>IF(C2072="Total", (VLOOKUP(B2072,Recommended_fish_intake!A$4:D$122,4,FALSE)), "NA")</f>
        <v>NA</v>
      </c>
      <c r="U2072" s="2" t="str">
        <f t="shared" si="242"/>
        <v>NA</v>
      </c>
    </row>
    <row r="2073" spans="1:21" ht="14.25" customHeight="1">
      <c r="A2073" s="2" t="s">
        <v>39</v>
      </c>
      <c r="B2073" s="2">
        <v>1985</v>
      </c>
      <c r="C2073" s="2" t="s">
        <v>25</v>
      </c>
      <c r="D2073" s="3">
        <f t="shared" si="236"/>
        <v>5.4279999999999999</v>
      </c>
      <c r="E2073" s="3">
        <f t="shared" si="237"/>
        <v>3.26</v>
      </c>
      <c r="F2073" s="3" t="e">
        <f t="shared" si="238"/>
        <v>#N/A</v>
      </c>
      <c r="G2073" s="3" t="e">
        <f t="shared" si="239"/>
        <v>#N/A</v>
      </c>
      <c r="H2073" s="3" t="e">
        <f t="shared" si="240"/>
        <v>#N/A</v>
      </c>
      <c r="I2073" s="3" t="e">
        <f t="shared" si="241"/>
        <v>#N/A</v>
      </c>
      <c r="J2073" s="2">
        <v>5428</v>
      </c>
      <c r="K2073" s="2">
        <v>3260</v>
      </c>
      <c r="P2073" s="3">
        <f>E2073*(VLOOKUP(B2073,Price_data!A$1:B$190,2,FALSE))</f>
        <v>5.8683494100599995</v>
      </c>
      <c r="Q2073" s="3" t="e">
        <f>G2073*(VLOOKUP(B2073,Price_data!A$1:B$190,2,FALSE))</f>
        <v>#N/A</v>
      </c>
      <c r="R2073" s="3" t="e">
        <f>I2073*(VLOOKUP(B2073,Price_data!A$1:B$190,2,FALSE))</f>
        <v>#N/A</v>
      </c>
      <c r="S2073" s="4" t="str">
        <f>(VLOOKUP(B2073,Price_data!A$1:C$190,3,FALSE))</f>
        <v>EEZ</v>
      </c>
      <c r="T2073" s="2" t="str">
        <f>IF(C2073="Total", (VLOOKUP(B2073,Recommended_fish_intake!A$4:D$122,4,FALSE)), "NA")</f>
        <v>NA</v>
      </c>
      <c r="U2073" s="2" t="str">
        <f t="shared" si="242"/>
        <v>NA</v>
      </c>
    </row>
    <row r="2074" spans="1:21" ht="14.25" customHeight="1">
      <c r="A2074" s="2" t="s">
        <v>39</v>
      </c>
      <c r="B2074" s="2">
        <v>1985</v>
      </c>
      <c r="C2074" s="2" t="s">
        <v>24</v>
      </c>
      <c r="D2074" s="3">
        <f t="shared" si="236"/>
        <v>35.386000000000003</v>
      </c>
      <c r="E2074" s="3">
        <f t="shared" si="237"/>
        <v>14.92</v>
      </c>
      <c r="F2074" s="3" t="e">
        <f t="shared" si="238"/>
        <v>#N/A</v>
      </c>
      <c r="G2074" s="3" t="e">
        <f t="shared" si="239"/>
        <v>#N/A</v>
      </c>
      <c r="H2074" s="3" t="e">
        <f t="shared" si="240"/>
        <v>#N/A</v>
      </c>
      <c r="I2074" s="3" t="e">
        <f t="shared" si="241"/>
        <v>#N/A</v>
      </c>
      <c r="J2074" s="2">
        <v>35386</v>
      </c>
      <c r="K2074" s="2">
        <v>14920</v>
      </c>
      <c r="P2074" s="3">
        <f>E2074*(VLOOKUP(B2074,Price_data!A$1:B$190,2,FALSE))</f>
        <v>26.857599140520001</v>
      </c>
      <c r="Q2074" s="3" t="e">
        <f>G2074*(VLOOKUP(B2074,Price_data!A$1:B$190,2,FALSE))</f>
        <v>#N/A</v>
      </c>
      <c r="R2074" s="3" t="e">
        <f>I2074*(VLOOKUP(B2074,Price_data!A$1:B$190,2,FALSE))</f>
        <v>#N/A</v>
      </c>
      <c r="S2074" s="4" t="str">
        <f>(VLOOKUP(B2074,Price_data!A$1:C$190,3,FALSE))</f>
        <v>EEZ</v>
      </c>
      <c r="T2074" s="2" t="str">
        <f>IF(C2074="Total", (VLOOKUP(B2074,Recommended_fish_intake!A$4:D$122,4,FALSE)), "NA")</f>
        <v>NA</v>
      </c>
      <c r="U2074" s="2" t="str">
        <f t="shared" si="242"/>
        <v>NA</v>
      </c>
    </row>
    <row r="2075" spans="1:21" ht="14.25" customHeight="1">
      <c r="A2075" s="2" t="s">
        <v>39</v>
      </c>
      <c r="B2075" s="2">
        <v>1985</v>
      </c>
      <c r="C2075" s="2" t="s">
        <v>19</v>
      </c>
      <c r="D2075" s="3">
        <f t="shared" si="236"/>
        <v>86.861999999999995</v>
      </c>
      <c r="E2075" s="3">
        <f t="shared" si="237"/>
        <v>10.526999999999999</v>
      </c>
      <c r="F2075" s="3" t="e">
        <f t="shared" si="238"/>
        <v>#N/A</v>
      </c>
      <c r="G2075" s="3" t="e">
        <f t="shared" si="239"/>
        <v>#N/A</v>
      </c>
      <c r="H2075" s="3" t="e">
        <f t="shared" si="240"/>
        <v>#N/A</v>
      </c>
      <c r="I2075" s="3" t="e">
        <f t="shared" si="241"/>
        <v>#N/A</v>
      </c>
      <c r="J2075" s="2">
        <v>86862</v>
      </c>
      <c r="K2075" s="2">
        <v>10527</v>
      </c>
      <c r="P2075" s="3">
        <f>E2075*(VLOOKUP(B2075,Price_data!A$1:B$190,2,FALSE))</f>
        <v>18.949728294386997</v>
      </c>
      <c r="Q2075" s="3" t="e">
        <f>G2075*(VLOOKUP(B2075,Price_data!A$1:B$190,2,FALSE))</f>
        <v>#N/A</v>
      </c>
      <c r="R2075" s="3" t="e">
        <f>I2075*(VLOOKUP(B2075,Price_data!A$1:B$190,2,FALSE))</f>
        <v>#N/A</v>
      </c>
      <c r="S2075" s="4" t="str">
        <f>(VLOOKUP(B2075,Price_data!A$1:C$190,3,FALSE))</f>
        <v>EEZ</v>
      </c>
      <c r="T2075" s="2" t="str">
        <f>IF(C2075="Total", (VLOOKUP(B2075,Recommended_fish_intake!A$4:D$122,4,FALSE)), "NA")</f>
        <v>NA</v>
      </c>
      <c r="U2075" s="2" t="str">
        <f t="shared" si="242"/>
        <v>NA</v>
      </c>
    </row>
    <row r="2076" spans="1:21" ht="14.25" customHeight="1">
      <c r="A2076" s="2" t="s">
        <v>39</v>
      </c>
      <c r="B2076" s="2">
        <v>1985</v>
      </c>
      <c r="C2076" s="2" t="s">
        <v>20</v>
      </c>
      <c r="D2076" s="3">
        <f t="shared" si="236"/>
        <v>170.91</v>
      </c>
      <c r="E2076" s="3">
        <f t="shared" si="237"/>
        <v>18.042000000000002</v>
      </c>
      <c r="F2076" s="3" t="e">
        <f t="shared" si="238"/>
        <v>#N/A</v>
      </c>
      <c r="G2076" s="3" t="e">
        <f t="shared" si="239"/>
        <v>#N/A</v>
      </c>
      <c r="H2076" s="3" t="e">
        <f t="shared" si="240"/>
        <v>#N/A</v>
      </c>
      <c r="I2076" s="3" t="e">
        <f t="shared" si="241"/>
        <v>#N/A</v>
      </c>
      <c r="J2076" s="2">
        <v>170910</v>
      </c>
      <c r="K2076" s="2">
        <v>18042</v>
      </c>
      <c r="P2076" s="3">
        <f>E2076*(VLOOKUP(B2076,Price_data!A$1:B$190,2,FALSE))</f>
        <v>32.477533759602004</v>
      </c>
      <c r="Q2076" s="3" t="e">
        <f>G2076*(VLOOKUP(B2076,Price_data!A$1:B$190,2,FALSE))</f>
        <v>#N/A</v>
      </c>
      <c r="R2076" s="3" t="e">
        <f>I2076*(VLOOKUP(B2076,Price_data!A$1:B$190,2,FALSE))</f>
        <v>#N/A</v>
      </c>
      <c r="S2076" s="4" t="str">
        <f>(VLOOKUP(B2076,Price_data!A$1:C$190,3,FALSE))</f>
        <v>EEZ</v>
      </c>
      <c r="T2076" s="2" t="str">
        <f>IF(C2076="Total", (VLOOKUP(B2076,Recommended_fish_intake!A$4:D$122,4,FALSE)), "NA")</f>
        <v>NA</v>
      </c>
      <c r="U2076" s="2" t="str">
        <f t="shared" si="242"/>
        <v>NA</v>
      </c>
    </row>
    <row r="2077" spans="1:21" ht="14.25" customHeight="1">
      <c r="A2077" s="2" t="s">
        <v>39</v>
      </c>
      <c r="B2077" s="2">
        <v>1985</v>
      </c>
      <c r="C2077" s="2" t="s">
        <v>37</v>
      </c>
      <c r="D2077" s="3">
        <f t="shared" si="236"/>
        <v>557.83799999999997</v>
      </c>
      <c r="E2077" s="3">
        <f t="shared" si="237"/>
        <v>176.126</v>
      </c>
      <c r="F2077" s="3" t="e">
        <f t="shared" si="238"/>
        <v>#N/A</v>
      </c>
      <c r="G2077" s="3" t="e">
        <f t="shared" si="239"/>
        <v>#N/A</v>
      </c>
      <c r="H2077" s="3" t="e">
        <f t="shared" si="240"/>
        <v>#N/A</v>
      </c>
      <c r="I2077" s="3" t="e">
        <f t="shared" si="241"/>
        <v>#N/A</v>
      </c>
      <c r="J2077" s="2">
        <v>557838</v>
      </c>
      <c r="K2077" s="2">
        <v>176126</v>
      </c>
      <c r="P2077" s="3">
        <f>E2077*(VLOOKUP(B2077,Price_data!A$1:B$190,2,FALSE))</f>
        <v>317.045677360806</v>
      </c>
      <c r="Q2077" s="3" t="e">
        <f>G2077*(VLOOKUP(B2077,Price_data!A$1:B$190,2,FALSE))</f>
        <v>#N/A</v>
      </c>
      <c r="R2077" s="3" t="e">
        <f>I2077*(VLOOKUP(B2077,Price_data!A$1:B$190,2,FALSE))</f>
        <v>#N/A</v>
      </c>
      <c r="S2077" s="4" t="str">
        <f>(VLOOKUP(B2077,Price_data!A$1:C$190,3,FALSE))</f>
        <v>EEZ</v>
      </c>
      <c r="T2077" s="2" t="str">
        <f>IF(C2077="Total", (VLOOKUP(B2077,Recommended_fish_intake!A$4:D$122,4,FALSE)), "NA")</f>
        <v>NA</v>
      </c>
      <c r="U2077" s="2">
        <f t="shared" si="242"/>
        <v>273.34062</v>
      </c>
    </row>
    <row r="2078" spans="1:21" ht="14.25" customHeight="1">
      <c r="A2078" s="2" t="s">
        <v>39</v>
      </c>
      <c r="B2078" s="2">
        <v>1985</v>
      </c>
      <c r="C2078" s="2" t="s">
        <v>36</v>
      </c>
      <c r="D2078" s="3">
        <f t="shared" si="236"/>
        <v>4.6660000000000004</v>
      </c>
      <c r="E2078" s="3">
        <f t="shared" si="237"/>
        <v>2.1890000000000001</v>
      </c>
      <c r="F2078" s="3" t="e">
        <f t="shared" si="238"/>
        <v>#N/A</v>
      </c>
      <c r="G2078" s="3" t="e">
        <f t="shared" si="239"/>
        <v>#N/A</v>
      </c>
      <c r="H2078" s="3" t="e">
        <f t="shared" si="240"/>
        <v>#N/A</v>
      </c>
      <c r="I2078" s="3" t="e">
        <f t="shared" si="241"/>
        <v>#N/A</v>
      </c>
      <c r="J2078" s="2">
        <v>4666</v>
      </c>
      <c r="K2078" s="2">
        <v>2189</v>
      </c>
      <c r="P2078" s="3">
        <f>E2078*(VLOOKUP(B2078,Price_data!A$1:B$190,2,FALSE))</f>
        <v>3.9404346192090003</v>
      </c>
      <c r="Q2078" s="3" t="e">
        <f>G2078*(VLOOKUP(B2078,Price_data!A$1:B$190,2,FALSE))</f>
        <v>#N/A</v>
      </c>
      <c r="R2078" s="3" t="e">
        <f>I2078*(VLOOKUP(B2078,Price_data!A$1:B$190,2,FALSE))</f>
        <v>#N/A</v>
      </c>
      <c r="S2078" s="4" t="str">
        <f>(VLOOKUP(B2078,Price_data!A$1:C$190,3,FALSE))</f>
        <v>EEZ</v>
      </c>
      <c r="T2078" s="2" t="str">
        <f>IF(C2078="Total", (VLOOKUP(B2078,Recommended_fish_intake!A$4:D$122,4,FALSE)), "NA")</f>
        <v>NA</v>
      </c>
      <c r="U2078" s="2" t="str">
        <f t="shared" si="242"/>
        <v>NA</v>
      </c>
    </row>
    <row r="2079" spans="1:21" ht="14.25" customHeight="1">
      <c r="A2079" s="2" t="s">
        <v>39</v>
      </c>
      <c r="B2079" s="2">
        <v>1985</v>
      </c>
      <c r="C2079" s="2" t="s">
        <v>34</v>
      </c>
      <c r="D2079" s="3">
        <f t="shared" si="236"/>
        <v>0.61899999999999999</v>
      </c>
      <c r="E2079" s="3">
        <f t="shared" si="237"/>
        <v>4.4560000000000004</v>
      </c>
      <c r="F2079" s="3" t="e">
        <f t="shared" si="238"/>
        <v>#N/A</v>
      </c>
      <c r="G2079" s="3" t="e">
        <f t="shared" si="239"/>
        <v>#N/A</v>
      </c>
      <c r="H2079" s="3" t="e">
        <f t="shared" si="240"/>
        <v>#N/A</v>
      </c>
      <c r="I2079" s="3" t="e">
        <f t="shared" si="241"/>
        <v>#N/A</v>
      </c>
      <c r="J2079" s="2">
        <v>619</v>
      </c>
      <c r="K2079" s="2">
        <v>4456</v>
      </c>
      <c r="P2079" s="3">
        <f>E2079*(VLOOKUP(B2079,Price_data!A$1:B$190,2,FALSE))</f>
        <v>8.0212775985360008</v>
      </c>
      <c r="Q2079" s="3" t="e">
        <f>G2079*(VLOOKUP(B2079,Price_data!A$1:B$190,2,FALSE))</f>
        <v>#N/A</v>
      </c>
      <c r="R2079" s="3" t="e">
        <f>I2079*(VLOOKUP(B2079,Price_data!A$1:B$190,2,FALSE))</f>
        <v>#N/A</v>
      </c>
      <c r="S2079" s="4" t="str">
        <f>(VLOOKUP(B2079,Price_data!A$1:C$190,3,FALSE))</f>
        <v>EEZ</v>
      </c>
      <c r="T2079" s="2" t="str">
        <f>IF(C2079="Total", (VLOOKUP(B2079,Recommended_fish_intake!A$4:D$122,4,FALSE)), "NA")</f>
        <v>NA</v>
      </c>
      <c r="U2079" s="2" t="str">
        <f t="shared" si="242"/>
        <v>NA</v>
      </c>
    </row>
    <row r="2080" spans="1:21" ht="14.25" customHeight="1">
      <c r="A2080" s="2" t="s">
        <v>39</v>
      </c>
      <c r="B2080" s="2">
        <v>1985</v>
      </c>
      <c r="C2080" s="2" t="s">
        <v>35</v>
      </c>
      <c r="D2080" s="3">
        <f t="shared" si="236"/>
        <v>17.887</v>
      </c>
      <c r="E2080" s="3">
        <f t="shared" si="237"/>
        <v>24.274999999999999</v>
      </c>
      <c r="F2080" s="3" t="e">
        <f t="shared" si="238"/>
        <v>#N/A</v>
      </c>
      <c r="G2080" s="3" t="e">
        <f t="shared" si="239"/>
        <v>#N/A</v>
      </c>
      <c r="H2080" s="3" t="e">
        <f t="shared" si="240"/>
        <v>#N/A</v>
      </c>
      <c r="I2080" s="3" t="e">
        <f t="shared" si="241"/>
        <v>#N/A</v>
      </c>
      <c r="J2080" s="2">
        <v>17887</v>
      </c>
      <c r="K2080" s="2">
        <v>24275</v>
      </c>
      <c r="P2080" s="3">
        <f>E2080*(VLOOKUP(B2080,Price_data!A$1:B$190,2,FALSE))</f>
        <v>43.697601818774999</v>
      </c>
      <c r="Q2080" s="3" t="e">
        <f>G2080*(VLOOKUP(B2080,Price_data!A$1:B$190,2,FALSE))</f>
        <v>#N/A</v>
      </c>
      <c r="R2080" s="3" t="e">
        <f>I2080*(VLOOKUP(B2080,Price_data!A$1:B$190,2,FALSE))</f>
        <v>#N/A</v>
      </c>
      <c r="S2080" s="4" t="str">
        <f>(VLOOKUP(B2080,Price_data!A$1:C$190,3,FALSE))</f>
        <v>EEZ</v>
      </c>
      <c r="T2080" s="2" t="str">
        <f>IF(C2080="Total", (VLOOKUP(B2080,Recommended_fish_intake!A$4:D$122,4,FALSE)), "NA")</f>
        <v>NA</v>
      </c>
      <c r="U2080" s="2" t="str">
        <f t="shared" si="242"/>
        <v>NA</v>
      </c>
    </row>
    <row r="2081" spans="1:21" ht="14.25" customHeight="1">
      <c r="A2081" s="2" t="s">
        <v>39</v>
      </c>
      <c r="B2081" s="2">
        <v>1985</v>
      </c>
      <c r="C2081" s="2" t="s">
        <v>52</v>
      </c>
      <c r="D2081" s="3">
        <f t="shared" si="236"/>
        <v>4.22</v>
      </c>
      <c r="E2081" s="3">
        <f t="shared" si="237"/>
        <v>4.5259999999999998</v>
      </c>
      <c r="F2081" s="3" t="e">
        <f t="shared" si="238"/>
        <v>#N/A</v>
      </c>
      <c r="G2081" s="3" t="e">
        <f t="shared" si="239"/>
        <v>#N/A</v>
      </c>
      <c r="H2081" s="3" t="e">
        <f t="shared" si="240"/>
        <v>#N/A</v>
      </c>
      <c r="I2081" s="3" t="e">
        <f t="shared" si="241"/>
        <v>#N/A</v>
      </c>
      <c r="J2081" s="2">
        <v>4220</v>
      </c>
      <c r="K2081" s="2">
        <v>4526</v>
      </c>
      <c r="P2081" s="3">
        <f>E2081*(VLOOKUP(B2081,Price_data!A$1:B$190,2,FALSE))</f>
        <v>8.1472851012060001</v>
      </c>
      <c r="Q2081" s="3" t="e">
        <f>G2081*(VLOOKUP(B2081,Price_data!A$1:B$190,2,FALSE))</f>
        <v>#N/A</v>
      </c>
      <c r="R2081" s="3" t="e">
        <f>I2081*(VLOOKUP(B2081,Price_data!A$1:B$190,2,FALSE))</f>
        <v>#N/A</v>
      </c>
      <c r="S2081" s="4" t="str">
        <f>(VLOOKUP(B2081,Price_data!A$1:C$190,3,FALSE))</f>
        <v>EEZ</v>
      </c>
      <c r="T2081" s="2" t="str">
        <f>IF(C2081="Total", (VLOOKUP(B2081,Recommended_fish_intake!A$4:D$122,4,FALSE)), "NA")</f>
        <v>NA</v>
      </c>
      <c r="U2081" s="2" t="str">
        <f t="shared" si="242"/>
        <v>NA</v>
      </c>
    </row>
    <row r="2082" spans="1:21" ht="14.25" customHeight="1">
      <c r="A2082" s="2" t="s">
        <v>39</v>
      </c>
      <c r="B2082" s="2">
        <v>1985</v>
      </c>
      <c r="C2082" s="2" t="s">
        <v>30</v>
      </c>
      <c r="D2082" s="3">
        <f t="shared" si="236"/>
        <v>1.4E-2</v>
      </c>
      <c r="E2082" s="3">
        <f t="shared" si="237"/>
        <v>2.7E-2</v>
      </c>
      <c r="F2082" s="3" t="e">
        <f t="shared" si="238"/>
        <v>#N/A</v>
      </c>
      <c r="G2082" s="3" t="e">
        <f t="shared" si="239"/>
        <v>#N/A</v>
      </c>
      <c r="H2082" s="3" t="e">
        <f t="shared" si="240"/>
        <v>#N/A</v>
      </c>
      <c r="I2082" s="3" t="e">
        <f t="shared" si="241"/>
        <v>#N/A</v>
      </c>
      <c r="J2082" s="2">
        <v>14</v>
      </c>
      <c r="K2082" s="2">
        <v>27</v>
      </c>
      <c r="P2082" s="3">
        <f>E2082*(VLOOKUP(B2082,Price_data!A$1:B$190,2,FALSE))</f>
        <v>4.8602893887000002E-2</v>
      </c>
      <c r="Q2082" s="3" t="e">
        <f>G2082*(VLOOKUP(B2082,Price_data!A$1:B$190,2,FALSE))</f>
        <v>#N/A</v>
      </c>
      <c r="R2082" s="3" t="e">
        <f>I2082*(VLOOKUP(B2082,Price_data!A$1:B$190,2,FALSE))</f>
        <v>#N/A</v>
      </c>
      <c r="S2082" s="4" t="str">
        <f>(VLOOKUP(B2082,Price_data!A$1:C$190,3,FALSE))</f>
        <v>EEZ</v>
      </c>
      <c r="T2082" s="2" t="str">
        <f>IF(C2082="Total", (VLOOKUP(B2082,Recommended_fish_intake!A$4:D$122,4,FALSE)), "NA")</f>
        <v>NA</v>
      </c>
      <c r="U2082" s="2" t="str">
        <f t="shared" si="242"/>
        <v>NA</v>
      </c>
    </row>
    <row r="2083" spans="1:21" ht="14.25" customHeight="1">
      <c r="A2083" s="2" t="s">
        <v>39</v>
      </c>
      <c r="B2083" s="2">
        <v>1985</v>
      </c>
      <c r="C2083" s="2" t="s">
        <v>28</v>
      </c>
      <c r="D2083" s="3">
        <f t="shared" si="236"/>
        <v>34.731999999999999</v>
      </c>
      <c r="E2083" s="3">
        <f t="shared" si="237"/>
        <v>38.975999999999999</v>
      </c>
      <c r="F2083" s="3" t="e">
        <f t="shared" si="238"/>
        <v>#N/A</v>
      </c>
      <c r="G2083" s="3" t="e">
        <f t="shared" si="239"/>
        <v>#N/A</v>
      </c>
      <c r="H2083" s="3" t="e">
        <f t="shared" si="240"/>
        <v>#N/A</v>
      </c>
      <c r="I2083" s="3" t="e">
        <f t="shared" si="241"/>
        <v>#N/A</v>
      </c>
      <c r="J2083" s="2">
        <v>34732</v>
      </c>
      <c r="K2083" s="2">
        <v>38976</v>
      </c>
      <c r="P2083" s="3">
        <f>E2083*(VLOOKUP(B2083,Price_data!A$1:B$190,2,FALSE))</f>
        <v>70.160977486655995</v>
      </c>
      <c r="Q2083" s="3" t="e">
        <f>G2083*(VLOOKUP(B2083,Price_data!A$1:B$190,2,FALSE))</f>
        <v>#N/A</v>
      </c>
      <c r="R2083" s="3" t="e">
        <f>I2083*(VLOOKUP(B2083,Price_data!A$1:B$190,2,FALSE))</f>
        <v>#N/A</v>
      </c>
      <c r="S2083" s="4" t="str">
        <f>(VLOOKUP(B2083,Price_data!A$1:C$190,3,FALSE))</f>
        <v>EEZ</v>
      </c>
      <c r="T2083" s="2" t="str">
        <f>IF(C2083="Total", (VLOOKUP(B2083,Recommended_fish_intake!A$4:D$122,4,FALSE)), "NA")</f>
        <v>NA</v>
      </c>
      <c r="U2083" s="2">
        <f t="shared" si="242"/>
        <v>9.7249600000000012</v>
      </c>
    </row>
    <row r="2084" spans="1:21" ht="14.25" customHeight="1">
      <c r="A2084" s="2" t="s">
        <v>40</v>
      </c>
      <c r="B2084" s="2">
        <v>1985</v>
      </c>
      <c r="C2084" s="2" t="s">
        <v>22</v>
      </c>
      <c r="D2084" s="3">
        <f t="shared" si="236"/>
        <v>2.137</v>
      </c>
      <c r="E2084" s="3">
        <f t="shared" si="237"/>
        <v>1.7310000000000001</v>
      </c>
      <c r="F2084" s="3" t="e">
        <f t="shared" si="238"/>
        <v>#N/A</v>
      </c>
      <c r="G2084" s="3" t="e">
        <f t="shared" si="239"/>
        <v>#N/A</v>
      </c>
      <c r="H2084" s="3" t="e">
        <f t="shared" si="240"/>
        <v>#N/A</v>
      </c>
      <c r="I2084" s="3" t="e">
        <f t="shared" si="241"/>
        <v>#N/A</v>
      </c>
      <c r="J2084" s="2">
        <v>2137</v>
      </c>
      <c r="K2084" s="2">
        <v>1731</v>
      </c>
      <c r="P2084" s="3">
        <f>E2084*(VLOOKUP(B2084,Price_data!A$1:B$190,2,FALSE))</f>
        <v>3.1159855303110002</v>
      </c>
      <c r="Q2084" s="3" t="e">
        <f>G2084*(VLOOKUP(B2084,Price_data!A$1:B$190,2,FALSE))</f>
        <v>#N/A</v>
      </c>
      <c r="R2084" s="3" t="e">
        <f>I2084*(VLOOKUP(B2084,Price_data!A$1:B$190,2,FALSE))</f>
        <v>#N/A</v>
      </c>
      <c r="S2084" s="4" t="str">
        <f>(VLOOKUP(B2084,Price_data!A$1:C$190,3,FALSE))</f>
        <v>EEZ</v>
      </c>
      <c r="T2084" s="2" t="str">
        <f>IF(C2084="Total", (VLOOKUP(B2084,Recommended_fish_intake!A$4:D$122,4,FALSE)), "NA")</f>
        <v>NA</v>
      </c>
      <c r="U2084" s="2" t="str">
        <f t="shared" si="242"/>
        <v>NA</v>
      </c>
    </row>
    <row r="2085" spans="1:21" ht="14.25" customHeight="1">
      <c r="A2085" s="2" t="s">
        <v>40</v>
      </c>
      <c r="B2085" s="2">
        <v>1985</v>
      </c>
      <c r="C2085" s="2" t="s">
        <v>23</v>
      </c>
      <c r="D2085" s="3">
        <f t="shared" si="236"/>
        <v>0.18099999999999999</v>
      </c>
      <c r="E2085" s="3">
        <f t="shared" si="237"/>
        <v>0.107</v>
      </c>
      <c r="F2085" s="3" t="e">
        <f t="shared" si="238"/>
        <v>#N/A</v>
      </c>
      <c r="G2085" s="3" t="e">
        <f t="shared" si="239"/>
        <v>#N/A</v>
      </c>
      <c r="H2085" s="3" t="e">
        <f t="shared" si="240"/>
        <v>#N/A</v>
      </c>
      <c r="I2085" s="3" t="e">
        <f t="shared" si="241"/>
        <v>#N/A</v>
      </c>
      <c r="J2085" s="2">
        <v>181</v>
      </c>
      <c r="K2085" s="2">
        <v>107</v>
      </c>
      <c r="P2085" s="3">
        <f>E2085*(VLOOKUP(B2085,Price_data!A$1:B$190,2,FALSE))</f>
        <v>0.19261146836699999</v>
      </c>
      <c r="Q2085" s="3" t="e">
        <f>G2085*(VLOOKUP(B2085,Price_data!A$1:B$190,2,FALSE))</f>
        <v>#N/A</v>
      </c>
      <c r="R2085" s="3" t="e">
        <f>I2085*(VLOOKUP(B2085,Price_data!A$1:B$190,2,FALSE))</f>
        <v>#N/A</v>
      </c>
      <c r="S2085" s="4" t="str">
        <f>(VLOOKUP(B2085,Price_data!A$1:C$190,3,FALSE))</f>
        <v>EEZ</v>
      </c>
      <c r="T2085" s="2" t="str">
        <f>IF(C2085="Total", (VLOOKUP(B2085,Recommended_fish_intake!A$4:D$122,4,FALSE)), "NA")</f>
        <v>NA</v>
      </c>
      <c r="U2085" s="2" t="str">
        <f t="shared" si="242"/>
        <v>NA</v>
      </c>
    </row>
    <row r="2086" spans="1:21" ht="14.25" customHeight="1">
      <c r="A2086" s="2" t="s">
        <v>40</v>
      </c>
      <c r="B2086" s="2">
        <v>1985</v>
      </c>
      <c r="C2086" s="2" t="s">
        <v>58</v>
      </c>
      <c r="D2086" s="3">
        <f t="shared" si="236"/>
        <v>0.23499999999999999</v>
      </c>
      <c r="E2086" s="3">
        <f t="shared" si="237"/>
        <v>0.2</v>
      </c>
      <c r="F2086" s="3" t="e">
        <f t="shared" si="238"/>
        <v>#N/A</v>
      </c>
      <c r="G2086" s="3" t="e">
        <f t="shared" si="239"/>
        <v>#N/A</v>
      </c>
      <c r="H2086" s="3" t="e">
        <f t="shared" si="240"/>
        <v>#N/A</v>
      </c>
      <c r="I2086" s="3" t="e">
        <f t="shared" si="241"/>
        <v>#N/A</v>
      </c>
      <c r="J2086" s="2">
        <v>235</v>
      </c>
      <c r="K2086" s="2">
        <v>200</v>
      </c>
      <c r="P2086" s="3">
        <f>E2086*(VLOOKUP(B2086,Price_data!A$1:B$190,2,FALSE))</f>
        <v>0.36002143620000004</v>
      </c>
      <c r="Q2086" s="3" t="e">
        <f>G2086*(VLOOKUP(B2086,Price_data!A$1:B$190,2,FALSE))</f>
        <v>#N/A</v>
      </c>
      <c r="R2086" s="3" t="e">
        <f>I2086*(VLOOKUP(B2086,Price_data!A$1:B$190,2,FALSE))</f>
        <v>#N/A</v>
      </c>
      <c r="S2086" s="4" t="str">
        <f>(VLOOKUP(B2086,Price_data!A$1:C$190,3,FALSE))</f>
        <v>EEZ</v>
      </c>
      <c r="T2086" s="2" t="str">
        <f>IF(C2086="Total", (VLOOKUP(B2086,Recommended_fish_intake!A$4:D$122,4,FALSE)), "NA")</f>
        <v>NA</v>
      </c>
      <c r="U2086" s="2" t="str">
        <f t="shared" si="242"/>
        <v>NA</v>
      </c>
    </row>
    <row r="2087" spans="1:21" ht="14.25" customHeight="1">
      <c r="A2087" s="2" t="s">
        <v>40</v>
      </c>
      <c r="B2087" s="2">
        <v>1985</v>
      </c>
      <c r="C2087" s="2" t="s">
        <v>25</v>
      </c>
      <c r="D2087" s="3">
        <f t="shared" si="236"/>
        <v>0.187</v>
      </c>
      <c r="E2087" s="3">
        <f t="shared" si="237"/>
        <v>8.8999999999999996E-2</v>
      </c>
      <c r="F2087" s="3" t="e">
        <f t="shared" si="238"/>
        <v>#N/A</v>
      </c>
      <c r="G2087" s="3" t="e">
        <f t="shared" si="239"/>
        <v>#N/A</v>
      </c>
      <c r="H2087" s="3" t="e">
        <f t="shared" si="240"/>
        <v>#N/A</v>
      </c>
      <c r="I2087" s="3" t="e">
        <f t="shared" si="241"/>
        <v>#N/A</v>
      </c>
      <c r="J2087" s="2">
        <v>187</v>
      </c>
      <c r="K2087" s="2">
        <v>89</v>
      </c>
      <c r="P2087" s="3">
        <f>E2087*(VLOOKUP(B2087,Price_data!A$1:B$190,2,FALSE))</f>
        <v>0.16020953910899999</v>
      </c>
      <c r="Q2087" s="3" t="e">
        <f>G2087*(VLOOKUP(B2087,Price_data!A$1:B$190,2,FALSE))</f>
        <v>#N/A</v>
      </c>
      <c r="R2087" s="3" t="e">
        <f>I2087*(VLOOKUP(B2087,Price_data!A$1:B$190,2,FALSE))</f>
        <v>#N/A</v>
      </c>
      <c r="S2087" s="4" t="str">
        <f>(VLOOKUP(B2087,Price_data!A$1:C$190,3,FALSE))</f>
        <v>EEZ</v>
      </c>
      <c r="T2087" s="2" t="str">
        <f>IF(C2087="Total", (VLOOKUP(B2087,Recommended_fish_intake!A$4:D$122,4,FALSE)), "NA")</f>
        <v>NA</v>
      </c>
      <c r="U2087" s="2" t="str">
        <f t="shared" si="242"/>
        <v>NA</v>
      </c>
    </row>
    <row r="2088" spans="1:21" ht="14.25" customHeight="1">
      <c r="A2088" s="2" t="s">
        <v>40</v>
      </c>
      <c r="B2088" s="2">
        <v>1985</v>
      </c>
      <c r="C2088" s="2" t="s">
        <v>24</v>
      </c>
      <c r="D2088" s="3">
        <f t="shared" ref="D2088:D2115" si="243">J2088/1000</f>
        <v>8.3719999999999999</v>
      </c>
      <c r="E2088" s="3">
        <f t="shared" ref="E2088:E2115" si="244">K2088/1000</f>
        <v>2.044</v>
      </c>
      <c r="F2088" s="3" t="e">
        <f t="shared" ref="F2088:F2115" si="245">IF(L2088="", NA(), L2088/1000)</f>
        <v>#N/A</v>
      </c>
      <c r="G2088" s="3" t="e">
        <f t="shared" ref="G2088:G2115" si="246">IF(M2088="", NA(), M2088/1000)</f>
        <v>#N/A</v>
      </c>
      <c r="H2088" s="3" t="e">
        <f t="shared" ref="H2088:H2115" si="247">IF(N2088="", NA(), N2088/1000)</f>
        <v>#N/A</v>
      </c>
      <c r="I2088" s="3" t="e">
        <f t="shared" ref="I2088:I2115" si="248">IF(O2088="", NA(), O2088/1000)</f>
        <v>#N/A</v>
      </c>
      <c r="J2088" s="2">
        <v>8372</v>
      </c>
      <c r="K2088" s="2">
        <v>2044</v>
      </c>
      <c r="P2088" s="3">
        <f>E2088*(VLOOKUP(B2088,Price_data!A$1:B$190,2,FALSE))</f>
        <v>3.6794190779639999</v>
      </c>
      <c r="Q2088" s="3" t="e">
        <f>G2088*(VLOOKUP(B2088,Price_data!A$1:B$190,2,FALSE))</f>
        <v>#N/A</v>
      </c>
      <c r="R2088" s="3" t="e">
        <f>I2088*(VLOOKUP(B2088,Price_data!A$1:B$190,2,FALSE))</f>
        <v>#N/A</v>
      </c>
      <c r="S2088" s="4" t="str">
        <f>(VLOOKUP(B2088,Price_data!A$1:C$190,3,FALSE))</f>
        <v>EEZ</v>
      </c>
      <c r="T2088" s="2" t="str">
        <f>IF(C2088="Total", (VLOOKUP(B2088,Recommended_fish_intake!A$4:D$122,4,FALSE)), "NA")</f>
        <v>NA</v>
      </c>
      <c r="U2088" s="2" t="str">
        <f t="shared" si="242"/>
        <v>NA</v>
      </c>
    </row>
    <row r="2089" spans="1:21" ht="14.25" customHeight="1">
      <c r="A2089" s="2" t="s">
        <v>40</v>
      </c>
      <c r="B2089" s="2">
        <v>1985</v>
      </c>
      <c r="C2089" s="2" t="s">
        <v>19</v>
      </c>
      <c r="D2089" s="3">
        <f t="shared" si="243"/>
        <v>2.8140000000000001</v>
      </c>
      <c r="E2089" s="3">
        <f t="shared" si="244"/>
        <v>0.40799999999999997</v>
      </c>
      <c r="F2089" s="3" t="e">
        <f t="shared" si="245"/>
        <v>#N/A</v>
      </c>
      <c r="G2089" s="3" t="e">
        <f t="shared" si="246"/>
        <v>#N/A</v>
      </c>
      <c r="H2089" s="3" t="e">
        <f t="shared" si="247"/>
        <v>#N/A</v>
      </c>
      <c r="I2089" s="3" t="e">
        <f t="shared" si="248"/>
        <v>#N/A</v>
      </c>
      <c r="J2089" s="2">
        <v>2814</v>
      </c>
      <c r="K2089" s="2">
        <v>408</v>
      </c>
      <c r="P2089" s="3">
        <f>E2089*(VLOOKUP(B2089,Price_data!A$1:B$190,2,FALSE))</f>
        <v>0.73444372984799999</v>
      </c>
      <c r="Q2089" s="3" t="e">
        <f>G2089*(VLOOKUP(B2089,Price_data!A$1:B$190,2,FALSE))</f>
        <v>#N/A</v>
      </c>
      <c r="R2089" s="3" t="e">
        <f>I2089*(VLOOKUP(B2089,Price_data!A$1:B$190,2,FALSE))</f>
        <v>#N/A</v>
      </c>
      <c r="S2089" s="4" t="str">
        <f>(VLOOKUP(B2089,Price_data!A$1:C$190,3,FALSE))</f>
        <v>EEZ</v>
      </c>
      <c r="T2089" s="2" t="str">
        <f>IF(C2089="Total", (VLOOKUP(B2089,Recommended_fish_intake!A$4:D$122,4,FALSE)), "NA")</f>
        <v>NA</v>
      </c>
      <c r="U2089" s="2" t="str">
        <f t="shared" si="242"/>
        <v>NA</v>
      </c>
    </row>
    <row r="2090" spans="1:21" ht="14.25" customHeight="1">
      <c r="A2090" s="2" t="s">
        <v>40</v>
      </c>
      <c r="B2090" s="2">
        <v>1985</v>
      </c>
      <c r="C2090" s="2" t="s">
        <v>20</v>
      </c>
      <c r="D2090" s="3">
        <f t="shared" si="243"/>
        <v>1.133</v>
      </c>
      <c r="E2090" s="3">
        <f t="shared" si="244"/>
        <v>0.153</v>
      </c>
      <c r="F2090" s="3" t="e">
        <f t="shared" si="245"/>
        <v>#N/A</v>
      </c>
      <c r="G2090" s="3" t="e">
        <f t="shared" si="246"/>
        <v>#N/A</v>
      </c>
      <c r="H2090" s="3" t="e">
        <f t="shared" si="247"/>
        <v>#N/A</v>
      </c>
      <c r="I2090" s="3" t="e">
        <f t="shared" si="248"/>
        <v>#N/A</v>
      </c>
      <c r="J2090" s="2">
        <v>1133</v>
      </c>
      <c r="K2090" s="2">
        <v>153</v>
      </c>
      <c r="P2090" s="3">
        <f>E2090*(VLOOKUP(B2090,Price_data!A$1:B$190,2,FALSE))</f>
        <v>0.275416398693</v>
      </c>
      <c r="Q2090" s="3" t="e">
        <f>G2090*(VLOOKUP(B2090,Price_data!A$1:B$190,2,FALSE))</f>
        <v>#N/A</v>
      </c>
      <c r="R2090" s="3" t="e">
        <f>I2090*(VLOOKUP(B2090,Price_data!A$1:B$190,2,FALSE))</f>
        <v>#N/A</v>
      </c>
      <c r="S2090" s="4" t="str">
        <f>(VLOOKUP(B2090,Price_data!A$1:C$190,3,FALSE))</f>
        <v>EEZ</v>
      </c>
      <c r="T2090" s="2" t="str">
        <f>IF(C2090="Total", (VLOOKUP(B2090,Recommended_fish_intake!A$4:D$122,4,FALSE)), "NA")</f>
        <v>NA</v>
      </c>
      <c r="U2090" s="2" t="str">
        <f t="shared" si="242"/>
        <v>NA</v>
      </c>
    </row>
    <row r="2091" spans="1:21" ht="14.25" customHeight="1">
      <c r="A2091" s="2" t="s">
        <v>40</v>
      </c>
      <c r="B2091" s="2">
        <v>1985</v>
      </c>
      <c r="C2091" s="2" t="s">
        <v>37</v>
      </c>
      <c r="D2091" s="3">
        <f t="shared" si="243"/>
        <v>17.937000000000001</v>
      </c>
      <c r="E2091" s="3">
        <f t="shared" si="244"/>
        <v>5.8449999999999998</v>
      </c>
      <c r="F2091" s="3" t="e">
        <f t="shared" si="245"/>
        <v>#N/A</v>
      </c>
      <c r="G2091" s="3" t="e">
        <f t="shared" si="246"/>
        <v>#N/A</v>
      </c>
      <c r="H2091" s="3" t="e">
        <f t="shared" si="247"/>
        <v>#N/A</v>
      </c>
      <c r="I2091" s="3" t="e">
        <f t="shared" si="248"/>
        <v>#N/A</v>
      </c>
      <c r="J2091" s="2">
        <v>17937</v>
      </c>
      <c r="K2091" s="2">
        <v>5845</v>
      </c>
      <c r="P2091" s="3">
        <f>E2091*(VLOOKUP(B2091,Price_data!A$1:B$190,2,FALSE))</f>
        <v>10.521626472945</v>
      </c>
      <c r="Q2091" s="3" t="e">
        <f>G2091*(VLOOKUP(B2091,Price_data!A$1:B$190,2,FALSE))</f>
        <v>#N/A</v>
      </c>
      <c r="R2091" s="3" t="e">
        <f>I2091*(VLOOKUP(B2091,Price_data!A$1:B$190,2,FALSE))</f>
        <v>#N/A</v>
      </c>
      <c r="S2091" s="4" t="str">
        <f>(VLOOKUP(B2091,Price_data!A$1:C$190,3,FALSE))</f>
        <v>EEZ</v>
      </c>
      <c r="T2091" s="2" t="str">
        <f>IF(C2091="Total", (VLOOKUP(B2091,Recommended_fish_intake!A$4:D$122,4,FALSE)), "NA")</f>
        <v>NA</v>
      </c>
      <c r="U2091" s="2">
        <f t="shared" si="242"/>
        <v>8.7891300000000001</v>
      </c>
    </row>
    <row r="2092" spans="1:21" ht="14.25" customHeight="1">
      <c r="A2092" s="2" t="s">
        <v>40</v>
      </c>
      <c r="B2092" s="2">
        <v>1985</v>
      </c>
      <c r="C2092" s="2" t="s">
        <v>36</v>
      </c>
      <c r="D2092" s="3">
        <f t="shared" si="243"/>
        <v>4.0000000000000001E-3</v>
      </c>
      <c r="E2092" s="3">
        <f t="shared" si="244"/>
        <v>1E-3</v>
      </c>
      <c r="F2092" s="3" t="e">
        <f t="shared" si="245"/>
        <v>#N/A</v>
      </c>
      <c r="G2092" s="3" t="e">
        <f t="shared" si="246"/>
        <v>#N/A</v>
      </c>
      <c r="H2092" s="3" t="e">
        <f t="shared" si="247"/>
        <v>#N/A</v>
      </c>
      <c r="I2092" s="3" t="e">
        <f t="shared" si="248"/>
        <v>#N/A</v>
      </c>
      <c r="J2092" s="2">
        <v>4</v>
      </c>
      <c r="K2092" s="2">
        <v>1</v>
      </c>
      <c r="P2092" s="3">
        <f>E2092*(VLOOKUP(B2092,Price_data!A$1:B$190,2,FALSE))</f>
        <v>1.8001071809999999E-3</v>
      </c>
      <c r="Q2092" s="3" t="e">
        <f>G2092*(VLOOKUP(B2092,Price_data!A$1:B$190,2,FALSE))</f>
        <v>#N/A</v>
      </c>
      <c r="R2092" s="3" t="e">
        <f>I2092*(VLOOKUP(B2092,Price_data!A$1:B$190,2,FALSE))</f>
        <v>#N/A</v>
      </c>
      <c r="S2092" s="4" t="str">
        <f>(VLOOKUP(B2092,Price_data!A$1:C$190,3,FALSE))</f>
        <v>EEZ</v>
      </c>
      <c r="T2092" s="2" t="str">
        <f>IF(C2092="Total", (VLOOKUP(B2092,Recommended_fish_intake!A$4:D$122,4,FALSE)), "NA")</f>
        <v>NA</v>
      </c>
      <c r="U2092" s="2" t="str">
        <f t="shared" si="242"/>
        <v>NA</v>
      </c>
    </row>
    <row r="2093" spans="1:21" ht="14.25" customHeight="1">
      <c r="A2093" s="2" t="s">
        <v>40</v>
      </c>
      <c r="B2093" s="2">
        <v>1985</v>
      </c>
      <c r="C2093" s="2" t="s">
        <v>34</v>
      </c>
      <c r="D2093" s="3">
        <f t="shared" si="243"/>
        <v>1.4E-2</v>
      </c>
      <c r="E2093" s="3">
        <f t="shared" si="244"/>
        <v>7.9000000000000001E-2</v>
      </c>
      <c r="F2093" s="3" t="e">
        <f t="shared" si="245"/>
        <v>#N/A</v>
      </c>
      <c r="G2093" s="3" t="e">
        <f t="shared" si="246"/>
        <v>#N/A</v>
      </c>
      <c r="H2093" s="3" t="e">
        <f t="shared" si="247"/>
        <v>#N/A</v>
      </c>
      <c r="I2093" s="3" t="e">
        <f t="shared" si="248"/>
        <v>#N/A</v>
      </c>
      <c r="J2093" s="2">
        <v>14</v>
      </c>
      <c r="K2093" s="2">
        <v>79</v>
      </c>
      <c r="P2093" s="3">
        <f>E2093*(VLOOKUP(B2093,Price_data!A$1:B$190,2,FALSE))</f>
        <v>0.142208467299</v>
      </c>
      <c r="Q2093" s="3" t="e">
        <f>G2093*(VLOOKUP(B2093,Price_data!A$1:B$190,2,FALSE))</f>
        <v>#N/A</v>
      </c>
      <c r="R2093" s="3" t="e">
        <f>I2093*(VLOOKUP(B2093,Price_data!A$1:B$190,2,FALSE))</f>
        <v>#N/A</v>
      </c>
      <c r="S2093" s="4" t="str">
        <f>(VLOOKUP(B2093,Price_data!A$1:C$190,3,FALSE))</f>
        <v>EEZ</v>
      </c>
      <c r="T2093" s="2" t="str">
        <f>IF(C2093="Total", (VLOOKUP(B2093,Recommended_fish_intake!A$4:D$122,4,FALSE)), "NA")</f>
        <v>NA</v>
      </c>
      <c r="U2093" s="2" t="str">
        <f t="shared" si="242"/>
        <v>NA</v>
      </c>
    </row>
    <row r="2094" spans="1:21" ht="14.25" customHeight="1">
      <c r="A2094" s="2" t="s">
        <v>40</v>
      </c>
      <c r="B2094" s="2">
        <v>1985</v>
      </c>
      <c r="C2094" s="2" t="s">
        <v>35</v>
      </c>
      <c r="D2094" s="3">
        <f t="shared" si="243"/>
        <v>4.3220000000000001</v>
      </c>
      <c r="E2094" s="3">
        <f t="shared" si="244"/>
        <v>4.0949999999999998</v>
      </c>
      <c r="F2094" s="3" t="e">
        <f t="shared" si="245"/>
        <v>#N/A</v>
      </c>
      <c r="G2094" s="3" t="e">
        <f t="shared" si="246"/>
        <v>#N/A</v>
      </c>
      <c r="H2094" s="3" t="e">
        <f t="shared" si="247"/>
        <v>#N/A</v>
      </c>
      <c r="I2094" s="3" t="e">
        <f t="shared" si="248"/>
        <v>#N/A</v>
      </c>
      <c r="J2094" s="2">
        <v>4322</v>
      </c>
      <c r="K2094" s="2">
        <v>4095</v>
      </c>
      <c r="P2094" s="3">
        <f>E2094*(VLOOKUP(B2094,Price_data!A$1:B$190,2,FALSE))</f>
        <v>7.3714389061949994</v>
      </c>
      <c r="Q2094" s="3" t="e">
        <f>G2094*(VLOOKUP(B2094,Price_data!A$1:B$190,2,FALSE))</f>
        <v>#N/A</v>
      </c>
      <c r="R2094" s="3" t="e">
        <f>I2094*(VLOOKUP(B2094,Price_data!A$1:B$190,2,FALSE))</f>
        <v>#N/A</v>
      </c>
      <c r="S2094" s="4" t="str">
        <f>(VLOOKUP(B2094,Price_data!A$1:C$190,3,FALSE))</f>
        <v>EEZ</v>
      </c>
      <c r="T2094" s="2" t="str">
        <f>IF(C2094="Total", (VLOOKUP(B2094,Recommended_fish_intake!A$4:D$122,4,FALSE)), "NA")</f>
        <v>NA</v>
      </c>
      <c r="U2094" s="2" t="str">
        <f t="shared" si="242"/>
        <v>NA</v>
      </c>
    </row>
    <row r="2095" spans="1:21" ht="14.25" customHeight="1">
      <c r="A2095" s="2" t="s">
        <v>40</v>
      </c>
      <c r="B2095" s="2">
        <v>1985</v>
      </c>
      <c r="C2095" s="2" t="s">
        <v>52</v>
      </c>
      <c r="D2095" s="3">
        <f t="shared" si="243"/>
        <v>0.11600000000000001</v>
      </c>
      <c r="E2095" s="3">
        <f t="shared" si="244"/>
        <v>0.11600000000000001</v>
      </c>
      <c r="F2095" s="3" t="e">
        <f t="shared" si="245"/>
        <v>#N/A</v>
      </c>
      <c r="G2095" s="3" t="e">
        <f t="shared" si="246"/>
        <v>#N/A</v>
      </c>
      <c r="H2095" s="3" t="e">
        <f t="shared" si="247"/>
        <v>#N/A</v>
      </c>
      <c r="I2095" s="3" t="e">
        <f t="shared" si="248"/>
        <v>#N/A</v>
      </c>
      <c r="J2095" s="2">
        <v>116</v>
      </c>
      <c r="K2095" s="2">
        <v>116</v>
      </c>
      <c r="P2095" s="3">
        <f>E2095*(VLOOKUP(B2095,Price_data!A$1:B$190,2,FALSE))</f>
        <v>0.208812432996</v>
      </c>
      <c r="Q2095" s="3" t="e">
        <f>G2095*(VLOOKUP(B2095,Price_data!A$1:B$190,2,FALSE))</f>
        <v>#N/A</v>
      </c>
      <c r="R2095" s="3" t="e">
        <f>I2095*(VLOOKUP(B2095,Price_data!A$1:B$190,2,FALSE))</f>
        <v>#N/A</v>
      </c>
      <c r="S2095" s="4" t="str">
        <f>(VLOOKUP(B2095,Price_data!A$1:C$190,3,FALSE))</f>
        <v>EEZ</v>
      </c>
      <c r="T2095" s="2" t="str">
        <f>IF(C2095="Total", (VLOOKUP(B2095,Recommended_fish_intake!A$4:D$122,4,FALSE)), "NA")</f>
        <v>NA</v>
      </c>
      <c r="U2095" s="2" t="str">
        <f t="shared" si="242"/>
        <v>NA</v>
      </c>
    </row>
    <row r="2096" spans="1:21" ht="14.25" customHeight="1">
      <c r="A2096" s="2" t="s">
        <v>40</v>
      </c>
      <c r="B2096" s="2">
        <v>1985</v>
      </c>
      <c r="C2096" s="2" t="s">
        <v>30</v>
      </c>
      <c r="D2096" s="3">
        <f t="shared" si="243"/>
        <v>0</v>
      </c>
      <c r="E2096" s="3">
        <f t="shared" si="244"/>
        <v>0</v>
      </c>
      <c r="F2096" s="3" t="e">
        <f t="shared" si="245"/>
        <v>#N/A</v>
      </c>
      <c r="G2096" s="3" t="e">
        <f t="shared" si="246"/>
        <v>#N/A</v>
      </c>
      <c r="H2096" s="3" t="e">
        <f t="shared" si="247"/>
        <v>#N/A</v>
      </c>
      <c r="I2096" s="3" t="e">
        <f t="shared" si="248"/>
        <v>#N/A</v>
      </c>
      <c r="J2096" s="2">
        <v>0</v>
      </c>
      <c r="K2096" s="2">
        <v>0</v>
      </c>
      <c r="P2096" s="3">
        <f>E2096*(VLOOKUP(B2096,Price_data!A$1:B$190,2,FALSE))</f>
        <v>0</v>
      </c>
      <c r="Q2096" s="3" t="e">
        <f>G2096*(VLOOKUP(B2096,Price_data!A$1:B$190,2,FALSE))</f>
        <v>#N/A</v>
      </c>
      <c r="R2096" s="3" t="e">
        <f>I2096*(VLOOKUP(B2096,Price_data!A$1:B$190,2,FALSE))</f>
        <v>#N/A</v>
      </c>
      <c r="S2096" s="4" t="str">
        <f>(VLOOKUP(B2096,Price_data!A$1:C$190,3,FALSE))</f>
        <v>EEZ</v>
      </c>
      <c r="T2096" s="2" t="str">
        <f>IF(C2096="Total", (VLOOKUP(B2096,Recommended_fish_intake!A$4:D$122,4,FALSE)), "NA")</f>
        <v>NA</v>
      </c>
      <c r="U2096" s="2" t="str">
        <f t="shared" si="242"/>
        <v>NA</v>
      </c>
    </row>
    <row r="2097" spans="1:21" ht="14.25" customHeight="1">
      <c r="A2097" s="2" t="s">
        <v>40</v>
      </c>
      <c r="B2097" s="2">
        <v>1985</v>
      </c>
      <c r="C2097" s="2" t="s">
        <v>28</v>
      </c>
      <c r="D2097" s="3">
        <f t="shared" si="243"/>
        <v>4.6500000000000004</v>
      </c>
      <c r="E2097" s="3">
        <f t="shared" si="244"/>
        <v>4.4189999999999996</v>
      </c>
      <c r="F2097" s="3" t="e">
        <f t="shared" si="245"/>
        <v>#N/A</v>
      </c>
      <c r="G2097" s="3" t="e">
        <f t="shared" si="246"/>
        <v>#N/A</v>
      </c>
      <c r="H2097" s="3" t="e">
        <f t="shared" si="247"/>
        <v>#N/A</v>
      </c>
      <c r="I2097" s="3" t="e">
        <f t="shared" si="248"/>
        <v>#N/A</v>
      </c>
      <c r="J2097" s="2">
        <v>4650</v>
      </c>
      <c r="K2097" s="2">
        <v>4419</v>
      </c>
      <c r="P2097" s="3">
        <f>E2097*(VLOOKUP(B2097,Price_data!A$1:B$190,2,FALSE))</f>
        <v>7.9546736328389995</v>
      </c>
      <c r="Q2097" s="3" t="e">
        <f>G2097*(VLOOKUP(B2097,Price_data!A$1:B$190,2,FALSE))</f>
        <v>#N/A</v>
      </c>
      <c r="R2097" s="3" t="e">
        <f>I2097*(VLOOKUP(B2097,Price_data!A$1:B$190,2,FALSE))</f>
        <v>#N/A</v>
      </c>
      <c r="S2097" s="4" t="str">
        <f>(VLOOKUP(B2097,Price_data!A$1:C$190,3,FALSE))</f>
        <v>EEZ</v>
      </c>
      <c r="T2097" s="2" t="str">
        <f>IF(C2097="Total", (VLOOKUP(B2097,Recommended_fish_intake!A$4:D$122,4,FALSE)), "NA")</f>
        <v>NA</v>
      </c>
      <c r="U2097" s="2">
        <f t="shared" si="242"/>
        <v>1.3020000000000003</v>
      </c>
    </row>
    <row r="2098" spans="1:21" ht="14.25" customHeight="1">
      <c r="A2098" s="2" t="s">
        <v>15</v>
      </c>
      <c r="B2098" s="2">
        <v>1985</v>
      </c>
      <c r="C2098" s="2" t="s">
        <v>22</v>
      </c>
      <c r="D2098" s="3">
        <f t="shared" si="243"/>
        <v>90.045000000000002</v>
      </c>
      <c r="E2098" s="3">
        <f t="shared" si="244"/>
        <v>69.944999999999993</v>
      </c>
      <c r="F2098" s="3" t="e">
        <f t="shared" si="245"/>
        <v>#N/A</v>
      </c>
      <c r="G2098" s="3" t="e">
        <f t="shared" si="246"/>
        <v>#N/A</v>
      </c>
      <c r="H2098" s="3">
        <f t="shared" si="247"/>
        <v>129.98599999999999</v>
      </c>
      <c r="I2098" s="3">
        <f t="shared" si="248"/>
        <v>146.52099999999999</v>
      </c>
      <c r="J2098" s="2">
        <v>90045</v>
      </c>
      <c r="K2098" s="2">
        <v>69945</v>
      </c>
      <c r="N2098" s="2">
        <f>45868+65470+18255+393</f>
        <v>129986</v>
      </c>
      <c r="O2098" s="2">
        <f>28831+105780+11394+516</f>
        <v>146521</v>
      </c>
      <c r="P2098" s="3">
        <f>E2098*(VLOOKUP(B2098,Price_data!A$1:B$190,2,FALSE))</f>
        <v>125.90849677504499</v>
      </c>
      <c r="Q2098" s="3" t="e">
        <f>G2098*(VLOOKUP(B2098,Price_data!A$1:B$190,2,FALSE))</f>
        <v>#N/A</v>
      </c>
      <c r="R2098" s="3">
        <f>I2098*(VLOOKUP(B2098,Price_data!A$1:B$190,2,FALSE))</f>
        <v>263.75350426730097</v>
      </c>
      <c r="S2098" s="4" t="str">
        <f>(VLOOKUP(B2098,Price_data!A$1:C$190,3,FALSE))</f>
        <v>EEZ</v>
      </c>
      <c r="T2098" s="2" t="str">
        <f>IF(C2098="Total", (VLOOKUP(B2098,Recommended_fish_intake!A$4:D$122,4,FALSE)), "NA")</f>
        <v>NA</v>
      </c>
      <c r="U2098" s="2" t="str">
        <f t="shared" si="242"/>
        <v>NA</v>
      </c>
    </row>
    <row r="2099" spans="1:21" ht="14.25" customHeight="1">
      <c r="A2099" s="2" t="s">
        <v>15</v>
      </c>
      <c r="B2099" s="2">
        <v>1985</v>
      </c>
      <c r="C2099" s="2" t="s">
        <v>23</v>
      </c>
      <c r="D2099" s="3">
        <f t="shared" si="243"/>
        <v>132.23500000000001</v>
      </c>
      <c r="E2099" s="3">
        <f t="shared" si="244"/>
        <v>67.757000000000005</v>
      </c>
      <c r="F2099" s="3" t="e">
        <f t="shared" si="245"/>
        <v>#N/A</v>
      </c>
      <c r="G2099" s="3" t="e">
        <f t="shared" si="246"/>
        <v>#N/A</v>
      </c>
      <c r="H2099" s="3">
        <f t="shared" si="247"/>
        <v>22.757999999999999</v>
      </c>
      <c r="I2099" s="3">
        <f t="shared" si="248"/>
        <v>22.535</v>
      </c>
      <c r="J2099" s="2">
        <v>132235</v>
      </c>
      <c r="K2099" s="2">
        <v>67757</v>
      </c>
      <c r="N2099" s="2">
        <f>14453+6446+1859</f>
        <v>22758</v>
      </c>
      <c r="O2099" s="2">
        <f>9482+11744+1309</f>
        <v>22535</v>
      </c>
      <c r="P2099" s="3">
        <f>E2099*(VLOOKUP(B2099,Price_data!A$1:B$190,2,FALSE))</f>
        <v>121.96986226301701</v>
      </c>
      <c r="Q2099" s="3" t="e">
        <f>G2099*(VLOOKUP(B2099,Price_data!A$1:B$190,2,FALSE))</f>
        <v>#N/A</v>
      </c>
      <c r="R2099" s="3">
        <f>I2099*(VLOOKUP(B2099,Price_data!A$1:B$190,2,FALSE))</f>
        <v>40.565415323834998</v>
      </c>
      <c r="S2099" s="4" t="str">
        <f>(VLOOKUP(B2099,Price_data!A$1:C$190,3,FALSE))</f>
        <v>EEZ</v>
      </c>
      <c r="T2099" s="2" t="str">
        <f>IF(C2099="Total", (VLOOKUP(B2099,Recommended_fish_intake!A$4:D$122,4,FALSE)), "NA")</f>
        <v>NA</v>
      </c>
      <c r="U2099" s="2" t="str">
        <f t="shared" si="242"/>
        <v>NA</v>
      </c>
    </row>
    <row r="2100" spans="1:21" ht="14.25" customHeight="1">
      <c r="A2100" s="2" t="s">
        <v>15</v>
      </c>
      <c r="B2100" s="2">
        <v>1985</v>
      </c>
      <c r="C2100" s="2" t="s">
        <v>58</v>
      </c>
      <c r="D2100" s="3">
        <f t="shared" si="243"/>
        <v>8.8870000000000005</v>
      </c>
      <c r="E2100" s="3">
        <f t="shared" si="244"/>
        <v>10.367000000000001</v>
      </c>
      <c r="F2100" s="3" t="e">
        <f t="shared" si="245"/>
        <v>#N/A</v>
      </c>
      <c r="G2100" s="3" t="e">
        <f t="shared" si="246"/>
        <v>#N/A</v>
      </c>
      <c r="H2100" s="3" t="e">
        <f t="shared" si="247"/>
        <v>#N/A</v>
      </c>
      <c r="I2100" s="3" t="e">
        <f t="shared" si="248"/>
        <v>#N/A</v>
      </c>
      <c r="J2100" s="2">
        <v>8887</v>
      </c>
      <c r="K2100" s="2">
        <v>10367</v>
      </c>
      <c r="P2100" s="3">
        <f>E2100*(VLOOKUP(B2100,Price_data!A$1:B$190,2,FALSE))</f>
        <v>18.661711145427002</v>
      </c>
      <c r="Q2100" s="3" t="e">
        <f>G2100*(VLOOKUP(B2100,Price_data!A$1:B$190,2,FALSE))</f>
        <v>#N/A</v>
      </c>
      <c r="R2100" s="3" t="e">
        <f>I2100*(VLOOKUP(B2100,Price_data!A$1:B$190,2,FALSE))</f>
        <v>#N/A</v>
      </c>
      <c r="S2100" s="4" t="str">
        <f>(VLOOKUP(B2100,Price_data!A$1:C$190,3,FALSE))</f>
        <v>EEZ</v>
      </c>
      <c r="T2100" s="2" t="str">
        <f>IF(C2100="Total", (VLOOKUP(B2100,Recommended_fish_intake!A$4:D$122,4,FALSE)), "NA")</f>
        <v>NA</v>
      </c>
      <c r="U2100" s="2" t="str">
        <f t="shared" si="242"/>
        <v>NA</v>
      </c>
    </row>
    <row r="2101" spans="1:21" ht="14.25" customHeight="1">
      <c r="A2101" s="2" t="s">
        <v>15</v>
      </c>
      <c r="B2101" s="2">
        <v>1985</v>
      </c>
      <c r="C2101" s="2" t="s">
        <v>25</v>
      </c>
      <c r="D2101" s="3">
        <f t="shared" si="243"/>
        <v>20.449000000000002</v>
      </c>
      <c r="E2101" s="3">
        <f t="shared" si="244"/>
        <v>13.821</v>
      </c>
      <c r="F2101" s="3" t="e">
        <f t="shared" si="245"/>
        <v>#N/A</v>
      </c>
      <c r="G2101" s="3" t="e">
        <f t="shared" si="246"/>
        <v>#N/A</v>
      </c>
      <c r="H2101" s="3">
        <f t="shared" si="247"/>
        <v>19.498000000000001</v>
      </c>
      <c r="I2101" s="3">
        <f t="shared" si="248"/>
        <v>17.666</v>
      </c>
      <c r="J2101" s="2">
        <v>20449</v>
      </c>
      <c r="K2101" s="2">
        <v>13821</v>
      </c>
      <c r="N2101" s="2">
        <f>15695+2937+866</f>
        <v>19498</v>
      </c>
      <c r="O2101" s="2">
        <f>11082+5980+604</f>
        <v>17666</v>
      </c>
      <c r="P2101" s="3">
        <f>E2101*(VLOOKUP(B2101,Price_data!A$1:B$190,2,FALSE))</f>
        <v>24.879281348601001</v>
      </c>
      <c r="Q2101" s="3" t="e">
        <f>G2101*(VLOOKUP(B2101,Price_data!A$1:B$190,2,FALSE))</f>
        <v>#N/A</v>
      </c>
      <c r="R2101" s="3">
        <f>I2101*(VLOOKUP(B2101,Price_data!A$1:B$190,2,FALSE))</f>
        <v>31.800693459546</v>
      </c>
      <c r="S2101" s="4" t="str">
        <f>(VLOOKUP(B2101,Price_data!A$1:C$190,3,FALSE))</f>
        <v>EEZ</v>
      </c>
      <c r="T2101" s="2" t="str">
        <f>IF(C2101="Total", (VLOOKUP(B2101,Recommended_fish_intake!A$4:D$122,4,FALSE)), "NA")</f>
        <v>NA</v>
      </c>
      <c r="U2101" s="2" t="str">
        <f t="shared" si="242"/>
        <v>NA</v>
      </c>
    </row>
    <row r="2102" spans="1:21" ht="14.25" customHeight="1">
      <c r="A2102" s="2" t="s">
        <v>15</v>
      </c>
      <c r="B2102" s="2">
        <v>1985</v>
      </c>
      <c r="C2102" s="2" t="s">
        <v>24</v>
      </c>
      <c r="D2102" s="3">
        <f t="shared" si="243"/>
        <v>50.197000000000003</v>
      </c>
      <c r="E2102" s="3">
        <f t="shared" si="244"/>
        <v>18.997</v>
      </c>
      <c r="F2102" s="3" t="e">
        <f t="shared" si="245"/>
        <v>#N/A</v>
      </c>
      <c r="G2102" s="3" t="e">
        <f t="shared" si="246"/>
        <v>#N/A</v>
      </c>
      <c r="H2102" s="3" t="e">
        <f t="shared" si="247"/>
        <v>#N/A</v>
      </c>
      <c r="I2102" s="3" t="e">
        <f t="shared" si="248"/>
        <v>#N/A</v>
      </c>
      <c r="J2102" s="2">
        <v>50197</v>
      </c>
      <c r="K2102" s="2">
        <v>18997</v>
      </c>
      <c r="P2102" s="3">
        <f>E2102*(VLOOKUP(B2102,Price_data!A$1:B$190,2,FALSE))</f>
        <v>34.196636117456997</v>
      </c>
      <c r="Q2102" s="3" t="e">
        <f>G2102*(VLOOKUP(B2102,Price_data!A$1:B$190,2,FALSE))</f>
        <v>#N/A</v>
      </c>
      <c r="R2102" s="3" t="e">
        <f>I2102*(VLOOKUP(B2102,Price_data!A$1:B$190,2,FALSE))</f>
        <v>#N/A</v>
      </c>
      <c r="S2102" s="4" t="str">
        <f>(VLOOKUP(B2102,Price_data!A$1:C$190,3,FALSE))</f>
        <v>EEZ</v>
      </c>
      <c r="T2102" s="2" t="str">
        <f>IF(C2102="Total", (VLOOKUP(B2102,Recommended_fish_intake!A$4:D$122,4,FALSE)), "NA")</f>
        <v>NA</v>
      </c>
      <c r="U2102" s="2" t="str">
        <f t="shared" si="242"/>
        <v>NA</v>
      </c>
    </row>
    <row r="2103" spans="1:21" ht="14.25" customHeight="1">
      <c r="A2103" s="2" t="s">
        <v>15</v>
      </c>
      <c r="B2103" s="2">
        <v>1985</v>
      </c>
      <c r="C2103" s="2" t="s">
        <v>19</v>
      </c>
      <c r="D2103" s="3">
        <f t="shared" si="243"/>
        <v>95.424000000000007</v>
      </c>
      <c r="E2103" s="3">
        <f t="shared" si="244"/>
        <v>11.493</v>
      </c>
      <c r="F2103" s="3" t="e">
        <f t="shared" si="245"/>
        <v>#N/A</v>
      </c>
      <c r="G2103" s="3" t="e">
        <f t="shared" si="246"/>
        <v>#N/A</v>
      </c>
      <c r="H2103" s="3">
        <f t="shared" si="247"/>
        <v>12.96</v>
      </c>
      <c r="I2103" s="3">
        <f t="shared" si="248"/>
        <v>5.6079999999999997</v>
      </c>
      <c r="J2103" s="2">
        <v>95424</v>
      </c>
      <c r="K2103" s="2">
        <v>11493</v>
      </c>
      <c r="N2103" s="2">
        <f>7190+4243+261+1266</f>
        <v>12960</v>
      </c>
      <c r="O2103" s="2">
        <f>1710+1762+163+1973</f>
        <v>5608</v>
      </c>
      <c r="P2103" s="3">
        <f>E2103*(VLOOKUP(B2103,Price_data!A$1:B$190,2,FALSE))</f>
        <v>20.688631831233</v>
      </c>
      <c r="Q2103" s="3" t="e">
        <f>G2103*(VLOOKUP(B2103,Price_data!A$1:B$190,2,FALSE))</f>
        <v>#N/A</v>
      </c>
      <c r="R2103" s="3">
        <f>I2103*(VLOOKUP(B2103,Price_data!A$1:B$190,2,FALSE))</f>
        <v>10.095001071047999</v>
      </c>
      <c r="S2103" s="4" t="str">
        <f>(VLOOKUP(B2103,Price_data!A$1:C$190,3,FALSE))</f>
        <v>EEZ</v>
      </c>
      <c r="T2103" s="2" t="str">
        <f>IF(C2103="Total", (VLOOKUP(B2103,Recommended_fish_intake!A$4:D$122,4,FALSE)), "NA")</f>
        <v>NA</v>
      </c>
      <c r="U2103" s="2" t="str">
        <f t="shared" si="242"/>
        <v>NA</v>
      </c>
    </row>
    <row r="2104" spans="1:21" ht="14.25" customHeight="1">
      <c r="A2104" s="2" t="s">
        <v>15</v>
      </c>
      <c r="B2104" s="2">
        <v>1985</v>
      </c>
      <c r="C2104" s="2" t="s">
        <v>20</v>
      </c>
      <c r="D2104" s="3">
        <f t="shared" si="243"/>
        <v>174.22300000000001</v>
      </c>
      <c r="E2104" s="3">
        <f t="shared" si="244"/>
        <v>18.693999999999999</v>
      </c>
      <c r="F2104" s="3" t="e">
        <f t="shared" si="245"/>
        <v>#N/A</v>
      </c>
      <c r="G2104" s="3" t="e">
        <f t="shared" si="246"/>
        <v>#N/A</v>
      </c>
      <c r="H2104" s="3">
        <f t="shared" si="247"/>
        <v>2.3290000000000002</v>
      </c>
      <c r="I2104" s="3">
        <f t="shared" si="248"/>
        <v>2.996</v>
      </c>
      <c r="J2104" s="2">
        <v>174223</v>
      </c>
      <c r="K2104" s="2">
        <v>18694</v>
      </c>
      <c r="N2104" s="2">
        <v>2329</v>
      </c>
      <c r="O2104" s="2">
        <v>2996</v>
      </c>
      <c r="P2104" s="3">
        <f>E2104*(VLOOKUP(B2104,Price_data!A$1:B$190,2,FALSE))</f>
        <v>33.651203641613996</v>
      </c>
      <c r="Q2104" s="3" t="e">
        <f>G2104*(VLOOKUP(B2104,Price_data!A$1:B$190,2,FALSE))</f>
        <v>#N/A</v>
      </c>
      <c r="R2104" s="3">
        <f>I2104*(VLOOKUP(B2104,Price_data!A$1:B$190,2,FALSE))</f>
        <v>5.393121114276</v>
      </c>
      <c r="S2104" s="4" t="str">
        <f>(VLOOKUP(B2104,Price_data!A$1:C$190,3,FALSE))</f>
        <v>EEZ</v>
      </c>
      <c r="T2104" s="2" t="str">
        <f>IF(C2104="Total", (VLOOKUP(B2104,Recommended_fish_intake!A$4:D$122,4,FALSE)), "NA")</f>
        <v>NA</v>
      </c>
      <c r="U2104" s="2" t="str">
        <f t="shared" si="242"/>
        <v>NA</v>
      </c>
    </row>
    <row r="2105" spans="1:21" ht="14.25" customHeight="1">
      <c r="A2105" s="2" t="s">
        <v>15</v>
      </c>
      <c r="B2105" s="2">
        <v>1985</v>
      </c>
      <c r="C2105" s="2" t="s">
        <v>37</v>
      </c>
      <c r="D2105" s="3">
        <f t="shared" si="243"/>
        <v>687.22299999999996</v>
      </c>
      <c r="E2105" s="3">
        <f t="shared" si="244"/>
        <v>258.904</v>
      </c>
      <c r="F2105" s="3">
        <f t="shared" si="245"/>
        <v>258.49</v>
      </c>
      <c r="G2105" s="3">
        <f t="shared" si="246"/>
        <v>159.42699999999999</v>
      </c>
      <c r="H2105" s="3">
        <f t="shared" si="247"/>
        <v>337.53</v>
      </c>
      <c r="I2105" s="3">
        <f t="shared" si="248"/>
        <v>453.36</v>
      </c>
      <c r="J2105" s="2">
        <v>687223</v>
      </c>
      <c r="K2105" s="2">
        <v>258904</v>
      </c>
      <c r="L2105" s="2">
        <v>258490</v>
      </c>
      <c r="M2105" s="2">
        <v>159427</v>
      </c>
      <c r="N2105" s="2">
        <v>337530</v>
      </c>
      <c r="O2105" s="2">
        <v>453360</v>
      </c>
      <c r="P2105" s="3">
        <f>E2105*(VLOOKUP(B2105,Price_data!A$1:B$190,2,FALSE))</f>
        <v>466.05494958962402</v>
      </c>
      <c r="Q2105" s="3">
        <f>G2105*(VLOOKUP(B2105,Price_data!A$1:B$190,2,FALSE))</f>
        <v>286.98568754528696</v>
      </c>
      <c r="R2105" s="3">
        <f>I2105*(VLOOKUP(B2105,Price_data!A$1:B$190,2,FALSE))</f>
        <v>816.09659157815997</v>
      </c>
      <c r="S2105" s="4" t="str">
        <f>(VLOOKUP(B2105,Price_data!A$1:C$190,3,FALSE))</f>
        <v>EEZ</v>
      </c>
      <c r="T2105" s="2" t="str">
        <f>IF(C2105="Total", (VLOOKUP(B2105,Recommended_fish_intake!A$4:D$122,4,FALSE)), "NA")</f>
        <v>NA</v>
      </c>
      <c r="U2105" s="2">
        <f t="shared" si="242"/>
        <v>336.73926999999998</v>
      </c>
    </row>
    <row r="2106" spans="1:21" ht="14.25" customHeight="1">
      <c r="A2106" s="2" t="s">
        <v>15</v>
      </c>
      <c r="B2106" s="2">
        <v>1985</v>
      </c>
      <c r="C2106" s="2" t="s">
        <v>36</v>
      </c>
      <c r="D2106" s="3">
        <f t="shared" si="243"/>
        <v>13.5</v>
      </c>
      <c r="E2106" s="3">
        <f t="shared" si="244"/>
        <v>8.5570000000000004</v>
      </c>
      <c r="F2106" s="3" t="e">
        <f t="shared" si="245"/>
        <v>#N/A</v>
      </c>
      <c r="G2106" s="3" t="e">
        <f t="shared" si="246"/>
        <v>#N/A</v>
      </c>
      <c r="H2106" s="3">
        <f t="shared" si="247"/>
        <v>1.07</v>
      </c>
      <c r="I2106" s="3">
        <f t="shared" si="248"/>
        <v>5.6909999999999998</v>
      </c>
      <c r="J2106" s="2">
        <v>13500</v>
      </c>
      <c r="K2106" s="2">
        <v>8557</v>
      </c>
      <c r="N2106" s="2">
        <v>1070</v>
      </c>
      <c r="O2106" s="2">
        <v>5691</v>
      </c>
      <c r="P2106" s="3">
        <f>E2106*(VLOOKUP(B2106,Price_data!A$1:B$190,2,FALSE))</f>
        <v>15.403517147817</v>
      </c>
      <c r="Q2106" s="3" t="e">
        <f>G2106*(VLOOKUP(B2106,Price_data!A$1:B$190,2,FALSE))</f>
        <v>#N/A</v>
      </c>
      <c r="R2106" s="3">
        <f>I2106*(VLOOKUP(B2106,Price_data!A$1:B$190,2,FALSE))</f>
        <v>10.244409967071</v>
      </c>
      <c r="S2106" s="4" t="str">
        <f>(VLOOKUP(B2106,Price_data!A$1:C$190,3,FALSE))</f>
        <v>EEZ</v>
      </c>
      <c r="T2106" s="2" t="str">
        <f>IF(C2106="Total", (VLOOKUP(B2106,Recommended_fish_intake!A$4:D$122,4,FALSE)), "NA")</f>
        <v>NA</v>
      </c>
      <c r="U2106" s="2" t="str">
        <f t="shared" si="242"/>
        <v>NA</v>
      </c>
    </row>
    <row r="2107" spans="1:21" ht="14.25" customHeight="1">
      <c r="A2107" s="2" t="s">
        <v>15</v>
      </c>
      <c r="B2107" s="2">
        <v>1985</v>
      </c>
      <c r="C2107" s="2" t="s">
        <v>34</v>
      </c>
      <c r="D2107" s="3">
        <f t="shared" si="243"/>
        <v>1.1240000000000001</v>
      </c>
      <c r="E2107" s="3">
        <f t="shared" si="244"/>
        <v>8.0299999999999994</v>
      </c>
      <c r="F2107" s="3" t="e">
        <f t="shared" si="245"/>
        <v>#N/A</v>
      </c>
      <c r="G2107" s="3" t="e">
        <f t="shared" si="246"/>
        <v>#N/A</v>
      </c>
      <c r="H2107" s="3" t="e">
        <f t="shared" si="247"/>
        <v>#N/A</v>
      </c>
      <c r="I2107" s="3" t="e">
        <f t="shared" si="248"/>
        <v>#N/A</v>
      </c>
      <c r="J2107" s="2">
        <v>1124</v>
      </c>
      <c r="K2107" s="2">
        <v>8030</v>
      </c>
      <c r="P2107" s="3">
        <f>E2107*(VLOOKUP(B2107,Price_data!A$1:B$190,2,FALSE))</f>
        <v>14.454860663429999</v>
      </c>
      <c r="Q2107" s="3" t="e">
        <f>G2107*(VLOOKUP(B2107,Price_data!A$1:B$190,2,FALSE))</f>
        <v>#N/A</v>
      </c>
      <c r="R2107" s="3" t="e">
        <f>I2107*(VLOOKUP(B2107,Price_data!A$1:B$190,2,FALSE))</f>
        <v>#N/A</v>
      </c>
      <c r="S2107" s="4" t="str">
        <f>(VLOOKUP(B2107,Price_data!A$1:C$190,3,FALSE))</f>
        <v>EEZ</v>
      </c>
      <c r="T2107" s="2" t="str">
        <f>IF(C2107="Total", (VLOOKUP(B2107,Recommended_fish_intake!A$4:D$122,4,FALSE)), "NA")</f>
        <v>NA</v>
      </c>
      <c r="U2107" s="2" t="str">
        <f t="shared" si="242"/>
        <v>NA</v>
      </c>
    </row>
    <row r="2108" spans="1:21" ht="14.25" customHeight="1">
      <c r="A2108" s="2" t="s">
        <v>15</v>
      </c>
      <c r="B2108" s="2">
        <v>1985</v>
      </c>
      <c r="C2108" s="2" t="s">
        <v>35</v>
      </c>
      <c r="D2108" s="3">
        <f t="shared" si="243"/>
        <v>24.786000000000001</v>
      </c>
      <c r="E2108" s="3">
        <f t="shared" si="244"/>
        <v>31.547999999999998</v>
      </c>
      <c r="F2108" s="3" t="e">
        <f t="shared" si="245"/>
        <v>#N/A</v>
      </c>
      <c r="G2108" s="3" t="e">
        <f t="shared" si="246"/>
        <v>#N/A</v>
      </c>
      <c r="H2108" s="3" t="e">
        <f t="shared" si="247"/>
        <v>#N/A</v>
      </c>
      <c r="I2108" s="3" t="e">
        <f t="shared" si="248"/>
        <v>#N/A</v>
      </c>
      <c r="J2108" s="2">
        <v>24786</v>
      </c>
      <c r="K2108" s="2">
        <v>31548</v>
      </c>
      <c r="P2108" s="3">
        <f>E2108*(VLOOKUP(B2108,Price_data!A$1:B$190,2,FALSE))</f>
        <v>56.789781346187993</v>
      </c>
      <c r="Q2108" s="3" t="e">
        <f>G2108*(VLOOKUP(B2108,Price_data!A$1:B$190,2,FALSE))</f>
        <v>#N/A</v>
      </c>
      <c r="R2108" s="3" t="e">
        <f>I2108*(VLOOKUP(B2108,Price_data!A$1:B$190,2,FALSE))</f>
        <v>#N/A</v>
      </c>
      <c r="S2108" s="4" t="str">
        <f>(VLOOKUP(B2108,Price_data!A$1:C$190,3,FALSE))</f>
        <v>EEZ</v>
      </c>
      <c r="T2108" s="2" t="str">
        <f>IF(C2108="Total", (VLOOKUP(B2108,Recommended_fish_intake!A$4:D$122,4,FALSE)), "NA")</f>
        <v>NA</v>
      </c>
      <c r="U2108" s="2" t="str">
        <f t="shared" si="242"/>
        <v>NA</v>
      </c>
    </row>
    <row r="2109" spans="1:21" ht="14.25" customHeight="1">
      <c r="A2109" s="2" t="s">
        <v>15</v>
      </c>
      <c r="B2109" s="2">
        <v>1985</v>
      </c>
      <c r="C2109" s="2" t="s">
        <v>52</v>
      </c>
      <c r="D2109" s="3">
        <f t="shared" si="243"/>
        <v>7.508</v>
      </c>
      <c r="E2109" s="3">
        <f t="shared" si="244"/>
        <v>7.9969999999999999</v>
      </c>
      <c r="F2109" s="3" t="e">
        <f t="shared" si="245"/>
        <v>#N/A</v>
      </c>
      <c r="G2109" s="3" t="e">
        <f t="shared" si="246"/>
        <v>#N/A</v>
      </c>
      <c r="H2109" s="3" t="e">
        <f t="shared" si="247"/>
        <v>#N/A</v>
      </c>
      <c r="I2109" s="3" t="e">
        <f t="shared" si="248"/>
        <v>#N/A</v>
      </c>
      <c r="J2109" s="2">
        <v>7508</v>
      </c>
      <c r="K2109" s="2">
        <v>7997</v>
      </c>
      <c r="P2109" s="3">
        <f>E2109*(VLOOKUP(B2109,Price_data!A$1:B$190,2,FALSE))</f>
        <v>14.395457126457</v>
      </c>
      <c r="Q2109" s="3" t="e">
        <f>G2109*(VLOOKUP(B2109,Price_data!A$1:B$190,2,FALSE))</f>
        <v>#N/A</v>
      </c>
      <c r="R2109" s="3" t="e">
        <f>I2109*(VLOOKUP(B2109,Price_data!A$1:B$190,2,FALSE))</f>
        <v>#N/A</v>
      </c>
      <c r="S2109" s="4" t="str">
        <f>(VLOOKUP(B2109,Price_data!A$1:C$190,3,FALSE))</f>
        <v>EEZ</v>
      </c>
      <c r="T2109" s="2" t="str">
        <f>IF(C2109="Total", (VLOOKUP(B2109,Recommended_fish_intake!A$4:D$122,4,FALSE)), "NA")</f>
        <v>NA</v>
      </c>
      <c r="U2109" s="2" t="str">
        <f t="shared" si="242"/>
        <v>NA</v>
      </c>
    </row>
    <row r="2110" spans="1:21" ht="14.25" customHeight="1">
      <c r="A2110" s="2" t="s">
        <v>15</v>
      </c>
      <c r="B2110" s="2">
        <v>1985</v>
      </c>
      <c r="C2110" s="2" t="s">
        <v>30</v>
      </c>
      <c r="D2110" s="3">
        <f t="shared" si="243"/>
        <v>0.83099999999999996</v>
      </c>
      <c r="E2110" s="3">
        <f t="shared" si="244"/>
        <v>0.71099999999999997</v>
      </c>
      <c r="F2110" s="3" t="e">
        <f t="shared" si="245"/>
        <v>#N/A</v>
      </c>
      <c r="G2110" s="3" t="e">
        <f t="shared" si="246"/>
        <v>#N/A</v>
      </c>
      <c r="H2110" s="3">
        <f t="shared" si="247"/>
        <v>19.352</v>
      </c>
      <c r="I2110" s="3">
        <f t="shared" si="248"/>
        <v>58.643999999999998</v>
      </c>
      <c r="J2110" s="2">
        <v>831</v>
      </c>
      <c r="K2110" s="2">
        <v>711</v>
      </c>
      <c r="N2110" s="2">
        <f>6402+12950</f>
        <v>19352</v>
      </c>
      <c r="O2110" s="2">
        <f>14736+43908</f>
        <v>58644</v>
      </c>
      <c r="P2110" s="3">
        <f>E2110*(VLOOKUP(B2110,Price_data!A$1:B$190,2,FALSE))</f>
        <v>1.279876205691</v>
      </c>
      <c r="Q2110" s="3" t="e">
        <f>G2110*(VLOOKUP(B2110,Price_data!A$1:B$190,2,FALSE))</f>
        <v>#N/A</v>
      </c>
      <c r="R2110" s="3">
        <f>I2110*(VLOOKUP(B2110,Price_data!A$1:B$190,2,FALSE))</f>
        <v>105.565485522564</v>
      </c>
      <c r="S2110" s="4" t="str">
        <f>(VLOOKUP(B2110,Price_data!A$1:C$190,3,FALSE))</f>
        <v>EEZ</v>
      </c>
      <c r="T2110" s="2" t="str">
        <f>IF(C2110="Total", (VLOOKUP(B2110,Recommended_fish_intake!A$4:D$122,4,FALSE)), "NA")</f>
        <v>NA</v>
      </c>
      <c r="U2110" s="2" t="str">
        <f t="shared" si="242"/>
        <v>NA</v>
      </c>
    </row>
    <row r="2111" spans="1:21" ht="14.25" customHeight="1">
      <c r="A2111" s="2" t="s">
        <v>15</v>
      </c>
      <c r="B2111" s="2">
        <v>1985</v>
      </c>
      <c r="C2111" s="2" t="s">
        <v>28</v>
      </c>
      <c r="D2111" s="3">
        <f t="shared" si="243"/>
        <v>74.83</v>
      </c>
      <c r="E2111" s="3">
        <f t="shared" si="244"/>
        <v>64.92</v>
      </c>
      <c r="F2111" s="3">
        <f t="shared" si="245"/>
        <v>38.289000000000001</v>
      </c>
      <c r="G2111" s="3">
        <f t="shared" si="246"/>
        <v>100.913</v>
      </c>
      <c r="H2111" s="3">
        <f t="shared" si="247"/>
        <v>45.628</v>
      </c>
      <c r="I2111" s="3">
        <f t="shared" si="248"/>
        <v>144.697</v>
      </c>
      <c r="J2111" s="2">
        <v>74830</v>
      </c>
      <c r="K2111" s="2">
        <v>64920</v>
      </c>
      <c r="L2111" s="2">
        <v>38289</v>
      </c>
      <c r="M2111" s="2">
        <v>100913</v>
      </c>
      <c r="N2111" s="2">
        <v>45628</v>
      </c>
      <c r="O2111" s="2">
        <v>144697</v>
      </c>
      <c r="P2111" s="3">
        <f>E2111*(VLOOKUP(B2111,Price_data!A$1:B$190,2,FALSE))</f>
        <v>116.86295819052</v>
      </c>
      <c r="Q2111" s="3">
        <f>G2111*(VLOOKUP(B2111,Price_data!A$1:B$190,2,FALSE))</f>
        <v>181.65421595625298</v>
      </c>
      <c r="R2111" s="3">
        <f>I2111*(VLOOKUP(B2111,Price_data!A$1:B$190,2,FALSE))</f>
        <v>260.47010876915698</v>
      </c>
      <c r="S2111" s="4" t="str">
        <f>(VLOOKUP(B2111,Price_data!A$1:C$190,3,FALSE))</f>
        <v>EEZ</v>
      </c>
      <c r="T2111" s="2" t="str">
        <f>IF(C2111="Total", (VLOOKUP(B2111,Recommended_fish_intake!A$4:D$122,4,FALSE)), "NA")</f>
        <v>NA</v>
      </c>
      <c r="U2111" s="2">
        <f t="shared" si="242"/>
        <v>20.952400000000001</v>
      </c>
    </row>
    <row r="2112" spans="1:21" ht="14.25" customHeight="1">
      <c r="A2112" s="2" t="s">
        <v>18</v>
      </c>
      <c r="B2112" s="2">
        <v>1985</v>
      </c>
      <c r="C2112" s="2" t="s">
        <v>16</v>
      </c>
      <c r="D2112" s="3">
        <f t="shared" si="243"/>
        <v>146.89599999999999</v>
      </c>
      <c r="E2112" s="3">
        <f t="shared" si="244"/>
        <v>98.457999999999998</v>
      </c>
      <c r="F2112" s="3" t="e">
        <f t="shared" si="245"/>
        <v>#N/A</v>
      </c>
      <c r="G2112" s="3" t="e">
        <f t="shared" si="246"/>
        <v>#N/A</v>
      </c>
      <c r="H2112" s="3" t="e">
        <f t="shared" si="247"/>
        <v>#N/A</v>
      </c>
      <c r="I2112" s="3" t="e">
        <f t="shared" si="248"/>
        <v>#N/A</v>
      </c>
      <c r="J2112" s="2">
        <v>146896</v>
      </c>
      <c r="K2112" s="2">
        <v>98458</v>
      </c>
      <c r="P2112" s="3">
        <f>E2112*(VLOOKUP(B2112,Price_data!A$1:B$190,2,FALSE))</f>
        <v>177.234952826898</v>
      </c>
      <c r="Q2112" s="3" t="e">
        <f>G2112*(VLOOKUP(B2112,Price_data!A$1:B$190,2,FALSE))</f>
        <v>#N/A</v>
      </c>
      <c r="R2112" s="3" t="e">
        <f>I2112*(VLOOKUP(B2112,Price_data!A$1:B$190,2,FALSE))</f>
        <v>#N/A</v>
      </c>
      <c r="S2112" s="4" t="str">
        <f>(VLOOKUP(B2112,Price_data!A$1:C$190,3,FALSE))</f>
        <v>EEZ</v>
      </c>
      <c r="T2112" s="2">
        <f>IF(C2112="Total", (VLOOKUP(B2112,Recommended_fish_intake!A$4:D$122,4,FALSE)), "NA")</f>
        <v>746.31751549991998</v>
      </c>
      <c r="U2112" s="2" t="str">
        <f t="shared" si="242"/>
        <v>NA</v>
      </c>
    </row>
    <row r="2113" spans="1:21" ht="14.25" customHeight="1">
      <c r="A2113" s="2" t="s">
        <v>39</v>
      </c>
      <c r="B2113" s="2">
        <v>1985</v>
      </c>
      <c r="C2113" s="2" t="s">
        <v>16</v>
      </c>
      <c r="D2113" s="3">
        <f t="shared" si="243"/>
        <v>592.57000000000005</v>
      </c>
      <c r="E2113" s="3">
        <f t="shared" si="244"/>
        <v>215.10300000000001</v>
      </c>
      <c r="F2113" s="3" t="e">
        <f t="shared" si="245"/>
        <v>#N/A</v>
      </c>
      <c r="G2113" s="3" t="e">
        <f t="shared" si="246"/>
        <v>#N/A</v>
      </c>
      <c r="H2113" s="3" t="e">
        <f t="shared" si="247"/>
        <v>#N/A</v>
      </c>
      <c r="I2113" s="3" t="e">
        <f t="shared" si="248"/>
        <v>#N/A</v>
      </c>
      <c r="J2113" s="2">
        <v>592570</v>
      </c>
      <c r="K2113" s="2">
        <v>215103</v>
      </c>
      <c r="P2113" s="3">
        <f>E2113*(VLOOKUP(B2113,Price_data!A$1:B$190,2,FALSE))</f>
        <v>387.208454954643</v>
      </c>
      <c r="Q2113" s="3" t="e">
        <f>G2113*(VLOOKUP(B2113,Price_data!A$1:B$190,2,FALSE))</f>
        <v>#N/A</v>
      </c>
      <c r="R2113" s="3" t="e">
        <f>I2113*(VLOOKUP(B2113,Price_data!A$1:B$190,2,FALSE))</f>
        <v>#N/A</v>
      </c>
      <c r="S2113" s="4" t="str">
        <f>(VLOOKUP(B2113,Price_data!A$1:C$190,3,FALSE))</f>
        <v>EEZ</v>
      </c>
      <c r="T2113" s="2">
        <f>IF(C2113="Total", (VLOOKUP(B2113,Recommended_fish_intake!A$4:D$122,4,FALSE)), "NA")</f>
        <v>746.31751549991998</v>
      </c>
      <c r="U2113" s="2" t="str">
        <f t="shared" si="242"/>
        <v>NA</v>
      </c>
    </row>
    <row r="2114" spans="1:21" ht="14.25" customHeight="1">
      <c r="A2114" s="2" t="s">
        <v>40</v>
      </c>
      <c r="B2114" s="2">
        <v>1985</v>
      </c>
      <c r="C2114" s="2" t="s">
        <v>16</v>
      </c>
      <c r="D2114" s="3">
        <f t="shared" si="243"/>
        <v>22.587</v>
      </c>
      <c r="E2114" s="3">
        <f t="shared" si="244"/>
        <v>10.263999999999999</v>
      </c>
      <c r="F2114" s="3" t="e">
        <f t="shared" si="245"/>
        <v>#N/A</v>
      </c>
      <c r="G2114" s="3" t="e">
        <f t="shared" si="246"/>
        <v>#N/A</v>
      </c>
      <c r="H2114" s="3" t="e">
        <f t="shared" si="247"/>
        <v>#N/A</v>
      </c>
      <c r="I2114" s="3" t="e">
        <f t="shared" si="248"/>
        <v>#N/A</v>
      </c>
      <c r="J2114" s="2">
        <v>22587</v>
      </c>
      <c r="K2114" s="2">
        <v>10264</v>
      </c>
      <c r="P2114" s="3">
        <f>E2114*(VLOOKUP(B2114,Price_data!A$1:B$190,2,FALSE))</f>
        <v>18.476300105783999</v>
      </c>
      <c r="Q2114" s="3" t="e">
        <f>G2114*(VLOOKUP(B2114,Price_data!A$1:B$190,2,FALSE))</f>
        <v>#N/A</v>
      </c>
      <c r="R2114" s="3" t="e">
        <f>I2114*(VLOOKUP(B2114,Price_data!A$1:B$190,2,FALSE))</f>
        <v>#N/A</v>
      </c>
      <c r="S2114" s="4" t="str">
        <f>(VLOOKUP(B2114,Price_data!A$1:C$190,3,FALSE))</f>
        <v>EEZ</v>
      </c>
      <c r="T2114" s="2">
        <f>IF(C2114="Total", (VLOOKUP(B2114,Recommended_fish_intake!A$4:D$122,4,FALSE)), "NA")</f>
        <v>746.31751549991998</v>
      </c>
      <c r="U2114" s="2" t="str">
        <f t="shared" ref="U2114:U2177" si="249">IF(C2114="Wet fish", D2114*0.49, IF(C2114="Shellfish", D2114*0.28, "NA"))</f>
        <v>NA</v>
      </c>
    </row>
    <row r="2115" spans="1:21" ht="14.25" customHeight="1">
      <c r="A2115" s="2" t="s">
        <v>15</v>
      </c>
      <c r="B2115" s="2">
        <v>1985</v>
      </c>
      <c r="C2115" s="2" t="s">
        <v>16</v>
      </c>
      <c r="D2115" s="3">
        <f t="shared" si="243"/>
        <v>762.053</v>
      </c>
      <c r="E2115" s="3">
        <f t="shared" si="244"/>
        <v>323.82499999999999</v>
      </c>
      <c r="F2115" s="3">
        <f t="shared" si="245"/>
        <v>296.779</v>
      </c>
      <c r="G2115" s="3">
        <f t="shared" si="246"/>
        <v>260.33999999999997</v>
      </c>
      <c r="H2115" s="3">
        <f t="shared" si="247"/>
        <v>383.15800000000002</v>
      </c>
      <c r="I2115" s="3">
        <f t="shared" si="248"/>
        <v>598.05700000000002</v>
      </c>
      <c r="J2115" s="2">
        <v>762053</v>
      </c>
      <c r="K2115" s="2">
        <v>323825</v>
      </c>
      <c r="L2115" s="2">
        <v>296779</v>
      </c>
      <c r="M2115" s="2">
        <v>260340</v>
      </c>
      <c r="N2115" s="2">
        <v>383158</v>
      </c>
      <c r="O2115" s="2">
        <v>598057</v>
      </c>
      <c r="P2115" s="3">
        <f>E2115*(VLOOKUP(B2115,Price_data!A$1:B$190,2,FALSE))</f>
        <v>582.91970788732499</v>
      </c>
      <c r="Q2115" s="3">
        <f>G2115*(VLOOKUP(B2115,Price_data!A$1:B$190,2,FALSE))</f>
        <v>468.63990350153995</v>
      </c>
      <c r="R2115" s="3">
        <f>I2115*(VLOOKUP(B2115,Price_data!A$1:B$190,2,FALSE))</f>
        <v>1076.566700347317</v>
      </c>
      <c r="S2115" s="4" t="str">
        <f>(VLOOKUP(B2115,Price_data!A$1:C$190,3,FALSE))</f>
        <v>EEZ</v>
      </c>
      <c r="T2115" s="2">
        <f>IF(C2115="Total", (VLOOKUP(B2115,Recommended_fish_intake!A$4:D$122,4,FALSE)), "NA")</f>
        <v>746.31751549991998</v>
      </c>
      <c r="U2115" s="2" t="str">
        <f t="shared" si="249"/>
        <v>NA</v>
      </c>
    </row>
    <row r="2116" spans="1:21" ht="14.25" customHeight="1">
      <c r="A2116" s="2" t="s">
        <v>15</v>
      </c>
      <c r="B2116" s="2">
        <v>1985</v>
      </c>
      <c r="C2116" s="2" t="s">
        <v>21</v>
      </c>
      <c r="D2116" s="3">
        <v>10.462999999999999</v>
      </c>
      <c r="E2116" s="3">
        <v>1.0009999999999999</v>
      </c>
      <c r="F2116" s="2" t="s">
        <v>92</v>
      </c>
      <c r="G2116" s="2" t="s">
        <v>92</v>
      </c>
      <c r="H2116" s="2" t="s">
        <v>92</v>
      </c>
      <c r="I2116" s="2" t="s">
        <v>92</v>
      </c>
      <c r="P2116" s="3">
        <f>E2116*(VLOOKUP(B2116,Price_data!A$1:B$190,2,FALSE))</f>
        <v>1.8019072881809999</v>
      </c>
      <c r="Q2116" s="3" t="e">
        <f>G2116*(VLOOKUP(B2116,Price_data!A$1:B$190,2,FALSE))</f>
        <v>#VALUE!</v>
      </c>
      <c r="R2116" s="3" t="e">
        <f>I2116*(VLOOKUP(B2116,Price_data!A$1:B$190,2,FALSE))</f>
        <v>#VALUE!</v>
      </c>
      <c r="S2116" s="4" t="str">
        <f>(VLOOKUP(B2116,Price_data!A$1:C$190,3,FALSE))</f>
        <v>EEZ</v>
      </c>
      <c r="T2116" s="2" t="str">
        <f>IF(C2116="Total", (VLOOKUP(B2116,Recommended_fish_intake!A$4:D$122,4,FALSE)), "NA")</f>
        <v>NA</v>
      </c>
      <c r="U2116" s="2" t="str">
        <f t="shared" si="249"/>
        <v>NA</v>
      </c>
    </row>
    <row r="2117" spans="1:21" ht="14.25" customHeight="1">
      <c r="A2117" s="2" t="s">
        <v>15</v>
      </c>
      <c r="B2117" s="2">
        <v>1985</v>
      </c>
      <c r="C2117" s="2" t="s">
        <v>29</v>
      </c>
      <c r="D2117" s="3" t="e">
        <f t="shared" ref="D2117:D2148" si="250">J2117/1000</f>
        <v>#N/A</v>
      </c>
      <c r="E2117" s="3" t="e">
        <f t="shared" ref="E2117:E2148" si="251">K2117/1000</f>
        <v>#N/A</v>
      </c>
      <c r="F2117" s="3" t="e">
        <f t="shared" ref="F2117:F2148" si="252">IF(L2117="", NA(), L2117/1000)</f>
        <v>#N/A</v>
      </c>
      <c r="G2117" s="3" t="e">
        <f t="shared" ref="G2117:G2148" si="253">IF(M2117="", NA(), M2117/1000)</f>
        <v>#N/A</v>
      </c>
      <c r="H2117" s="3">
        <f t="shared" ref="H2117:H2148" si="254">IF(N2117="", NA(), N2117/1000)</f>
        <v>25.984000000000002</v>
      </c>
      <c r="I2117" s="3">
        <f t="shared" ref="I2117:I2148" si="255">IF(O2117="", NA(), O2117/1000)</f>
        <v>97.26</v>
      </c>
      <c r="J2117" s="3" t="e">
        <v>#N/A</v>
      </c>
      <c r="K2117" s="3" t="e">
        <v>#N/A</v>
      </c>
      <c r="L2117" s="3" t="e">
        <v>#N/A</v>
      </c>
      <c r="M2117" s="3" t="e">
        <v>#N/A</v>
      </c>
      <c r="N2117" s="2">
        <f>1976+5116+18892</f>
        <v>25984</v>
      </c>
      <c r="O2117" s="2">
        <f>9691+15261+72308</f>
        <v>97260</v>
      </c>
      <c r="P2117" s="3" t="e">
        <f>E2117*(VLOOKUP(B2117,Price_data!A$1:B$190,2,FALSE))</f>
        <v>#N/A</v>
      </c>
      <c r="Q2117" s="3" t="e">
        <f>G2117*(VLOOKUP(B2117,Price_data!A$1:B$190,2,FALSE))</f>
        <v>#N/A</v>
      </c>
      <c r="R2117" s="3">
        <f>I2117*(VLOOKUP(B2117,Price_data!A$1:B$190,2,FALSE))</f>
        <v>175.07842442406002</v>
      </c>
      <c r="S2117" s="4" t="str">
        <f>(VLOOKUP(B2117,Price_data!A$1:C$190,3,FALSE))</f>
        <v>EEZ</v>
      </c>
      <c r="T2117" s="2" t="str">
        <f>IF(C2117="Total", (VLOOKUP(B2117,Recommended_fish_intake!A$4:D$122,4,FALSE)), "NA")</f>
        <v>NA</v>
      </c>
      <c r="U2117" s="2" t="str">
        <f t="shared" si="249"/>
        <v>NA</v>
      </c>
    </row>
    <row r="2118" spans="1:21" ht="14.25" customHeight="1">
      <c r="A2118" s="2" t="s">
        <v>15</v>
      </c>
      <c r="B2118" s="2">
        <v>1985</v>
      </c>
      <c r="C2118" s="2" t="s">
        <v>43</v>
      </c>
      <c r="D2118" s="3" t="e">
        <f t="shared" si="250"/>
        <v>#N/A</v>
      </c>
      <c r="E2118" s="3" t="e">
        <f t="shared" si="251"/>
        <v>#N/A</v>
      </c>
      <c r="F2118" s="3" t="e">
        <f t="shared" si="252"/>
        <v>#N/A</v>
      </c>
      <c r="G2118" s="3" t="e">
        <f t="shared" si="253"/>
        <v>#N/A</v>
      </c>
      <c r="H2118" s="3">
        <f t="shared" si="254"/>
        <v>23.981999999999999</v>
      </c>
      <c r="I2118" s="3">
        <f t="shared" si="255"/>
        <v>46.250999999999998</v>
      </c>
      <c r="J2118" s="3" t="e">
        <v>#N/A</v>
      </c>
      <c r="K2118" s="3" t="e">
        <v>#N/A</v>
      </c>
      <c r="L2118" s="3" t="e">
        <v>#N/A</v>
      </c>
      <c r="M2118" s="3" t="e">
        <v>#N/A</v>
      </c>
      <c r="N2118" s="2">
        <v>23982</v>
      </c>
      <c r="O2118" s="2">
        <v>46251</v>
      </c>
      <c r="P2118" s="3" t="e">
        <f>E2118*(VLOOKUP(B2118,Price_data!A$1:B$190,2,FALSE))</f>
        <v>#N/A</v>
      </c>
      <c r="Q2118" s="3" t="e">
        <f>G2118*(VLOOKUP(B2118,Price_data!A$1:B$190,2,FALSE))</f>
        <v>#N/A</v>
      </c>
      <c r="R2118" s="3">
        <f>I2118*(VLOOKUP(B2118,Price_data!A$1:B$190,2,FALSE))</f>
        <v>83.256757228430999</v>
      </c>
      <c r="S2118" s="4" t="str">
        <f>(VLOOKUP(B2118,Price_data!A$1:C$190,3,FALSE))</f>
        <v>EEZ</v>
      </c>
      <c r="T2118" s="2" t="str">
        <f>IF(C2118="Total", (VLOOKUP(B2118,Recommended_fish_intake!A$4:D$122,4,FALSE)), "NA")</f>
        <v>NA</v>
      </c>
      <c r="U2118" s="2" t="str">
        <f t="shared" si="249"/>
        <v>NA</v>
      </c>
    </row>
    <row r="2119" spans="1:21" ht="14.25" customHeight="1">
      <c r="A2119" s="2" t="s">
        <v>18</v>
      </c>
      <c r="B2119" s="2">
        <v>1986</v>
      </c>
      <c r="C2119" s="2" t="s">
        <v>22</v>
      </c>
      <c r="D2119" s="3">
        <f t="shared" si="250"/>
        <v>29.498000000000001</v>
      </c>
      <c r="E2119" s="3">
        <f t="shared" si="251"/>
        <v>26.692</v>
      </c>
      <c r="F2119" s="3" t="e">
        <f t="shared" si="252"/>
        <v>#N/A</v>
      </c>
      <c r="G2119" s="3" t="e">
        <f t="shared" si="253"/>
        <v>#N/A</v>
      </c>
      <c r="H2119" s="3" t="e">
        <f t="shared" si="254"/>
        <v>#N/A</v>
      </c>
      <c r="I2119" s="3" t="e">
        <f t="shared" si="255"/>
        <v>#N/A</v>
      </c>
      <c r="J2119" s="2">
        <v>29498</v>
      </c>
      <c r="K2119" s="2">
        <v>26692</v>
      </c>
      <c r="P2119" s="3">
        <f>E2119*(VLOOKUP(B2119,Price_data!A$1:B$190,2,FALSE))</f>
        <v>46.467182166228</v>
      </c>
      <c r="Q2119" s="3" t="e">
        <f>G2119*(VLOOKUP(B2119,Price_data!A$1:B$190,2,FALSE))</f>
        <v>#N/A</v>
      </c>
      <c r="R2119" s="3" t="e">
        <f>I2119*(VLOOKUP(B2119,Price_data!A$1:B$190,2,FALSE))</f>
        <v>#N/A</v>
      </c>
      <c r="S2119" s="4" t="str">
        <f>(VLOOKUP(B2119,Price_data!A$1:C$190,3,FALSE))</f>
        <v>EEZ</v>
      </c>
      <c r="T2119" s="2" t="str">
        <f>IF(C2119="Total", (VLOOKUP(B2119,Recommended_fish_intake!A$4:D$122,4,FALSE)), "NA")</f>
        <v>NA</v>
      </c>
      <c r="U2119" s="2" t="str">
        <f t="shared" si="249"/>
        <v>NA</v>
      </c>
    </row>
    <row r="2120" spans="1:21" ht="14.25" customHeight="1">
      <c r="A2120" s="2" t="s">
        <v>18</v>
      </c>
      <c r="B2120" s="2">
        <v>1986</v>
      </c>
      <c r="C2120" s="2" t="s">
        <v>23</v>
      </c>
      <c r="D2120" s="3">
        <f t="shared" si="250"/>
        <v>7.8460000000000001</v>
      </c>
      <c r="E2120" s="3">
        <f t="shared" si="251"/>
        <v>5.2919999999999998</v>
      </c>
      <c r="F2120" s="3" t="e">
        <f t="shared" si="252"/>
        <v>#N/A</v>
      </c>
      <c r="G2120" s="3" t="e">
        <f t="shared" si="253"/>
        <v>#N/A</v>
      </c>
      <c r="H2120" s="3" t="e">
        <f t="shared" si="254"/>
        <v>#N/A</v>
      </c>
      <c r="I2120" s="3" t="e">
        <f t="shared" si="255"/>
        <v>#N/A</v>
      </c>
      <c r="J2120" s="2">
        <v>7846</v>
      </c>
      <c r="K2120" s="2">
        <v>5292</v>
      </c>
      <c r="P2120" s="3">
        <f>E2120*(VLOOKUP(B2120,Price_data!A$1:B$190,2,FALSE))</f>
        <v>9.2126602736279999</v>
      </c>
      <c r="Q2120" s="3" t="e">
        <f>G2120*(VLOOKUP(B2120,Price_data!A$1:B$190,2,FALSE))</f>
        <v>#N/A</v>
      </c>
      <c r="R2120" s="3" t="e">
        <f>I2120*(VLOOKUP(B2120,Price_data!A$1:B$190,2,FALSE))</f>
        <v>#N/A</v>
      </c>
      <c r="S2120" s="4" t="str">
        <f>(VLOOKUP(B2120,Price_data!A$1:C$190,3,FALSE))</f>
        <v>EEZ</v>
      </c>
      <c r="T2120" s="2" t="str">
        <f>IF(C2120="Total", (VLOOKUP(B2120,Recommended_fish_intake!A$4:D$122,4,FALSE)), "NA")</f>
        <v>NA</v>
      </c>
      <c r="U2120" s="2" t="str">
        <f t="shared" si="249"/>
        <v>NA</v>
      </c>
    </row>
    <row r="2121" spans="1:21" ht="14.25" customHeight="1">
      <c r="A2121" s="2" t="s">
        <v>18</v>
      </c>
      <c r="B2121" s="2">
        <v>1986</v>
      </c>
      <c r="C2121" s="2" t="s">
        <v>58</v>
      </c>
      <c r="D2121" s="3">
        <f t="shared" si="250"/>
        <v>2.7050000000000001</v>
      </c>
      <c r="E2121" s="3">
        <f t="shared" si="251"/>
        <v>4.452</v>
      </c>
      <c r="F2121" s="3" t="e">
        <f t="shared" si="252"/>
        <v>#N/A</v>
      </c>
      <c r="G2121" s="3" t="e">
        <f t="shared" si="253"/>
        <v>#N/A</v>
      </c>
      <c r="H2121" s="3" t="e">
        <f t="shared" si="254"/>
        <v>#N/A</v>
      </c>
      <c r="I2121" s="3" t="e">
        <f t="shared" si="255"/>
        <v>#N/A</v>
      </c>
      <c r="J2121" s="2">
        <v>2705</v>
      </c>
      <c r="K2121" s="2">
        <v>4452</v>
      </c>
      <c r="P2121" s="3">
        <f>E2121*(VLOOKUP(B2121,Price_data!A$1:B$190,2,FALSE))</f>
        <v>7.7503332460680001</v>
      </c>
      <c r="Q2121" s="3" t="e">
        <f>G2121*(VLOOKUP(B2121,Price_data!A$1:B$190,2,FALSE))</f>
        <v>#N/A</v>
      </c>
      <c r="R2121" s="3" t="e">
        <f>I2121*(VLOOKUP(B2121,Price_data!A$1:B$190,2,FALSE))</f>
        <v>#N/A</v>
      </c>
      <c r="S2121" s="4" t="str">
        <f>(VLOOKUP(B2121,Price_data!A$1:C$190,3,FALSE))</f>
        <v>EEZ</v>
      </c>
      <c r="T2121" s="2" t="str">
        <f>IF(C2121="Total", (VLOOKUP(B2121,Recommended_fish_intake!A$4:D$122,4,FALSE)), "NA")</f>
        <v>NA</v>
      </c>
      <c r="U2121" s="2" t="str">
        <f t="shared" si="249"/>
        <v>NA</v>
      </c>
    </row>
    <row r="2122" spans="1:21" ht="14.25" customHeight="1">
      <c r="A2122" s="2" t="s">
        <v>18</v>
      </c>
      <c r="B2122" s="2">
        <v>1986</v>
      </c>
      <c r="C2122" s="2" t="s">
        <v>25</v>
      </c>
      <c r="D2122" s="3">
        <f t="shared" si="250"/>
        <v>15.48</v>
      </c>
      <c r="E2122" s="3">
        <f t="shared" si="251"/>
        <v>12.205</v>
      </c>
      <c r="F2122" s="3" t="e">
        <f t="shared" si="252"/>
        <v>#N/A</v>
      </c>
      <c r="G2122" s="3" t="e">
        <f t="shared" si="253"/>
        <v>#N/A</v>
      </c>
      <c r="H2122" s="3" t="e">
        <f t="shared" si="254"/>
        <v>#N/A</v>
      </c>
      <c r="I2122" s="3" t="e">
        <f t="shared" si="255"/>
        <v>#N/A</v>
      </c>
      <c r="J2122" s="2">
        <v>15480</v>
      </c>
      <c r="K2122" s="2">
        <v>12205</v>
      </c>
      <c r="P2122" s="3">
        <f>E2122*(VLOOKUP(B2122,Price_data!A$1:B$190,2,FALSE))</f>
        <v>21.247263537344999</v>
      </c>
      <c r="Q2122" s="3" t="e">
        <f>G2122*(VLOOKUP(B2122,Price_data!A$1:B$190,2,FALSE))</f>
        <v>#N/A</v>
      </c>
      <c r="R2122" s="3" t="e">
        <f>I2122*(VLOOKUP(B2122,Price_data!A$1:B$190,2,FALSE))</f>
        <v>#N/A</v>
      </c>
      <c r="S2122" s="4" t="str">
        <f>(VLOOKUP(B2122,Price_data!A$1:C$190,3,FALSE))</f>
        <v>EEZ</v>
      </c>
      <c r="T2122" s="2" t="str">
        <f>IF(C2122="Total", (VLOOKUP(B2122,Recommended_fish_intake!A$4:D$122,4,FALSE)), "NA")</f>
        <v>NA</v>
      </c>
      <c r="U2122" s="2" t="str">
        <f t="shared" si="249"/>
        <v>NA</v>
      </c>
    </row>
    <row r="2123" spans="1:21" ht="14.25" customHeight="1">
      <c r="A2123" s="2" t="s">
        <v>18</v>
      </c>
      <c r="B2123" s="2">
        <v>1986</v>
      </c>
      <c r="C2123" s="2" t="s">
        <v>24</v>
      </c>
      <c r="D2123" s="3">
        <f t="shared" si="250"/>
        <v>5.0990000000000002</v>
      </c>
      <c r="E2123" s="3">
        <f t="shared" si="251"/>
        <v>1.978</v>
      </c>
      <c r="F2123" s="3" t="e">
        <f t="shared" si="252"/>
        <v>#N/A</v>
      </c>
      <c r="G2123" s="3" t="e">
        <f t="shared" si="253"/>
        <v>#N/A</v>
      </c>
      <c r="H2123" s="3" t="e">
        <f t="shared" si="254"/>
        <v>#N/A</v>
      </c>
      <c r="I2123" s="3" t="e">
        <f t="shared" si="255"/>
        <v>#N/A</v>
      </c>
      <c r="J2123" s="2">
        <v>5099</v>
      </c>
      <c r="K2123" s="2">
        <v>1978</v>
      </c>
      <c r="P2123" s="3">
        <f>E2123*(VLOOKUP(B2123,Price_data!A$1:B$190,2,FALSE))</f>
        <v>3.4434319768020001</v>
      </c>
      <c r="Q2123" s="3" t="e">
        <f>G2123*(VLOOKUP(B2123,Price_data!A$1:B$190,2,FALSE))</f>
        <v>#N/A</v>
      </c>
      <c r="R2123" s="3" t="e">
        <f>I2123*(VLOOKUP(B2123,Price_data!A$1:B$190,2,FALSE))</f>
        <v>#N/A</v>
      </c>
      <c r="S2123" s="4" t="str">
        <f>(VLOOKUP(B2123,Price_data!A$1:C$190,3,FALSE))</f>
        <v>EEZ</v>
      </c>
      <c r="T2123" s="2" t="str">
        <f>IF(C2123="Total", (VLOOKUP(B2123,Recommended_fish_intake!A$4:D$122,4,FALSE)), "NA")</f>
        <v>NA</v>
      </c>
      <c r="U2123" s="2" t="str">
        <f t="shared" si="249"/>
        <v>NA</v>
      </c>
    </row>
    <row r="2124" spans="1:21" ht="14.25" customHeight="1">
      <c r="A2124" s="2" t="s">
        <v>18</v>
      </c>
      <c r="B2124" s="2">
        <v>1986</v>
      </c>
      <c r="C2124" s="2" t="s">
        <v>19</v>
      </c>
      <c r="D2124" s="3">
        <f t="shared" si="250"/>
        <v>1.772</v>
      </c>
      <c r="E2124" s="3">
        <f t="shared" si="251"/>
        <v>0.27500000000000002</v>
      </c>
      <c r="F2124" s="3" t="e">
        <f t="shared" si="252"/>
        <v>#N/A</v>
      </c>
      <c r="G2124" s="3" t="e">
        <f t="shared" si="253"/>
        <v>#N/A</v>
      </c>
      <c r="H2124" s="3" t="e">
        <f t="shared" si="254"/>
        <v>#N/A</v>
      </c>
      <c r="I2124" s="3" t="e">
        <f t="shared" si="255"/>
        <v>#N/A</v>
      </c>
      <c r="J2124" s="2">
        <v>1772</v>
      </c>
      <c r="K2124" s="2">
        <v>275</v>
      </c>
      <c r="P2124" s="3">
        <f>E2124*(VLOOKUP(B2124,Price_data!A$1:B$190,2,FALSE))</f>
        <v>0.47873801497500007</v>
      </c>
      <c r="Q2124" s="3" t="e">
        <f>G2124*(VLOOKUP(B2124,Price_data!A$1:B$190,2,FALSE))</f>
        <v>#N/A</v>
      </c>
      <c r="R2124" s="3" t="e">
        <f>I2124*(VLOOKUP(B2124,Price_data!A$1:B$190,2,FALSE))</f>
        <v>#N/A</v>
      </c>
      <c r="S2124" s="4" t="str">
        <f>(VLOOKUP(B2124,Price_data!A$1:C$190,3,FALSE))</f>
        <v>EEZ</v>
      </c>
      <c r="T2124" s="2" t="str">
        <f>IF(C2124="Total", (VLOOKUP(B2124,Recommended_fish_intake!A$4:D$122,4,FALSE)), "NA")</f>
        <v>NA</v>
      </c>
      <c r="U2124" s="2" t="str">
        <f t="shared" si="249"/>
        <v>NA</v>
      </c>
    </row>
    <row r="2125" spans="1:21" ht="14.25" customHeight="1">
      <c r="A2125" s="2" t="s">
        <v>18</v>
      </c>
      <c r="B2125" s="2">
        <v>1986</v>
      </c>
      <c r="C2125" s="2" t="s">
        <v>20</v>
      </c>
      <c r="D2125" s="3">
        <f t="shared" si="250"/>
        <v>3.1539999999999999</v>
      </c>
      <c r="E2125" s="3">
        <f t="shared" si="251"/>
        <v>0.85</v>
      </c>
      <c r="F2125" s="3" t="e">
        <f t="shared" si="252"/>
        <v>#N/A</v>
      </c>
      <c r="G2125" s="3" t="e">
        <f t="shared" si="253"/>
        <v>#N/A</v>
      </c>
      <c r="H2125" s="3" t="e">
        <f t="shared" si="254"/>
        <v>#N/A</v>
      </c>
      <c r="I2125" s="3" t="e">
        <f t="shared" si="255"/>
        <v>#N/A</v>
      </c>
      <c r="J2125" s="2">
        <v>3154</v>
      </c>
      <c r="K2125" s="2">
        <v>850</v>
      </c>
      <c r="P2125" s="3">
        <f>E2125*(VLOOKUP(B2125,Price_data!A$1:B$190,2,FALSE))</f>
        <v>1.4797356826499999</v>
      </c>
      <c r="Q2125" s="3" t="e">
        <f>G2125*(VLOOKUP(B2125,Price_data!A$1:B$190,2,FALSE))</f>
        <v>#N/A</v>
      </c>
      <c r="R2125" s="3" t="e">
        <f>I2125*(VLOOKUP(B2125,Price_data!A$1:B$190,2,FALSE))</f>
        <v>#N/A</v>
      </c>
      <c r="S2125" s="4" t="str">
        <f>(VLOOKUP(B2125,Price_data!A$1:C$190,3,FALSE))</f>
        <v>EEZ</v>
      </c>
      <c r="T2125" s="2" t="str">
        <f>IF(C2125="Total", (VLOOKUP(B2125,Recommended_fish_intake!A$4:D$122,4,FALSE)), "NA")</f>
        <v>NA</v>
      </c>
      <c r="U2125" s="2" t="str">
        <f t="shared" si="249"/>
        <v>NA</v>
      </c>
    </row>
    <row r="2126" spans="1:21" ht="14.25" customHeight="1">
      <c r="A2126" s="2" t="s">
        <v>18</v>
      </c>
      <c r="B2126" s="2">
        <v>1986</v>
      </c>
      <c r="C2126" s="2" t="s">
        <v>37</v>
      </c>
      <c r="D2126" s="3">
        <f t="shared" si="250"/>
        <v>98.518000000000001</v>
      </c>
      <c r="E2126" s="3">
        <f t="shared" si="251"/>
        <v>88.78</v>
      </c>
      <c r="F2126" s="3" t="e">
        <f t="shared" si="252"/>
        <v>#N/A</v>
      </c>
      <c r="G2126" s="3" t="e">
        <f t="shared" si="253"/>
        <v>#N/A</v>
      </c>
      <c r="H2126" s="3" t="e">
        <f t="shared" si="254"/>
        <v>#N/A</v>
      </c>
      <c r="I2126" s="3" t="e">
        <f t="shared" si="255"/>
        <v>#N/A</v>
      </c>
      <c r="J2126" s="2">
        <v>98518</v>
      </c>
      <c r="K2126" s="2">
        <v>88780</v>
      </c>
      <c r="P2126" s="3">
        <f>E2126*(VLOOKUP(B2126,Price_data!A$1:B$190,2,FALSE))</f>
        <v>154.55403988902</v>
      </c>
      <c r="Q2126" s="3" t="e">
        <f>G2126*(VLOOKUP(B2126,Price_data!A$1:B$190,2,FALSE))</f>
        <v>#N/A</v>
      </c>
      <c r="R2126" s="3" t="e">
        <f>I2126*(VLOOKUP(B2126,Price_data!A$1:B$190,2,FALSE))</f>
        <v>#N/A</v>
      </c>
      <c r="S2126" s="4" t="str">
        <f>(VLOOKUP(B2126,Price_data!A$1:C$190,3,FALSE))</f>
        <v>EEZ</v>
      </c>
      <c r="T2126" s="2" t="str">
        <f>IF(C2126="Total", (VLOOKUP(B2126,Recommended_fish_intake!A$4:D$122,4,FALSE)), "NA")</f>
        <v>NA</v>
      </c>
      <c r="U2126" s="2">
        <f t="shared" si="249"/>
        <v>48.273820000000001</v>
      </c>
    </row>
    <row r="2127" spans="1:21" ht="14.25" customHeight="1">
      <c r="A2127" s="2" t="s">
        <v>18</v>
      </c>
      <c r="B2127" s="2">
        <v>1986</v>
      </c>
      <c r="C2127" s="2" t="s">
        <v>36</v>
      </c>
      <c r="D2127" s="3">
        <f t="shared" si="250"/>
        <v>8.282</v>
      </c>
      <c r="E2127" s="3">
        <f t="shared" si="251"/>
        <v>6.9770000000000003</v>
      </c>
      <c r="F2127" s="3" t="e">
        <f t="shared" si="252"/>
        <v>#N/A</v>
      </c>
      <c r="G2127" s="3" t="e">
        <f t="shared" si="253"/>
        <v>#N/A</v>
      </c>
      <c r="H2127" s="3" t="e">
        <f t="shared" si="254"/>
        <v>#N/A</v>
      </c>
      <c r="I2127" s="3" t="e">
        <f t="shared" si="255"/>
        <v>#N/A</v>
      </c>
      <c r="J2127" s="2">
        <v>8282</v>
      </c>
      <c r="K2127" s="2">
        <v>6977</v>
      </c>
      <c r="P2127" s="3">
        <f>E2127*(VLOOKUP(B2127,Price_data!A$1:B$190,2,FALSE))</f>
        <v>12.146018656293</v>
      </c>
      <c r="Q2127" s="3" t="e">
        <f>G2127*(VLOOKUP(B2127,Price_data!A$1:B$190,2,FALSE))</f>
        <v>#N/A</v>
      </c>
      <c r="R2127" s="3" t="e">
        <f>I2127*(VLOOKUP(B2127,Price_data!A$1:B$190,2,FALSE))</f>
        <v>#N/A</v>
      </c>
      <c r="S2127" s="4" t="str">
        <f>(VLOOKUP(B2127,Price_data!A$1:C$190,3,FALSE))</f>
        <v>EEZ</v>
      </c>
      <c r="T2127" s="2" t="str">
        <f>IF(C2127="Total", (VLOOKUP(B2127,Recommended_fish_intake!A$4:D$122,4,FALSE)), "NA")</f>
        <v>NA</v>
      </c>
      <c r="U2127" s="2" t="str">
        <f t="shared" si="249"/>
        <v>NA</v>
      </c>
    </row>
    <row r="2128" spans="1:21" ht="14.25" customHeight="1">
      <c r="A2128" s="2" t="s">
        <v>18</v>
      </c>
      <c r="B2128" s="2">
        <v>1986</v>
      </c>
      <c r="C2128" s="2" t="s">
        <v>34</v>
      </c>
      <c r="D2128" s="3">
        <f t="shared" si="250"/>
        <v>0.48499999999999999</v>
      </c>
      <c r="E2128" s="3">
        <f t="shared" si="251"/>
        <v>3.7389999999999999</v>
      </c>
      <c r="F2128" s="3" t="e">
        <f t="shared" si="252"/>
        <v>#N/A</v>
      </c>
      <c r="G2128" s="3" t="e">
        <f t="shared" si="253"/>
        <v>#N/A</v>
      </c>
      <c r="H2128" s="3" t="e">
        <f t="shared" si="254"/>
        <v>#N/A</v>
      </c>
      <c r="I2128" s="3" t="e">
        <f t="shared" si="255"/>
        <v>#N/A</v>
      </c>
      <c r="J2128" s="2">
        <v>485</v>
      </c>
      <c r="K2128" s="2">
        <v>3739</v>
      </c>
      <c r="P2128" s="3">
        <f>E2128*(VLOOKUP(B2128,Price_data!A$1:B$190,2,FALSE))</f>
        <v>6.5090961381509995</v>
      </c>
      <c r="Q2128" s="3" t="e">
        <f>G2128*(VLOOKUP(B2128,Price_data!A$1:B$190,2,FALSE))</f>
        <v>#N/A</v>
      </c>
      <c r="R2128" s="3" t="e">
        <f>I2128*(VLOOKUP(B2128,Price_data!A$1:B$190,2,FALSE))</f>
        <v>#N/A</v>
      </c>
      <c r="S2128" s="4" t="str">
        <f>(VLOOKUP(B2128,Price_data!A$1:C$190,3,FALSE))</f>
        <v>EEZ</v>
      </c>
      <c r="T2128" s="2" t="str">
        <f>IF(C2128="Total", (VLOOKUP(B2128,Recommended_fish_intake!A$4:D$122,4,FALSE)), "NA")</f>
        <v>NA</v>
      </c>
      <c r="U2128" s="2" t="str">
        <f t="shared" si="249"/>
        <v>NA</v>
      </c>
    </row>
    <row r="2129" spans="1:21" ht="14.25" customHeight="1">
      <c r="A2129" s="2" t="s">
        <v>18</v>
      </c>
      <c r="B2129" s="2">
        <v>1986</v>
      </c>
      <c r="C2129" s="2" t="s">
        <v>35</v>
      </c>
      <c r="D2129" s="3">
        <f t="shared" si="250"/>
        <v>2.6960000000000002</v>
      </c>
      <c r="E2129" s="3">
        <f t="shared" si="251"/>
        <v>4.1440000000000001</v>
      </c>
      <c r="F2129" s="3" t="e">
        <f t="shared" si="252"/>
        <v>#N/A</v>
      </c>
      <c r="G2129" s="3" t="e">
        <f t="shared" si="253"/>
        <v>#N/A</v>
      </c>
      <c r="H2129" s="3" t="e">
        <f t="shared" si="254"/>
        <v>#N/A</v>
      </c>
      <c r="I2129" s="3" t="e">
        <f t="shared" si="255"/>
        <v>#N/A</v>
      </c>
      <c r="J2129" s="2">
        <v>2696</v>
      </c>
      <c r="K2129" s="2">
        <v>4144</v>
      </c>
      <c r="P2129" s="3">
        <f>E2129*(VLOOKUP(B2129,Price_data!A$1:B$190,2,FALSE))</f>
        <v>7.2141466692960003</v>
      </c>
      <c r="Q2129" s="3" t="e">
        <f>G2129*(VLOOKUP(B2129,Price_data!A$1:B$190,2,FALSE))</f>
        <v>#N/A</v>
      </c>
      <c r="R2129" s="3" t="e">
        <f>I2129*(VLOOKUP(B2129,Price_data!A$1:B$190,2,FALSE))</f>
        <v>#N/A</v>
      </c>
      <c r="S2129" s="4" t="str">
        <f>(VLOOKUP(B2129,Price_data!A$1:C$190,3,FALSE))</f>
        <v>EEZ</v>
      </c>
      <c r="T2129" s="2" t="str">
        <f>IF(C2129="Total", (VLOOKUP(B2129,Recommended_fish_intake!A$4:D$122,4,FALSE)), "NA")</f>
        <v>NA</v>
      </c>
      <c r="U2129" s="2" t="str">
        <f t="shared" si="249"/>
        <v>NA</v>
      </c>
    </row>
    <row r="2130" spans="1:21" ht="14.25" customHeight="1">
      <c r="A2130" s="2" t="s">
        <v>18</v>
      </c>
      <c r="B2130" s="2">
        <v>1986</v>
      </c>
      <c r="C2130" s="2" t="s">
        <v>52</v>
      </c>
      <c r="D2130" s="3">
        <f t="shared" si="250"/>
        <v>2.4529999999999998</v>
      </c>
      <c r="E2130" s="3">
        <f t="shared" si="251"/>
        <v>3.516</v>
      </c>
      <c r="F2130" s="3" t="e">
        <f t="shared" si="252"/>
        <v>#N/A</v>
      </c>
      <c r="G2130" s="3" t="e">
        <f t="shared" si="253"/>
        <v>#N/A</v>
      </c>
      <c r="H2130" s="3" t="e">
        <f t="shared" si="254"/>
        <v>#N/A</v>
      </c>
      <c r="I2130" s="3" t="e">
        <f t="shared" si="255"/>
        <v>#N/A</v>
      </c>
      <c r="J2130" s="2">
        <v>2453</v>
      </c>
      <c r="K2130" s="2">
        <v>3516</v>
      </c>
      <c r="P2130" s="3">
        <f>E2130*(VLOOKUP(B2130,Price_data!A$1:B$190,2,FALSE))</f>
        <v>6.1208831296440005</v>
      </c>
      <c r="Q2130" s="3" t="e">
        <f>G2130*(VLOOKUP(B2130,Price_data!A$1:B$190,2,FALSE))</f>
        <v>#N/A</v>
      </c>
      <c r="R2130" s="3" t="e">
        <f>I2130*(VLOOKUP(B2130,Price_data!A$1:B$190,2,FALSE))</f>
        <v>#N/A</v>
      </c>
      <c r="S2130" s="4" t="str">
        <f>(VLOOKUP(B2130,Price_data!A$1:C$190,3,FALSE))</f>
        <v>EEZ</v>
      </c>
      <c r="T2130" s="2" t="str">
        <f>IF(C2130="Total", (VLOOKUP(B2130,Recommended_fish_intake!A$4:D$122,4,FALSE)), "NA")</f>
        <v>NA</v>
      </c>
      <c r="U2130" s="2" t="str">
        <f t="shared" si="249"/>
        <v>NA</v>
      </c>
    </row>
    <row r="2131" spans="1:21" ht="14.25" customHeight="1">
      <c r="A2131" s="2" t="s">
        <v>18</v>
      </c>
      <c r="B2131" s="2">
        <v>1986</v>
      </c>
      <c r="C2131" s="2" t="s">
        <v>30</v>
      </c>
      <c r="D2131" s="3">
        <f t="shared" si="250"/>
        <v>1.274</v>
      </c>
      <c r="E2131" s="3">
        <f t="shared" si="251"/>
        <v>1.107</v>
      </c>
      <c r="F2131" s="3" t="e">
        <f t="shared" si="252"/>
        <v>#N/A</v>
      </c>
      <c r="G2131" s="3" t="e">
        <f t="shared" si="253"/>
        <v>#N/A</v>
      </c>
      <c r="H2131" s="3" t="e">
        <f t="shared" si="254"/>
        <v>#N/A</v>
      </c>
      <c r="I2131" s="3" t="e">
        <f t="shared" si="255"/>
        <v>#N/A</v>
      </c>
      <c r="J2131" s="2">
        <v>1274</v>
      </c>
      <c r="K2131" s="2">
        <v>1107</v>
      </c>
      <c r="P2131" s="3">
        <f>E2131*(VLOOKUP(B2131,Price_data!A$1:B$190,2,FALSE))</f>
        <v>1.9271381184630001</v>
      </c>
      <c r="Q2131" s="3" t="e">
        <f>G2131*(VLOOKUP(B2131,Price_data!A$1:B$190,2,FALSE))</f>
        <v>#N/A</v>
      </c>
      <c r="R2131" s="3" t="e">
        <f>I2131*(VLOOKUP(B2131,Price_data!A$1:B$190,2,FALSE))</f>
        <v>#N/A</v>
      </c>
      <c r="S2131" s="4" t="str">
        <f>(VLOOKUP(B2131,Price_data!A$1:C$190,3,FALSE))</f>
        <v>EEZ</v>
      </c>
      <c r="T2131" s="2" t="str">
        <f>IF(C2131="Total", (VLOOKUP(B2131,Recommended_fish_intake!A$4:D$122,4,FALSE)), "NA")</f>
        <v>NA</v>
      </c>
      <c r="U2131" s="2" t="str">
        <f t="shared" si="249"/>
        <v>NA</v>
      </c>
    </row>
    <row r="2132" spans="1:21" ht="14.25" customHeight="1">
      <c r="A2132" s="2" t="s">
        <v>18</v>
      </c>
      <c r="B2132" s="2">
        <v>1986</v>
      </c>
      <c r="C2132" s="2" t="s">
        <v>28</v>
      </c>
      <c r="D2132" s="3">
        <f t="shared" si="250"/>
        <v>47.417000000000002</v>
      </c>
      <c r="E2132" s="3">
        <f t="shared" si="251"/>
        <v>25.83</v>
      </c>
      <c r="F2132" s="3" t="e">
        <f t="shared" si="252"/>
        <v>#N/A</v>
      </c>
      <c r="G2132" s="3" t="e">
        <f t="shared" si="253"/>
        <v>#N/A</v>
      </c>
      <c r="H2132" s="3" t="e">
        <f t="shared" si="254"/>
        <v>#N/A</v>
      </c>
      <c r="I2132" s="3" t="e">
        <f t="shared" si="255"/>
        <v>#N/A</v>
      </c>
      <c r="J2132" s="2">
        <v>47417</v>
      </c>
      <c r="K2132" s="2">
        <v>25830</v>
      </c>
      <c r="P2132" s="3">
        <f>E2132*(VLOOKUP(B2132,Price_data!A$1:B$190,2,FALSE))</f>
        <v>44.966556097469997</v>
      </c>
      <c r="Q2132" s="3" t="e">
        <f>G2132*(VLOOKUP(B2132,Price_data!A$1:B$190,2,FALSE))</f>
        <v>#N/A</v>
      </c>
      <c r="R2132" s="3" t="e">
        <f>I2132*(VLOOKUP(B2132,Price_data!A$1:B$190,2,FALSE))</f>
        <v>#N/A</v>
      </c>
      <c r="S2132" s="4" t="str">
        <f>(VLOOKUP(B2132,Price_data!A$1:C$190,3,FALSE))</f>
        <v>EEZ</v>
      </c>
      <c r="T2132" s="2" t="str">
        <f>IF(C2132="Total", (VLOOKUP(B2132,Recommended_fish_intake!A$4:D$122,4,FALSE)), "NA")</f>
        <v>NA</v>
      </c>
      <c r="U2132" s="2">
        <f t="shared" si="249"/>
        <v>13.276760000000001</v>
      </c>
    </row>
    <row r="2133" spans="1:21" ht="14.25" customHeight="1">
      <c r="A2133" s="2" t="s">
        <v>39</v>
      </c>
      <c r="B2133" s="2">
        <v>1986</v>
      </c>
      <c r="C2133" s="2" t="s">
        <v>22</v>
      </c>
      <c r="D2133" s="3">
        <f t="shared" si="250"/>
        <v>44.478000000000002</v>
      </c>
      <c r="E2133" s="3">
        <f t="shared" si="251"/>
        <v>39.981000000000002</v>
      </c>
      <c r="F2133" s="3" t="e">
        <f t="shared" si="252"/>
        <v>#N/A</v>
      </c>
      <c r="G2133" s="3" t="e">
        <f t="shared" si="253"/>
        <v>#N/A</v>
      </c>
      <c r="H2133" s="3" t="e">
        <f t="shared" si="254"/>
        <v>#N/A</v>
      </c>
      <c r="I2133" s="3" t="e">
        <f t="shared" si="255"/>
        <v>#N/A</v>
      </c>
      <c r="J2133" s="2">
        <v>44478</v>
      </c>
      <c r="K2133" s="2">
        <v>39981</v>
      </c>
      <c r="P2133" s="3">
        <f>E2133*(VLOOKUP(B2133,Price_data!A$1:B$190,2,FALSE))</f>
        <v>69.601543915329003</v>
      </c>
      <c r="Q2133" s="3" t="e">
        <f>G2133*(VLOOKUP(B2133,Price_data!A$1:B$190,2,FALSE))</f>
        <v>#N/A</v>
      </c>
      <c r="R2133" s="3" t="e">
        <f>I2133*(VLOOKUP(B2133,Price_data!A$1:B$190,2,FALSE))</f>
        <v>#N/A</v>
      </c>
      <c r="S2133" s="4" t="str">
        <f>(VLOOKUP(B2133,Price_data!A$1:C$190,3,FALSE))</f>
        <v>EEZ</v>
      </c>
      <c r="T2133" s="2" t="str">
        <f>IF(C2133="Total", (VLOOKUP(B2133,Recommended_fish_intake!A$4:D$122,4,FALSE)), "NA")</f>
        <v>NA</v>
      </c>
      <c r="U2133" s="2" t="str">
        <f t="shared" si="249"/>
        <v>NA</v>
      </c>
    </row>
    <row r="2134" spans="1:21" ht="14.25" customHeight="1">
      <c r="A2134" s="2" t="s">
        <v>39</v>
      </c>
      <c r="B2134" s="2">
        <v>1986</v>
      </c>
      <c r="C2134" s="2" t="s">
        <v>23</v>
      </c>
      <c r="D2134" s="3">
        <f t="shared" si="250"/>
        <v>122.899</v>
      </c>
      <c r="E2134" s="3">
        <f t="shared" si="251"/>
        <v>73.448999999999998</v>
      </c>
      <c r="F2134" s="3" t="e">
        <f t="shared" si="252"/>
        <v>#N/A</v>
      </c>
      <c r="G2134" s="3" t="e">
        <f t="shared" si="253"/>
        <v>#N/A</v>
      </c>
      <c r="H2134" s="3" t="e">
        <f t="shared" si="254"/>
        <v>#N/A</v>
      </c>
      <c r="I2134" s="3" t="e">
        <f t="shared" si="255"/>
        <v>#N/A</v>
      </c>
      <c r="J2134" s="2">
        <v>122899</v>
      </c>
      <c r="K2134" s="2">
        <v>73449</v>
      </c>
      <c r="P2134" s="3">
        <f>E2134*(VLOOKUP(B2134,Price_data!A$1:B$190,2,FALSE))</f>
        <v>127.864830770541</v>
      </c>
      <c r="Q2134" s="3" t="e">
        <f>G2134*(VLOOKUP(B2134,Price_data!A$1:B$190,2,FALSE))</f>
        <v>#N/A</v>
      </c>
      <c r="R2134" s="3" t="e">
        <f>I2134*(VLOOKUP(B2134,Price_data!A$1:B$190,2,FALSE))</f>
        <v>#N/A</v>
      </c>
      <c r="S2134" s="4" t="str">
        <f>(VLOOKUP(B2134,Price_data!A$1:C$190,3,FALSE))</f>
        <v>EEZ</v>
      </c>
      <c r="T2134" s="2" t="str">
        <f>IF(C2134="Total", (VLOOKUP(B2134,Recommended_fish_intake!A$4:D$122,4,FALSE)), "NA")</f>
        <v>NA</v>
      </c>
      <c r="U2134" s="2" t="str">
        <f t="shared" si="249"/>
        <v>NA</v>
      </c>
    </row>
    <row r="2135" spans="1:21" ht="14.25" customHeight="1">
      <c r="A2135" s="2" t="s">
        <v>39</v>
      </c>
      <c r="B2135" s="2">
        <v>1986</v>
      </c>
      <c r="C2135" s="2" t="s">
        <v>58</v>
      </c>
      <c r="D2135" s="3">
        <f t="shared" si="250"/>
        <v>4.8079999999999998</v>
      </c>
      <c r="E2135" s="3">
        <f t="shared" si="251"/>
        <v>7.7530000000000001</v>
      </c>
      <c r="F2135" s="3" t="e">
        <f t="shared" si="252"/>
        <v>#N/A</v>
      </c>
      <c r="G2135" s="3" t="e">
        <f t="shared" si="253"/>
        <v>#N/A</v>
      </c>
      <c r="H2135" s="3" t="e">
        <f t="shared" si="254"/>
        <v>#N/A</v>
      </c>
      <c r="I2135" s="3" t="e">
        <f t="shared" si="255"/>
        <v>#N/A</v>
      </c>
      <c r="J2135" s="2">
        <v>4808</v>
      </c>
      <c r="K2135" s="2">
        <v>7753</v>
      </c>
      <c r="P2135" s="3">
        <f>E2135*(VLOOKUP(B2135,Price_data!A$1:B$190,2,FALSE))</f>
        <v>13.496930291277</v>
      </c>
      <c r="Q2135" s="3" t="e">
        <f>G2135*(VLOOKUP(B2135,Price_data!A$1:B$190,2,FALSE))</f>
        <v>#N/A</v>
      </c>
      <c r="R2135" s="3" t="e">
        <f>I2135*(VLOOKUP(B2135,Price_data!A$1:B$190,2,FALSE))</f>
        <v>#N/A</v>
      </c>
      <c r="S2135" s="4" t="str">
        <f>(VLOOKUP(B2135,Price_data!A$1:C$190,3,FALSE))</f>
        <v>EEZ</v>
      </c>
      <c r="T2135" s="2" t="str">
        <f>IF(C2135="Total", (VLOOKUP(B2135,Recommended_fish_intake!A$4:D$122,4,FALSE)), "NA")</f>
        <v>NA</v>
      </c>
      <c r="U2135" s="2" t="str">
        <f t="shared" si="249"/>
        <v>NA</v>
      </c>
    </row>
    <row r="2136" spans="1:21" ht="14.25" customHeight="1">
      <c r="A2136" s="2" t="s">
        <v>39</v>
      </c>
      <c r="B2136" s="2">
        <v>1986</v>
      </c>
      <c r="C2136" s="2" t="s">
        <v>25</v>
      </c>
      <c r="D2136" s="3">
        <f t="shared" si="250"/>
        <v>5.6349999999999998</v>
      </c>
      <c r="E2136" s="3">
        <f t="shared" si="251"/>
        <v>3.7080000000000002</v>
      </c>
      <c r="F2136" s="3" t="e">
        <f t="shared" si="252"/>
        <v>#N/A</v>
      </c>
      <c r="G2136" s="3" t="e">
        <f t="shared" si="253"/>
        <v>#N/A</v>
      </c>
      <c r="H2136" s="3" t="e">
        <f t="shared" si="254"/>
        <v>#N/A</v>
      </c>
      <c r="I2136" s="3" t="e">
        <f t="shared" si="255"/>
        <v>#N/A</v>
      </c>
      <c r="J2136" s="2">
        <v>5635</v>
      </c>
      <c r="K2136" s="2">
        <v>3708</v>
      </c>
      <c r="P2136" s="3">
        <f>E2136*(VLOOKUP(B2136,Price_data!A$1:B$190,2,FALSE))</f>
        <v>6.4551293073720002</v>
      </c>
      <c r="Q2136" s="3" t="e">
        <f>G2136*(VLOOKUP(B2136,Price_data!A$1:B$190,2,FALSE))</f>
        <v>#N/A</v>
      </c>
      <c r="R2136" s="3" t="e">
        <f>I2136*(VLOOKUP(B2136,Price_data!A$1:B$190,2,FALSE))</f>
        <v>#N/A</v>
      </c>
      <c r="S2136" s="4" t="str">
        <f>(VLOOKUP(B2136,Price_data!A$1:C$190,3,FALSE))</f>
        <v>EEZ</v>
      </c>
      <c r="T2136" s="2" t="str">
        <f>IF(C2136="Total", (VLOOKUP(B2136,Recommended_fish_intake!A$4:D$122,4,FALSE)), "NA")</f>
        <v>NA</v>
      </c>
      <c r="U2136" s="2" t="str">
        <f t="shared" si="249"/>
        <v>NA</v>
      </c>
    </row>
    <row r="2137" spans="1:21" ht="14.25" customHeight="1">
      <c r="A2137" s="2" t="s">
        <v>39</v>
      </c>
      <c r="B2137" s="2">
        <v>1986</v>
      </c>
      <c r="C2137" s="2" t="s">
        <v>24</v>
      </c>
      <c r="D2137" s="3">
        <f t="shared" si="250"/>
        <v>31.041</v>
      </c>
      <c r="E2137" s="3">
        <f t="shared" si="251"/>
        <v>14.683</v>
      </c>
      <c r="F2137" s="3" t="e">
        <f t="shared" si="252"/>
        <v>#N/A</v>
      </c>
      <c r="G2137" s="3" t="e">
        <f t="shared" si="253"/>
        <v>#N/A</v>
      </c>
      <c r="H2137" s="3" t="e">
        <f t="shared" si="254"/>
        <v>#N/A</v>
      </c>
      <c r="I2137" s="3" t="e">
        <f t="shared" si="255"/>
        <v>#N/A</v>
      </c>
      <c r="J2137" s="2">
        <v>31041</v>
      </c>
      <c r="K2137" s="2">
        <v>14683</v>
      </c>
      <c r="P2137" s="3">
        <f>E2137*(VLOOKUP(B2137,Price_data!A$1:B$190,2,FALSE))</f>
        <v>25.561128268647</v>
      </c>
      <c r="Q2137" s="3" t="e">
        <f>G2137*(VLOOKUP(B2137,Price_data!A$1:B$190,2,FALSE))</f>
        <v>#N/A</v>
      </c>
      <c r="R2137" s="3" t="e">
        <f>I2137*(VLOOKUP(B2137,Price_data!A$1:B$190,2,FALSE))</f>
        <v>#N/A</v>
      </c>
      <c r="S2137" s="4" t="str">
        <f>(VLOOKUP(B2137,Price_data!A$1:C$190,3,FALSE))</f>
        <v>EEZ</v>
      </c>
      <c r="T2137" s="2" t="str">
        <f>IF(C2137="Total", (VLOOKUP(B2137,Recommended_fish_intake!A$4:D$122,4,FALSE)), "NA")</f>
        <v>NA</v>
      </c>
      <c r="U2137" s="2" t="str">
        <f t="shared" si="249"/>
        <v>NA</v>
      </c>
    </row>
    <row r="2138" spans="1:21" ht="14.25" customHeight="1">
      <c r="A2138" s="2" t="s">
        <v>39</v>
      </c>
      <c r="B2138" s="2">
        <v>1986</v>
      </c>
      <c r="C2138" s="2" t="s">
        <v>19</v>
      </c>
      <c r="D2138" s="3">
        <f t="shared" si="250"/>
        <v>100.746</v>
      </c>
      <c r="E2138" s="3">
        <f t="shared" si="251"/>
        <v>11.206</v>
      </c>
      <c r="F2138" s="3" t="e">
        <f t="shared" si="252"/>
        <v>#N/A</v>
      </c>
      <c r="G2138" s="3" t="e">
        <f t="shared" si="253"/>
        <v>#N/A</v>
      </c>
      <c r="H2138" s="3" t="e">
        <f t="shared" si="254"/>
        <v>#N/A</v>
      </c>
      <c r="I2138" s="3" t="e">
        <f t="shared" si="255"/>
        <v>#N/A</v>
      </c>
      <c r="J2138" s="2">
        <v>100746</v>
      </c>
      <c r="K2138" s="2">
        <v>11206</v>
      </c>
      <c r="P2138" s="3">
        <f>E2138*(VLOOKUP(B2138,Price_data!A$1:B$190,2,FALSE))</f>
        <v>19.508138893853999</v>
      </c>
      <c r="Q2138" s="3" t="e">
        <f>G2138*(VLOOKUP(B2138,Price_data!A$1:B$190,2,FALSE))</f>
        <v>#N/A</v>
      </c>
      <c r="R2138" s="3" t="e">
        <f>I2138*(VLOOKUP(B2138,Price_data!A$1:B$190,2,FALSE))</f>
        <v>#N/A</v>
      </c>
      <c r="S2138" s="4" t="str">
        <f>(VLOOKUP(B2138,Price_data!A$1:C$190,3,FALSE))</f>
        <v>EEZ</v>
      </c>
      <c r="T2138" s="2" t="str">
        <f>IF(C2138="Total", (VLOOKUP(B2138,Recommended_fish_intake!A$4:D$122,4,FALSE)), "NA")</f>
        <v>NA</v>
      </c>
      <c r="U2138" s="2" t="str">
        <f t="shared" si="249"/>
        <v>NA</v>
      </c>
    </row>
    <row r="2139" spans="1:21" ht="14.25" customHeight="1">
      <c r="A2139" s="2" t="s">
        <v>39</v>
      </c>
      <c r="B2139" s="2">
        <v>1986</v>
      </c>
      <c r="C2139" s="2" t="s">
        <v>20</v>
      </c>
      <c r="D2139" s="3">
        <f t="shared" si="250"/>
        <v>128.93899999999999</v>
      </c>
      <c r="E2139" s="3">
        <f t="shared" si="251"/>
        <v>13.919</v>
      </c>
      <c r="F2139" s="3" t="e">
        <f t="shared" si="252"/>
        <v>#N/A</v>
      </c>
      <c r="G2139" s="3" t="e">
        <f t="shared" si="253"/>
        <v>#N/A</v>
      </c>
      <c r="H2139" s="3" t="e">
        <f t="shared" si="254"/>
        <v>#N/A</v>
      </c>
      <c r="I2139" s="3" t="e">
        <f t="shared" si="255"/>
        <v>#N/A</v>
      </c>
      <c r="J2139" s="2">
        <v>128939</v>
      </c>
      <c r="K2139" s="2">
        <v>13919</v>
      </c>
      <c r="P2139" s="3">
        <f>E2139*(VLOOKUP(B2139,Price_data!A$1:B$190,2,FALSE))</f>
        <v>24.231107019771002</v>
      </c>
      <c r="Q2139" s="3" t="e">
        <f>G2139*(VLOOKUP(B2139,Price_data!A$1:B$190,2,FALSE))</f>
        <v>#N/A</v>
      </c>
      <c r="R2139" s="3" t="e">
        <f>I2139*(VLOOKUP(B2139,Price_data!A$1:B$190,2,FALSE))</f>
        <v>#N/A</v>
      </c>
      <c r="S2139" s="4" t="str">
        <f>(VLOOKUP(B2139,Price_data!A$1:C$190,3,FALSE))</f>
        <v>EEZ</v>
      </c>
      <c r="T2139" s="2" t="str">
        <f>IF(C2139="Total", (VLOOKUP(B2139,Recommended_fish_intake!A$4:D$122,4,FALSE)), "NA")</f>
        <v>NA</v>
      </c>
      <c r="U2139" s="2" t="str">
        <f t="shared" si="249"/>
        <v>NA</v>
      </c>
    </row>
    <row r="2140" spans="1:21" ht="14.25" customHeight="1">
      <c r="A2140" s="2" t="s">
        <v>39</v>
      </c>
      <c r="B2140" s="2">
        <v>1986</v>
      </c>
      <c r="C2140" s="2" t="s">
        <v>37</v>
      </c>
      <c r="D2140" s="3">
        <f t="shared" si="250"/>
        <v>516.49199999999996</v>
      </c>
      <c r="E2140" s="3">
        <f t="shared" si="251"/>
        <v>188.42</v>
      </c>
      <c r="F2140" s="3" t="e">
        <f t="shared" si="252"/>
        <v>#N/A</v>
      </c>
      <c r="G2140" s="3" t="e">
        <f t="shared" si="253"/>
        <v>#N/A</v>
      </c>
      <c r="H2140" s="3" t="e">
        <f t="shared" si="254"/>
        <v>#N/A</v>
      </c>
      <c r="I2140" s="3" t="e">
        <f t="shared" si="255"/>
        <v>#N/A</v>
      </c>
      <c r="J2140" s="2">
        <v>516492</v>
      </c>
      <c r="K2140" s="2">
        <v>188420</v>
      </c>
      <c r="P2140" s="3">
        <f>E2140*(VLOOKUP(B2140,Price_data!A$1:B$190,2,FALSE))</f>
        <v>328.01387920577997</v>
      </c>
      <c r="Q2140" s="3" t="e">
        <f>G2140*(VLOOKUP(B2140,Price_data!A$1:B$190,2,FALSE))</f>
        <v>#N/A</v>
      </c>
      <c r="R2140" s="3" t="e">
        <f>I2140*(VLOOKUP(B2140,Price_data!A$1:B$190,2,FALSE))</f>
        <v>#N/A</v>
      </c>
      <c r="S2140" s="4" t="str">
        <f>(VLOOKUP(B2140,Price_data!A$1:C$190,3,FALSE))</f>
        <v>EEZ</v>
      </c>
      <c r="T2140" s="2" t="str">
        <f>IF(C2140="Total", (VLOOKUP(B2140,Recommended_fish_intake!A$4:D$122,4,FALSE)), "NA")</f>
        <v>NA</v>
      </c>
      <c r="U2140" s="2">
        <f t="shared" si="249"/>
        <v>253.08107999999999</v>
      </c>
    </row>
    <row r="2141" spans="1:21" ht="14.25" customHeight="1">
      <c r="A2141" s="2" t="s">
        <v>39</v>
      </c>
      <c r="B2141" s="2">
        <v>1986</v>
      </c>
      <c r="C2141" s="2" t="s">
        <v>36</v>
      </c>
      <c r="D2141" s="3">
        <f t="shared" si="250"/>
        <v>4.508</v>
      </c>
      <c r="E2141" s="3">
        <f t="shared" si="251"/>
        <v>2.762</v>
      </c>
      <c r="F2141" s="3" t="e">
        <f t="shared" si="252"/>
        <v>#N/A</v>
      </c>
      <c r="G2141" s="3" t="e">
        <f t="shared" si="253"/>
        <v>#N/A</v>
      </c>
      <c r="H2141" s="3" t="e">
        <f t="shared" si="254"/>
        <v>#N/A</v>
      </c>
      <c r="I2141" s="3" t="e">
        <f t="shared" si="255"/>
        <v>#N/A</v>
      </c>
      <c r="J2141" s="2">
        <v>4508</v>
      </c>
      <c r="K2141" s="2">
        <v>2762</v>
      </c>
      <c r="P2141" s="3">
        <f>E2141*(VLOOKUP(B2141,Price_data!A$1:B$190,2,FALSE))</f>
        <v>4.808270535858</v>
      </c>
      <c r="Q2141" s="3" t="e">
        <f>G2141*(VLOOKUP(B2141,Price_data!A$1:B$190,2,FALSE))</f>
        <v>#N/A</v>
      </c>
      <c r="R2141" s="3" t="e">
        <f>I2141*(VLOOKUP(B2141,Price_data!A$1:B$190,2,FALSE))</f>
        <v>#N/A</v>
      </c>
      <c r="S2141" s="4" t="str">
        <f>(VLOOKUP(B2141,Price_data!A$1:C$190,3,FALSE))</f>
        <v>EEZ</v>
      </c>
      <c r="T2141" s="2" t="str">
        <f>IF(C2141="Total", (VLOOKUP(B2141,Recommended_fish_intake!A$4:D$122,4,FALSE)), "NA")</f>
        <v>NA</v>
      </c>
      <c r="U2141" s="2" t="str">
        <f t="shared" si="249"/>
        <v>NA</v>
      </c>
    </row>
    <row r="2142" spans="1:21" ht="14.25" customHeight="1">
      <c r="A2142" s="2" t="s">
        <v>39</v>
      </c>
      <c r="B2142" s="2">
        <v>1986</v>
      </c>
      <c r="C2142" s="2" t="s">
        <v>34</v>
      </c>
      <c r="D2142" s="3">
        <f t="shared" si="250"/>
        <v>0.55200000000000005</v>
      </c>
      <c r="E2142" s="3">
        <f t="shared" si="251"/>
        <v>4.1420000000000003</v>
      </c>
      <c r="F2142" s="3" t="e">
        <f t="shared" si="252"/>
        <v>#N/A</v>
      </c>
      <c r="G2142" s="3" t="e">
        <f t="shared" si="253"/>
        <v>#N/A</v>
      </c>
      <c r="H2142" s="3" t="e">
        <f t="shared" si="254"/>
        <v>#N/A</v>
      </c>
      <c r="I2142" s="3" t="e">
        <f t="shared" si="255"/>
        <v>#N/A</v>
      </c>
      <c r="J2142" s="2">
        <v>552</v>
      </c>
      <c r="K2142" s="2">
        <v>4142</v>
      </c>
      <c r="P2142" s="3">
        <f>E2142*(VLOOKUP(B2142,Price_data!A$1:B$190,2,FALSE))</f>
        <v>7.2106649382780006</v>
      </c>
      <c r="Q2142" s="3" t="e">
        <f>G2142*(VLOOKUP(B2142,Price_data!A$1:B$190,2,FALSE))</f>
        <v>#N/A</v>
      </c>
      <c r="R2142" s="3" t="e">
        <f>I2142*(VLOOKUP(B2142,Price_data!A$1:B$190,2,FALSE))</f>
        <v>#N/A</v>
      </c>
      <c r="S2142" s="4" t="str">
        <f>(VLOOKUP(B2142,Price_data!A$1:C$190,3,FALSE))</f>
        <v>EEZ</v>
      </c>
      <c r="T2142" s="2" t="str">
        <f>IF(C2142="Total", (VLOOKUP(B2142,Recommended_fish_intake!A$4:D$122,4,FALSE)), "NA")</f>
        <v>NA</v>
      </c>
      <c r="U2142" s="2" t="str">
        <f t="shared" si="249"/>
        <v>NA</v>
      </c>
    </row>
    <row r="2143" spans="1:21" ht="14.25" customHeight="1">
      <c r="A2143" s="2" t="s">
        <v>39</v>
      </c>
      <c r="B2143" s="2">
        <v>1986</v>
      </c>
      <c r="C2143" s="2" t="s">
        <v>35</v>
      </c>
      <c r="D2143" s="3">
        <f t="shared" si="250"/>
        <v>17.504999999999999</v>
      </c>
      <c r="E2143" s="3">
        <f t="shared" si="251"/>
        <v>29.457999999999998</v>
      </c>
      <c r="F2143" s="3" t="e">
        <f t="shared" si="252"/>
        <v>#N/A</v>
      </c>
      <c r="G2143" s="3" t="e">
        <f t="shared" si="253"/>
        <v>#N/A</v>
      </c>
      <c r="H2143" s="3" t="e">
        <f t="shared" si="254"/>
        <v>#N/A</v>
      </c>
      <c r="I2143" s="3" t="e">
        <f t="shared" si="255"/>
        <v>#N/A</v>
      </c>
      <c r="J2143" s="2">
        <v>17505</v>
      </c>
      <c r="K2143" s="2">
        <v>29458</v>
      </c>
      <c r="P2143" s="3">
        <f>E2143*(VLOOKUP(B2143,Price_data!A$1:B$190,2,FALSE))</f>
        <v>51.282416164121997</v>
      </c>
      <c r="Q2143" s="3" t="e">
        <f>G2143*(VLOOKUP(B2143,Price_data!A$1:B$190,2,FALSE))</f>
        <v>#N/A</v>
      </c>
      <c r="R2143" s="3" t="e">
        <f>I2143*(VLOOKUP(B2143,Price_data!A$1:B$190,2,FALSE))</f>
        <v>#N/A</v>
      </c>
      <c r="S2143" s="4" t="str">
        <f>(VLOOKUP(B2143,Price_data!A$1:C$190,3,FALSE))</f>
        <v>EEZ</v>
      </c>
      <c r="T2143" s="2" t="str">
        <f>IF(C2143="Total", (VLOOKUP(B2143,Recommended_fish_intake!A$4:D$122,4,FALSE)), "NA")</f>
        <v>NA</v>
      </c>
      <c r="U2143" s="2" t="str">
        <f t="shared" si="249"/>
        <v>NA</v>
      </c>
    </row>
    <row r="2144" spans="1:21" ht="14.25" customHeight="1">
      <c r="A2144" s="2" t="s">
        <v>39</v>
      </c>
      <c r="B2144" s="2">
        <v>1986</v>
      </c>
      <c r="C2144" s="2" t="s">
        <v>52</v>
      </c>
      <c r="D2144" s="3">
        <f t="shared" si="250"/>
        <v>3.97</v>
      </c>
      <c r="E2144" s="3">
        <f t="shared" si="251"/>
        <v>5.452</v>
      </c>
      <c r="F2144" s="3" t="e">
        <f t="shared" si="252"/>
        <v>#N/A</v>
      </c>
      <c r="G2144" s="3" t="e">
        <f t="shared" si="253"/>
        <v>#N/A</v>
      </c>
      <c r="H2144" s="3" t="e">
        <f t="shared" si="254"/>
        <v>#N/A</v>
      </c>
      <c r="I2144" s="3" t="e">
        <f t="shared" si="255"/>
        <v>#N/A</v>
      </c>
      <c r="J2144" s="2">
        <v>3970</v>
      </c>
      <c r="K2144" s="2">
        <v>5452</v>
      </c>
      <c r="P2144" s="3">
        <f>E2144*(VLOOKUP(B2144,Price_data!A$1:B$190,2,FALSE))</f>
        <v>9.4911987550679999</v>
      </c>
      <c r="Q2144" s="3" t="e">
        <f>G2144*(VLOOKUP(B2144,Price_data!A$1:B$190,2,FALSE))</f>
        <v>#N/A</v>
      </c>
      <c r="R2144" s="3" t="e">
        <f>I2144*(VLOOKUP(B2144,Price_data!A$1:B$190,2,FALSE))</f>
        <v>#N/A</v>
      </c>
      <c r="S2144" s="4" t="str">
        <f>(VLOOKUP(B2144,Price_data!A$1:C$190,3,FALSE))</f>
        <v>EEZ</v>
      </c>
      <c r="T2144" s="2" t="str">
        <f>IF(C2144="Total", (VLOOKUP(B2144,Recommended_fish_intake!A$4:D$122,4,FALSE)), "NA")</f>
        <v>NA</v>
      </c>
      <c r="U2144" s="2" t="str">
        <f t="shared" si="249"/>
        <v>NA</v>
      </c>
    </row>
    <row r="2145" spans="1:21" ht="14.25" customHeight="1">
      <c r="A2145" s="2" t="s">
        <v>39</v>
      </c>
      <c r="B2145" s="2">
        <v>1986</v>
      </c>
      <c r="C2145" s="2" t="s">
        <v>30</v>
      </c>
      <c r="D2145" s="3">
        <f t="shared" si="250"/>
        <v>1.9E-2</v>
      </c>
      <c r="E2145" s="3">
        <f t="shared" si="251"/>
        <v>3.2000000000000001E-2</v>
      </c>
      <c r="F2145" s="3" t="e">
        <f t="shared" si="252"/>
        <v>#N/A</v>
      </c>
      <c r="G2145" s="3" t="e">
        <f t="shared" si="253"/>
        <v>#N/A</v>
      </c>
      <c r="H2145" s="3" t="e">
        <f t="shared" si="254"/>
        <v>#N/A</v>
      </c>
      <c r="I2145" s="3" t="e">
        <f t="shared" si="255"/>
        <v>#N/A</v>
      </c>
      <c r="J2145" s="2">
        <v>19</v>
      </c>
      <c r="K2145" s="2">
        <v>32</v>
      </c>
      <c r="P2145" s="3">
        <f>E2145*(VLOOKUP(B2145,Price_data!A$1:B$190,2,FALSE))</f>
        <v>5.5707696288E-2</v>
      </c>
      <c r="Q2145" s="3" t="e">
        <f>G2145*(VLOOKUP(B2145,Price_data!A$1:B$190,2,FALSE))</f>
        <v>#N/A</v>
      </c>
      <c r="R2145" s="3" t="e">
        <f>I2145*(VLOOKUP(B2145,Price_data!A$1:B$190,2,FALSE))</f>
        <v>#N/A</v>
      </c>
      <c r="S2145" s="4" t="str">
        <f>(VLOOKUP(B2145,Price_data!A$1:C$190,3,FALSE))</f>
        <v>EEZ</v>
      </c>
      <c r="T2145" s="2" t="str">
        <f>IF(C2145="Total", (VLOOKUP(B2145,Recommended_fish_intake!A$4:D$122,4,FALSE)), "NA")</f>
        <v>NA</v>
      </c>
      <c r="U2145" s="2" t="str">
        <f t="shared" si="249"/>
        <v>NA</v>
      </c>
    </row>
    <row r="2146" spans="1:21" ht="14.25" customHeight="1">
      <c r="A2146" s="2" t="s">
        <v>39</v>
      </c>
      <c r="B2146" s="2">
        <v>1986</v>
      </c>
      <c r="C2146" s="2" t="s">
        <v>28</v>
      </c>
      <c r="D2146" s="3">
        <f t="shared" si="250"/>
        <v>34.798000000000002</v>
      </c>
      <c r="E2146" s="3">
        <f t="shared" si="251"/>
        <v>46.03</v>
      </c>
      <c r="F2146" s="3" t="e">
        <f t="shared" si="252"/>
        <v>#N/A</v>
      </c>
      <c r="G2146" s="3" t="e">
        <f t="shared" si="253"/>
        <v>#N/A</v>
      </c>
      <c r="H2146" s="3" t="e">
        <f t="shared" si="254"/>
        <v>#N/A</v>
      </c>
      <c r="I2146" s="3" t="e">
        <f t="shared" si="255"/>
        <v>#N/A</v>
      </c>
      <c r="J2146" s="2">
        <v>34798</v>
      </c>
      <c r="K2146" s="2">
        <v>46030</v>
      </c>
      <c r="P2146" s="3">
        <f>E2146*(VLOOKUP(B2146,Price_data!A$1:B$190,2,FALSE))</f>
        <v>80.132039379269997</v>
      </c>
      <c r="Q2146" s="3" t="e">
        <f>G2146*(VLOOKUP(B2146,Price_data!A$1:B$190,2,FALSE))</f>
        <v>#N/A</v>
      </c>
      <c r="R2146" s="3" t="e">
        <f>I2146*(VLOOKUP(B2146,Price_data!A$1:B$190,2,FALSE))</f>
        <v>#N/A</v>
      </c>
      <c r="S2146" s="4" t="str">
        <f>(VLOOKUP(B2146,Price_data!A$1:C$190,3,FALSE))</f>
        <v>EEZ</v>
      </c>
      <c r="T2146" s="2" t="str">
        <f>IF(C2146="Total", (VLOOKUP(B2146,Recommended_fish_intake!A$4:D$122,4,FALSE)), "NA")</f>
        <v>NA</v>
      </c>
      <c r="U2146" s="2">
        <f t="shared" si="249"/>
        <v>9.7434400000000014</v>
      </c>
    </row>
    <row r="2147" spans="1:21" ht="14.25" customHeight="1">
      <c r="A2147" s="2" t="s">
        <v>40</v>
      </c>
      <c r="B2147" s="2">
        <v>1986</v>
      </c>
      <c r="C2147" s="2" t="s">
        <v>22</v>
      </c>
      <c r="D2147" s="3">
        <f t="shared" si="250"/>
        <v>2.593</v>
      </c>
      <c r="E2147" s="3">
        <f t="shared" si="251"/>
        <v>2.6349999999999998</v>
      </c>
      <c r="F2147" s="3" t="e">
        <f t="shared" si="252"/>
        <v>#N/A</v>
      </c>
      <c r="G2147" s="3" t="e">
        <f t="shared" si="253"/>
        <v>#N/A</v>
      </c>
      <c r="H2147" s="3" t="e">
        <f t="shared" si="254"/>
        <v>#N/A</v>
      </c>
      <c r="I2147" s="3" t="e">
        <f t="shared" si="255"/>
        <v>#N/A</v>
      </c>
      <c r="J2147" s="2">
        <v>2593</v>
      </c>
      <c r="K2147" s="2">
        <v>2635</v>
      </c>
      <c r="P2147" s="3">
        <f>E2147*(VLOOKUP(B2147,Price_data!A$1:B$190,2,FALSE))</f>
        <v>4.587180616215</v>
      </c>
      <c r="Q2147" s="3" t="e">
        <f>G2147*(VLOOKUP(B2147,Price_data!A$1:B$190,2,FALSE))</f>
        <v>#N/A</v>
      </c>
      <c r="R2147" s="3" t="e">
        <f>I2147*(VLOOKUP(B2147,Price_data!A$1:B$190,2,FALSE))</f>
        <v>#N/A</v>
      </c>
      <c r="S2147" s="4" t="str">
        <f>(VLOOKUP(B2147,Price_data!A$1:C$190,3,FALSE))</f>
        <v>EEZ</v>
      </c>
      <c r="T2147" s="2" t="str">
        <f>IF(C2147="Total", (VLOOKUP(B2147,Recommended_fish_intake!A$4:D$122,4,FALSE)), "NA")</f>
        <v>NA</v>
      </c>
      <c r="U2147" s="2" t="str">
        <f t="shared" si="249"/>
        <v>NA</v>
      </c>
    </row>
    <row r="2148" spans="1:21" ht="14.25" customHeight="1">
      <c r="A2148" s="2" t="s">
        <v>40</v>
      </c>
      <c r="B2148" s="2">
        <v>1986</v>
      </c>
      <c r="C2148" s="2" t="s">
        <v>23</v>
      </c>
      <c r="D2148" s="3">
        <f t="shared" si="250"/>
        <v>0.311</v>
      </c>
      <c r="E2148" s="3">
        <f t="shared" si="251"/>
        <v>0.309</v>
      </c>
      <c r="F2148" s="3" t="e">
        <f t="shared" si="252"/>
        <v>#N/A</v>
      </c>
      <c r="G2148" s="3" t="e">
        <f t="shared" si="253"/>
        <v>#N/A</v>
      </c>
      <c r="H2148" s="3" t="e">
        <f t="shared" si="254"/>
        <v>#N/A</v>
      </c>
      <c r="I2148" s="3" t="e">
        <f t="shared" si="255"/>
        <v>#N/A</v>
      </c>
      <c r="J2148" s="2">
        <v>311</v>
      </c>
      <c r="K2148" s="2">
        <v>309</v>
      </c>
      <c r="P2148" s="3">
        <f>E2148*(VLOOKUP(B2148,Price_data!A$1:B$190,2,FALSE))</f>
        <v>0.53792744228099998</v>
      </c>
      <c r="Q2148" s="3" t="e">
        <f>G2148*(VLOOKUP(B2148,Price_data!A$1:B$190,2,FALSE))</f>
        <v>#N/A</v>
      </c>
      <c r="R2148" s="3" t="e">
        <f>I2148*(VLOOKUP(B2148,Price_data!A$1:B$190,2,FALSE))</f>
        <v>#N/A</v>
      </c>
      <c r="S2148" s="4" t="str">
        <f>(VLOOKUP(B2148,Price_data!A$1:C$190,3,FALSE))</f>
        <v>EEZ</v>
      </c>
      <c r="T2148" s="2" t="str">
        <f>IF(C2148="Total", (VLOOKUP(B2148,Recommended_fish_intake!A$4:D$122,4,FALSE)), "NA")</f>
        <v>NA</v>
      </c>
      <c r="U2148" s="2" t="str">
        <f t="shared" si="249"/>
        <v>NA</v>
      </c>
    </row>
    <row r="2149" spans="1:21" ht="14.25" customHeight="1">
      <c r="A2149" s="2" t="s">
        <v>40</v>
      </c>
      <c r="B2149" s="2">
        <v>1986</v>
      </c>
      <c r="C2149" s="2" t="s">
        <v>58</v>
      </c>
      <c r="D2149" s="3">
        <f t="shared" ref="D2149:D2178" si="256">J2149/1000</f>
        <v>0.20599999999999999</v>
      </c>
      <c r="E2149" s="3">
        <f t="shared" ref="E2149:E2178" si="257">K2149/1000</f>
        <v>0.24299999999999999</v>
      </c>
      <c r="F2149" s="3" t="e">
        <f t="shared" ref="F2149:F2178" si="258">IF(L2149="", NA(), L2149/1000)</f>
        <v>#N/A</v>
      </c>
      <c r="G2149" s="3" t="e">
        <f t="shared" ref="G2149:G2178" si="259">IF(M2149="", NA(), M2149/1000)</f>
        <v>#N/A</v>
      </c>
      <c r="H2149" s="3" t="e">
        <f t="shared" ref="H2149:H2178" si="260">IF(N2149="", NA(), N2149/1000)</f>
        <v>#N/A</v>
      </c>
      <c r="I2149" s="3" t="e">
        <f t="shared" ref="I2149:I2178" si="261">IF(O2149="", NA(), O2149/1000)</f>
        <v>#N/A</v>
      </c>
      <c r="J2149" s="2">
        <v>206</v>
      </c>
      <c r="K2149" s="2">
        <v>243</v>
      </c>
      <c r="P2149" s="3">
        <f>E2149*(VLOOKUP(B2149,Price_data!A$1:B$190,2,FALSE))</f>
        <v>0.42303031868699997</v>
      </c>
      <c r="Q2149" s="3" t="e">
        <f>G2149*(VLOOKUP(B2149,Price_data!A$1:B$190,2,FALSE))</f>
        <v>#N/A</v>
      </c>
      <c r="R2149" s="3" t="e">
        <f>I2149*(VLOOKUP(B2149,Price_data!A$1:B$190,2,FALSE))</f>
        <v>#N/A</v>
      </c>
      <c r="S2149" s="4" t="str">
        <f>(VLOOKUP(B2149,Price_data!A$1:C$190,3,FALSE))</f>
        <v>EEZ</v>
      </c>
      <c r="T2149" s="2" t="str">
        <f>IF(C2149="Total", (VLOOKUP(B2149,Recommended_fish_intake!A$4:D$122,4,FALSE)), "NA")</f>
        <v>NA</v>
      </c>
      <c r="U2149" s="2" t="str">
        <f t="shared" si="249"/>
        <v>NA</v>
      </c>
    </row>
    <row r="2150" spans="1:21" ht="14.25" customHeight="1">
      <c r="A2150" s="2" t="s">
        <v>40</v>
      </c>
      <c r="B2150" s="2">
        <v>1986</v>
      </c>
      <c r="C2150" s="2" t="s">
        <v>25</v>
      </c>
      <c r="D2150" s="3">
        <f t="shared" si="256"/>
        <v>0.255</v>
      </c>
      <c r="E2150" s="3">
        <f t="shared" si="257"/>
        <v>0.13500000000000001</v>
      </c>
      <c r="F2150" s="3" t="e">
        <f t="shared" si="258"/>
        <v>#N/A</v>
      </c>
      <c r="G2150" s="3" t="e">
        <f t="shared" si="259"/>
        <v>#N/A</v>
      </c>
      <c r="H2150" s="3" t="e">
        <f t="shared" si="260"/>
        <v>#N/A</v>
      </c>
      <c r="I2150" s="3" t="e">
        <f t="shared" si="261"/>
        <v>#N/A</v>
      </c>
      <c r="J2150" s="2">
        <v>255</v>
      </c>
      <c r="K2150" s="2">
        <v>135</v>
      </c>
      <c r="P2150" s="3">
        <f>E2150*(VLOOKUP(B2150,Price_data!A$1:B$190,2,FALSE))</f>
        <v>0.23501684371500001</v>
      </c>
      <c r="Q2150" s="3" t="e">
        <f>G2150*(VLOOKUP(B2150,Price_data!A$1:B$190,2,FALSE))</f>
        <v>#N/A</v>
      </c>
      <c r="R2150" s="3" t="e">
        <f>I2150*(VLOOKUP(B2150,Price_data!A$1:B$190,2,FALSE))</f>
        <v>#N/A</v>
      </c>
      <c r="S2150" s="4" t="str">
        <f>(VLOOKUP(B2150,Price_data!A$1:C$190,3,FALSE))</f>
        <v>EEZ</v>
      </c>
      <c r="T2150" s="2" t="str">
        <f>IF(C2150="Total", (VLOOKUP(B2150,Recommended_fish_intake!A$4:D$122,4,FALSE)), "NA")</f>
        <v>NA</v>
      </c>
      <c r="U2150" s="2" t="str">
        <f t="shared" si="249"/>
        <v>NA</v>
      </c>
    </row>
    <row r="2151" spans="1:21" ht="14.25" customHeight="1">
      <c r="A2151" s="2" t="s">
        <v>40</v>
      </c>
      <c r="B2151" s="2">
        <v>1986</v>
      </c>
      <c r="C2151" s="2" t="s">
        <v>24</v>
      </c>
      <c r="D2151" s="3">
        <f t="shared" si="256"/>
        <v>4.9349999999999996</v>
      </c>
      <c r="E2151" s="3">
        <f t="shared" si="257"/>
        <v>1.802</v>
      </c>
      <c r="F2151" s="3" t="e">
        <f t="shared" si="258"/>
        <v>#N/A</v>
      </c>
      <c r="G2151" s="3" t="e">
        <f t="shared" si="259"/>
        <v>#N/A</v>
      </c>
      <c r="H2151" s="3" t="e">
        <f t="shared" si="260"/>
        <v>#N/A</v>
      </c>
      <c r="I2151" s="3" t="e">
        <f t="shared" si="261"/>
        <v>#N/A</v>
      </c>
      <c r="J2151" s="2">
        <v>4935</v>
      </c>
      <c r="K2151" s="2">
        <v>1802</v>
      </c>
      <c r="P2151" s="3">
        <f>E2151*(VLOOKUP(B2151,Price_data!A$1:B$190,2,FALSE))</f>
        <v>3.1370396472180002</v>
      </c>
      <c r="Q2151" s="3" t="e">
        <f>G2151*(VLOOKUP(B2151,Price_data!A$1:B$190,2,FALSE))</f>
        <v>#N/A</v>
      </c>
      <c r="R2151" s="3" t="e">
        <f>I2151*(VLOOKUP(B2151,Price_data!A$1:B$190,2,FALSE))</f>
        <v>#N/A</v>
      </c>
      <c r="S2151" s="4" t="str">
        <f>(VLOOKUP(B2151,Price_data!A$1:C$190,3,FALSE))</f>
        <v>EEZ</v>
      </c>
      <c r="T2151" s="2" t="str">
        <f>IF(C2151="Total", (VLOOKUP(B2151,Recommended_fish_intake!A$4:D$122,4,FALSE)), "NA")</f>
        <v>NA</v>
      </c>
      <c r="U2151" s="2" t="str">
        <f t="shared" si="249"/>
        <v>NA</v>
      </c>
    </row>
    <row r="2152" spans="1:21" ht="14.25" customHeight="1">
      <c r="A2152" s="2" t="s">
        <v>40</v>
      </c>
      <c r="B2152" s="2">
        <v>1986</v>
      </c>
      <c r="C2152" s="2" t="s">
        <v>19</v>
      </c>
      <c r="D2152" s="3">
        <f t="shared" si="256"/>
        <v>3.601</v>
      </c>
      <c r="E2152" s="3">
        <f t="shared" si="257"/>
        <v>0.4</v>
      </c>
      <c r="F2152" s="3" t="e">
        <f t="shared" si="258"/>
        <v>#N/A</v>
      </c>
      <c r="G2152" s="3" t="e">
        <f t="shared" si="259"/>
        <v>#N/A</v>
      </c>
      <c r="H2152" s="3" t="e">
        <f t="shared" si="260"/>
        <v>#N/A</v>
      </c>
      <c r="I2152" s="3" t="e">
        <f t="shared" si="261"/>
        <v>#N/A</v>
      </c>
      <c r="J2152" s="2">
        <v>3601</v>
      </c>
      <c r="K2152" s="2">
        <v>400</v>
      </c>
      <c r="P2152" s="3">
        <f>E2152*(VLOOKUP(B2152,Price_data!A$1:B$190,2,FALSE))</f>
        <v>0.6963462036000001</v>
      </c>
      <c r="Q2152" s="3" t="e">
        <f>G2152*(VLOOKUP(B2152,Price_data!A$1:B$190,2,FALSE))</f>
        <v>#N/A</v>
      </c>
      <c r="R2152" s="3" t="e">
        <f>I2152*(VLOOKUP(B2152,Price_data!A$1:B$190,2,FALSE))</f>
        <v>#N/A</v>
      </c>
      <c r="S2152" s="4" t="str">
        <f>(VLOOKUP(B2152,Price_data!A$1:C$190,3,FALSE))</f>
        <v>EEZ</v>
      </c>
      <c r="T2152" s="2" t="str">
        <f>IF(C2152="Total", (VLOOKUP(B2152,Recommended_fish_intake!A$4:D$122,4,FALSE)), "NA")</f>
        <v>NA</v>
      </c>
      <c r="U2152" s="2" t="str">
        <f t="shared" si="249"/>
        <v>NA</v>
      </c>
    </row>
    <row r="2153" spans="1:21" ht="14.25" customHeight="1">
      <c r="A2153" s="2" t="s">
        <v>40</v>
      </c>
      <c r="B2153" s="2">
        <v>1986</v>
      </c>
      <c r="C2153" s="2" t="s">
        <v>20</v>
      </c>
      <c r="D2153" s="3">
        <f t="shared" si="256"/>
        <v>6.0000000000000001E-3</v>
      </c>
      <c r="E2153" s="3">
        <f t="shared" si="257"/>
        <v>2E-3</v>
      </c>
      <c r="F2153" s="3" t="e">
        <f t="shared" si="258"/>
        <v>#N/A</v>
      </c>
      <c r="G2153" s="3" t="e">
        <f t="shared" si="259"/>
        <v>#N/A</v>
      </c>
      <c r="H2153" s="3" t="e">
        <f t="shared" si="260"/>
        <v>#N/A</v>
      </c>
      <c r="I2153" s="3" t="e">
        <f t="shared" si="261"/>
        <v>#N/A</v>
      </c>
      <c r="J2153" s="2">
        <v>6</v>
      </c>
      <c r="K2153" s="2">
        <v>2</v>
      </c>
      <c r="P2153" s="3">
        <f>E2153*(VLOOKUP(B2153,Price_data!A$1:B$190,2,FALSE))</f>
        <v>3.481731018E-3</v>
      </c>
      <c r="Q2153" s="3" t="e">
        <f>G2153*(VLOOKUP(B2153,Price_data!A$1:B$190,2,FALSE))</f>
        <v>#N/A</v>
      </c>
      <c r="R2153" s="3" t="e">
        <f>I2153*(VLOOKUP(B2153,Price_data!A$1:B$190,2,FALSE))</f>
        <v>#N/A</v>
      </c>
      <c r="S2153" s="4" t="str">
        <f>(VLOOKUP(B2153,Price_data!A$1:C$190,3,FALSE))</f>
        <v>EEZ</v>
      </c>
      <c r="T2153" s="2" t="str">
        <f>IF(C2153="Total", (VLOOKUP(B2153,Recommended_fish_intake!A$4:D$122,4,FALSE)), "NA")</f>
        <v>NA</v>
      </c>
      <c r="U2153" s="2" t="str">
        <f t="shared" si="249"/>
        <v>NA</v>
      </c>
    </row>
    <row r="2154" spans="1:21" ht="14.25" customHeight="1">
      <c r="A2154" s="2" t="s">
        <v>40</v>
      </c>
      <c r="B2154" s="2">
        <v>1986</v>
      </c>
      <c r="C2154" s="2" t="s">
        <v>37</v>
      </c>
      <c r="D2154" s="3">
        <f t="shared" si="256"/>
        <v>14.872</v>
      </c>
      <c r="E2154" s="3">
        <f t="shared" si="257"/>
        <v>7.2370000000000001</v>
      </c>
      <c r="F2154" s="3" t="e">
        <f t="shared" si="258"/>
        <v>#N/A</v>
      </c>
      <c r="G2154" s="3" t="e">
        <f t="shared" si="259"/>
        <v>#N/A</v>
      </c>
      <c r="H2154" s="3" t="e">
        <f t="shared" si="260"/>
        <v>#N/A</v>
      </c>
      <c r="I2154" s="3" t="e">
        <f t="shared" si="261"/>
        <v>#N/A</v>
      </c>
      <c r="J2154" s="2">
        <v>14872</v>
      </c>
      <c r="K2154" s="2">
        <v>7237</v>
      </c>
      <c r="P2154" s="3">
        <f>E2154*(VLOOKUP(B2154,Price_data!A$1:B$190,2,FALSE))</f>
        <v>12.598643688633</v>
      </c>
      <c r="Q2154" s="3" t="e">
        <f>G2154*(VLOOKUP(B2154,Price_data!A$1:B$190,2,FALSE))</f>
        <v>#N/A</v>
      </c>
      <c r="R2154" s="3" t="e">
        <f>I2154*(VLOOKUP(B2154,Price_data!A$1:B$190,2,FALSE))</f>
        <v>#N/A</v>
      </c>
      <c r="S2154" s="4" t="str">
        <f>(VLOOKUP(B2154,Price_data!A$1:C$190,3,FALSE))</f>
        <v>EEZ</v>
      </c>
      <c r="T2154" s="2" t="str">
        <f>IF(C2154="Total", (VLOOKUP(B2154,Recommended_fish_intake!A$4:D$122,4,FALSE)), "NA")</f>
        <v>NA</v>
      </c>
      <c r="U2154" s="2">
        <f t="shared" si="249"/>
        <v>7.28728</v>
      </c>
    </row>
    <row r="2155" spans="1:21" ht="14.25" customHeight="1">
      <c r="A2155" s="2" t="s">
        <v>40</v>
      </c>
      <c r="B2155" s="2">
        <v>1986</v>
      </c>
      <c r="C2155" s="2" t="s">
        <v>36</v>
      </c>
      <c r="D2155" s="3">
        <f t="shared" si="256"/>
        <v>8.0000000000000002E-3</v>
      </c>
      <c r="E2155" s="3">
        <f t="shared" si="257"/>
        <v>2E-3</v>
      </c>
      <c r="F2155" s="3" t="e">
        <f t="shared" si="258"/>
        <v>#N/A</v>
      </c>
      <c r="G2155" s="3" t="e">
        <f t="shared" si="259"/>
        <v>#N/A</v>
      </c>
      <c r="H2155" s="3" t="e">
        <f t="shared" si="260"/>
        <v>#N/A</v>
      </c>
      <c r="I2155" s="3" t="e">
        <f t="shared" si="261"/>
        <v>#N/A</v>
      </c>
      <c r="J2155" s="2">
        <v>8</v>
      </c>
      <c r="K2155" s="2">
        <v>2</v>
      </c>
      <c r="P2155" s="3">
        <f>E2155*(VLOOKUP(B2155,Price_data!A$1:B$190,2,FALSE))</f>
        <v>3.481731018E-3</v>
      </c>
      <c r="Q2155" s="3" t="e">
        <f>G2155*(VLOOKUP(B2155,Price_data!A$1:B$190,2,FALSE))</f>
        <v>#N/A</v>
      </c>
      <c r="R2155" s="3" t="e">
        <f>I2155*(VLOOKUP(B2155,Price_data!A$1:B$190,2,FALSE))</f>
        <v>#N/A</v>
      </c>
      <c r="S2155" s="4" t="str">
        <f>(VLOOKUP(B2155,Price_data!A$1:C$190,3,FALSE))</f>
        <v>EEZ</v>
      </c>
      <c r="T2155" s="2" t="str">
        <f>IF(C2155="Total", (VLOOKUP(B2155,Recommended_fish_intake!A$4:D$122,4,FALSE)), "NA")</f>
        <v>NA</v>
      </c>
      <c r="U2155" s="2" t="str">
        <f t="shared" si="249"/>
        <v>NA</v>
      </c>
    </row>
    <row r="2156" spans="1:21" ht="14.25" customHeight="1">
      <c r="A2156" s="2" t="s">
        <v>40</v>
      </c>
      <c r="B2156" s="2">
        <v>1986</v>
      </c>
      <c r="C2156" s="2" t="s">
        <v>34</v>
      </c>
      <c r="D2156" s="3">
        <f t="shared" si="256"/>
        <v>1.2E-2</v>
      </c>
      <c r="E2156" s="3">
        <f t="shared" si="257"/>
        <v>7.0000000000000007E-2</v>
      </c>
      <c r="F2156" s="3" t="e">
        <f t="shared" si="258"/>
        <v>#N/A</v>
      </c>
      <c r="G2156" s="3" t="e">
        <f t="shared" si="259"/>
        <v>#N/A</v>
      </c>
      <c r="H2156" s="3" t="e">
        <f t="shared" si="260"/>
        <v>#N/A</v>
      </c>
      <c r="I2156" s="3" t="e">
        <f t="shared" si="261"/>
        <v>#N/A</v>
      </c>
      <c r="J2156" s="2">
        <v>12</v>
      </c>
      <c r="K2156" s="2">
        <v>70</v>
      </c>
      <c r="P2156" s="3">
        <f>E2156*(VLOOKUP(B2156,Price_data!A$1:B$190,2,FALSE))</f>
        <v>0.12186058563000002</v>
      </c>
      <c r="Q2156" s="3" t="e">
        <f>G2156*(VLOOKUP(B2156,Price_data!A$1:B$190,2,FALSE))</f>
        <v>#N/A</v>
      </c>
      <c r="R2156" s="3" t="e">
        <f>I2156*(VLOOKUP(B2156,Price_data!A$1:B$190,2,FALSE))</f>
        <v>#N/A</v>
      </c>
      <c r="S2156" s="4" t="str">
        <f>(VLOOKUP(B2156,Price_data!A$1:C$190,3,FALSE))</f>
        <v>EEZ</v>
      </c>
      <c r="T2156" s="2" t="str">
        <f>IF(C2156="Total", (VLOOKUP(B2156,Recommended_fish_intake!A$4:D$122,4,FALSE)), "NA")</f>
        <v>NA</v>
      </c>
      <c r="U2156" s="2" t="str">
        <f t="shared" si="249"/>
        <v>NA</v>
      </c>
    </row>
    <row r="2157" spans="1:21" ht="14.25" customHeight="1">
      <c r="A2157" s="2" t="s">
        <v>40</v>
      </c>
      <c r="B2157" s="2">
        <v>1986</v>
      </c>
      <c r="C2157" s="2" t="s">
        <v>35</v>
      </c>
      <c r="D2157" s="3">
        <f t="shared" si="256"/>
        <v>5.1829999999999998</v>
      </c>
      <c r="E2157" s="3">
        <f t="shared" si="257"/>
        <v>5.5170000000000003</v>
      </c>
      <c r="F2157" s="3" t="e">
        <f t="shared" si="258"/>
        <v>#N/A</v>
      </c>
      <c r="G2157" s="3" t="e">
        <f t="shared" si="259"/>
        <v>#N/A</v>
      </c>
      <c r="H2157" s="3" t="e">
        <f t="shared" si="260"/>
        <v>#N/A</v>
      </c>
      <c r="I2157" s="3" t="e">
        <f t="shared" si="261"/>
        <v>#N/A</v>
      </c>
      <c r="J2157" s="2">
        <v>5183</v>
      </c>
      <c r="K2157" s="2">
        <v>5517</v>
      </c>
      <c r="P2157" s="3">
        <f>E2157*(VLOOKUP(B2157,Price_data!A$1:B$190,2,FALSE))</f>
        <v>9.6043550131530004</v>
      </c>
      <c r="Q2157" s="3" t="e">
        <f>G2157*(VLOOKUP(B2157,Price_data!A$1:B$190,2,FALSE))</f>
        <v>#N/A</v>
      </c>
      <c r="R2157" s="3" t="e">
        <f>I2157*(VLOOKUP(B2157,Price_data!A$1:B$190,2,FALSE))</f>
        <v>#N/A</v>
      </c>
      <c r="S2157" s="4" t="str">
        <f>(VLOOKUP(B2157,Price_data!A$1:C$190,3,FALSE))</f>
        <v>EEZ</v>
      </c>
      <c r="T2157" s="2" t="str">
        <f>IF(C2157="Total", (VLOOKUP(B2157,Recommended_fish_intake!A$4:D$122,4,FALSE)), "NA")</f>
        <v>NA</v>
      </c>
      <c r="U2157" s="2" t="str">
        <f t="shared" si="249"/>
        <v>NA</v>
      </c>
    </row>
    <row r="2158" spans="1:21" ht="14.25" customHeight="1">
      <c r="A2158" s="2" t="s">
        <v>40</v>
      </c>
      <c r="B2158" s="2">
        <v>1986</v>
      </c>
      <c r="C2158" s="2" t="s">
        <v>52</v>
      </c>
      <c r="D2158" s="3">
        <f t="shared" si="256"/>
        <v>0.313</v>
      </c>
      <c r="E2158" s="3">
        <f t="shared" si="257"/>
        <v>0.437</v>
      </c>
      <c r="F2158" s="3" t="e">
        <f t="shared" si="258"/>
        <v>#N/A</v>
      </c>
      <c r="G2158" s="3" t="e">
        <f t="shared" si="259"/>
        <v>#N/A</v>
      </c>
      <c r="H2158" s="3" t="e">
        <f t="shared" si="260"/>
        <v>#N/A</v>
      </c>
      <c r="I2158" s="3" t="e">
        <f t="shared" si="261"/>
        <v>#N/A</v>
      </c>
      <c r="J2158" s="2">
        <v>313</v>
      </c>
      <c r="K2158" s="2">
        <v>437</v>
      </c>
      <c r="P2158" s="3">
        <f>E2158*(VLOOKUP(B2158,Price_data!A$1:B$190,2,FALSE))</f>
        <v>0.76075822743300003</v>
      </c>
      <c r="Q2158" s="3" t="e">
        <f>G2158*(VLOOKUP(B2158,Price_data!A$1:B$190,2,FALSE))</f>
        <v>#N/A</v>
      </c>
      <c r="R2158" s="3" t="e">
        <f>I2158*(VLOOKUP(B2158,Price_data!A$1:B$190,2,FALSE))</f>
        <v>#N/A</v>
      </c>
      <c r="S2158" s="4" t="str">
        <f>(VLOOKUP(B2158,Price_data!A$1:C$190,3,FALSE))</f>
        <v>EEZ</v>
      </c>
      <c r="T2158" s="2" t="str">
        <f>IF(C2158="Total", (VLOOKUP(B2158,Recommended_fish_intake!A$4:D$122,4,FALSE)), "NA")</f>
        <v>NA</v>
      </c>
      <c r="U2158" s="2" t="str">
        <f t="shared" si="249"/>
        <v>NA</v>
      </c>
    </row>
    <row r="2159" spans="1:21" ht="14.25" customHeight="1">
      <c r="A2159" s="2" t="s">
        <v>40</v>
      </c>
      <c r="B2159" s="2">
        <v>1986</v>
      </c>
      <c r="C2159" s="2" t="s">
        <v>30</v>
      </c>
      <c r="D2159" s="3">
        <f t="shared" si="256"/>
        <v>0</v>
      </c>
      <c r="E2159" s="3">
        <f t="shared" si="257"/>
        <v>0</v>
      </c>
      <c r="F2159" s="3" t="e">
        <f t="shared" si="258"/>
        <v>#N/A</v>
      </c>
      <c r="G2159" s="3" t="e">
        <f t="shared" si="259"/>
        <v>#N/A</v>
      </c>
      <c r="H2159" s="3" t="e">
        <f t="shared" si="260"/>
        <v>#N/A</v>
      </c>
      <c r="I2159" s="3" t="e">
        <f t="shared" si="261"/>
        <v>#N/A</v>
      </c>
      <c r="J2159" s="2">
        <v>0</v>
      </c>
      <c r="K2159" s="2">
        <v>0</v>
      </c>
      <c r="P2159" s="3">
        <f>E2159*(VLOOKUP(B2159,Price_data!A$1:B$190,2,FALSE))</f>
        <v>0</v>
      </c>
      <c r="Q2159" s="3" t="e">
        <f>G2159*(VLOOKUP(B2159,Price_data!A$1:B$190,2,FALSE))</f>
        <v>#N/A</v>
      </c>
      <c r="R2159" s="3" t="e">
        <f>I2159*(VLOOKUP(B2159,Price_data!A$1:B$190,2,FALSE))</f>
        <v>#N/A</v>
      </c>
      <c r="S2159" s="4" t="str">
        <f>(VLOOKUP(B2159,Price_data!A$1:C$190,3,FALSE))</f>
        <v>EEZ</v>
      </c>
      <c r="T2159" s="2" t="str">
        <f>IF(C2159="Total", (VLOOKUP(B2159,Recommended_fish_intake!A$4:D$122,4,FALSE)), "NA")</f>
        <v>NA</v>
      </c>
      <c r="U2159" s="2" t="str">
        <f t="shared" si="249"/>
        <v>NA</v>
      </c>
    </row>
    <row r="2160" spans="1:21" ht="14.25" customHeight="1">
      <c r="A2160" s="2" t="s">
        <v>40</v>
      </c>
      <c r="B2160" s="2">
        <v>1986</v>
      </c>
      <c r="C2160" s="2" t="s">
        <v>28</v>
      </c>
      <c r="D2160" s="3">
        <f t="shared" si="256"/>
        <v>5.609</v>
      </c>
      <c r="E2160" s="3">
        <f t="shared" si="257"/>
        <v>6.0869999999999997</v>
      </c>
      <c r="F2160" s="3" t="e">
        <f t="shared" si="258"/>
        <v>#N/A</v>
      </c>
      <c r="G2160" s="3" t="e">
        <f t="shared" si="259"/>
        <v>#N/A</v>
      </c>
      <c r="H2160" s="3" t="e">
        <f t="shared" si="260"/>
        <v>#N/A</v>
      </c>
      <c r="I2160" s="3" t="e">
        <f t="shared" si="261"/>
        <v>#N/A</v>
      </c>
      <c r="J2160" s="2">
        <v>5609</v>
      </c>
      <c r="K2160" s="2">
        <v>6087</v>
      </c>
      <c r="P2160" s="3">
        <f>E2160*(VLOOKUP(B2160,Price_data!A$1:B$190,2,FALSE))</f>
        <v>10.596648353282999</v>
      </c>
      <c r="Q2160" s="3" t="e">
        <f>G2160*(VLOOKUP(B2160,Price_data!A$1:B$190,2,FALSE))</f>
        <v>#N/A</v>
      </c>
      <c r="R2160" s="3" t="e">
        <f>I2160*(VLOOKUP(B2160,Price_data!A$1:B$190,2,FALSE))</f>
        <v>#N/A</v>
      </c>
      <c r="S2160" s="4" t="str">
        <f>(VLOOKUP(B2160,Price_data!A$1:C$190,3,FALSE))</f>
        <v>EEZ</v>
      </c>
      <c r="T2160" s="2" t="str">
        <f>IF(C2160="Total", (VLOOKUP(B2160,Recommended_fish_intake!A$4:D$122,4,FALSE)), "NA")</f>
        <v>NA</v>
      </c>
      <c r="U2160" s="2">
        <f t="shared" si="249"/>
        <v>1.5705200000000001</v>
      </c>
    </row>
    <row r="2161" spans="1:21" ht="14.25" customHeight="1">
      <c r="A2161" s="2" t="s">
        <v>15</v>
      </c>
      <c r="B2161" s="2">
        <v>1986</v>
      </c>
      <c r="C2161" s="2" t="s">
        <v>22</v>
      </c>
      <c r="D2161" s="3">
        <f t="shared" si="256"/>
        <v>76.569000000000003</v>
      </c>
      <c r="E2161" s="3">
        <f t="shared" si="257"/>
        <v>69.308000000000007</v>
      </c>
      <c r="F2161" s="3" t="e">
        <f t="shared" si="258"/>
        <v>#N/A</v>
      </c>
      <c r="G2161" s="3" t="e">
        <f t="shared" si="259"/>
        <v>#N/A</v>
      </c>
      <c r="H2161" s="3">
        <f t="shared" si="260"/>
        <v>137.935</v>
      </c>
      <c r="I2161" s="3">
        <f t="shared" si="261"/>
        <v>195.904</v>
      </c>
      <c r="J2161" s="2">
        <v>76569</v>
      </c>
      <c r="K2161" s="2">
        <v>69308</v>
      </c>
      <c r="N2161" s="2">
        <f>49978+74017+13521+419</f>
        <v>137935</v>
      </c>
      <c r="O2161" s="2">
        <f>41492+141967+11887+558</f>
        <v>195904</v>
      </c>
      <c r="P2161" s="3">
        <f>E2161*(VLOOKUP(B2161,Price_data!A$1:B$190,2,FALSE))</f>
        <v>120.65590669777201</v>
      </c>
      <c r="Q2161" s="3" t="e">
        <f>G2161*(VLOOKUP(B2161,Price_data!A$1:B$190,2,FALSE))</f>
        <v>#N/A</v>
      </c>
      <c r="R2161" s="3">
        <f>I2161*(VLOOKUP(B2161,Price_data!A$1:B$190,2,FALSE))</f>
        <v>341.04251667513603</v>
      </c>
      <c r="S2161" s="4" t="str">
        <f>(VLOOKUP(B2161,Price_data!A$1:C$190,3,FALSE))</f>
        <v>EEZ</v>
      </c>
      <c r="T2161" s="2" t="str">
        <f>IF(C2161="Total", (VLOOKUP(B2161,Recommended_fish_intake!A$4:D$122,4,FALSE)), "NA")</f>
        <v>NA</v>
      </c>
      <c r="U2161" s="2" t="str">
        <f t="shared" si="249"/>
        <v>NA</v>
      </c>
    </row>
    <row r="2162" spans="1:21" ht="14.25" customHeight="1">
      <c r="A2162" s="2" t="s">
        <v>15</v>
      </c>
      <c r="B2162" s="2">
        <v>1986</v>
      </c>
      <c r="C2162" s="2" t="s">
        <v>23</v>
      </c>
      <c r="D2162" s="3">
        <f t="shared" si="256"/>
        <v>131.05600000000001</v>
      </c>
      <c r="E2162" s="3">
        <f t="shared" si="257"/>
        <v>79.05</v>
      </c>
      <c r="F2162" s="3" t="e">
        <f t="shared" si="258"/>
        <v>#N/A</v>
      </c>
      <c r="G2162" s="3" t="e">
        <f t="shared" si="259"/>
        <v>#N/A</v>
      </c>
      <c r="H2162" s="3">
        <f t="shared" si="260"/>
        <v>21.678999999999998</v>
      </c>
      <c r="I2162" s="3">
        <f t="shared" si="261"/>
        <v>26.619</v>
      </c>
      <c r="J2162" s="2">
        <v>131056</v>
      </c>
      <c r="K2162" s="2">
        <v>79050</v>
      </c>
      <c r="N2162" s="2">
        <f>12674+7107+1898</f>
        <v>21679</v>
      </c>
      <c r="O2162" s="2">
        <f>11551+13528+1540</f>
        <v>26619</v>
      </c>
      <c r="P2162" s="3">
        <f>E2162*(VLOOKUP(B2162,Price_data!A$1:B$190,2,FALSE))</f>
        <v>137.61541848645001</v>
      </c>
      <c r="Q2162" s="3" t="e">
        <f>G2162*(VLOOKUP(B2162,Price_data!A$1:B$190,2,FALSE))</f>
        <v>#N/A</v>
      </c>
      <c r="R2162" s="3">
        <f>I2162*(VLOOKUP(B2162,Price_data!A$1:B$190,2,FALSE))</f>
        <v>46.340098984070998</v>
      </c>
      <c r="S2162" s="4" t="str">
        <f>(VLOOKUP(B2162,Price_data!A$1:C$190,3,FALSE))</f>
        <v>EEZ</v>
      </c>
      <c r="T2162" s="2" t="str">
        <f>IF(C2162="Total", (VLOOKUP(B2162,Recommended_fish_intake!A$4:D$122,4,FALSE)), "NA")</f>
        <v>NA</v>
      </c>
      <c r="U2162" s="2" t="str">
        <f t="shared" si="249"/>
        <v>NA</v>
      </c>
    </row>
    <row r="2163" spans="1:21" ht="14.25" customHeight="1">
      <c r="A2163" s="2" t="s">
        <v>15</v>
      </c>
      <c r="B2163" s="2">
        <v>1986</v>
      </c>
      <c r="C2163" s="2" t="s">
        <v>58</v>
      </c>
      <c r="D2163" s="3">
        <f t="shared" si="256"/>
        <v>7.7190000000000003</v>
      </c>
      <c r="E2163" s="3">
        <f t="shared" si="257"/>
        <v>12.448</v>
      </c>
      <c r="F2163" s="3" t="e">
        <f t="shared" si="258"/>
        <v>#N/A</v>
      </c>
      <c r="G2163" s="3" t="e">
        <f t="shared" si="259"/>
        <v>#N/A</v>
      </c>
      <c r="H2163" s="3" t="e">
        <f t="shared" si="260"/>
        <v>#N/A</v>
      </c>
      <c r="I2163" s="3" t="e">
        <f t="shared" si="261"/>
        <v>#N/A</v>
      </c>
      <c r="J2163" s="2">
        <v>7719</v>
      </c>
      <c r="K2163" s="2">
        <v>12448</v>
      </c>
      <c r="P2163" s="3">
        <f>E2163*(VLOOKUP(B2163,Price_data!A$1:B$190,2,FALSE))</f>
        <v>21.670293856032</v>
      </c>
      <c r="Q2163" s="3" t="e">
        <f>G2163*(VLOOKUP(B2163,Price_data!A$1:B$190,2,FALSE))</f>
        <v>#N/A</v>
      </c>
      <c r="R2163" s="3" t="e">
        <f>I2163*(VLOOKUP(B2163,Price_data!A$1:B$190,2,FALSE))</f>
        <v>#N/A</v>
      </c>
      <c r="S2163" s="4" t="str">
        <f>(VLOOKUP(B2163,Price_data!A$1:C$190,3,FALSE))</f>
        <v>EEZ</v>
      </c>
      <c r="T2163" s="2" t="str">
        <f>IF(C2163="Total", (VLOOKUP(B2163,Recommended_fish_intake!A$4:D$122,4,FALSE)), "NA")</f>
        <v>NA</v>
      </c>
      <c r="U2163" s="2" t="str">
        <f t="shared" si="249"/>
        <v>NA</v>
      </c>
    </row>
    <row r="2164" spans="1:21" ht="14.25" customHeight="1">
      <c r="A2164" s="2" t="s">
        <v>15</v>
      </c>
      <c r="B2164" s="2">
        <v>1986</v>
      </c>
      <c r="C2164" s="2" t="s">
        <v>25</v>
      </c>
      <c r="D2164" s="3">
        <f t="shared" si="256"/>
        <v>21.37</v>
      </c>
      <c r="E2164" s="3">
        <f t="shared" si="257"/>
        <v>16.047999999999998</v>
      </c>
      <c r="F2164" s="3" t="e">
        <f t="shared" si="258"/>
        <v>#N/A</v>
      </c>
      <c r="G2164" s="3" t="e">
        <f t="shared" si="259"/>
        <v>#N/A</v>
      </c>
      <c r="H2164" s="3">
        <f t="shared" si="260"/>
        <v>19.928000000000001</v>
      </c>
      <c r="I2164" s="3">
        <f t="shared" si="261"/>
        <v>20.460999999999999</v>
      </c>
      <c r="J2164" s="2">
        <v>21370</v>
      </c>
      <c r="K2164" s="2">
        <v>16048</v>
      </c>
      <c r="N2164" s="2">
        <f>16018+3006+904</f>
        <v>19928</v>
      </c>
      <c r="O2164" s="2">
        <f>13317+6480+664</f>
        <v>20461</v>
      </c>
      <c r="P2164" s="3">
        <f>E2164*(VLOOKUP(B2164,Price_data!A$1:B$190,2,FALSE))</f>
        <v>27.937409688431998</v>
      </c>
      <c r="Q2164" s="3" t="e">
        <f>G2164*(VLOOKUP(B2164,Price_data!A$1:B$190,2,FALSE))</f>
        <v>#N/A</v>
      </c>
      <c r="R2164" s="3">
        <f>I2164*(VLOOKUP(B2164,Price_data!A$1:B$190,2,FALSE))</f>
        <v>35.619849179648995</v>
      </c>
      <c r="S2164" s="4" t="str">
        <f>(VLOOKUP(B2164,Price_data!A$1:C$190,3,FALSE))</f>
        <v>EEZ</v>
      </c>
      <c r="T2164" s="2" t="str">
        <f>IF(C2164="Total", (VLOOKUP(B2164,Recommended_fish_intake!A$4:D$122,4,FALSE)), "NA")</f>
        <v>NA</v>
      </c>
      <c r="U2164" s="2" t="str">
        <f t="shared" si="249"/>
        <v>NA</v>
      </c>
    </row>
    <row r="2165" spans="1:21" ht="14.25" customHeight="1">
      <c r="A2165" s="2" t="s">
        <v>15</v>
      </c>
      <c r="B2165" s="2">
        <v>1986</v>
      </c>
      <c r="C2165" s="2" t="s">
        <v>24</v>
      </c>
      <c r="D2165" s="3">
        <f t="shared" si="256"/>
        <v>41.075000000000003</v>
      </c>
      <c r="E2165" s="3">
        <f t="shared" si="257"/>
        <v>18.463000000000001</v>
      </c>
      <c r="F2165" s="3" t="e">
        <f t="shared" si="258"/>
        <v>#N/A</v>
      </c>
      <c r="G2165" s="3" t="e">
        <f t="shared" si="259"/>
        <v>#N/A</v>
      </c>
      <c r="H2165" s="3" t="e">
        <f t="shared" si="260"/>
        <v>#N/A</v>
      </c>
      <c r="I2165" s="3" t="e">
        <f t="shared" si="261"/>
        <v>#N/A</v>
      </c>
      <c r="J2165" s="2">
        <v>41075</v>
      </c>
      <c r="K2165" s="2">
        <v>18463</v>
      </c>
      <c r="P2165" s="3">
        <f>E2165*(VLOOKUP(B2165,Price_data!A$1:B$190,2,FALSE))</f>
        <v>32.141599892667003</v>
      </c>
      <c r="Q2165" s="3" t="e">
        <f>G2165*(VLOOKUP(B2165,Price_data!A$1:B$190,2,FALSE))</f>
        <v>#N/A</v>
      </c>
      <c r="R2165" s="3" t="e">
        <f>I2165*(VLOOKUP(B2165,Price_data!A$1:B$190,2,FALSE))</f>
        <v>#N/A</v>
      </c>
      <c r="S2165" s="4" t="str">
        <f>(VLOOKUP(B2165,Price_data!A$1:C$190,3,FALSE))</f>
        <v>EEZ</v>
      </c>
      <c r="T2165" s="2" t="str">
        <f>IF(C2165="Total", (VLOOKUP(B2165,Recommended_fish_intake!A$4:D$122,4,FALSE)), "NA")</f>
        <v>NA</v>
      </c>
      <c r="U2165" s="2" t="str">
        <f t="shared" si="249"/>
        <v>NA</v>
      </c>
    </row>
    <row r="2166" spans="1:21" ht="14.25" customHeight="1">
      <c r="A2166" s="2" t="s">
        <v>15</v>
      </c>
      <c r="B2166" s="2">
        <v>1986</v>
      </c>
      <c r="C2166" s="2" t="s">
        <v>19</v>
      </c>
      <c r="D2166" s="3">
        <f t="shared" si="256"/>
        <v>106.119</v>
      </c>
      <c r="E2166" s="3">
        <f t="shared" si="257"/>
        <v>11.881</v>
      </c>
      <c r="F2166" s="3" t="e">
        <f t="shared" si="258"/>
        <v>#N/A</v>
      </c>
      <c r="G2166" s="3" t="e">
        <f t="shared" si="259"/>
        <v>#N/A</v>
      </c>
      <c r="H2166" s="3">
        <f t="shared" si="260"/>
        <v>13.98</v>
      </c>
      <c r="I2166" s="3">
        <f t="shared" si="261"/>
        <v>6.6760000000000002</v>
      </c>
      <c r="J2166" s="2">
        <v>106119</v>
      </c>
      <c r="K2166" s="2">
        <v>11881</v>
      </c>
      <c r="N2166" s="2">
        <f>6453+5185+825+1517</f>
        <v>13980</v>
      </c>
      <c r="O2166" s="2">
        <f>1521+2247+481+2427</f>
        <v>6676</v>
      </c>
      <c r="P2166" s="3">
        <f>E2166*(VLOOKUP(B2166,Price_data!A$1:B$190,2,FALSE))</f>
        <v>20.683223112429001</v>
      </c>
      <c r="Q2166" s="3" t="e">
        <f>G2166*(VLOOKUP(B2166,Price_data!A$1:B$190,2,FALSE))</f>
        <v>#N/A</v>
      </c>
      <c r="R2166" s="3">
        <f>I2166*(VLOOKUP(B2166,Price_data!A$1:B$190,2,FALSE))</f>
        <v>11.622018138084</v>
      </c>
      <c r="S2166" s="4" t="str">
        <f>(VLOOKUP(B2166,Price_data!A$1:C$190,3,FALSE))</f>
        <v>EEZ</v>
      </c>
      <c r="T2166" s="2" t="str">
        <f>IF(C2166="Total", (VLOOKUP(B2166,Recommended_fish_intake!A$4:D$122,4,FALSE)), "NA")</f>
        <v>NA</v>
      </c>
      <c r="U2166" s="2" t="str">
        <f t="shared" si="249"/>
        <v>NA</v>
      </c>
    </row>
    <row r="2167" spans="1:21" ht="14.25" customHeight="1">
      <c r="A2167" s="2" t="s">
        <v>15</v>
      </c>
      <c r="B2167" s="2">
        <v>1986</v>
      </c>
      <c r="C2167" s="2" t="s">
        <v>20</v>
      </c>
      <c r="D2167" s="3">
        <f t="shared" si="256"/>
        <v>132.09899999999999</v>
      </c>
      <c r="E2167" s="3">
        <f t="shared" si="257"/>
        <v>14.771000000000001</v>
      </c>
      <c r="F2167" s="3" t="e">
        <f t="shared" si="258"/>
        <v>#N/A</v>
      </c>
      <c r="G2167" s="3" t="e">
        <f t="shared" si="259"/>
        <v>#N/A</v>
      </c>
      <c r="H2167" s="3">
        <f t="shared" si="260"/>
        <v>2.5179999999999998</v>
      </c>
      <c r="I2167" s="3">
        <f t="shared" si="261"/>
        <v>3.6160000000000001</v>
      </c>
      <c r="J2167" s="2">
        <v>132099</v>
      </c>
      <c r="K2167" s="2">
        <v>14771</v>
      </c>
      <c r="N2167" s="2">
        <v>2518</v>
      </c>
      <c r="O2167" s="2">
        <v>3616</v>
      </c>
      <c r="P2167" s="3">
        <f>E2167*(VLOOKUP(B2167,Price_data!A$1:B$190,2,FALSE))</f>
        <v>25.714324433439003</v>
      </c>
      <c r="Q2167" s="3" t="e">
        <f>G2167*(VLOOKUP(B2167,Price_data!A$1:B$190,2,FALSE))</f>
        <v>#N/A</v>
      </c>
      <c r="R2167" s="3">
        <f>I2167*(VLOOKUP(B2167,Price_data!A$1:B$190,2,FALSE))</f>
        <v>6.2949696805439999</v>
      </c>
      <c r="S2167" s="4" t="str">
        <f>(VLOOKUP(B2167,Price_data!A$1:C$190,3,FALSE))</f>
        <v>EEZ</v>
      </c>
      <c r="T2167" s="2" t="str">
        <f>IF(C2167="Total", (VLOOKUP(B2167,Recommended_fish_intake!A$4:D$122,4,FALSE)), "NA")</f>
        <v>NA</v>
      </c>
      <c r="U2167" s="2" t="str">
        <f t="shared" si="249"/>
        <v>NA</v>
      </c>
    </row>
    <row r="2168" spans="1:21" ht="14.25" customHeight="1">
      <c r="A2168" s="2" t="s">
        <v>15</v>
      </c>
      <c r="B2168" s="2">
        <v>1986</v>
      </c>
      <c r="C2168" s="2" t="s">
        <v>37</v>
      </c>
      <c r="D2168" s="3">
        <f t="shared" si="256"/>
        <v>629.88199999999995</v>
      </c>
      <c r="E2168" s="3">
        <f t="shared" si="257"/>
        <v>284.43700000000001</v>
      </c>
      <c r="F2168" s="3">
        <f t="shared" si="258"/>
        <v>294.70999999999998</v>
      </c>
      <c r="G2168" s="3">
        <f t="shared" si="259"/>
        <v>189.803</v>
      </c>
      <c r="H2168" s="3">
        <f t="shared" si="260"/>
        <v>360.86599999999999</v>
      </c>
      <c r="I2168" s="3">
        <f t="shared" si="261"/>
        <v>543.53499999999997</v>
      </c>
      <c r="J2168" s="2">
        <v>629882</v>
      </c>
      <c r="K2168" s="2">
        <v>284437</v>
      </c>
      <c r="L2168" s="2">
        <v>294710</v>
      </c>
      <c r="M2168" s="2">
        <v>189803</v>
      </c>
      <c r="N2168" s="2">
        <v>360866</v>
      </c>
      <c r="O2168" s="2">
        <v>543535</v>
      </c>
      <c r="P2168" s="3">
        <f>E2168*(VLOOKUP(B2168,Price_data!A$1:B$190,2,FALSE))</f>
        <v>495.16656278343305</v>
      </c>
      <c r="Q2168" s="3">
        <f>G2168*(VLOOKUP(B2168,Price_data!A$1:B$190,2,FALSE))</f>
        <v>330.42149620472702</v>
      </c>
      <c r="R2168" s="3">
        <f>I2168*(VLOOKUP(B2168,Price_data!A$1:B$190,2,FALSE))</f>
        <v>946.22133443431494</v>
      </c>
      <c r="S2168" s="4" t="str">
        <f>(VLOOKUP(B2168,Price_data!A$1:C$190,3,FALSE))</f>
        <v>EEZ</v>
      </c>
      <c r="T2168" s="2" t="str">
        <f>IF(C2168="Total", (VLOOKUP(B2168,Recommended_fish_intake!A$4:D$122,4,FALSE)), "NA")</f>
        <v>NA</v>
      </c>
      <c r="U2168" s="2">
        <f t="shared" si="249"/>
        <v>308.64218</v>
      </c>
    </row>
    <row r="2169" spans="1:21" ht="14.25" customHeight="1">
      <c r="A2169" s="2" t="s">
        <v>15</v>
      </c>
      <c r="B2169" s="2">
        <v>1986</v>
      </c>
      <c r="C2169" s="2" t="s">
        <v>36</v>
      </c>
      <c r="D2169" s="3">
        <f t="shared" si="256"/>
        <v>12.798</v>
      </c>
      <c r="E2169" s="3">
        <f t="shared" si="257"/>
        <v>9.7409999999999997</v>
      </c>
      <c r="F2169" s="3" t="e">
        <f t="shared" si="258"/>
        <v>#N/A</v>
      </c>
      <c r="G2169" s="3" t="e">
        <f t="shared" si="259"/>
        <v>#N/A</v>
      </c>
      <c r="H2169" s="3">
        <f t="shared" si="260"/>
        <v>1.4870000000000001</v>
      </c>
      <c r="I2169" s="3">
        <f t="shared" si="261"/>
        <v>7.883</v>
      </c>
      <c r="J2169" s="2">
        <v>12798</v>
      </c>
      <c r="K2169" s="2">
        <v>9741</v>
      </c>
      <c r="N2169" s="2">
        <v>1487</v>
      </c>
      <c r="O2169" s="2">
        <v>7883</v>
      </c>
      <c r="P2169" s="3">
        <f>E2169*(VLOOKUP(B2169,Price_data!A$1:B$190,2,FALSE))</f>
        <v>16.957770923169001</v>
      </c>
      <c r="Q2169" s="3" t="e">
        <f>G2169*(VLOOKUP(B2169,Price_data!A$1:B$190,2,FALSE))</f>
        <v>#N/A</v>
      </c>
      <c r="R2169" s="3">
        <f>I2169*(VLOOKUP(B2169,Price_data!A$1:B$190,2,FALSE))</f>
        <v>13.723242807447001</v>
      </c>
      <c r="S2169" s="4" t="str">
        <f>(VLOOKUP(B2169,Price_data!A$1:C$190,3,FALSE))</f>
        <v>EEZ</v>
      </c>
      <c r="T2169" s="2" t="str">
        <f>IF(C2169="Total", (VLOOKUP(B2169,Recommended_fish_intake!A$4:D$122,4,FALSE)), "NA")</f>
        <v>NA</v>
      </c>
      <c r="U2169" s="2" t="str">
        <f t="shared" si="249"/>
        <v>NA</v>
      </c>
    </row>
    <row r="2170" spans="1:21" ht="14.25" customHeight="1">
      <c r="A2170" s="2" t="s">
        <v>15</v>
      </c>
      <c r="B2170" s="2">
        <v>1986</v>
      </c>
      <c r="C2170" s="2" t="s">
        <v>34</v>
      </c>
      <c r="D2170" s="3">
        <f t="shared" si="256"/>
        <v>1.0489999999999999</v>
      </c>
      <c r="E2170" s="3">
        <f t="shared" si="257"/>
        <v>7.9509999999999996</v>
      </c>
      <c r="F2170" s="3" t="e">
        <f t="shared" si="258"/>
        <v>#N/A</v>
      </c>
      <c r="G2170" s="3" t="e">
        <f t="shared" si="259"/>
        <v>#N/A</v>
      </c>
      <c r="H2170" s="3" t="e">
        <f t="shared" si="260"/>
        <v>#N/A</v>
      </c>
      <c r="I2170" s="3" t="e">
        <f t="shared" si="261"/>
        <v>#N/A</v>
      </c>
      <c r="J2170" s="2">
        <v>1049</v>
      </c>
      <c r="K2170" s="2">
        <v>7951</v>
      </c>
      <c r="P2170" s="3">
        <f>E2170*(VLOOKUP(B2170,Price_data!A$1:B$190,2,FALSE))</f>
        <v>13.841621662059</v>
      </c>
      <c r="Q2170" s="3" t="e">
        <f>G2170*(VLOOKUP(B2170,Price_data!A$1:B$190,2,FALSE))</f>
        <v>#N/A</v>
      </c>
      <c r="R2170" s="3" t="e">
        <f>I2170*(VLOOKUP(B2170,Price_data!A$1:B$190,2,FALSE))</f>
        <v>#N/A</v>
      </c>
      <c r="S2170" s="4" t="str">
        <f>(VLOOKUP(B2170,Price_data!A$1:C$190,3,FALSE))</f>
        <v>EEZ</v>
      </c>
      <c r="T2170" s="2" t="str">
        <f>IF(C2170="Total", (VLOOKUP(B2170,Recommended_fish_intake!A$4:D$122,4,FALSE)), "NA")</f>
        <v>NA</v>
      </c>
      <c r="U2170" s="2" t="str">
        <f t="shared" si="249"/>
        <v>NA</v>
      </c>
    </row>
    <row r="2171" spans="1:21" ht="14.25" customHeight="1">
      <c r="A2171" s="2" t="s">
        <v>15</v>
      </c>
      <c r="B2171" s="2">
        <v>1986</v>
      </c>
      <c r="C2171" s="2" t="s">
        <v>35</v>
      </c>
      <c r="D2171" s="3">
        <f t="shared" si="256"/>
        <v>25.384</v>
      </c>
      <c r="E2171" s="3">
        <f t="shared" si="257"/>
        <v>39.119</v>
      </c>
      <c r="F2171" s="3" t="e">
        <f t="shared" si="258"/>
        <v>#N/A</v>
      </c>
      <c r="G2171" s="3" t="e">
        <f t="shared" si="259"/>
        <v>#N/A</v>
      </c>
      <c r="H2171" s="3" t="e">
        <f t="shared" si="260"/>
        <v>#N/A</v>
      </c>
      <c r="I2171" s="3" t="e">
        <f t="shared" si="261"/>
        <v>#N/A</v>
      </c>
      <c r="J2171" s="2">
        <v>25384</v>
      </c>
      <c r="K2171" s="2">
        <v>39119</v>
      </c>
      <c r="P2171" s="3">
        <f>E2171*(VLOOKUP(B2171,Price_data!A$1:B$190,2,FALSE))</f>
        <v>68.100917846571008</v>
      </c>
      <c r="Q2171" s="3" t="e">
        <f>G2171*(VLOOKUP(B2171,Price_data!A$1:B$190,2,FALSE))</f>
        <v>#N/A</v>
      </c>
      <c r="R2171" s="3" t="e">
        <f>I2171*(VLOOKUP(B2171,Price_data!A$1:B$190,2,FALSE))</f>
        <v>#N/A</v>
      </c>
      <c r="S2171" s="4" t="str">
        <f>(VLOOKUP(B2171,Price_data!A$1:C$190,3,FALSE))</f>
        <v>EEZ</v>
      </c>
      <c r="T2171" s="2" t="str">
        <f>IF(C2171="Total", (VLOOKUP(B2171,Recommended_fish_intake!A$4:D$122,4,FALSE)), "NA")</f>
        <v>NA</v>
      </c>
      <c r="U2171" s="2" t="str">
        <f t="shared" si="249"/>
        <v>NA</v>
      </c>
    </row>
    <row r="2172" spans="1:21" ht="14.25" customHeight="1">
      <c r="A2172" s="2" t="s">
        <v>15</v>
      </c>
      <c r="B2172" s="2">
        <v>1986</v>
      </c>
      <c r="C2172" s="2" t="s">
        <v>52</v>
      </c>
      <c r="D2172" s="3">
        <f t="shared" si="256"/>
        <v>6.7359999999999998</v>
      </c>
      <c r="E2172" s="3">
        <f t="shared" si="257"/>
        <v>9.4049999999999994</v>
      </c>
      <c r="F2172" s="3" t="e">
        <f t="shared" si="258"/>
        <v>#N/A</v>
      </c>
      <c r="G2172" s="3" t="e">
        <f t="shared" si="259"/>
        <v>#N/A</v>
      </c>
      <c r="H2172" s="3" t="e">
        <f t="shared" si="260"/>
        <v>#N/A</v>
      </c>
      <c r="I2172" s="3" t="e">
        <f t="shared" si="261"/>
        <v>#N/A</v>
      </c>
      <c r="J2172" s="2">
        <v>6736</v>
      </c>
      <c r="K2172" s="2">
        <v>9405</v>
      </c>
      <c r="P2172" s="3">
        <f>E2172*(VLOOKUP(B2172,Price_data!A$1:B$190,2,FALSE))</f>
        <v>16.372840112144999</v>
      </c>
      <c r="Q2172" s="3" t="e">
        <f>G2172*(VLOOKUP(B2172,Price_data!A$1:B$190,2,FALSE))</f>
        <v>#N/A</v>
      </c>
      <c r="R2172" s="3" t="e">
        <f>I2172*(VLOOKUP(B2172,Price_data!A$1:B$190,2,FALSE))</f>
        <v>#N/A</v>
      </c>
      <c r="S2172" s="4" t="str">
        <f>(VLOOKUP(B2172,Price_data!A$1:C$190,3,FALSE))</f>
        <v>EEZ</v>
      </c>
      <c r="T2172" s="2" t="str">
        <f>IF(C2172="Total", (VLOOKUP(B2172,Recommended_fish_intake!A$4:D$122,4,FALSE)), "NA")</f>
        <v>NA</v>
      </c>
      <c r="U2172" s="2" t="str">
        <f t="shared" si="249"/>
        <v>NA</v>
      </c>
    </row>
    <row r="2173" spans="1:21" ht="14.25" customHeight="1">
      <c r="A2173" s="2" t="s">
        <v>15</v>
      </c>
      <c r="B2173" s="2">
        <v>1986</v>
      </c>
      <c r="C2173" s="2" t="s">
        <v>30</v>
      </c>
      <c r="D2173" s="3">
        <f t="shared" si="256"/>
        <v>1.2929999999999999</v>
      </c>
      <c r="E2173" s="3">
        <f t="shared" si="257"/>
        <v>1.139</v>
      </c>
      <c r="F2173" s="3" t="e">
        <f t="shared" si="258"/>
        <v>#N/A</v>
      </c>
      <c r="G2173" s="3" t="e">
        <f t="shared" si="259"/>
        <v>#N/A</v>
      </c>
      <c r="H2173" s="3">
        <f t="shared" si="260"/>
        <v>24.681999999999999</v>
      </c>
      <c r="I2173" s="3">
        <f t="shared" si="261"/>
        <v>87.418000000000006</v>
      </c>
      <c r="J2173" s="2">
        <v>1293</v>
      </c>
      <c r="K2173" s="2">
        <v>1139</v>
      </c>
      <c r="N2173" s="2">
        <f>6861+17821</f>
        <v>24682</v>
      </c>
      <c r="O2173" s="2">
        <f>21305+66113</f>
        <v>87418</v>
      </c>
      <c r="P2173" s="3">
        <f>E2173*(VLOOKUP(B2173,Price_data!A$1:B$190,2,FALSE))</f>
        <v>1.982845814751</v>
      </c>
      <c r="Q2173" s="3" t="e">
        <f>G2173*(VLOOKUP(B2173,Price_data!A$1:B$190,2,FALSE))</f>
        <v>#N/A</v>
      </c>
      <c r="R2173" s="3">
        <f>I2173*(VLOOKUP(B2173,Price_data!A$1:B$190,2,FALSE))</f>
        <v>152.18298106576202</v>
      </c>
      <c r="S2173" s="4" t="str">
        <f>(VLOOKUP(B2173,Price_data!A$1:C$190,3,FALSE))</f>
        <v>EEZ</v>
      </c>
      <c r="T2173" s="2" t="str">
        <f>IF(C2173="Total", (VLOOKUP(B2173,Recommended_fish_intake!A$4:D$122,4,FALSE)), "NA")</f>
        <v>NA</v>
      </c>
      <c r="U2173" s="2" t="str">
        <f t="shared" si="249"/>
        <v>NA</v>
      </c>
    </row>
    <row r="2174" spans="1:21" ht="14.25" customHeight="1">
      <c r="A2174" s="2" t="s">
        <v>15</v>
      </c>
      <c r="B2174" s="2">
        <v>1986</v>
      </c>
      <c r="C2174" s="2" t="s">
        <v>28</v>
      </c>
      <c r="D2174" s="3">
        <f t="shared" si="256"/>
        <v>87.823999999999998</v>
      </c>
      <c r="E2174" s="3">
        <f t="shared" si="257"/>
        <v>77.947000000000003</v>
      </c>
      <c r="F2174" s="3">
        <f t="shared" si="258"/>
        <v>44.301000000000002</v>
      </c>
      <c r="G2174" s="3">
        <f t="shared" si="259"/>
        <v>133.53299999999999</v>
      </c>
      <c r="H2174" s="3">
        <f t="shared" si="260"/>
        <v>50.381999999999998</v>
      </c>
      <c r="I2174" s="3">
        <f t="shared" si="261"/>
        <v>200.267</v>
      </c>
      <c r="J2174" s="2">
        <v>87824</v>
      </c>
      <c r="K2174" s="2">
        <v>77947</v>
      </c>
      <c r="L2174" s="2">
        <v>44301</v>
      </c>
      <c r="M2174" s="2">
        <v>133533</v>
      </c>
      <c r="N2174" s="2">
        <v>50382</v>
      </c>
      <c r="O2174" s="2">
        <v>200267</v>
      </c>
      <c r="P2174" s="3">
        <f>E2174*(VLOOKUP(B2174,Price_data!A$1:B$190,2,FALSE))</f>
        <v>135.695243830023</v>
      </c>
      <c r="Q2174" s="3">
        <f>G2174*(VLOOKUP(B2174,Price_data!A$1:B$190,2,FALSE))</f>
        <v>232.46299401329699</v>
      </c>
      <c r="R2174" s="3">
        <f>I2174*(VLOOKUP(B2174,Price_data!A$1:B$190,2,FALSE))</f>
        <v>348.63791289090301</v>
      </c>
      <c r="S2174" s="4" t="str">
        <f>(VLOOKUP(B2174,Price_data!A$1:C$190,3,FALSE))</f>
        <v>EEZ</v>
      </c>
      <c r="T2174" s="2" t="str">
        <f>IF(C2174="Total", (VLOOKUP(B2174,Recommended_fish_intake!A$4:D$122,4,FALSE)), "NA")</f>
        <v>NA</v>
      </c>
      <c r="U2174" s="2">
        <f t="shared" si="249"/>
        <v>24.590720000000001</v>
      </c>
    </row>
    <row r="2175" spans="1:21" ht="14.25" customHeight="1">
      <c r="A2175" s="2" t="s">
        <v>18</v>
      </c>
      <c r="B2175" s="2">
        <v>1986</v>
      </c>
      <c r="C2175" s="2" t="s">
        <v>16</v>
      </c>
      <c r="D2175" s="3">
        <f t="shared" si="256"/>
        <v>145.935</v>
      </c>
      <c r="E2175" s="3">
        <f t="shared" si="257"/>
        <v>114.61</v>
      </c>
      <c r="F2175" s="3" t="e">
        <f t="shared" si="258"/>
        <v>#N/A</v>
      </c>
      <c r="G2175" s="3" t="e">
        <f t="shared" si="259"/>
        <v>#N/A</v>
      </c>
      <c r="H2175" s="3" t="e">
        <f t="shared" si="260"/>
        <v>#N/A</v>
      </c>
      <c r="I2175" s="3" t="e">
        <f t="shared" si="261"/>
        <v>#N/A</v>
      </c>
      <c r="J2175" s="2">
        <v>145935</v>
      </c>
      <c r="K2175" s="2">
        <v>114610</v>
      </c>
      <c r="P2175" s="3">
        <f>E2175*(VLOOKUP(B2175,Price_data!A$1:B$190,2,FALSE))</f>
        <v>199.52059598649001</v>
      </c>
      <c r="Q2175" s="3" t="e">
        <f>G2175*(VLOOKUP(B2175,Price_data!A$1:B$190,2,FALSE))</f>
        <v>#N/A</v>
      </c>
      <c r="R2175" s="3" t="e">
        <f>I2175*(VLOOKUP(B2175,Price_data!A$1:B$190,2,FALSE))</f>
        <v>#N/A</v>
      </c>
      <c r="S2175" s="4" t="str">
        <f>(VLOOKUP(B2175,Price_data!A$1:C$190,3,FALSE))</f>
        <v>EEZ</v>
      </c>
      <c r="T2175" s="2">
        <f>IF(C2175="Total", (VLOOKUP(B2175,Recommended_fish_intake!A$4:D$122,4,FALSE)), "NA")</f>
        <v>748.90915400028007</v>
      </c>
      <c r="U2175" s="2" t="str">
        <f t="shared" si="249"/>
        <v>NA</v>
      </c>
    </row>
    <row r="2176" spans="1:21" ht="14.25" customHeight="1">
      <c r="A2176" s="2" t="s">
        <v>39</v>
      </c>
      <c r="B2176" s="2">
        <v>1986</v>
      </c>
      <c r="C2176" s="2" t="s">
        <v>16</v>
      </c>
      <c r="D2176" s="3">
        <f t="shared" si="256"/>
        <v>551.29</v>
      </c>
      <c r="E2176" s="3">
        <f t="shared" si="257"/>
        <v>234.45</v>
      </c>
      <c r="F2176" s="3" t="e">
        <f t="shared" si="258"/>
        <v>#N/A</v>
      </c>
      <c r="G2176" s="3" t="e">
        <f t="shared" si="259"/>
        <v>#N/A</v>
      </c>
      <c r="H2176" s="3" t="e">
        <f t="shared" si="260"/>
        <v>#N/A</v>
      </c>
      <c r="I2176" s="3" t="e">
        <f t="shared" si="261"/>
        <v>#N/A</v>
      </c>
      <c r="J2176" s="2">
        <v>551290</v>
      </c>
      <c r="K2176" s="2">
        <v>234450</v>
      </c>
      <c r="P2176" s="3">
        <f>E2176*(VLOOKUP(B2176,Price_data!A$1:B$190,2,FALSE))</f>
        <v>408.14591858504997</v>
      </c>
      <c r="Q2176" s="3" t="e">
        <f>G2176*(VLOOKUP(B2176,Price_data!A$1:B$190,2,FALSE))</f>
        <v>#N/A</v>
      </c>
      <c r="R2176" s="3" t="e">
        <f>I2176*(VLOOKUP(B2176,Price_data!A$1:B$190,2,FALSE))</f>
        <v>#N/A</v>
      </c>
      <c r="S2176" s="4" t="str">
        <f>(VLOOKUP(B2176,Price_data!A$1:C$190,3,FALSE))</f>
        <v>EEZ</v>
      </c>
      <c r="T2176" s="2">
        <f>IF(C2176="Total", (VLOOKUP(B2176,Recommended_fish_intake!A$4:D$122,4,FALSE)), "NA")</f>
        <v>748.90915400028007</v>
      </c>
      <c r="U2176" s="2" t="str">
        <f t="shared" si="249"/>
        <v>NA</v>
      </c>
    </row>
    <row r="2177" spans="1:21" ht="14.25" customHeight="1">
      <c r="A2177" s="2" t="s">
        <v>40</v>
      </c>
      <c r="B2177" s="2">
        <v>1986</v>
      </c>
      <c r="C2177" s="2" t="s">
        <v>16</v>
      </c>
      <c r="D2177" s="3">
        <f t="shared" si="256"/>
        <v>20.481000000000002</v>
      </c>
      <c r="E2177" s="3">
        <f t="shared" si="257"/>
        <v>13.324</v>
      </c>
      <c r="F2177" s="3" t="e">
        <f t="shared" si="258"/>
        <v>#N/A</v>
      </c>
      <c r="G2177" s="3" t="e">
        <f t="shared" si="259"/>
        <v>#N/A</v>
      </c>
      <c r="H2177" s="3" t="e">
        <f t="shared" si="260"/>
        <v>#N/A</v>
      </c>
      <c r="I2177" s="3" t="e">
        <f t="shared" si="261"/>
        <v>#N/A</v>
      </c>
      <c r="J2177" s="2">
        <v>20481</v>
      </c>
      <c r="K2177" s="2">
        <v>13324</v>
      </c>
      <c r="P2177" s="3">
        <f>E2177*(VLOOKUP(B2177,Price_data!A$1:B$190,2,FALSE))</f>
        <v>23.195292041916002</v>
      </c>
      <c r="Q2177" s="3" t="e">
        <f>G2177*(VLOOKUP(B2177,Price_data!A$1:B$190,2,FALSE))</f>
        <v>#N/A</v>
      </c>
      <c r="R2177" s="3" t="e">
        <f>I2177*(VLOOKUP(B2177,Price_data!A$1:B$190,2,FALSE))</f>
        <v>#N/A</v>
      </c>
      <c r="S2177" s="4" t="str">
        <f>(VLOOKUP(B2177,Price_data!A$1:C$190,3,FALSE))</f>
        <v>EEZ</v>
      </c>
      <c r="T2177" s="2">
        <f>IF(C2177="Total", (VLOOKUP(B2177,Recommended_fish_intake!A$4:D$122,4,FALSE)), "NA")</f>
        <v>748.90915400028007</v>
      </c>
      <c r="U2177" s="2" t="str">
        <f t="shared" si="249"/>
        <v>NA</v>
      </c>
    </row>
    <row r="2178" spans="1:21" ht="14.25" customHeight="1">
      <c r="A2178" s="2" t="s">
        <v>15</v>
      </c>
      <c r="B2178" s="2">
        <v>1986</v>
      </c>
      <c r="C2178" s="2" t="s">
        <v>16</v>
      </c>
      <c r="D2178" s="3">
        <f t="shared" si="256"/>
        <v>717.70600000000002</v>
      </c>
      <c r="E2178" s="3">
        <f t="shared" si="257"/>
        <v>362.38400000000001</v>
      </c>
      <c r="F2178" s="3">
        <f t="shared" si="258"/>
        <v>339.01299999999998</v>
      </c>
      <c r="G2178" s="3">
        <f t="shared" si="259"/>
        <v>323.33600000000001</v>
      </c>
      <c r="H2178" s="3">
        <f t="shared" si="260"/>
        <v>411.24799999999999</v>
      </c>
      <c r="I2178" s="3">
        <f t="shared" si="261"/>
        <v>743.80200000000002</v>
      </c>
      <c r="J2178" s="2">
        <v>717706</v>
      </c>
      <c r="K2178" s="2">
        <v>362384</v>
      </c>
      <c r="L2178" s="2">
        <v>339013</v>
      </c>
      <c r="M2178" s="2">
        <v>323336</v>
      </c>
      <c r="N2178" s="2">
        <v>411248</v>
      </c>
      <c r="O2178" s="2">
        <v>743802</v>
      </c>
      <c r="P2178" s="3">
        <f>E2178*(VLOOKUP(B2178,Price_data!A$1:B$190,2,FALSE))</f>
        <v>630.861806613456</v>
      </c>
      <c r="Q2178" s="3">
        <f>G2178*(VLOOKUP(B2178,Price_data!A$1:B$190,2,FALSE))</f>
        <v>562.88449021802398</v>
      </c>
      <c r="R2178" s="3">
        <f>I2178*(VLOOKUP(B2178,Price_data!A$1:B$190,2,FALSE))</f>
        <v>1294.8592473252181</v>
      </c>
      <c r="S2178" s="4" t="str">
        <f>(VLOOKUP(B2178,Price_data!A$1:C$190,3,FALSE))</f>
        <v>EEZ</v>
      </c>
      <c r="T2178" s="2">
        <f>IF(C2178="Total", (VLOOKUP(B2178,Recommended_fish_intake!A$4:D$122,4,FALSE)), "NA")</f>
        <v>748.90915400028007</v>
      </c>
      <c r="U2178" s="2" t="str">
        <f t="shared" ref="U2178:U2241" si="262">IF(C2178="Wet fish", D2178*0.49, IF(C2178="Shellfish", D2178*0.28, "NA"))</f>
        <v>NA</v>
      </c>
    </row>
    <row r="2179" spans="1:21" ht="14.25" customHeight="1">
      <c r="A2179" s="2" t="s">
        <v>15</v>
      </c>
      <c r="B2179" s="2">
        <v>1986</v>
      </c>
      <c r="C2179" s="2" t="s">
        <v>21</v>
      </c>
      <c r="D2179" s="3">
        <v>5.8380000000000001</v>
      </c>
      <c r="E2179" s="3">
        <v>0.54700000000000004</v>
      </c>
      <c r="F2179" s="2" t="s">
        <v>92</v>
      </c>
      <c r="G2179" s="2" t="s">
        <v>92</v>
      </c>
      <c r="H2179" s="2" t="s">
        <v>92</v>
      </c>
      <c r="I2179" s="2" t="s">
        <v>92</v>
      </c>
      <c r="P2179" s="3">
        <f>E2179*(VLOOKUP(B2179,Price_data!A$1:B$190,2,FALSE))</f>
        <v>0.95225343342300006</v>
      </c>
      <c r="Q2179" s="3" t="e">
        <f>G2179*(VLOOKUP(B2179,Price_data!A$1:B$190,2,FALSE))</f>
        <v>#VALUE!</v>
      </c>
      <c r="R2179" s="3" t="e">
        <f>I2179*(VLOOKUP(B2179,Price_data!A$1:B$190,2,FALSE))</f>
        <v>#VALUE!</v>
      </c>
      <c r="S2179" s="4" t="str">
        <f>(VLOOKUP(B2179,Price_data!A$1:C$190,3,FALSE))</f>
        <v>EEZ</v>
      </c>
      <c r="T2179" s="2" t="str">
        <f>IF(C2179="Total", (VLOOKUP(B2179,Recommended_fish_intake!A$4:D$122,4,FALSE)), "NA")</f>
        <v>NA</v>
      </c>
      <c r="U2179" s="2" t="str">
        <f t="shared" si="262"/>
        <v>NA</v>
      </c>
    </row>
    <row r="2180" spans="1:21" ht="14.25" customHeight="1">
      <c r="A2180" s="2" t="s">
        <v>15</v>
      </c>
      <c r="B2180" s="2">
        <v>1986</v>
      </c>
      <c r="C2180" s="2" t="s">
        <v>29</v>
      </c>
      <c r="D2180" s="3" t="e">
        <f t="shared" ref="D2180:D2211" si="263">J2180/1000</f>
        <v>#N/A</v>
      </c>
      <c r="E2180" s="3" t="e">
        <f t="shared" ref="E2180:E2211" si="264">K2180/1000</f>
        <v>#N/A</v>
      </c>
      <c r="F2180" s="3" t="e">
        <f t="shared" ref="F2180:F2211" si="265">IF(L2180="", NA(), L2180/1000)</f>
        <v>#N/A</v>
      </c>
      <c r="G2180" s="3" t="e">
        <f t="shared" ref="G2180:G2211" si="266">IF(M2180="", NA(), M2180/1000)</f>
        <v>#N/A</v>
      </c>
      <c r="H2180" s="3">
        <f t="shared" ref="H2180:H2211" si="267">IF(N2180="", NA(), N2180/1000)</f>
        <v>34.536000000000001</v>
      </c>
      <c r="I2180" s="3">
        <f t="shared" ref="I2180:I2211" si="268">IF(O2180="", NA(), O2180/1000)</f>
        <v>116.07</v>
      </c>
      <c r="J2180" s="3" t="e">
        <v>#N/A</v>
      </c>
      <c r="K2180" s="3" t="e">
        <v>#N/A</v>
      </c>
      <c r="L2180" s="3" t="e">
        <v>#N/A</v>
      </c>
      <c r="M2180" s="3" t="e">
        <v>#N/A</v>
      </c>
      <c r="N2180" s="2">
        <f>1849+4942+27745</f>
        <v>34536</v>
      </c>
      <c r="O2180" s="2">
        <f>7824+12150+96096</f>
        <v>116070</v>
      </c>
      <c r="P2180" s="3" t="e">
        <f>E2180*(VLOOKUP(B2180,Price_data!A$1:B$190,2,FALSE))</f>
        <v>#N/A</v>
      </c>
      <c r="Q2180" s="3" t="e">
        <f>G2180*(VLOOKUP(B2180,Price_data!A$1:B$190,2,FALSE))</f>
        <v>#N/A</v>
      </c>
      <c r="R2180" s="3">
        <f>I2180*(VLOOKUP(B2180,Price_data!A$1:B$190,2,FALSE))</f>
        <v>202.06225962963001</v>
      </c>
      <c r="S2180" s="4" t="str">
        <f>(VLOOKUP(B2180,Price_data!A$1:C$190,3,FALSE))</f>
        <v>EEZ</v>
      </c>
      <c r="T2180" s="2" t="str">
        <f>IF(C2180="Total", (VLOOKUP(B2180,Recommended_fish_intake!A$4:D$122,4,FALSE)), "NA")</f>
        <v>NA</v>
      </c>
      <c r="U2180" s="2" t="str">
        <f t="shared" si="262"/>
        <v>NA</v>
      </c>
    </row>
    <row r="2181" spans="1:21" ht="14.25" customHeight="1">
      <c r="A2181" s="2" t="s">
        <v>15</v>
      </c>
      <c r="B2181" s="2">
        <v>1986</v>
      </c>
      <c r="C2181" s="2" t="s">
        <v>43</v>
      </c>
      <c r="D2181" s="3" t="e">
        <f t="shared" si="263"/>
        <v>#N/A</v>
      </c>
      <c r="E2181" s="3" t="e">
        <f t="shared" si="264"/>
        <v>#N/A</v>
      </c>
      <c r="F2181" s="3" t="e">
        <f t="shared" si="265"/>
        <v>#N/A</v>
      </c>
      <c r="G2181" s="3" t="e">
        <f t="shared" si="266"/>
        <v>#N/A</v>
      </c>
      <c r="H2181" s="3">
        <f t="shared" si="267"/>
        <v>36.517000000000003</v>
      </c>
      <c r="I2181" s="3">
        <f t="shared" si="268"/>
        <v>61.103999999999999</v>
      </c>
      <c r="J2181" s="3" t="e">
        <v>#N/A</v>
      </c>
      <c r="K2181" s="3" t="e">
        <v>#N/A</v>
      </c>
      <c r="L2181" s="3" t="e">
        <v>#N/A</v>
      </c>
      <c r="M2181" s="3" t="e">
        <v>#N/A</v>
      </c>
      <c r="N2181" s="2">
        <v>36517</v>
      </c>
      <c r="O2181" s="2">
        <v>61104</v>
      </c>
      <c r="P2181" s="3" t="e">
        <f>E2181*(VLOOKUP(B2181,Price_data!A$1:B$190,2,FALSE))</f>
        <v>#N/A</v>
      </c>
      <c r="Q2181" s="3" t="e">
        <f>G2181*(VLOOKUP(B2181,Price_data!A$1:B$190,2,FALSE))</f>
        <v>#N/A</v>
      </c>
      <c r="R2181" s="3">
        <f>I2181*(VLOOKUP(B2181,Price_data!A$1:B$190,2,FALSE))</f>
        <v>106.37384606193601</v>
      </c>
      <c r="S2181" s="4" t="str">
        <f>(VLOOKUP(B2181,Price_data!A$1:C$190,3,FALSE))</f>
        <v>EEZ</v>
      </c>
      <c r="T2181" s="2" t="str">
        <f>IF(C2181="Total", (VLOOKUP(B2181,Recommended_fish_intake!A$4:D$122,4,FALSE)), "NA")</f>
        <v>NA</v>
      </c>
      <c r="U2181" s="2" t="str">
        <f t="shared" si="262"/>
        <v>NA</v>
      </c>
    </row>
    <row r="2182" spans="1:21" ht="14.25" customHeight="1">
      <c r="A2182" s="2" t="s">
        <v>18</v>
      </c>
      <c r="B2182" s="2">
        <v>1987</v>
      </c>
      <c r="C2182" s="2" t="s">
        <v>22</v>
      </c>
      <c r="D2182" s="3">
        <f t="shared" si="263"/>
        <v>36.171999999999997</v>
      </c>
      <c r="E2182" s="3">
        <f t="shared" si="264"/>
        <v>33.466000000000001</v>
      </c>
      <c r="F2182" s="3" t="e">
        <f t="shared" si="265"/>
        <v>#N/A</v>
      </c>
      <c r="G2182" s="3" t="e">
        <f t="shared" si="266"/>
        <v>#N/A</v>
      </c>
      <c r="H2182" s="3" t="e">
        <f t="shared" si="267"/>
        <v>#N/A</v>
      </c>
      <c r="I2182" s="3" t="e">
        <f t="shared" si="268"/>
        <v>#N/A</v>
      </c>
      <c r="J2182" s="2">
        <v>36172</v>
      </c>
      <c r="K2182" s="2">
        <v>33466</v>
      </c>
      <c r="P2182" s="3">
        <f>E2182*(VLOOKUP(B2182,Price_data!A$1:B$190,2,FALSE))</f>
        <v>55.926514441014</v>
      </c>
      <c r="Q2182" s="3" t="e">
        <f>G2182*(VLOOKUP(B2182,Price_data!A$1:B$190,2,FALSE))</f>
        <v>#N/A</v>
      </c>
      <c r="R2182" s="3" t="e">
        <f>I2182*(VLOOKUP(B2182,Price_data!A$1:B$190,2,FALSE))</f>
        <v>#N/A</v>
      </c>
      <c r="S2182" s="4" t="str">
        <f>(VLOOKUP(B2182,Price_data!A$1:C$190,3,FALSE))</f>
        <v>EEZ</v>
      </c>
      <c r="T2182" s="2" t="str">
        <f>IF(C2182="Total", (VLOOKUP(B2182,Recommended_fish_intake!A$4:D$122,4,FALSE)), "NA")</f>
        <v>NA</v>
      </c>
      <c r="U2182" s="2" t="str">
        <f t="shared" si="262"/>
        <v>NA</v>
      </c>
    </row>
    <row r="2183" spans="1:21" ht="14.25" customHeight="1">
      <c r="A2183" s="2" t="s">
        <v>18</v>
      </c>
      <c r="B2183" s="2">
        <v>1987</v>
      </c>
      <c r="C2183" s="2" t="s">
        <v>23</v>
      </c>
      <c r="D2183" s="3">
        <f t="shared" si="263"/>
        <v>8.1690000000000005</v>
      </c>
      <c r="E2183" s="3">
        <f t="shared" si="264"/>
        <v>6.3079999999999998</v>
      </c>
      <c r="F2183" s="3" t="e">
        <f t="shared" si="265"/>
        <v>#N/A</v>
      </c>
      <c r="G2183" s="3" t="e">
        <f t="shared" si="266"/>
        <v>#N/A</v>
      </c>
      <c r="H2183" s="3" t="e">
        <f t="shared" si="267"/>
        <v>#N/A</v>
      </c>
      <c r="I2183" s="3" t="e">
        <f t="shared" si="268"/>
        <v>#N/A</v>
      </c>
      <c r="J2183" s="2">
        <v>8169</v>
      </c>
      <c r="K2183" s="2">
        <v>6308</v>
      </c>
      <c r="P2183" s="3">
        <f>E2183*(VLOOKUP(B2183,Price_data!A$1:B$190,2,FALSE))</f>
        <v>10.541578111931999</v>
      </c>
      <c r="Q2183" s="3" t="e">
        <f>G2183*(VLOOKUP(B2183,Price_data!A$1:B$190,2,FALSE))</f>
        <v>#N/A</v>
      </c>
      <c r="R2183" s="3" t="e">
        <f>I2183*(VLOOKUP(B2183,Price_data!A$1:B$190,2,FALSE))</f>
        <v>#N/A</v>
      </c>
      <c r="S2183" s="4" t="str">
        <f>(VLOOKUP(B2183,Price_data!A$1:C$190,3,FALSE))</f>
        <v>EEZ</v>
      </c>
      <c r="T2183" s="2" t="str">
        <f>IF(C2183="Total", (VLOOKUP(B2183,Recommended_fish_intake!A$4:D$122,4,FALSE)), "NA")</f>
        <v>NA</v>
      </c>
      <c r="U2183" s="2" t="str">
        <f t="shared" si="262"/>
        <v>NA</v>
      </c>
    </row>
    <row r="2184" spans="1:21" ht="14.25" customHeight="1">
      <c r="A2184" s="2" t="s">
        <v>18</v>
      </c>
      <c r="B2184" s="2">
        <v>1987</v>
      </c>
      <c r="C2184" s="2" t="s">
        <v>58</v>
      </c>
      <c r="D2184" s="3">
        <f t="shared" si="263"/>
        <v>2.9279999999999999</v>
      </c>
      <c r="E2184" s="3">
        <f t="shared" si="264"/>
        <v>6.0229999999999997</v>
      </c>
      <c r="F2184" s="3" t="e">
        <f t="shared" si="265"/>
        <v>#N/A</v>
      </c>
      <c r="G2184" s="3" t="e">
        <f t="shared" si="266"/>
        <v>#N/A</v>
      </c>
      <c r="H2184" s="3" t="e">
        <f t="shared" si="267"/>
        <v>#N/A</v>
      </c>
      <c r="I2184" s="3" t="e">
        <f t="shared" si="268"/>
        <v>#N/A</v>
      </c>
      <c r="J2184" s="2">
        <v>2928</v>
      </c>
      <c r="K2184" s="2">
        <v>6023</v>
      </c>
      <c r="P2184" s="3">
        <f>E2184*(VLOOKUP(B2184,Price_data!A$1:B$190,2,FALSE))</f>
        <v>10.065301992417</v>
      </c>
      <c r="Q2184" s="3" t="e">
        <f>G2184*(VLOOKUP(B2184,Price_data!A$1:B$190,2,FALSE))</f>
        <v>#N/A</v>
      </c>
      <c r="R2184" s="3" t="e">
        <f>I2184*(VLOOKUP(B2184,Price_data!A$1:B$190,2,FALSE))</f>
        <v>#N/A</v>
      </c>
      <c r="S2184" s="4" t="str">
        <f>(VLOOKUP(B2184,Price_data!A$1:C$190,3,FALSE))</f>
        <v>EEZ</v>
      </c>
      <c r="T2184" s="2" t="str">
        <f>IF(C2184="Total", (VLOOKUP(B2184,Recommended_fish_intake!A$4:D$122,4,FALSE)), "NA")</f>
        <v>NA</v>
      </c>
      <c r="U2184" s="2" t="str">
        <f t="shared" si="262"/>
        <v>NA</v>
      </c>
    </row>
    <row r="2185" spans="1:21" ht="14.25" customHeight="1">
      <c r="A2185" s="2" t="s">
        <v>18</v>
      </c>
      <c r="B2185" s="2">
        <v>1987</v>
      </c>
      <c r="C2185" s="2" t="s">
        <v>25</v>
      </c>
      <c r="D2185" s="3">
        <f t="shared" si="263"/>
        <v>18.733000000000001</v>
      </c>
      <c r="E2185" s="3">
        <f t="shared" si="264"/>
        <v>17.148</v>
      </c>
      <c r="F2185" s="3" t="e">
        <f t="shared" si="265"/>
        <v>#N/A</v>
      </c>
      <c r="G2185" s="3" t="e">
        <f t="shared" si="266"/>
        <v>#N/A</v>
      </c>
      <c r="H2185" s="3" t="e">
        <f t="shared" si="267"/>
        <v>#N/A</v>
      </c>
      <c r="I2185" s="3" t="e">
        <f t="shared" si="268"/>
        <v>#N/A</v>
      </c>
      <c r="J2185" s="2">
        <v>18733</v>
      </c>
      <c r="K2185" s="2">
        <v>17148</v>
      </c>
      <c r="P2185" s="3">
        <f>E2185*(VLOOKUP(B2185,Price_data!A$1:B$190,2,FALSE))</f>
        <v>28.656782096291998</v>
      </c>
      <c r="Q2185" s="3" t="e">
        <f>G2185*(VLOOKUP(B2185,Price_data!A$1:B$190,2,FALSE))</f>
        <v>#N/A</v>
      </c>
      <c r="R2185" s="3" t="e">
        <f>I2185*(VLOOKUP(B2185,Price_data!A$1:B$190,2,FALSE))</f>
        <v>#N/A</v>
      </c>
      <c r="S2185" s="4" t="str">
        <f>(VLOOKUP(B2185,Price_data!A$1:C$190,3,FALSE))</f>
        <v>EEZ</v>
      </c>
      <c r="T2185" s="2" t="str">
        <f>IF(C2185="Total", (VLOOKUP(B2185,Recommended_fish_intake!A$4:D$122,4,FALSE)), "NA")</f>
        <v>NA</v>
      </c>
      <c r="U2185" s="2" t="str">
        <f t="shared" si="262"/>
        <v>NA</v>
      </c>
    </row>
    <row r="2186" spans="1:21" ht="14.25" customHeight="1">
      <c r="A2186" s="2" t="s">
        <v>18</v>
      </c>
      <c r="B2186" s="2">
        <v>1987</v>
      </c>
      <c r="C2186" s="2" t="s">
        <v>24</v>
      </c>
      <c r="D2186" s="3">
        <f t="shared" si="263"/>
        <v>6.4820000000000002</v>
      </c>
      <c r="E2186" s="3">
        <f t="shared" si="264"/>
        <v>2.9009999999999998</v>
      </c>
      <c r="F2186" s="3" t="e">
        <f t="shared" si="265"/>
        <v>#N/A</v>
      </c>
      <c r="G2186" s="3" t="e">
        <f t="shared" si="266"/>
        <v>#N/A</v>
      </c>
      <c r="H2186" s="3" t="e">
        <f t="shared" si="267"/>
        <v>#N/A</v>
      </c>
      <c r="I2186" s="3" t="e">
        <f t="shared" si="268"/>
        <v>#N/A</v>
      </c>
      <c r="J2186" s="2">
        <v>6482</v>
      </c>
      <c r="K2186" s="2">
        <v>2901</v>
      </c>
      <c r="P2186" s="3">
        <f>E2186*(VLOOKUP(B2186,Price_data!A$1:B$190,2,FALSE))</f>
        <v>4.8479895533789996</v>
      </c>
      <c r="Q2186" s="3" t="e">
        <f>G2186*(VLOOKUP(B2186,Price_data!A$1:B$190,2,FALSE))</f>
        <v>#N/A</v>
      </c>
      <c r="R2186" s="3" t="e">
        <f>I2186*(VLOOKUP(B2186,Price_data!A$1:B$190,2,FALSE))</f>
        <v>#N/A</v>
      </c>
      <c r="S2186" s="4" t="str">
        <f>(VLOOKUP(B2186,Price_data!A$1:C$190,3,FALSE))</f>
        <v>EEZ</v>
      </c>
      <c r="T2186" s="2" t="str">
        <f>IF(C2186="Total", (VLOOKUP(B2186,Recommended_fish_intake!A$4:D$122,4,FALSE)), "NA")</f>
        <v>NA</v>
      </c>
      <c r="U2186" s="2" t="str">
        <f t="shared" si="262"/>
        <v>NA</v>
      </c>
    </row>
    <row r="2187" spans="1:21" ht="14.25" customHeight="1">
      <c r="A2187" s="2" t="s">
        <v>18</v>
      </c>
      <c r="B2187" s="2">
        <v>1987</v>
      </c>
      <c r="C2187" s="2" t="s">
        <v>19</v>
      </c>
      <c r="D2187" s="3">
        <f t="shared" si="263"/>
        <v>1.3939999999999999</v>
      </c>
      <c r="E2187" s="3">
        <f t="shared" si="264"/>
        <v>0.36799999999999999</v>
      </c>
      <c r="F2187" s="3" t="e">
        <f t="shared" si="265"/>
        <v>#N/A</v>
      </c>
      <c r="G2187" s="3" t="e">
        <f t="shared" si="266"/>
        <v>#N/A</v>
      </c>
      <c r="H2187" s="3" t="e">
        <f t="shared" si="267"/>
        <v>#N/A</v>
      </c>
      <c r="I2187" s="3" t="e">
        <f t="shared" si="268"/>
        <v>#N/A</v>
      </c>
      <c r="J2187" s="2">
        <v>1394</v>
      </c>
      <c r="K2187" s="2">
        <v>368</v>
      </c>
      <c r="P2187" s="3">
        <f>E2187*(VLOOKUP(B2187,Price_data!A$1:B$190,2,FALSE))</f>
        <v>0.61498109467200002</v>
      </c>
      <c r="Q2187" s="3" t="e">
        <f>G2187*(VLOOKUP(B2187,Price_data!A$1:B$190,2,FALSE))</f>
        <v>#N/A</v>
      </c>
      <c r="R2187" s="3" t="e">
        <f>I2187*(VLOOKUP(B2187,Price_data!A$1:B$190,2,FALSE))</f>
        <v>#N/A</v>
      </c>
      <c r="S2187" s="4" t="str">
        <f>(VLOOKUP(B2187,Price_data!A$1:C$190,3,FALSE))</f>
        <v>EEZ</v>
      </c>
      <c r="T2187" s="2" t="str">
        <f>IF(C2187="Total", (VLOOKUP(B2187,Recommended_fish_intake!A$4:D$122,4,FALSE)), "NA")</f>
        <v>NA</v>
      </c>
      <c r="U2187" s="2" t="str">
        <f t="shared" si="262"/>
        <v>NA</v>
      </c>
    </row>
    <row r="2188" spans="1:21" ht="14.25" customHeight="1">
      <c r="A2188" s="2" t="s">
        <v>18</v>
      </c>
      <c r="B2188" s="2">
        <v>1987</v>
      </c>
      <c r="C2188" s="2" t="s">
        <v>20</v>
      </c>
      <c r="D2188" s="3">
        <f t="shared" si="263"/>
        <v>18.446000000000002</v>
      </c>
      <c r="E2188" s="3">
        <f t="shared" si="264"/>
        <v>2.17</v>
      </c>
      <c r="F2188" s="3" t="e">
        <f t="shared" si="265"/>
        <v>#N/A</v>
      </c>
      <c r="G2188" s="3" t="e">
        <f t="shared" si="266"/>
        <v>#N/A</v>
      </c>
      <c r="H2188" s="3" t="e">
        <f t="shared" si="267"/>
        <v>#N/A</v>
      </c>
      <c r="I2188" s="3" t="e">
        <f t="shared" si="268"/>
        <v>#N/A</v>
      </c>
      <c r="J2188" s="2">
        <v>18446</v>
      </c>
      <c r="K2188" s="2">
        <v>2170</v>
      </c>
      <c r="P2188" s="3">
        <f>E2188*(VLOOKUP(B2188,Price_data!A$1:B$190,2,FALSE))</f>
        <v>3.6263830854299997</v>
      </c>
      <c r="Q2188" s="3" t="e">
        <f>G2188*(VLOOKUP(B2188,Price_data!A$1:B$190,2,FALSE))</f>
        <v>#N/A</v>
      </c>
      <c r="R2188" s="3" t="e">
        <f>I2188*(VLOOKUP(B2188,Price_data!A$1:B$190,2,FALSE))</f>
        <v>#N/A</v>
      </c>
      <c r="S2188" s="4" t="str">
        <f>(VLOOKUP(B2188,Price_data!A$1:C$190,3,FALSE))</f>
        <v>EEZ</v>
      </c>
      <c r="T2188" s="2" t="str">
        <f>IF(C2188="Total", (VLOOKUP(B2188,Recommended_fish_intake!A$4:D$122,4,FALSE)), "NA")</f>
        <v>NA</v>
      </c>
      <c r="U2188" s="2" t="str">
        <f t="shared" si="262"/>
        <v>NA</v>
      </c>
    </row>
    <row r="2189" spans="1:21" ht="14.25" customHeight="1">
      <c r="A2189" s="2" t="s">
        <v>18</v>
      </c>
      <c r="B2189" s="2">
        <v>1987</v>
      </c>
      <c r="C2189" s="2" t="s">
        <v>37</v>
      </c>
      <c r="D2189" s="3">
        <f t="shared" si="263"/>
        <v>128.685</v>
      </c>
      <c r="E2189" s="3">
        <f t="shared" si="264"/>
        <v>113.116</v>
      </c>
      <c r="F2189" s="3" t="e">
        <f t="shared" si="265"/>
        <v>#N/A</v>
      </c>
      <c r="G2189" s="3" t="e">
        <f t="shared" si="266"/>
        <v>#N/A</v>
      </c>
      <c r="H2189" s="3" t="e">
        <f t="shared" si="267"/>
        <v>#N/A</v>
      </c>
      <c r="I2189" s="3" t="e">
        <f t="shared" si="268"/>
        <v>#N/A</v>
      </c>
      <c r="J2189" s="2">
        <v>128685</v>
      </c>
      <c r="K2189" s="2">
        <v>113116</v>
      </c>
      <c r="P2189" s="3">
        <f>E2189*(VLOOKUP(B2189,Price_data!A$1:B$190,2,FALSE))</f>
        <v>189.03315626336399</v>
      </c>
      <c r="Q2189" s="3" t="e">
        <f>G2189*(VLOOKUP(B2189,Price_data!A$1:B$190,2,FALSE))</f>
        <v>#N/A</v>
      </c>
      <c r="R2189" s="3" t="e">
        <f>I2189*(VLOOKUP(B2189,Price_data!A$1:B$190,2,FALSE))</f>
        <v>#N/A</v>
      </c>
      <c r="S2189" s="4" t="str">
        <f>(VLOOKUP(B2189,Price_data!A$1:C$190,3,FALSE))</f>
        <v>EEZ</v>
      </c>
      <c r="T2189" s="2" t="str">
        <f>IF(C2189="Total", (VLOOKUP(B2189,Recommended_fish_intake!A$4:D$122,4,FALSE)), "NA")</f>
        <v>NA</v>
      </c>
      <c r="U2189" s="2">
        <f t="shared" si="262"/>
        <v>63.05565</v>
      </c>
    </row>
    <row r="2190" spans="1:21" ht="14.25" customHeight="1">
      <c r="A2190" s="2" t="s">
        <v>18</v>
      </c>
      <c r="B2190" s="2">
        <v>1987</v>
      </c>
      <c r="C2190" s="2" t="s">
        <v>36</v>
      </c>
      <c r="D2190" s="3">
        <f t="shared" si="263"/>
        <v>8.2729999999999997</v>
      </c>
      <c r="E2190" s="3">
        <f t="shared" si="264"/>
        <v>8.4580000000000002</v>
      </c>
      <c r="F2190" s="3" t="e">
        <f t="shared" si="265"/>
        <v>#N/A</v>
      </c>
      <c r="G2190" s="3" t="e">
        <f t="shared" si="266"/>
        <v>#N/A</v>
      </c>
      <c r="H2190" s="3" t="e">
        <f t="shared" si="267"/>
        <v>#N/A</v>
      </c>
      <c r="I2190" s="3" t="e">
        <f t="shared" si="268"/>
        <v>#N/A</v>
      </c>
      <c r="J2190" s="2">
        <v>8273</v>
      </c>
      <c r="K2190" s="2">
        <v>8458</v>
      </c>
      <c r="P2190" s="3">
        <f>E2190*(VLOOKUP(B2190,Price_data!A$1:B$190,2,FALSE))</f>
        <v>14.134538311782</v>
      </c>
      <c r="Q2190" s="3" t="e">
        <f>G2190*(VLOOKUP(B2190,Price_data!A$1:B$190,2,FALSE))</f>
        <v>#N/A</v>
      </c>
      <c r="R2190" s="3" t="e">
        <f>I2190*(VLOOKUP(B2190,Price_data!A$1:B$190,2,FALSE))</f>
        <v>#N/A</v>
      </c>
      <c r="S2190" s="4" t="str">
        <f>(VLOOKUP(B2190,Price_data!A$1:C$190,3,FALSE))</f>
        <v>EEZ</v>
      </c>
      <c r="T2190" s="2" t="str">
        <f>IF(C2190="Total", (VLOOKUP(B2190,Recommended_fish_intake!A$4:D$122,4,FALSE)), "NA")</f>
        <v>NA</v>
      </c>
      <c r="U2190" s="2" t="str">
        <f t="shared" si="262"/>
        <v>NA</v>
      </c>
    </row>
    <row r="2191" spans="1:21" ht="14.25" customHeight="1">
      <c r="A2191" s="2" t="s">
        <v>18</v>
      </c>
      <c r="B2191" s="2">
        <v>1987</v>
      </c>
      <c r="C2191" s="2" t="s">
        <v>34</v>
      </c>
      <c r="D2191" s="3">
        <f t="shared" si="263"/>
        <v>0.502</v>
      </c>
      <c r="E2191" s="3">
        <f t="shared" si="264"/>
        <v>4.1710000000000003</v>
      </c>
      <c r="F2191" s="3" t="e">
        <f t="shared" si="265"/>
        <v>#N/A</v>
      </c>
      <c r="G2191" s="3" t="e">
        <f t="shared" si="266"/>
        <v>#N/A</v>
      </c>
      <c r="H2191" s="3" t="e">
        <f t="shared" si="267"/>
        <v>#N/A</v>
      </c>
      <c r="I2191" s="3" t="e">
        <f t="shared" si="268"/>
        <v>#N/A</v>
      </c>
      <c r="J2191" s="2">
        <v>502</v>
      </c>
      <c r="K2191" s="2">
        <v>4171</v>
      </c>
      <c r="P2191" s="3">
        <f>E2191*(VLOOKUP(B2191,Price_data!A$1:B$190,2,FALSE))</f>
        <v>6.9703427877089998</v>
      </c>
      <c r="Q2191" s="3" t="e">
        <f>G2191*(VLOOKUP(B2191,Price_data!A$1:B$190,2,FALSE))</f>
        <v>#N/A</v>
      </c>
      <c r="R2191" s="3" t="e">
        <f>I2191*(VLOOKUP(B2191,Price_data!A$1:B$190,2,FALSE))</f>
        <v>#N/A</v>
      </c>
      <c r="S2191" s="4" t="str">
        <f>(VLOOKUP(B2191,Price_data!A$1:C$190,3,FALSE))</f>
        <v>EEZ</v>
      </c>
      <c r="T2191" s="2" t="str">
        <f>IF(C2191="Total", (VLOOKUP(B2191,Recommended_fish_intake!A$4:D$122,4,FALSE)), "NA")</f>
        <v>NA</v>
      </c>
      <c r="U2191" s="2" t="str">
        <f t="shared" si="262"/>
        <v>NA</v>
      </c>
    </row>
    <row r="2192" spans="1:21" ht="14.25" customHeight="1">
      <c r="A2192" s="2" t="s">
        <v>18</v>
      </c>
      <c r="B2192" s="2">
        <v>1987</v>
      </c>
      <c r="C2192" s="2" t="s">
        <v>35</v>
      </c>
      <c r="D2192" s="3">
        <f t="shared" si="263"/>
        <v>2.649</v>
      </c>
      <c r="E2192" s="3">
        <f t="shared" si="264"/>
        <v>4.6849999999999996</v>
      </c>
      <c r="F2192" s="3" t="e">
        <f t="shared" si="265"/>
        <v>#N/A</v>
      </c>
      <c r="G2192" s="3" t="e">
        <f t="shared" si="266"/>
        <v>#N/A</v>
      </c>
      <c r="H2192" s="3" t="e">
        <f t="shared" si="267"/>
        <v>#N/A</v>
      </c>
      <c r="I2192" s="3" t="e">
        <f t="shared" si="268"/>
        <v>#N/A</v>
      </c>
      <c r="J2192" s="2">
        <v>2649</v>
      </c>
      <c r="K2192" s="2">
        <v>4685</v>
      </c>
      <c r="P2192" s="3">
        <f>E2192*(VLOOKUP(B2192,Price_data!A$1:B$190,2,FALSE))</f>
        <v>7.8293109471149993</v>
      </c>
      <c r="Q2192" s="3" t="e">
        <f>G2192*(VLOOKUP(B2192,Price_data!A$1:B$190,2,FALSE))</f>
        <v>#N/A</v>
      </c>
      <c r="R2192" s="3" t="e">
        <f>I2192*(VLOOKUP(B2192,Price_data!A$1:B$190,2,FALSE))</f>
        <v>#N/A</v>
      </c>
      <c r="S2192" s="4" t="str">
        <f>(VLOOKUP(B2192,Price_data!A$1:C$190,3,FALSE))</f>
        <v>EEZ</v>
      </c>
      <c r="T2192" s="2" t="str">
        <f>IF(C2192="Total", (VLOOKUP(B2192,Recommended_fish_intake!A$4:D$122,4,FALSE)), "NA")</f>
        <v>NA</v>
      </c>
      <c r="U2192" s="2" t="str">
        <f t="shared" si="262"/>
        <v>NA</v>
      </c>
    </row>
    <row r="2193" spans="1:21" ht="14.25" customHeight="1">
      <c r="A2193" s="2" t="s">
        <v>18</v>
      </c>
      <c r="B2193" s="2">
        <v>1987</v>
      </c>
      <c r="C2193" s="2" t="s">
        <v>52</v>
      </c>
      <c r="D2193" s="3">
        <f t="shared" si="263"/>
        <v>2.4809999999999999</v>
      </c>
      <c r="E2193" s="3">
        <f t="shared" si="264"/>
        <v>3.9460000000000002</v>
      </c>
      <c r="F2193" s="3" t="e">
        <f t="shared" si="265"/>
        <v>#N/A</v>
      </c>
      <c r="G2193" s="3" t="e">
        <f t="shared" si="266"/>
        <v>#N/A</v>
      </c>
      <c r="H2193" s="3" t="e">
        <f t="shared" si="267"/>
        <v>#N/A</v>
      </c>
      <c r="I2193" s="3" t="e">
        <f t="shared" si="268"/>
        <v>#N/A</v>
      </c>
      <c r="J2193" s="2">
        <v>2481</v>
      </c>
      <c r="K2193" s="2">
        <v>3946</v>
      </c>
      <c r="P2193" s="3">
        <f>E2193*(VLOOKUP(B2193,Price_data!A$1:B$190,2,FALSE))</f>
        <v>6.5943353249339998</v>
      </c>
      <c r="Q2193" s="3" t="e">
        <f>G2193*(VLOOKUP(B2193,Price_data!A$1:B$190,2,FALSE))</f>
        <v>#N/A</v>
      </c>
      <c r="R2193" s="3" t="e">
        <f>I2193*(VLOOKUP(B2193,Price_data!A$1:B$190,2,FALSE))</f>
        <v>#N/A</v>
      </c>
      <c r="S2193" s="4" t="str">
        <f>(VLOOKUP(B2193,Price_data!A$1:C$190,3,FALSE))</f>
        <v>EEZ</v>
      </c>
      <c r="T2193" s="2" t="str">
        <f>IF(C2193="Total", (VLOOKUP(B2193,Recommended_fish_intake!A$4:D$122,4,FALSE)), "NA")</f>
        <v>NA</v>
      </c>
      <c r="U2193" s="2" t="str">
        <f t="shared" si="262"/>
        <v>NA</v>
      </c>
    </row>
    <row r="2194" spans="1:21" ht="14.25" customHeight="1">
      <c r="A2194" s="2" t="s">
        <v>18</v>
      </c>
      <c r="B2194" s="2">
        <v>1987</v>
      </c>
      <c r="C2194" s="2" t="s">
        <v>30</v>
      </c>
      <c r="D2194" s="3">
        <f t="shared" si="263"/>
        <v>2.5310000000000001</v>
      </c>
      <c r="E2194" s="3">
        <f t="shared" si="264"/>
        <v>3.4159999999999999</v>
      </c>
      <c r="F2194" s="3" t="e">
        <f t="shared" si="265"/>
        <v>#N/A</v>
      </c>
      <c r="G2194" s="3" t="e">
        <f t="shared" si="266"/>
        <v>#N/A</v>
      </c>
      <c r="H2194" s="3" t="e">
        <f t="shared" si="267"/>
        <v>#N/A</v>
      </c>
      <c r="I2194" s="3" t="e">
        <f t="shared" si="268"/>
        <v>#N/A</v>
      </c>
      <c r="J2194" s="2">
        <v>2531</v>
      </c>
      <c r="K2194" s="2">
        <v>3416</v>
      </c>
      <c r="P2194" s="3">
        <f>E2194*(VLOOKUP(B2194,Price_data!A$1:B$190,2,FALSE))</f>
        <v>5.7086288570639994</v>
      </c>
      <c r="Q2194" s="3" t="e">
        <f>G2194*(VLOOKUP(B2194,Price_data!A$1:B$190,2,FALSE))</f>
        <v>#N/A</v>
      </c>
      <c r="R2194" s="3" t="e">
        <f>I2194*(VLOOKUP(B2194,Price_data!A$1:B$190,2,FALSE))</f>
        <v>#N/A</v>
      </c>
      <c r="S2194" s="4" t="str">
        <f>(VLOOKUP(B2194,Price_data!A$1:C$190,3,FALSE))</f>
        <v>EEZ</v>
      </c>
      <c r="T2194" s="2" t="str">
        <f>IF(C2194="Total", (VLOOKUP(B2194,Recommended_fish_intake!A$4:D$122,4,FALSE)), "NA")</f>
        <v>NA</v>
      </c>
      <c r="U2194" s="2" t="str">
        <f t="shared" si="262"/>
        <v>NA</v>
      </c>
    </row>
    <row r="2195" spans="1:21" ht="14.25" customHeight="1">
      <c r="A2195" s="2" t="s">
        <v>18</v>
      </c>
      <c r="B2195" s="2">
        <v>1987</v>
      </c>
      <c r="C2195" s="2" t="s">
        <v>28</v>
      </c>
      <c r="D2195" s="3">
        <f t="shared" si="263"/>
        <v>66.382000000000005</v>
      </c>
      <c r="E2195" s="3">
        <f t="shared" si="264"/>
        <v>33.435000000000002</v>
      </c>
      <c r="F2195" s="3" t="e">
        <f t="shared" si="265"/>
        <v>#N/A</v>
      </c>
      <c r="G2195" s="3" t="e">
        <f t="shared" si="266"/>
        <v>#N/A</v>
      </c>
      <c r="H2195" s="3" t="e">
        <f t="shared" si="267"/>
        <v>#N/A</v>
      </c>
      <c r="I2195" s="3" t="e">
        <f t="shared" si="268"/>
        <v>#N/A</v>
      </c>
      <c r="J2195" s="2">
        <v>66382</v>
      </c>
      <c r="K2195" s="2">
        <v>33435</v>
      </c>
      <c r="P2195" s="3">
        <f>E2195*(VLOOKUP(B2195,Price_data!A$1:B$190,2,FALSE))</f>
        <v>55.874708968364999</v>
      </c>
      <c r="Q2195" s="3" t="e">
        <f>G2195*(VLOOKUP(B2195,Price_data!A$1:B$190,2,FALSE))</f>
        <v>#N/A</v>
      </c>
      <c r="R2195" s="3" t="e">
        <f>I2195*(VLOOKUP(B2195,Price_data!A$1:B$190,2,FALSE))</f>
        <v>#N/A</v>
      </c>
      <c r="S2195" s="4" t="str">
        <f>(VLOOKUP(B2195,Price_data!A$1:C$190,3,FALSE))</f>
        <v>EEZ</v>
      </c>
      <c r="T2195" s="2" t="str">
        <f>IF(C2195="Total", (VLOOKUP(B2195,Recommended_fish_intake!A$4:D$122,4,FALSE)), "NA")</f>
        <v>NA</v>
      </c>
      <c r="U2195" s="2">
        <f t="shared" si="262"/>
        <v>18.586960000000005</v>
      </c>
    </row>
    <row r="2196" spans="1:21" ht="14.25" customHeight="1">
      <c r="A2196" s="2" t="s">
        <v>39</v>
      </c>
      <c r="B2196" s="2">
        <v>1987</v>
      </c>
      <c r="C2196" s="2" t="s">
        <v>22</v>
      </c>
      <c r="D2196" s="3">
        <f t="shared" si="263"/>
        <v>54.25</v>
      </c>
      <c r="E2196" s="3">
        <f t="shared" si="264"/>
        <v>49.375999999999998</v>
      </c>
      <c r="F2196" s="3" t="e">
        <f t="shared" si="265"/>
        <v>#N/A</v>
      </c>
      <c r="G2196" s="3" t="e">
        <f t="shared" si="266"/>
        <v>#N/A</v>
      </c>
      <c r="H2196" s="3" t="e">
        <f t="shared" si="267"/>
        <v>#N/A</v>
      </c>
      <c r="I2196" s="3" t="e">
        <f t="shared" si="268"/>
        <v>#N/A</v>
      </c>
      <c r="J2196" s="2">
        <v>54250</v>
      </c>
      <c r="K2196" s="2">
        <v>49376</v>
      </c>
      <c r="P2196" s="3">
        <f>E2196*(VLOOKUP(B2196,Price_data!A$1:B$190,2,FALSE))</f>
        <v>82.514419919904</v>
      </c>
      <c r="Q2196" s="3" t="e">
        <f>G2196*(VLOOKUP(B2196,Price_data!A$1:B$190,2,FALSE))</f>
        <v>#N/A</v>
      </c>
      <c r="R2196" s="3" t="e">
        <f>I2196*(VLOOKUP(B2196,Price_data!A$1:B$190,2,FALSE))</f>
        <v>#N/A</v>
      </c>
      <c r="S2196" s="4" t="str">
        <f>(VLOOKUP(B2196,Price_data!A$1:C$190,3,FALSE))</f>
        <v>EEZ</v>
      </c>
      <c r="T2196" s="2" t="str">
        <f>IF(C2196="Total", (VLOOKUP(B2196,Recommended_fish_intake!A$4:D$122,4,FALSE)), "NA")</f>
        <v>NA</v>
      </c>
      <c r="U2196" s="2" t="str">
        <f t="shared" si="262"/>
        <v>NA</v>
      </c>
    </row>
    <row r="2197" spans="1:21" ht="14.25" customHeight="1">
      <c r="A2197" s="2" t="s">
        <v>39</v>
      </c>
      <c r="B2197" s="2">
        <v>1987</v>
      </c>
      <c r="C2197" s="2" t="s">
        <v>23</v>
      </c>
      <c r="D2197" s="3">
        <f t="shared" si="263"/>
        <v>94.004999999999995</v>
      </c>
      <c r="E2197" s="3">
        <f t="shared" si="264"/>
        <v>71.613</v>
      </c>
      <c r="F2197" s="3" t="e">
        <f t="shared" si="265"/>
        <v>#N/A</v>
      </c>
      <c r="G2197" s="3" t="e">
        <f t="shared" si="266"/>
        <v>#N/A</v>
      </c>
      <c r="H2197" s="3" t="e">
        <f t="shared" si="267"/>
        <v>#N/A</v>
      </c>
      <c r="I2197" s="3" t="e">
        <f t="shared" si="268"/>
        <v>#N/A</v>
      </c>
      <c r="J2197" s="2">
        <v>94005</v>
      </c>
      <c r="K2197" s="2">
        <v>71613</v>
      </c>
      <c r="P2197" s="3">
        <f>E2197*(VLOOKUP(B2197,Price_data!A$1:B$190,2,FALSE))</f>
        <v>119.675655252027</v>
      </c>
      <c r="Q2197" s="3" t="e">
        <f>G2197*(VLOOKUP(B2197,Price_data!A$1:B$190,2,FALSE))</f>
        <v>#N/A</v>
      </c>
      <c r="R2197" s="3" t="e">
        <f>I2197*(VLOOKUP(B2197,Price_data!A$1:B$190,2,FALSE))</f>
        <v>#N/A</v>
      </c>
      <c r="S2197" s="4" t="str">
        <f>(VLOOKUP(B2197,Price_data!A$1:C$190,3,FALSE))</f>
        <v>EEZ</v>
      </c>
      <c r="T2197" s="2" t="str">
        <f>IF(C2197="Total", (VLOOKUP(B2197,Recommended_fish_intake!A$4:D$122,4,FALSE)), "NA")</f>
        <v>NA</v>
      </c>
      <c r="U2197" s="2" t="str">
        <f t="shared" si="262"/>
        <v>NA</v>
      </c>
    </row>
    <row r="2198" spans="1:21" ht="14.25" customHeight="1">
      <c r="A2198" s="2" t="s">
        <v>39</v>
      </c>
      <c r="B2198" s="2">
        <v>1987</v>
      </c>
      <c r="C2198" s="2" t="s">
        <v>58</v>
      </c>
      <c r="D2198" s="3">
        <f t="shared" si="263"/>
        <v>6.5629999999999997</v>
      </c>
      <c r="E2198" s="3">
        <f t="shared" si="264"/>
        <v>12.042</v>
      </c>
      <c r="F2198" s="3" t="e">
        <f t="shared" si="265"/>
        <v>#N/A</v>
      </c>
      <c r="G2198" s="3" t="e">
        <f t="shared" si="266"/>
        <v>#N/A</v>
      </c>
      <c r="H2198" s="3" t="e">
        <f t="shared" si="267"/>
        <v>#N/A</v>
      </c>
      <c r="I2198" s="3" t="e">
        <f t="shared" si="268"/>
        <v>#N/A</v>
      </c>
      <c r="J2198" s="2">
        <v>6563</v>
      </c>
      <c r="K2198" s="2">
        <v>12042</v>
      </c>
      <c r="P2198" s="3">
        <f>E2198*(VLOOKUP(B2198,Price_data!A$1:B$190,2,FALSE))</f>
        <v>20.123919407717999</v>
      </c>
      <c r="Q2198" s="3" t="e">
        <f>G2198*(VLOOKUP(B2198,Price_data!A$1:B$190,2,FALSE))</f>
        <v>#N/A</v>
      </c>
      <c r="R2198" s="3" t="e">
        <f>I2198*(VLOOKUP(B2198,Price_data!A$1:B$190,2,FALSE))</f>
        <v>#N/A</v>
      </c>
      <c r="S2198" s="4" t="str">
        <f>(VLOOKUP(B2198,Price_data!A$1:C$190,3,FALSE))</f>
        <v>EEZ</v>
      </c>
      <c r="T2198" s="2" t="str">
        <f>IF(C2198="Total", (VLOOKUP(B2198,Recommended_fish_intake!A$4:D$122,4,FALSE)), "NA")</f>
        <v>NA</v>
      </c>
      <c r="U2198" s="2" t="str">
        <f t="shared" si="262"/>
        <v>NA</v>
      </c>
    </row>
    <row r="2199" spans="1:21" ht="14.25" customHeight="1">
      <c r="A2199" s="2" t="s">
        <v>39</v>
      </c>
      <c r="B2199" s="2">
        <v>1987</v>
      </c>
      <c r="C2199" s="2" t="s">
        <v>25</v>
      </c>
      <c r="D2199" s="3">
        <f t="shared" si="263"/>
        <v>6.673</v>
      </c>
      <c r="E2199" s="3">
        <f t="shared" si="264"/>
        <v>5.2130000000000001</v>
      </c>
      <c r="F2199" s="3" t="e">
        <f t="shared" si="265"/>
        <v>#N/A</v>
      </c>
      <c r="G2199" s="3" t="e">
        <f t="shared" si="266"/>
        <v>#N/A</v>
      </c>
      <c r="H2199" s="3" t="e">
        <f t="shared" si="267"/>
        <v>#N/A</v>
      </c>
      <c r="I2199" s="3" t="e">
        <f t="shared" si="268"/>
        <v>#N/A</v>
      </c>
      <c r="J2199" s="2">
        <v>6673</v>
      </c>
      <c r="K2199" s="2">
        <v>5213</v>
      </c>
      <c r="P2199" s="3">
        <f>E2199*(VLOOKUP(B2199,Price_data!A$1:B$190,2,FALSE))</f>
        <v>8.711675126427</v>
      </c>
      <c r="Q2199" s="3" t="e">
        <f>G2199*(VLOOKUP(B2199,Price_data!A$1:B$190,2,FALSE))</f>
        <v>#N/A</v>
      </c>
      <c r="R2199" s="3" t="e">
        <f>I2199*(VLOOKUP(B2199,Price_data!A$1:B$190,2,FALSE))</f>
        <v>#N/A</v>
      </c>
      <c r="S2199" s="4" t="str">
        <f>(VLOOKUP(B2199,Price_data!A$1:C$190,3,FALSE))</f>
        <v>EEZ</v>
      </c>
      <c r="T2199" s="2" t="str">
        <f>IF(C2199="Total", (VLOOKUP(B2199,Recommended_fish_intake!A$4:D$122,4,FALSE)), "NA")</f>
        <v>NA</v>
      </c>
      <c r="U2199" s="2" t="str">
        <f t="shared" si="262"/>
        <v>NA</v>
      </c>
    </row>
    <row r="2200" spans="1:21" ht="14.25" customHeight="1">
      <c r="A2200" s="2" t="s">
        <v>39</v>
      </c>
      <c r="B2200" s="2">
        <v>1987</v>
      </c>
      <c r="C2200" s="2" t="s">
        <v>24</v>
      </c>
      <c r="D2200" s="3">
        <f t="shared" si="263"/>
        <v>40.524999999999999</v>
      </c>
      <c r="E2200" s="3">
        <f t="shared" si="264"/>
        <v>20.34</v>
      </c>
      <c r="F2200" s="3" t="e">
        <f t="shared" si="265"/>
        <v>#N/A</v>
      </c>
      <c r="G2200" s="3" t="e">
        <f t="shared" si="266"/>
        <v>#N/A</v>
      </c>
      <c r="H2200" s="3" t="e">
        <f t="shared" si="267"/>
        <v>#N/A</v>
      </c>
      <c r="I2200" s="3" t="e">
        <f t="shared" si="268"/>
        <v>#N/A</v>
      </c>
      <c r="J2200" s="2">
        <v>40525</v>
      </c>
      <c r="K2200" s="2">
        <v>20340</v>
      </c>
      <c r="P2200" s="3">
        <f>E2200*(VLOOKUP(B2200,Price_data!A$1:B$190,2,FALSE))</f>
        <v>33.991074634859999</v>
      </c>
      <c r="Q2200" s="3" t="e">
        <f>G2200*(VLOOKUP(B2200,Price_data!A$1:B$190,2,FALSE))</f>
        <v>#N/A</v>
      </c>
      <c r="R2200" s="3" t="e">
        <f>I2200*(VLOOKUP(B2200,Price_data!A$1:B$190,2,FALSE))</f>
        <v>#N/A</v>
      </c>
      <c r="S2200" s="4" t="str">
        <f>(VLOOKUP(B2200,Price_data!A$1:C$190,3,FALSE))</f>
        <v>EEZ</v>
      </c>
      <c r="T2200" s="2" t="str">
        <f>IF(C2200="Total", (VLOOKUP(B2200,Recommended_fish_intake!A$4:D$122,4,FALSE)), "NA")</f>
        <v>NA</v>
      </c>
      <c r="U2200" s="2" t="str">
        <f t="shared" si="262"/>
        <v>NA</v>
      </c>
    </row>
    <row r="2201" spans="1:21" ht="14.25" customHeight="1">
      <c r="A2201" s="2" t="s">
        <v>39</v>
      </c>
      <c r="B2201" s="2">
        <v>1987</v>
      </c>
      <c r="C2201" s="2" t="s">
        <v>19</v>
      </c>
      <c r="D2201" s="3">
        <f t="shared" si="263"/>
        <v>96.302000000000007</v>
      </c>
      <c r="E2201" s="3">
        <f t="shared" si="264"/>
        <v>11.516999999999999</v>
      </c>
      <c r="F2201" s="3" t="e">
        <f t="shared" si="265"/>
        <v>#N/A</v>
      </c>
      <c r="G2201" s="3" t="e">
        <f t="shared" si="266"/>
        <v>#N/A</v>
      </c>
      <c r="H2201" s="3" t="e">
        <f t="shared" si="267"/>
        <v>#N/A</v>
      </c>
      <c r="I2201" s="3" t="e">
        <f t="shared" si="268"/>
        <v>#N/A</v>
      </c>
      <c r="J2201" s="2">
        <v>96302</v>
      </c>
      <c r="K2201" s="2">
        <v>11517</v>
      </c>
      <c r="P2201" s="3">
        <f>E2201*(VLOOKUP(B2201,Price_data!A$1:B$190,2,FALSE))</f>
        <v>19.246568661243</v>
      </c>
      <c r="Q2201" s="3" t="e">
        <f>G2201*(VLOOKUP(B2201,Price_data!A$1:B$190,2,FALSE))</f>
        <v>#N/A</v>
      </c>
      <c r="R2201" s="3" t="e">
        <f>I2201*(VLOOKUP(B2201,Price_data!A$1:B$190,2,FALSE))</f>
        <v>#N/A</v>
      </c>
      <c r="S2201" s="4" t="str">
        <f>(VLOOKUP(B2201,Price_data!A$1:C$190,3,FALSE))</f>
        <v>EEZ</v>
      </c>
      <c r="T2201" s="2" t="str">
        <f>IF(C2201="Total", (VLOOKUP(B2201,Recommended_fish_intake!A$4:D$122,4,FALSE)), "NA")</f>
        <v>NA</v>
      </c>
      <c r="U2201" s="2" t="str">
        <f t="shared" si="262"/>
        <v>NA</v>
      </c>
    </row>
    <row r="2202" spans="1:21" ht="14.25" customHeight="1">
      <c r="A2202" s="2" t="s">
        <v>39</v>
      </c>
      <c r="B2202" s="2">
        <v>1987</v>
      </c>
      <c r="C2202" s="2" t="s">
        <v>20</v>
      </c>
      <c r="D2202" s="3">
        <f t="shared" si="263"/>
        <v>170.35400000000001</v>
      </c>
      <c r="E2202" s="3">
        <f t="shared" si="264"/>
        <v>19.247</v>
      </c>
      <c r="F2202" s="3" t="e">
        <f t="shared" si="265"/>
        <v>#N/A</v>
      </c>
      <c r="G2202" s="3" t="e">
        <f t="shared" si="266"/>
        <v>#N/A</v>
      </c>
      <c r="H2202" s="3" t="e">
        <f t="shared" si="267"/>
        <v>#N/A</v>
      </c>
      <c r="I2202" s="3" t="e">
        <f t="shared" si="268"/>
        <v>#N/A</v>
      </c>
      <c r="J2202" s="2">
        <v>170354</v>
      </c>
      <c r="K2202" s="2">
        <v>19247</v>
      </c>
      <c r="P2202" s="3">
        <f>E2202*(VLOOKUP(B2202,Price_data!A$1:B$190,2,FALSE))</f>
        <v>32.164513937913</v>
      </c>
      <c r="Q2202" s="3" t="e">
        <f>G2202*(VLOOKUP(B2202,Price_data!A$1:B$190,2,FALSE))</f>
        <v>#N/A</v>
      </c>
      <c r="R2202" s="3" t="e">
        <f>I2202*(VLOOKUP(B2202,Price_data!A$1:B$190,2,FALSE))</f>
        <v>#N/A</v>
      </c>
      <c r="S2202" s="4" t="str">
        <f>(VLOOKUP(B2202,Price_data!A$1:C$190,3,FALSE))</f>
        <v>EEZ</v>
      </c>
      <c r="T2202" s="2" t="str">
        <f>IF(C2202="Total", (VLOOKUP(B2202,Recommended_fish_intake!A$4:D$122,4,FALSE)), "NA")</f>
        <v>NA</v>
      </c>
      <c r="U2202" s="2" t="str">
        <f t="shared" si="262"/>
        <v>NA</v>
      </c>
    </row>
    <row r="2203" spans="1:21" ht="14.25" customHeight="1">
      <c r="A2203" s="2" t="s">
        <v>39</v>
      </c>
      <c r="B2203" s="2">
        <v>1987</v>
      </c>
      <c r="C2203" s="2" t="s">
        <v>37</v>
      </c>
      <c r="D2203" s="3">
        <f t="shared" si="263"/>
        <v>535.92100000000005</v>
      </c>
      <c r="E2203" s="3">
        <f t="shared" si="264"/>
        <v>217.50700000000001</v>
      </c>
      <c r="F2203" s="3" t="e">
        <f t="shared" si="265"/>
        <v>#N/A</v>
      </c>
      <c r="G2203" s="3" t="e">
        <f t="shared" si="266"/>
        <v>#N/A</v>
      </c>
      <c r="H2203" s="3" t="e">
        <f t="shared" si="267"/>
        <v>#N/A</v>
      </c>
      <c r="I2203" s="3" t="e">
        <f t="shared" si="268"/>
        <v>#N/A</v>
      </c>
      <c r="J2203" s="2">
        <v>535921</v>
      </c>
      <c r="K2203" s="2">
        <v>217507</v>
      </c>
      <c r="P2203" s="3">
        <f>E2203*(VLOOKUP(B2203,Price_data!A$1:B$190,2,FALSE))</f>
        <v>363.48557869245298</v>
      </c>
      <c r="Q2203" s="3" t="e">
        <f>G2203*(VLOOKUP(B2203,Price_data!A$1:B$190,2,FALSE))</f>
        <v>#N/A</v>
      </c>
      <c r="R2203" s="3" t="e">
        <f>I2203*(VLOOKUP(B2203,Price_data!A$1:B$190,2,FALSE))</f>
        <v>#N/A</v>
      </c>
      <c r="S2203" s="4" t="str">
        <f>(VLOOKUP(B2203,Price_data!A$1:C$190,3,FALSE))</f>
        <v>EEZ</v>
      </c>
      <c r="T2203" s="2" t="str">
        <f>IF(C2203="Total", (VLOOKUP(B2203,Recommended_fish_intake!A$4:D$122,4,FALSE)), "NA")</f>
        <v>NA</v>
      </c>
      <c r="U2203" s="2">
        <f t="shared" si="262"/>
        <v>262.60129000000001</v>
      </c>
    </row>
    <row r="2204" spans="1:21" ht="14.25" customHeight="1">
      <c r="A2204" s="2" t="s">
        <v>39</v>
      </c>
      <c r="B2204" s="2">
        <v>1987</v>
      </c>
      <c r="C2204" s="2" t="s">
        <v>36</v>
      </c>
      <c r="D2204" s="3">
        <f t="shared" si="263"/>
        <v>5.2069999999999999</v>
      </c>
      <c r="E2204" s="3">
        <f t="shared" si="264"/>
        <v>2.9340000000000002</v>
      </c>
      <c r="F2204" s="3" t="e">
        <f t="shared" si="265"/>
        <v>#N/A</v>
      </c>
      <c r="G2204" s="3" t="e">
        <f t="shared" si="266"/>
        <v>#N/A</v>
      </c>
      <c r="H2204" s="3" t="e">
        <f t="shared" si="267"/>
        <v>#N/A</v>
      </c>
      <c r="I2204" s="3" t="e">
        <f t="shared" si="268"/>
        <v>#N/A</v>
      </c>
      <c r="J2204" s="2">
        <v>5207</v>
      </c>
      <c r="K2204" s="2">
        <v>2934</v>
      </c>
      <c r="P2204" s="3">
        <f>E2204*(VLOOKUP(B2204,Price_data!A$1:B$190,2,FALSE))</f>
        <v>4.903137314586</v>
      </c>
      <c r="Q2204" s="3" t="e">
        <f>G2204*(VLOOKUP(B2204,Price_data!A$1:B$190,2,FALSE))</f>
        <v>#N/A</v>
      </c>
      <c r="R2204" s="3" t="e">
        <f>I2204*(VLOOKUP(B2204,Price_data!A$1:B$190,2,FALSE))</f>
        <v>#N/A</v>
      </c>
      <c r="S2204" s="4" t="str">
        <f>(VLOOKUP(B2204,Price_data!A$1:C$190,3,FALSE))</f>
        <v>EEZ</v>
      </c>
      <c r="T2204" s="2" t="str">
        <f>IF(C2204="Total", (VLOOKUP(B2204,Recommended_fish_intake!A$4:D$122,4,FALSE)), "NA")</f>
        <v>NA</v>
      </c>
      <c r="U2204" s="2" t="str">
        <f t="shared" si="262"/>
        <v>NA</v>
      </c>
    </row>
    <row r="2205" spans="1:21" ht="14.25" customHeight="1">
      <c r="A2205" s="2" t="s">
        <v>39</v>
      </c>
      <c r="B2205" s="2">
        <v>1987</v>
      </c>
      <c r="C2205" s="2" t="s">
        <v>34</v>
      </c>
      <c r="D2205" s="3">
        <f t="shared" si="263"/>
        <v>0.60399999999999998</v>
      </c>
      <c r="E2205" s="3">
        <f t="shared" si="264"/>
        <v>5.0759999999999996</v>
      </c>
      <c r="F2205" s="3" t="e">
        <f t="shared" si="265"/>
        <v>#N/A</v>
      </c>
      <c r="G2205" s="3" t="e">
        <f t="shared" si="266"/>
        <v>#N/A</v>
      </c>
      <c r="H2205" s="3" t="e">
        <f t="shared" si="267"/>
        <v>#N/A</v>
      </c>
      <c r="I2205" s="3" t="e">
        <f t="shared" si="268"/>
        <v>#N/A</v>
      </c>
      <c r="J2205" s="2">
        <v>604</v>
      </c>
      <c r="K2205" s="2">
        <v>5076</v>
      </c>
      <c r="P2205" s="3">
        <f>E2205*(VLOOKUP(B2205,Price_data!A$1:B$190,2,FALSE))</f>
        <v>8.4827283602039998</v>
      </c>
      <c r="Q2205" s="3" t="e">
        <f>G2205*(VLOOKUP(B2205,Price_data!A$1:B$190,2,FALSE))</f>
        <v>#N/A</v>
      </c>
      <c r="R2205" s="3" t="e">
        <f>I2205*(VLOOKUP(B2205,Price_data!A$1:B$190,2,FALSE))</f>
        <v>#N/A</v>
      </c>
      <c r="S2205" s="4" t="str">
        <f>(VLOOKUP(B2205,Price_data!A$1:C$190,3,FALSE))</f>
        <v>EEZ</v>
      </c>
      <c r="T2205" s="2" t="str">
        <f>IF(C2205="Total", (VLOOKUP(B2205,Recommended_fish_intake!A$4:D$122,4,FALSE)), "NA")</f>
        <v>NA</v>
      </c>
      <c r="U2205" s="2" t="str">
        <f t="shared" si="262"/>
        <v>NA</v>
      </c>
    </row>
    <row r="2206" spans="1:21" ht="14.25" customHeight="1">
      <c r="A2206" s="2" t="s">
        <v>39</v>
      </c>
      <c r="B2206" s="2">
        <v>1987</v>
      </c>
      <c r="C2206" s="2" t="s">
        <v>35</v>
      </c>
      <c r="D2206" s="3">
        <f t="shared" si="263"/>
        <v>16.536000000000001</v>
      </c>
      <c r="E2206" s="3">
        <f t="shared" si="264"/>
        <v>32.643000000000001</v>
      </c>
      <c r="F2206" s="3" t="e">
        <f t="shared" si="265"/>
        <v>#N/A</v>
      </c>
      <c r="G2206" s="3" t="e">
        <f t="shared" si="266"/>
        <v>#N/A</v>
      </c>
      <c r="H2206" s="3" t="e">
        <f t="shared" si="267"/>
        <v>#N/A</v>
      </c>
      <c r="I2206" s="3" t="e">
        <f t="shared" si="268"/>
        <v>#N/A</v>
      </c>
      <c r="J2206" s="2">
        <v>16536</v>
      </c>
      <c r="K2206" s="2">
        <v>32643</v>
      </c>
      <c r="P2206" s="3">
        <f>E2206*(VLOOKUP(B2206,Price_data!A$1:B$190,2,FALSE))</f>
        <v>54.551162699396997</v>
      </c>
      <c r="Q2206" s="3" t="e">
        <f>G2206*(VLOOKUP(B2206,Price_data!A$1:B$190,2,FALSE))</f>
        <v>#N/A</v>
      </c>
      <c r="R2206" s="3" t="e">
        <f>I2206*(VLOOKUP(B2206,Price_data!A$1:B$190,2,FALSE))</f>
        <v>#N/A</v>
      </c>
      <c r="S2206" s="4" t="str">
        <f>(VLOOKUP(B2206,Price_data!A$1:C$190,3,FALSE))</f>
        <v>EEZ</v>
      </c>
      <c r="T2206" s="2" t="str">
        <f>IF(C2206="Total", (VLOOKUP(B2206,Recommended_fish_intake!A$4:D$122,4,FALSE)), "NA")</f>
        <v>NA</v>
      </c>
      <c r="U2206" s="2" t="str">
        <f t="shared" si="262"/>
        <v>NA</v>
      </c>
    </row>
    <row r="2207" spans="1:21" ht="14.25" customHeight="1">
      <c r="A2207" s="2" t="s">
        <v>39</v>
      </c>
      <c r="B2207" s="2">
        <v>1987</v>
      </c>
      <c r="C2207" s="2" t="s">
        <v>52</v>
      </c>
      <c r="D2207" s="3">
        <f t="shared" si="263"/>
        <v>4.758</v>
      </c>
      <c r="E2207" s="3">
        <f t="shared" si="264"/>
        <v>7.2469999999999999</v>
      </c>
      <c r="F2207" s="3" t="e">
        <f t="shared" si="265"/>
        <v>#N/A</v>
      </c>
      <c r="G2207" s="3" t="e">
        <f t="shared" si="266"/>
        <v>#N/A</v>
      </c>
      <c r="H2207" s="3" t="e">
        <f t="shared" si="267"/>
        <v>#N/A</v>
      </c>
      <c r="I2207" s="3" t="e">
        <f t="shared" si="268"/>
        <v>#N/A</v>
      </c>
      <c r="J2207" s="2">
        <v>4758</v>
      </c>
      <c r="K2207" s="2">
        <v>7247</v>
      </c>
      <c r="P2207" s="3">
        <f>E2207*(VLOOKUP(B2207,Price_data!A$1:B$190,2,FALSE))</f>
        <v>12.110782589912999</v>
      </c>
      <c r="Q2207" s="3" t="e">
        <f>G2207*(VLOOKUP(B2207,Price_data!A$1:B$190,2,FALSE))</f>
        <v>#N/A</v>
      </c>
      <c r="R2207" s="3" t="e">
        <f>I2207*(VLOOKUP(B2207,Price_data!A$1:B$190,2,FALSE))</f>
        <v>#N/A</v>
      </c>
      <c r="S2207" s="4" t="str">
        <f>(VLOOKUP(B2207,Price_data!A$1:C$190,3,FALSE))</f>
        <v>EEZ</v>
      </c>
      <c r="T2207" s="2" t="str">
        <f>IF(C2207="Total", (VLOOKUP(B2207,Recommended_fish_intake!A$4:D$122,4,FALSE)), "NA")</f>
        <v>NA</v>
      </c>
      <c r="U2207" s="2" t="str">
        <f t="shared" si="262"/>
        <v>NA</v>
      </c>
    </row>
    <row r="2208" spans="1:21" ht="14.25" customHeight="1">
      <c r="A2208" s="2" t="s">
        <v>39</v>
      </c>
      <c r="B2208" s="2">
        <v>1987</v>
      </c>
      <c r="C2208" s="2" t="s">
        <v>30</v>
      </c>
      <c r="D2208" s="3">
        <f t="shared" si="263"/>
        <v>0.80200000000000005</v>
      </c>
      <c r="E2208" s="3">
        <f t="shared" si="264"/>
        <v>0.95199999999999996</v>
      </c>
      <c r="F2208" s="3" t="e">
        <f t="shared" si="265"/>
        <v>#N/A</v>
      </c>
      <c r="G2208" s="3" t="e">
        <f t="shared" si="266"/>
        <v>#N/A</v>
      </c>
      <c r="H2208" s="3" t="e">
        <f t="shared" si="267"/>
        <v>#N/A</v>
      </c>
      <c r="I2208" s="3" t="e">
        <f t="shared" si="268"/>
        <v>#N/A</v>
      </c>
      <c r="J2208" s="2">
        <v>802</v>
      </c>
      <c r="K2208" s="2">
        <v>952</v>
      </c>
      <c r="P2208" s="3">
        <f>E2208*(VLOOKUP(B2208,Price_data!A$1:B$190,2,FALSE))</f>
        <v>1.5909293536079998</v>
      </c>
      <c r="Q2208" s="3" t="e">
        <f>G2208*(VLOOKUP(B2208,Price_data!A$1:B$190,2,FALSE))</f>
        <v>#N/A</v>
      </c>
      <c r="R2208" s="3" t="e">
        <f>I2208*(VLOOKUP(B2208,Price_data!A$1:B$190,2,FALSE))</f>
        <v>#N/A</v>
      </c>
      <c r="S2208" s="4" t="str">
        <f>(VLOOKUP(B2208,Price_data!A$1:C$190,3,FALSE))</f>
        <v>EEZ</v>
      </c>
      <c r="T2208" s="2" t="str">
        <f>IF(C2208="Total", (VLOOKUP(B2208,Recommended_fish_intake!A$4:D$122,4,FALSE)), "NA")</f>
        <v>NA</v>
      </c>
      <c r="U2208" s="2" t="str">
        <f t="shared" si="262"/>
        <v>NA</v>
      </c>
    </row>
    <row r="2209" spans="1:21" ht="14.25" customHeight="1">
      <c r="A2209" s="2" t="s">
        <v>39</v>
      </c>
      <c r="B2209" s="2">
        <v>1987</v>
      </c>
      <c r="C2209" s="2" t="s">
        <v>28</v>
      </c>
      <c r="D2209" s="3">
        <f t="shared" si="263"/>
        <v>38.941000000000003</v>
      </c>
      <c r="E2209" s="3">
        <f t="shared" si="264"/>
        <v>56.067</v>
      </c>
      <c r="F2209" s="3" t="e">
        <f t="shared" si="265"/>
        <v>#N/A</v>
      </c>
      <c r="G2209" s="3" t="e">
        <f t="shared" si="266"/>
        <v>#N/A</v>
      </c>
      <c r="H2209" s="3" t="e">
        <f t="shared" si="267"/>
        <v>#N/A</v>
      </c>
      <c r="I2209" s="3" t="e">
        <f t="shared" si="268"/>
        <v>#N/A</v>
      </c>
      <c r="J2209" s="2">
        <v>38941</v>
      </c>
      <c r="K2209" s="2">
        <v>56067</v>
      </c>
      <c r="P2209" s="3">
        <f>E2209*(VLOOKUP(B2209,Price_data!A$1:B$190,2,FALSE))</f>
        <v>93.696046290693005</v>
      </c>
      <c r="Q2209" s="3" t="e">
        <f>G2209*(VLOOKUP(B2209,Price_data!A$1:B$190,2,FALSE))</f>
        <v>#N/A</v>
      </c>
      <c r="R2209" s="3" t="e">
        <f>I2209*(VLOOKUP(B2209,Price_data!A$1:B$190,2,FALSE))</f>
        <v>#N/A</v>
      </c>
      <c r="S2209" s="4" t="str">
        <f>(VLOOKUP(B2209,Price_data!A$1:C$190,3,FALSE))</f>
        <v>EEZ</v>
      </c>
      <c r="T2209" s="2" t="str">
        <f>IF(C2209="Total", (VLOOKUP(B2209,Recommended_fish_intake!A$4:D$122,4,FALSE)), "NA")</f>
        <v>NA</v>
      </c>
      <c r="U2209" s="2">
        <f t="shared" si="262"/>
        <v>10.903480000000002</v>
      </c>
    </row>
    <row r="2210" spans="1:21" ht="14.25" customHeight="1">
      <c r="A2210" s="2" t="s">
        <v>40</v>
      </c>
      <c r="B2210" s="2">
        <v>1987</v>
      </c>
      <c r="C2210" s="2" t="s">
        <v>22</v>
      </c>
      <c r="D2210" s="3">
        <f t="shared" si="263"/>
        <v>3.1579999999999999</v>
      </c>
      <c r="E2210" s="3">
        <f t="shared" si="264"/>
        <v>3.47</v>
      </c>
      <c r="F2210" s="3" t="e">
        <f t="shared" si="265"/>
        <v>#N/A</v>
      </c>
      <c r="G2210" s="3" t="e">
        <f t="shared" si="266"/>
        <v>#N/A</v>
      </c>
      <c r="H2210" s="3" t="e">
        <f t="shared" si="267"/>
        <v>#N/A</v>
      </c>
      <c r="I2210" s="3" t="e">
        <f t="shared" si="268"/>
        <v>#N/A</v>
      </c>
      <c r="J2210" s="2">
        <v>3158</v>
      </c>
      <c r="K2210" s="2">
        <v>3470</v>
      </c>
      <c r="P2210" s="3">
        <f>E2210*(VLOOKUP(B2210,Price_data!A$1:B$190,2,FALSE))</f>
        <v>5.7988706481300003</v>
      </c>
      <c r="Q2210" s="3" t="e">
        <f>G2210*(VLOOKUP(B2210,Price_data!A$1:B$190,2,FALSE))</f>
        <v>#N/A</v>
      </c>
      <c r="R2210" s="3" t="e">
        <f>I2210*(VLOOKUP(B2210,Price_data!A$1:B$190,2,FALSE))</f>
        <v>#N/A</v>
      </c>
      <c r="S2210" s="4" t="str">
        <f>(VLOOKUP(B2210,Price_data!A$1:C$190,3,FALSE))</f>
        <v>EEZ</v>
      </c>
      <c r="T2210" s="2" t="str">
        <f>IF(C2210="Total", (VLOOKUP(B2210,Recommended_fish_intake!A$4:D$122,4,FALSE)), "NA")</f>
        <v>NA</v>
      </c>
      <c r="U2210" s="2" t="str">
        <f t="shared" si="262"/>
        <v>NA</v>
      </c>
    </row>
    <row r="2211" spans="1:21" ht="14.25" customHeight="1">
      <c r="A2211" s="2" t="s">
        <v>40</v>
      </c>
      <c r="B2211" s="2">
        <v>1987</v>
      </c>
      <c r="C2211" s="2" t="s">
        <v>23</v>
      </c>
      <c r="D2211" s="3">
        <f t="shared" si="263"/>
        <v>0.19800000000000001</v>
      </c>
      <c r="E2211" s="3">
        <f t="shared" si="264"/>
        <v>0.158</v>
      </c>
      <c r="F2211" s="3" t="e">
        <f t="shared" si="265"/>
        <v>#N/A</v>
      </c>
      <c r="G2211" s="3" t="e">
        <f t="shared" si="266"/>
        <v>#N/A</v>
      </c>
      <c r="H2211" s="3" t="e">
        <f t="shared" si="267"/>
        <v>#N/A</v>
      </c>
      <c r="I2211" s="3" t="e">
        <f t="shared" si="268"/>
        <v>#N/A</v>
      </c>
      <c r="J2211" s="2">
        <v>198</v>
      </c>
      <c r="K2211" s="2">
        <v>158</v>
      </c>
      <c r="P2211" s="3">
        <f>E2211*(VLOOKUP(B2211,Price_data!A$1:B$190,2,FALSE))</f>
        <v>0.26404079608199998</v>
      </c>
      <c r="Q2211" s="3" t="e">
        <f>G2211*(VLOOKUP(B2211,Price_data!A$1:B$190,2,FALSE))</f>
        <v>#N/A</v>
      </c>
      <c r="R2211" s="3" t="e">
        <f>I2211*(VLOOKUP(B2211,Price_data!A$1:B$190,2,FALSE))</f>
        <v>#N/A</v>
      </c>
      <c r="S2211" s="4" t="str">
        <f>(VLOOKUP(B2211,Price_data!A$1:C$190,3,FALSE))</f>
        <v>EEZ</v>
      </c>
      <c r="T2211" s="2" t="str">
        <f>IF(C2211="Total", (VLOOKUP(B2211,Recommended_fish_intake!A$4:D$122,4,FALSE)), "NA")</f>
        <v>NA</v>
      </c>
      <c r="U2211" s="2" t="str">
        <f t="shared" si="262"/>
        <v>NA</v>
      </c>
    </row>
    <row r="2212" spans="1:21" ht="14.25" customHeight="1">
      <c r="A2212" s="2" t="s">
        <v>40</v>
      </c>
      <c r="B2212" s="2">
        <v>1987</v>
      </c>
      <c r="C2212" s="2" t="s">
        <v>58</v>
      </c>
      <c r="D2212" s="3">
        <f t="shared" ref="D2212:D2241" si="269">J2212/1000</f>
        <v>0.192</v>
      </c>
      <c r="E2212" s="3">
        <f t="shared" ref="E2212:E2241" si="270">K2212/1000</f>
        <v>0.27800000000000002</v>
      </c>
      <c r="F2212" s="3" t="e">
        <f t="shared" ref="F2212:F2241" si="271">IF(L2212="", NA(), L2212/1000)</f>
        <v>#N/A</v>
      </c>
      <c r="G2212" s="3" t="e">
        <f t="shared" ref="G2212:G2241" si="272">IF(M2212="", NA(), M2212/1000)</f>
        <v>#N/A</v>
      </c>
      <c r="H2212" s="3" t="e">
        <f t="shared" ref="H2212:H2241" si="273">IF(N2212="", NA(), N2212/1000)</f>
        <v>#N/A</v>
      </c>
      <c r="I2212" s="3" t="e">
        <f t="shared" ref="I2212:I2241" si="274">IF(O2212="", NA(), O2212/1000)</f>
        <v>#N/A</v>
      </c>
      <c r="J2212" s="2">
        <v>192</v>
      </c>
      <c r="K2212" s="2">
        <v>278</v>
      </c>
      <c r="P2212" s="3">
        <f>E2212*(VLOOKUP(B2212,Price_data!A$1:B$190,2,FALSE))</f>
        <v>0.46457810956200002</v>
      </c>
      <c r="Q2212" s="3" t="e">
        <f>G2212*(VLOOKUP(B2212,Price_data!A$1:B$190,2,FALSE))</f>
        <v>#N/A</v>
      </c>
      <c r="R2212" s="3" t="e">
        <f>I2212*(VLOOKUP(B2212,Price_data!A$1:B$190,2,FALSE))</f>
        <v>#N/A</v>
      </c>
      <c r="S2212" s="4" t="str">
        <f>(VLOOKUP(B2212,Price_data!A$1:C$190,3,FALSE))</f>
        <v>EEZ</v>
      </c>
      <c r="T2212" s="2" t="str">
        <f>IF(C2212="Total", (VLOOKUP(B2212,Recommended_fish_intake!A$4:D$122,4,FALSE)), "NA")</f>
        <v>NA</v>
      </c>
      <c r="U2212" s="2" t="str">
        <f t="shared" si="262"/>
        <v>NA</v>
      </c>
    </row>
    <row r="2213" spans="1:21" ht="14.25" customHeight="1">
      <c r="A2213" s="2" t="s">
        <v>40</v>
      </c>
      <c r="B2213" s="2">
        <v>1987</v>
      </c>
      <c r="C2213" s="2" t="s">
        <v>25</v>
      </c>
      <c r="D2213" s="3">
        <f t="shared" si="269"/>
        <v>0.316</v>
      </c>
      <c r="E2213" s="3">
        <f t="shared" si="270"/>
        <v>0.18</v>
      </c>
      <c r="F2213" s="3" t="e">
        <f t="shared" si="271"/>
        <v>#N/A</v>
      </c>
      <c r="G2213" s="3" t="e">
        <f t="shared" si="272"/>
        <v>#N/A</v>
      </c>
      <c r="H2213" s="3" t="e">
        <f t="shared" si="273"/>
        <v>#N/A</v>
      </c>
      <c r="I2213" s="3" t="e">
        <f t="shared" si="274"/>
        <v>#N/A</v>
      </c>
      <c r="J2213" s="2">
        <v>316</v>
      </c>
      <c r="K2213" s="2">
        <v>180</v>
      </c>
      <c r="P2213" s="3">
        <f>E2213*(VLOOKUP(B2213,Price_data!A$1:B$190,2,FALSE))</f>
        <v>0.30080597022</v>
      </c>
      <c r="Q2213" s="3" t="e">
        <f>G2213*(VLOOKUP(B2213,Price_data!A$1:B$190,2,FALSE))</f>
        <v>#N/A</v>
      </c>
      <c r="R2213" s="3" t="e">
        <f>I2213*(VLOOKUP(B2213,Price_data!A$1:B$190,2,FALSE))</f>
        <v>#N/A</v>
      </c>
      <c r="S2213" s="4" t="str">
        <f>(VLOOKUP(B2213,Price_data!A$1:C$190,3,FALSE))</f>
        <v>EEZ</v>
      </c>
      <c r="T2213" s="2" t="str">
        <f>IF(C2213="Total", (VLOOKUP(B2213,Recommended_fish_intake!A$4:D$122,4,FALSE)), "NA")</f>
        <v>NA</v>
      </c>
      <c r="U2213" s="2" t="str">
        <f t="shared" si="262"/>
        <v>NA</v>
      </c>
    </row>
    <row r="2214" spans="1:21" ht="14.25" customHeight="1">
      <c r="A2214" s="2" t="s">
        <v>40</v>
      </c>
      <c r="B2214" s="2">
        <v>1987</v>
      </c>
      <c r="C2214" s="2" t="s">
        <v>24</v>
      </c>
      <c r="D2214" s="3">
        <f t="shared" si="269"/>
        <v>4.8600000000000003</v>
      </c>
      <c r="E2214" s="3">
        <f t="shared" si="270"/>
        <v>1.9570000000000001</v>
      </c>
      <c r="F2214" s="3" t="e">
        <f t="shared" si="271"/>
        <v>#N/A</v>
      </c>
      <c r="G2214" s="3" t="e">
        <f t="shared" si="272"/>
        <v>#N/A</v>
      </c>
      <c r="H2214" s="3" t="e">
        <f t="shared" si="273"/>
        <v>#N/A</v>
      </c>
      <c r="I2214" s="3" t="e">
        <f t="shared" si="274"/>
        <v>#N/A</v>
      </c>
      <c r="J2214" s="2">
        <v>4860</v>
      </c>
      <c r="K2214" s="2">
        <v>1957</v>
      </c>
      <c r="P2214" s="3">
        <f>E2214*(VLOOKUP(B2214,Price_data!A$1:B$190,2,FALSE))</f>
        <v>3.2704293540029998</v>
      </c>
      <c r="Q2214" s="3" t="e">
        <f>G2214*(VLOOKUP(B2214,Price_data!A$1:B$190,2,FALSE))</f>
        <v>#N/A</v>
      </c>
      <c r="R2214" s="3" t="e">
        <f>I2214*(VLOOKUP(B2214,Price_data!A$1:B$190,2,FALSE))</f>
        <v>#N/A</v>
      </c>
      <c r="S2214" s="4" t="str">
        <f>(VLOOKUP(B2214,Price_data!A$1:C$190,3,FALSE))</f>
        <v>EEZ</v>
      </c>
      <c r="T2214" s="2" t="str">
        <f>IF(C2214="Total", (VLOOKUP(B2214,Recommended_fish_intake!A$4:D$122,4,FALSE)), "NA")</f>
        <v>NA</v>
      </c>
      <c r="U2214" s="2" t="str">
        <f t="shared" si="262"/>
        <v>NA</v>
      </c>
    </row>
    <row r="2215" spans="1:21" ht="14.25" customHeight="1">
      <c r="A2215" s="2" t="s">
        <v>40</v>
      </c>
      <c r="B2215" s="2">
        <v>1987</v>
      </c>
      <c r="C2215" s="2" t="s">
        <v>19</v>
      </c>
      <c r="D2215" s="3">
        <f t="shared" si="269"/>
        <v>2.6520000000000001</v>
      </c>
      <c r="E2215" s="3">
        <f t="shared" si="270"/>
        <v>0.32800000000000001</v>
      </c>
      <c r="F2215" s="3" t="e">
        <f t="shared" si="271"/>
        <v>#N/A</v>
      </c>
      <c r="G2215" s="3" t="e">
        <f t="shared" si="272"/>
        <v>#N/A</v>
      </c>
      <c r="H2215" s="3" t="e">
        <f t="shared" si="273"/>
        <v>#N/A</v>
      </c>
      <c r="I2215" s="3" t="e">
        <f t="shared" si="274"/>
        <v>#N/A</v>
      </c>
      <c r="J2215" s="2">
        <v>2652</v>
      </c>
      <c r="K2215" s="2">
        <v>328</v>
      </c>
      <c r="P2215" s="3">
        <f>E2215*(VLOOKUP(B2215,Price_data!A$1:B$190,2,FALSE))</f>
        <v>0.54813532351200001</v>
      </c>
      <c r="Q2215" s="3" t="e">
        <f>G2215*(VLOOKUP(B2215,Price_data!A$1:B$190,2,FALSE))</f>
        <v>#N/A</v>
      </c>
      <c r="R2215" s="3" t="e">
        <f>I2215*(VLOOKUP(B2215,Price_data!A$1:B$190,2,FALSE))</f>
        <v>#N/A</v>
      </c>
      <c r="S2215" s="4" t="str">
        <f>(VLOOKUP(B2215,Price_data!A$1:C$190,3,FALSE))</f>
        <v>EEZ</v>
      </c>
      <c r="T2215" s="2" t="str">
        <f>IF(C2215="Total", (VLOOKUP(B2215,Recommended_fish_intake!A$4:D$122,4,FALSE)), "NA")</f>
        <v>NA</v>
      </c>
      <c r="U2215" s="2" t="str">
        <f t="shared" si="262"/>
        <v>NA</v>
      </c>
    </row>
    <row r="2216" spans="1:21" ht="14.25" customHeight="1">
      <c r="A2216" s="2" t="s">
        <v>40</v>
      </c>
      <c r="B2216" s="2">
        <v>1987</v>
      </c>
      <c r="C2216" s="2" t="s">
        <v>20</v>
      </c>
      <c r="D2216" s="3">
        <f t="shared" si="269"/>
        <v>0.55400000000000005</v>
      </c>
      <c r="E2216" s="3">
        <f t="shared" si="270"/>
        <v>6.7000000000000004E-2</v>
      </c>
      <c r="F2216" s="3" t="e">
        <f t="shared" si="271"/>
        <v>#N/A</v>
      </c>
      <c r="G2216" s="3" t="e">
        <f t="shared" si="272"/>
        <v>#N/A</v>
      </c>
      <c r="H2216" s="3" t="e">
        <f t="shared" si="273"/>
        <v>#N/A</v>
      </c>
      <c r="I2216" s="3" t="e">
        <f t="shared" si="274"/>
        <v>#N/A</v>
      </c>
      <c r="J2216" s="2">
        <v>554</v>
      </c>
      <c r="K2216" s="2">
        <v>67</v>
      </c>
      <c r="P2216" s="3">
        <f>E2216*(VLOOKUP(B2216,Price_data!A$1:B$190,2,FALSE))</f>
        <v>0.111966666693</v>
      </c>
      <c r="Q2216" s="3" t="e">
        <f>G2216*(VLOOKUP(B2216,Price_data!A$1:B$190,2,FALSE))</f>
        <v>#N/A</v>
      </c>
      <c r="R2216" s="3" t="e">
        <f>I2216*(VLOOKUP(B2216,Price_data!A$1:B$190,2,FALSE))</f>
        <v>#N/A</v>
      </c>
      <c r="S2216" s="4" t="str">
        <f>(VLOOKUP(B2216,Price_data!A$1:C$190,3,FALSE))</f>
        <v>EEZ</v>
      </c>
      <c r="T2216" s="2" t="str">
        <f>IF(C2216="Total", (VLOOKUP(B2216,Recommended_fish_intake!A$4:D$122,4,FALSE)), "NA")</f>
        <v>NA</v>
      </c>
      <c r="U2216" s="2" t="str">
        <f t="shared" si="262"/>
        <v>NA</v>
      </c>
    </row>
    <row r="2217" spans="1:21" ht="14.25" customHeight="1">
      <c r="A2217" s="2" t="s">
        <v>40</v>
      </c>
      <c r="B2217" s="2">
        <v>1987</v>
      </c>
      <c r="C2217" s="2" t="s">
        <v>37</v>
      </c>
      <c r="D2217" s="3">
        <f t="shared" si="269"/>
        <v>14.691000000000001</v>
      </c>
      <c r="E2217" s="3">
        <f t="shared" si="270"/>
        <v>8.5990000000000002</v>
      </c>
      <c r="F2217" s="3" t="e">
        <f t="shared" si="271"/>
        <v>#N/A</v>
      </c>
      <c r="G2217" s="3" t="e">
        <f t="shared" si="272"/>
        <v>#N/A</v>
      </c>
      <c r="H2217" s="3" t="e">
        <f t="shared" si="273"/>
        <v>#N/A</v>
      </c>
      <c r="I2217" s="3" t="e">
        <f t="shared" si="274"/>
        <v>#N/A</v>
      </c>
      <c r="J2217" s="2">
        <v>14691</v>
      </c>
      <c r="K2217" s="2">
        <v>8599</v>
      </c>
      <c r="P2217" s="3">
        <f>E2217*(VLOOKUP(B2217,Price_data!A$1:B$190,2,FALSE))</f>
        <v>14.370169655121</v>
      </c>
      <c r="Q2217" s="3" t="e">
        <f>G2217*(VLOOKUP(B2217,Price_data!A$1:B$190,2,FALSE))</f>
        <v>#N/A</v>
      </c>
      <c r="R2217" s="3" t="e">
        <f>I2217*(VLOOKUP(B2217,Price_data!A$1:B$190,2,FALSE))</f>
        <v>#N/A</v>
      </c>
      <c r="S2217" s="4" t="str">
        <f>(VLOOKUP(B2217,Price_data!A$1:C$190,3,FALSE))</f>
        <v>EEZ</v>
      </c>
      <c r="T2217" s="2" t="str">
        <f>IF(C2217="Total", (VLOOKUP(B2217,Recommended_fish_intake!A$4:D$122,4,FALSE)), "NA")</f>
        <v>NA</v>
      </c>
      <c r="U2217" s="2">
        <f t="shared" si="262"/>
        <v>7.1985900000000003</v>
      </c>
    </row>
    <row r="2218" spans="1:21" ht="14.25" customHeight="1">
      <c r="A2218" s="2" t="s">
        <v>40</v>
      </c>
      <c r="B2218" s="2">
        <v>1987</v>
      </c>
      <c r="C2218" s="2" t="s">
        <v>36</v>
      </c>
      <c r="D2218" s="3">
        <f t="shared" si="269"/>
        <v>2.4E-2</v>
      </c>
      <c r="E2218" s="3">
        <f t="shared" si="270"/>
        <v>8.0000000000000002E-3</v>
      </c>
      <c r="F2218" s="3" t="e">
        <f t="shared" si="271"/>
        <v>#N/A</v>
      </c>
      <c r="G2218" s="3" t="e">
        <f t="shared" si="272"/>
        <v>#N/A</v>
      </c>
      <c r="H2218" s="3" t="e">
        <f t="shared" si="273"/>
        <v>#N/A</v>
      </c>
      <c r="I2218" s="3" t="e">
        <f t="shared" si="274"/>
        <v>#N/A</v>
      </c>
      <c r="J2218" s="2">
        <v>24</v>
      </c>
      <c r="K2218" s="2">
        <v>8</v>
      </c>
      <c r="P2218" s="3">
        <f>E2218*(VLOOKUP(B2218,Price_data!A$1:B$190,2,FALSE))</f>
        <v>1.3369154232E-2</v>
      </c>
      <c r="Q2218" s="3" t="e">
        <f>G2218*(VLOOKUP(B2218,Price_data!A$1:B$190,2,FALSE))</f>
        <v>#N/A</v>
      </c>
      <c r="R2218" s="3" t="e">
        <f>I2218*(VLOOKUP(B2218,Price_data!A$1:B$190,2,FALSE))</f>
        <v>#N/A</v>
      </c>
      <c r="S2218" s="4" t="str">
        <f>(VLOOKUP(B2218,Price_data!A$1:C$190,3,FALSE))</f>
        <v>EEZ</v>
      </c>
      <c r="T2218" s="2" t="str">
        <f>IF(C2218="Total", (VLOOKUP(B2218,Recommended_fish_intake!A$4:D$122,4,FALSE)), "NA")</f>
        <v>NA</v>
      </c>
      <c r="U2218" s="2" t="str">
        <f t="shared" si="262"/>
        <v>NA</v>
      </c>
    </row>
    <row r="2219" spans="1:21" ht="14.25" customHeight="1">
      <c r="A2219" s="2" t="s">
        <v>40</v>
      </c>
      <c r="B2219" s="2">
        <v>1987</v>
      </c>
      <c r="C2219" s="2" t="s">
        <v>34</v>
      </c>
      <c r="D2219" s="3">
        <f t="shared" si="269"/>
        <v>1.4E-2</v>
      </c>
      <c r="E2219" s="3">
        <f t="shared" si="270"/>
        <v>9.9000000000000005E-2</v>
      </c>
      <c r="F2219" s="3" t="e">
        <f t="shared" si="271"/>
        <v>#N/A</v>
      </c>
      <c r="G2219" s="3" t="e">
        <f t="shared" si="272"/>
        <v>#N/A</v>
      </c>
      <c r="H2219" s="3" t="e">
        <f t="shared" si="273"/>
        <v>#N/A</v>
      </c>
      <c r="I2219" s="3" t="e">
        <f t="shared" si="274"/>
        <v>#N/A</v>
      </c>
      <c r="J2219" s="2">
        <v>14</v>
      </c>
      <c r="K2219" s="2">
        <v>99</v>
      </c>
      <c r="P2219" s="3">
        <f>E2219*(VLOOKUP(B2219,Price_data!A$1:B$190,2,FALSE))</f>
        <v>0.165443283621</v>
      </c>
      <c r="Q2219" s="3" t="e">
        <f>G2219*(VLOOKUP(B2219,Price_data!A$1:B$190,2,FALSE))</f>
        <v>#N/A</v>
      </c>
      <c r="R2219" s="3" t="e">
        <f>I2219*(VLOOKUP(B2219,Price_data!A$1:B$190,2,FALSE))</f>
        <v>#N/A</v>
      </c>
      <c r="S2219" s="4" t="str">
        <f>(VLOOKUP(B2219,Price_data!A$1:C$190,3,FALSE))</f>
        <v>EEZ</v>
      </c>
      <c r="T2219" s="2" t="str">
        <f>IF(C2219="Total", (VLOOKUP(B2219,Recommended_fish_intake!A$4:D$122,4,FALSE)), "NA")</f>
        <v>NA</v>
      </c>
      <c r="U2219" s="2" t="str">
        <f t="shared" si="262"/>
        <v>NA</v>
      </c>
    </row>
    <row r="2220" spans="1:21" ht="14.25" customHeight="1">
      <c r="A2220" s="2" t="s">
        <v>40</v>
      </c>
      <c r="B2220" s="2">
        <v>1987</v>
      </c>
      <c r="C2220" s="2" t="s">
        <v>35</v>
      </c>
      <c r="D2220" s="3">
        <f t="shared" si="269"/>
        <v>5.0410000000000004</v>
      </c>
      <c r="E2220" s="3">
        <f t="shared" si="270"/>
        <v>5.6790000000000003</v>
      </c>
      <c r="F2220" s="3" t="e">
        <f t="shared" si="271"/>
        <v>#N/A</v>
      </c>
      <c r="G2220" s="3" t="e">
        <f t="shared" si="272"/>
        <v>#N/A</v>
      </c>
      <c r="H2220" s="3" t="e">
        <f t="shared" si="273"/>
        <v>#N/A</v>
      </c>
      <c r="I2220" s="3" t="e">
        <f t="shared" si="274"/>
        <v>#N/A</v>
      </c>
      <c r="J2220" s="2">
        <v>5041</v>
      </c>
      <c r="K2220" s="2">
        <v>5679</v>
      </c>
      <c r="P2220" s="3">
        <f>E2220*(VLOOKUP(B2220,Price_data!A$1:B$190,2,FALSE))</f>
        <v>9.4904283604409994</v>
      </c>
      <c r="Q2220" s="3" t="e">
        <f>G2220*(VLOOKUP(B2220,Price_data!A$1:B$190,2,FALSE))</f>
        <v>#N/A</v>
      </c>
      <c r="R2220" s="3" t="e">
        <f>I2220*(VLOOKUP(B2220,Price_data!A$1:B$190,2,FALSE))</f>
        <v>#N/A</v>
      </c>
      <c r="S2220" s="4" t="str">
        <f>(VLOOKUP(B2220,Price_data!A$1:C$190,3,FALSE))</f>
        <v>EEZ</v>
      </c>
      <c r="T2220" s="2" t="str">
        <f>IF(C2220="Total", (VLOOKUP(B2220,Recommended_fish_intake!A$4:D$122,4,FALSE)), "NA")</f>
        <v>NA</v>
      </c>
      <c r="U2220" s="2" t="str">
        <f t="shared" si="262"/>
        <v>NA</v>
      </c>
    </row>
    <row r="2221" spans="1:21" ht="14.25" customHeight="1">
      <c r="A2221" s="2" t="s">
        <v>40</v>
      </c>
      <c r="B2221" s="2">
        <v>1987</v>
      </c>
      <c r="C2221" s="2" t="s">
        <v>52</v>
      </c>
      <c r="D2221" s="3">
        <f t="shared" si="269"/>
        <v>0.308</v>
      </c>
      <c r="E2221" s="3">
        <f t="shared" si="270"/>
        <v>0.47699999999999998</v>
      </c>
      <c r="F2221" s="3" t="e">
        <f t="shared" si="271"/>
        <v>#N/A</v>
      </c>
      <c r="G2221" s="3" t="e">
        <f t="shared" si="272"/>
        <v>#N/A</v>
      </c>
      <c r="H2221" s="3" t="e">
        <f t="shared" si="273"/>
        <v>#N/A</v>
      </c>
      <c r="I2221" s="3" t="e">
        <f t="shared" si="274"/>
        <v>#N/A</v>
      </c>
      <c r="J2221" s="2">
        <v>308</v>
      </c>
      <c r="K2221" s="2">
        <v>477</v>
      </c>
      <c r="P2221" s="3">
        <f>E2221*(VLOOKUP(B2221,Price_data!A$1:B$190,2,FALSE))</f>
        <v>0.79713582108299996</v>
      </c>
      <c r="Q2221" s="3" t="e">
        <f>G2221*(VLOOKUP(B2221,Price_data!A$1:B$190,2,FALSE))</f>
        <v>#N/A</v>
      </c>
      <c r="R2221" s="3" t="e">
        <f>I2221*(VLOOKUP(B2221,Price_data!A$1:B$190,2,FALSE))</f>
        <v>#N/A</v>
      </c>
      <c r="S2221" s="4" t="str">
        <f>(VLOOKUP(B2221,Price_data!A$1:C$190,3,FALSE))</f>
        <v>EEZ</v>
      </c>
      <c r="T2221" s="2" t="str">
        <f>IF(C2221="Total", (VLOOKUP(B2221,Recommended_fish_intake!A$4:D$122,4,FALSE)), "NA")</f>
        <v>NA</v>
      </c>
      <c r="U2221" s="2" t="str">
        <f t="shared" si="262"/>
        <v>NA</v>
      </c>
    </row>
    <row r="2222" spans="1:21" ht="14.25" customHeight="1">
      <c r="A2222" s="2" t="s">
        <v>40</v>
      </c>
      <c r="B2222" s="2">
        <v>1987</v>
      </c>
      <c r="C2222" s="2" t="s">
        <v>30</v>
      </c>
      <c r="D2222" s="3">
        <f t="shared" si="269"/>
        <v>0</v>
      </c>
      <c r="E2222" s="3">
        <f t="shared" si="270"/>
        <v>0</v>
      </c>
      <c r="F2222" s="3" t="e">
        <f t="shared" si="271"/>
        <v>#N/A</v>
      </c>
      <c r="G2222" s="3" t="e">
        <f t="shared" si="272"/>
        <v>#N/A</v>
      </c>
      <c r="H2222" s="3" t="e">
        <f t="shared" si="273"/>
        <v>#N/A</v>
      </c>
      <c r="I2222" s="3" t="e">
        <f t="shared" si="274"/>
        <v>#N/A</v>
      </c>
      <c r="J2222" s="2">
        <v>0</v>
      </c>
      <c r="K2222" s="2">
        <v>0</v>
      </c>
      <c r="P2222" s="3">
        <f>E2222*(VLOOKUP(B2222,Price_data!A$1:B$190,2,FALSE))</f>
        <v>0</v>
      </c>
      <c r="Q2222" s="3" t="e">
        <f>G2222*(VLOOKUP(B2222,Price_data!A$1:B$190,2,FALSE))</f>
        <v>#N/A</v>
      </c>
      <c r="R2222" s="3" t="e">
        <f>I2222*(VLOOKUP(B2222,Price_data!A$1:B$190,2,FALSE))</f>
        <v>#N/A</v>
      </c>
      <c r="S2222" s="4" t="str">
        <f>(VLOOKUP(B2222,Price_data!A$1:C$190,3,FALSE))</f>
        <v>EEZ</v>
      </c>
      <c r="T2222" s="2" t="str">
        <f>IF(C2222="Total", (VLOOKUP(B2222,Recommended_fish_intake!A$4:D$122,4,FALSE)), "NA")</f>
        <v>NA</v>
      </c>
      <c r="U2222" s="2" t="str">
        <f t="shared" si="262"/>
        <v>NA</v>
      </c>
    </row>
    <row r="2223" spans="1:21" ht="14.25" customHeight="1">
      <c r="A2223" s="2" t="s">
        <v>40</v>
      </c>
      <c r="B2223" s="2">
        <v>1987</v>
      </c>
      <c r="C2223" s="2" t="s">
        <v>28</v>
      </c>
      <c r="D2223" s="3">
        <f t="shared" si="269"/>
        <v>5.7489999999999997</v>
      </c>
      <c r="E2223" s="3">
        <f t="shared" si="270"/>
        <v>6.4370000000000003</v>
      </c>
      <c r="F2223" s="3" t="e">
        <f t="shared" si="271"/>
        <v>#N/A</v>
      </c>
      <c r="G2223" s="3" t="e">
        <f t="shared" si="272"/>
        <v>#N/A</v>
      </c>
      <c r="H2223" s="3" t="e">
        <f t="shared" si="273"/>
        <v>#N/A</v>
      </c>
      <c r="I2223" s="3" t="e">
        <f t="shared" si="274"/>
        <v>#N/A</v>
      </c>
      <c r="J2223" s="2">
        <v>5749</v>
      </c>
      <c r="K2223" s="2">
        <v>6437</v>
      </c>
      <c r="P2223" s="3">
        <f>E2223*(VLOOKUP(B2223,Price_data!A$1:B$190,2,FALSE))</f>
        <v>10.757155723923001</v>
      </c>
      <c r="Q2223" s="3" t="e">
        <f>G2223*(VLOOKUP(B2223,Price_data!A$1:B$190,2,FALSE))</f>
        <v>#N/A</v>
      </c>
      <c r="R2223" s="3" t="e">
        <f>I2223*(VLOOKUP(B2223,Price_data!A$1:B$190,2,FALSE))</f>
        <v>#N/A</v>
      </c>
      <c r="S2223" s="4" t="str">
        <f>(VLOOKUP(B2223,Price_data!A$1:C$190,3,FALSE))</f>
        <v>EEZ</v>
      </c>
      <c r="T2223" s="2" t="str">
        <f>IF(C2223="Total", (VLOOKUP(B2223,Recommended_fish_intake!A$4:D$122,4,FALSE)), "NA")</f>
        <v>NA</v>
      </c>
      <c r="U2223" s="2">
        <f t="shared" si="262"/>
        <v>1.60972</v>
      </c>
    </row>
    <row r="2224" spans="1:21" ht="14.25" customHeight="1">
      <c r="A2224" s="2" t="s">
        <v>15</v>
      </c>
      <c r="B2224" s="2">
        <v>1987</v>
      </c>
      <c r="C2224" s="2" t="s">
        <v>22</v>
      </c>
      <c r="D2224" s="3">
        <f t="shared" si="269"/>
        <v>93.58</v>
      </c>
      <c r="E2224" s="3">
        <f t="shared" si="270"/>
        <v>86.311999999999998</v>
      </c>
      <c r="F2224" s="3" t="e">
        <f t="shared" si="271"/>
        <v>#N/A</v>
      </c>
      <c r="G2224" s="3" t="e">
        <f t="shared" si="272"/>
        <v>#N/A</v>
      </c>
      <c r="H2224" s="3">
        <f t="shared" si="273"/>
        <v>124.88800000000001</v>
      </c>
      <c r="I2224" s="3">
        <f t="shared" si="274"/>
        <v>197.83199999999999</v>
      </c>
      <c r="J2224" s="2">
        <v>93580</v>
      </c>
      <c r="K2224" s="2">
        <v>86312</v>
      </c>
      <c r="N2224" s="2">
        <f>46949+66402+11370+167</f>
        <v>124888</v>
      </c>
      <c r="O2224" s="2">
        <f>40452+146327+10763+290</f>
        <v>197832</v>
      </c>
      <c r="P2224" s="3">
        <f>E2224*(VLOOKUP(B2224,Price_data!A$1:B$190,2,FALSE))</f>
        <v>144.23980500904798</v>
      </c>
      <c r="Q2224" s="3" t="e">
        <f>G2224*(VLOOKUP(B2224,Price_data!A$1:B$190,2,FALSE))</f>
        <v>#N/A</v>
      </c>
      <c r="R2224" s="3">
        <f>I2224*(VLOOKUP(B2224,Price_data!A$1:B$190,2,FALSE))</f>
        <v>330.60581500312799</v>
      </c>
      <c r="S2224" s="4" t="str">
        <f>(VLOOKUP(B2224,Price_data!A$1:C$190,3,FALSE))</f>
        <v>EEZ</v>
      </c>
      <c r="T2224" s="2" t="str">
        <f>IF(C2224="Total", (VLOOKUP(B2224,Recommended_fish_intake!A$4:D$122,4,FALSE)), "NA")</f>
        <v>NA</v>
      </c>
      <c r="U2224" s="2" t="str">
        <f t="shared" si="262"/>
        <v>NA</v>
      </c>
    </row>
    <row r="2225" spans="1:21" ht="14.25" customHeight="1">
      <c r="A2225" s="2" t="s">
        <v>15</v>
      </c>
      <c r="B2225" s="2">
        <v>1987</v>
      </c>
      <c r="C2225" s="2" t="s">
        <v>23</v>
      </c>
      <c r="D2225" s="3">
        <f t="shared" si="269"/>
        <v>102.372</v>
      </c>
      <c r="E2225" s="3">
        <f t="shared" si="270"/>
        <v>78.078999999999994</v>
      </c>
      <c r="F2225" s="3" t="e">
        <f t="shared" si="271"/>
        <v>#N/A</v>
      </c>
      <c r="G2225" s="3" t="e">
        <f t="shared" si="272"/>
        <v>#N/A</v>
      </c>
      <c r="H2225" s="3">
        <f t="shared" si="273"/>
        <v>27.931000000000001</v>
      </c>
      <c r="I2225" s="3">
        <f t="shared" si="274"/>
        <v>33.624000000000002</v>
      </c>
      <c r="J2225" s="2">
        <v>102372</v>
      </c>
      <c r="K2225" s="2">
        <v>78079</v>
      </c>
      <c r="N2225" s="2">
        <f>14457+8577+4897</f>
        <v>27931</v>
      </c>
      <c r="O2225" s="2">
        <f>12675+17029+3920</f>
        <v>33624</v>
      </c>
      <c r="P2225" s="3">
        <f>E2225*(VLOOKUP(B2225,Price_data!A$1:B$190,2,FALSE))</f>
        <v>130.48127416004098</v>
      </c>
      <c r="Q2225" s="3" t="e">
        <f>G2225*(VLOOKUP(B2225,Price_data!A$1:B$190,2,FALSE))</f>
        <v>#N/A</v>
      </c>
      <c r="R2225" s="3">
        <f>I2225*(VLOOKUP(B2225,Price_data!A$1:B$190,2,FALSE))</f>
        <v>56.190555237096</v>
      </c>
      <c r="S2225" s="4" t="str">
        <f>(VLOOKUP(B2225,Price_data!A$1:C$190,3,FALSE))</f>
        <v>EEZ</v>
      </c>
      <c r="T2225" s="2" t="str">
        <f>IF(C2225="Total", (VLOOKUP(B2225,Recommended_fish_intake!A$4:D$122,4,FALSE)), "NA")</f>
        <v>NA</v>
      </c>
      <c r="U2225" s="2" t="str">
        <f t="shared" si="262"/>
        <v>NA</v>
      </c>
    </row>
    <row r="2226" spans="1:21" ht="14.25" customHeight="1">
      <c r="A2226" s="2" t="s">
        <v>15</v>
      </c>
      <c r="B2226" s="2">
        <v>1987</v>
      </c>
      <c r="C2226" s="2" t="s">
        <v>58</v>
      </c>
      <c r="D2226" s="3">
        <f t="shared" si="269"/>
        <v>9.6829999999999998</v>
      </c>
      <c r="E2226" s="3">
        <f t="shared" si="270"/>
        <v>18.343</v>
      </c>
      <c r="F2226" s="3" t="e">
        <f t="shared" si="271"/>
        <v>#N/A</v>
      </c>
      <c r="G2226" s="3" t="e">
        <f t="shared" si="272"/>
        <v>#N/A</v>
      </c>
      <c r="H2226" s="3" t="e">
        <f t="shared" si="273"/>
        <v>#N/A</v>
      </c>
      <c r="I2226" s="3" t="e">
        <f t="shared" si="274"/>
        <v>#N/A</v>
      </c>
      <c r="J2226" s="2">
        <v>9683</v>
      </c>
      <c r="K2226" s="2">
        <v>18343</v>
      </c>
      <c r="P2226" s="3">
        <f>E2226*(VLOOKUP(B2226,Price_data!A$1:B$190,2,FALSE))</f>
        <v>30.653799509696999</v>
      </c>
      <c r="Q2226" s="3" t="e">
        <f>G2226*(VLOOKUP(B2226,Price_data!A$1:B$190,2,FALSE))</f>
        <v>#N/A</v>
      </c>
      <c r="R2226" s="3" t="e">
        <f>I2226*(VLOOKUP(B2226,Price_data!A$1:B$190,2,FALSE))</f>
        <v>#N/A</v>
      </c>
      <c r="S2226" s="4" t="str">
        <f>(VLOOKUP(B2226,Price_data!A$1:C$190,3,FALSE))</f>
        <v>EEZ</v>
      </c>
      <c r="T2226" s="2" t="str">
        <f>IF(C2226="Total", (VLOOKUP(B2226,Recommended_fish_intake!A$4:D$122,4,FALSE)), "NA")</f>
        <v>NA</v>
      </c>
      <c r="U2226" s="2" t="str">
        <f t="shared" si="262"/>
        <v>NA</v>
      </c>
    </row>
    <row r="2227" spans="1:21" ht="14.25" customHeight="1">
      <c r="A2227" s="2" t="s">
        <v>15</v>
      </c>
      <c r="B2227" s="2">
        <v>1987</v>
      </c>
      <c r="C2227" s="2" t="s">
        <v>25</v>
      </c>
      <c r="D2227" s="3">
        <f t="shared" si="269"/>
        <v>25.722000000000001</v>
      </c>
      <c r="E2227" s="3">
        <f t="shared" si="270"/>
        <v>22.541</v>
      </c>
      <c r="F2227" s="3" t="e">
        <f t="shared" si="271"/>
        <v>#N/A</v>
      </c>
      <c r="G2227" s="3" t="e">
        <f t="shared" si="272"/>
        <v>#N/A</v>
      </c>
      <c r="H2227" s="3">
        <f t="shared" si="273"/>
        <v>16.652000000000001</v>
      </c>
      <c r="I2227" s="3">
        <f t="shared" si="274"/>
        <v>18.54</v>
      </c>
      <c r="J2227" s="2">
        <v>25722</v>
      </c>
      <c r="K2227" s="2">
        <v>22541</v>
      </c>
      <c r="N2227" s="2">
        <f>13496+2553+603</f>
        <v>16652</v>
      </c>
      <c r="O2227" s="2">
        <f>10971+7001+568</f>
        <v>18540</v>
      </c>
      <c r="P2227" s="3">
        <f>E2227*(VLOOKUP(B2227,Price_data!A$1:B$190,2,FALSE))</f>
        <v>37.669263192938999</v>
      </c>
      <c r="Q2227" s="3" t="e">
        <f>G2227*(VLOOKUP(B2227,Price_data!A$1:B$190,2,FALSE))</f>
        <v>#N/A</v>
      </c>
      <c r="R2227" s="3">
        <f>I2227*(VLOOKUP(B2227,Price_data!A$1:B$190,2,FALSE))</f>
        <v>30.983014932659998</v>
      </c>
      <c r="S2227" s="4" t="str">
        <f>(VLOOKUP(B2227,Price_data!A$1:C$190,3,FALSE))</f>
        <v>EEZ</v>
      </c>
      <c r="T2227" s="2" t="str">
        <f>IF(C2227="Total", (VLOOKUP(B2227,Recommended_fish_intake!A$4:D$122,4,FALSE)), "NA")</f>
        <v>NA</v>
      </c>
      <c r="U2227" s="2" t="str">
        <f t="shared" si="262"/>
        <v>NA</v>
      </c>
    </row>
    <row r="2228" spans="1:21" ht="14.25" customHeight="1">
      <c r="A2228" s="2" t="s">
        <v>15</v>
      </c>
      <c r="B2228" s="2">
        <v>1987</v>
      </c>
      <c r="C2228" s="2" t="s">
        <v>24</v>
      </c>
      <c r="D2228" s="3">
        <f t="shared" si="269"/>
        <v>51.866999999999997</v>
      </c>
      <c r="E2228" s="3">
        <f t="shared" si="270"/>
        <v>25.198</v>
      </c>
      <c r="F2228" s="3" t="e">
        <f t="shared" si="271"/>
        <v>#N/A</v>
      </c>
      <c r="G2228" s="3" t="e">
        <f t="shared" si="272"/>
        <v>#N/A</v>
      </c>
      <c r="H2228" s="3" t="e">
        <f t="shared" si="273"/>
        <v>#N/A</v>
      </c>
      <c r="I2228" s="3" t="e">
        <f t="shared" si="274"/>
        <v>#N/A</v>
      </c>
      <c r="J2228" s="2">
        <v>51867</v>
      </c>
      <c r="K2228" s="2">
        <v>25198</v>
      </c>
      <c r="P2228" s="3">
        <f>E2228*(VLOOKUP(B2228,Price_data!A$1:B$190,2,FALSE))</f>
        <v>42.109493542241999</v>
      </c>
      <c r="Q2228" s="3" t="e">
        <f>G2228*(VLOOKUP(B2228,Price_data!A$1:B$190,2,FALSE))</f>
        <v>#N/A</v>
      </c>
      <c r="R2228" s="3" t="e">
        <f>I2228*(VLOOKUP(B2228,Price_data!A$1:B$190,2,FALSE))</f>
        <v>#N/A</v>
      </c>
      <c r="S2228" s="4" t="str">
        <f>(VLOOKUP(B2228,Price_data!A$1:C$190,3,FALSE))</f>
        <v>EEZ</v>
      </c>
      <c r="T2228" s="2" t="str">
        <f>IF(C2228="Total", (VLOOKUP(B2228,Recommended_fish_intake!A$4:D$122,4,FALSE)), "NA")</f>
        <v>NA</v>
      </c>
      <c r="U2228" s="2" t="str">
        <f t="shared" si="262"/>
        <v>NA</v>
      </c>
    </row>
    <row r="2229" spans="1:21" ht="14.25" customHeight="1">
      <c r="A2229" s="2" t="s">
        <v>15</v>
      </c>
      <c r="B2229" s="2">
        <v>1987</v>
      </c>
      <c r="C2229" s="2" t="s">
        <v>19</v>
      </c>
      <c r="D2229" s="3">
        <f t="shared" si="269"/>
        <v>100.348</v>
      </c>
      <c r="E2229" s="3">
        <f t="shared" si="270"/>
        <v>12.212999999999999</v>
      </c>
      <c r="F2229" s="3" t="e">
        <f t="shared" si="271"/>
        <v>#N/A</v>
      </c>
      <c r="G2229" s="3" t="e">
        <f t="shared" si="272"/>
        <v>#N/A</v>
      </c>
      <c r="H2229" s="3">
        <f t="shared" si="273"/>
        <v>10.531000000000001</v>
      </c>
      <c r="I2229" s="3">
        <f t="shared" si="274"/>
        <v>5.4640000000000004</v>
      </c>
      <c r="J2229" s="2">
        <v>100348</v>
      </c>
      <c r="K2229" s="2">
        <v>12213</v>
      </c>
      <c r="N2229" s="2">
        <f>4065+4603+614+1249</f>
        <v>10531</v>
      </c>
      <c r="O2229" s="2">
        <f>892+2017+489+2066</f>
        <v>5464</v>
      </c>
      <c r="P2229" s="3">
        <f>E2229*(VLOOKUP(B2229,Price_data!A$1:B$190,2,FALSE))</f>
        <v>20.409685079427</v>
      </c>
      <c r="Q2229" s="3" t="e">
        <f>G2229*(VLOOKUP(B2229,Price_data!A$1:B$190,2,FALSE))</f>
        <v>#N/A</v>
      </c>
      <c r="R2229" s="3">
        <f>I2229*(VLOOKUP(B2229,Price_data!A$1:B$190,2,FALSE))</f>
        <v>9.1311323404560003</v>
      </c>
      <c r="S2229" s="4" t="str">
        <f>(VLOOKUP(B2229,Price_data!A$1:C$190,3,FALSE))</f>
        <v>EEZ</v>
      </c>
      <c r="T2229" s="2" t="str">
        <f>IF(C2229="Total", (VLOOKUP(B2229,Recommended_fish_intake!A$4:D$122,4,FALSE)), "NA")</f>
        <v>NA</v>
      </c>
      <c r="U2229" s="2" t="str">
        <f t="shared" si="262"/>
        <v>NA</v>
      </c>
    </row>
    <row r="2230" spans="1:21" ht="14.25" customHeight="1">
      <c r="A2230" s="2" t="s">
        <v>15</v>
      </c>
      <c r="B2230" s="2">
        <v>1987</v>
      </c>
      <c r="C2230" s="2" t="s">
        <v>20</v>
      </c>
      <c r="D2230" s="3">
        <f t="shared" si="269"/>
        <v>189.35400000000001</v>
      </c>
      <c r="E2230" s="3">
        <f t="shared" si="270"/>
        <v>21.484000000000002</v>
      </c>
      <c r="F2230" s="3" t="e">
        <f t="shared" si="271"/>
        <v>#N/A</v>
      </c>
      <c r="G2230" s="3" t="e">
        <f t="shared" si="272"/>
        <v>#N/A</v>
      </c>
      <c r="H2230" s="3">
        <f t="shared" si="273"/>
        <v>2.0760000000000001</v>
      </c>
      <c r="I2230" s="3">
        <f t="shared" si="274"/>
        <v>3.1459999999999999</v>
      </c>
      <c r="J2230" s="2">
        <v>189354</v>
      </c>
      <c r="K2230" s="2">
        <v>21484</v>
      </c>
      <c r="N2230" s="2">
        <v>2076</v>
      </c>
      <c r="O2230" s="2">
        <v>3146</v>
      </c>
      <c r="P2230" s="3">
        <f>E2230*(VLOOKUP(B2230,Price_data!A$1:B$190,2,FALSE))</f>
        <v>35.902863690036</v>
      </c>
      <c r="Q2230" s="3" t="e">
        <f>G2230*(VLOOKUP(B2230,Price_data!A$1:B$190,2,FALSE))</f>
        <v>#N/A</v>
      </c>
      <c r="R2230" s="3">
        <f>I2230*(VLOOKUP(B2230,Price_data!A$1:B$190,2,FALSE))</f>
        <v>5.257419901734</v>
      </c>
      <c r="S2230" s="4" t="str">
        <f>(VLOOKUP(B2230,Price_data!A$1:C$190,3,FALSE))</f>
        <v>EEZ</v>
      </c>
      <c r="T2230" s="2" t="str">
        <f>IF(C2230="Total", (VLOOKUP(B2230,Recommended_fish_intake!A$4:D$122,4,FALSE)), "NA")</f>
        <v>NA</v>
      </c>
      <c r="U2230" s="2" t="str">
        <f t="shared" si="262"/>
        <v>NA</v>
      </c>
    </row>
    <row r="2231" spans="1:21" ht="14.25" customHeight="1">
      <c r="A2231" s="2" t="s">
        <v>15</v>
      </c>
      <c r="B2231" s="2">
        <v>1987</v>
      </c>
      <c r="C2231" s="2" t="s">
        <v>37</v>
      </c>
      <c r="D2231" s="3">
        <f t="shared" si="269"/>
        <v>679.29700000000003</v>
      </c>
      <c r="E2231" s="3">
        <f t="shared" si="270"/>
        <v>339.22300000000001</v>
      </c>
      <c r="F2231" s="3">
        <f t="shared" si="271"/>
        <v>291.87</v>
      </c>
      <c r="G2231" s="3">
        <f t="shared" si="272"/>
        <v>245.102</v>
      </c>
      <c r="H2231" s="3">
        <f t="shared" si="273"/>
        <v>364.714</v>
      </c>
      <c r="I2231" s="3">
        <f t="shared" si="274"/>
        <v>558.27099999999996</v>
      </c>
      <c r="J2231" s="2">
        <v>679297</v>
      </c>
      <c r="K2231" s="2">
        <v>339223</v>
      </c>
      <c r="L2231" s="2">
        <v>291870</v>
      </c>
      <c r="M2231" s="2">
        <v>245102</v>
      </c>
      <c r="N2231" s="2">
        <v>364714</v>
      </c>
      <c r="O2231" s="2">
        <v>558271</v>
      </c>
      <c r="P2231" s="3">
        <f>E2231*(VLOOKUP(B2231,Price_data!A$1:B$190,2,FALSE))</f>
        <v>566.89057575521701</v>
      </c>
      <c r="Q2231" s="3">
        <f>G2231*(VLOOKUP(B2231,Price_data!A$1:B$190,2,FALSE))</f>
        <v>409.60080507145801</v>
      </c>
      <c r="R2231" s="3">
        <f>I2231*(VLOOKUP(B2231,Price_data!A$1:B$190,2,FALSE))</f>
        <v>932.9513877816089</v>
      </c>
      <c r="S2231" s="4" t="str">
        <f>(VLOOKUP(B2231,Price_data!A$1:C$190,3,FALSE))</f>
        <v>EEZ</v>
      </c>
      <c r="T2231" s="2" t="str">
        <f>IF(C2231="Total", (VLOOKUP(B2231,Recommended_fish_intake!A$4:D$122,4,FALSE)), "NA")</f>
        <v>NA</v>
      </c>
      <c r="U2231" s="2">
        <f t="shared" si="262"/>
        <v>332.85552999999999</v>
      </c>
    </row>
    <row r="2232" spans="1:21" ht="14.25" customHeight="1">
      <c r="A2232" s="2" t="s">
        <v>15</v>
      </c>
      <c r="B2232" s="2">
        <v>1987</v>
      </c>
      <c r="C2232" s="2" t="s">
        <v>36</v>
      </c>
      <c r="D2232" s="3">
        <f t="shared" si="269"/>
        <v>13.504</v>
      </c>
      <c r="E2232" s="3">
        <f t="shared" si="270"/>
        <v>11.4</v>
      </c>
      <c r="F2232" s="3" t="e">
        <f t="shared" si="271"/>
        <v>#N/A</v>
      </c>
      <c r="G2232" s="3" t="e">
        <f t="shared" si="272"/>
        <v>#N/A</v>
      </c>
      <c r="H2232" s="3">
        <f t="shared" si="273"/>
        <v>1.3939999999999999</v>
      </c>
      <c r="I2232" s="3">
        <f t="shared" si="274"/>
        <v>6.9219999999999997</v>
      </c>
      <c r="J2232" s="2">
        <v>13504</v>
      </c>
      <c r="K2232" s="2">
        <v>11400</v>
      </c>
      <c r="N2232" s="2">
        <v>1394</v>
      </c>
      <c r="O2232" s="2">
        <v>6922</v>
      </c>
      <c r="P2232" s="3">
        <f>E2232*(VLOOKUP(B2232,Price_data!A$1:B$190,2,FALSE))</f>
        <v>19.051044780600002</v>
      </c>
      <c r="Q2232" s="3" t="e">
        <f>G2232*(VLOOKUP(B2232,Price_data!A$1:B$190,2,FALSE))</f>
        <v>#N/A</v>
      </c>
      <c r="R2232" s="3">
        <f>I2232*(VLOOKUP(B2232,Price_data!A$1:B$190,2,FALSE))</f>
        <v>11.567660699237999</v>
      </c>
      <c r="S2232" s="4" t="str">
        <f>(VLOOKUP(B2232,Price_data!A$1:C$190,3,FALSE))</f>
        <v>EEZ</v>
      </c>
      <c r="T2232" s="2" t="str">
        <f>IF(C2232="Total", (VLOOKUP(B2232,Recommended_fish_intake!A$4:D$122,4,FALSE)), "NA")</f>
        <v>NA</v>
      </c>
      <c r="U2232" s="2" t="str">
        <f t="shared" si="262"/>
        <v>NA</v>
      </c>
    </row>
    <row r="2233" spans="1:21" ht="14.25" customHeight="1">
      <c r="A2233" s="2" t="s">
        <v>15</v>
      </c>
      <c r="B2233" s="2">
        <v>1987</v>
      </c>
      <c r="C2233" s="2" t="s">
        <v>34</v>
      </c>
      <c r="D2233" s="3">
        <f t="shared" si="269"/>
        <v>1.1200000000000001</v>
      </c>
      <c r="E2233" s="3">
        <f t="shared" si="270"/>
        <v>9.3460000000000001</v>
      </c>
      <c r="F2233" s="3" t="e">
        <f t="shared" si="271"/>
        <v>#N/A</v>
      </c>
      <c r="G2233" s="3" t="e">
        <f t="shared" si="272"/>
        <v>#N/A</v>
      </c>
      <c r="H2233" s="3" t="e">
        <f t="shared" si="273"/>
        <v>#N/A</v>
      </c>
      <c r="I2233" s="3" t="e">
        <f t="shared" si="274"/>
        <v>#N/A</v>
      </c>
      <c r="J2233" s="2">
        <v>1120</v>
      </c>
      <c r="K2233" s="2">
        <v>9346</v>
      </c>
      <c r="P2233" s="3">
        <f>E2233*(VLOOKUP(B2233,Price_data!A$1:B$190,2,FALSE))</f>
        <v>15.618514431533999</v>
      </c>
      <c r="Q2233" s="3" t="e">
        <f>G2233*(VLOOKUP(B2233,Price_data!A$1:B$190,2,FALSE))</f>
        <v>#N/A</v>
      </c>
      <c r="R2233" s="3" t="e">
        <f>I2233*(VLOOKUP(B2233,Price_data!A$1:B$190,2,FALSE))</f>
        <v>#N/A</v>
      </c>
      <c r="S2233" s="4" t="str">
        <f>(VLOOKUP(B2233,Price_data!A$1:C$190,3,FALSE))</f>
        <v>EEZ</v>
      </c>
      <c r="T2233" s="2" t="str">
        <f>IF(C2233="Total", (VLOOKUP(B2233,Recommended_fish_intake!A$4:D$122,4,FALSE)), "NA")</f>
        <v>NA</v>
      </c>
      <c r="U2233" s="2" t="str">
        <f t="shared" si="262"/>
        <v>NA</v>
      </c>
    </row>
    <row r="2234" spans="1:21" ht="14.25" customHeight="1">
      <c r="A2234" s="2" t="s">
        <v>15</v>
      </c>
      <c r="B2234" s="2">
        <v>1987</v>
      </c>
      <c r="C2234" s="2" t="s">
        <v>35</v>
      </c>
      <c r="D2234" s="3">
        <f t="shared" si="269"/>
        <v>24.225999999999999</v>
      </c>
      <c r="E2234" s="3">
        <f t="shared" si="270"/>
        <v>43.006999999999998</v>
      </c>
      <c r="F2234" s="3" t="e">
        <f t="shared" si="271"/>
        <v>#N/A</v>
      </c>
      <c r="G2234" s="3" t="e">
        <f t="shared" si="272"/>
        <v>#N/A</v>
      </c>
      <c r="H2234" s="3" t="e">
        <f t="shared" si="273"/>
        <v>#N/A</v>
      </c>
      <c r="I2234" s="3" t="e">
        <f t="shared" si="274"/>
        <v>#N/A</v>
      </c>
      <c r="J2234" s="2">
        <v>24226</v>
      </c>
      <c r="K2234" s="2">
        <v>43007</v>
      </c>
      <c r="P2234" s="3">
        <f>E2234*(VLOOKUP(B2234,Price_data!A$1:B$190,2,FALSE))</f>
        <v>71.870902006952988</v>
      </c>
      <c r="Q2234" s="3" t="e">
        <f>G2234*(VLOOKUP(B2234,Price_data!A$1:B$190,2,FALSE))</f>
        <v>#N/A</v>
      </c>
      <c r="R2234" s="3" t="e">
        <f>I2234*(VLOOKUP(B2234,Price_data!A$1:B$190,2,FALSE))</f>
        <v>#N/A</v>
      </c>
      <c r="S2234" s="4" t="str">
        <f>(VLOOKUP(B2234,Price_data!A$1:C$190,3,FALSE))</f>
        <v>EEZ</v>
      </c>
      <c r="T2234" s="2" t="str">
        <f>IF(C2234="Total", (VLOOKUP(B2234,Recommended_fish_intake!A$4:D$122,4,FALSE)), "NA")</f>
        <v>NA</v>
      </c>
      <c r="U2234" s="2" t="str">
        <f t="shared" si="262"/>
        <v>NA</v>
      </c>
    </row>
    <row r="2235" spans="1:21" ht="14.25" customHeight="1">
      <c r="A2235" s="2" t="s">
        <v>15</v>
      </c>
      <c r="B2235" s="2">
        <v>1987</v>
      </c>
      <c r="C2235" s="2" t="s">
        <v>52</v>
      </c>
      <c r="D2235" s="3">
        <f t="shared" si="269"/>
        <v>7.5469999999999997</v>
      </c>
      <c r="E2235" s="3">
        <f t="shared" si="270"/>
        <v>11.67</v>
      </c>
      <c r="F2235" s="3" t="e">
        <f t="shared" si="271"/>
        <v>#N/A</v>
      </c>
      <c r="G2235" s="3" t="e">
        <f t="shared" si="272"/>
        <v>#N/A</v>
      </c>
      <c r="H2235" s="3" t="e">
        <f t="shared" si="273"/>
        <v>#N/A</v>
      </c>
      <c r="I2235" s="3" t="e">
        <f t="shared" si="274"/>
        <v>#N/A</v>
      </c>
      <c r="J2235" s="2">
        <v>7547</v>
      </c>
      <c r="K2235" s="2">
        <v>11670</v>
      </c>
      <c r="P2235" s="3">
        <f>E2235*(VLOOKUP(B2235,Price_data!A$1:B$190,2,FALSE))</f>
        <v>19.502253735930001</v>
      </c>
      <c r="Q2235" s="3" t="e">
        <f>G2235*(VLOOKUP(B2235,Price_data!A$1:B$190,2,FALSE))</f>
        <v>#N/A</v>
      </c>
      <c r="R2235" s="3" t="e">
        <f>I2235*(VLOOKUP(B2235,Price_data!A$1:B$190,2,FALSE))</f>
        <v>#N/A</v>
      </c>
      <c r="S2235" s="4" t="str">
        <f>(VLOOKUP(B2235,Price_data!A$1:C$190,3,FALSE))</f>
        <v>EEZ</v>
      </c>
      <c r="T2235" s="2" t="str">
        <f>IF(C2235="Total", (VLOOKUP(B2235,Recommended_fish_intake!A$4:D$122,4,FALSE)), "NA")</f>
        <v>NA</v>
      </c>
      <c r="U2235" s="2" t="str">
        <f t="shared" si="262"/>
        <v>NA</v>
      </c>
    </row>
    <row r="2236" spans="1:21" ht="14.25" customHeight="1">
      <c r="A2236" s="2" t="s">
        <v>15</v>
      </c>
      <c r="B2236" s="2">
        <v>1987</v>
      </c>
      <c r="C2236" s="2" t="s">
        <v>30</v>
      </c>
      <c r="D2236" s="3">
        <f t="shared" si="269"/>
        <v>3.3330000000000002</v>
      </c>
      <c r="E2236" s="3">
        <f t="shared" si="270"/>
        <v>4.3680000000000003</v>
      </c>
      <c r="F2236" s="3" t="e">
        <f t="shared" si="271"/>
        <v>#N/A</v>
      </c>
      <c r="G2236" s="3" t="e">
        <f t="shared" si="272"/>
        <v>#N/A</v>
      </c>
      <c r="H2236" s="3">
        <f t="shared" si="273"/>
        <v>27.308</v>
      </c>
      <c r="I2236" s="3">
        <f t="shared" si="274"/>
        <v>97.075000000000003</v>
      </c>
      <c r="J2236" s="2">
        <v>3333</v>
      </c>
      <c r="K2236" s="2">
        <v>4368</v>
      </c>
      <c r="N2236" s="2">
        <f>7981+19327</f>
        <v>27308</v>
      </c>
      <c r="O2236" s="2">
        <f>28684+68391</f>
        <v>97075</v>
      </c>
      <c r="P2236" s="3">
        <f>E2236*(VLOOKUP(B2236,Price_data!A$1:B$190,2,FALSE))</f>
        <v>7.2995582106720001</v>
      </c>
      <c r="Q2236" s="3" t="e">
        <f>G2236*(VLOOKUP(B2236,Price_data!A$1:B$190,2,FALSE))</f>
        <v>#N/A</v>
      </c>
      <c r="R2236" s="3">
        <f>I2236*(VLOOKUP(B2236,Price_data!A$1:B$190,2,FALSE))</f>
        <v>162.22633088392499</v>
      </c>
      <c r="S2236" s="4" t="str">
        <f>(VLOOKUP(B2236,Price_data!A$1:C$190,3,FALSE))</f>
        <v>EEZ</v>
      </c>
      <c r="T2236" s="2" t="str">
        <f>IF(C2236="Total", (VLOOKUP(B2236,Recommended_fish_intake!A$4:D$122,4,FALSE)), "NA")</f>
        <v>NA</v>
      </c>
      <c r="U2236" s="2" t="str">
        <f t="shared" si="262"/>
        <v>NA</v>
      </c>
    </row>
    <row r="2237" spans="1:21" ht="14.25" customHeight="1">
      <c r="A2237" s="2" t="s">
        <v>15</v>
      </c>
      <c r="B2237" s="2">
        <v>1987</v>
      </c>
      <c r="C2237" s="2" t="s">
        <v>28</v>
      </c>
      <c r="D2237" s="3">
        <f t="shared" si="269"/>
        <v>111.072</v>
      </c>
      <c r="E2237" s="3">
        <f t="shared" si="270"/>
        <v>95.938999999999993</v>
      </c>
      <c r="F2237" s="3">
        <f t="shared" si="271"/>
        <v>52.274999999999999</v>
      </c>
      <c r="G2237" s="3">
        <f t="shared" si="272"/>
        <v>162.06200000000001</v>
      </c>
      <c r="H2237" s="3">
        <f t="shared" si="273"/>
        <v>51.140999999999998</v>
      </c>
      <c r="I2237" s="3">
        <f t="shared" si="274"/>
        <v>190.68100000000001</v>
      </c>
      <c r="J2237" s="2">
        <v>111072</v>
      </c>
      <c r="K2237" s="2">
        <v>95939</v>
      </c>
      <c r="L2237" s="2">
        <v>52275</v>
      </c>
      <c r="M2237" s="2">
        <v>162062</v>
      </c>
      <c r="N2237" s="2">
        <v>51141</v>
      </c>
      <c r="O2237" s="2">
        <v>190681</v>
      </c>
      <c r="P2237" s="3">
        <f>E2237*(VLOOKUP(B2237,Price_data!A$1:B$190,2,FALSE))</f>
        <v>160.327910982981</v>
      </c>
      <c r="Q2237" s="3">
        <f>G2237*(VLOOKUP(B2237,Price_data!A$1:B$190,2,FALSE))</f>
        <v>270.82898414329799</v>
      </c>
      <c r="R2237" s="3">
        <f>I2237*(VLOOKUP(B2237,Price_data!A$1:B$190,2,FALSE))</f>
        <v>318.65546226399903</v>
      </c>
      <c r="S2237" s="4" t="str">
        <f>(VLOOKUP(B2237,Price_data!A$1:C$190,3,FALSE))</f>
        <v>EEZ</v>
      </c>
      <c r="T2237" s="2" t="str">
        <f>IF(C2237="Total", (VLOOKUP(B2237,Recommended_fish_intake!A$4:D$122,4,FALSE)), "NA")</f>
        <v>NA</v>
      </c>
      <c r="U2237" s="2">
        <f t="shared" si="262"/>
        <v>31.100160000000002</v>
      </c>
    </row>
    <row r="2238" spans="1:21" ht="14.25" customHeight="1">
      <c r="A2238" s="2" t="s">
        <v>18</v>
      </c>
      <c r="B2238" s="2">
        <v>1987</v>
      </c>
      <c r="C2238" s="2" t="s">
        <v>16</v>
      </c>
      <c r="D2238" s="3">
        <f t="shared" si="269"/>
        <v>195.06700000000001</v>
      </c>
      <c r="E2238" s="3">
        <f t="shared" si="270"/>
        <v>146.55099999999999</v>
      </c>
      <c r="F2238" s="3" t="e">
        <f t="shared" si="271"/>
        <v>#N/A</v>
      </c>
      <c r="G2238" s="3" t="e">
        <f t="shared" si="272"/>
        <v>#N/A</v>
      </c>
      <c r="H2238" s="3" t="e">
        <f t="shared" si="273"/>
        <v>#N/A</v>
      </c>
      <c r="I2238" s="3" t="e">
        <f t="shared" si="274"/>
        <v>#N/A</v>
      </c>
      <c r="J2238" s="2">
        <v>195067</v>
      </c>
      <c r="K2238" s="2">
        <v>146551</v>
      </c>
      <c r="P2238" s="3">
        <f>E2238*(VLOOKUP(B2238,Price_data!A$1:B$190,2,FALSE))</f>
        <v>244.90786523172898</v>
      </c>
      <c r="Q2238" s="3" t="e">
        <f>G2238*(VLOOKUP(B2238,Price_data!A$1:B$190,2,FALSE))</f>
        <v>#N/A</v>
      </c>
      <c r="R2238" s="3" t="e">
        <f>I2238*(VLOOKUP(B2238,Price_data!A$1:B$190,2,FALSE))</f>
        <v>#N/A</v>
      </c>
      <c r="S2238" s="4" t="str">
        <f>(VLOOKUP(B2238,Price_data!A$1:C$190,3,FALSE))</f>
        <v>EEZ</v>
      </c>
      <c r="T2238" s="2">
        <f>IF(C2238="Total", (VLOOKUP(B2238,Recommended_fish_intake!A$4:D$122,4,FALSE)), "NA")</f>
        <v>751.06106119590004</v>
      </c>
      <c r="U2238" s="2" t="str">
        <f t="shared" si="262"/>
        <v>NA</v>
      </c>
    </row>
    <row r="2239" spans="1:21" ht="14.25" customHeight="1">
      <c r="A2239" s="2" t="s">
        <v>39</v>
      </c>
      <c r="B2239" s="2">
        <v>1987</v>
      </c>
      <c r="C2239" s="2" t="s">
        <v>16</v>
      </c>
      <c r="D2239" s="3">
        <f t="shared" si="269"/>
        <v>574.86199999999997</v>
      </c>
      <c r="E2239" s="3">
        <f t="shared" si="270"/>
        <v>273.57499999999999</v>
      </c>
      <c r="F2239" s="3" t="e">
        <f t="shared" si="271"/>
        <v>#N/A</v>
      </c>
      <c r="G2239" s="3" t="e">
        <f t="shared" si="272"/>
        <v>#N/A</v>
      </c>
      <c r="H2239" s="3" t="e">
        <f t="shared" si="273"/>
        <v>#N/A</v>
      </c>
      <c r="I2239" s="3" t="e">
        <f t="shared" si="274"/>
        <v>#N/A</v>
      </c>
      <c r="J2239" s="2">
        <v>574862</v>
      </c>
      <c r="K2239" s="2">
        <v>273575</v>
      </c>
      <c r="P2239" s="3">
        <f>E2239*(VLOOKUP(B2239,Price_data!A$1:B$190,2,FALSE))</f>
        <v>457.18329612742497</v>
      </c>
      <c r="Q2239" s="3" t="e">
        <f>G2239*(VLOOKUP(B2239,Price_data!A$1:B$190,2,FALSE))</f>
        <v>#N/A</v>
      </c>
      <c r="R2239" s="3" t="e">
        <f>I2239*(VLOOKUP(B2239,Price_data!A$1:B$190,2,FALSE))</f>
        <v>#N/A</v>
      </c>
      <c r="S2239" s="4" t="str">
        <f>(VLOOKUP(B2239,Price_data!A$1:C$190,3,FALSE))</f>
        <v>EEZ</v>
      </c>
      <c r="T2239" s="2">
        <f>IF(C2239="Total", (VLOOKUP(B2239,Recommended_fish_intake!A$4:D$122,4,FALSE)), "NA")</f>
        <v>751.06106119590004</v>
      </c>
      <c r="U2239" s="2" t="str">
        <f t="shared" si="262"/>
        <v>NA</v>
      </c>
    </row>
    <row r="2240" spans="1:21" ht="14.25" customHeight="1">
      <c r="A2240" s="2" t="s">
        <v>40</v>
      </c>
      <c r="B2240" s="2">
        <v>1987</v>
      </c>
      <c r="C2240" s="2" t="s">
        <v>16</v>
      </c>
      <c r="D2240" s="3">
        <f t="shared" si="269"/>
        <v>20.440000000000001</v>
      </c>
      <c r="E2240" s="3">
        <f t="shared" si="270"/>
        <v>15.036</v>
      </c>
      <c r="F2240" s="3" t="e">
        <f t="shared" si="271"/>
        <v>#N/A</v>
      </c>
      <c r="G2240" s="3" t="e">
        <f t="shared" si="272"/>
        <v>#N/A</v>
      </c>
      <c r="H2240" s="3" t="e">
        <f t="shared" si="273"/>
        <v>#N/A</v>
      </c>
      <c r="I2240" s="3" t="e">
        <f t="shared" si="274"/>
        <v>#N/A</v>
      </c>
      <c r="J2240" s="2">
        <v>20440</v>
      </c>
      <c r="K2240" s="2">
        <v>15036</v>
      </c>
      <c r="P2240" s="3">
        <f>E2240*(VLOOKUP(B2240,Price_data!A$1:B$190,2,FALSE))</f>
        <v>25.127325379043999</v>
      </c>
      <c r="Q2240" s="3" t="e">
        <f>G2240*(VLOOKUP(B2240,Price_data!A$1:B$190,2,FALSE))</f>
        <v>#N/A</v>
      </c>
      <c r="R2240" s="3" t="e">
        <f>I2240*(VLOOKUP(B2240,Price_data!A$1:B$190,2,FALSE))</f>
        <v>#N/A</v>
      </c>
      <c r="S2240" s="4" t="str">
        <f>(VLOOKUP(B2240,Price_data!A$1:C$190,3,FALSE))</f>
        <v>EEZ</v>
      </c>
      <c r="T2240" s="2">
        <f>IF(C2240="Total", (VLOOKUP(B2240,Recommended_fish_intake!A$4:D$122,4,FALSE)), "NA")</f>
        <v>751.06106119590004</v>
      </c>
      <c r="U2240" s="2" t="str">
        <f t="shared" si="262"/>
        <v>NA</v>
      </c>
    </row>
    <row r="2241" spans="1:21" ht="14.25" customHeight="1">
      <c r="A2241" s="2" t="s">
        <v>15</v>
      </c>
      <c r="B2241" s="2">
        <v>1987</v>
      </c>
      <c r="C2241" s="2" t="s">
        <v>16</v>
      </c>
      <c r="D2241" s="3">
        <f t="shared" si="269"/>
        <v>790.36900000000003</v>
      </c>
      <c r="E2241" s="3">
        <f t="shared" si="270"/>
        <v>435.16199999999998</v>
      </c>
      <c r="F2241" s="3">
        <f t="shared" si="271"/>
        <v>344.14499999999998</v>
      </c>
      <c r="G2241" s="3">
        <f t="shared" si="272"/>
        <v>407.16399999999999</v>
      </c>
      <c r="H2241" s="3">
        <f t="shared" si="273"/>
        <v>415.85500000000002</v>
      </c>
      <c r="I2241" s="3">
        <f t="shared" si="274"/>
        <v>748.952</v>
      </c>
      <c r="J2241" s="2">
        <v>790369</v>
      </c>
      <c r="K2241" s="2">
        <v>435162</v>
      </c>
      <c r="L2241" s="2">
        <v>344145</v>
      </c>
      <c r="M2241" s="2">
        <v>407164</v>
      </c>
      <c r="N2241" s="2">
        <v>415855</v>
      </c>
      <c r="O2241" s="2">
        <v>748952</v>
      </c>
      <c r="P2241" s="3">
        <f>E2241*(VLOOKUP(B2241,Price_data!A$1:B$190,2,FALSE))</f>
        <v>727.21848673819795</v>
      </c>
      <c r="Q2241" s="3">
        <f>G2241*(VLOOKUP(B2241,Price_data!A$1:B$190,2,FALSE))</f>
        <v>680.42978921475594</v>
      </c>
      <c r="R2241" s="3">
        <f>I2241*(VLOOKUP(B2241,Price_data!A$1:B$190,2,FALSE))</f>
        <v>1251.6068500456079</v>
      </c>
      <c r="S2241" s="4" t="str">
        <f>(VLOOKUP(B2241,Price_data!A$1:C$190,3,FALSE))</f>
        <v>EEZ</v>
      </c>
      <c r="T2241" s="2">
        <f>IF(C2241="Total", (VLOOKUP(B2241,Recommended_fish_intake!A$4:D$122,4,FALSE)), "NA")</f>
        <v>751.06106119590004</v>
      </c>
      <c r="U2241" s="2" t="str">
        <f t="shared" si="262"/>
        <v>NA</v>
      </c>
    </row>
    <row r="2242" spans="1:21" ht="14.25" customHeight="1">
      <c r="A2242" s="2" t="s">
        <v>15</v>
      </c>
      <c r="B2242" s="2">
        <v>1987</v>
      </c>
      <c r="C2242" s="2" t="s">
        <v>21</v>
      </c>
      <c r="D2242" s="3">
        <v>3.8330000000000002</v>
      </c>
      <c r="E2242" s="3">
        <v>0.71699999999999997</v>
      </c>
      <c r="F2242" s="2" t="s">
        <v>92</v>
      </c>
      <c r="G2242" s="2" t="s">
        <v>92</v>
      </c>
      <c r="H2242" s="2" t="s">
        <v>92</v>
      </c>
      <c r="I2242" s="2" t="s">
        <v>92</v>
      </c>
      <c r="P2242" s="3">
        <f>E2242*(VLOOKUP(B2242,Price_data!A$1:B$190,2,FALSE))</f>
        <v>1.1982104480429998</v>
      </c>
      <c r="Q2242" s="3" t="e">
        <f>G2242*(VLOOKUP(B2242,Price_data!A$1:B$190,2,FALSE))</f>
        <v>#VALUE!</v>
      </c>
      <c r="R2242" s="3" t="e">
        <f>I2242*(VLOOKUP(B2242,Price_data!A$1:B$190,2,FALSE))</f>
        <v>#VALUE!</v>
      </c>
      <c r="S2242" s="4" t="str">
        <f>(VLOOKUP(B2242,Price_data!A$1:C$190,3,FALSE))</f>
        <v>EEZ</v>
      </c>
      <c r="T2242" s="2" t="str">
        <f>IF(C2242="Total", (VLOOKUP(B2242,Recommended_fish_intake!A$4:D$122,4,FALSE)), "NA")</f>
        <v>NA</v>
      </c>
      <c r="U2242" s="2" t="str">
        <f t="shared" ref="U2242:U2305" si="275">IF(C2242="Wet fish", D2242*0.49, IF(C2242="Shellfish", D2242*0.28, "NA"))</f>
        <v>NA</v>
      </c>
    </row>
    <row r="2243" spans="1:21" ht="14.25" customHeight="1">
      <c r="A2243" s="2" t="s">
        <v>15</v>
      </c>
      <c r="B2243" s="2">
        <v>1987</v>
      </c>
      <c r="C2243" s="2" t="s">
        <v>29</v>
      </c>
      <c r="D2243" s="3" t="e">
        <f t="shared" ref="D2243:D2274" si="276">J2243/1000</f>
        <v>#N/A</v>
      </c>
      <c r="E2243" s="3" t="e">
        <f t="shared" ref="E2243:E2274" si="277">K2243/1000</f>
        <v>#N/A</v>
      </c>
      <c r="F2243" s="3" t="e">
        <f t="shared" ref="F2243:F2274" si="278">IF(L2243="", NA(), L2243/1000)</f>
        <v>#N/A</v>
      </c>
      <c r="G2243" s="3" t="e">
        <f t="shared" ref="G2243:G2274" si="279">IF(M2243="", NA(), M2243/1000)</f>
        <v>#N/A</v>
      </c>
      <c r="H2243" s="3">
        <f t="shared" ref="H2243:H2274" si="280">IF(N2243="", NA(), N2243/1000)</f>
        <v>32.021000000000001</v>
      </c>
      <c r="I2243" s="3">
        <f t="shared" ref="I2243:I2274" si="281">IF(O2243="", NA(), O2243/1000)</f>
        <v>115.706</v>
      </c>
      <c r="J2243" s="3" t="e">
        <v>#N/A</v>
      </c>
      <c r="K2243" s="3" t="e">
        <v>#N/A</v>
      </c>
      <c r="L2243" s="3" t="e">
        <v>#N/A</v>
      </c>
      <c r="M2243" s="3" t="e">
        <v>#N/A</v>
      </c>
      <c r="N2243" s="2">
        <f>1674+5209+25138</f>
        <v>32021</v>
      </c>
      <c r="O2243" s="2">
        <f>8154+14104+93448</f>
        <v>115706</v>
      </c>
      <c r="P2243" s="3" t="e">
        <f>E2243*(VLOOKUP(B2243,Price_data!A$1:B$190,2,FALSE))</f>
        <v>#N/A</v>
      </c>
      <c r="Q2243" s="3" t="e">
        <f>G2243*(VLOOKUP(B2243,Price_data!A$1:B$190,2,FALSE))</f>
        <v>#N/A</v>
      </c>
      <c r="R2243" s="3">
        <f>I2243*(VLOOKUP(B2243,Price_data!A$1:B$190,2,FALSE))</f>
        <v>193.36141994597401</v>
      </c>
      <c r="S2243" s="4" t="str">
        <f>(VLOOKUP(B2243,Price_data!A$1:C$190,3,FALSE))</f>
        <v>EEZ</v>
      </c>
      <c r="T2243" s="2" t="str">
        <f>IF(C2243="Total", (VLOOKUP(B2243,Recommended_fish_intake!A$4:D$122,4,FALSE)), "NA")</f>
        <v>NA</v>
      </c>
      <c r="U2243" s="2" t="str">
        <f t="shared" si="275"/>
        <v>NA</v>
      </c>
    </row>
    <row r="2244" spans="1:21" ht="14.25" customHeight="1">
      <c r="A2244" s="2" t="s">
        <v>15</v>
      </c>
      <c r="B2244" s="2">
        <v>1987</v>
      </c>
      <c r="C2244" s="2" t="s">
        <v>43</v>
      </c>
      <c r="D2244" s="3" t="e">
        <f t="shared" si="276"/>
        <v>#N/A</v>
      </c>
      <c r="E2244" s="3" t="e">
        <f t="shared" si="277"/>
        <v>#N/A</v>
      </c>
      <c r="F2244" s="3" t="e">
        <f t="shared" si="278"/>
        <v>#N/A</v>
      </c>
      <c r="G2244" s="3" t="e">
        <f t="shared" si="279"/>
        <v>#N/A</v>
      </c>
      <c r="H2244" s="3">
        <f t="shared" si="280"/>
        <v>34.697000000000003</v>
      </c>
      <c r="I2244" s="3">
        <f t="shared" si="281"/>
        <v>53.460999999999999</v>
      </c>
      <c r="J2244" s="3" t="e">
        <v>#N/A</v>
      </c>
      <c r="K2244" s="3" t="e">
        <v>#N/A</v>
      </c>
      <c r="L2244" s="3" t="e">
        <v>#N/A</v>
      </c>
      <c r="M2244" s="3" t="e">
        <v>#N/A</v>
      </c>
      <c r="N2244" s="2">
        <v>34697</v>
      </c>
      <c r="O2244" s="2">
        <v>53461</v>
      </c>
      <c r="P2244" s="3" t="e">
        <f>E2244*(VLOOKUP(B2244,Price_data!A$1:B$190,2,FALSE))</f>
        <v>#N/A</v>
      </c>
      <c r="Q2244" s="3" t="e">
        <f>G2244*(VLOOKUP(B2244,Price_data!A$1:B$190,2,FALSE))</f>
        <v>#N/A</v>
      </c>
      <c r="R2244" s="3">
        <f>I2244*(VLOOKUP(B2244,Price_data!A$1:B$190,2,FALSE))</f>
        <v>89.341044299619</v>
      </c>
      <c r="S2244" s="4" t="str">
        <f>(VLOOKUP(B2244,Price_data!A$1:C$190,3,FALSE))</f>
        <v>EEZ</v>
      </c>
      <c r="T2244" s="2" t="str">
        <f>IF(C2244="Total", (VLOOKUP(B2244,Recommended_fish_intake!A$4:D$122,4,FALSE)), "NA")</f>
        <v>NA</v>
      </c>
      <c r="U2244" s="2" t="str">
        <f t="shared" si="275"/>
        <v>NA</v>
      </c>
    </row>
    <row r="2245" spans="1:21" ht="14.25" customHeight="1">
      <c r="A2245" s="2" t="s">
        <v>18</v>
      </c>
      <c r="B2245" s="2">
        <v>1988</v>
      </c>
      <c r="C2245" s="2" t="s">
        <v>22</v>
      </c>
      <c r="D2245" s="3">
        <f t="shared" si="276"/>
        <v>31.122</v>
      </c>
      <c r="E2245" s="3">
        <f t="shared" si="277"/>
        <v>30.236999999999998</v>
      </c>
      <c r="F2245" s="3" t="e">
        <f t="shared" si="278"/>
        <v>#N/A</v>
      </c>
      <c r="G2245" s="3" t="e">
        <f t="shared" si="279"/>
        <v>#N/A</v>
      </c>
      <c r="H2245" s="3" t="e">
        <f t="shared" si="280"/>
        <v>#N/A</v>
      </c>
      <c r="I2245" s="3" t="e">
        <f t="shared" si="281"/>
        <v>#N/A</v>
      </c>
      <c r="J2245" s="2">
        <v>31122</v>
      </c>
      <c r="K2245" s="2">
        <v>30237</v>
      </c>
      <c r="P2245" s="3">
        <f>E2245*(VLOOKUP(B2245,Price_data!A$1:B$190,2,FALSE))</f>
        <v>48.169828308101998</v>
      </c>
      <c r="Q2245" s="3" t="e">
        <f>G2245*(VLOOKUP(B2245,Price_data!A$1:B$190,2,FALSE))</f>
        <v>#N/A</v>
      </c>
      <c r="R2245" s="3" t="e">
        <f>I2245*(VLOOKUP(B2245,Price_data!A$1:B$190,2,FALSE))</f>
        <v>#N/A</v>
      </c>
      <c r="S2245" s="4" t="str">
        <f>(VLOOKUP(B2245,Price_data!A$1:C$190,3,FALSE))</f>
        <v>EEZ</v>
      </c>
      <c r="T2245" s="2" t="str">
        <f>IF(C2245="Total", (VLOOKUP(B2245,Recommended_fish_intake!A$4:D$122,4,FALSE)), "NA")</f>
        <v>NA</v>
      </c>
      <c r="U2245" s="2" t="str">
        <f t="shared" si="275"/>
        <v>NA</v>
      </c>
    </row>
    <row r="2246" spans="1:21" ht="14.25" customHeight="1">
      <c r="A2246" s="2" t="s">
        <v>18</v>
      </c>
      <c r="B2246" s="2">
        <v>1988</v>
      </c>
      <c r="C2246" s="2" t="s">
        <v>23</v>
      </c>
      <c r="D2246" s="3">
        <f t="shared" si="276"/>
        <v>6.2460000000000004</v>
      </c>
      <c r="E2246" s="3">
        <f t="shared" si="277"/>
        <v>4.9109999999999996</v>
      </c>
      <c r="F2246" s="3" t="e">
        <f t="shared" si="278"/>
        <v>#N/A</v>
      </c>
      <c r="G2246" s="3" t="e">
        <f t="shared" si="279"/>
        <v>#N/A</v>
      </c>
      <c r="H2246" s="3" t="e">
        <f t="shared" si="280"/>
        <v>#N/A</v>
      </c>
      <c r="I2246" s="3" t="e">
        <f t="shared" si="281"/>
        <v>#N/A</v>
      </c>
      <c r="J2246" s="2">
        <v>6246</v>
      </c>
      <c r="K2246" s="2">
        <v>4911</v>
      </c>
      <c r="P2246" s="3">
        <f>E2246*(VLOOKUP(B2246,Price_data!A$1:B$190,2,FALSE))</f>
        <v>7.823594497505999</v>
      </c>
      <c r="Q2246" s="3" t="e">
        <f>G2246*(VLOOKUP(B2246,Price_data!A$1:B$190,2,FALSE))</f>
        <v>#N/A</v>
      </c>
      <c r="R2246" s="3" t="e">
        <f>I2246*(VLOOKUP(B2246,Price_data!A$1:B$190,2,FALSE))</f>
        <v>#N/A</v>
      </c>
      <c r="S2246" s="4" t="str">
        <f>(VLOOKUP(B2246,Price_data!A$1:C$190,3,FALSE))</f>
        <v>EEZ</v>
      </c>
      <c r="T2246" s="2" t="str">
        <f>IF(C2246="Total", (VLOOKUP(B2246,Recommended_fish_intake!A$4:D$122,4,FALSE)), "NA")</f>
        <v>NA</v>
      </c>
      <c r="U2246" s="2" t="str">
        <f t="shared" si="275"/>
        <v>NA</v>
      </c>
    </row>
    <row r="2247" spans="1:21" ht="14.25" customHeight="1">
      <c r="A2247" s="2" t="s">
        <v>18</v>
      </c>
      <c r="B2247" s="2">
        <v>1988</v>
      </c>
      <c r="C2247" s="2" t="s">
        <v>58</v>
      </c>
      <c r="D2247" s="3">
        <f t="shared" si="276"/>
        <v>3.44</v>
      </c>
      <c r="E2247" s="3">
        <f t="shared" si="277"/>
        <v>6.3049999999999997</v>
      </c>
      <c r="F2247" s="3" t="e">
        <f t="shared" si="278"/>
        <v>#N/A</v>
      </c>
      <c r="G2247" s="3" t="e">
        <f t="shared" si="279"/>
        <v>#N/A</v>
      </c>
      <c r="H2247" s="3" t="e">
        <f t="shared" si="280"/>
        <v>#N/A</v>
      </c>
      <c r="I2247" s="3" t="e">
        <f t="shared" si="281"/>
        <v>#N/A</v>
      </c>
      <c r="J2247" s="2">
        <v>3440</v>
      </c>
      <c r="K2247" s="2">
        <v>6305</v>
      </c>
      <c r="P2247" s="3">
        <f>E2247*(VLOOKUP(B2247,Price_data!A$1:B$190,2,FALSE))</f>
        <v>10.044341948029999</v>
      </c>
      <c r="Q2247" s="3" t="e">
        <f>G2247*(VLOOKUP(B2247,Price_data!A$1:B$190,2,FALSE))</f>
        <v>#N/A</v>
      </c>
      <c r="R2247" s="3" t="e">
        <f>I2247*(VLOOKUP(B2247,Price_data!A$1:B$190,2,FALSE))</f>
        <v>#N/A</v>
      </c>
      <c r="S2247" s="4" t="str">
        <f>(VLOOKUP(B2247,Price_data!A$1:C$190,3,FALSE))</f>
        <v>EEZ</v>
      </c>
      <c r="T2247" s="2" t="str">
        <f>IF(C2247="Total", (VLOOKUP(B2247,Recommended_fish_intake!A$4:D$122,4,FALSE)), "NA")</f>
        <v>NA</v>
      </c>
      <c r="U2247" s="2" t="str">
        <f t="shared" si="275"/>
        <v>NA</v>
      </c>
    </row>
    <row r="2248" spans="1:21" ht="14.25" customHeight="1">
      <c r="A2248" s="2" t="s">
        <v>18</v>
      </c>
      <c r="B2248" s="2">
        <v>1988</v>
      </c>
      <c r="C2248" s="2" t="s">
        <v>25</v>
      </c>
      <c r="D2248" s="3">
        <f t="shared" si="276"/>
        <v>20.196999999999999</v>
      </c>
      <c r="E2248" s="3">
        <f t="shared" si="277"/>
        <v>17.260000000000002</v>
      </c>
      <c r="F2248" s="3" t="e">
        <f t="shared" si="278"/>
        <v>#N/A</v>
      </c>
      <c r="G2248" s="3" t="e">
        <f t="shared" si="279"/>
        <v>#N/A</v>
      </c>
      <c r="H2248" s="3" t="e">
        <f t="shared" si="280"/>
        <v>#N/A</v>
      </c>
      <c r="I2248" s="3" t="e">
        <f t="shared" si="281"/>
        <v>#N/A</v>
      </c>
      <c r="J2248" s="2">
        <v>20197</v>
      </c>
      <c r="K2248" s="2">
        <v>17260</v>
      </c>
      <c r="P2248" s="3">
        <f>E2248*(VLOOKUP(B2248,Price_data!A$1:B$190,2,FALSE))</f>
        <v>27.49648564996</v>
      </c>
      <c r="Q2248" s="3" t="e">
        <f>G2248*(VLOOKUP(B2248,Price_data!A$1:B$190,2,FALSE))</f>
        <v>#N/A</v>
      </c>
      <c r="R2248" s="3" t="e">
        <f>I2248*(VLOOKUP(B2248,Price_data!A$1:B$190,2,FALSE))</f>
        <v>#N/A</v>
      </c>
      <c r="S2248" s="4" t="str">
        <f>(VLOOKUP(B2248,Price_data!A$1:C$190,3,FALSE))</f>
        <v>EEZ</v>
      </c>
      <c r="T2248" s="2" t="str">
        <f>IF(C2248="Total", (VLOOKUP(B2248,Recommended_fish_intake!A$4:D$122,4,FALSE)), "NA")</f>
        <v>NA</v>
      </c>
      <c r="U2248" s="2" t="str">
        <f t="shared" si="275"/>
        <v>NA</v>
      </c>
    </row>
    <row r="2249" spans="1:21" ht="14.25" customHeight="1">
      <c r="A2249" s="2" t="s">
        <v>18</v>
      </c>
      <c r="B2249" s="2">
        <v>1988</v>
      </c>
      <c r="C2249" s="2" t="s">
        <v>24</v>
      </c>
      <c r="D2249" s="3">
        <f t="shared" si="276"/>
        <v>6.0359999999999996</v>
      </c>
      <c r="E2249" s="3">
        <f t="shared" si="277"/>
        <v>2.6419999999999999</v>
      </c>
      <c r="F2249" s="3" t="e">
        <f t="shared" si="278"/>
        <v>#N/A</v>
      </c>
      <c r="G2249" s="3" t="e">
        <f t="shared" si="279"/>
        <v>#N/A</v>
      </c>
      <c r="H2249" s="3" t="e">
        <f t="shared" si="280"/>
        <v>#N/A</v>
      </c>
      <c r="I2249" s="3" t="e">
        <f t="shared" si="281"/>
        <v>#N/A</v>
      </c>
      <c r="J2249" s="2">
        <v>6036</v>
      </c>
      <c r="K2249" s="2">
        <v>2642</v>
      </c>
      <c r="P2249" s="3">
        <f>E2249*(VLOOKUP(B2249,Price_data!A$1:B$190,2,FALSE))</f>
        <v>4.2089058567319997</v>
      </c>
      <c r="Q2249" s="3" t="e">
        <f>G2249*(VLOOKUP(B2249,Price_data!A$1:B$190,2,FALSE))</f>
        <v>#N/A</v>
      </c>
      <c r="R2249" s="3" t="e">
        <f>I2249*(VLOOKUP(B2249,Price_data!A$1:B$190,2,FALSE))</f>
        <v>#N/A</v>
      </c>
      <c r="S2249" s="4" t="str">
        <f>(VLOOKUP(B2249,Price_data!A$1:C$190,3,FALSE))</f>
        <v>EEZ</v>
      </c>
      <c r="T2249" s="2" t="str">
        <f>IF(C2249="Total", (VLOOKUP(B2249,Recommended_fish_intake!A$4:D$122,4,FALSE)), "NA")</f>
        <v>NA</v>
      </c>
      <c r="U2249" s="2" t="str">
        <f t="shared" si="275"/>
        <v>NA</v>
      </c>
    </row>
    <row r="2250" spans="1:21" ht="14.25" customHeight="1">
      <c r="A2250" s="2" t="s">
        <v>18</v>
      </c>
      <c r="B2250" s="2">
        <v>1988</v>
      </c>
      <c r="C2250" s="2" t="s">
        <v>19</v>
      </c>
      <c r="D2250" s="3">
        <f t="shared" si="276"/>
        <v>1.0629999999999999</v>
      </c>
      <c r="E2250" s="3">
        <f t="shared" si="277"/>
        <v>0.28999999999999998</v>
      </c>
      <c r="F2250" s="3" t="e">
        <f t="shared" si="278"/>
        <v>#N/A</v>
      </c>
      <c r="G2250" s="3" t="e">
        <f t="shared" si="279"/>
        <v>#N/A</v>
      </c>
      <c r="H2250" s="3" t="e">
        <f t="shared" si="280"/>
        <v>#N/A</v>
      </c>
      <c r="I2250" s="3" t="e">
        <f t="shared" si="281"/>
        <v>#N/A</v>
      </c>
      <c r="J2250" s="2">
        <v>1063</v>
      </c>
      <c r="K2250" s="2">
        <v>290</v>
      </c>
      <c r="P2250" s="3">
        <f>E2250*(VLOOKUP(B2250,Price_data!A$1:B$190,2,FALSE))</f>
        <v>0.46199193733999994</v>
      </c>
      <c r="Q2250" s="3" t="e">
        <f>G2250*(VLOOKUP(B2250,Price_data!A$1:B$190,2,FALSE))</f>
        <v>#N/A</v>
      </c>
      <c r="R2250" s="3" t="e">
        <f>I2250*(VLOOKUP(B2250,Price_data!A$1:B$190,2,FALSE))</f>
        <v>#N/A</v>
      </c>
      <c r="S2250" s="4" t="str">
        <f>(VLOOKUP(B2250,Price_data!A$1:C$190,3,FALSE))</f>
        <v>EEZ</v>
      </c>
      <c r="T2250" s="2" t="str">
        <f>IF(C2250="Total", (VLOOKUP(B2250,Recommended_fish_intake!A$4:D$122,4,FALSE)), "NA")</f>
        <v>NA</v>
      </c>
      <c r="U2250" s="2" t="str">
        <f t="shared" si="275"/>
        <v>NA</v>
      </c>
    </row>
    <row r="2251" spans="1:21" ht="14.25" customHeight="1">
      <c r="A2251" s="2" t="s">
        <v>18</v>
      </c>
      <c r="B2251" s="2">
        <v>1988</v>
      </c>
      <c r="C2251" s="2" t="s">
        <v>20</v>
      </c>
      <c r="D2251" s="3">
        <f t="shared" si="276"/>
        <v>14.566000000000001</v>
      </c>
      <c r="E2251" s="3">
        <f t="shared" si="277"/>
        <v>1.7509999999999999</v>
      </c>
      <c r="F2251" s="3" t="e">
        <f t="shared" si="278"/>
        <v>#N/A</v>
      </c>
      <c r="G2251" s="3" t="e">
        <f t="shared" si="279"/>
        <v>#N/A</v>
      </c>
      <c r="H2251" s="3" t="e">
        <f t="shared" si="280"/>
        <v>#N/A</v>
      </c>
      <c r="I2251" s="3" t="e">
        <f t="shared" si="281"/>
        <v>#N/A</v>
      </c>
      <c r="J2251" s="2">
        <v>14566</v>
      </c>
      <c r="K2251" s="2">
        <v>1751</v>
      </c>
      <c r="P2251" s="3">
        <f>E2251*(VLOOKUP(B2251,Price_data!A$1:B$190,2,FALSE))</f>
        <v>2.7894754561459996</v>
      </c>
      <c r="Q2251" s="3" t="e">
        <f>G2251*(VLOOKUP(B2251,Price_data!A$1:B$190,2,FALSE))</f>
        <v>#N/A</v>
      </c>
      <c r="R2251" s="3" t="e">
        <f>I2251*(VLOOKUP(B2251,Price_data!A$1:B$190,2,FALSE))</f>
        <v>#N/A</v>
      </c>
      <c r="S2251" s="4" t="str">
        <f>(VLOOKUP(B2251,Price_data!A$1:C$190,3,FALSE))</f>
        <v>EEZ</v>
      </c>
      <c r="T2251" s="2" t="str">
        <f>IF(C2251="Total", (VLOOKUP(B2251,Recommended_fish_intake!A$4:D$122,4,FALSE)), "NA")</f>
        <v>NA</v>
      </c>
      <c r="U2251" s="2" t="str">
        <f t="shared" si="275"/>
        <v>NA</v>
      </c>
    </row>
    <row r="2252" spans="1:21" ht="14.25" customHeight="1">
      <c r="A2252" s="2" t="s">
        <v>18</v>
      </c>
      <c r="B2252" s="2">
        <v>1988</v>
      </c>
      <c r="C2252" s="2" t="s">
        <v>37</v>
      </c>
      <c r="D2252" s="3">
        <f t="shared" si="276"/>
        <v>118.288</v>
      </c>
      <c r="E2252" s="3">
        <f t="shared" si="277"/>
        <v>105.94</v>
      </c>
      <c r="F2252" s="3" t="e">
        <f t="shared" si="278"/>
        <v>#N/A</v>
      </c>
      <c r="G2252" s="3" t="e">
        <f t="shared" si="279"/>
        <v>#N/A</v>
      </c>
      <c r="H2252" s="3" t="e">
        <f t="shared" si="280"/>
        <v>#N/A</v>
      </c>
      <c r="I2252" s="3" t="e">
        <f t="shared" si="281"/>
        <v>#N/A</v>
      </c>
      <c r="J2252" s="2">
        <v>118288</v>
      </c>
      <c r="K2252" s="2">
        <v>105940</v>
      </c>
      <c r="P2252" s="3">
        <f>E2252*(VLOOKUP(B2252,Price_data!A$1:B$190,2,FALSE))</f>
        <v>168.77043393724</v>
      </c>
      <c r="Q2252" s="3" t="e">
        <f>G2252*(VLOOKUP(B2252,Price_data!A$1:B$190,2,FALSE))</f>
        <v>#N/A</v>
      </c>
      <c r="R2252" s="3" t="e">
        <f>I2252*(VLOOKUP(B2252,Price_data!A$1:B$190,2,FALSE))</f>
        <v>#N/A</v>
      </c>
      <c r="S2252" s="4" t="str">
        <f>(VLOOKUP(B2252,Price_data!A$1:C$190,3,FALSE))</f>
        <v>EEZ</v>
      </c>
      <c r="T2252" s="2" t="str">
        <f>IF(C2252="Total", (VLOOKUP(B2252,Recommended_fish_intake!A$4:D$122,4,FALSE)), "NA")</f>
        <v>NA</v>
      </c>
      <c r="U2252" s="2">
        <f t="shared" si="275"/>
        <v>57.961119999999994</v>
      </c>
    </row>
    <row r="2253" spans="1:21" ht="14.25" customHeight="1">
      <c r="A2253" s="2" t="s">
        <v>18</v>
      </c>
      <c r="B2253" s="2">
        <v>1988</v>
      </c>
      <c r="C2253" s="2" t="s">
        <v>36</v>
      </c>
      <c r="D2253" s="3">
        <f t="shared" si="276"/>
        <v>7.3970000000000002</v>
      </c>
      <c r="E2253" s="3">
        <f t="shared" si="277"/>
        <v>7.1369999999999996</v>
      </c>
      <c r="F2253" s="3" t="e">
        <f t="shared" si="278"/>
        <v>#N/A</v>
      </c>
      <c r="G2253" s="3" t="e">
        <f t="shared" si="279"/>
        <v>#N/A</v>
      </c>
      <c r="H2253" s="3" t="e">
        <f t="shared" si="280"/>
        <v>#N/A</v>
      </c>
      <c r="I2253" s="3" t="e">
        <f t="shared" si="281"/>
        <v>#N/A</v>
      </c>
      <c r="J2253" s="2">
        <v>7397</v>
      </c>
      <c r="K2253" s="2">
        <v>7137</v>
      </c>
      <c r="P2253" s="3">
        <f>E2253*(VLOOKUP(B2253,Price_data!A$1:B$190,2,FALSE))</f>
        <v>11.369780885501999</v>
      </c>
      <c r="Q2253" s="3" t="e">
        <f>G2253*(VLOOKUP(B2253,Price_data!A$1:B$190,2,FALSE))</f>
        <v>#N/A</v>
      </c>
      <c r="R2253" s="3" t="e">
        <f>I2253*(VLOOKUP(B2253,Price_data!A$1:B$190,2,FALSE))</f>
        <v>#N/A</v>
      </c>
      <c r="S2253" s="4" t="str">
        <f>(VLOOKUP(B2253,Price_data!A$1:C$190,3,FALSE))</f>
        <v>EEZ</v>
      </c>
      <c r="T2253" s="2" t="str">
        <f>IF(C2253="Total", (VLOOKUP(B2253,Recommended_fish_intake!A$4:D$122,4,FALSE)), "NA")</f>
        <v>NA</v>
      </c>
      <c r="U2253" s="2" t="str">
        <f t="shared" si="275"/>
        <v>NA</v>
      </c>
    </row>
    <row r="2254" spans="1:21" ht="14.25" customHeight="1">
      <c r="A2254" s="2" t="s">
        <v>18</v>
      </c>
      <c r="B2254" s="2">
        <v>1988</v>
      </c>
      <c r="C2254" s="2" t="s">
        <v>34</v>
      </c>
      <c r="D2254" s="3">
        <f t="shared" si="276"/>
        <v>0.53200000000000003</v>
      </c>
      <c r="E2254" s="3">
        <f t="shared" si="277"/>
        <v>4.0869999999999997</v>
      </c>
      <c r="F2254" s="3" t="e">
        <f t="shared" si="278"/>
        <v>#N/A</v>
      </c>
      <c r="G2254" s="3" t="e">
        <f t="shared" si="279"/>
        <v>#N/A</v>
      </c>
      <c r="H2254" s="3" t="e">
        <f t="shared" si="280"/>
        <v>#N/A</v>
      </c>
      <c r="I2254" s="3" t="e">
        <f t="shared" si="281"/>
        <v>#N/A</v>
      </c>
      <c r="J2254" s="2">
        <v>532</v>
      </c>
      <c r="K2254" s="2">
        <v>4087</v>
      </c>
      <c r="P2254" s="3">
        <f>E2254*(VLOOKUP(B2254,Price_data!A$1:B$190,2,FALSE))</f>
        <v>6.5109001652019991</v>
      </c>
      <c r="Q2254" s="3" t="e">
        <f>G2254*(VLOOKUP(B2254,Price_data!A$1:B$190,2,FALSE))</f>
        <v>#N/A</v>
      </c>
      <c r="R2254" s="3" t="e">
        <f>I2254*(VLOOKUP(B2254,Price_data!A$1:B$190,2,FALSE))</f>
        <v>#N/A</v>
      </c>
      <c r="S2254" s="4" t="str">
        <f>(VLOOKUP(B2254,Price_data!A$1:C$190,3,FALSE))</f>
        <v>EEZ</v>
      </c>
      <c r="T2254" s="2" t="str">
        <f>IF(C2254="Total", (VLOOKUP(B2254,Recommended_fish_intake!A$4:D$122,4,FALSE)), "NA")</f>
        <v>NA</v>
      </c>
      <c r="U2254" s="2" t="str">
        <f t="shared" si="275"/>
        <v>NA</v>
      </c>
    </row>
    <row r="2255" spans="1:21" ht="14.25" customHeight="1">
      <c r="A2255" s="2" t="s">
        <v>18</v>
      </c>
      <c r="B2255" s="2">
        <v>1988</v>
      </c>
      <c r="C2255" s="2" t="s">
        <v>35</v>
      </c>
      <c r="D2255" s="3">
        <f t="shared" si="276"/>
        <v>2.91</v>
      </c>
      <c r="E2255" s="3">
        <f t="shared" si="277"/>
        <v>4.6959999999999997</v>
      </c>
      <c r="F2255" s="3" t="e">
        <f t="shared" si="278"/>
        <v>#N/A</v>
      </c>
      <c r="G2255" s="3" t="e">
        <f t="shared" si="279"/>
        <v>#N/A</v>
      </c>
      <c r="H2255" s="3" t="e">
        <f t="shared" si="280"/>
        <v>#N/A</v>
      </c>
      <c r="I2255" s="3" t="e">
        <f t="shared" si="281"/>
        <v>#N/A</v>
      </c>
      <c r="J2255" s="2">
        <v>2910</v>
      </c>
      <c r="K2255" s="2">
        <v>4696</v>
      </c>
      <c r="P2255" s="3">
        <f>E2255*(VLOOKUP(B2255,Price_data!A$1:B$190,2,FALSE))</f>
        <v>7.4810832336159994</v>
      </c>
      <c r="Q2255" s="3" t="e">
        <f>G2255*(VLOOKUP(B2255,Price_data!A$1:B$190,2,FALSE))</f>
        <v>#N/A</v>
      </c>
      <c r="R2255" s="3" t="e">
        <f>I2255*(VLOOKUP(B2255,Price_data!A$1:B$190,2,FALSE))</f>
        <v>#N/A</v>
      </c>
      <c r="S2255" s="4" t="str">
        <f>(VLOOKUP(B2255,Price_data!A$1:C$190,3,FALSE))</f>
        <v>EEZ</v>
      </c>
      <c r="T2255" s="2" t="str">
        <f>IF(C2255="Total", (VLOOKUP(B2255,Recommended_fish_intake!A$4:D$122,4,FALSE)), "NA")</f>
        <v>NA</v>
      </c>
      <c r="U2255" s="2" t="str">
        <f t="shared" si="275"/>
        <v>NA</v>
      </c>
    </row>
    <row r="2256" spans="1:21" ht="14.25" customHeight="1">
      <c r="A2256" s="2" t="s">
        <v>18</v>
      </c>
      <c r="B2256" s="2">
        <v>1988</v>
      </c>
      <c r="C2256" s="2" t="s">
        <v>52</v>
      </c>
      <c r="D2256" s="3">
        <f t="shared" si="276"/>
        <v>3.14</v>
      </c>
      <c r="E2256" s="3">
        <f t="shared" si="277"/>
        <v>4.016</v>
      </c>
      <c r="F2256" s="3" t="e">
        <f t="shared" si="278"/>
        <v>#N/A</v>
      </c>
      <c r="G2256" s="3" t="e">
        <f t="shared" si="279"/>
        <v>#N/A</v>
      </c>
      <c r="H2256" s="3" t="e">
        <f t="shared" si="280"/>
        <v>#N/A</v>
      </c>
      <c r="I2256" s="3" t="e">
        <f t="shared" si="281"/>
        <v>#N/A</v>
      </c>
      <c r="J2256" s="2">
        <v>3140</v>
      </c>
      <c r="K2256" s="2">
        <v>4016</v>
      </c>
      <c r="P2256" s="3">
        <f>E2256*(VLOOKUP(B2256,Price_data!A$1:B$190,2,FALSE))</f>
        <v>6.3977917943359994</v>
      </c>
      <c r="Q2256" s="3" t="e">
        <f>G2256*(VLOOKUP(B2256,Price_data!A$1:B$190,2,FALSE))</f>
        <v>#N/A</v>
      </c>
      <c r="R2256" s="3" t="e">
        <f>I2256*(VLOOKUP(B2256,Price_data!A$1:B$190,2,FALSE))</f>
        <v>#N/A</v>
      </c>
      <c r="S2256" s="4" t="str">
        <f>(VLOOKUP(B2256,Price_data!A$1:C$190,3,FALSE))</f>
        <v>EEZ</v>
      </c>
      <c r="T2256" s="2" t="str">
        <f>IF(C2256="Total", (VLOOKUP(B2256,Recommended_fish_intake!A$4:D$122,4,FALSE)), "NA")</f>
        <v>NA</v>
      </c>
      <c r="U2256" s="2" t="str">
        <f t="shared" si="275"/>
        <v>NA</v>
      </c>
    </row>
    <row r="2257" spans="1:21" ht="14.25" customHeight="1">
      <c r="A2257" s="2" t="s">
        <v>18</v>
      </c>
      <c r="B2257" s="2">
        <v>1988</v>
      </c>
      <c r="C2257" s="2" t="s">
        <v>30</v>
      </c>
      <c r="D2257" s="3">
        <f t="shared" si="276"/>
        <v>1.54</v>
      </c>
      <c r="E2257" s="3">
        <f t="shared" si="277"/>
        <v>1.63</v>
      </c>
      <c r="F2257" s="3" t="e">
        <f t="shared" si="278"/>
        <v>#N/A</v>
      </c>
      <c r="G2257" s="3" t="e">
        <f t="shared" si="279"/>
        <v>#N/A</v>
      </c>
      <c r="H2257" s="3" t="e">
        <f t="shared" si="280"/>
        <v>#N/A</v>
      </c>
      <c r="I2257" s="3" t="e">
        <f t="shared" si="281"/>
        <v>#N/A</v>
      </c>
      <c r="J2257" s="2">
        <v>1540</v>
      </c>
      <c r="K2257" s="2">
        <v>1630</v>
      </c>
      <c r="P2257" s="3">
        <f>E2257*(VLOOKUP(B2257,Price_data!A$1:B$190,2,FALSE))</f>
        <v>2.5967133029799996</v>
      </c>
      <c r="Q2257" s="3" t="e">
        <f>G2257*(VLOOKUP(B2257,Price_data!A$1:B$190,2,FALSE))</f>
        <v>#N/A</v>
      </c>
      <c r="R2257" s="3" t="e">
        <f>I2257*(VLOOKUP(B2257,Price_data!A$1:B$190,2,FALSE))</f>
        <v>#N/A</v>
      </c>
      <c r="S2257" s="4" t="str">
        <f>(VLOOKUP(B2257,Price_data!A$1:C$190,3,FALSE))</f>
        <v>EEZ</v>
      </c>
      <c r="T2257" s="2" t="str">
        <f>IF(C2257="Total", (VLOOKUP(B2257,Recommended_fish_intake!A$4:D$122,4,FALSE)), "NA")</f>
        <v>NA</v>
      </c>
      <c r="U2257" s="2" t="str">
        <f t="shared" si="275"/>
        <v>NA</v>
      </c>
    </row>
    <row r="2258" spans="1:21" ht="14.25" customHeight="1">
      <c r="A2258" s="2" t="s">
        <v>18</v>
      </c>
      <c r="B2258" s="2">
        <v>1988</v>
      </c>
      <c r="C2258" s="2" t="s">
        <v>28</v>
      </c>
      <c r="D2258" s="3">
        <f t="shared" si="276"/>
        <v>46.244</v>
      </c>
      <c r="E2258" s="3">
        <f t="shared" si="277"/>
        <v>28.274000000000001</v>
      </c>
      <c r="F2258" s="3" t="e">
        <f t="shared" si="278"/>
        <v>#N/A</v>
      </c>
      <c r="G2258" s="3" t="e">
        <f t="shared" si="279"/>
        <v>#N/A</v>
      </c>
      <c r="H2258" s="3" t="e">
        <f t="shared" si="280"/>
        <v>#N/A</v>
      </c>
      <c r="I2258" s="3" t="e">
        <f t="shared" si="281"/>
        <v>#N/A</v>
      </c>
      <c r="J2258" s="2">
        <v>46244</v>
      </c>
      <c r="K2258" s="2">
        <v>28274</v>
      </c>
      <c r="P2258" s="3">
        <f>E2258*(VLOOKUP(B2258,Price_data!A$1:B$190,2,FALSE))</f>
        <v>45.042620815004</v>
      </c>
      <c r="Q2258" s="3" t="e">
        <f>G2258*(VLOOKUP(B2258,Price_data!A$1:B$190,2,FALSE))</f>
        <v>#N/A</v>
      </c>
      <c r="R2258" s="3" t="e">
        <f>I2258*(VLOOKUP(B2258,Price_data!A$1:B$190,2,FALSE))</f>
        <v>#N/A</v>
      </c>
      <c r="S2258" s="4" t="str">
        <f>(VLOOKUP(B2258,Price_data!A$1:C$190,3,FALSE))</f>
        <v>EEZ</v>
      </c>
      <c r="T2258" s="2" t="str">
        <f>IF(C2258="Total", (VLOOKUP(B2258,Recommended_fish_intake!A$4:D$122,4,FALSE)), "NA")</f>
        <v>NA</v>
      </c>
      <c r="U2258" s="2">
        <f t="shared" si="275"/>
        <v>12.948320000000001</v>
      </c>
    </row>
    <row r="2259" spans="1:21" ht="14.25" customHeight="1">
      <c r="A2259" s="2" t="s">
        <v>39</v>
      </c>
      <c r="B2259" s="2">
        <v>1988</v>
      </c>
      <c r="C2259" s="2" t="s">
        <v>22</v>
      </c>
      <c r="D2259" s="3">
        <f t="shared" si="276"/>
        <v>43.024000000000001</v>
      </c>
      <c r="E2259" s="3">
        <f t="shared" si="277"/>
        <v>40.872999999999998</v>
      </c>
      <c r="F2259" s="3" t="e">
        <f t="shared" si="278"/>
        <v>#N/A</v>
      </c>
      <c r="G2259" s="3" t="e">
        <f t="shared" si="279"/>
        <v>#N/A</v>
      </c>
      <c r="H2259" s="3" t="e">
        <f t="shared" si="280"/>
        <v>#N/A</v>
      </c>
      <c r="I2259" s="3" t="e">
        <f t="shared" si="281"/>
        <v>#N/A</v>
      </c>
      <c r="J2259" s="2">
        <v>43024</v>
      </c>
      <c r="K2259" s="2">
        <v>40873</v>
      </c>
      <c r="P2259" s="3">
        <f>E2259*(VLOOKUP(B2259,Price_data!A$1:B$190,2,FALSE))</f>
        <v>65.113780878957996</v>
      </c>
      <c r="Q2259" s="3" t="e">
        <f>G2259*(VLOOKUP(B2259,Price_data!A$1:B$190,2,FALSE))</f>
        <v>#N/A</v>
      </c>
      <c r="R2259" s="3" t="e">
        <f>I2259*(VLOOKUP(B2259,Price_data!A$1:B$190,2,FALSE))</f>
        <v>#N/A</v>
      </c>
      <c r="S2259" s="4" t="str">
        <f>(VLOOKUP(B2259,Price_data!A$1:C$190,3,FALSE))</f>
        <v>EEZ</v>
      </c>
      <c r="T2259" s="2" t="str">
        <f>IF(C2259="Total", (VLOOKUP(B2259,Recommended_fish_intake!A$4:D$122,4,FALSE)), "NA")</f>
        <v>NA</v>
      </c>
      <c r="U2259" s="2" t="str">
        <f t="shared" si="275"/>
        <v>NA</v>
      </c>
    </row>
    <row r="2260" spans="1:21" ht="14.25" customHeight="1">
      <c r="A2260" s="2" t="s">
        <v>39</v>
      </c>
      <c r="B2260" s="2">
        <v>1988</v>
      </c>
      <c r="C2260" s="2" t="s">
        <v>23</v>
      </c>
      <c r="D2260" s="3">
        <f t="shared" si="276"/>
        <v>91.194999999999993</v>
      </c>
      <c r="E2260" s="3">
        <f t="shared" si="277"/>
        <v>63.582000000000001</v>
      </c>
      <c r="F2260" s="3" t="e">
        <f t="shared" si="278"/>
        <v>#N/A</v>
      </c>
      <c r="G2260" s="3" t="e">
        <f t="shared" si="279"/>
        <v>#N/A</v>
      </c>
      <c r="H2260" s="3" t="e">
        <f t="shared" si="280"/>
        <v>#N/A</v>
      </c>
      <c r="I2260" s="3" t="e">
        <f t="shared" si="281"/>
        <v>#N/A</v>
      </c>
      <c r="J2260" s="2">
        <v>91195</v>
      </c>
      <c r="K2260" s="2">
        <v>63582</v>
      </c>
      <c r="P2260" s="3">
        <f>E2260*(VLOOKUP(B2260,Price_data!A$1:B$190,2,FALSE))</f>
        <v>101.290935723972</v>
      </c>
      <c r="Q2260" s="3" t="e">
        <f>G2260*(VLOOKUP(B2260,Price_data!A$1:B$190,2,FALSE))</f>
        <v>#N/A</v>
      </c>
      <c r="R2260" s="3" t="e">
        <f>I2260*(VLOOKUP(B2260,Price_data!A$1:B$190,2,FALSE))</f>
        <v>#N/A</v>
      </c>
      <c r="S2260" s="4" t="str">
        <f>(VLOOKUP(B2260,Price_data!A$1:C$190,3,FALSE))</f>
        <v>EEZ</v>
      </c>
      <c r="T2260" s="2" t="str">
        <f>IF(C2260="Total", (VLOOKUP(B2260,Recommended_fish_intake!A$4:D$122,4,FALSE)), "NA")</f>
        <v>NA</v>
      </c>
      <c r="U2260" s="2" t="str">
        <f t="shared" si="275"/>
        <v>NA</v>
      </c>
    </row>
    <row r="2261" spans="1:21" ht="14.25" customHeight="1">
      <c r="A2261" s="2" t="s">
        <v>39</v>
      </c>
      <c r="B2261" s="2">
        <v>1988</v>
      </c>
      <c r="C2261" s="2" t="s">
        <v>58</v>
      </c>
      <c r="D2261" s="3">
        <f t="shared" si="276"/>
        <v>7.298</v>
      </c>
      <c r="E2261" s="3">
        <f t="shared" si="277"/>
        <v>12.666</v>
      </c>
      <c r="F2261" s="3" t="e">
        <f t="shared" si="278"/>
        <v>#N/A</v>
      </c>
      <c r="G2261" s="3" t="e">
        <f t="shared" si="279"/>
        <v>#N/A</v>
      </c>
      <c r="H2261" s="3" t="e">
        <f t="shared" si="280"/>
        <v>#N/A</v>
      </c>
      <c r="I2261" s="3" t="e">
        <f t="shared" si="281"/>
        <v>#N/A</v>
      </c>
      <c r="J2261" s="2">
        <v>7298</v>
      </c>
      <c r="K2261" s="2">
        <v>12666</v>
      </c>
      <c r="P2261" s="3">
        <f>E2261*(VLOOKUP(B2261,Price_data!A$1:B$190,2,FALSE))</f>
        <v>20.177896132236</v>
      </c>
      <c r="Q2261" s="3" t="e">
        <f>G2261*(VLOOKUP(B2261,Price_data!A$1:B$190,2,FALSE))</f>
        <v>#N/A</v>
      </c>
      <c r="R2261" s="3" t="e">
        <f>I2261*(VLOOKUP(B2261,Price_data!A$1:B$190,2,FALSE))</f>
        <v>#N/A</v>
      </c>
      <c r="S2261" s="4" t="str">
        <f>(VLOOKUP(B2261,Price_data!A$1:C$190,3,FALSE))</f>
        <v>EEZ</v>
      </c>
      <c r="T2261" s="2" t="str">
        <f>IF(C2261="Total", (VLOOKUP(B2261,Recommended_fish_intake!A$4:D$122,4,FALSE)), "NA")</f>
        <v>NA</v>
      </c>
      <c r="U2261" s="2" t="str">
        <f t="shared" si="275"/>
        <v>NA</v>
      </c>
    </row>
    <row r="2262" spans="1:21" ht="14.25" customHeight="1">
      <c r="A2262" s="2" t="s">
        <v>39</v>
      </c>
      <c r="B2262" s="2">
        <v>1988</v>
      </c>
      <c r="C2262" s="2" t="s">
        <v>25</v>
      </c>
      <c r="D2262" s="3">
        <f t="shared" si="276"/>
        <v>6.8559999999999999</v>
      </c>
      <c r="E2262" s="3">
        <f t="shared" si="277"/>
        <v>4.8819999999999997</v>
      </c>
      <c r="F2262" s="3" t="e">
        <f t="shared" si="278"/>
        <v>#N/A</v>
      </c>
      <c r="G2262" s="3" t="e">
        <f t="shared" si="279"/>
        <v>#N/A</v>
      </c>
      <c r="H2262" s="3" t="e">
        <f t="shared" si="280"/>
        <v>#N/A</v>
      </c>
      <c r="I2262" s="3" t="e">
        <f t="shared" si="281"/>
        <v>#N/A</v>
      </c>
      <c r="J2262" s="2">
        <v>6856</v>
      </c>
      <c r="K2262" s="2">
        <v>4882</v>
      </c>
      <c r="P2262" s="3">
        <f>E2262*(VLOOKUP(B2262,Price_data!A$1:B$190,2,FALSE))</f>
        <v>7.7773953037719989</v>
      </c>
      <c r="Q2262" s="3" t="e">
        <f>G2262*(VLOOKUP(B2262,Price_data!A$1:B$190,2,FALSE))</f>
        <v>#N/A</v>
      </c>
      <c r="R2262" s="3" t="e">
        <f>I2262*(VLOOKUP(B2262,Price_data!A$1:B$190,2,FALSE))</f>
        <v>#N/A</v>
      </c>
      <c r="S2262" s="4" t="str">
        <f>(VLOOKUP(B2262,Price_data!A$1:C$190,3,FALSE))</f>
        <v>EEZ</v>
      </c>
      <c r="T2262" s="2" t="str">
        <f>IF(C2262="Total", (VLOOKUP(B2262,Recommended_fish_intake!A$4:D$122,4,FALSE)), "NA")</f>
        <v>NA</v>
      </c>
      <c r="U2262" s="2" t="str">
        <f t="shared" si="275"/>
        <v>NA</v>
      </c>
    </row>
    <row r="2263" spans="1:21" ht="14.25" customHeight="1">
      <c r="A2263" s="2" t="s">
        <v>39</v>
      </c>
      <c r="B2263" s="2">
        <v>1988</v>
      </c>
      <c r="C2263" s="2" t="s">
        <v>24</v>
      </c>
      <c r="D2263" s="3">
        <f t="shared" si="276"/>
        <v>34.883000000000003</v>
      </c>
      <c r="E2263" s="3">
        <f t="shared" si="277"/>
        <v>16.814</v>
      </c>
      <c r="F2263" s="3" t="e">
        <f t="shared" si="278"/>
        <v>#N/A</v>
      </c>
      <c r="G2263" s="3" t="e">
        <f t="shared" si="279"/>
        <v>#N/A</v>
      </c>
      <c r="H2263" s="3" t="e">
        <f t="shared" si="280"/>
        <v>#N/A</v>
      </c>
      <c r="I2263" s="3" t="e">
        <f t="shared" si="281"/>
        <v>#N/A</v>
      </c>
      <c r="J2263" s="2">
        <v>34883</v>
      </c>
      <c r="K2263" s="2">
        <v>16814</v>
      </c>
      <c r="P2263" s="3">
        <f>E2263*(VLOOKUP(B2263,Price_data!A$1:B$190,2,FALSE))</f>
        <v>26.785973911844</v>
      </c>
      <c r="Q2263" s="3" t="e">
        <f>G2263*(VLOOKUP(B2263,Price_data!A$1:B$190,2,FALSE))</f>
        <v>#N/A</v>
      </c>
      <c r="R2263" s="3" t="e">
        <f>I2263*(VLOOKUP(B2263,Price_data!A$1:B$190,2,FALSE))</f>
        <v>#N/A</v>
      </c>
      <c r="S2263" s="4" t="str">
        <f>(VLOOKUP(B2263,Price_data!A$1:C$190,3,FALSE))</f>
        <v>EEZ</v>
      </c>
      <c r="T2263" s="2" t="str">
        <f>IF(C2263="Total", (VLOOKUP(B2263,Recommended_fish_intake!A$4:D$122,4,FALSE)), "NA")</f>
        <v>NA</v>
      </c>
      <c r="U2263" s="2" t="str">
        <f t="shared" si="275"/>
        <v>NA</v>
      </c>
    </row>
    <row r="2264" spans="1:21" ht="14.25" customHeight="1">
      <c r="A2264" s="2" t="s">
        <v>39</v>
      </c>
      <c r="B2264" s="2">
        <v>1988</v>
      </c>
      <c r="C2264" s="2" t="s">
        <v>19</v>
      </c>
      <c r="D2264" s="3">
        <f t="shared" si="276"/>
        <v>87.459000000000003</v>
      </c>
      <c r="E2264" s="3">
        <f t="shared" si="277"/>
        <v>10.481999999999999</v>
      </c>
      <c r="F2264" s="3" t="e">
        <f t="shared" si="278"/>
        <v>#N/A</v>
      </c>
      <c r="G2264" s="3" t="e">
        <f t="shared" si="279"/>
        <v>#N/A</v>
      </c>
      <c r="H2264" s="3" t="e">
        <f t="shared" si="280"/>
        <v>#N/A</v>
      </c>
      <c r="I2264" s="3" t="e">
        <f t="shared" si="281"/>
        <v>#N/A</v>
      </c>
      <c r="J2264" s="2">
        <v>87459</v>
      </c>
      <c r="K2264" s="2">
        <v>10482</v>
      </c>
      <c r="P2264" s="3">
        <f>E2264*(VLOOKUP(B2264,Price_data!A$1:B$190,2,FALSE))</f>
        <v>16.698618921371999</v>
      </c>
      <c r="Q2264" s="3" t="e">
        <f>G2264*(VLOOKUP(B2264,Price_data!A$1:B$190,2,FALSE))</f>
        <v>#N/A</v>
      </c>
      <c r="R2264" s="3" t="e">
        <f>I2264*(VLOOKUP(B2264,Price_data!A$1:B$190,2,FALSE))</f>
        <v>#N/A</v>
      </c>
      <c r="S2264" s="4" t="str">
        <f>(VLOOKUP(B2264,Price_data!A$1:C$190,3,FALSE))</f>
        <v>EEZ</v>
      </c>
      <c r="T2264" s="2" t="str">
        <f>IF(C2264="Total", (VLOOKUP(B2264,Recommended_fish_intake!A$4:D$122,4,FALSE)), "NA")</f>
        <v>NA</v>
      </c>
      <c r="U2264" s="2" t="str">
        <f t="shared" si="275"/>
        <v>NA</v>
      </c>
    </row>
    <row r="2265" spans="1:21" ht="14.25" customHeight="1">
      <c r="A2265" s="2" t="s">
        <v>39</v>
      </c>
      <c r="B2265" s="2">
        <v>1988</v>
      </c>
      <c r="C2265" s="2" t="s">
        <v>20</v>
      </c>
      <c r="D2265" s="3">
        <f t="shared" si="276"/>
        <v>161.33500000000001</v>
      </c>
      <c r="E2265" s="3">
        <f t="shared" si="277"/>
        <v>19.02</v>
      </c>
      <c r="F2265" s="3" t="e">
        <f t="shared" si="278"/>
        <v>#N/A</v>
      </c>
      <c r="G2265" s="3" t="e">
        <f t="shared" si="279"/>
        <v>#N/A</v>
      </c>
      <c r="H2265" s="3" t="e">
        <f t="shared" si="280"/>
        <v>#N/A</v>
      </c>
      <c r="I2265" s="3" t="e">
        <f t="shared" si="281"/>
        <v>#N/A</v>
      </c>
      <c r="J2265" s="2">
        <v>161335</v>
      </c>
      <c r="K2265" s="2">
        <v>19020</v>
      </c>
      <c r="P2265" s="3">
        <f>E2265*(VLOOKUP(B2265,Price_data!A$1:B$190,2,FALSE))</f>
        <v>30.300298786919999</v>
      </c>
      <c r="Q2265" s="3" t="e">
        <f>G2265*(VLOOKUP(B2265,Price_data!A$1:B$190,2,FALSE))</f>
        <v>#N/A</v>
      </c>
      <c r="R2265" s="3" t="e">
        <f>I2265*(VLOOKUP(B2265,Price_data!A$1:B$190,2,FALSE))</f>
        <v>#N/A</v>
      </c>
      <c r="S2265" s="4" t="str">
        <f>(VLOOKUP(B2265,Price_data!A$1:C$190,3,FALSE))</f>
        <v>EEZ</v>
      </c>
      <c r="T2265" s="2" t="str">
        <f>IF(C2265="Total", (VLOOKUP(B2265,Recommended_fish_intake!A$4:D$122,4,FALSE)), "NA")</f>
        <v>NA</v>
      </c>
      <c r="U2265" s="2" t="str">
        <f t="shared" si="275"/>
        <v>NA</v>
      </c>
    </row>
    <row r="2266" spans="1:21" ht="14.25" customHeight="1">
      <c r="A2266" s="2" t="s">
        <v>39</v>
      </c>
      <c r="B2266" s="2">
        <v>1988</v>
      </c>
      <c r="C2266" s="2" t="s">
        <v>37</v>
      </c>
      <c r="D2266" s="3">
        <f t="shared" si="276"/>
        <v>510.505</v>
      </c>
      <c r="E2266" s="3">
        <f t="shared" si="277"/>
        <v>195.44800000000001</v>
      </c>
      <c r="F2266" s="3" t="e">
        <f t="shared" si="278"/>
        <v>#N/A</v>
      </c>
      <c r="G2266" s="3" t="e">
        <f t="shared" si="279"/>
        <v>#N/A</v>
      </c>
      <c r="H2266" s="3" t="e">
        <f t="shared" si="280"/>
        <v>#N/A</v>
      </c>
      <c r="I2266" s="3" t="e">
        <f t="shared" si="281"/>
        <v>#N/A</v>
      </c>
      <c r="J2266" s="2">
        <v>510505</v>
      </c>
      <c r="K2266" s="2">
        <v>195448</v>
      </c>
      <c r="P2266" s="3">
        <f>E2266*(VLOOKUP(B2266,Price_data!A$1:B$190,2,FALSE))</f>
        <v>311.36344885940798</v>
      </c>
      <c r="Q2266" s="3" t="e">
        <f>G2266*(VLOOKUP(B2266,Price_data!A$1:B$190,2,FALSE))</f>
        <v>#N/A</v>
      </c>
      <c r="R2266" s="3" t="e">
        <f>I2266*(VLOOKUP(B2266,Price_data!A$1:B$190,2,FALSE))</f>
        <v>#N/A</v>
      </c>
      <c r="S2266" s="4" t="str">
        <f>(VLOOKUP(B2266,Price_data!A$1:C$190,3,FALSE))</f>
        <v>EEZ</v>
      </c>
      <c r="T2266" s="2" t="str">
        <f>IF(C2266="Total", (VLOOKUP(B2266,Recommended_fish_intake!A$4:D$122,4,FALSE)), "NA")</f>
        <v>NA</v>
      </c>
      <c r="U2266" s="2">
        <f t="shared" si="275"/>
        <v>250.14744999999999</v>
      </c>
    </row>
    <row r="2267" spans="1:21" ht="14.25" customHeight="1">
      <c r="A2267" s="2" t="s">
        <v>39</v>
      </c>
      <c r="B2267" s="2">
        <v>1988</v>
      </c>
      <c r="C2267" s="2" t="s">
        <v>36</v>
      </c>
      <c r="D2267" s="3">
        <f t="shared" si="276"/>
        <v>7.6849999999999996</v>
      </c>
      <c r="E2267" s="3">
        <f t="shared" si="277"/>
        <v>6.7430000000000003</v>
      </c>
      <c r="F2267" s="3" t="e">
        <f t="shared" si="278"/>
        <v>#N/A</v>
      </c>
      <c r="G2267" s="3" t="e">
        <f t="shared" si="279"/>
        <v>#N/A</v>
      </c>
      <c r="H2267" s="3" t="e">
        <f t="shared" si="280"/>
        <v>#N/A</v>
      </c>
      <c r="I2267" s="3" t="e">
        <f t="shared" si="281"/>
        <v>#N/A</v>
      </c>
      <c r="J2267" s="2">
        <v>7685</v>
      </c>
      <c r="K2267" s="2">
        <v>6743</v>
      </c>
      <c r="P2267" s="3">
        <f>E2267*(VLOOKUP(B2267,Price_data!A$1:B$190,2,FALSE))</f>
        <v>10.742109080978</v>
      </c>
      <c r="Q2267" s="3" t="e">
        <f>G2267*(VLOOKUP(B2267,Price_data!A$1:B$190,2,FALSE))</f>
        <v>#N/A</v>
      </c>
      <c r="R2267" s="3" t="e">
        <f>I2267*(VLOOKUP(B2267,Price_data!A$1:B$190,2,FALSE))</f>
        <v>#N/A</v>
      </c>
      <c r="S2267" s="4" t="str">
        <f>(VLOOKUP(B2267,Price_data!A$1:C$190,3,FALSE))</f>
        <v>EEZ</v>
      </c>
      <c r="T2267" s="2" t="str">
        <f>IF(C2267="Total", (VLOOKUP(B2267,Recommended_fish_intake!A$4:D$122,4,FALSE)), "NA")</f>
        <v>NA</v>
      </c>
      <c r="U2267" s="2" t="str">
        <f t="shared" si="275"/>
        <v>NA</v>
      </c>
    </row>
    <row r="2268" spans="1:21" ht="14.25" customHeight="1">
      <c r="A2268" s="2" t="s">
        <v>39</v>
      </c>
      <c r="B2268" s="2">
        <v>1988</v>
      </c>
      <c r="C2268" s="2" t="s">
        <v>34</v>
      </c>
      <c r="D2268" s="3">
        <f t="shared" si="276"/>
        <v>0.71</v>
      </c>
      <c r="E2268" s="3">
        <f t="shared" si="277"/>
        <v>5.9480000000000004</v>
      </c>
      <c r="F2268" s="3" t="e">
        <f t="shared" si="278"/>
        <v>#N/A</v>
      </c>
      <c r="G2268" s="3" t="e">
        <f t="shared" si="279"/>
        <v>#N/A</v>
      </c>
      <c r="H2268" s="3" t="e">
        <f t="shared" si="280"/>
        <v>#N/A</v>
      </c>
      <c r="I2268" s="3" t="e">
        <f t="shared" si="281"/>
        <v>#N/A</v>
      </c>
      <c r="J2268" s="2">
        <v>710</v>
      </c>
      <c r="K2268" s="2">
        <v>5948</v>
      </c>
      <c r="P2268" s="3">
        <f>E2268*(VLOOKUP(B2268,Price_data!A$1:B$190,2,FALSE))</f>
        <v>9.4756139424079997</v>
      </c>
      <c r="Q2268" s="3" t="e">
        <f>G2268*(VLOOKUP(B2268,Price_data!A$1:B$190,2,FALSE))</f>
        <v>#N/A</v>
      </c>
      <c r="R2268" s="3" t="e">
        <f>I2268*(VLOOKUP(B2268,Price_data!A$1:B$190,2,FALSE))</f>
        <v>#N/A</v>
      </c>
      <c r="S2268" s="4" t="str">
        <f>(VLOOKUP(B2268,Price_data!A$1:C$190,3,FALSE))</f>
        <v>EEZ</v>
      </c>
      <c r="T2268" s="2" t="str">
        <f>IF(C2268="Total", (VLOOKUP(B2268,Recommended_fish_intake!A$4:D$122,4,FALSE)), "NA")</f>
        <v>NA</v>
      </c>
      <c r="U2268" s="2" t="str">
        <f t="shared" si="275"/>
        <v>NA</v>
      </c>
    </row>
    <row r="2269" spans="1:21" ht="14.25" customHeight="1">
      <c r="A2269" s="2" t="s">
        <v>39</v>
      </c>
      <c r="B2269" s="2">
        <v>1988</v>
      </c>
      <c r="C2269" s="2" t="s">
        <v>35</v>
      </c>
      <c r="D2269" s="3">
        <f t="shared" si="276"/>
        <v>19.193000000000001</v>
      </c>
      <c r="E2269" s="3">
        <f t="shared" si="277"/>
        <v>33.970999999999997</v>
      </c>
      <c r="F2269" s="3" t="e">
        <f t="shared" si="278"/>
        <v>#N/A</v>
      </c>
      <c r="G2269" s="3" t="e">
        <f t="shared" si="279"/>
        <v>#N/A</v>
      </c>
      <c r="H2269" s="3" t="e">
        <f t="shared" si="280"/>
        <v>#N/A</v>
      </c>
      <c r="I2269" s="3" t="e">
        <f t="shared" si="281"/>
        <v>#N/A</v>
      </c>
      <c r="J2269" s="2">
        <v>19193</v>
      </c>
      <c r="K2269" s="2">
        <v>33971</v>
      </c>
      <c r="P2269" s="3">
        <f>E2269*(VLOOKUP(B2269,Price_data!A$1:B$190,2,FALSE))</f>
        <v>54.118372770265992</v>
      </c>
      <c r="Q2269" s="3" t="e">
        <f>G2269*(VLOOKUP(B2269,Price_data!A$1:B$190,2,FALSE))</f>
        <v>#N/A</v>
      </c>
      <c r="R2269" s="3" t="e">
        <f>I2269*(VLOOKUP(B2269,Price_data!A$1:B$190,2,FALSE))</f>
        <v>#N/A</v>
      </c>
      <c r="S2269" s="4" t="str">
        <f>(VLOOKUP(B2269,Price_data!A$1:C$190,3,FALSE))</f>
        <v>EEZ</v>
      </c>
      <c r="T2269" s="2" t="str">
        <f>IF(C2269="Total", (VLOOKUP(B2269,Recommended_fish_intake!A$4:D$122,4,FALSE)), "NA")</f>
        <v>NA</v>
      </c>
      <c r="U2269" s="2" t="str">
        <f t="shared" si="275"/>
        <v>NA</v>
      </c>
    </row>
    <row r="2270" spans="1:21" ht="14.25" customHeight="1">
      <c r="A2270" s="2" t="s">
        <v>39</v>
      </c>
      <c r="B2270" s="2">
        <v>1988</v>
      </c>
      <c r="C2270" s="2" t="s">
        <v>52</v>
      </c>
      <c r="D2270" s="3">
        <f t="shared" si="276"/>
        <v>4.2050000000000001</v>
      </c>
      <c r="E2270" s="3">
        <f t="shared" si="277"/>
        <v>6.26</v>
      </c>
      <c r="F2270" s="3" t="e">
        <f t="shared" si="278"/>
        <v>#N/A</v>
      </c>
      <c r="G2270" s="3" t="e">
        <f t="shared" si="279"/>
        <v>#N/A</v>
      </c>
      <c r="H2270" s="3" t="e">
        <f t="shared" si="280"/>
        <v>#N/A</v>
      </c>
      <c r="I2270" s="3" t="e">
        <f t="shared" si="281"/>
        <v>#N/A</v>
      </c>
      <c r="J2270" s="2">
        <v>4205</v>
      </c>
      <c r="K2270" s="2">
        <v>6260</v>
      </c>
      <c r="P2270" s="3">
        <f>E2270*(VLOOKUP(B2270,Price_data!A$1:B$190,2,FALSE))</f>
        <v>9.9726535439599999</v>
      </c>
      <c r="Q2270" s="3" t="e">
        <f>G2270*(VLOOKUP(B2270,Price_data!A$1:B$190,2,FALSE))</f>
        <v>#N/A</v>
      </c>
      <c r="R2270" s="3" t="e">
        <f>I2270*(VLOOKUP(B2270,Price_data!A$1:B$190,2,FALSE))</f>
        <v>#N/A</v>
      </c>
      <c r="S2270" s="4" t="str">
        <f>(VLOOKUP(B2270,Price_data!A$1:C$190,3,FALSE))</f>
        <v>EEZ</v>
      </c>
      <c r="T2270" s="2" t="str">
        <f>IF(C2270="Total", (VLOOKUP(B2270,Recommended_fish_intake!A$4:D$122,4,FALSE)), "NA")</f>
        <v>NA</v>
      </c>
      <c r="U2270" s="2" t="str">
        <f t="shared" si="275"/>
        <v>NA</v>
      </c>
    </row>
    <row r="2271" spans="1:21" ht="14.25" customHeight="1">
      <c r="A2271" s="2" t="s">
        <v>39</v>
      </c>
      <c r="B2271" s="2">
        <v>1988</v>
      </c>
      <c r="C2271" s="2" t="s">
        <v>30</v>
      </c>
      <c r="D2271" s="3">
        <f t="shared" si="276"/>
        <v>0.13800000000000001</v>
      </c>
      <c r="E2271" s="3">
        <f t="shared" si="277"/>
        <v>0.155</v>
      </c>
      <c r="F2271" s="3" t="e">
        <f t="shared" si="278"/>
        <v>#N/A</v>
      </c>
      <c r="G2271" s="3" t="e">
        <f t="shared" si="279"/>
        <v>#N/A</v>
      </c>
      <c r="H2271" s="3" t="e">
        <f t="shared" si="280"/>
        <v>#N/A</v>
      </c>
      <c r="I2271" s="3" t="e">
        <f t="shared" si="281"/>
        <v>#N/A</v>
      </c>
      <c r="J2271" s="2">
        <v>138</v>
      </c>
      <c r="K2271" s="2">
        <v>155</v>
      </c>
      <c r="P2271" s="3">
        <f>E2271*(VLOOKUP(B2271,Price_data!A$1:B$190,2,FALSE))</f>
        <v>0.24692672513</v>
      </c>
      <c r="Q2271" s="3" t="e">
        <f>G2271*(VLOOKUP(B2271,Price_data!A$1:B$190,2,FALSE))</f>
        <v>#N/A</v>
      </c>
      <c r="R2271" s="3" t="e">
        <f>I2271*(VLOOKUP(B2271,Price_data!A$1:B$190,2,FALSE))</f>
        <v>#N/A</v>
      </c>
      <c r="S2271" s="4" t="str">
        <f>(VLOOKUP(B2271,Price_data!A$1:C$190,3,FALSE))</f>
        <v>EEZ</v>
      </c>
      <c r="T2271" s="2" t="str">
        <f>IF(C2271="Total", (VLOOKUP(B2271,Recommended_fish_intake!A$4:D$122,4,FALSE)), "NA")</f>
        <v>NA</v>
      </c>
      <c r="U2271" s="2" t="str">
        <f t="shared" si="275"/>
        <v>NA</v>
      </c>
    </row>
    <row r="2272" spans="1:21" ht="14.25" customHeight="1">
      <c r="A2272" s="2" t="s">
        <v>39</v>
      </c>
      <c r="B2272" s="2">
        <v>1988</v>
      </c>
      <c r="C2272" s="2" t="s">
        <v>28</v>
      </c>
      <c r="D2272" s="3">
        <f t="shared" si="276"/>
        <v>44.405000000000001</v>
      </c>
      <c r="E2272" s="3">
        <f t="shared" si="277"/>
        <v>57.646000000000001</v>
      </c>
      <c r="F2272" s="3" t="e">
        <f t="shared" si="278"/>
        <v>#N/A</v>
      </c>
      <c r="G2272" s="3" t="e">
        <f t="shared" si="279"/>
        <v>#N/A</v>
      </c>
      <c r="H2272" s="3" t="e">
        <f t="shared" si="280"/>
        <v>#N/A</v>
      </c>
      <c r="I2272" s="3" t="e">
        <f t="shared" si="281"/>
        <v>#N/A</v>
      </c>
      <c r="J2272" s="2">
        <v>44405</v>
      </c>
      <c r="K2272" s="2">
        <v>57646</v>
      </c>
      <c r="P2272" s="3">
        <f>E2272*(VLOOKUP(B2272,Price_data!A$1:B$190,2,FALSE))</f>
        <v>91.834438689316002</v>
      </c>
      <c r="Q2272" s="3" t="e">
        <f>G2272*(VLOOKUP(B2272,Price_data!A$1:B$190,2,FALSE))</f>
        <v>#N/A</v>
      </c>
      <c r="R2272" s="3" t="e">
        <f>I2272*(VLOOKUP(B2272,Price_data!A$1:B$190,2,FALSE))</f>
        <v>#N/A</v>
      </c>
      <c r="S2272" s="4" t="str">
        <f>(VLOOKUP(B2272,Price_data!A$1:C$190,3,FALSE))</f>
        <v>EEZ</v>
      </c>
      <c r="T2272" s="2" t="str">
        <f>IF(C2272="Total", (VLOOKUP(B2272,Recommended_fish_intake!A$4:D$122,4,FALSE)), "NA")</f>
        <v>NA</v>
      </c>
      <c r="U2272" s="2">
        <f t="shared" si="275"/>
        <v>12.433400000000001</v>
      </c>
    </row>
    <row r="2273" spans="1:21" ht="14.25" customHeight="1">
      <c r="A2273" s="2" t="s">
        <v>40</v>
      </c>
      <c r="B2273" s="2">
        <v>1988</v>
      </c>
      <c r="C2273" s="2" t="s">
        <v>22</v>
      </c>
      <c r="D2273" s="3">
        <f t="shared" si="276"/>
        <v>3.524</v>
      </c>
      <c r="E2273" s="3">
        <f t="shared" si="277"/>
        <v>3.7389999999999999</v>
      </c>
      <c r="F2273" s="3" t="e">
        <f t="shared" si="278"/>
        <v>#N/A</v>
      </c>
      <c r="G2273" s="3" t="e">
        <f t="shared" si="279"/>
        <v>#N/A</v>
      </c>
      <c r="H2273" s="3" t="e">
        <f t="shared" si="280"/>
        <v>#N/A</v>
      </c>
      <c r="I2273" s="3" t="e">
        <f t="shared" si="281"/>
        <v>#N/A</v>
      </c>
      <c r="J2273" s="2">
        <v>3524</v>
      </c>
      <c r="K2273" s="2">
        <v>3739</v>
      </c>
      <c r="P2273" s="3">
        <f>E2273*(VLOOKUP(B2273,Price_data!A$1:B$190,2,FALSE))</f>
        <v>5.9565098403939993</v>
      </c>
      <c r="Q2273" s="3" t="e">
        <f>G2273*(VLOOKUP(B2273,Price_data!A$1:B$190,2,FALSE))</f>
        <v>#N/A</v>
      </c>
      <c r="R2273" s="3" t="e">
        <f>I2273*(VLOOKUP(B2273,Price_data!A$1:B$190,2,FALSE))</f>
        <v>#N/A</v>
      </c>
      <c r="S2273" s="4" t="str">
        <f>(VLOOKUP(B2273,Price_data!A$1:C$190,3,FALSE))</f>
        <v>EEZ</v>
      </c>
      <c r="T2273" s="2" t="str">
        <f>IF(C2273="Total", (VLOOKUP(B2273,Recommended_fish_intake!A$4:D$122,4,FALSE)), "NA")</f>
        <v>NA</v>
      </c>
      <c r="U2273" s="2" t="str">
        <f t="shared" si="275"/>
        <v>NA</v>
      </c>
    </row>
    <row r="2274" spans="1:21" ht="14.25" customHeight="1">
      <c r="A2274" s="2" t="s">
        <v>40</v>
      </c>
      <c r="B2274" s="2">
        <v>1988</v>
      </c>
      <c r="C2274" s="2" t="s">
        <v>23</v>
      </c>
      <c r="D2274" s="3">
        <f t="shared" si="276"/>
        <v>0.19800000000000001</v>
      </c>
      <c r="E2274" s="3">
        <f t="shared" si="277"/>
        <v>0.215</v>
      </c>
      <c r="F2274" s="3" t="e">
        <f t="shared" si="278"/>
        <v>#N/A</v>
      </c>
      <c r="G2274" s="3" t="e">
        <f t="shared" si="279"/>
        <v>#N/A</v>
      </c>
      <c r="H2274" s="3" t="e">
        <f t="shared" si="280"/>
        <v>#N/A</v>
      </c>
      <c r="I2274" s="3" t="e">
        <f t="shared" si="281"/>
        <v>#N/A</v>
      </c>
      <c r="J2274" s="2">
        <v>198</v>
      </c>
      <c r="K2274" s="2">
        <v>215</v>
      </c>
      <c r="P2274" s="3">
        <f>E2274*(VLOOKUP(B2274,Price_data!A$1:B$190,2,FALSE))</f>
        <v>0.34251126388999997</v>
      </c>
      <c r="Q2274" s="3" t="e">
        <f>G2274*(VLOOKUP(B2274,Price_data!A$1:B$190,2,FALSE))</f>
        <v>#N/A</v>
      </c>
      <c r="R2274" s="3" t="e">
        <f>I2274*(VLOOKUP(B2274,Price_data!A$1:B$190,2,FALSE))</f>
        <v>#N/A</v>
      </c>
      <c r="S2274" s="4" t="str">
        <f>(VLOOKUP(B2274,Price_data!A$1:C$190,3,FALSE))</f>
        <v>EEZ</v>
      </c>
      <c r="T2274" s="2" t="str">
        <f>IF(C2274="Total", (VLOOKUP(B2274,Recommended_fish_intake!A$4:D$122,4,FALSE)), "NA")</f>
        <v>NA</v>
      </c>
      <c r="U2274" s="2" t="str">
        <f t="shared" si="275"/>
        <v>NA</v>
      </c>
    </row>
    <row r="2275" spans="1:21" ht="14.25" customHeight="1">
      <c r="A2275" s="2" t="s">
        <v>40</v>
      </c>
      <c r="B2275" s="2">
        <v>1988</v>
      </c>
      <c r="C2275" s="2" t="s">
        <v>58</v>
      </c>
      <c r="D2275" s="3">
        <f t="shared" ref="D2275:D2304" si="282">J2275/1000</f>
        <v>0.30299999999999999</v>
      </c>
      <c r="E2275" s="3">
        <f t="shared" ref="E2275:E2304" si="283">K2275/1000</f>
        <v>0.374</v>
      </c>
      <c r="F2275" s="3" t="e">
        <f t="shared" ref="F2275:F2304" si="284">IF(L2275="", NA(), L2275/1000)</f>
        <v>#N/A</v>
      </c>
      <c r="G2275" s="3" t="e">
        <f t="shared" ref="G2275:G2304" si="285">IF(M2275="", NA(), M2275/1000)</f>
        <v>#N/A</v>
      </c>
      <c r="H2275" s="3" t="e">
        <f t="shared" ref="H2275:H2304" si="286">IF(N2275="", NA(), N2275/1000)</f>
        <v>#N/A</v>
      </c>
      <c r="I2275" s="3" t="e">
        <f t="shared" ref="I2275:I2304" si="287">IF(O2275="", NA(), O2275/1000)</f>
        <v>#N/A</v>
      </c>
      <c r="J2275" s="2">
        <v>303</v>
      </c>
      <c r="K2275" s="2">
        <v>374</v>
      </c>
      <c r="P2275" s="3">
        <f>E2275*(VLOOKUP(B2275,Price_data!A$1:B$190,2,FALSE))</f>
        <v>0.59581029160400001</v>
      </c>
      <c r="Q2275" s="3" t="e">
        <f>G2275*(VLOOKUP(B2275,Price_data!A$1:B$190,2,FALSE))</f>
        <v>#N/A</v>
      </c>
      <c r="R2275" s="3" t="e">
        <f>I2275*(VLOOKUP(B2275,Price_data!A$1:B$190,2,FALSE))</f>
        <v>#N/A</v>
      </c>
      <c r="S2275" s="4" t="str">
        <f>(VLOOKUP(B2275,Price_data!A$1:C$190,3,FALSE))</f>
        <v>EEZ</v>
      </c>
      <c r="T2275" s="2" t="str">
        <f>IF(C2275="Total", (VLOOKUP(B2275,Recommended_fish_intake!A$4:D$122,4,FALSE)), "NA")</f>
        <v>NA</v>
      </c>
      <c r="U2275" s="2" t="str">
        <f t="shared" si="275"/>
        <v>NA</v>
      </c>
    </row>
    <row r="2276" spans="1:21" ht="14.25" customHeight="1">
      <c r="A2276" s="2" t="s">
        <v>40</v>
      </c>
      <c r="B2276" s="2">
        <v>1988</v>
      </c>
      <c r="C2276" s="2" t="s">
        <v>25</v>
      </c>
      <c r="D2276" s="3">
        <f t="shared" si="282"/>
        <v>0.28899999999999998</v>
      </c>
      <c r="E2276" s="3">
        <f t="shared" si="283"/>
        <v>0.20599999999999999</v>
      </c>
      <c r="F2276" s="3" t="e">
        <f t="shared" si="284"/>
        <v>#N/A</v>
      </c>
      <c r="G2276" s="3" t="e">
        <f t="shared" si="285"/>
        <v>#N/A</v>
      </c>
      <c r="H2276" s="3" t="e">
        <f t="shared" si="286"/>
        <v>#N/A</v>
      </c>
      <c r="I2276" s="3" t="e">
        <f t="shared" si="287"/>
        <v>#N/A</v>
      </c>
      <c r="J2276" s="2">
        <v>289</v>
      </c>
      <c r="K2276" s="2">
        <v>206</v>
      </c>
      <c r="P2276" s="3">
        <f>E2276*(VLOOKUP(B2276,Price_data!A$1:B$190,2,FALSE))</f>
        <v>0.32817358307599998</v>
      </c>
      <c r="Q2276" s="3" t="e">
        <f>G2276*(VLOOKUP(B2276,Price_data!A$1:B$190,2,FALSE))</f>
        <v>#N/A</v>
      </c>
      <c r="R2276" s="3" t="e">
        <f>I2276*(VLOOKUP(B2276,Price_data!A$1:B$190,2,FALSE))</f>
        <v>#N/A</v>
      </c>
      <c r="S2276" s="4" t="str">
        <f>(VLOOKUP(B2276,Price_data!A$1:C$190,3,FALSE))</f>
        <v>EEZ</v>
      </c>
      <c r="T2276" s="2" t="str">
        <f>IF(C2276="Total", (VLOOKUP(B2276,Recommended_fish_intake!A$4:D$122,4,FALSE)), "NA")</f>
        <v>NA</v>
      </c>
      <c r="U2276" s="2" t="str">
        <f t="shared" si="275"/>
        <v>NA</v>
      </c>
    </row>
    <row r="2277" spans="1:21" ht="14.25" customHeight="1">
      <c r="A2277" s="2" t="s">
        <v>40</v>
      </c>
      <c r="B2277" s="2">
        <v>1988</v>
      </c>
      <c r="C2277" s="2" t="s">
        <v>24</v>
      </c>
      <c r="D2277" s="3">
        <f t="shared" si="282"/>
        <v>4.702</v>
      </c>
      <c r="E2277" s="3">
        <f t="shared" si="283"/>
        <v>1.6870000000000001</v>
      </c>
      <c r="F2277" s="3" t="e">
        <f t="shared" si="284"/>
        <v>#N/A</v>
      </c>
      <c r="G2277" s="3" t="e">
        <f t="shared" si="285"/>
        <v>#N/A</v>
      </c>
      <c r="H2277" s="3" t="e">
        <f t="shared" si="286"/>
        <v>#N/A</v>
      </c>
      <c r="I2277" s="3" t="e">
        <f t="shared" si="287"/>
        <v>#N/A</v>
      </c>
      <c r="J2277" s="2">
        <v>4702</v>
      </c>
      <c r="K2277" s="2">
        <v>1687</v>
      </c>
      <c r="P2277" s="3">
        <f>E2277*(VLOOKUP(B2277,Price_data!A$1:B$190,2,FALSE))</f>
        <v>2.6875186148019998</v>
      </c>
      <c r="Q2277" s="3" t="e">
        <f>G2277*(VLOOKUP(B2277,Price_data!A$1:B$190,2,FALSE))</f>
        <v>#N/A</v>
      </c>
      <c r="R2277" s="3" t="e">
        <f>I2277*(VLOOKUP(B2277,Price_data!A$1:B$190,2,FALSE))</f>
        <v>#N/A</v>
      </c>
      <c r="S2277" s="4" t="str">
        <f>(VLOOKUP(B2277,Price_data!A$1:C$190,3,FALSE))</f>
        <v>EEZ</v>
      </c>
      <c r="T2277" s="2" t="str">
        <f>IF(C2277="Total", (VLOOKUP(B2277,Recommended_fish_intake!A$4:D$122,4,FALSE)), "NA")</f>
        <v>NA</v>
      </c>
      <c r="U2277" s="2" t="str">
        <f t="shared" si="275"/>
        <v>NA</v>
      </c>
    </row>
    <row r="2278" spans="1:21" ht="14.25" customHeight="1">
      <c r="A2278" s="2" t="s">
        <v>40</v>
      </c>
      <c r="B2278" s="2">
        <v>1988</v>
      </c>
      <c r="C2278" s="2" t="s">
        <v>19</v>
      </c>
      <c r="D2278" s="3">
        <f t="shared" si="282"/>
        <v>4.6879999999999997</v>
      </c>
      <c r="E2278" s="3">
        <f t="shared" si="283"/>
        <v>0.47199999999999998</v>
      </c>
      <c r="F2278" s="3" t="e">
        <f t="shared" si="284"/>
        <v>#N/A</v>
      </c>
      <c r="G2278" s="3" t="e">
        <f t="shared" si="285"/>
        <v>#N/A</v>
      </c>
      <c r="H2278" s="3" t="e">
        <f t="shared" si="286"/>
        <v>#N/A</v>
      </c>
      <c r="I2278" s="3" t="e">
        <f t="shared" si="287"/>
        <v>#N/A</v>
      </c>
      <c r="J2278" s="2">
        <v>4688</v>
      </c>
      <c r="K2278" s="2">
        <v>472</v>
      </c>
      <c r="P2278" s="3">
        <f>E2278*(VLOOKUP(B2278,Price_data!A$1:B$190,2,FALSE))</f>
        <v>0.7519317049119999</v>
      </c>
      <c r="Q2278" s="3" t="e">
        <f>G2278*(VLOOKUP(B2278,Price_data!A$1:B$190,2,FALSE))</f>
        <v>#N/A</v>
      </c>
      <c r="R2278" s="3" t="e">
        <f>I2278*(VLOOKUP(B2278,Price_data!A$1:B$190,2,FALSE))</f>
        <v>#N/A</v>
      </c>
      <c r="S2278" s="4" t="str">
        <f>(VLOOKUP(B2278,Price_data!A$1:C$190,3,FALSE))</f>
        <v>EEZ</v>
      </c>
      <c r="T2278" s="2" t="str">
        <f>IF(C2278="Total", (VLOOKUP(B2278,Recommended_fish_intake!A$4:D$122,4,FALSE)), "NA")</f>
        <v>NA</v>
      </c>
      <c r="U2278" s="2" t="str">
        <f t="shared" si="275"/>
        <v>NA</v>
      </c>
    </row>
    <row r="2279" spans="1:21" ht="14.25" customHeight="1">
      <c r="A2279" s="2" t="s">
        <v>40</v>
      </c>
      <c r="B2279" s="2">
        <v>1988</v>
      </c>
      <c r="C2279" s="2" t="s">
        <v>20</v>
      </c>
      <c r="D2279" s="3">
        <f t="shared" si="282"/>
        <v>0.16</v>
      </c>
      <c r="E2279" s="3">
        <f t="shared" si="283"/>
        <v>0.02</v>
      </c>
      <c r="F2279" s="3" t="e">
        <f t="shared" si="284"/>
        <v>#N/A</v>
      </c>
      <c r="G2279" s="3" t="e">
        <f t="shared" si="285"/>
        <v>#N/A</v>
      </c>
      <c r="H2279" s="3" t="e">
        <f t="shared" si="286"/>
        <v>#N/A</v>
      </c>
      <c r="I2279" s="3" t="e">
        <f t="shared" si="287"/>
        <v>#N/A</v>
      </c>
      <c r="J2279" s="2">
        <v>160</v>
      </c>
      <c r="K2279" s="2">
        <v>20</v>
      </c>
      <c r="P2279" s="3">
        <f>E2279*(VLOOKUP(B2279,Price_data!A$1:B$190,2,FALSE))</f>
        <v>3.1861512920000001E-2</v>
      </c>
      <c r="Q2279" s="3" t="e">
        <f>G2279*(VLOOKUP(B2279,Price_data!A$1:B$190,2,FALSE))</f>
        <v>#N/A</v>
      </c>
      <c r="R2279" s="3" t="e">
        <f>I2279*(VLOOKUP(B2279,Price_data!A$1:B$190,2,FALSE))</f>
        <v>#N/A</v>
      </c>
      <c r="S2279" s="4" t="str">
        <f>(VLOOKUP(B2279,Price_data!A$1:C$190,3,FALSE))</f>
        <v>EEZ</v>
      </c>
      <c r="T2279" s="2" t="str">
        <f>IF(C2279="Total", (VLOOKUP(B2279,Recommended_fish_intake!A$4:D$122,4,FALSE)), "NA")</f>
        <v>NA</v>
      </c>
      <c r="U2279" s="2" t="str">
        <f t="shared" si="275"/>
        <v>NA</v>
      </c>
    </row>
    <row r="2280" spans="1:21" ht="14.25" customHeight="1">
      <c r="A2280" s="2" t="s">
        <v>40</v>
      </c>
      <c r="B2280" s="2">
        <v>1988</v>
      </c>
      <c r="C2280" s="2" t="s">
        <v>37</v>
      </c>
      <c r="D2280" s="3">
        <f t="shared" si="282"/>
        <v>16.731999999999999</v>
      </c>
      <c r="E2280" s="3">
        <f t="shared" si="283"/>
        <v>9.0239999999999991</v>
      </c>
      <c r="F2280" s="3" t="e">
        <f t="shared" si="284"/>
        <v>#N/A</v>
      </c>
      <c r="G2280" s="3" t="e">
        <f t="shared" si="285"/>
        <v>#N/A</v>
      </c>
      <c r="H2280" s="3" t="e">
        <f t="shared" si="286"/>
        <v>#N/A</v>
      </c>
      <c r="I2280" s="3" t="e">
        <f t="shared" si="287"/>
        <v>#N/A</v>
      </c>
      <c r="J2280" s="2">
        <v>16732</v>
      </c>
      <c r="K2280" s="2">
        <v>9024</v>
      </c>
      <c r="P2280" s="3">
        <f>E2280*(VLOOKUP(B2280,Price_data!A$1:B$190,2,FALSE))</f>
        <v>14.375914629503999</v>
      </c>
      <c r="Q2280" s="3" t="e">
        <f>G2280*(VLOOKUP(B2280,Price_data!A$1:B$190,2,FALSE))</f>
        <v>#N/A</v>
      </c>
      <c r="R2280" s="3" t="e">
        <f>I2280*(VLOOKUP(B2280,Price_data!A$1:B$190,2,FALSE))</f>
        <v>#N/A</v>
      </c>
      <c r="S2280" s="4" t="str">
        <f>(VLOOKUP(B2280,Price_data!A$1:C$190,3,FALSE))</f>
        <v>EEZ</v>
      </c>
      <c r="T2280" s="2" t="str">
        <f>IF(C2280="Total", (VLOOKUP(B2280,Recommended_fish_intake!A$4:D$122,4,FALSE)), "NA")</f>
        <v>NA</v>
      </c>
      <c r="U2280" s="2">
        <f t="shared" si="275"/>
        <v>8.1986799999999995</v>
      </c>
    </row>
    <row r="2281" spans="1:21" ht="14.25" customHeight="1">
      <c r="A2281" s="2" t="s">
        <v>40</v>
      </c>
      <c r="B2281" s="2">
        <v>1988</v>
      </c>
      <c r="C2281" s="2" t="s">
        <v>36</v>
      </c>
      <c r="D2281" s="3">
        <f t="shared" si="282"/>
        <v>8.3000000000000004E-2</v>
      </c>
      <c r="E2281" s="3">
        <f t="shared" si="283"/>
        <v>2.8000000000000001E-2</v>
      </c>
      <c r="F2281" s="3" t="e">
        <f t="shared" si="284"/>
        <v>#N/A</v>
      </c>
      <c r="G2281" s="3" t="e">
        <f t="shared" si="285"/>
        <v>#N/A</v>
      </c>
      <c r="H2281" s="3" t="e">
        <f t="shared" si="286"/>
        <v>#N/A</v>
      </c>
      <c r="I2281" s="3" t="e">
        <f t="shared" si="287"/>
        <v>#N/A</v>
      </c>
      <c r="J2281" s="2">
        <v>83</v>
      </c>
      <c r="K2281" s="2">
        <v>28</v>
      </c>
      <c r="P2281" s="3">
        <f>E2281*(VLOOKUP(B2281,Price_data!A$1:B$190,2,FALSE))</f>
        <v>4.4606118087999996E-2</v>
      </c>
      <c r="Q2281" s="3" t="e">
        <f>G2281*(VLOOKUP(B2281,Price_data!A$1:B$190,2,FALSE))</f>
        <v>#N/A</v>
      </c>
      <c r="R2281" s="3" t="e">
        <f>I2281*(VLOOKUP(B2281,Price_data!A$1:B$190,2,FALSE))</f>
        <v>#N/A</v>
      </c>
      <c r="S2281" s="4" t="str">
        <f>(VLOOKUP(B2281,Price_data!A$1:C$190,3,FALSE))</f>
        <v>EEZ</v>
      </c>
      <c r="T2281" s="2" t="str">
        <f>IF(C2281="Total", (VLOOKUP(B2281,Recommended_fish_intake!A$4:D$122,4,FALSE)), "NA")</f>
        <v>NA</v>
      </c>
      <c r="U2281" s="2" t="str">
        <f t="shared" si="275"/>
        <v>NA</v>
      </c>
    </row>
    <row r="2282" spans="1:21" ht="14.25" customHeight="1">
      <c r="A2282" s="2" t="s">
        <v>40</v>
      </c>
      <c r="B2282" s="2">
        <v>1988</v>
      </c>
      <c r="C2282" s="2" t="s">
        <v>34</v>
      </c>
      <c r="D2282" s="3">
        <f t="shared" si="282"/>
        <v>1.7000000000000001E-2</v>
      </c>
      <c r="E2282" s="3">
        <f t="shared" si="283"/>
        <v>0.128</v>
      </c>
      <c r="F2282" s="3" t="e">
        <f t="shared" si="284"/>
        <v>#N/A</v>
      </c>
      <c r="G2282" s="3" t="e">
        <f t="shared" si="285"/>
        <v>#N/A</v>
      </c>
      <c r="H2282" s="3" t="e">
        <f t="shared" si="286"/>
        <v>#N/A</v>
      </c>
      <c r="I2282" s="3" t="e">
        <f t="shared" si="287"/>
        <v>#N/A</v>
      </c>
      <c r="J2282" s="2">
        <v>17</v>
      </c>
      <c r="K2282" s="2">
        <v>128</v>
      </c>
      <c r="P2282" s="3">
        <f>E2282*(VLOOKUP(B2282,Price_data!A$1:B$190,2,FALSE))</f>
        <v>0.203913682688</v>
      </c>
      <c r="Q2282" s="3" t="e">
        <f>G2282*(VLOOKUP(B2282,Price_data!A$1:B$190,2,FALSE))</f>
        <v>#N/A</v>
      </c>
      <c r="R2282" s="3" t="e">
        <f>I2282*(VLOOKUP(B2282,Price_data!A$1:B$190,2,FALSE))</f>
        <v>#N/A</v>
      </c>
      <c r="S2282" s="4" t="str">
        <f>(VLOOKUP(B2282,Price_data!A$1:C$190,3,FALSE))</f>
        <v>EEZ</v>
      </c>
      <c r="T2282" s="2" t="str">
        <f>IF(C2282="Total", (VLOOKUP(B2282,Recommended_fish_intake!A$4:D$122,4,FALSE)), "NA")</f>
        <v>NA</v>
      </c>
      <c r="U2282" s="2" t="str">
        <f t="shared" si="275"/>
        <v>NA</v>
      </c>
    </row>
    <row r="2283" spans="1:21" ht="14.25" customHeight="1">
      <c r="A2283" s="2" t="s">
        <v>40</v>
      </c>
      <c r="B2283" s="2">
        <v>1988</v>
      </c>
      <c r="C2283" s="2" t="s">
        <v>35</v>
      </c>
      <c r="D2283" s="3">
        <f t="shared" si="282"/>
        <v>5.27</v>
      </c>
      <c r="E2283" s="3">
        <f t="shared" si="283"/>
        <v>5.9180000000000001</v>
      </c>
      <c r="F2283" s="3" t="e">
        <f t="shared" si="284"/>
        <v>#N/A</v>
      </c>
      <c r="G2283" s="3" t="e">
        <f t="shared" si="285"/>
        <v>#N/A</v>
      </c>
      <c r="H2283" s="3" t="e">
        <f t="shared" si="286"/>
        <v>#N/A</v>
      </c>
      <c r="I2283" s="3" t="e">
        <f t="shared" si="287"/>
        <v>#N/A</v>
      </c>
      <c r="J2283" s="2">
        <v>5270</v>
      </c>
      <c r="K2283" s="2">
        <v>5918</v>
      </c>
      <c r="P2283" s="3">
        <f>E2283*(VLOOKUP(B2283,Price_data!A$1:B$190,2,FALSE))</f>
        <v>9.4278216730279993</v>
      </c>
      <c r="Q2283" s="3" t="e">
        <f>G2283*(VLOOKUP(B2283,Price_data!A$1:B$190,2,FALSE))</f>
        <v>#N/A</v>
      </c>
      <c r="R2283" s="3" t="e">
        <f>I2283*(VLOOKUP(B2283,Price_data!A$1:B$190,2,FALSE))</f>
        <v>#N/A</v>
      </c>
      <c r="S2283" s="4" t="str">
        <f>(VLOOKUP(B2283,Price_data!A$1:C$190,3,FALSE))</f>
        <v>EEZ</v>
      </c>
      <c r="T2283" s="2" t="str">
        <f>IF(C2283="Total", (VLOOKUP(B2283,Recommended_fish_intake!A$4:D$122,4,FALSE)), "NA")</f>
        <v>NA</v>
      </c>
      <c r="U2283" s="2" t="str">
        <f t="shared" si="275"/>
        <v>NA</v>
      </c>
    </row>
    <row r="2284" spans="1:21" ht="14.25" customHeight="1">
      <c r="A2284" s="2" t="s">
        <v>40</v>
      </c>
      <c r="B2284" s="2">
        <v>1988</v>
      </c>
      <c r="C2284" s="2" t="s">
        <v>52</v>
      </c>
      <c r="D2284" s="3">
        <f t="shared" si="282"/>
        <v>0.222</v>
      </c>
      <c r="E2284" s="3">
        <f t="shared" si="283"/>
        <v>0.32400000000000001</v>
      </c>
      <c r="F2284" s="3" t="e">
        <f t="shared" si="284"/>
        <v>#N/A</v>
      </c>
      <c r="G2284" s="3" t="e">
        <f t="shared" si="285"/>
        <v>#N/A</v>
      </c>
      <c r="H2284" s="3" t="e">
        <f t="shared" si="286"/>
        <v>#N/A</v>
      </c>
      <c r="I2284" s="3" t="e">
        <f t="shared" si="287"/>
        <v>#N/A</v>
      </c>
      <c r="J2284" s="2">
        <v>222</v>
      </c>
      <c r="K2284" s="2">
        <v>324</v>
      </c>
      <c r="P2284" s="3">
        <f>E2284*(VLOOKUP(B2284,Price_data!A$1:B$190,2,FALSE))</f>
        <v>0.51615650930400003</v>
      </c>
      <c r="Q2284" s="3" t="e">
        <f>G2284*(VLOOKUP(B2284,Price_data!A$1:B$190,2,FALSE))</f>
        <v>#N/A</v>
      </c>
      <c r="R2284" s="3" t="e">
        <f>I2284*(VLOOKUP(B2284,Price_data!A$1:B$190,2,FALSE))</f>
        <v>#N/A</v>
      </c>
      <c r="S2284" s="4" t="str">
        <f>(VLOOKUP(B2284,Price_data!A$1:C$190,3,FALSE))</f>
        <v>EEZ</v>
      </c>
      <c r="T2284" s="2" t="str">
        <f>IF(C2284="Total", (VLOOKUP(B2284,Recommended_fish_intake!A$4:D$122,4,FALSE)), "NA")</f>
        <v>NA</v>
      </c>
      <c r="U2284" s="2" t="str">
        <f t="shared" si="275"/>
        <v>NA</v>
      </c>
    </row>
    <row r="2285" spans="1:21" ht="14.25" customHeight="1">
      <c r="A2285" s="2" t="s">
        <v>40</v>
      </c>
      <c r="B2285" s="2">
        <v>1988</v>
      </c>
      <c r="C2285" s="2" t="s">
        <v>30</v>
      </c>
      <c r="D2285" s="3">
        <f t="shared" si="282"/>
        <v>0</v>
      </c>
      <c r="E2285" s="3">
        <f t="shared" si="283"/>
        <v>0</v>
      </c>
      <c r="F2285" s="3" t="e">
        <f t="shared" si="284"/>
        <v>#N/A</v>
      </c>
      <c r="G2285" s="3" t="e">
        <f t="shared" si="285"/>
        <v>#N/A</v>
      </c>
      <c r="H2285" s="3" t="e">
        <f t="shared" si="286"/>
        <v>#N/A</v>
      </c>
      <c r="I2285" s="3" t="e">
        <f t="shared" si="287"/>
        <v>#N/A</v>
      </c>
      <c r="J2285" s="2">
        <v>0</v>
      </c>
      <c r="K2285" s="2">
        <v>0</v>
      </c>
      <c r="P2285" s="3">
        <f>E2285*(VLOOKUP(B2285,Price_data!A$1:B$190,2,FALSE))</f>
        <v>0</v>
      </c>
      <c r="Q2285" s="3" t="e">
        <f>G2285*(VLOOKUP(B2285,Price_data!A$1:B$190,2,FALSE))</f>
        <v>#N/A</v>
      </c>
      <c r="R2285" s="3" t="e">
        <f>I2285*(VLOOKUP(B2285,Price_data!A$1:B$190,2,FALSE))</f>
        <v>#N/A</v>
      </c>
      <c r="S2285" s="4" t="str">
        <f>(VLOOKUP(B2285,Price_data!A$1:C$190,3,FALSE))</f>
        <v>EEZ</v>
      </c>
      <c r="T2285" s="2" t="str">
        <f>IF(C2285="Total", (VLOOKUP(B2285,Recommended_fish_intake!A$4:D$122,4,FALSE)), "NA")</f>
        <v>NA</v>
      </c>
      <c r="U2285" s="2" t="str">
        <f t="shared" si="275"/>
        <v>NA</v>
      </c>
    </row>
    <row r="2286" spans="1:21" ht="14.25" customHeight="1">
      <c r="A2286" s="2" t="s">
        <v>40</v>
      </c>
      <c r="B2286" s="2">
        <v>1988</v>
      </c>
      <c r="C2286" s="2" t="s">
        <v>28</v>
      </c>
      <c r="D2286" s="3">
        <f t="shared" si="282"/>
        <v>5.8339999999999996</v>
      </c>
      <c r="E2286" s="3">
        <f t="shared" si="283"/>
        <v>6.5609999999999999</v>
      </c>
      <c r="F2286" s="3" t="e">
        <f t="shared" si="284"/>
        <v>#N/A</v>
      </c>
      <c r="G2286" s="3" t="e">
        <f t="shared" si="285"/>
        <v>#N/A</v>
      </c>
      <c r="H2286" s="3" t="e">
        <f t="shared" si="286"/>
        <v>#N/A</v>
      </c>
      <c r="I2286" s="3" t="e">
        <f t="shared" si="287"/>
        <v>#N/A</v>
      </c>
      <c r="J2286" s="2">
        <v>5834</v>
      </c>
      <c r="K2286" s="2">
        <v>6561</v>
      </c>
      <c r="P2286" s="3">
        <f>E2286*(VLOOKUP(B2286,Price_data!A$1:B$190,2,FALSE))</f>
        <v>10.452169313405999</v>
      </c>
      <c r="Q2286" s="3" t="e">
        <f>G2286*(VLOOKUP(B2286,Price_data!A$1:B$190,2,FALSE))</f>
        <v>#N/A</v>
      </c>
      <c r="R2286" s="3" t="e">
        <f>I2286*(VLOOKUP(B2286,Price_data!A$1:B$190,2,FALSE))</f>
        <v>#N/A</v>
      </c>
      <c r="S2286" s="4" t="str">
        <f>(VLOOKUP(B2286,Price_data!A$1:C$190,3,FALSE))</f>
        <v>EEZ</v>
      </c>
      <c r="T2286" s="2" t="str">
        <f>IF(C2286="Total", (VLOOKUP(B2286,Recommended_fish_intake!A$4:D$122,4,FALSE)), "NA")</f>
        <v>NA</v>
      </c>
      <c r="U2286" s="2">
        <f t="shared" si="275"/>
        <v>1.6335200000000001</v>
      </c>
    </row>
    <row r="2287" spans="1:21" ht="14.25" customHeight="1">
      <c r="A2287" s="2" t="s">
        <v>15</v>
      </c>
      <c r="B2287" s="2">
        <v>1988</v>
      </c>
      <c r="C2287" s="2" t="s">
        <v>22</v>
      </c>
      <c r="D2287" s="3">
        <f t="shared" si="282"/>
        <v>77.67</v>
      </c>
      <c r="E2287" s="3">
        <f t="shared" si="283"/>
        <v>74.849000000000004</v>
      </c>
      <c r="F2287" s="3" t="e">
        <f t="shared" si="284"/>
        <v>#N/A</v>
      </c>
      <c r="G2287" s="3" t="e">
        <f t="shared" si="285"/>
        <v>#N/A</v>
      </c>
      <c r="H2287" s="3">
        <f t="shared" si="286"/>
        <v>132.184</v>
      </c>
      <c r="I2287" s="3">
        <f t="shared" si="287"/>
        <v>182.024</v>
      </c>
      <c r="J2287" s="2">
        <v>77670</v>
      </c>
      <c r="K2287" s="2">
        <v>74849</v>
      </c>
      <c r="N2287" s="2">
        <f>50803+65213+15900+268</f>
        <v>132184</v>
      </c>
      <c r="O2287" s="2">
        <f>44085+125153+12231+555</f>
        <v>182024</v>
      </c>
      <c r="P2287" s="3">
        <f>E2287*(VLOOKUP(B2287,Price_data!A$1:B$190,2,FALSE))</f>
        <v>119.240119027454</v>
      </c>
      <c r="Q2287" s="3" t="e">
        <f>G2287*(VLOOKUP(B2287,Price_data!A$1:B$190,2,FALSE))</f>
        <v>#N/A</v>
      </c>
      <c r="R2287" s="3">
        <f>I2287*(VLOOKUP(B2287,Price_data!A$1:B$190,2,FALSE))</f>
        <v>289.97800138750398</v>
      </c>
      <c r="S2287" s="4" t="str">
        <f>(VLOOKUP(B2287,Price_data!A$1:C$190,3,FALSE))</f>
        <v>EEZ</v>
      </c>
      <c r="T2287" s="2" t="str">
        <f>IF(C2287="Total", (VLOOKUP(B2287,Recommended_fish_intake!A$4:D$122,4,FALSE)), "NA")</f>
        <v>NA</v>
      </c>
      <c r="U2287" s="2" t="str">
        <f t="shared" si="275"/>
        <v>NA</v>
      </c>
    </row>
    <row r="2288" spans="1:21" ht="14.25" customHeight="1">
      <c r="A2288" s="2" t="s">
        <v>15</v>
      </c>
      <c r="B2288" s="2">
        <v>1988</v>
      </c>
      <c r="C2288" s="2" t="s">
        <v>23</v>
      </c>
      <c r="D2288" s="3">
        <f t="shared" si="282"/>
        <v>97.638999999999996</v>
      </c>
      <c r="E2288" s="3">
        <f t="shared" si="283"/>
        <v>68.707999999999998</v>
      </c>
      <c r="F2288" s="3" t="e">
        <f t="shared" si="284"/>
        <v>#N/A</v>
      </c>
      <c r="G2288" s="3" t="e">
        <f t="shared" si="285"/>
        <v>#N/A</v>
      </c>
      <c r="H2288" s="3">
        <f t="shared" si="286"/>
        <v>37.496000000000002</v>
      </c>
      <c r="I2288" s="3">
        <f t="shared" si="287"/>
        <v>43.636000000000003</v>
      </c>
      <c r="J2288" s="2">
        <v>97639</v>
      </c>
      <c r="K2288" s="2">
        <v>68708</v>
      </c>
      <c r="N2288" s="2">
        <f>22124+10833+4539</f>
        <v>37496</v>
      </c>
      <c r="O2288" s="2">
        <f>19056+21047+3533</f>
        <v>43636</v>
      </c>
      <c r="P2288" s="3">
        <f>E2288*(VLOOKUP(B2288,Price_data!A$1:B$190,2,FALSE))</f>
        <v>109.45704148536799</v>
      </c>
      <c r="Q2288" s="3" t="e">
        <f>G2288*(VLOOKUP(B2288,Price_data!A$1:B$190,2,FALSE))</f>
        <v>#N/A</v>
      </c>
      <c r="R2288" s="3">
        <f>I2288*(VLOOKUP(B2288,Price_data!A$1:B$190,2,FALSE))</f>
        <v>69.515448888856</v>
      </c>
      <c r="S2288" s="4" t="str">
        <f>(VLOOKUP(B2288,Price_data!A$1:C$190,3,FALSE))</f>
        <v>EEZ</v>
      </c>
      <c r="T2288" s="2" t="str">
        <f>IF(C2288="Total", (VLOOKUP(B2288,Recommended_fish_intake!A$4:D$122,4,FALSE)), "NA")</f>
        <v>NA</v>
      </c>
      <c r="U2288" s="2" t="str">
        <f t="shared" si="275"/>
        <v>NA</v>
      </c>
    </row>
    <row r="2289" spans="1:21" ht="14.25" customHeight="1">
      <c r="A2289" s="2" t="s">
        <v>15</v>
      </c>
      <c r="B2289" s="2">
        <v>1988</v>
      </c>
      <c r="C2289" s="2" t="s">
        <v>58</v>
      </c>
      <c r="D2289" s="3">
        <f t="shared" si="282"/>
        <v>11.041</v>
      </c>
      <c r="E2289" s="3">
        <f t="shared" si="283"/>
        <v>19.344999999999999</v>
      </c>
      <c r="F2289" s="3" t="e">
        <f t="shared" si="284"/>
        <v>#N/A</v>
      </c>
      <c r="G2289" s="3" t="e">
        <f t="shared" si="285"/>
        <v>#N/A</v>
      </c>
      <c r="H2289" s="3" t="e">
        <f t="shared" si="286"/>
        <v>#N/A</v>
      </c>
      <c r="I2289" s="3" t="e">
        <f t="shared" si="287"/>
        <v>#N/A</v>
      </c>
      <c r="J2289" s="2">
        <v>11041</v>
      </c>
      <c r="K2289" s="2">
        <v>19345</v>
      </c>
      <c r="P2289" s="3">
        <f>E2289*(VLOOKUP(B2289,Price_data!A$1:B$190,2,FALSE))</f>
        <v>30.818048371869999</v>
      </c>
      <c r="Q2289" s="3" t="e">
        <f>G2289*(VLOOKUP(B2289,Price_data!A$1:B$190,2,FALSE))</f>
        <v>#N/A</v>
      </c>
      <c r="R2289" s="3" t="e">
        <f>I2289*(VLOOKUP(B2289,Price_data!A$1:B$190,2,FALSE))</f>
        <v>#N/A</v>
      </c>
      <c r="S2289" s="4" t="str">
        <f>(VLOOKUP(B2289,Price_data!A$1:C$190,3,FALSE))</f>
        <v>EEZ</v>
      </c>
      <c r="T2289" s="2" t="str">
        <f>IF(C2289="Total", (VLOOKUP(B2289,Recommended_fish_intake!A$4:D$122,4,FALSE)), "NA")</f>
        <v>NA</v>
      </c>
      <c r="U2289" s="2" t="str">
        <f t="shared" si="275"/>
        <v>NA</v>
      </c>
    </row>
    <row r="2290" spans="1:21" ht="14.25" customHeight="1">
      <c r="A2290" s="2" t="s">
        <v>15</v>
      </c>
      <c r="B2290" s="2">
        <v>1988</v>
      </c>
      <c r="C2290" s="2" t="s">
        <v>25</v>
      </c>
      <c r="D2290" s="3">
        <f t="shared" si="282"/>
        <v>27.341999999999999</v>
      </c>
      <c r="E2290" s="3">
        <f t="shared" si="283"/>
        <v>22.347999999999999</v>
      </c>
      <c r="F2290" s="3" t="e">
        <f t="shared" si="284"/>
        <v>#N/A</v>
      </c>
      <c r="G2290" s="3" t="e">
        <f t="shared" si="285"/>
        <v>#N/A</v>
      </c>
      <c r="H2290" s="3">
        <f t="shared" si="286"/>
        <v>16.065000000000001</v>
      </c>
      <c r="I2290" s="3">
        <f t="shared" si="287"/>
        <v>17.350000000000001</v>
      </c>
      <c r="J2290" s="2">
        <v>27342</v>
      </c>
      <c r="K2290" s="2">
        <v>22348</v>
      </c>
      <c r="N2290" s="2">
        <f>13592+2033+440</f>
        <v>16065</v>
      </c>
      <c r="O2290" s="2">
        <f>11712+5201+437</f>
        <v>17350</v>
      </c>
      <c r="P2290" s="3">
        <f>E2290*(VLOOKUP(B2290,Price_data!A$1:B$190,2,FALSE))</f>
        <v>35.602054536807998</v>
      </c>
      <c r="Q2290" s="3" t="e">
        <f>G2290*(VLOOKUP(B2290,Price_data!A$1:B$190,2,FALSE))</f>
        <v>#N/A</v>
      </c>
      <c r="R2290" s="3">
        <f>I2290*(VLOOKUP(B2290,Price_data!A$1:B$190,2,FALSE))</f>
        <v>27.639862458100001</v>
      </c>
      <c r="S2290" s="4" t="str">
        <f>(VLOOKUP(B2290,Price_data!A$1:C$190,3,FALSE))</f>
        <v>EEZ</v>
      </c>
      <c r="T2290" s="2" t="str">
        <f>IF(C2290="Total", (VLOOKUP(B2290,Recommended_fish_intake!A$4:D$122,4,FALSE)), "NA")</f>
        <v>NA</v>
      </c>
      <c r="U2290" s="2" t="str">
        <f t="shared" si="275"/>
        <v>NA</v>
      </c>
    </row>
    <row r="2291" spans="1:21" ht="14.25" customHeight="1">
      <c r="A2291" s="2" t="s">
        <v>15</v>
      </c>
      <c r="B2291" s="2">
        <v>1988</v>
      </c>
      <c r="C2291" s="2" t="s">
        <v>24</v>
      </c>
      <c r="D2291" s="3">
        <f t="shared" si="282"/>
        <v>45.621000000000002</v>
      </c>
      <c r="E2291" s="3">
        <f t="shared" si="283"/>
        <v>21.143000000000001</v>
      </c>
      <c r="F2291" s="3" t="e">
        <f t="shared" si="284"/>
        <v>#N/A</v>
      </c>
      <c r="G2291" s="3" t="e">
        <f t="shared" si="285"/>
        <v>#N/A</v>
      </c>
      <c r="H2291" s="3" t="e">
        <f t="shared" si="286"/>
        <v>#N/A</v>
      </c>
      <c r="I2291" s="3" t="e">
        <f t="shared" si="287"/>
        <v>#N/A</v>
      </c>
      <c r="J2291" s="2">
        <v>45621</v>
      </c>
      <c r="K2291" s="2">
        <v>21143</v>
      </c>
      <c r="P2291" s="3">
        <f>E2291*(VLOOKUP(B2291,Price_data!A$1:B$190,2,FALSE))</f>
        <v>33.682398383378001</v>
      </c>
      <c r="Q2291" s="3" t="e">
        <f>G2291*(VLOOKUP(B2291,Price_data!A$1:B$190,2,FALSE))</f>
        <v>#N/A</v>
      </c>
      <c r="R2291" s="3" t="e">
        <f>I2291*(VLOOKUP(B2291,Price_data!A$1:B$190,2,FALSE))</f>
        <v>#N/A</v>
      </c>
      <c r="S2291" s="4" t="str">
        <f>(VLOOKUP(B2291,Price_data!A$1:C$190,3,FALSE))</f>
        <v>EEZ</v>
      </c>
      <c r="T2291" s="2" t="str">
        <f>IF(C2291="Total", (VLOOKUP(B2291,Recommended_fish_intake!A$4:D$122,4,FALSE)), "NA")</f>
        <v>NA</v>
      </c>
      <c r="U2291" s="2" t="str">
        <f t="shared" si="275"/>
        <v>NA</v>
      </c>
    </row>
    <row r="2292" spans="1:21" ht="14.25" customHeight="1">
      <c r="A2292" s="2" t="s">
        <v>15</v>
      </c>
      <c r="B2292" s="2">
        <v>1988</v>
      </c>
      <c r="C2292" s="2" t="s">
        <v>19</v>
      </c>
      <c r="D2292" s="3">
        <f t="shared" si="282"/>
        <v>93.21</v>
      </c>
      <c r="E2292" s="3">
        <f t="shared" si="283"/>
        <v>11.244</v>
      </c>
      <c r="F2292" s="3" t="e">
        <f t="shared" si="284"/>
        <v>#N/A</v>
      </c>
      <c r="G2292" s="3" t="e">
        <f t="shared" si="285"/>
        <v>#N/A</v>
      </c>
      <c r="H2292" s="3">
        <f t="shared" si="286"/>
        <v>9.0470000000000006</v>
      </c>
      <c r="I2292" s="3">
        <f t="shared" si="287"/>
        <v>4.782</v>
      </c>
      <c r="J2292" s="2">
        <v>93210</v>
      </c>
      <c r="K2292" s="2">
        <v>11244</v>
      </c>
      <c r="N2292" s="2">
        <f>2901+5149+288+709</f>
        <v>9047</v>
      </c>
      <c r="O2292" s="2">
        <f>973+2377+292+1140</f>
        <v>4782</v>
      </c>
      <c r="P2292" s="3">
        <f>E2292*(VLOOKUP(B2292,Price_data!A$1:B$190,2,FALSE))</f>
        <v>17.912542563623997</v>
      </c>
      <c r="Q2292" s="3" t="e">
        <f>G2292*(VLOOKUP(B2292,Price_data!A$1:B$190,2,FALSE))</f>
        <v>#N/A</v>
      </c>
      <c r="R2292" s="3">
        <f>I2292*(VLOOKUP(B2292,Price_data!A$1:B$190,2,FALSE))</f>
        <v>7.6180877391720001</v>
      </c>
      <c r="S2292" s="4" t="str">
        <f>(VLOOKUP(B2292,Price_data!A$1:C$190,3,FALSE))</f>
        <v>EEZ</v>
      </c>
      <c r="T2292" s="2" t="str">
        <f>IF(C2292="Total", (VLOOKUP(B2292,Recommended_fish_intake!A$4:D$122,4,FALSE)), "NA")</f>
        <v>NA</v>
      </c>
      <c r="U2292" s="2" t="str">
        <f t="shared" si="275"/>
        <v>NA</v>
      </c>
    </row>
    <row r="2293" spans="1:21" ht="14.25" customHeight="1">
      <c r="A2293" s="2" t="s">
        <v>15</v>
      </c>
      <c r="B2293" s="2">
        <v>1988</v>
      </c>
      <c r="C2293" s="2" t="s">
        <v>20</v>
      </c>
      <c r="D2293" s="3">
        <f t="shared" si="282"/>
        <v>176.06100000000001</v>
      </c>
      <c r="E2293" s="3">
        <f t="shared" si="283"/>
        <v>20.791</v>
      </c>
      <c r="F2293" s="3" t="e">
        <f t="shared" si="284"/>
        <v>#N/A</v>
      </c>
      <c r="G2293" s="3" t="e">
        <f t="shared" si="285"/>
        <v>#N/A</v>
      </c>
      <c r="H2293" s="3">
        <f t="shared" si="286"/>
        <v>0.84199999999999997</v>
      </c>
      <c r="I2293" s="3">
        <f t="shared" si="287"/>
        <v>1.1200000000000001</v>
      </c>
      <c r="J2293" s="2">
        <v>176061</v>
      </c>
      <c r="K2293" s="2">
        <v>20791</v>
      </c>
      <c r="N2293" s="2">
        <v>842</v>
      </c>
      <c r="O2293" s="2">
        <v>1120</v>
      </c>
      <c r="P2293" s="3">
        <f>E2293*(VLOOKUP(B2293,Price_data!A$1:B$190,2,FALSE))</f>
        <v>33.121635755985999</v>
      </c>
      <c r="Q2293" s="3" t="e">
        <f>G2293*(VLOOKUP(B2293,Price_data!A$1:B$190,2,FALSE))</f>
        <v>#N/A</v>
      </c>
      <c r="R2293" s="3">
        <f>I2293*(VLOOKUP(B2293,Price_data!A$1:B$190,2,FALSE))</f>
        <v>1.7842447235200001</v>
      </c>
      <c r="S2293" s="4" t="str">
        <f>(VLOOKUP(B2293,Price_data!A$1:C$190,3,FALSE))</f>
        <v>EEZ</v>
      </c>
      <c r="T2293" s="2" t="str">
        <f>IF(C2293="Total", (VLOOKUP(B2293,Recommended_fish_intake!A$4:D$122,4,FALSE)), "NA")</f>
        <v>NA</v>
      </c>
      <c r="U2293" s="2" t="str">
        <f t="shared" si="275"/>
        <v>NA</v>
      </c>
    </row>
    <row r="2294" spans="1:21" ht="14.25" customHeight="1">
      <c r="A2294" s="2" t="s">
        <v>15</v>
      </c>
      <c r="B2294" s="2">
        <v>1988</v>
      </c>
      <c r="C2294" s="2" t="s">
        <v>37</v>
      </c>
      <c r="D2294" s="3">
        <f t="shared" si="282"/>
        <v>645.52499999999998</v>
      </c>
      <c r="E2294" s="3">
        <f t="shared" si="283"/>
        <v>310.41199999999998</v>
      </c>
      <c r="F2294" s="3">
        <f t="shared" si="284"/>
        <v>273.74400000000003</v>
      </c>
      <c r="G2294" s="3">
        <f t="shared" si="285"/>
        <v>240.553</v>
      </c>
      <c r="H2294" s="3">
        <f t="shared" si="286"/>
        <v>379.779</v>
      </c>
      <c r="I2294" s="3">
        <f t="shared" si="287"/>
        <v>565.15899999999999</v>
      </c>
      <c r="J2294" s="2">
        <v>645525</v>
      </c>
      <c r="K2294" s="2">
        <v>310412</v>
      </c>
      <c r="L2294" s="2">
        <v>273744</v>
      </c>
      <c r="M2294" s="2">
        <v>240553</v>
      </c>
      <c r="N2294" s="2">
        <v>379779</v>
      </c>
      <c r="O2294" s="2">
        <v>565159</v>
      </c>
      <c r="P2294" s="3">
        <f>E2294*(VLOOKUP(B2294,Price_data!A$1:B$190,2,FALSE))</f>
        <v>494.50979742615198</v>
      </c>
      <c r="Q2294" s="3">
        <f>G2294*(VLOOKUP(B2294,Price_data!A$1:B$190,2,FALSE))</f>
        <v>383.21912587223801</v>
      </c>
      <c r="R2294" s="3">
        <f>I2294*(VLOOKUP(B2294,Price_data!A$1:B$190,2,FALSE))</f>
        <v>900.34103901771391</v>
      </c>
      <c r="S2294" s="4" t="str">
        <f>(VLOOKUP(B2294,Price_data!A$1:C$190,3,FALSE))</f>
        <v>EEZ</v>
      </c>
      <c r="T2294" s="2" t="str">
        <f>IF(C2294="Total", (VLOOKUP(B2294,Recommended_fish_intake!A$4:D$122,4,FALSE)), "NA")</f>
        <v>NA</v>
      </c>
      <c r="U2294" s="2">
        <f t="shared" si="275"/>
        <v>316.30725000000001</v>
      </c>
    </row>
    <row r="2295" spans="1:21" ht="14.25" customHeight="1">
      <c r="A2295" s="2" t="s">
        <v>15</v>
      </c>
      <c r="B2295" s="2">
        <v>1988</v>
      </c>
      <c r="C2295" s="2" t="s">
        <v>36</v>
      </c>
      <c r="D2295" s="3">
        <f t="shared" si="282"/>
        <v>15.164999999999999</v>
      </c>
      <c r="E2295" s="3">
        <f t="shared" si="283"/>
        <v>13.907999999999999</v>
      </c>
      <c r="F2295" s="3" t="e">
        <f t="shared" si="284"/>
        <v>#N/A</v>
      </c>
      <c r="G2295" s="3" t="e">
        <f t="shared" si="285"/>
        <v>#N/A</v>
      </c>
      <c r="H2295" s="3">
        <f t="shared" si="286"/>
        <v>1.52</v>
      </c>
      <c r="I2295" s="3">
        <f t="shared" si="287"/>
        <v>8.0820000000000007</v>
      </c>
      <c r="J2295" s="2">
        <v>15165</v>
      </c>
      <c r="K2295" s="2">
        <v>13908</v>
      </c>
      <c r="N2295" s="2">
        <v>1520</v>
      </c>
      <c r="O2295" s="2">
        <v>8082</v>
      </c>
      <c r="P2295" s="3">
        <f>E2295*(VLOOKUP(B2295,Price_data!A$1:B$190,2,FALSE))</f>
        <v>22.156496084567998</v>
      </c>
      <c r="Q2295" s="3" t="e">
        <f>G2295*(VLOOKUP(B2295,Price_data!A$1:B$190,2,FALSE))</f>
        <v>#N/A</v>
      </c>
      <c r="R2295" s="3">
        <f>I2295*(VLOOKUP(B2295,Price_data!A$1:B$190,2,FALSE))</f>
        <v>12.875237370972</v>
      </c>
      <c r="S2295" s="4" t="str">
        <f>(VLOOKUP(B2295,Price_data!A$1:C$190,3,FALSE))</f>
        <v>EEZ</v>
      </c>
      <c r="T2295" s="2" t="str">
        <f>IF(C2295="Total", (VLOOKUP(B2295,Recommended_fish_intake!A$4:D$122,4,FALSE)), "NA")</f>
        <v>NA</v>
      </c>
      <c r="U2295" s="2" t="str">
        <f t="shared" si="275"/>
        <v>NA</v>
      </c>
    </row>
    <row r="2296" spans="1:21" ht="14.25" customHeight="1">
      <c r="A2296" s="2" t="s">
        <v>15</v>
      </c>
      <c r="B2296" s="2">
        <v>1988</v>
      </c>
      <c r="C2296" s="2" t="s">
        <v>34</v>
      </c>
      <c r="D2296" s="3">
        <f t="shared" si="282"/>
        <v>1.2589999999999999</v>
      </c>
      <c r="E2296" s="3">
        <f t="shared" si="283"/>
        <v>10.163</v>
      </c>
      <c r="F2296" s="3" t="e">
        <f t="shared" si="284"/>
        <v>#N/A</v>
      </c>
      <c r="G2296" s="3" t="e">
        <f t="shared" si="285"/>
        <v>#N/A</v>
      </c>
      <c r="H2296" s="3" t="e">
        <f t="shared" si="286"/>
        <v>#N/A</v>
      </c>
      <c r="I2296" s="3" t="e">
        <f t="shared" si="287"/>
        <v>#N/A</v>
      </c>
      <c r="J2296" s="2">
        <v>1259</v>
      </c>
      <c r="K2296" s="2">
        <v>10163</v>
      </c>
      <c r="P2296" s="3">
        <f>E2296*(VLOOKUP(B2296,Price_data!A$1:B$190,2,FALSE))</f>
        <v>16.190427790297999</v>
      </c>
      <c r="Q2296" s="3" t="e">
        <f>G2296*(VLOOKUP(B2296,Price_data!A$1:B$190,2,FALSE))</f>
        <v>#N/A</v>
      </c>
      <c r="R2296" s="3" t="e">
        <f>I2296*(VLOOKUP(B2296,Price_data!A$1:B$190,2,FALSE))</f>
        <v>#N/A</v>
      </c>
      <c r="S2296" s="4" t="str">
        <f>(VLOOKUP(B2296,Price_data!A$1:C$190,3,FALSE))</f>
        <v>EEZ</v>
      </c>
      <c r="T2296" s="2" t="str">
        <f>IF(C2296="Total", (VLOOKUP(B2296,Recommended_fish_intake!A$4:D$122,4,FALSE)), "NA")</f>
        <v>NA</v>
      </c>
      <c r="U2296" s="2" t="str">
        <f t="shared" si="275"/>
        <v>NA</v>
      </c>
    </row>
    <row r="2297" spans="1:21" ht="14.25" customHeight="1">
      <c r="A2297" s="2" t="s">
        <v>15</v>
      </c>
      <c r="B2297" s="2">
        <v>1988</v>
      </c>
      <c r="C2297" s="2" t="s">
        <v>35</v>
      </c>
      <c r="D2297" s="3">
        <f t="shared" si="282"/>
        <v>27.373000000000001</v>
      </c>
      <c r="E2297" s="3">
        <f t="shared" si="283"/>
        <v>44.585000000000001</v>
      </c>
      <c r="F2297" s="3" t="e">
        <f t="shared" si="284"/>
        <v>#N/A</v>
      </c>
      <c r="G2297" s="3" t="e">
        <f t="shared" si="285"/>
        <v>#N/A</v>
      </c>
      <c r="H2297" s="3" t="e">
        <f t="shared" si="286"/>
        <v>#N/A</v>
      </c>
      <c r="I2297" s="3" t="e">
        <f t="shared" si="287"/>
        <v>#N/A</v>
      </c>
      <c r="J2297" s="2">
        <v>27373</v>
      </c>
      <c r="K2297" s="2">
        <v>44585</v>
      </c>
      <c r="P2297" s="3">
        <f>E2297*(VLOOKUP(B2297,Price_data!A$1:B$190,2,FALSE))</f>
        <v>71.027277676910003</v>
      </c>
      <c r="Q2297" s="3" t="e">
        <f>G2297*(VLOOKUP(B2297,Price_data!A$1:B$190,2,FALSE))</f>
        <v>#N/A</v>
      </c>
      <c r="R2297" s="3" t="e">
        <f>I2297*(VLOOKUP(B2297,Price_data!A$1:B$190,2,FALSE))</f>
        <v>#N/A</v>
      </c>
      <c r="S2297" s="4" t="str">
        <f>(VLOOKUP(B2297,Price_data!A$1:C$190,3,FALSE))</f>
        <v>EEZ</v>
      </c>
      <c r="T2297" s="2" t="str">
        <f>IF(C2297="Total", (VLOOKUP(B2297,Recommended_fish_intake!A$4:D$122,4,FALSE)), "NA")</f>
        <v>NA</v>
      </c>
      <c r="U2297" s="2" t="str">
        <f t="shared" si="275"/>
        <v>NA</v>
      </c>
    </row>
    <row r="2298" spans="1:21" ht="14.25" customHeight="1">
      <c r="A2298" s="2" t="s">
        <v>15</v>
      </c>
      <c r="B2298" s="2">
        <v>1988</v>
      </c>
      <c r="C2298" s="2" t="s">
        <v>52</v>
      </c>
      <c r="D2298" s="3">
        <f t="shared" si="282"/>
        <v>7.5670000000000002</v>
      </c>
      <c r="E2298" s="3">
        <f t="shared" si="283"/>
        <v>10.6</v>
      </c>
      <c r="F2298" s="3" t="e">
        <f t="shared" si="284"/>
        <v>#N/A</v>
      </c>
      <c r="G2298" s="3" t="e">
        <f t="shared" si="285"/>
        <v>#N/A</v>
      </c>
      <c r="H2298" s="3" t="e">
        <f t="shared" si="286"/>
        <v>#N/A</v>
      </c>
      <c r="I2298" s="3" t="e">
        <f t="shared" si="287"/>
        <v>#N/A</v>
      </c>
      <c r="J2298" s="2">
        <v>7567</v>
      </c>
      <c r="K2298" s="2">
        <v>10600</v>
      </c>
      <c r="P2298" s="3">
        <f>E2298*(VLOOKUP(B2298,Price_data!A$1:B$190,2,FALSE))</f>
        <v>16.886601847599998</v>
      </c>
      <c r="Q2298" s="3" t="e">
        <f>G2298*(VLOOKUP(B2298,Price_data!A$1:B$190,2,FALSE))</f>
        <v>#N/A</v>
      </c>
      <c r="R2298" s="3" t="e">
        <f>I2298*(VLOOKUP(B2298,Price_data!A$1:B$190,2,FALSE))</f>
        <v>#N/A</v>
      </c>
      <c r="S2298" s="4" t="str">
        <f>(VLOOKUP(B2298,Price_data!A$1:C$190,3,FALSE))</f>
        <v>EEZ</v>
      </c>
      <c r="T2298" s="2" t="str">
        <f>IF(C2298="Total", (VLOOKUP(B2298,Recommended_fish_intake!A$4:D$122,4,FALSE)), "NA")</f>
        <v>NA</v>
      </c>
      <c r="U2298" s="2" t="str">
        <f t="shared" si="275"/>
        <v>NA</v>
      </c>
    </row>
    <row r="2299" spans="1:21" ht="14.25" customHeight="1">
      <c r="A2299" s="2" t="s">
        <v>15</v>
      </c>
      <c r="B2299" s="2">
        <v>1988</v>
      </c>
      <c r="C2299" s="2" t="s">
        <v>30</v>
      </c>
      <c r="D2299" s="3">
        <f t="shared" si="282"/>
        <v>1.6779999999999999</v>
      </c>
      <c r="E2299" s="3">
        <f t="shared" si="283"/>
        <v>1.7849999999999999</v>
      </c>
      <c r="F2299" s="3" t="e">
        <f t="shared" si="284"/>
        <v>#N/A</v>
      </c>
      <c r="G2299" s="3" t="e">
        <f t="shared" si="285"/>
        <v>#N/A</v>
      </c>
      <c r="H2299" s="3">
        <f t="shared" si="286"/>
        <v>26.280999999999999</v>
      </c>
      <c r="I2299" s="3">
        <f t="shared" si="287"/>
        <v>85.445999999999998</v>
      </c>
      <c r="J2299" s="2">
        <v>1678</v>
      </c>
      <c r="K2299" s="2">
        <v>1785</v>
      </c>
      <c r="N2299" s="2">
        <f>6278+20003</f>
        <v>26281</v>
      </c>
      <c r="O2299" s="2">
        <f>18258+67188</f>
        <v>85446</v>
      </c>
      <c r="P2299" s="3">
        <f>E2299*(VLOOKUP(B2299,Price_data!A$1:B$190,2,FALSE))</f>
        <v>2.8436400281099998</v>
      </c>
      <c r="Q2299" s="3" t="e">
        <f>G2299*(VLOOKUP(B2299,Price_data!A$1:B$190,2,FALSE))</f>
        <v>#N/A</v>
      </c>
      <c r="R2299" s="3">
        <f>I2299*(VLOOKUP(B2299,Price_data!A$1:B$190,2,FALSE))</f>
        <v>136.12194164811601</v>
      </c>
      <c r="S2299" s="4" t="str">
        <f>(VLOOKUP(B2299,Price_data!A$1:C$190,3,FALSE))</f>
        <v>EEZ</v>
      </c>
      <c r="T2299" s="2" t="str">
        <f>IF(C2299="Total", (VLOOKUP(B2299,Recommended_fish_intake!A$4:D$122,4,FALSE)), "NA")</f>
        <v>NA</v>
      </c>
      <c r="U2299" s="2" t="str">
        <f t="shared" si="275"/>
        <v>NA</v>
      </c>
    </row>
    <row r="2300" spans="1:21" ht="14.25" customHeight="1">
      <c r="A2300" s="2" t="s">
        <v>15</v>
      </c>
      <c r="B2300" s="2">
        <v>1988</v>
      </c>
      <c r="C2300" s="2" t="s">
        <v>28</v>
      </c>
      <c r="D2300" s="3">
        <f t="shared" si="282"/>
        <v>96.483000000000004</v>
      </c>
      <c r="E2300" s="3">
        <f t="shared" si="283"/>
        <v>92.480999999999995</v>
      </c>
      <c r="F2300" s="3">
        <f t="shared" si="284"/>
        <v>47.585000000000001</v>
      </c>
      <c r="G2300" s="3">
        <f t="shared" si="285"/>
        <v>143.875</v>
      </c>
      <c r="H2300" s="3">
        <f t="shared" si="286"/>
        <v>61.021999999999998</v>
      </c>
      <c r="I2300" s="3">
        <f t="shared" si="287"/>
        <v>220.59100000000001</v>
      </c>
      <c r="J2300" s="2">
        <v>96483</v>
      </c>
      <c r="K2300" s="2">
        <v>92481</v>
      </c>
      <c r="L2300" s="2">
        <v>47585</v>
      </c>
      <c r="M2300" s="2">
        <v>143875</v>
      </c>
      <c r="N2300" s="2">
        <v>61022</v>
      </c>
      <c r="O2300" s="2">
        <v>220591</v>
      </c>
      <c r="P2300" s="3">
        <f>E2300*(VLOOKUP(B2300,Price_data!A$1:B$190,2,FALSE))</f>
        <v>147.32922881772598</v>
      </c>
      <c r="Q2300" s="3">
        <f>G2300*(VLOOKUP(B2300,Price_data!A$1:B$190,2,FALSE))</f>
        <v>229.20375856824998</v>
      </c>
      <c r="R2300" s="3">
        <f>I2300*(VLOOKUP(B2300,Price_data!A$1:B$190,2,FALSE))</f>
        <v>351.41814982678602</v>
      </c>
      <c r="S2300" s="4" t="str">
        <f>(VLOOKUP(B2300,Price_data!A$1:C$190,3,FALSE))</f>
        <v>EEZ</v>
      </c>
      <c r="T2300" s="2" t="str">
        <f>IF(C2300="Total", (VLOOKUP(B2300,Recommended_fish_intake!A$4:D$122,4,FALSE)), "NA")</f>
        <v>NA</v>
      </c>
      <c r="U2300" s="2">
        <f t="shared" si="275"/>
        <v>27.015240000000002</v>
      </c>
    </row>
    <row r="2301" spans="1:21" ht="14.25" customHeight="1">
      <c r="A2301" s="2" t="s">
        <v>18</v>
      </c>
      <c r="B2301" s="2">
        <v>1988</v>
      </c>
      <c r="C2301" s="2" t="s">
        <v>16</v>
      </c>
      <c r="D2301" s="3">
        <f t="shared" si="282"/>
        <v>164.53200000000001</v>
      </c>
      <c r="E2301" s="3">
        <f t="shared" si="283"/>
        <v>134.214</v>
      </c>
      <c r="F2301" s="3" t="e">
        <f t="shared" si="284"/>
        <v>#N/A</v>
      </c>
      <c r="G2301" s="3" t="e">
        <f t="shared" si="285"/>
        <v>#N/A</v>
      </c>
      <c r="H2301" s="3" t="e">
        <f t="shared" si="286"/>
        <v>#N/A</v>
      </c>
      <c r="I2301" s="3" t="e">
        <f t="shared" si="287"/>
        <v>#N/A</v>
      </c>
      <c r="J2301" s="2">
        <v>164532</v>
      </c>
      <c r="K2301" s="2">
        <v>134214</v>
      </c>
      <c r="P2301" s="3">
        <f>E2301*(VLOOKUP(B2301,Price_data!A$1:B$190,2,FALSE))</f>
        <v>213.813054752244</v>
      </c>
      <c r="Q2301" s="3" t="e">
        <f>G2301*(VLOOKUP(B2301,Price_data!A$1:B$190,2,FALSE))</f>
        <v>#N/A</v>
      </c>
      <c r="R2301" s="3" t="e">
        <f>I2301*(VLOOKUP(B2301,Price_data!A$1:B$190,2,FALSE))</f>
        <v>#N/A</v>
      </c>
      <c r="S2301" s="4" t="str">
        <f>(VLOOKUP(B2301,Price_data!A$1:C$190,3,FALSE))</f>
        <v>EEZ</v>
      </c>
      <c r="T2301" s="2">
        <f>IF(C2301="Total", (VLOOKUP(B2301,Recommended_fish_intake!A$4:D$122,4,FALSE)), "NA")</f>
        <v>752.64956744796007</v>
      </c>
      <c r="U2301" s="2" t="str">
        <f t="shared" si="275"/>
        <v>NA</v>
      </c>
    </row>
    <row r="2302" spans="1:21" ht="14.25" customHeight="1">
      <c r="A2302" s="2" t="s">
        <v>39</v>
      </c>
      <c r="B2302" s="2">
        <v>1988</v>
      </c>
      <c r="C2302" s="2" t="s">
        <v>16</v>
      </c>
      <c r="D2302" s="3">
        <f t="shared" si="282"/>
        <v>554.91</v>
      </c>
      <c r="E2302" s="3">
        <f t="shared" si="283"/>
        <v>253.09399999999999</v>
      </c>
      <c r="F2302" s="3" t="e">
        <f t="shared" si="284"/>
        <v>#N/A</v>
      </c>
      <c r="G2302" s="3" t="e">
        <f t="shared" si="285"/>
        <v>#N/A</v>
      </c>
      <c r="H2302" s="3" t="e">
        <f t="shared" si="286"/>
        <v>#N/A</v>
      </c>
      <c r="I2302" s="3" t="e">
        <f t="shared" si="287"/>
        <v>#N/A</v>
      </c>
      <c r="J2302" s="2">
        <v>554910</v>
      </c>
      <c r="K2302" s="2">
        <v>253094</v>
      </c>
      <c r="P2302" s="3">
        <f>E2302*(VLOOKUP(B2302,Price_data!A$1:B$190,2,FALSE))</f>
        <v>403.197887548724</v>
      </c>
      <c r="Q2302" s="3" t="e">
        <f>G2302*(VLOOKUP(B2302,Price_data!A$1:B$190,2,FALSE))</f>
        <v>#N/A</v>
      </c>
      <c r="R2302" s="3" t="e">
        <f>I2302*(VLOOKUP(B2302,Price_data!A$1:B$190,2,FALSE))</f>
        <v>#N/A</v>
      </c>
      <c r="S2302" s="4" t="str">
        <f>(VLOOKUP(B2302,Price_data!A$1:C$190,3,FALSE))</f>
        <v>EEZ</v>
      </c>
      <c r="T2302" s="2">
        <f>IF(C2302="Total", (VLOOKUP(B2302,Recommended_fish_intake!A$4:D$122,4,FALSE)), "NA")</f>
        <v>752.64956744796007</v>
      </c>
      <c r="U2302" s="2" t="str">
        <f t="shared" si="275"/>
        <v>NA</v>
      </c>
    </row>
    <row r="2303" spans="1:21" ht="14.25" customHeight="1">
      <c r="A2303" s="2" t="s">
        <v>40</v>
      </c>
      <c r="B2303" s="2">
        <v>1988</v>
      </c>
      <c r="C2303" s="2" t="s">
        <v>16</v>
      </c>
      <c r="D2303" s="3">
        <f t="shared" si="282"/>
        <v>22.565999999999999</v>
      </c>
      <c r="E2303" s="3">
        <f t="shared" si="283"/>
        <v>15.585000000000001</v>
      </c>
      <c r="F2303" s="3" t="e">
        <f t="shared" si="284"/>
        <v>#N/A</v>
      </c>
      <c r="G2303" s="3" t="e">
        <f t="shared" si="285"/>
        <v>#N/A</v>
      </c>
      <c r="H2303" s="3" t="e">
        <f t="shared" si="286"/>
        <v>#N/A</v>
      </c>
      <c r="I2303" s="3" t="e">
        <f t="shared" si="287"/>
        <v>#N/A</v>
      </c>
      <c r="J2303" s="2">
        <v>22566</v>
      </c>
      <c r="K2303" s="2">
        <v>15585</v>
      </c>
      <c r="P2303" s="3">
        <f>E2303*(VLOOKUP(B2303,Price_data!A$1:B$190,2,FALSE))</f>
        <v>24.828083942910002</v>
      </c>
      <c r="Q2303" s="3" t="e">
        <f>G2303*(VLOOKUP(B2303,Price_data!A$1:B$190,2,FALSE))</f>
        <v>#N/A</v>
      </c>
      <c r="R2303" s="3" t="e">
        <f>I2303*(VLOOKUP(B2303,Price_data!A$1:B$190,2,FALSE))</f>
        <v>#N/A</v>
      </c>
      <c r="S2303" s="4" t="str">
        <f>(VLOOKUP(B2303,Price_data!A$1:C$190,3,FALSE))</f>
        <v>EEZ</v>
      </c>
      <c r="T2303" s="2">
        <f>IF(C2303="Total", (VLOOKUP(B2303,Recommended_fish_intake!A$4:D$122,4,FALSE)), "NA")</f>
        <v>752.64956744796007</v>
      </c>
      <c r="U2303" s="2" t="str">
        <f t="shared" si="275"/>
        <v>NA</v>
      </c>
    </row>
    <row r="2304" spans="1:21" ht="14.25" customHeight="1">
      <c r="A2304" s="2" t="s">
        <v>15</v>
      </c>
      <c r="B2304" s="2">
        <v>1988</v>
      </c>
      <c r="C2304" s="2" t="s">
        <v>16</v>
      </c>
      <c r="D2304" s="3">
        <f t="shared" si="282"/>
        <v>742.00800000000004</v>
      </c>
      <c r="E2304" s="3">
        <f t="shared" si="283"/>
        <v>402.89299999999997</v>
      </c>
      <c r="F2304" s="3">
        <f t="shared" si="284"/>
        <v>321.32900000000001</v>
      </c>
      <c r="G2304" s="3">
        <f t="shared" si="285"/>
        <v>384.428</v>
      </c>
      <c r="H2304" s="3">
        <f t="shared" si="286"/>
        <v>440.80099999999999</v>
      </c>
      <c r="I2304" s="3">
        <f t="shared" si="287"/>
        <v>785.75</v>
      </c>
      <c r="J2304" s="2">
        <v>742008</v>
      </c>
      <c r="K2304" s="2">
        <v>402893</v>
      </c>
      <c r="L2304" s="2">
        <v>321329</v>
      </c>
      <c r="M2304" s="2">
        <v>384428</v>
      </c>
      <c r="N2304" s="2">
        <v>440801</v>
      </c>
      <c r="O2304" s="2">
        <v>785750</v>
      </c>
      <c r="P2304" s="3">
        <f>E2304*(VLOOKUP(B2304,Price_data!A$1:B$190,2,FALSE))</f>
        <v>641.83902624387792</v>
      </c>
      <c r="Q2304" s="3">
        <f>G2304*(VLOOKUP(B2304,Price_data!A$1:B$190,2,FALSE))</f>
        <v>612.42288444048802</v>
      </c>
      <c r="R2304" s="3">
        <f>I2304*(VLOOKUP(B2304,Price_data!A$1:B$190,2,FALSE))</f>
        <v>1251.7591888444999</v>
      </c>
      <c r="S2304" s="4" t="str">
        <f>(VLOOKUP(B2304,Price_data!A$1:C$190,3,FALSE))</f>
        <v>EEZ</v>
      </c>
      <c r="T2304" s="2">
        <f>IF(C2304="Total", (VLOOKUP(B2304,Recommended_fish_intake!A$4:D$122,4,FALSE)), "NA")</f>
        <v>752.64956744796007</v>
      </c>
      <c r="U2304" s="2" t="str">
        <f t="shared" si="275"/>
        <v>NA</v>
      </c>
    </row>
    <row r="2305" spans="1:21" ht="14.25" customHeight="1">
      <c r="A2305" s="2" t="s">
        <v>15</v>
      </c>
      <c r="B2305" s="2">
        <v>1988</v>
      </c>
      <c r="C2305" s="2" t="s">
        <v>21</v>
      </c>
      <c r="D2305" s="3">
        <v>7.4009999999999998</v>
      </c>
      <c r="E2305" s="3">
        <v>1.157</v>
      </c>
      <c r="F2305" s="2" t="s">
        <v>92</v>
      </c>
      <c r="G2305" s="2" t="s">
        <v>92</v>
      </c>
      <c r="H2305" s="2" t="s">
        <v>92</v>
      </c>
      <c r="I2305" s="2" t="s">
        <v>92</v>
      </c>
      <c r="P2305" s="3">
        <f>E2305*(VLOOKUP(B2305,Price_data!A$1:B$190,2,FALSE))</f>
        <v>1.8431885224219999</v>
      </c>
      <c r="Q2305" s="3" t="e">
        <f>G2305*(VLOOKUP(B2305,Price_data!A$1:B$190,2,FALSE))</f>
        <v>#VALUE!</v>
      </c>
      <c r="R2305" s="3" t="e">
        <f>I2305*(VLOOKUP(B2305,Price_data!A$1:B$190,2,FALSE))</f>
        <v>#VALUE!</v>
      </c>
      <c r="S2305" s="4" t="str">
        <f>(VLOOKUP(B2305,Price_data!A$1:C$190,3,FALSE))</f>
        <v>EEZ</v>
      </c>
      <c r="T2305" s="2" t="str">
        <f>IF(C2305="Total", (VLOOKUP(B2305,Recommended_fish_intake!A$4:D$122,4,FALSE)), "NA")</f>
        <v>NA</v>
      </c>
      <c r="U2305" s="2" t="str">
        <f t="shared" si="275"/>
        <v>NA</v>
      </c>
    </row>
    <row r="2306" spans="1:21" ht="14.25" customHeight="1">
      <c r="A2306" s="2" t="s">
        <v>15</v>
      </c>
      <c r="B2306" s="2">
        <v>1988</v>
      </c>
      <c r="C2306" s="2" t="s">
        <v>29</v>
      </c>
      <c r="D2306" s="3" t="e">
        <f t="shared" ref="D2306:D2337" si="288">J2306/1000</f>
        <v>#N/A</v>
      </c>
      <c r="E2306" s="3" t="e">
        <f t="shared" ref="E2306:E2337" si="289">K2306/1000</f>
        <v>#N/A</v>
      </c>
      <c r="F2306" s="3" t="e">
        <f t="shared" ref="F2306:F2337" si="290">IF(L2306="", NA(), L2306/1000)</f>
        <v>#N/A</v>
      </c>
      <c r="G2306" s="3" t="e">
        <f t="shared" ref="G2306:G2337" si="291">IF(M2306="", NA(), M2306/1000)</f>
        <v>#N/A</v>
      </c>
      <c r="H2306" s="3">
        <f t="shared" ref="H2306:H2337" si="292">IF(N2306="", NA(), N2306/1000)</f>
        <v>25.788</v>
      </c>
      <c r="I2306" s="3">
        <f t="shared" ref="I2306:I2337" si="293">IF(O2306="", NA(), O2306/1000)</f>
        <v>103.483</v>
      </c>
      <c r="J2306" s="3" t="e">
        <v>#N/A</v>
      </c>
      <c r="K2306" s="3" t="e">
        <v>#N/A</v>
      </c>
      <c r="L2306" s="3" t="e">
        <v>#N/A</v>
      </c>
      <c r="M2306" s="3" t="e">
        <v>#N/A</v>
      </c>
      <c r="N2306" s="2">
        <f>2724+3825+19239</f>
        <v>25788</v>
      </c>
      <c r="O2306" s="2">
        <f>10973+10775+81735</f>
        <v>103483</v>
      </c>
      <c r="P2306" s="3" t="e">
        <f>E2306*(VLOOKUP(B2306,Price_data!A$1:B$190,2,FALSE))</f>
        <v>#N/A</v>
      </c>
      <c r="Q2306" s="3" t="e">
        <f>G2306*(VLOOKUP(B2306,Price_data!A$1:B$190,2,FALSE))</f>
        <v>#N/A</v>
      </c>
      <c r="R2306" s="3">
        <f>I2306*(VLOOKUP(B2306,Price_data!A$1:B$190,2,FALSE))</f>
        <v>164.85624707501799</v>
      </c>
      <c r="S2306" s="4" t="str">
        <f>(VLOOKUP(B2306,Price_data!A$1:C$190,3,FALSE))</f>
        <v>EEZ</v>
      </c>
      <c r="T2306" s="2" t="str">
        <f>IF(C2306="Total", (VLOOKUP(B2306,Recommended_fish_intake!A$4:D$122,4,FALSE)), "NA")</f>
        <v>NA</v>
      </c>
      <c r="U2306" s="2" t="str">
        <f t="shared" ref="U2306:U2369" si="294">IF(C2306="Wet fish", D2306*0.49, IF(C2306="Shellfish", D2306*0.28, "NA"))</f>
        <v>NA</v>
      </c>
    </row>
    <row r="2307" spans="1:21" ht="14.25" customHeight="1">
      <c r="A2307" s="2" t="s">
        <v>15</v>
      </c>
      <c r="B2307" s="2">
        <v>1988</v>
      </c>
      <c r="C2307" s="2" t="s">
        <v>43</v>
      </c>
      <c r="D2307" s="3" t="e">
        <f t="shared" si="288"/>
        <v>#N/A</v>
      </c>
      <c r="E2307" s="3" t="e">
        <f t="shared" si="289"/>
        <v>#N/A</v>
      </c>
      <c r="F2307" s="3" t="e">
        <f t="shared" si="290"/>
        <v>#N/A</v>
      </c>
      <c r="G2307" s="3" t="e">
        <f t="shared" si="291"/>
        <v>#N/A</v>
      </c>
      <c r="H2307" s="3">
        <f t="shared" si="292"/>
        <v>47.619</v>
      </c>
      <c r="I2307" s="3">
        <f t="shared" si="293"/>
        <v>78.171000000000006</v>
      </c>
      <c r="J2307" s="3" t="e">
        <v>#N/A</v>
      </c>
      <c r="K2307" s="3" t="e">
        <v>#N/A</v>
      </c>
      <c r="L2307" s="3" t="e">
        <v>#N/A</v>
      </c>
      <c r="M2307" s="3" t="e">
        <v>#N/A</v>
      </c>
      <c r="N2307" s="2">
        <v>47619</v>
      </c>
      <c r="O2307" s="2">
        <v>78171</v>
      </c>
      <c r="P2307" s="3" t="e">
        <f>E2307*(VLOOKUP(B2307,Price_data!A$1:B$190,2,FALSE))</f>
        <v>#N/A</v>
      </c>
      <c r="Q2307" s="3" t="e">
        <f>G2307*(VLOOKUP(B2307,Price_data!A$1:B$190,2,FALSE))</f>
        <v>#N/A</v>
      </c>
      <c r="R2307" s="3">
        <f>I2307*(VLOOKUP(B2307,Price_data!A$1:B$190,2,FALSE))</f>
        <v>124.53231632346601</v>
      </c>
      <c r="S2307" s="4" t="str">
        <f>(VLOOKUP(B2307,Price_data!A$1:C$190,3,FALSE))</f>
        <v>EEZ</v>
      </c>
      <c r="T2307" s="2" t="str">
        <f>IF(C2307="Total", (VLOOKUP(B2307,Recommended_fish_intake!A$4:D$122,4,FALSE)), "NA")</f>
        <v>NA</v>
      </c>
      <c r="U2307" s="2" t="str">
        <f t="shared" si="294"/>
        <v>NA</v>
      </c>
    </row>
    <row r="2308" spans="1:21" ht="14.25" customHeight="1">
      <c r="A2308" s="2" t="s">
        <v>18</v>
      </c>
      <c r="B2308" s="2">
        <v>1989</v>
      </c>
      <c r="C2308" s="2" t="s">
        <v>22</v>
      </c>
      <c r="D2308" s="3">
        <f t="shared" si="288"/>
        <v>29.536999999999999</v>
      </c>
      <c r="E2308" s="3">
        <f t="shared" si="289"/>
        <v>29.856000000000002</v>
      </c>
      <c r="F2308" s="3" t="e">
        <f t="shared" si="290"/>
        <v>#N/A</v>
      </c>
      <c r="G2308" s="3" t="e">
        <f t="shared" si="291"/>
        <v>#N/A</v>
      </c>
      <c r="H2308" s="3" t="e">
        <f t="shared" si="292"/>
        <v>#N/A</v>
      </c>
      <c r="I2308" s="3" t="e">
        <f t="shared" si="293"/>
        <v>#N/A</v>
      </c>
      <c r="J2308" s="2">
        <v>29537</v>
      </c>
      <c r="K2308" s="2">
        <v>29856</v>
      </c>
      <c r="P2308" s="3">
        <f>E2308*(VLOOKUP(B2308,Price_data!A$1:B$190,2,FALSE))</f>
        <v>44.130386805216006</v>
      </c>
      <c r="Q2308" s="3" t="e">
        <f>G2308*(VLOOKUP(B2308,Price_data!A$1:B$190,2,FALSE))</f>
        <v>#N/A</v>
      </c>
      <c r="R2308" s="3" t="e">
        <f>I2308*(VLOOKUP(B2308,Price_data!A$1:B$190,2,FALSE))</f>
        <v>#N/A</v>
      </c>
      <c r="S2308" s="4" t="str">
        <f>(VLOOKUP(B2308,Price_data!A$1:C$190,3,FALSE))</f>
        <v>EEZ</v>
      </c>
      <c r="T2308" s="2" t="str">
        <f>IF(C2308="Total", (VLOOKUP(B2308,Recommended_fish_intake!A$4:D$122,4,FALSE)), "NA")</f>
        <v>NA</v>
      </c>
      <c r="U2308" s="2" t="str">
        <f t="shared" si="294"/>
        <v>NA</v>
      </c>
    </row>
    <row r="2309" spans="1:21" ht="14.25" customHeight="1">
      <c r="A2309" s="2" t="s">
        <v>18</v>
      </c>
      <c r="B2309" s="2">
        <v>1989</v>
      </c>
      <c r="C2309" s="2" t="s">
        <v>23</v>
      </c>
      <c r="D2309" s="3">
        <f t="shared" si="288"/>
        <v>3.2149999999999999</v>
      </c>
      <c r="E2309" s="3">
        <f t="shared" si="289"/>
        <v>2.91</v>
      </c>
      <c r="F2309" s="3" t="e">
        <f t="shared" si="290"/>
        <v>#N/A</v>
      </c>
      <c r="G2309" s="3" t="e">
        <f t="shared" si="291"/>
        <v>#N/A</v>
      </c>
      <c r="H2309" s="3" t="e">
        <f t="shared" si="292"/>
        <v>#N/A</v>
      </c>
      <c r="I2309" s="3" t="e">
        <f t="shared" si="293"/>
        <v>#N/A</v>
      </c>
      <c r="J2309" s="2">
        <v>3215</v>
      </c>
      <c r="K2309" s="2">
        <v>2910</v>
      </c>
      <c r="P2309" s="3">
        <f>E2309*(VLOOKUP(B2309,Price_data!A$1:B$190,2,FALSE))</f>
        <v>4.3012937300100003</v>
      </c>
      <c r="Q2309" s="3" t="e">
        <f>G2309*(VLOOKUP(B2309,Price_data!A$1:B$190,2,FALSE))</f>
        <v>#N/A</v>
      </c>
      <c r="R2309" s="3" t="e">
        <f>I2309*(VLOOKUP(B2309,Price_data!A$1:B$190,2,FALSE))</f>
        <v>#N/A</v>
      </c>
      <c r="S2309" s="4" t="str">
        <f>(VLOOKUP(B2309,Price_data!A$1:C$190,3,FALSE))</f>
        <v>EEZ</v>
      </c>
      <c r="T2309" s="2" t="str">
        <f>IF(C2309="Total", (VLOOKUP(B2309,Recommended_fish_intake!A$4:D$122,4,FALSE)), "NA")</f>
        <v>NA</v>
      </c>
      <c r="U2309" s="2" t="str">
        <f t="shared" si="294"/>
        <v>NA</v>
      </c>
    </row>
    <row r="2310" spans="1:21" ht="14.25" customHeight="1">
      <c r="A2310" s="2" t="s">
        <v>18</v>
      </c>
      <c r="B2310" s="2">
        <v>1989</v>
      </c>
      <c r="C2310" s="2" t="s">
        <v>58</v>
      </c>
      <c r="D2310" s="3">
        <f t="shared" si="288"/>
        <v>3.9510000000000001</v>
      </c>
      <c r="E2310" s="3">
        <f t="shared" si="289"/>
        <v>7.806</v>
      </c>
      <c r="F2310" s="3" t="e">
        <f t="shared" si="290"/>
        <v>#N/A</v>
      </c>
      <c r="G2310" s="3" t="e">
        <f t="shared" si="291"/>
        <v>#N/A</v>
      </c>
      <c r="H2310" s="3" t="e">
        <f t="shared" si="292"/>
        <v>#N/A</v>
      </c>
      <c r="I2310" s="3" t="e">
        <f t="shared" si="293"/>
        <v>#N/A</v>
      </c>
      <c r="J2310" s="2">
        <v>3951</v>
      </c>
      <c r="K2310" s="2">
        <v>7806</v>
      </c>
      <c r="P2310" s="3">
        <f>E2310*(VLOOKUP(B2310,Price_data!A$1:B$190,2,FALSE))</f>
        <v>11.538109572666</v>
      </c>
      <c r="Q2310" s="3" t="e">
        <f>G2310*(VLOOKUP(B2310,Price_data!A$1:B$190,2,FALSE))</f>
        <v>#N/A</v>
      </c>
      <c r="R2310" s="3" t="e">
        <f>I2310*(VLOOKUP(B2310,Price_data!A$1:B$190,2,FALSE))</f>
        <v>#N/A</v>
      </c>
      <c r="S2310" s="4" t="str">
        <f>(VLOOKUP(B2310,Price_data!A$1:C$190,3,FALSE))</f>
        <v>EEZ</v>
      </c>
      <c r="T2310" s="2" t="str">
        <f>IF(C2310="Total", (VLOOKUP(B2310,Recommended_fish_intake!A$4:D$122,4,FALSE)), "NA")</f>
        <v>NA</v>
      </c>
      <c r="U2310" s="2" t="str">
        <f t="shared" si="294"/>
        <v>NA</v>
      </c>
    </row>
    <row r="2311" spans="1:21" ht="14.25" customHeight="1">
      <c r="A2311" s="2" t="s">
        <v>18</v>
      </c>
      <c r="B2311" s="2">
        <v>1989</v>
      </c>
      <c r="C2311" s="2" t="s">
        <v>25</v>
      </c>
      <c r="D2311" s="3">
        <f t="shared" si="288"/>
        <v>19.876999999999999</v>
      </c>
      <c r="E2311" s="3">
        <f t="shared" si="289"/>
        <v>16.350000000000001</v>
      </c>
      <c r="F2311" s="3" t="e">
        <f t="shared" si="290"/>
        <v>#N/A</v>
      </c>
      <c r="G2311" s="3" t="e">
        <f t="shared" si="291"/>
        <v>#N/A</v>
      </c>
      <c r="H2311" s="3" t="e">
        <f t="shared" si="292"/>
        <v>#N/A</v>
      </c>
      <c r="I2311" s="3" t="e">
        <f t="shared" si="293"/>
        <v>#N/A</v>
      </c>
      <c r="J2311" s="2">
        <v>19877</v>
      </c>
      <c r="K2311" s="2">
        <v>16350</v>
      </c>
      <c r="P2311" s="3">
        <f>E2311*(VLOOKUP(B2311,Price_data!A$1:B$190,2,FALSE))</f>
        <v>24.167062709850004</v>
      </c>
      <c r="Q2311" s="3" t="e">
        <f>G2311*(VLOOKUP(B2311,Price_data!A$1:B$190,2,FALSE))</f>
        <v>#N/A</v>
      </c>
      <c r="R2311" s="3" t="e">
        <f>I2311*(VLOOKUP(B2311,Price_data!A$1:B$190,2,FALSE))</f>
        <v>#N/A</v>
      </c>
      <c r="S2311" s="4" t="str">
        <f>(VLOOKUP(B2311,Price_data!A$1:C$190,3,FALSE))</f>
        <v>EEZ</v>
      </c>
      <c r="T2311" s="2" t="str">
        <f>IF(C2311="Total", (VLOOKUP(B2311,Recommended_fish_intake!A$4:D$122,4,FALSE)), "NA")</f>
        <v>NA</v>
      </c>
      <c r="U2311" s="2" t="str">
        <f t="shared" si="294"/>
        <v>NA</v>
      </c>
    </row>
    <row r="2312" spans="1:21" ht="14.25" customHeight="1">
      <c r="A2312" s="2" t="s">
        <v>18</v>
      </c>
      <c r="B2312" s="2">
        <v>1989</v>
      </c>
      <c r="C2312" s="2" t="s">
        <v>24</v>
      </c>
      <c r="D2312" s="3">
        <f t="shared" si="288"/>
        <v>4.1900000000000004</v>
      </c>
      <c r="E2312" s="3">
        <f t="shared" si="289"/>
        <v>2.1549999999999998</v>
      </c>
      <c r="F2312" s="3" t="e">
        <f t="shared" si="290"/>
        <v>#N/A</v>
      </c>
      <c r="G2312" s="3" t="e">
        <f t="shared" si="291"/>
        <v>#N/A</v>
      </c>
      <c r="H2312" s="3" t="e">
        <f t="shared" si="292"/>
        <v>#N/A</v>
      </c>
      <c r="I2312" s="3" t="e">
        <f t="shared" si="293"/>
        <v>#N/A</v>
      </c>
      <c r="J2312" s="2">
        <v>4190</v>
      </c>
      <c r="K2312" s="2">
        <v>2155</v>
      </c>
      <c r="P2312" s="3">
        <f>E2312*(VLOOKUP(B2312,Price_data!A$1:B$190,2,FALSE))</f>
        <v>3.1853223327049998</v>
      </c>
      <c r="Q2312" s="3" t="e">
        <f>G2312*(VLOOKUP(B2312,Price_data!A$1:B$190,2,FALSE))</f>
        <v>#N/A</v>
      </c>
      <c r="R2312" s="3" t="e">
        <f>I2312*(VLOOKUP(B2312,Price_data!A$1:B$190,2,FALSE))</f>
        <v>#N/A</v>
      </c>
      <c r="S2312" s="4" t="str">
        <f>(VLOOKUP(B2312,Price_data!A$1:C$190,3,FALSE))</f>
        <v>EEZ</v>
      </c>
      <c r="T2312" s="2" t="str">
        <f>IF(C2312="Total", (VLOOKUP(B2312,Recommended_fish_intake!A$4:D$122,4,FALSE)), "NA")</f>
        <v>NA</v>
      </c>
      <c r="U2312" s="2" t="str">
        <f t="shared" si="294"/>
        <v>NA</v>
      </c>
    </row>
    <row r="2313" spans="1:21" ht="14.25" customHeight="1">
      <c r="A2313" s="2" t="s">
        <v>18</v>
      </c>
      <c r="B2313" s="2">
        <v>1989</v>
      </c>
      <c r="C2313" s="2" t="s">
        <v>19</v>
      </c>
      <c r="D2313" s="3">
        <f t="shared" si="288"/>
        <v>1.43</v>
      </c>
      <c r="E2313" s="3">
        <f t="shared" si="289"/>
        <v>0.34599999999999997</v>
      </c>
      <c r="F2313" s="3" t="e">
        <f t="shared" si="290"/>
        <v>#N/A</v>
      </c>
      <c r="G2313" s="3" t="e">
        <f t="shared" si="291"/>
        <v>#N/A</v>
      </c>
      <c r="H2313" s="3" t="e">
        <f t="shared" si="292"/>
        <v>#N/A</v>
      </c>
      <c r="I2313" s="3" t="e">
        <f t="shared" si="293"/>
        <v>#N/A</v>
      </c>
      <c r="J2313" s="2">
        <v>1430</v>
      </c>
      <c r="K2313" s="2">
        <v>346</v>
      </c>
      <c r="P2313" s="3">
        <f>E2313*(VLOOKUP(B2313,Price_data!A$1:B$190,2,FALSE))</f>
        <v>0.51142530260599994</v>
      </c>
      <c r="Q2313" s="3" t="e">
        <f>G2313*(VLOOKUP(B2313,Price_data!A$1:B$190,2,FALSE))</f>
        <v>#N/A</v>
      </c>
      <c r="R2313" s="3" t="e">
        <f>I2313*(VLOOKUP(B2313,Price_data!A$1:B$190,2,FALSE))</f>
        <v>#N/A</v>
      </c>
      <c r="S2313" s="4" t="str">
        <f>(VLOOKUP(B2313,Price_data!A$1:C$190,3,FALSE))</f>
        <v>EEZ</v>
      </c>
      <c r="T2313" s="2" t="str">
        <f>IF(C2313="Total", (VLOOKUP(B2313,Recommended_fish_intake!A$4:D$122,4,FALSE)), "NA")</f>
        <v>NA</v>
      </c>
      <c r="U2313" s="2" t="str">
        <f t="shared" si="294"/>
        <v>NA</v>
      </c>
    </row>
    <row r="2314" spans="1:21" ht="14.25" customHeight="1">
      <c r="A2314" s="2" t="s">
        <v>18</v>
      </c>
      <c r="B2314" s="2">
        <v>1989</v>
      </c>
      <c r="C2314" s="2" t="s">
        <v>20</v>
      </c>
      <c r="D2314" s="3">
        <f t="shared" si="288"/>
        <v>7.508</v>
      </c>
      <c r="E2314" s="3">
        <f t="shared" si="289"/>
        <v>0.95</v>
      </c>
      <c r="F2314" s="3" t="e">
        <f t="shared" si="290"/>
        <v>#N/A</v>
      </c>
      <c r="G2314" s="3" t="e">
        <f t="shared" si="291"/>
        <v>#N/A</v>
      </c>
      <c r="H2314" s="3" t="e">
        <f t="shared" si="292"/>
        <v>#N/A</v>
      </c>
      <c r="I2314" s="3" t="e">
        <f t="shared" si="293"/>
        <v>#N/A</v>
      </c>
      <c r="J2314" s="2">
        <v>7508</v>
      </c>
      <c r="K2314" s="2">
        <v>950</v>
      </c>
      <c r="P2314" s="3">
        <f>E2314*(VLOOKUP(B2314,Price_data!A$1:B$190,2,FALSE))</f>
        <v>1.4042024204500001</v>
      </c>
      <c r="Q2314" s="3" t="e">
        <f>G2314*(VLOOKUP(B2314,Price_data!A$1:B$190,2,FALSE))</f>
        <v>#N/A</v>
      </c>
      <c r="R2314" s="3" t="e">
        <f>I2314*(VLOOKUP(B2314,Price_data!A$1:B$190,2,FALSE))</f>
        <v>#N/A</v>
      </c>
      <c r="S2314" s="4" t="str">
        <f>(VLOOKUP(B2314,Price_data!A$1:C$190,3,FALSE))</f>
        <v>EEZ</v>
      </c>
      <c r="T2314" s="2" t="str">
        <f>IF(C2314="Total", (VLOOKUP(B2314,Recommended_fish_intake!A$4:D$122,4,FALSE)), "NA")</f>
        <v>NA</v>
      </c>
      <c r="U2314" s="2" t="str">
        <f t="shared" si="294"/>
        <v>NA</v>
      </c>
    </row>
    <row r="2315" spans="1:21" ht="14.25" customHeight="1">
      <c r="A2315" s="2" t="s">
        <v>18</v>
      </c>
      <c r="B2315" s="2">
        <v>1989</v>
      </c>
      <c r="C2315" s="2" t="s">
        <v>37</v>
      </c>
      <c r="D2315" s="3">
        <f t="shared" si="288"/>
        <v>99.694000000000003</v>
      </c>
      <c r="E2315" s="3">
        <f t="shared" si="289"/>
        <v>102.432</v>
      </c>
      <c r="F2315" s="3" t="e">
        <f t="shared" si="290"/>
        <v>#N/A</v>
      </c>
      <c r="G2315" s="3" t="e">
        <f t="shared" si="291"/>
        <v>#N/A</v>
      </c>
      <c r="H2315" s="3" t="e">
        <f t="shared" si="292"/>
        <v>#N/A</v>
      </c>
      <c r="I2315" s="3" t="e">
        <f t="shared" si="293"/>
        <v>#N/A</v>
      </c>
      <c r="J2315" s="2">
        <v>99694</v>
      </c>
      <c r="K2315" s="2">
        <v>102432</v>
      </c>
      <c r="P2315" s="3">
        <f>E2315*(VLOOKUP(B2315,Price_data!A$1:B$190,2,FALSE))</f>
        <v>151.405539296352</v>
      </c>
      <c r="Q2315" s="3" t="e">
        <f>G2315*(VLOOKUP(B2315,Price_data!A$1:B$190,2,FALSE))</f>
        <v>#N/A</v>
      </c>
      <c r="R2315" s="3" t="e">
        <f>I2315*(VLOOKUP(B2315,Price_data!A$1:B$190,2,FALSE))</f>
        <v>#N/A</v>
      </c>
      <c r="S2315" s="4" t="str">
        <f>(VLOOKUP(B2315,Price_data!A$1:C$190,3,FALSE))</f>
        <v>EEZ</v>
      </c>
      <c r="T2315" s="2" t="str">
        <f>IF(C2315="Total", (VLOOKUP(B2315,Recommended_fish_intake!A$4:D$122,4,FALSE)), "NA")</f>
        <v>NA</v>
      </c>
      <c r="U2315" s="2">
        <f t="shared" si="294"/>
        <v>48.850059999999999</v>
      </c>
    </row>
    <row r="2316" spans="1:21" ht="14.25" customHeight="1">
      <c r="A2316" s="2" t="s">
        <v>18</v>
      </c>
      <c r="B2316" s="2">
        <v>1989</v>
      </c>
      <c r="C2316" s="2" t="s">
        <v>36</v>
      </c>
      <c r="D2316" s="3">
        <f t="shared" si="288"/>
        <v>7.0380000000000003</v>
      </c>
      <c r="E2316" s="3">
        <f t="shared" si="289"/>
        <v>7.4169999999999998</v>
      </c>
      <c r="F2316" s="3" t="e">
        <f t="shared" si="290"/>
        <v>#N/A</v>
      </c>
      <c r="G2316" s="3" t="e">
        <f t="shared" si="291"/>
        <v>#N/A</v>
      </c>
      <c r="H2316" s="3" t="e">
        <f t="shared" si="292"/>
        <v>#N/A</v>
      </c>
      <c r="I2316" s="3" t="e">
        <f t="shared" si="293"/>
        <v>#N/A</v>
      </c>
      <c r="J2316" s="2">
        <v>7038</v>
      </c>
      <c r="K2316" s="2">
        <v>7417</v>
      </c>
      <c r="P2316" s="3">
        <f>E2316*(VLOOKUP(B2316,Price_data!A$1:B$190,2,FALSE))</f>
        <v>10.963125634187001</v>
      </c>
      <c r="Q2316" s="3" t="e">
        <f>G2316*(VLOOKUP(B2316,Price_data!A$1:B$190,2,FALSE))</f>
        <v>#N/A</v>
      </c>
      <c r="R2316" s="3" t="e">
        <f>I2316*(VLOOKUP(B2316,Price_data!A$1:B$190,2,FALSE))</f>
        <v>#N/A</v>
      </c>
      <c r="S2316" s="4" t="str">
        <f>(VLOOKUP(B2316,Price_data!A$1:C$190,3,FALSE))</f>
        <v>EEZ</v>
      </c>
      <c r="T2316" s="2" t="str">
        <f>IF(C2316="Total", (VLOOKUP(B2316,Recommended_fish_intake!A$4:D$122,4,FALSE)), "NA")</f>
        <v>NA</v>
      </c>
      <c r="U2316" s="2" t="str">
        <f t="shared" si="294"/>
        <v>NA</v>
      </c>
    </row>
    <row r="2317" spans="1:21" ht="14.25" customHeight="1">
      <c r="A2317" s="2" t="s">
        <v>18</v>
      </c>
      <c r="B2317" s="2">
        <v>1989</v>
      </c>
      <c r="C2317" s="2" t="s">
        <v>34</v>
      </c>
      <c r="D2317" s="3">
        <f t="shared" si="288"/>
        <v>0.58699999999999997</v>
      </c>
      <c r="E2317" s="3">
        <f t="shared" si="289"/>
        <v>4.569</v>
      </c>
      <c r="F2317" s="3" t="e">
        <f t="shared" si="290"/>
        <v>#N/A</v>
      </c>
      <c r="G2317" s="3" t="e">
        <f t="shared" si="291"/>
        <v>#N/A</v>
      </c>
      <c r="H2317" s="3" t="e">
        <f t="shared" si="292"/>
        <v>#N/A</v>
      </c>
      <c r="I2317" s="3" t="e">
        <f t="shared" si="293"/>
        <v>#N/A</v>
      </c>
      <c r="J2317" s="2">
        <v>587</v>
      </c>
      <c r="K2317" s="2">
        <v>4569</v>
      </c>
      <c r="P2317" s="3">
        <f>E2317*(VLOOKUP(B2317,Price_data!A$1:B$190,2,FALSE))</f>
        <v>6.7534745884590004</v>
      </c>
      <c r="Q2317" s="3" t="e">
        <f>G2317*(VLOOKUP(B2317,Price_data!A$1:B$190,2,FALSE))</f>
        <v>#N/A</v>
      </c>
      <c r="R2317" s="3" t="e">
        <f>I2317*(VLOOKUP(B2317,Price_data!A$1:B$190,2,FALSE))</f>
        <v>#N/A</v>
      </c>
      <c r="S2317" s="4" t="str">
        <f>(VLOOKUP(B2317,Price_data!A$1:C$190,3,FALSE))</f>
        <v>EEZ</v>
      </c>
      <c r="T2317" s="2" t="str">
        <f>IF(C2317="Total", (VLOOKUP(B2317,Recommended_fish_intake!A$4:D$122,4,FALSE)), "NA")</f>
        <v>NA</v>
      </c>
      <c r="U2317" s="2" t="str">
        <f t="shared" si="294"/>
        <v>NA</v>
      </c>
    </row>
    <row r="2318" spans="1:21" ht="14.25" customHeight="1">
      <c r="A2318" s="2" t="s">
        <v>18</v>
      </c>
      <c r="B2318" s="2">
        <v>1989</v>
      </c>
      <c r="C2318" s="2" t="s">
        <v>35</v>
      </c>
      <c r="D2318" s="3">
        <f t="shared" si="288"/>
        <v>3.371</v>
      </c>
      <c r="E2318" s="3">
        <f t="shared" si="289"/>
        <v>4.9089999999999998</v>
      </c>
      <c r="F2318" s="3" t="e">
        <f t="shared" si="290"/>
        <v>#N/A</v>
      </c>
      <c r="G2318" s="3" t="e">
        <f t="shared" si="291"/>
        <v>#N/A</v>
      </c>
      <c r="H2318" s="3" t="e">
        <f t="shared" si="292"/>
        <v>#N/A</v>
      </c>
      <c r="I2318" s="3" t="e">
        <f t="shared" si="293"/>
        <v>#N/A</v>
      </c>
      <c r="J2318" s="2">
        <v>3371</v>
      </c>
      <c r="K2318" s="2">
        <v>4909</v>
      </c>
      <c r="P2318" s="3">
        <f>E2318*(VLOOKUP(B2318,Price_data!A$1:B$190,2,FALSE))</f>
        <v>7.2560312441989998</v>
      </c>
      <c r="Q2318" s="3" t="e">
        <f>G2318*(VLOOKUP(B2318,Price_data!A$1:B$190,2,FALSE))</f>
        <v>#N/A</v>
      </c>
      <c r="R2318" s="3" t="e">
        <f>I2318*(VLOOKUP(B2318,Price_data!A$1:B$190,2,FALSE))</f>
        <v>#N/A</v>
      </c>
      <c r="S2318" s="4" t="str">
        <f>(VLOOKUP(B2318,Price_data!A$1:C$190,3,FALSE))</f>
        <v>EEZ</v>
      </c>
      <c r="T2318" s="2" t="str">
        <f>IF(C2318="Total", (VLOOKUP(B2318,Recommended_fish_intake!A$4:D$122,4,FALSE)), "NA")</f>
        <v>NA</v>
      </c>
      <c r="U2318" s="2" t="str">
        <f t="shared" si="294"/>
        <v>NA</v>
      </c>
    </row>
    <row r="2319" spans="1:21" ht="14.25" customHeight="1">
      <c r="A2319" s="2" t="s">
        <v>18</v>
      </c>
      <c r="B2319" s="2">
        <v>1989</v>
      </c>
      <c r="C2319" s="2" t="s">
        <v>52</v>
      </c>
      <c r="D2319" s="3">
        <f t="shared" si="288"/>
        <v>3.5779999999999998</v>
      </c>
      <c r="E2319" s="3">
        <f t="shared" si="289"/>
        <v>4.8570000000000002</v>
      </c>
      <c r="F2319" s="3" t="e">
        <f t="shared" si="290"/>
        <v>#N/A</v>
      </c>
      <c r="G2319" s="3" t="e">
        <f t="shared" si="291"/>
        <v>#N/A</v>
      </c>
      <c r="H2319" s="3" t="e">
        <f t="shared" si="292"/>
        <v>#N/A</v>
      </c>
      <c r="I2319" s="3" t="e">
        <f t="shared" si="293"/>
        <v>#N/A</v>
      </c>
      <c r="J2319" s="2">
        <v>3578</v>
      </c>
      <c r="K2319" s="2">
        <v>4857</v>
      </c>
      <c r="P2319" s="3">
        <f>E2319*(VLOOKUP(B2319,Price_data!A$1:B$190,2,FALSE))</f>
        <v>7.1791696380270009</v>
      </c>
      <c r="Q2319" s="3" t="e">
        <f>G2319*(VLOOKUP(B2319,Price_data!A$1:B$190,2,FALSE))</f>
        <v>#N/A</v>
      </c>
      <c r="R2319" s="3" t="e">
        <f>I2319*(VLOOKUP(B2319,Price_data!A$1:B$190,2,FALSE))</f>
        <v>#N/A</v>
      </c>
      <c r="S2319" s="4" t="str">
        <f>(VLOOKUP(B2319,Price_data!A$1:C$190,3,FALSE))</f>
        <v>EEZ</v>
      </c>
      <c r="T2319" s="2" t="str">
        <f>IF(C2319="Total", (VLOOKUP(B2319,Recommended_fish_intake!A$4:D$122,4,FALSE)), "NA")</f>
        <v>NA</v>
      </c>
      <c r="U2319" s="2" t="str">
        <f t="shared" si="294"/>
        <v>NA</v>
      </c>
    </row>
    <row r="2320" spans="1:21" ht="14.25" customHeight="1">
      <c r="A2320" s="2" t="s">
        <v>18</v>
      </c>
      <c r="B2320" s="2">
        <v>1989</v>
      </c>
      <c r="C2320" s="2" t="s">
        <v>30</v>
      </c>
      <c r="D2320" s="3">
        <f t="shared" si="288"/>
        <v>1.214</v>
      </c>
      <c r="E2320" s="3">
        <f t="shared" si="289"/>
        <v>1.879</v>
      </c>
      <c r="F2320" s="3" t="e">
        <f t="shared" si="290"/>
        <v>#N/A</v>
      </c>
      <c r="G2320" s="3" t="e">
        <f t="shared" si="291"/>
        <v>#N/A</v>
      </c>
      <c r="H2320" s="3" t="e">
        <f t="shared" si="292"/>
        <v>#N/A</v>
      </c>
      <c r="I2320" s="3" t="e">
        <f t="shared" si="293"/>
        <v>#N/A</v>
      </c>
      <c r="J2320" s="2">
        <v>1214</v>
      </c>
      <c r="K2320" s="2">
        <v>1879</v>
      </c>
      <c r="P2320" s="3">
        <f>E2320*(VLOOKUP(B2320,Price_data!A$1:B$190,2,FALSE))</f>
        <v>2.7773645768690001</v>
      </c>
      <c r="Q2320" s="3" t="e">
        <f>G2320*(VLOOKUP(B2320,Price_data!A$1:B$190,2,FALSE))</f>
        <v>#N/A</v>
      </c>
      <c r="R2320" s="3" t="e">
        <f>I2320*(VLOOKUP(B2320,Price_data!A$1:B$190,2,FALSE))</f>
        <v>#N/A</v>
      </c>
      <c r="S2320" s="4" t="str">
        <f>(VLOOKUP(B2320,Price_data!A$1:C$190,3,FALSE))</f>
        <v>EEZ</v>
      </c>
      <c r="T2320" s="2" t="str">
        <f>IF(C2320="Total", (VLOOKUP(B2320,Recommended_fish_intake!A$4:D$122,4,FALSE)), "NA")</f>
        <v>NA</v>
      </c>
      <c r="U2320" s="2" t="str">
        <f t="shared" si="294"/>
        <v>NA</v>
      </c>
    </row>
    <row r="2321" spans="1:21" ht="14.25" customHeight="1">
      <c r="A2321" s="2" t="s">
        <v>18</v>
      </c>
      <c r="B2321" s="2">
        <v>1989</v>
      </c>
      <c r="C2321" s="2" t="s">
        <v>28</v>
      </c>
      <c r="D2321" s="3">
        <f t="shared" si="288"/>
        <v>40.659999999999997</v>
      </c>
      <c r="E2321" s="3">
        <f t="shared" si="289"/>
        <v>29.936</v>
      </c>
      <c r="F2321" s="3" t="e">
        <f t="shared" si="290"/>
        <v>#N/A</v>
      </c>
      <c r="G2321" s="3" t="e">
        <f t="shared" si="291"/>
        <v>#N/A</v>
      </c>
      <c r="H2321" s="3" t="e">
        <f t="shared" si="292"/>
        <v>#N/A</v>
      </c>
      <c r="I2321" s="3" t="e">
        <f t="shared" si="293"/>
        <v>#N/A</v>
      </c>
      <c r="J2321" s="2">
        <v>40660</v>
      </c>
      <c r="K2321" s="2">
        <v>29936</v>
      </c>
      <c r="P2321" s="3">
        <f>E2321*(VLOOKUP(B2321,Price_data!A$1:B$190,2,FALSE))</f>
        <v>44.248635430096002</v>
      </c>
      <c r="Q2321" s="3" t="e">
        <f>G2321*(VLOOKUP(B2321,Price_data!A$1:B$190,2,FALSE))</f>
        <v>#N/A</v>
      </c>
      <c r="R2321" s="3" t="e">
        <f>I2321*(VLOOKUP(B2321,Price_data!A$1:B$190,2,FALSE))</f>
        <v>#N/A</v>
      </c>
      <c r="S2321" s="4" t="str">
        <f>(VLOOKUP(B2321,Price_data!A$1:C$190,3,FALSE))</f>
        <v>EEZ</v>
      </c>
      <c r="T2321" s="2" t="str">
        <f>IF(C2321="Total", (VLOOKUP(B2321,Recommended_fish_intake!A$4:D$122,4,FALSE)), "NA")</f>
        <v>NA</v>
      </c>
      <c r="U2321" s="2">
        <f t="shared" si="294"/>
        <v>11.3848</v>
      </c>
    </row>
    <row r="2322" spans="1:21" ht="14.25" customHeight="1">
      <c r="A2322" s="2" t="s">
        <v>39</v>
      </c>
      <c r="B2322" s="2">
        <v>1989</v>
      </c>
      <c r="C2322" s="2" t="s">
        <v>22</v>
      </c>
      <c r="D2322" s="3">
        <f t="shared" si="288"/>
        <v>35.686999999999998</v>
      </c>
      <c r="E2322" s="3">
        <f t="shared" si="289"/>
        <v>36.478999999999999</v>
      </c>
      <c r="F2322" s="3" t="e">
        <f t="shared" si="290"/>
        <v>#N/A</v>
      </c>
      <c r="G2322" s="3" t="e">
        <f t="shared" si="291"/>
        <v>#N/A</v>
      </c>
      <c r="H2322" s="3" t="e">
        <f t="shared" si="292"/>
        <v>#N/A</v>
      </c>
      <c r="I2322" s="3" t="e">
        <f t="shared" si="293"/>
        <v>#N/A</v>
      </c>
      <c r="J2322" s="2">
        <v>35687</v>
      </c>
      <c r="K2322" s="2">
        <v>36479</v>
      </c>
      <c r="P2322" s="3">
        <f>E2322*(VLOOKUP(B2322,Price_data!A$1:B$190,2,FALSE))</f>
        <v>53.919894837469002</v>
      </c>
      <c r="Q2322" s="3" t="e">
        <f>G2322*(VLOOKUP(B2322,Price_data!A$1:B$190,2,FALSE))</f>
        <v>#N/A</v>
      </c>
      <c r="R2322" s="3" t="e">
        <f>I2322*(VLOOKUP(B2322,Price_data!A$1:B$190,2,FALSE))</f>
        <v>#N/A</v>
      </c>
      <c r="S2322" s="4" t="str">
        <f>(VLOOKUP(B2322,Price_data!A$1:C$190,3,FALSE))</f>
        <v>EEZ</v>
      </c>
      <c r="T2322" s="2" t="str">
        <f>IF(C2322="Total", (VLOOKUP(B2322,Recommended_fish_intake!A$4:D$122,4,FALSE)), "NA")</f>
        <v>NA</v>
      </c>
      <c r="U2322" s="2" t="str">
        <f t="shared" si="294"/>
        <v>NA</v>
      </c>
    </row>
    <row r="2323" spans="1:21" ht="14.25" customHeight="1">
      <c r="A2323" s="2" t="s">
        <v>39</v>
      </c>
      <c r="B2323" s="2">
        <v>1989</v>
      </c>
      <c r="C2323" s="2" t="s">
        <v>23</v>
      </c>
      <c r="D2323" s="3">
        <f t="shared" si="288"/>
        <v>68.602999999999994</v>
      </c>
      <c r="E2323" s="3">
        <f t="shared" si="289"/>
        <v>58.927</v>
      </c>
      <c r="F2323" s="3" t="e">
        <f t="shared" si="290"/>
        <v>#N/A</v>
      </c>
      <c r="G2323" s="3" t="e">
        <f t="shared" si="291"/>
        <v>#N/A</v>
      </c>
      <c r="H2323" s="3" t="e">
        <f t="shared" si="292"/>
        <v>#N/A</v>
      </c>
      <c r="I2323" s="3" t="e">
        <f t="shared" si="293"/>
        <v>#N/A</v>
      </c>
      <c r="J2323" s="2">
        <v>68603</v>
      </c>
      <c r="K2323" s="2">
        <v>58927</v>
      </c>
      <c r="P2323" s="3">
        <f>E2323*(VLOOKUP(B2323,Price_data!A$1:B$190,2,FALSE))</f>
        <v>87.100458978797008</v>
      </c>
      <c r="Q2323" s="3" t="e">
        <f>G2323*(VLOOKUP(B2323,Price_data!A$1:B$190,2,FALSE))</f>
        <v>#N/A</v>
      </c>
      <c r="R2323" s="3" t="e">
        <f>I2323*(VLOOKUP(B2323,Price_data!A$1:B$190,2,FALSE))</f>
        <v>#N/A</v>
      </c>
      <c r="S2323" s="4" t="str">
        <f>(VLOOKUP(B2323,Price_data!A$1:C$190,3,FALSE))</f>
        <v>EEZ</v>
      </c>
      <c r="T2323" s="2" t="str">
        <f>IF(C2323="Total", (VLOOKUP(B2323,Recommended_fish_intake!A$4:D$122,4,FALSE)), "NA")</f>
        <v>NA</v>
      </c>
      <c r="U2323" s="2" t="str">
        <f t="shared" si="294"/>
        <v>NA</v>
      </c>
    </row>
    <row r="2324" spans="1:21" ht="14.25" customHeight="1">
      <c r="A2324" s="2" t="s">
        <v>39</v>
      </c>
      <c r="B2324" s="2">
        <v>1989</v>
      </c>
      <c r="C2324" s="2" t="s">
        <v>58</v>
      </c>
      <c r="D2324" s="3">
        <f t="shared" si="288"/>
        <v>8.3840000000000003</v>
      </c>
      <c r="E2324" s="3">
        <f t="shared" si="289"/>
        <v>15.32</v>
      </c>
      <c r="F2324" s="3" t="e">
        <f t="shared" si="290"/>
        <v>#N/A</v>
      </c>
      <c r="G2324" s="3" t="e">
        <f t="shared" si="291"/>
        <v>#N/A</v>
      </c>
      <c r="H2324" s="3" t="e">
        <f t="shared" si="292"/>
        <v>#N/A</v>
      </c>
      <c r="I2324" s="3" t="e">
        <f t="shared" si="293"/>
        <v>#N/A</v>
      </c>
      <c r="J2324" s="2">
        <v>8384</v>
      </c>
      <c r="K2324" s="2">
        <v>15320</v>
      </c>
      <c r="P2324" s="3">
        <f>E2324*(VLOOKUP(B2324,Price_data!A$1:B$190,2,FALSE))</f>
        <v>22.644611664520003</v>
      </c>
      <c r="Q2324" s="3" t="e">
        <f>G2324*(VLOOKUP(B2324,Price_data!A$1:B$190,2,FALSE))</f>
        <v>#N/A</v>
      </c>
      <c r="R2324" s="3" t="e">
        <f>I2324*(VLOOKUP(B2324,Price_data!A$1:B$190,2,FALSE))</f>
        <v>#N/A</v>
      </c>
      <c r="S2324" s="4" t="str">
        <f>(VLOOKUP(B2324,Price_data!A$1:C$190,3,FALSE))</f>
        <v>EEZ</v>
      </c>
      <c r="T2324" s="2" t="str">
        <f>IF(C2324="Total", (VLOOKUP(B2324,Recommended_fish_intake!A$4:D$122,4,FALSE)), "NA")</f>
        <v>NA</v>
      </c>
      <c r="U2324" s="2" t="str">
        <f t="shared" si="294"/>
        <v>NA</v>
      </c>
    </row>
    <row r="2325" spans="1:21" ht="14.25" customHeight="1">
      <c r="A2325" s="2" t="s">
        <v>39</v>
      </c>
      <c r="B2325" s="2">
        <v>1989</v>
      </c>
      <c r="C2325" s="2" t="s">
        <v>25</v>
      </c>
      <c r="D2325" s="3">
        <f t="shared" si="288"/>
        <v>6.0919999999999996</v>
      </c>
      <c r="E2325" s="3">
        <f t="shared" si="289"/>
        <v>3.9319999999999999</v>
      </c>
      <c r="F2325" s="3" t="e">
        <f t="shared" si="290"/>
        <v>#N/A</v>
      </c>
      <c r="G2325" s="3" t="e">
        <f t="shared" si="291"/>
        <v>#N/A</v>
      </c>
      <c r="H2325" s="3" t="e">
        <f t="shared" si="292"/>
        <v>#N/A</v>
      </c>
      <c r="I2325" s="3" t="e">
        <f t="shared" si="293"/>
        <v>#N/A</v>
      </c>
      <c r="J2325" s="2">
        <v>6092</v>
      </c>
      <c r="K2325" s="2">
        <v>3932</v>
      </c>
      <c r="P2325" s="3">
        <f>E2325*(VLOOKUP(B2325,Price_data!A$1:B$190,2,FALSE))</f>
        <v>5.8119199128520007</v>
      </c>
      <c r="Q2325" s="3" t="e">
        <f>G2325*(VLOOKUP(B2325,Price_data!A$1:B$190,2,FALSE))</f>
        <v>#N/A</v>
      </c>
      <c r="R2325" s="3" t="e">
        <f>I2325*(VLOOKUP(B2325,Price_data!A$1:B$190,2,FALSE))</f>
        <v>#N/A</v>
      </c>
      <c r="S2325" s="4" t="str">
        <f>(VLOOKUP(B2325,Price_data!A$1:C$190,3,FALSE))</f>
        <v>EEZ</v>
      </c>
      <c r="T2325" s="2" t="str">
        <f>IF(C2325="Total", (VLOOKUP(B2325,Recommended_fish_intake!A$4:D$122,4,FALSE)), "NA")</f>
        <v>NA</v>
      </c>
      <c r="U2325" s="2" t="str">
        <f t="shared" si="294"/>
        <v>NA</v>
      </c>
    </row>
    <row r="2326" spans="1:21" ht="14.25" customHeight="1">
      <c r="A2326" s="2" t="s">
        <v>39</v>
      </c>
      <c r="B2326" s="2">
        <v>1989</v>
      </c>
      <c r="C2326" s="2" t="s">
        <v>24</v>
      </c>
      <c r="D2326" s="3">
        <f t="shared" si="288"/>
        <v>28.815999999999999</v>
      </c>
      <c r="E2326" s="3">
        <f t="shared" si="289"/>
        <v>16.475000000000001</v>
      </c>
      <c r="F2326" s="3" t="e">
        <f t="shared" si="290"/>
        <v>#N/A</v>
      </c>
      <c r="G2326" s="3" t="e">
        <f t="shared" si="291"/>
        <v>#N/A</v>
      </c>
      <c r="H2326" s="3" t="e">
        <f t="shared" si="292"/>
        <v>#N/A</v>
      </c>
      <c r="I2326" s="3" t="e">
        <f t="shared" si="293"/>
        <v>#N/A</v>
      </c>
      <c r="J2326" s="2">
        <v>28816</v>
      </c>
      <c r="K2326" s="2">
        <v>16475</v>
      </c>
      <c r="P2326" s="3">
        <f>E2326*(VLOOKUP(B2326,Price_data!A$1:B$190,2,FALSE))</f>
        <v>24.351826186225004</v>
      </c>
      <c r="Q2326" s="3" t="e">
        <f>G2326*(VLOOKUP(B2326,Price_data!A$1:B$190,2,FALSE))</f>
        <v>#N/A</v>
      </c>
      <c r="R2326" s="3" t="e">
        <f>I2326*(VLOOKUP(B2326,Price_data!A$1:B$190,2,FALSE))</f>
        <v>#N/A</v>
      </c>
      <c r="S2326" s="4" t="str">
        <f>(VLOOKUP(B2326,Price_data!A$1:C$190,3,FALSE))</f>
        <v>EEZ</v>
      </c>
      <c r="T2326" s="2" t="str">
        <f>IF(C2326="Total", (VLOOKUP(B2326,Recommended_fish_intake!A$4:D$122,4,FALSE)), "NA")</f>
        <v>NA</v>
      </c>
      <c r="U2326" s="2" t="str">
        <f t="shared" si="294"/>
        <v>NA</v>
      </c>
    </row>
    <row r="2327" spans="1:21" ht="14.25" customHeight="1">
      <c r="A2327" s="2" t="s">
        <v>39</v>
      </c>
      <c r="B2327" s="2">
        <v>1989</v>
      </c>
      <c r="C2327" s="2" t="s">
        <v>19</v>
      </c>
      <c r="D2327" s="3">
        <f t="shared" si="288"/>
        <v>94.956999999999994</v>
      </c>
      <c r="E2327" s="3">
        <f t="shared" si="289"/>
        <v>10.625999999999999</v>
      </c>
      <c r="F2327" s="3" t="e">
        <f t="shared" si="290"/>
        <v>#N/A</v>
      </c>
      <c r="G2327" s="3" t="e">
        <f t="shared" si="291"/>
        <v>#N/A</v>
      </c>
      <c r="H2327" s="3" t="e">
        <f t="shared" si="292"/>
        <v>#N/A</v>
      </c>
      <c r="I2327" s="3" t="e">
        <f t="shared" si="293"/>
        <v>#N/A</v>
      </c>
      <c r="J2327" s="2">
        <v>94957</v>
      </c>
      <c r="K2327" s="2">
        <v>10626</v>
      </c>
      <c r="P2327" s="3">
        <f>E2327*(VLOOKUP(B2327,Price_data!A$1:B$190,2,FALSE))</f>
        <v>15.706373599686</v>
      </c>
      <c r="Q2327" s="3" t="e">
        <f>G2327*(VLOOKUP(B2327,Price_data!A$1:B$190,2,FALSE))</f>
        <v>#N/A</v>
      </c>
      <c r="R2327" s="3" t="e">
        <f>I2327*(VLOOKUP(B2327,Price_data!A$1:B$190,2,FALSE))</f>
        <v>#N/A</v>
      </c>
      <c r="S2327" s="4" t="str">
        <f>(VLOOKUP(B2327,Price_data!A$1:C$190,3,FALSE))</f>
        <v>EEZ</v>
      </c>
      <c r="T2327" s="2" t="str">
        <f>IF(C2327="Total", (VLOOKUP(B2327,Recommended_fish_intake!A$4:D$122,4,FALSE)), "NA")</f>
        <v>NA</v>
      </c>
      <c r="U2327" s="2" t="str">
        <f t="shared" si="294"/>
        <v>NA</v>
      </c>
    </row>
    <row r="2328" spans="1:21" ht="14.25" customHeight="1">
      <c r="A2328" s="2" t="s">
        <v>39</v>
      </c>
      <c r="B2328" s="2">
        <v>1989</v>
      </c>
      <c r="C2328" s="2" t="s">
        <v>20</v>
      </c>
      <c r="D2328" s="3">
        <f t="shared" si="288"/>
        <v>150.20400000000001</v>
      </c>
      <c r="E2328" s="3">
        <f t="shared" si="289"/>
        <v>17.722000000000001</v>
      </c>
      <c r="F2328" s="3" t="e">
        <f t="shared" si="290"/>
        <v>#N/A</v>
      </c>
      <c r="G2328" s="3" t="e">
        <f t="shared" si="291"/>
        <v>#N/A</v>
      </c>
      <c r="H2328" s="3" t="e">
        <f t="shared" si="292"/>
        <v>#N/A</v>
      </c>
      <c r="I2328" s="3" t="e">
        <f t="shared" si="293"/>
        <v>#N/A</v>
      </c>
      <c r="J2328" s="2">
        <v>150204</v>
      </c>
      <c r="K2328" s="2">
        <v>17722</v>
      </c>
      <c r="P2328" s="3">
        <f>E2328*(VLOOKUP(B2328,Price_data!A$1:B$190,2,FALSE))</f>
        <v>26.195026626542003</v>
      </c>
      <c r="Q2328" s="3" t="e">
        <f>G2328*(VLOOKUP(B2328,Price_data!A$1:B$190,2,FALSE))</f>
        <v>#N/A</v>
      </c>
      <c r="R2328" s="3" t="e">
        <f>I2328*(VLOOKUP(B2328,Price_data!A$1:B$190,2,FALSE))</f>
        <v>#N/A</v>
      </c>
      <c r="S2328" s="4" t="str">
        <f>(VLOOKUP(B2328,Price_data!A$1:C$190,3,FALSE))</f>
        <v>EEZ</v>
      </c>
      <c r="T2328" s="2" t="str">
        <f>IF(C2328="Total", (VLOOKUP(B2328,Recommended_fish_intake!A$4:D$122,4,FALSE)), "NA")</f>
        <v>NA</v>
      </c>
      <c r="U2328" s="2" t="str">
        <f t="shared" si="294"/>
        <v>NA</v>
      </c>
    </row>
    <row r="2329" spans="1:21" ht="14.25" customHeight="1">
      <c r="A2329" s="2" t="s">
        <v>39</v>
      </c>
      <c r="B2329" s="2">
        <v>1989</v>
      </c>
      <c r="C2329" s="2" t="s">
        <v>37</v>
      </c>
      <c r="D2329" s="3">
        <f t="shared" si="288"/>
        <v>465.61399999999998</v>
      </c>
      <c r="E2329" s="3">
        <f t="shared" si="289"/>
        <v>187.63300000000001</v>
      </c>
      <c r="F2329" s="3" t="e">
        <f t="shared" si="290"/>
        <v>#N/A</v>
      </c>
      <c r="G2329" s="3" t="e">
        <f t="shared" si="291"/>
        <v>#N/A</v>
      </c>
      <c r="H2329" s="3" t="e">
        <f t="shared" si="292"/>
        <v>#N/A</v>
      </c>
      <c r="I2329" s="3" t="e">
        <f t="shared" si="293"/>
        <v>#N/A</v>
      </c>
      <c r="J2329" s="2">
        <v>465614</v>
      </c>
      <c r="K2329" s="2">
        <v>187633</v>
      </c>
      <c r="P2329" s="3">
        <f>E2329*(VLOOKUP(B2329,Price_data!A$1:B$190,2,FALSE))</f>
        <v>277.34180290136305</v>
      </c>
      <c r="Q2329" s="3" t="e">
        <f>G2329*(VLOOKUP(B2329,Price_data!A$1:B$190,2,FALSE))</f>
        <v>#N/A</v>
      </c>
      <c r="R2329" s="3" t="e">
        <f>I2329*(VLOOKUP(B2329,Price_data!A$1:B$190,2,FALSE))</f>
        <v>#N/A</v>
      </c>
      <c r="S2329" s="4" t="str">
        <f>(VLOOKUP(B2329,Price_data!A$1:C$190,3,FALSE))</f>
        <v>EEZ</v>
      </c>
      <c r="T2329" s="2" t="str">
        <f>IF(C2329="Total", (VLOOKUP(B2329,Recommended_fish_intake!A$4:D$122,4,FALSE)), "NA")</f>
        <v>NA</v>
      </c>
      <c r="U2329" s="2">
        <f t="shared" si="294"/>
        <v>228.15085999999999</v>
      </c>
    </row>
    <row r="2330" spans="1:21" ht="14.25" customHeight="1">
      <c r="A2330" s="2" t="s">
        <v>39</v>
      </c>
      <c r="B2330" s="2">
        <v>1989</v>
      </c>
      <c r="C2330" s="2" t="s">
        <v>36</v>
      </c>
      <c r="D2330" s="3">
        <f t="shared" si="288"/>
        <v>7.4320000000000004</v>
      </c>
      <c r="E2330" s="3">
        <f t="shared" si="289"/>
        <v>7.0860000000000003</v>
      </c>
      <c r="F2330" s="3" t="e">
        <f t="shared" si="290"/>
        <v>#N/A</v>
      </c>
      <c r="G2330" s="3" t="e">
        <f t="shared" si="291"/>
        <v>#N/A</v>
      </c>
      <c r="H2330" s="3" t="e">
        <f t="shared" si="292"/>
        <v>#N/A</v>
      </c>
      <c r="I2330" s="3" t="e">
        <f t="shared" si="293"/>
        <v>#N/A</v>
      </c>
      <c r="J2330" s="2">
        <v>7432</v>
      </c>
      <c r="K2330" s="2">
        <v>7086</v>
      </c>
      <c r="P2330" s="3">
        <f>E2330*(VLOOKUP(B2330,Price_data!A$1:B$190,2,FALSE))</f>
        <v>10.473871948746002</v>
      </c>
      <c r="Q2330" s="3" t="e">
        <f>G2330*(VLOOKUP(B2330,Price_data!A$1:B$190,2,FALSE))</f>
        <v>#N/A</v>
      </c>
      <c r="R2330" s="3" t="e">
        <f>I2330*(VLOOKUP(B2330,Price_data!A$1:B$190,2,FALSE))</f>
        <v>#N/A</v>
      </c>
      <c r="S2330" s="4" t="str">
        <f>(VLOOKUP(B2330,Price_data!A$1:C$190,3,FALSE))</f>
        <v>EEZ</v>
      </c>
      <c r="T2330" s="2" t="str">
        <f>IF(C2330="Total", (VLOOKUP(B2330,Recommended_fish_intake!A$4:D$122,4,FALSE)), "NA")</f>
        <v>NA</v>
      </c>
      <c r="U2330" s="2" t="str">
        <f t="shared" si="294"/>
        <v>NA</v>
      </c>
    </row>
    <row r="2331" spans="1:21" ht="14.25" customHeight="1">
      <c r="A2331" s="2" t="s">
        <v>39</v>
      </c>
      <c r="B2331" s="2">
        <v>1989</v>
      </c>
      <c r="C2331" s="2" t="s">
        <v>34</v>
      </c>
      <c r="D2331" s="3">
        <f t="shared" si="288"/>
        <v>0.76500000000000001</v>
      </c>
      <c r="E2331" s="3">
        <f t="shared" si="289"/>
        <v>6.79</v>
      </c>
      <c r="F2331" s="3" t="e">
        <f t="shared" si="290"/>
        <v>#N/A</v>
      </c>
      <c r="G2331" s="3" t="e">
        <f t="shared" si="291"/>
        <v>#N/A</v>
      </c>
      <c r="H2331" s="3" t="e">
        <f t="shared" si="292"/>
        <v>#N/A</v>
      </c>
      <c r="I2331" s="3" t="e">
        <f t="shared" si="293"/>
        <v>#N/A</v>
      </c>
      <c r="J2331" s="2">
        <v>765</v>
      </c>
      <c r="K2331" s="2">
        <v>6790</v>
      </c>
      <c r="P2331" s="3">
        <f>E2331*(VLOOKUP(B2331,Price_data!A$1:B$190,2,FALSE))</f>
        <v>10.036352036690001</v>
      </c>
      <c r="Q2331" s="3" t="e">
        <f>G2331*(VLOOKUP(B2331,Price_data!A$1:B$190,2,FALSE))</f>
        <v>#N/A</v>
      </c>
      <c r="R2331" s="3" t="e">
        <f>I2331*(VLOOKUP(B2331,Price_data!A$1:B$190,2,FALSE))</f>
        <v>#N/A</v>
      </c>
      <c r="S2331" s="4" t="str">
        <f>(VLOOKUP(B2331,Price_data!A$1:C$190,3,FALSE))</f>
        <v>EEZ</v>
      </c>
      <c r="T2331" s="2" t="str">
        <f>IF(C2331="Total", (VLOOKUP(B2331,Recommended_fish_intake!A$4:D$122,4,FALSE)), "NA")</f>
        <v>NA</v>
      </c>
      <c r="U2331" s="2" t="str">
        <f t="shared" si="294"/>
        <v>NA</v>
      </c>
    </row>
    <row r="2332" spans="1:21" ht="14.25" customHeight="1">
      <c r="A2332" s="2" t="s">
        <v>39</v>
      </c>
      <c r="B2332" s="2">
        <v>1989</v>
      </c>
      <c r="C2332" s="2" t="s">
        <v>35</v>
      </c>
      <c r="D2332" s="3">
        <f t="shared" si="288"/>
        <v>18.065000000000001</v>
      </c>
      <c r="E2332" s="3">
        <f t="shared" si="289"/>
        <v>30.899000000000001</v>
      </c>
      <c r="F2332" s="3" t="e">
        <f t="shared" si="290"/>
        <v>#N/A</v>
      </c>
      <c r="G2332" s="3" t="e">
        <f t="shared" si="291"/>
        <v>#N/A</v>
      </c>
      <c r="H2332" s="3" t="e">
        <f t="shared" si="292"/>
        <v>#N/A</v>
      </c>
      <c r="I2332" s="3" t="e">
        <f t="shared" si="293"/>
        <v>#N/A</v>
      </c>
      <c r="J2332" s="2">
        <v>18065</v>
      </c>
      <c r="K2332" s="2">
        <v>30899</v>
      </c>
      <c r="P2332" s="3">
        <f>E2332*(VLOOKUP(B2332,Price_data!A$1:B$190,2,FALSE))</f>
        <v>45.672053252089007</v>
      </c>
      <c r="Q2332" s="3" t="e">
        <f>G2332*(VLOOKUP(B2332,Price_data!A$1:B$190,2,FALSE))</f>
        <v>#N/A</v>
      </c>
      <c r="R2332" s="3" t="e">
        <f>I2332*(VLOOKUP(B2332,Price_data!A$1:B$190,2,FALSE))</f>
        <v>#N/A</v>
      </c>
      <c r="S2332" s="4" t="str">
        <f>(VLOOKUP(B2332,Price_data!A$1:C$190,3,FALSE))</f>
        <v>EEZ</v>
      </c>
      <c r="T2332" s="2" t="str">
        <f>IF(C2332="Total", (VLOOKUP(B2332,Recommended_fish_intake!A$4:D$122,4,FALSE)), "NA")</f>
        <v>NA</v>
      </c>
      <c r="U2332" s="2" t="str">
        <f t="shared" si="294"/>
        <v>NA</v>
      </c>
    </row>
    <row r="2333" spans="1:21" ht="14.25" customHeight="1">
      <c r="A2333" s="2" t="s">
        <v>39</v>
      </c>
      <c r="B2333" s="2">
        <v>1989</v>
      </c>
      <c r="C2333" s="2" t="s">
        <v>52</v>
      </c>
      <c r="D2333" s="3">
        <f t="shared" si="288"/>
        <v>4.6740000000000004</v>
      </c>
      <c r="E2333" s="3">
        <f t="shared" si="289"/>
        <v>7.7279999999999998</v>
      </c>
      <c r="F2333" s="3" t="e">
        <f t="shared" si="290"/>
        <v>#N/A</v>
      </c>
      <c r="G2333" s="3" t="e">
        <f t="shared" si="291"/>
        <v>#N/A</v>
      </c>
      <c r="H2333" s="3" t="e">
        <f t="shared" si="292"/>
        <v>#N/A</v>
      </c>
      <c r="I2333" s="3" t="e">
        <f t="shared" si="293"/>
        <v>#N/A</v>
      </c>
      <c r="J2333" s="2">
        <v>4674</v>
      </c>
      <c r="K2333" s="2">
        <v>7728</v>
      </c>
      <c r="P2333" s="3">
        <f>E2333*(VLOOKUP(B2333,Price_data!A$1:B$190,2,FALSE))</f>
        <v>11.422817163408</v>
      </c>
      <c r="Q2333" s="3" t="e">
        <f>G2333*(VLOOKUP(B2333,Price_data!A$1:B$190,2,FALSE))</f>
        <v>#N/A</v>
      </c>
      <c r="R2333" s="3" t="e">
        <f>I2333*(VLOOKUP(B2333,Price_data!A$1:B$190,2,FALSE))</f>
        <v>#N/A</v>
      </c>
      <c r="S2333" s="4" t="str">
        <f>(VLOOKUP(B2333,Price_data!A$1:C$190,3,FALSE))</f>
        <v>EEZ</v>
      </c>
      <c r="T2333" s="2" t="str">
        <f>IF(C2333="Total", (VLOOKUP(B2333,Recommended_fish_intake!A$4:D$122,4,FALSE)), "NA")</f>
        <v>NA</v>
      </c>
      <c r="U2333" s="2" t="str">
        <f t="shared" si="294"/>
        <v>NA</v>
      </c>
    </row>
    <row r="2334" spans="1:21" ht="14.25" customHeight="1">
      <c r="A2334" s="2" t="s">
        <v>39</v>
      </c>
      <c r="B2334" s="2">
        <v>1989</v>
      </c>
      <c r="C2334" s="2" t="s">
        <v>30</v>
      </c>
      <c r="D2334" s="3">
        <f t="shared" si="288"/>
        <v>0.61</v>
      </c>
      <c r="E2334" s="3">
        <f t="shared" si="289"/>
        <v>0.753</v>
      </c>
      <c r="F2334" s="3" t="e">
        <f t="shared" si="290"/>
        <v>#N/A</v>
      </c>
      <c r="G2334" s="3" t="e">
        <f t="shared" si="291"/>
        <v>#N/A</v>
      </c>
      <c r="H2334" s="3" t="e">
        <f t="shared" si="292"/>
        <v>#N/A</v>
      </c>
      <c r="I2334" s="3" t="e">
        <f t="shared" si="293"/>
        <v>#N/A</v>
      </c>
      <c r="J2334" s="2">
        <v>610</v>
      </c>
      <c r="K2334" s="2">
        <v>753</v>
      </c>
      <c r="P2334" s="3">
        <f>E2334*(VLOOKUP(B2334,Price_data!A$1:B$190,2,FALSE))</f>
        <v>1.1130151816830001</v>
      </c>
      <c r="Q2334" s="3" t="e">
        <f>G2334*(VLOOKUP(B2334,Price_data!A$1:B$190,2,FALSE))</f>
        <v>#N/A</v>
      </c>
      <c r="R2334" s="3" t="e">
        <f>I2334*(VLOOKUP(B2334,Price_data!A$1:B$190,2,FALSE))</f>
        <v>#N/A</v>
      </c>
      <c r="S2334" s="4" t="str">
        <f>(VLOOKUP(B2334,Price_data!A$1:C$190,3,FALSE))</f>
        <v>EEZ</v>
      </c>
      <c r="T2334" s="2" t="str">
        <f>IF(C2334="Total", (VLOOKUP(B2334,Recommended_fish_intake!A$4:D$122,4,FALSE)), "NA")</f>
        <v>NA</v>
      </c>
      <c r="U2334" s="2" t="str">
        <f t="shared" si="294"/>
        <v>NA</v>
      </c>
    </row>
    <row r="2335" spans="1:21" ht="14.25" customHeight="1">
      <c r="A2335" s="2" t="s">
        <v>39</v>
      </c>
      <c r="B2335" s="2">
        <v>1989</v>
      </c>
      <c r="C2335" s="2" t="s">
        <v>28</v>
      </c>
      <c r="D2335" s="3">
        <f t="shared" si="288"/>
        <v>45.034999999999997</v>
      </c>
      <c r="E2335" s="3">
        <f t="shared" si="289"/>
        <v>59.241</v>
      </c>
      <c r="F2335" s="3" t="e">
        <f t="shared" si="290"/>
        <v>#N/A</v>
      </c>
      <c r="G2335" s="3" t="e">
        <f t="shared" si="291"/>
        <v>#N/A</v>
      </c>
      <c r="H2335" s="3" t="e">
        <f t="shared" si="292"/>
        <v>#N/A</v>
      </c>
      <c r="I2335" s="3" t="e">
        <f t="shared" si="293"/>
        <v>#N/A</v>
      </c>
      <c r="J2335" s="2">
        <v>45035</v>
      </c>
      <c r="K2335" s="2">
        <v>59241</v>
      </c>
      <c r="P2335" s="3">
        <f>E2335*(VLOOKUP(B2335,Price_data!A$1:B$190,2,FALSE))</f>
        <v>87.564584831451</v>
      </c>
      <c r="Q2335" s="3" t="e">
        <f>G2335*(VLOOKUP(B2335,Price_data!A$1:B$190,2,FALSE))</f>
        <v>#N/A</v>
      </c>
      <c r="R2335" s="3" t="e">
        <f>I2335*(VLOOKUP(B2335,Price_data!A$1:B$190,2,FALSE))</f>
        <v>#N/A</v>
      </c>
      <c r="S2335" s="4" t="str">
        <f>(VLOOKUP(B2335,Price_data!A$1:C$190,3,FALSE))</f>
        <v>EEZ</v>
      </c>
      <c r="T2335" s="2" t="str">
        <f>IF(C2335="Total", (VLOOKUP(B2335,Recommended_fish_intake!A$4:D$122,4,FALSE)), "NA")</f>
        <v>NA</v>
      </c>
      <c r="U2335" s="2">
        <f t="shared" si="294"/>
        <v>12.6098</v>
      </c>
    </row>
    <row r="2336" spans="1:21" ht="14.25" customHeight="1">
      <c r="A2336" s="2" t="s">
        <v>40</v>
      </c>
      <c r="B2336" s="2">
        <v>1989</v>
      </c>
      <c r="C2336" s="2" t="s">
        <v>22</v>
      </c>
      <c r="D2336" s="3">
        <f t="shared" si="288"/>
        <v>3.0209999999999999</v>
      </c>
      <c r="E2336" s="3">
        <f t="shared" si="289"/>
        <v>3.306</v>
      </c>
      <c r="F2336" s="3" t="e">
        <f t="shared" si="290"/>
        <v>#N/A</v>
      </c>
      <c r="G2336" s="3" t="e">
        <f t="shared" si="291"/>
        <v>#N/A</v>
      </c>
      <c r="H2336" s="3" t="e">
        <f t="shared" si="292"/>
        <v>#N/A</v>
      </c>
      <c r="I2336" s="3" t="e">
        <f t="shared" si="293"/>
        <v>#N/A</v>
      </c>
      <c r="J2336" s="2">
        <v>3021</v>
      </c>
      <c r="K2336" s="2">
        <v>3306</v>
      </c>
      <c r="P2336" s="3">
        <f>E2336*(VLOOKUP(B2336,Price_data!A$1:B$190,2,FALSE))</f>
        <v>4.8866244231660003</v>
      </c>
      <c r="Q2336" s="3" t="e">
        <f>G2336*(VLOOKUP(B2336,Price_data!A$1:B$190,2,FALSE))</f>
        <v>#N/A</v>
      </c>
      <c r="R2336" s="3" t="e">
        <f>I2336*(VLOOKUP(B2336,Price_data!A$1:B$190,2,FALSE))</f>
        <v>#N/A</v>
      </c>
      <c r="S2336" s="4" t="str">
        <f>(VLOOKUP(B2336,Price_data!A$1:C$190,3,FALSE))</f>
        <v>EEZ</v>
      </c>
      <c r="T2336" s="2" t="str">
        <f>IF(C2336="Total", (VLOOKUP(B2336,Recommended_fish_intake!A$4:D$122,4,FALSE)), "NA")</f>
        <v>NA</v>
      </c>
      <c r="U2336" s="2" t="str">
        <f t="shared" si="294"/>
        <v>NA</v>
      </c>
    </row>
    <row r="2337" spans="1:21" ht="14.25" customHeight="1">
      <c r="A2337" s="2" t="s">
        <v>40</v>
      </c>
      <c r="B2337" s="2">
        <v>1989</v>
      </c>
      <c r="C2337" s="2" t="s">
        <v>23</v>
      </c>
      <c r="D2337" s="3">
        <f t="shared" si="288"/>
        <v>0.21199999999999999</v>
      </c>
      <c r="E2337" s="3">
        <f t="shared" si="289"/>
        <v>0.21299999999999999</v>
      </c>
      <c r="F2337" s="3" t="e">
        <f t="shared" si="290"/>
        <v>#N/A</v>
      </c>
      <c r="G2337" s="3" t="e">
        <f t="shared" si="291"/>
        <v>#N/A</v>
      </c>
      <c r="H2337" s="3" t="e">
        <f t="shared" si="292"/>
        <v>#N/A</v>
      </c>
      <c r="I2337" s="3" t="e">
        <f t="shared" si="293"/>
        <v>#N/A</v>
      </c>
      <c r="J2337" s="2">
        <v>212</v>
      </c>
      <c r="K2337" s="2">
        <v>213</v>
      </c>
      <c r="P2337" s="3">
        <f>E2337*(VLOOKUP(B2337,Price_data!A$1:B$190,2,FALSE))</f>
        <v>0.31483696374300002</v>
      </c>
      <c r="Q2337" s="3" t="e">
        <f>G2337*(VLOOKUP(B2337,Price_data!A$1:B$190,2,FALSE))</f>
        <v>#N/A</v>
      </c>
      <c r="R2337" s="3" t="e">
        <f>I2337*(VLOOKUP(B2337,Price_data!A$1:B$190,2,FALSE))</f>
        <v>#N/A</v>
      </c>
      <c r="S2337" s="4" t="str">
        <f>(VLOOKUP(B2337,Price_data!A$1:C$190,3,FALSE))</f>
        <v>EEZ</v>
      </c>
      <c r="T2337" s="2" t="str">
        <f>IF(C2337="Total", (VLOOKUP(B2337,Recommended_fish_intake!A$4:D$122,4,FALSE)), "NA")</f>
        <v>NA</v>
      </c>
      <c r="U2337" s="2" t="str">
        <f t="shared" si="294"/>
        <v>NA</v>
      </c>
    </row>
    <row r="2338" spans="1:21" ht="14.25" customHeight="1">
      <c r="A2338" s="2" t="s">
        <v>40</v>
      </c>
      <c r="B2338" s="2">
        <v>1989</v>
      </c>
      <c r="C2338" s="2" t="s">
        <v>58</v>
      </c>
      <c r="D2338" s="3">
        <f t="shared" ref="D2338:D2367" si="295">J2338/1000</f>
        <v>0.48599999999999999</v>
      </c>
      <c r="E2338" s="3">
        <f t="shared" ref="E2338:E2367" si="296">K2338/1000</f>
        <v>0.59</v>
      </c>
      <c r="F2338" s="3" t="e">
        <f t="shared" ref="F2338:F2367" si="297">IF(L2338="", NA(), L2338/1000)</f>
        <v>#N/A</v>
      </c>
      <c r="G2338" s="3" t="e">
        <f t="shared" ref="G2338:G2367" si="298">IF(M2338="", NA(), M2338/1000)</f>
        <v>#N/A</v>
      </c>
      <c r="H2338" s="3" t="e">
        <f t="shared" ref="H2338:H2367" si="299">IF(N2338="", NA(), N2338/1000)</f>
        <v>#N/A</v>
      </c>
      <c r="I2338" s="3" t="e">
        <f t="shared" ref="I2338:I2367" si="300">IF(O2338="", NA(), O2338/1000)</f>
        <v>#N/A</v>
      </c>
      <c r="J2338" s="2">
        <v>486</v>
      </c>
      <c r="K2338" s="2">
        <v>590</v>
      </c>
      <c r="P2338" s="3">
        <f>E2338*(VLOOKUP(B2338,Price_data!A$1:B$190,2,FALSE))</f>
        <v>0.87208360849</v>
      </c>
      <c r="Q2338" s="3" t="e">
        <f>G2338*(VLOOKUP(B2338,Price_data!A$1:B$190,2,FALSE))</f>
        <v>#N/A</v>
      </c>
      <c r="R2338" s="3" t="e">
        <f>I2338*(VLOOKUP(B2338,Price_data!A$1:B$190,2,FALSE))</f>
        <v>#N/A</v>
      </c>
      <c r="S2338" s="4" t="str">
        <f>(VLOOKUP(B2338,Price_data!A$1:C$190,3,FALSE))</f>
        <v>EEZ</v>
      </c>
      <c r="T2338" s="2" t="str">
        <f>IF(C2338="Total", (VLOOKUP(B2338,Recommended_fish_intake!A$4:D$122,4,FALSE)), "NA")</f>
        <v>NA</v>
      </c>
      <c r="U2338" s="2" t="str">
        <f t="shared" si="294"/>
        <v>NA</v>
      </c>
    </row>
    <row r="2339" spans="1:21" ht="14.25" customHeight="1">
      <c r="A2339" s="2" t="s">
        <v>40</v>
      </c>
      <c r="B2339" s="2">
        <v>1989</v>
      </c>
      <c r="C2339" s="2" t="s">
        <v>25</v>
      </c>
      <c r="D2339" s="3">
        <f t="shared" si="295"/>
        <v>0.21299999999999999</v>
      </c>
      <c r="E2339" s="3">
        <f t="shared" si="296"/>
        <v>0.126</v>
      </c>
      <c r="F2339" s="3" t="e">
        <f t="shared" si="297"/>
        <v>#N/A</v>
      </c>
      <c r="G2339" s="3" t="e">
        <f t="shared" si="298"/>
        <v>#N/A</v>
      </c>
      <c r="H2339" s="3" t="e">
        <f t="shared" si="299"/>
        <v>#N/A</v>
      </c>
      <c r="I2339" s="3" t="e">
        <f t="shared" si="300"/>
        <v>#N/A</v>
      </c>
      <c r="J2339" s="2">
        <v>213</v>
      </c>
      <c r="K2339" s="2">
        <v>126</v>
      </c>
      <c r="P2339" s="3">
        <f>E2339*(VLOOKUP(B2339,Price_data!A$1:B$190,2,FALSE))</f>
        <v>0.18624158418600001</v>
      </c>
      <c r="Q2339" s="3" t="e">
        <f>G2339*(VLOOKUP(B2339,Price_data!A$1:B$190,2,FALSE))</f>
        <v>#N/A</v>
      </c>
      <c r="R2339" s="3" t="e">
        <f>I2339*(VLOOKUP(B2339,Price_data!A$1:B$190,2,FALSE))</f>
        <v>#N/A</v>
      </c>
      <c r="S2339" s="4" t="str">
        <f>(VLOOKUP(B2339,Price_data!A$1:C$190,3,FALSE))</f>
        <v>EEZ</v>
      </c>
      <c r="T2339" s="2" t="str">
        <f>IF(C2339="Total", (VLOOKUP(B2339,Recommended_fish_intake!A$4:D$122,4,FALSE)), "NA")</f>
        <v>NA</v>
      </c>
      <c r="U2339" s="2" t="str">
        <f t="shared" si="294"/>
        <v>NA</v>
      </c>
    </row>
    <row r="2340" spans="1:21" ht="14.25" customHeight="1">
      <c r="A2340" s="2" t="s">
        <v>40</v>
      </c>
      <c r="B2340" s="2">
        <v>1989</v>
      </c>
      <c r="C2340" s="2" t="s">
        <v>24</v>
      </c>
      <c r="D2340" s="3">
        <f t="shared" si="295"/>
        <v>5.5030000000000001</v>
      </c>
      <c r="E2340" s="3">
        <f t="shared" si="296"/>
        <v>2.2530000000000001</v>
      </c>
      <c r="F2340" s="3" t="e">
        <f t="shared" si="297"/>
        <v>#N/A</v>
      </c>
      <c r="G2340" s="3" t="e">
        <f t="shared" si="298"/>
        <v>#N/A</v>
      </c>
      <c r="H2340" s="3" t="e">
        <f t="shared" si="299"/>
        <v>#N/A</v>
      </c>
      <c r="I2340" s="3" t="e">
        <f t="shared" si="300"/>
        <v>#N/A</v>
      </c>
      <c r="J2340" s="2">
        <v>5503</v>
      </c>
      <c r="K2340" s="2">
        <v>2253</v>
      </c>
      <c r="P2340" s="3">
        <f>E2340*(VLOOKUP(B2340,Price_data!A$1:B$190,2,FALSE))</f>
        <v>3.3301768981830002</v>
      </c>
      <c r="Q2340" s="3" t="e">
        <f>G2340*(VLOOKUP(B2340,Price_data!A$1:B$190,2,FALSE))</f>
        <v>#N/A</v>
      </c>
      <c r="R2340" s="3" t="e">
        <f>I2340*(VLOOKUP(B2340,Price_data!A$1:B$190,2,FALSE))</f>
        <v>#N/A</v>
      </c>
      <c r="S2340" s="4" t="str">
        <f>(VLOOKUP(B2340,Price_data!A$1:C$190,3,FALSE))</f>
        <v>EEZ</v>
      </c>
      <c r="T2340" s="2" t="str">
        <f>IF(C2340="Total", (VLOOKUP(B2340,Recommended_fish_intake!A$4:D$122,4,FALSE)), "NA")</f>
        <v>NA</v>
      </c>
      <c r="U2340" s="2" t="str">
        <f t="shared" si="294"/>
        <v>NA</v>
      </c>
    </row>
    <row r="2341" spans="1:21" ht="14.25" customHeight="1">
      <c r="A2341" s="2" t="s">
        <v>40</v>
      </c>
      <c r="B2341" s="2">
        <v>1989</v>
      </c>
      <c r="C2341" s="2" t="s">
        <v>19</v>
      </c>
      <c r="D2341" s="3">
        <f t="shared" si="295"/>
        <v>2.9540000000000002</v>
      </c>
      <c r="E2341" s="3">
        <f t="shared" si="296"/>
        <v>0.27200000000000002</v>
      </c>
      <c r="F2341" s="3" t="e">
        <f t="shared" si="297"/>
        <v>#N/A</v>
      </c>
      <c r="G2341" s="3" t="e">
        <f t="shared" si="298"/>
        <v>#N/A</v>
      </c>
      <c r="H2341" s="3" t="e">
        <f t="shared" si="299"/>
        <v>#N/A</v>
      </c>
      <c r="I2341" s="3" t="e">
        <f t="shared" si="300"/>
        <v>#N/A</v>
      </c>
      <c r="J2341" s="2">
        <v>2954</v>
      </c>
      <c r="K2341" s="2">
        <v>272</v>
      </c>
      <c r="P2341" s="3">
        <f>E2341*(VLOOKUP(B2341,Price_data!A$1:B$190,2,FALSE))</f>
        <v>0.40204532459200004</v>
      </c>
      <c r="Q2341" s="3" t="e">
        <f>G2341*(VLOOKUP(B2341,Price_data!A$1:B$190,2,FALSE))</f>
        <v>#N/A</v>
      </c>
      <c r="R2341" s="3" t="e">
        <f>I2341*(VLOOKUP(B2341,Price_data!A$1:B$190,2,FALSE))</f>
        <v>#N/A</v>
      </c>
      <c r="S2341" s="4" t="str">
        <f>(VLOOKUP(B2341,Price_data!A$1:C$190,3,FALSE))</f>
        <v>EEZ</v>
      </c>
      <c r="T2341" s="2" t="str">
        <f>IF(C2341="Total", (VLOOKUP(B2341,Recommended_fish_intake!A$4:D$122,4,FALSE)), "NA")</f>
        <v>NA</v>
      </c>
      <c r="U2341" s="2" t="str">
        <f t="shared" si="294"/>
        <v>NA</v>
      </c>
    </row>
    <row r="2342" spans="1:21" ht="14.25" customHeight="1">
      <c r="A2342" s="2" t="s">
        <v>40</v>
      </c>
      <c r="B2342" s="2">
        <v>1989</v>
      </c>
      <c r="C2342" s="2" t="s">
        <v>20</v>
      </c>
      <c r="D2342" s="3">
        <f t="shared" si="295"/>
        <v>0.32</v>
      </c>
      <c r="E2342" s="3">
        <f t="shared" si="296"/>
        <v>4.2000000000000003E-2</v>
      </c>
      <c r="F2342" s="3" t="e">
        <f t="shared" si="297"/>
        <v>#N/A</v>
      </c>
      <c r="G2342" s="3" t="e">
        <f t="shared" si="298"/>
        <v>#N/A</v>
      </c>
      <c r="H2342" s="3" t="e">
        <f t="shared" si="299"/>
        <v>#N/A</v>
      </c>
      <c r="I2342" s="3" t="e">
        <f t="shared" si="300"/>
        <v>#N/A</v>
      </c>
      <c r="J2342" s="2">
        <v>320</v>
      </c>
      <c r="K2342" s="2">
        <v>42</v>
      </c>
      <c r="P2342" s="3">
        <f>E2342*(VLOOKUP(B2342,Price_data!A$1:B$190,2,FALSE))</f>
        <v>6.2080528062000005E-2</v>
      </c>
      <c r="Q2342" s="3" t="e">
        <f>G2342*(VLOOKUP(B2342,Price_data!A$1:B$190,2,FALSE))</f>
        <v>#N/A</v>
      </c>
      <c r="R2342" s="3" t="e">
        <f>I2342*(VLOOKUP(B2342,Price_data!A$1:B$190,2,FALSE))</f>
        <v>#N/A</v>
      </c>
      <c r="S2342" s="4" t="str">
        <f>(VLOOKUP(B2342,Price_data!A$1:C$190,3,FALSE))</f>
        <v>EEZ</v>
      </c>
      <c r="T2342" s="2" t="str">
        <f>IF(C2342="Total", (VLOOKUP(B2342,Recommended_fish_intake!A$4:D$122,4,FALSE)), "NA")</f>
        <v>NA</v>
      </c>
      <c r="U2342" s="2" t="str">
        <f t="shared" si="294"/>
        <v>NA</v>
      </c>
    </row>
    <row r="2343" spans="1:21" ht="14.25" customHeight="1">
      <c r="A2343" s="2" t="s">
        <v>40</v>
      </c>
      <c r="B2343" s="2">
        <v>1989</v>
      </c>
      <c r="C2343" s="2" t="s">
        <v>37</v>
      </c>
      <c r="D2343" s="3">
        <f t="shared" si="295"/>
        <v>15.538</v>
      </c>
      <c r="E2343" s="3">
        <f t="shared" si="296"/>
        <v>9.641</v>
      </c>
      <c r="F2343" s="3" t="e">
        <f t="shared" si="297"/>
        <v>#N/A</v>
      </c>
      <c r="G2343" s="3" t="e">
        <f t="shared" si="298"/>
        <v>#N/A</v>
      </c>
      <c r="H2343" s="3" t="e">
        <f t="shared" si="299"/>
        <v>#N/A</v>
      </c>
      <c r="I2343" s="3" t="e">
        <f t="shared" si="300"/>
        <v>#N/A</v>
      </c>
      <c r="J2343" s="2">
        <v>15538</v>
      </c>
      <c r="K2343" s="2">
        <v>9641</v>
      </c>
      <c r="P2343" s="3">
        <f>E2343*(VLOOKUP(B2343,Price_data!A$1:B$190,2,FALSE))</f>
        <v>14.250437405851001</v>
      </c>
      <c r="Q2343" s="3" t="e">
        <f>G2343*(VLOOKUP(B2343,Price_data!A$1:B$190,2,FALSE))</f>
        <v>#N/A</v>
      </c>
      <c r="R2343" s="3" t="e">
        <f>I2343*(VLOOKUP(B2343,Price_data!A$1:B$190,2,FALSE))</f>
        <v>#N/A</v>
      </c>
      <c r="S2343" s="4" t="str">
        <f>(VLOOKUP(B2343,Price_data!A$1:C$190,3,FALSE))</f>
        <v>EEZ</v>
      </c>
      <c r="T2343" s="2" t="str">
        <f>IF(C2343="Total", (VLOOKUP(B2343,Recommended_fish_intake!A$4:D$122,4,FALSE)), "NA")</f>
        <v>NA</v>
      </c>
      <c r="U2343" s="2">
        <f t="shared" si="294"/>
        <v>7.6136200000000001</v>
      </c>
    </row>
    <row r="2344" spans="1:21" ht="14.25" customHeight="1">
      <c r="A2344" s="2" t="s">
        <v>40</v>
      </c>
      <c r="B2344" s="2">
        <v>1989</v>
      </c>
      <c r="C2344" s="2" t="s">
        <v>36</v>
      </c>
      <c r="D2344" s="3">
        <f t="shared" si="295"/>
        <v>9.9000000000000005E-2</v>
      </c>
      <c r="E2344" s="3">
        <f t="shared" si="296"/>
        <v>5.5E-2</v>
      </c>
      <c r="F2344" s="3" t="e">
        <f t="shared" si="297"/>
        <v>#N/A</v>
      </c>
      <c r="G2344" s="3" t="e">
        <f t="shared" si="298"/>
        <v>#N/A</v>
      </c>
      <c r="H2344" s="3" t="e">
        <f t="shared" si="299"/>
        <v>#N/A</v>
      </c>
      <c r="I2344" s="3" t="e">
        <f t="shared" si="300"/>
        <v>#N/A</v>
      </c>
      <c r="J2344" s="2">
        <v>99</v>
      </c>
      <c r="K2344" s="2">
        <v>55</v>
      </c>
      <c r="P2344" s="3">
        <f>E2344*(VLOOKUP(B2344,Price_data!A$1:B$190,2,FALSE))</f>
        <v>8.1295929605000011E-2</v>
      </c>
      <c r="Q2344" s="3" t="e">
        <f>G2344*(VLOOKUP(B2344,Price_data!A$1:B$190,2,FALSE))</f>
        <v>#N/A</v>
      </c>
      <c r="R2344" s="3" t="e">
        <f>I2344*(VLOOKUP(B2344,Price_data!A$1:B$190,2,FALSE))</f>
        <v>#N/A</v>
      </c>
      <c r="S2344" s="4" t="str">
        <f>(VLOOKUP(B2344,Price_data!A$1:C$190,3,FALSE))</f>
        <v>EEZ</v>
      </c>
      <c r="T2344" s="2" t="str">
        <f>IF(C2344="Total", (VLOOKUP(B2344,Recommended_fish_intake!A$4:D$122,4,FALSE)), "NA")</f>
        <v>NA</v>
      </c>
      <c r="U2344" s="2" t="str">
        <f t="shared" si="294"/>
        <v>NA</v>
      </c>
    </row>
    <row r="2345" spans="1:21" ht="14.25" customHeight="1">
      <c r="A2345" s="2" t="s">
        <v>40</v>
      </c>
      <c r="B2345" s="2">
        <v>1989</v>
      </c>
      <c r="C2345" s="2" t="s">
        <v>34</v>
      </c>
      <c r="D2345" s="3">
        <f t="shared" si="295"/>
        <v>1.4E-2</v>
      </c>
      <c r="E2345" s="3">
        <f t="shared" si="296"/>
        <v>0.09</v>
      </c>
      <c r="F2345" s="3" t="e">
        <f t="shared" si="297"/>
        <v>#N/A</v>
      </c>
      <c r="G2345" s="3" t="e">
        <f t="shared" si="298"/>
        <v>#N/A</v>
      </c>
      <c r="H2345" s="3" t="e">
        <f t="shared" si="299"/>
        <v>#N/A</v>
      </c>
      <c r="I2345" s="3" t="e">
        <f t="shared" si="300"/>
        <v>#N/A</v>
      </c>
      <c r="J2345" s="2">
        <v>14</v>
      </c>
      <c r="K2345" s="2">
        <v>90</v>
      </c>
      <c r="P2345" s="3">
        <f>E2345*(VLOOKUP(B2345,Price_data!A$1:B$190,2,FALSE))</f>
        <v>0.13302970299</v>
      </c>
      <c r="Q2345" s="3" t="e">
        <f>G2345*(VLOOKUP(B2345,Price_data!A$1:B$190,2,FALSE))</f>
        <v>#N/A</v>
      </c>
      <c r="R2345" s="3" t="e">
        <f>I2345*(VLOOKUP(B2345,Price_data!A$1:B$190,2,FALSE))</f>
        <v>#N/A</v>
      </c>
      <c r="S2345" s="4" t="str">
        <f>(VLOOKUP(B2345,Price_data!A$1:C$190,3,FALSE))</f>
        <v>EEZ</v>
      </c>
      <c r="T2345" s="2" t="str">
        <f>IF(C2345="Total", (VLOOKUP(B2345,Recommended_fish_intake!A$4:D$122,4,FALSE)), "NA")</f>
        <v>NA</v>
      </c>
      <c r="U2345" s="2" t="str">
        <f t="shared" si="294"/>
        <v>NA</v>
      </c>
    </row>
    <row r="2346" spans="1:21" ht="14.25" customHeight="1">
      <c r="A2346" s="2" t="s">
        <v>40</v>
      </c>
      <c r="B2346" s="2">
        <v>1989</v>
      </c>
      <c r="C2346" s="2" t="s">
        <v>35</v>
      </c>
      <c r="D2346" s="3">
        <f t="shared" si="295"/>
        <v>5.5759999999999996</v>
      </c>
      <c r="E2346" s="3">
        <f t="shared" si="296"/>
        <v>6.3220000000000001</v>
      </c>
      <c r="F2346" s="3" t="e">
        <f t="shared" si="297"/>
        <v>#N/A</v>
      </c>
      <c r="G2346" s="3" t="e">
        <f t="shared" si="298"/>
        <v>#N/A</v>
      </c>
      <c r="H2346" s="3" t="e">
        <f t="shared" si="299"/>
        <v>#N/A</v>
      </c>
      <c r="I2346" s="3" t="e">
        <f t="shared" si="300"/>
        <v>#N/A</v>
      </c>
      <c r="J2346" s="2">
        <v>5576</v>
      </c>
      <c r="K2346" s="2">
        <v>6322</v>
      </c>
      <c r="P2346" s="3">
        <f>E2346*(VLOOKUP(B2346,Price_data!A$1:B$190,2,FALSE))</f>
        <v>9.3445975811420006</v>
      </c>
      <c r="Q2346" s="3" t="e">
        <f>G2346*(VLOOKUP(B2346,Price_data!A$1:B$190,2,FALSE))</f>
        <v>#N/A</v>
      </c>
      <c r="R2346" s="3" t="e">
        <f>I2346*(VLOOKUP(B2346,Price_data!A$1:B$190,2,FALSE))</f>
        <v>#N/A</v>
      </c>
      <c r="S2346" s="4" t="str">
        <f>(VLOOKUP(B2346,Price_data!A$1:C$190,3,FALSE))</f>
        <v>EEZ</v>
      </c>
      <c r="T2346" s="2" t="str">
        <f>IF(C2346="Total", (VLOOKUP(B2346,Recommended_fish_intake!A$4:D$122,4,FALSE)), "NA")</f>
        <v>NA</v>
      </c>
      <c r="U2346" s="2" t="str">
        <f t="shared" si="294"/>
        <v>NA</v>
      </c>
    </row>
    <row r="2347" spans="1:21" ht="14.25" customHeight="1">
      <c r="A2347" s="2" t="s">
        <v>40</v>
      </c>
      <c r="B2347" s="2">
        <v>1989</v>
      </c>
      <c r="C2347" s="2" t="s">
        <v>52</v>
      </c>
      <c r="D2347" s="3">
        <f t="shared" si="295"/>
        <v>0.32600000000000001</v>
      </c>
      <c r="E2347" s="3">
        <f t="shared" si="296"/>
        <v>0.52200000000000002</v>
      </c>
      <c r="F2347" s="3" t="e">
        <f t="shared" si="297"/>
        <v>#N/A</v>
      </c>
      <c r="G2347" s="3" t="e">
        <f t="shared" si="298"/>
        <v>#N/A</v>
      </c>
      <c r="H2347" s="3" t="e">
        <f t="shared" si="299"/>
        <v>#N/A</v>
      </c>
      <c r="I2347" s="3" t="e">
        <f t="shared" si="300"/>
        <v>#N/A</v>
      </c>
      <c r="J2347" s="2">
        <v>326</v>
      </c>
      <c r="K2347" s="2">
        <v>522</v>
      </c>
      <c r="P2347" s="3">
        <f>E2347*(VLOOKUP(B2347,Price_data!A$1:B$190,2,FALSE))</f>
        <v>0.77157227734200007</v>
      </c>
      <c r="Q2347" s="3" t="e">
        <f>G2347*(VLOOKUP(B2347,Price_data!A$1:B$190,2,FALSE))</f>
        <v>#N/A</v>
      </c>
      <c r="R2347" s="3" t="e">
        <f>I2347*(VLOOKUP(B2347,Price_data!A$1:B$190,2,FALSE))</f>
        <v>#N/A</v>
      </c>
      <c r="S2347" s="4" t="str">
        <f>(VLOOKUP(B2347,Price_data!A$1:C$190,3,FALSE))</f>
        <v>EEZ</v>
      </c>
      <c r="T2347" s="2" t="str">
        <f>IF(C2347="Total", (VLOOKUP(B2347,Recommended_fish_intake!A$4:D$122,4,FALSE)), "NA")</f>
        <v>NA</v>
      </c>
      <c r="U2347" s="2" t="str">
        <f t="shared" si="294"/>
        <v>NA</v>
      </c>
    </row>
    <row r="2348" spans="1:21" ht="14.25" customHeight="1">
      <c r="A2348" s="2" t="s">
        <v>40</v>
      </c>
      <c r="B2348" s="2">
        <v>1989</v>
      </c>
      <c r="C2348" s="2" t="s">
        <v>30</v>
      </c>
      <c r="D2348" s="3">
        <f t="shared" si="295"/>
        <v>0</v>
      </c>
      <c r="E2348" s="3">
        <f t="shared" si="296"/>
        <v>0</v>
      </c>
      <c r="F2348" s="3" t="e">
        <f t="shared" si="297"/>
        <v>#N/A</v>
      </c>
      <c r="G2348" s="3" t="e">
        <f t="shared" si="298"/>
        <v>#N/A</v>
      </c>
      <c r="H2348" s="3" t="e">
        <f t="shared" si="299"/>
        <v>#N/A</v>
      </c>
      <c r="I2348" s="3" t="e">
        <f t="shared" si="300"/>
        <v>#N/A</v>
      </c>
      <c r="J2348" s="2">
        <v>0</v>
      </c>
      <c r="K2348" s="2">
        <v>0</v>
      </c>
      <c r="P2348" s="3">
        <f>E2348*(VLOOKUP(B2348,Price_data!A$1:B$190,2,FALSE))</f>
        <v>0</v>
      </c>
      <c r="Q2348" s="3" t="e">
        <f>G2348*(VLOOKUP(B2348,Price_data!A$1:B$190,2,FALSE))</f>
        <v>#N/A</v>
      </c>
      <c r="R2348" s="3" t="e">
        <f>I2348*(VLOOKUP(B2348,Price_data!A$1:B$190,2,FALSE))</f>
        <v>#N/A</v>
      </c>
      <c r="S2348" s="4" t="str">
        <f>(VLOOKUP(B2348,Price_data!A$1:C$190,3,FALSE))</f>
        <v>EEZ</v>
      </c>
      <c r="T2348" s="2" t="str">
        <f>IF(C2348="Total", (VLOOKUP(B2348,Recommended_fish_intake!A$4:D$122,4,FALSE)), "NA")</f>
        <v>NA</v>
      </c>
      <c r="U2348" s="2" t="str">
        <f t="shared" si="294"/>
        <v>NA</v>
      </c>
    </row>
    <row r="2349" spans="1:21" ht="14.25" customHeight="1">
      <c r="A2349" s="2" t="s">
        <v>40</v>
      </c>
      <c r="B2349" s="2">
        <v>1989</v>
      </c>
      <c r="C2349" s="2" t="s">
        <v>28</v>
      </c>
      <c r="D2349" s="3">
        <f t="shared" si="295"/>
        <v>6.3360000000000003</v>
      </c>
      <c r="E2349" s="3">
        <f t="shared" si="296"/>
        <v>7.1959999999999997</v>
      </c>
      <c r="F2349" s="3" t="e">
        <f t="shared" si="297"/>
        <v>#N/A</v>
      </c>
      <c r="G2349" s="3" t="e">
        <f t="shared" si="298"/>
        <v>#N/A</v>
      </c>
      <c r="H2349" s="3" t="e">
        <f t="shared" si="299"/>
        <v>#N/A</v>
      </c>
      <c r="I2349" s="3" t="e">
        <f t="shared" si="300"/>
        <v>#N/A</v>
      </c>
      <c r="J2349" s="2">
        <v>6336</v>
      </c>
      <c r="K2349" s="2">
        <v>7196</v>
      </c>
      <c r="P2349" s="3">
        <f>E2349*(VLOOKUP(B2349,Price_data!A$1:B$190,2,FALSE))</f>
        <v>10.636463807956</v>
      </c>
      <c r="Q2349" s="3" t="e">
        <f>G2349*(VLOOKUP(B2349,Price_data!A$1:B$190,2,FALSE))</f>
        <v>#N/A</v>
      </c>
      <c r="R2349" s="3" t="e">
        <f>I2349*(VLOOKUP(B2349,Price_data!A$1:B$190,2,FALSE))</f>
        <v>#N/A</v>
      </c>
      <c r="S2349" s="4" t="str">
        <f>(VLOOKUP(B2349,Price_data!A$1:C$190,3,FALSE))</f>
        <v>EEZ</v>
      </c>
      <c r="T2349" s="2" t="str">
        <f>IF(C2349="Total", (VLOOKUP(B2349,Recommended_fish_intake!A$4:D$122,4,FALSE)), "NA")</f>
        <v>NA</v>
      </c>
      <c r="U2349" s="2">
        <f t="shared" si="294"/>
        <v>1.7740800000000003</v>
      </c>
    </row>
    <row r="2350" spans="1:21" ht="14.25" customHeight="1">
      <c r="A2350" s="2" t="s">
        <v>15</v>
      </c>
      <c r="B2350" s="2">
        <v>1989</v>
      </c>
      <c r="C2350" s="2" t="s">
        <v>22</v>
      </c>
      <c r="D2350" s="3">
        <f t="shared" si="295"/>
        <v>68.245000000000005</v>
      </c>
      <c r="E2350" s="3">
        <f t="shared" si="296"/>
        <v>69.641000000000005</v>
      </c>
      <c r="F2350" s="3" t="e">
        <f t="shared" si="297"/>
        <v>#N/A</v>
      </c>
      <c r="G2350" s="3" t="e">
        <f t="shared" si="298"/>
        <v>#N/A</v>
      </c>
      <c r="H2350" s="3">
        <f t="shared" si="299"/>
        <v>142.101</v>
      </c>
      <c r="I2350" s="3">
        <f t="shared" si="300"/>
        <v>194.577</v>
      </c>
      <c r="J2350" s="2">
        <v>68245</v>
      </c>
      <c r="K2350" s="2">
        <v>69641</v>
      </c>
      <c r="N2350" s="2">
        <f>50192+74833+16669+407</f>
        <v>142101</v>
      </c>
      <c r="O2350" s="2">
        <f>46400+135023+12499+655</f>
        <v>194577</v>
      </c>
      <c r="P2350" s="3">
        <f>E2350*(VLOOKUP(B2350,Price_data!A$1:B$190,2,FALSE))</f>
        <v>102.93690606585102</v>
      </c>
      <c r="Q2350" s="3" t="e">
        <f>G2350*(VLOOKUP(B2350,Price_data!A$1:B$190,2,FALSE))</f>
        <v>#N/A</v>
      </c>
      <c r="R2350" s="3">
        <f>I2350*(VLOOKUP(B2350,Price_data!A$1:B$190,2,FALSE))</f>
        <v>287.60578354094702</v>
      </c>
      <c r="S2350" s="4" t="str">
        <f>(VLOOKUP(B2350,Price_data!A$1:C$190,3,FALSE))</f>
        <v>EEZ</v>
      </c>
      <c r="T2350" s="2" t="str">
        <f>IF(C2350="Total", (VLOOKUP(B2350,Recommended_fish_intake!A$4:D$122,4,FALSE)), "NA")</f>
        <v>NA</v>
      </c>
      <c r="U2350" s="2" t="str">
        <f t="shared" si="294"/>
        <v>NA</v>
      </c>
    </row>
    <row r="2351" spans="1:21" ht="14.25" customHeight="1">
      <c r="A2351" s="2" t="s">
        <v>15</v>
      </c>
      <c r="B2351" s="2">
        <v>1989</v>
      </c>
      <c r="C2351" s="2" t="s">
        <v>23</v>
      </c>
      <c r="D2351" s="3">
        <f t="shared" si="295"/>
        <v>72.03</v>
      </c>
      <c r="E2351" s="3">
        <f t="shared" si="296"/>
        <v>62.05</v>
      </c>
      <c r="F2351" s="3" t="e">
        <f t="shared" si="297"/>
        <v>#N/A</v>
      </c>
      <c r="G2351" s="3" t="e">
        <f t="shared" si="298"/>
        <v>#N/A</v>
      </c>
      <c r="H2351" s="3">
        <f t="shared" si="299"/>
        <v>38.670999999999999</v>
      </c>
      <c r="I2351" s="3">
        <f t="shared" si="300"/>
        <v>49.655000000000001</v>
      </c>
      <c r="J2351" s="2">
        <v>72030</v>
      </c>
      <c r="K2351" s="2">
        <v>62050</v>
      </c>
      <c r="N2351" s="2">
        <f>21911+10329+6431</f>
        <v>38671</v>
      </c>
      <c r="O2351" s="2">
        <f>22422+21828+5405</f>
        <v>49655</v>
      </c>
      <c r="P2351" s="3">
        <f>E2351*(VLOOKUP(B2351,Price_data!A$1:B$190,2,FALSE))</f>
        <v>91.716589672550001</v>
      </c>
      <c r="Q2351" s="3" t="e">
        <f>G2351*(VLOOKUP(B2351,Price_data!A$1:B$190,2,FALSE))</f>
        <v>#N/A</v>
      </c>
      <c r="R2351" s="3">
        <f>I2351*(VLOOKUP(B2351,Price_data!A$1:B$190,2,FALSE))</f>
        <v>73.395443355205003</v>
      </c>
      <c r="S2351" s="4" t="str">
        <f>(VLOOKUP(B2351,Price_data!A$1:C$190,3,FALSE))</f>
        <v>EEZ</v>
      </c>
      <c r="T2351" s="2" t="str">
        <f>IF(C2351="Total", (VLOOKUP(B2351,Recommended_fish_intake!A$4:D$122,4,FALSE)), "NA")</f>
        <v>NA</v>
      </c>
      <c r="U2351" s="2" t="str">
        <f t="shared" si="294"/>
        <v>NA</v>
      </c>
    </row>
    <row r="2352" spans="1:21" ht="14.25" customHeight="1">
      <c r="A2352" s="2" t="s">
        <v>15</v>
      </c>
      <c r="B2352" s="2">
        <v>1989</v>
      </c>
      <c r="C2352" s="2" t="s">
        <v>58</v>
      </c>
      <c r="D2352" s="3">
        <f t="shared" si="295"/>
        <v>12.821</v>
      </c>
      <c r="E2352" s="3">
        <f t="shared" si="296"/>
        <v>23.716000000000001</v>
      </c>
      <c r="F2352" s="3" t="e">
        <f t="shared" si="297"/>
        <v>#N/A</v>
      </c>
      <c r="G2352" s="3" t="e">
        <f t="shared" si="298"/>
        <v>#N/A</v>
      </c>
      <c r="H2352" s="3" t="e">
        <f t="shared" si="299"/>
        <v>#N/A</v>
      </c>
      <c r="I2352" s="3" t="e">
        <f t="shared" si="300"/>
        <v>#N/A</v>
      </c>
      <c r="J2352" s="2">
        <v>12821</v>
      </c>
      <c r="K2352" s="2">
        <v>23716</v>
      </c>
      <c r="P2352" s="3">
        <f>E2352*(VLOOKUP(B2352,Price_data!A$1:B$190,2,FALSE))</f>
        <v>35.054804845676003</v>
      </c>
      <c r="Q2352" s="3" t="e">
        <f>G2352*(VLOOKUP(B2352,Price_data!A$1:B$190,2,FALSE))</f>
        <v>#N/A</v>
      </c>
      <c r="R2352" s="3" t="e">
        <f>I2352*(VLOOKUP(B2352,Price_data!A$1:B$190,2,FALSE))</f>
        <v>#N/A</v>
      </c>
      <c r="S2352" s="4" t="str">
        <f>(VLOOKUP(B2352,Price_data!A$1:C$190,3,FALSE))</f>
        <v>EEZ</v>
      </c>
      <c r="T2352" s="2" t="str">
        <f>IF(C2352="Total", (VLOOKUP(B2352,Recommended_fish_intake!A$4:D$122,4,FALSE)), "NA")</f>
        <v>NA</v>
      </c>
      <c r="U2352" s="2" t="str">
        <f t="shared" si="294"/>
        <v>NA</v>
      </c>
    </row>
    <row r="2353" spans="1:21" ht="14.25" customHeight="1">
      <c r="A2353" s="2" t="s">
        <v>15</v>
      </c>
      <c r="B2353" s="2">
        <v>1989</v>
      </c>
      <c r="C2353" s="2" t="s">
        <v>25</v>
      </c>
      <c r="D2353" s="3">
        <f t="shared" si="295"/>
        <v>26.181999999999999</v>
      </c>
      <c r="E2353" s="3">
        <f t="shared" si="296"/>
        <v>20.408000000000001</v>
      </c>
      <c r="F2353" s="3" t="e">
        <f t="shared" si="297"/>
        <v>#N/A</v>
      </c>
      <c r="G2353" s="3" t="e">
        <f t="shared" si="298"/>
        <v>#N/A</v>
      </c>
      <c r="H2353" s="3">
        <f t="shared" si="299"/>
        <v>15.241</v>
      </c>
      <c r="I2353" s="3">
        <f t="shared" si="300"/>
        <v>19.233000000000001</v>
      </c>
      <c r="J2353" s="2">
        <v>26182</v>
      </c>
      <c r="K2353" s="2">
        <v>20408</v>
      </c>
      <c r="N2353" s="2">
        <f>11781+2713+747</f>
        <v>15241</v>
      </c>
      <c r="O2353" s="2">
        <f>11208+6875+1150</f>
        <v>19233</v>
      </c>
      <c r="P2353" s="3">
        <f>E2353*(VLOOKUP(B2353,Price_data!A$1:B$190,2,FALSE))</f>
        <v>30.165224206888006</v>
      </c>
      <c r="Q2353" s="3" t="e">
        <f>G2353*(VLOOKUP(B2353,Price_data!A$1:B$190,2,FALSE))</f>
        <v>#N/A</v>
      </c>
      <c r="R2353" s="3">
        <f>I2353*(VLOOKUP(B2353,Price_data!A$1:B$190,2,FALSE))</f>
        <v>28.428447528963002</v>
      </c>
      <c r="S2353" s="4" t="str">
        <f>(VLOOKUP(B2353,Price_data!A$1:C$190,3,FALSE))</f>
        <v>EEZ</v>
      </c>
      <c r="T2353" s="2" t="str">
        <f>IF(C2353="Total", (VLOOKUP(B2353,Recommended_fish_intake!A$4:D$122,4,FALSE)), "NA")</f>
        <v>NA</v>
      </c>
      <c r="U2353" s="2" t="str">
        <f t="shared" si="294"/>
        <v>NA</v>
      </c>
    </row>
    <row r="2354" spans="1:21" ht="14.25" customHeight="1">
      <c r="A2354" s="2" t="s">
        <v>15</v>
      </c>
      <c r="B2354" s="2">
        <v>1989</v>
      </c>
      <c r="C2354" s="2" t="s">
        <v>24</v>
      </c>
      <c r="D2354" s="3">
        <f t="shared" si="295"/>
        <v>38.509</v>
      </c>
      <c r="E2354" s="3">
        <f t="shared" si="296"/>
        <v>20.882999999999999</v>
      </c>
      <c r="F2354" s="3" t="e">
        <f t="shared" si="297"/>
        <v>#N/A</v>
      </c>
      <c r="G2354" s="3" t="e">
        <f t="shared" si="298"/>
        <v>#N/A</v>
      </c>
      <c r="H2354" s="3" t="e">
        <f t="shared" si="299"/>
        <v>#N/A</v>
      </c>
      <c r="I2354" s="3" t="e">
        <f t="shared" si="300"/>
        <v>#N/A</v>
      </c>
      <c r="J2354" s="2">
        <v>38509</v>
      </c>
      <c r="K2354" s="2">
        <v>20883</v>
      </c>
      <c r="P2354" s="3">
        <f>E2354*(VLOOKUP(B2354,Price_data!A$1:B$190,2,FALSE))</f>
        <v>30.867325417113001</v>
      </c>
      <c r="Q2354" s="3" t="e">
        <f>G2354*(VLOOKUP(B2354,Price_data!A$1:B$190,2,FALSE))</f>
        <v>#N/A</v>
      </c>
      <c r="R2354" s="3" t="e">
        <f>I2354*(VLOOKUP(B2354,Price_data!A$1:B$190,2,FALSE))</f>
        <v>#N/A</v>
      </c>
      <c r="S2354" s="4" t="str">
        <f>(VLOOKUP(B2354,Price_data!A$1:C$190,3,FALSE))</f>
        <v>EEZ</v>
      </c>
      <c r="T2354" s="2" t="str">
        <f>IF(C2354="Total", (VLOOKUP(B2354,Recommended_fish_intake!A$4:D$122,4,FALSE)), "NA")</f>
        <v>NA</v>
      </c>
      <c r="U2354" s="2" t="str">
        <f t="shared" si="294"/>
        <v>NA</v>
      </c>
    </row>
    <row r="2355" spans="1:21" ht="14.25" customHeight="1">
      <c r="A2355" s="2" t="s">
        <v>15</v>
      </c>
      <c r="B2355" s="2">
        <v>1989</v>
      </c>
      <c r="C2355" s="2" t="s">
        <v>19</v>
      </c>
      <c r="D2355" s="3">
        <f t="shared" si="295"/>
        <v>99.340999999999994</v>
      </c>
      <c r="E2355" s="3">
        <f t="shared" si="296"/>
        <v>11.244</v>
      </c>
      <c r="F2355" s="3" t="e">
        <f t="shared" si="297"/>
        <v>#N/A</v>
      </c>
      <c r="G2355" s="3" t="e">
        <f t="shared" si="298"/>
        <v>#N/A</v>
      </c>
      <c r="H2355" s="3">
        <f t="shared" si="299"/>
        <v>13.214</v>
      </c>
      <c r="I2355" s="3">
        <f t="shared" si="300"/>
        <v>7.1230000000000002</v>
      </c>
      <c r="J2355" s="2">
        <v>99341</v>
      </c>
      <c r="K2355" s="2">
        <v>11244</v>
      </c>
      <c r="N2355" s="2">
        <f>4364+7101+452+1297</f>
        <v>13214</v>
      </c>
      <c r="O2355" s="2">
        <f>1202+3313+399+2209</f>
        <v>7123</v>
      </c>
      <c r="P2355" s="3">
        <f>E2355*(VLOOKUP(B2355,Price_data!A$1:B$190,2,FALSE))</f>
        <v>16.619844226884002</v>
      </c>
      <c r="Q2355" s="3" t="e">
        <f>G2355*(VLOOKUP(B2355,Price_data!A$1:B$190,2,FALSE))</f>
        <v>#N/A</v>
      </c>
      <c r="R2355" s="3">
        <f>I2355*(VLOOKUP(B2355,Price_data!A$1:B$190,2,FALSE))</f>
        <v>10.528561937753</v>
      </c>
      <c r="S2355" s="4" t="str">
        <f>(VLOOKUP(B2355,Price_data!A$1:C$190,3,FALSE))</f>
        <v>EEZ</v>
      </c>
      <c r="T2355" s="2" t="str">
        <f>IF(C2355="Total", (VLOOKUP(B2355,Recommended_fish_intake!A$4:D$122,4,FALSE)), "NA")</f>
        <v>NA</v>
      </c>
      <c r="U2355" s="2" t="str">
        <f t="shared" si="294"/>
        <v>NA</v>
      </c>
    </row>
    <row r="2356" spans="1:21" ht="14.25" customHeight="1">
      <c r="A2356" s="2" t="s">
        <v>15</v>
      </c>
      <c r="B2356" s="2">
        <v>1989</v>
      </c>
      <c r="C2356" s="2" t="s">
        <v>20</v>
      </c>
      <c r="D2356" s="3">
        <f t="shared" si="295"/>
        <v>158.03200000000001</v>
      </c>
      <c r="E2356" s="3">
        <f t="shared" si="296"/>
        <v>18.713999999999999</v>
      </c>
      <c r="F2356" s="3" t="e">
        <f t="shared" si="297"/>
        <v>#N/A</v>
      </c>
      <c r="G2356" s="3" t="e">
        <f t="shared" si="298"/>
        <v>#N/A</v>
      </c>
      <c r="H2356" s="3">
        <f t="shared" si="299"/>
        <v>2.3780000000000001</v>
      </c>
      <c r="I2356" s="3">
        <f t="shared" si="300"/>
        <v>3.7759999999999998</v>
      </c>
      <c r="J2356" s="2">
        <v>158032</v>
      </c>
      <c r="K2356" s="2">
        <v>18714</v>
      </c>
      <c r="N2356" s="2">
        <v>2378</v>
      </c>
      <c r="O2356" s="2">
        <v>3776</v>
      </c>
      <c r="P2356" s="3">
        <f>E2356*(VLOOKUP(B2356,Price_data!A$1:B$190,2,FALSE))</f>
        <v>27.661309575053998</v>
      </c>
      <c r="Q2356" s="3" t="e">
        <f>G2356*(VLOOKUP(B2356,Price_data!A$1:B$190,2,FALSE))</f>
        <v>#N/A</v>
      </c>
      <c r="R2356" s="3">
        <f>I2356*(VLOOKUP(B2356,Price_data!A$1:B$190,2,FALSE))</f>
        <v>5.5813350943360005</v>
      </c>
      <c r="S2356" s="4" t="str">
        <f>(VLOOKUP(B2356,Price_data!A$1:C$190,3,FALSE))</f>
        <v>EEZ</v>
      </c>
      <c r="T2356" s="2" t="str">
        <f>IF(C2356="Total", (VLOOKUP(B2356,Recommended_fish_intake!A$4:D$122,4,FALSE)), "NA")</f>
        <v>NA</v>
      </c>
      <c r="U2356" s="2" t="str">
        <f t="shared" si="294"/>
        <v>NA</v>
      </c>
    </row>
    <row r="2357" spans="1:21" ht="14.25" customHeight="1">
      <c r="A2357" s="2" t="s">
        <v>15</v>
      </c>
      <c r="B2357" s="2">
        <v>1989</v>
      </c>
      <c r="C2357" s="2" t="s">
        <v>37</v>
      </c>
      <c r="D2357" s="3">
        <f t="shared" si="295"/>
        <v>580.846</v>
      </c>
      <c r="E2357" s="3">
        <f t="shared" si="296"/>
        <v>299.70600000000002</v>
      </c>
      <c r="F2357" s="3">
        <f t="shared" si="297"/>
        <v>317.58</v>
      </c>
      <c r="G2357" s="3">
        <f t="shared" si="298"/>
        <v>281.11799999999999</v>
      </c>
      <c r="H2357" s="3">
        <f t="shared" si="299"/>
        <v>418.27100000000002</v>
      </c>
      <c r="I2357" s="3">
        <f t="shared" si="300"/>
        <v>647.04</v>
      </c>
      <c r="J2357" s="2">
        <v>580846</v>
      </c>
      <c r="K2357" s="2">
        <v>299706</v>
      </c>
      <c r="L2357" s="2">
        <v>317580</v>
      </c>
      <c r="M2357" s="2">
        <v>281118</v>
      </c>
      <c r="N2357" s="2">
        <v>418271</v>
      </c>
      <c r="O2357" s="2">
        <v>647040</v>
      </c>
      <c r="P2357" s="3">
        <f>E2357*(VLOOKUP(B2357,Price_data!A$1:B$190,2,FALSE))</f>
        <v>442.99777960356607</v>
      </c>
      <c r="Q2357" s="3">
        <f>G2357*(VLOOKUP(B2357,Price_data!A$1:B$190,2,FALSE))</f>
        <v>415.522711612698</v>
      </c>
      <c r="R2357" s="3">
        <f>I2357*(VLOOKUP(B2357,Price_data!A$1:B$190,2,FALSE))</f>
        <v>956.39487802944006</v>
      </c>
      <c r="S2357" s="4" t="str">
        <f>(VLOOKUP(B2357,Price_data!A$1:C$190,3,FALSE))</f>
        <v>EEZ</v>
      </c>
      <c r="T2357" s="2" t="str">
        <f>IF(C2357="Total", (VLOOKUP(B2357,Recommended_fish_intake!A$4:D$122,4,FALSE)), "NA")</f>
        <v>NA</v>
      </c>
      <c r="U2357" s="2">
        <f t="shared" si="294"/>
        <v>284.61453999999998</v>
      </c>
    </row>
    <row r="2358" spans="1:21" ht="14.25" customHeight="1">
      <c r="A2358" s="2" t="s">
        <v>15</v>
      </c>
      <c r="B2358" s="2">
        <v>1989</v>
      </c>
      <c r="C2358" s="2" t="s">
        <v>36</v>
      </c>
      <c r="D2358" s="3">
        <f t="shared" si="295"/>
        <v>14.569000000000001</v>
      </c>
      <c r="E2358" s="3">
        <f t="shared" si="296"/>
        <v>14.558</v>
      </c>
      <c r="F2358" s="3" t="e">
        <f t="shared" si="297"/>
        <v>#N/A</v>
      </c>
      <c r="G2358" s="3" t="e">
        <f t="shared" si="298"/>
        <v>#N/A</v>
      </c>
      <c r="H2358" s="3">
        <f t="shared" si="299"/>
        <v>1.798</v>
      </c>
      <c r="I2358" s="3">
        <f t="shared" si="300"/>
        <v>8.3320000000000007</v>
      </c>
      <c r="J2358" s="2">
        <v>14569</v>
      </c>
      <c r="K2358" s="2">
        <v>14558</v>
      </c>
      <c r="N2358" s="2">
        <v>1798</v>
      </c>
      <c r="O2358" s="2">
        <v>8332</v>
      </c>
      <c r="P2358" s="3">
        <f>E2358*(VLOOKUP(B2358,Price_data!A$1:B$190,2,FALSE))</f>
        <v>21.518293512538001</v>
      </c>
      <c r="Q2358" s="3" t="e">
        <f>G2358*(VLOOKUP(B2358,Price_data!A$1:B$190,2,FALSE))</f>
        <v>#N/A</v>
      </c>
      <c r="R2358" s="3">
        <f>I2358*(VLOOKUP(B2358,Price_data!A$1:B$190,2,FALSE))</f>
        <v>12.315594281252002</v>
      </c>
      <c r="S2358" s="4" t="str">
        <f>(VLOOKUP(B2358,Price_data!A$1:C$190,3,FALSE))</f>
        <v>EEZ</v>
      </c>
      <c r="T2358" s="2" t="str">
        <f>IF(C2358="Total", (VLOOKUP(B2358,Recommended_fish_intake!A$4:D$122,4,FALSE)), "NA")</f>
        <v>NA</v>
      </c>
      <c r="U2358" s="2" t="str">
        <f t="shared" si="294"/>
        <v>NA</v>
      </c>
    </row>
    <row r="2359" spans="1:21" ht="14.25" customHeight="1">
      <c r="A2359" s="2" t="s">
        <v>15</v>
      </c>
      <c r="B2359" s="2">
        <v>1989</v>
      </c>
      <c r="C2359" s="2" t="s">
        <v>34</v>
      </c>
      <c r="D2359" s="3">
        <f t="shared" si="295"/>
        <v>1.3660000000000001</v>
      </c>
      <c r="E2359" s="3">
        <f t="shared" si="296"/>
        <v>11.449</v>
      </c>
      <c r="F2359" s="3" t="e">
        <f t="shared" si="297"/>
        <v>#N/A</v>
      </c>
      <c r="G2359" s="3" t="e">
        <f t="shared" si="298"/>
        <v>#N/A</v>
      </c>
      <c r="H2359" s="3" t="e">
        <f t="shared" si="299"/>
        <v>#N/A</v>
      </c>
      <c r="I2359" s="3" t="e">
        <f t="shared" si="300"/>
        <v>#N/A</v>
      </c>
      <c r="J2359" s="2">
        <v>1366</v>
      </c>
      <c r="K2359" s="2">
        <v>11449</v>
      </c>
      <c r="P2359" s="3">
        <f>E2359*(VLOOKUP(B2359,Price_data!A$1:B$190,2,FALSE))</f>
        <v>16.922856328139002</v>
      </c>
      <c r="Q2359" s="3" t="e">
        <f>G2359*(VLOOKUP(B2359,Price_data!A$1:B$190,2,FALSE))</f>
        <v>#N/A</v>
      </c>
      <c r="R2359" s="3" t="e">
        <f>I2359*(VLOOKUP(B2359,Price_data!A$1:B$190,2,FALSE))</f>
        <v>#N/A</v>
      </c>
      <c r="S2359" s="4" t="str">
        <f>(VLOOKUP(B2359,Price_data!A$1:C$190,3,FALSE))</f>
        <v>EEZ</v>
      </c>
      <c r="T2359" s="2" t="str">
        <f>IF(C2359="Total", (VLOOKUP(B2359,Recommended_fish_intake!A$4:D$122,4,FALSE)), "NA")</f>
        <v>NA</v>
      </c>
      <c r="U2359" s="2" t="str">
        <f t="shared" si="294"/>
        <v>NA</v>
      </c>
    </row>
    <row r="2360" spans="1:21" ht="14.25" customHeight="1">
      <c r="A2360" s="2" t="s">
        <v>15</v>
      </c>
      <c r="B2360" s="2">
        <v>1989</v>
      </c>
      <c r="C2360" s="2" t="s">
        <v>35</v>
      </c>
      <c r="D2360" s="3">
        <f t="shared" si="295"/>
        <v>27.012</v>
      </c>
      <c r="E2360" s="3">
        <f t="shared" si="296"/>
        <v>42.13</v>
      </c>
      <c r="F2360" s="3" t="e">
        <f t="shared" si="297"/>
        <v>#N/A</v>
      </c>
      <c r="G2360" s="3" t="e">
        <f t="shared" si="298"/>
        <v>#N/A</v>
      </c>
      <c r="H2360" s="3" t="e">
        <f t="shared" si="299"/>
        <v>#N/A</v>
      </c>
      <c r="I2360" s="3" t="e">
        <f t="shared" si="300"/>
        <v>#N/A</v>
      </c>
      <c r="J2360" s="2">
        <v>27012</v>
      </c>
      <c r="K2360" s="2">
        <v>42130</v>
      </c>
      <c r="P2360" s="3">
        <f>E2360*(VLOOKUP(B2360,Price_data!A$1:B$190,2,FALSE))</f>
        <v>62.272682077430005</v>
      </c>
      <c r="Q2360" s="3" t="e">
        <f>G2360*(VLOOKUP(B2360,Price_data!A$1:B$190,2,FALSE))</f>
        <v>#N/A</v>
      </c>
      <c r="R2360" s="3" t="e">
        <f>I2360*(VLOOKUP(B2360,Price_data!A$1:B$190,2,FALSE))</f>
        <v>#N/A</v>
      </c>
      <c r="S2360" s="4" t="str">
        <f>(VLOOKUP(B2360,Price_data!A$1:C$190,3,FALSE))</f>
        <v>EEZ</v>
      </c>
      <c r="T2360" s="2" t="str">
        <f>IF(C2360="Total", (VLOOKUP(B2360,Recommended_fish_intake!A$4:D$122,4,FALSE)), "NA")</f>
        <v>NA</v>
      </c>
      <c r="U2360" s="2" t="str">
        <f t="shared" si="294"/>
        <v>NA</v>
      </c>
    </row>
    <row r="2361" spans="1:21" ht="14.25" customHeight="1">
      <c r="A2361" s="2" t="s">
        <v>15</v>
      </c>
      <c r="B2361" s="2">
        <v>1989</v>
      </c>
      <c r="C2361" s="2" t="s">
        <v>52</v>
      </c>
      <c r="D2361" s="3">
        <f t="shared" si="295"/>
        <v>8.5779999999999994</v>
      </c>
      <c r="E2361" s="3">
        <f t="shared" si="296"/>
        <v>13.106999999999999</v>
      </c>
      <c r="F2361" s="3" t="e">
        <f t="shared" si="297"/>
        <v>#N/A</v>
      </c>
      <c r="G2361" s="3" t="e">
        <f t="shared" si="298"/>
        <v>#N/A</v>
      </c>
      <c r="H2361" s="3" t="e">
        <f t="shared" si="299"/>
        <v>#N/A</v>
      </c>
      <c r="I2361" s="3" t="e">
        <f t="shared" si="300"/>
        <v>#N/A</v>
      </c>
      <c r="J2361" s="2">
        <v>8578</v>
      </c>
      <c r="K2361" s="2">
        <v>13107</v>
      </c>
      <c r="P2361" s="3">
        <f>E2361*(VLOOKUP(B2361,Price_data!A$1:B$190,2,FALSE))</f>
        <v>19.373559078776999</v>
      </c>
      <c r="Q2361" s="3" t="e">
        <f>G2361*(VLOOKUP(B2361,Price_data!A$1:B$190,2,FALSE))</f>
        <v>#N/A</v>
      </c>
      <c r="R2361" s="3" t="e">
        <f>I2361*(VLOOKUP(B2361,Price_data!A$1:B$190,2,FALSE))</f>
        <v>#N/A</v>
      </c>
      <c r="S2361" s="4" t="str">
        <f>(VLOOKUP(B2361,Price_data!A$1:C$190,3,FALSE))</f>
        <v>EEZ</v>
      </c>
      <c r="T2361" s="2" t="str">
        <f>IF(C2361="Total", (VLOOKUP(B2361,Recommended_fish_intake!A$4:D$122,4,FALSE)), "NA")</f>
        <v>NA</v>
      </c>
      <c r="U2361" s="2" t="str">
        <f t="shared" si="294"/>
        <v>NA</v>
      </c>
    </row>
    <row r="2362" spans="1:21" ht="14.25" customHeight="1">
      <c r="A2362" s="2" t="s">
        <v>15</v>
      </c>
      <c r="B2362" s="2">
        <v>1989</v>
      </c>
      <c r="C2362" s="2" t="s">
        <v>30</v>
      </c>
      <c r="D2362" s="3">
        <f t="shared" si="295"/>
        <v>1.8240000000000001</v>
      </c>
      <c r="E2362" s="3">
        <f t="shared" si="296"/>
        <v>2.6320000000000001</v>
      </c>
      <c r="F2362" s="3" t="e">
        <f t="shared" si="297"/>
        <v>#N/A</v>
      </c>
      <c r="G2362" s="3" t="e">
        <f t="shared" si="298"/>
        <v>#N/A</v>
      </c>
      <c r="H2362" s="3">
        <f t="shared" si="299"/>
        <v>26.863</v>
      </c>
      <c r="I2362" s="3">
        <f t="shared" si="300"/>
        <v>91.221999999999994</v>
      </c>
      <c r="J2362" s="2">
        <v>1824</v>
      </c>
      <c r="K2362" s="2">
        <v>2632</v>
      </c>
      <c r="N2362" s="2">
        <f>6669+20194</f>
        <v>26863</v>
      </c>
      <c r="O2362" s="2">
        <f>20703+70519</f>
        <v>91222</v>
      </c>
      <c r="P2362" s="3">
        <f>E2362*(VLOOKUP(B2362,Price_data!A$1:B$190,2,FALSE))</f>
        <v>3.8903797585520006</v>
      </c>
      <c r="Q2362" s="3" t="e">
        <f>G2362*(VLOOKUP(B2362,Price_data!A$1:B$190,2,FALSE))</f>
        <v>#N/A</v>
      </c>
      <c r="R2362" s="3">
        <f>I2362*(VLOOKUP(B2362,Price_data!A$1:B$190,2,FALSE))</f>
        <v>134.83595073504199</v>
      </c>
      <c r="S2362" s="4" t="str">
        <f>(VLOOKUP(B2362,Price_data!A$1:C$190,3,FALSE))</f>
        <v>EEZ</v>
      </c>
      <c r="T2362" s="2" t="str">
        <f>IF(C2362="Total", (VLOOKUP(B2362,Recommended_fish_intake!A$4:D$122,4,FALSE)), "NA")</f>
        <v>NA</v>
      </c>
      <c r="U2362" s="2" t="str">
        <f t="shared" si="294"/>
        <v>NA</v>
      </c>
    </row>
    <row r="2363" spans="1:21" ht="14.25" customHeight="1">
      <c r="A2363" s="2" t="s">
        <v>15</v>
      </c>
      <c r="B2363" s="2">
        <v>1989</v>
      </c>
      <c r="C2363" s="2" t="s">
        <v>28</v>
      </c>
      <c r="D2363" s="3">
        <f t="shared" si="295"/>
        <v>92.031000000000006</v>
      </c>
      <c r="E2363" s="3">
        <f t="shared" si="296"/>
        <v>96.373000000000005</v>
      </c>
      <c r="F2363" s="3">
        <f t="shared" si="297"/>
        <v>57.424999999999997</v>
      </c>
      <c r="G2363" s="3">
        <f t="shared" si="298"/>
        <v>168.84</v>
      </c>
      <c r="H2363" s="3">
        <f t="shared" si="299"/>
        <v>64.472999999999999</v>
      </c>
      <c r="I2363" s="3">
        <f t="shared" si="300"/>
        <v>237.96199999999999</v>
      </c>
      <c r="J2363" s="2">
        <v>92031</v>
      </c>
      <c r="K2363" s="2">
        <v>96373</v>
      </c>
      <c r="L2363" s="2">
        <v>57425</v>
      </c>
      <c r="M2363" s="2">
        <v>168840</v>
      </c>
      <c r="N2363" s="2">
        <v>64473</v>
      </c>
      <c r="O2363" s="2">
        <v>237962</v>
      </c>
      <c r="P2363" s="3">
        <f>E2363*(VLOOKUP(B2363,Price_data!A$1:B$190,2,FALSE))</f>
        <v>142.44968406950301</v>
      </c>
      <c r="Q2363" s="3">
        <f>G2363*(VLOOKUP(B2363,Price_data!A$1:B$190,2,FALSE))</f>
        <v>249.56372280924003</v>
      </c>
      <c r="R2363" s="3">
        <f>I2363*(VLOOKUP(B2363,Price_data!A$1:B$190,2,FALSE))</f>
        <v>351.73349092118201</v>
      </c>
      <c r="S2363" s="4" t="str">
        <f>(VLOOKUP(B2363,Price_data!A$1:C$190,3,FALSE))</f>
        <v>EEZ</v>
      </c>
      <c r="T2363" s="2" t="str">
        <f>IF(C2363="Total", (VLOOKUP(B2363,Recommended_fish_intake!A$4:D$122,4,FALSE)), "NA")</f>
        <v>NA</v>
      </c>
      <c r="U2363" s="2">
        <f t="shared" si="294"/>
        <v>25.768680000000003</v>
      </c>
    </row>
    <row r="2364" spans="1:21" ht="14.25" customHeight="1">
      <c r="A2364" s="2" t="s">
        <v>18</v>
      </c>
      <c r="B2364" s="2">
        <v>1989</v>
      </c>
      <c r="C2364" s="2" t="s">
        <v>16</v>
      </c>
      <c r="D2364" s="3">
        <f t="shared" si="295"/>
        <v>140.35400000000001</v>
      </c>
      <c r="E2364" s="3">
        <f t="shared" si="296"/>
        <v>132.36799999999999</v>
      </c>
      <c r="F2364" s="3" t="e">
        <f t="shared" si="297"/>
        <v>#N/A</v>
      </c>
      <c r="G2364" s="3" t="e">
        <f t="shared" si="298"/>
        <v>#N/A</v>
      </c>
      <c r="H2364" s="3" t="e">
        <f t="shared" si="299"/>
        <v>#N/A</v>
      </c>
      <c r="I2364" s="3" t="e">
        <f t="shared" si="300"/>
        <v>#N/A</v>
      </c>
      <c r="J2364" s="2">
        <v>140354</v>
      </c>
      <c r="K2364" s="2">
        <v>132368</v>
      </c>
      <c r="P2364" s="3">
        <f>E2364*(VLOOKUP(B2364,Price_data!A$1:B$190,2,FALSE))</f>
        <v>195.65417472644802</v>
      </c>
      <c r="Q2364" s="3" t="e">
        <f>G2364*(VLOOKUP(B2364,Price_data!A$1:B$190,2,FALSE))</f>
        <v>#N/A</v>
      </c>
      <c r="R2364" s="3" t="e">
        <f>I2364*(VLOOKUP(B2364,Price_data!A$1:B$190,2,FALSE))</f>
        <v>#N/A</v>
      </c>
      <c r="S2364" s="4" t="str">
        <f>(VLOOKUP(B2364,Price_data!A$1:C$190,3,FALSE))</f>
        <v>EEZ</v>
      </c>
      <c r="T2364" s="2">
        <f>IF(C2364="Total", (VLOOKUP(B2364,Recommended_fish_intake!A$4:D$122,4,FALSE)), "NA")</f>
        <v>754.55328856362007</v>
      </c>
      <c r="U2364" s="2" t="str">
        <f t="shared" si="294"/>
        <v>NA</v>
      </c>
    </row>
    <row r="2365" spans="1:21" ht="14.25" customHeight="1">
      <c r="A2365" s="2" t="s">
        <v>39</v>
      </c>
      <c r="B2365" s="2">
        <v>1989</v>
      </c>
      <c r="C2365" s="2" t="s">
        <v>16</v>
      </c>
      <c r="D2365" s="3">
        <f t="shared" si="295"/>
        <v>510.649</v>
      </c>
      <c r="E2365" s="3">
        <f t="shared" si="296"/>
        <v>246.874</v>
      </c>
      <c r="F2365" s="3" t="e">
        <f t="shared" si="297"/>
        <v>#N/A</v>
      </c>
      <c r="G2365" s="3" t="e">
        <f t="shared" si="298"/>
        <v>#N/A</v>
      </c>
      <c r="H2365" s="3" t="e">
        <f t="shared" si="299"/>
        <v>#N/A</v>
      </c>
      <c r="I2365" s="3" t="e">
        <f t="shared" si="300"/>
        <v>#N/A</v>
      </c>
      <c r="J2365" s="2">
        <v>510649</v>
      </c>
      <c r="K2365" s="2">
        <v>246874</v>
      </c>
      <c r="P2365" s="3">
        <f>E2365*(VLOOKUP(B2365,Price_data!A$1:B$190,2,FALSE))</f>
        <v>364.90638773281404</v>
      </c>
      <c r="Q2365" s="3" t="e">
        <f>G2365*(VLOOKUP(B2365,Price_data!A$1:B$190,2,FALSE))</f>
        <v>#N/A</v>
      </c>
      <c r="R2365" s="3" t="e">
        <f>I2365*(VLOOKUP(B2365,Price_data!A$1:B$190,2,FALSE))</f>
        <v>#N/A</v>
      </c>
      <c r="S2365" s="4" t="str">
        <f>(VLOOKUP(B2365,Price_data!A$1:C$190,3,FALSE))</f>
        <v>EEZ</v>
      </c>
      <c r="T2365" s="2">
        <f>IF(C2365="Total", (VLOOKUP(B2365,Recommended_fish_intake!A$4:D$122,4,FALSE)), "NA")</f>
        <v>754.55328856362007</v>
      </c>
      <c r="U2365" s="2" t="str">
        <f t="shared" si="294"/>
        <v>NA</v>
      </c>
    </row>
    <row r="2366" spans="1:21" ht="14.25" customHeight="1">
      <c r="A2366" s="2" t="s">
        <v>40</v>
      </c>
      <c r="B2366" s="2">
        <v>1989</v>
      </c>
      <c r="C2366" s="2" t="s">
        <v>16</v>
      </c>
      <c r="D2366" s="3">
        <f t="shared" si="295"/>
        <v>21.873999999999999</v>
      </c>
      <c r="E2366" s="3">
        <f t="shared" si="296"/>
        <v>16.837</v>
      </c>
      <c r="F2366" s="3" t="e">
        <f t="shared" si="297"/>
        <v>#N/A</v>
      </c>
      <c r="G2366" s="3" t="e">
        <f t="shared" si="298"/>
        <v>#N/A</v>
      </c>
      <c r="H2366" s="3" t="e">
        <f t="shared" si="299"/>
        <v>#N/A</v>
      </c>
      <c r="I2366" s="3" t="e">
        <f t="shared" si="300"/>
        <v>#N/A</v>
      </c>
      <c r="J2366" s="2">
        <v>21874</v>
      </c>
      <c r="K2366" s="2">
        <v>16837</v>
      </c>
      <c r="P2366" s="3">
        <f>E2366*(VLOOKUP(B2366,Price_data!A$1:B$190,2,FALSE))</f>
        <v>24.886901213807</v>
      </c>
      <c r="Q2366" s="3" t="e">
        <f>G2366*(VLOOKUP(B2366,Price_data!A$1:B$190,2,FALSE))</f>
        <v>#N/A</v>
      </c>
      <c r="R2366" s="3" t="e">
        <f>I2366*(VLOOKUP(B2366,Price_data!A$1:B$190,2,FALSE))</f>
        <v>#N/A</v>
      </c>
      <c r="S2366" s="4" t="str">
        <f>(VLOOKUP(B2366,Price_data!A$1:C$190,3,FALSE))</f>
        <v>EEZ</v>
      </c>
      <c r="T2366" s="2">
        <f>IF(C2366="Total", (VLOOKUP(B2366,Recommended_fish_intake!A$4:D$122,4,FALSE)), "NA")</f>
        <v>754.55328856362007</v>
      </c>
      <c r="U2366" s="2" t="str">
        <f t="shared" si="294"/>
        <v>NA</v>
      </c>
    </row>
    <row r="2367" spans="1:21" ht="14.25" customHeight="1">
      <c r="A2367" s="2" t="s">
        <v>15</v>
      </c>
      <c r="B2367" s="2">
        <v>1989</v>
      </c>
      <c r="C2367" s="2" t="s">
        <v>16</v>
      </c>
      <c r="D2367" s="3">
        <f t="shared" si="295"/>
        <v>672.87699999999995</v>
      </c>
      <c r="E2367" s="3">
        <f t="shared" si="296"/>
        <v>396.07900000000001</v>
      </c>
      <c r="F2367" s="3">
        <f t="shared" si="297"/>
        <v>375.005</v>
      </c>
      <c r="G2367" s="3">
        <f t="shared" si="298"/>
        <v>449.95800000000003</v>
      </c>
      <c r="H2367" s="3">
        <f t="shared" si="299"/>
        <v>482.74400000000003</v>
      </c>
      <c r="I2367" s="3">
        <f t="shared" si="300"/>
        <v>885.00199999999995</v>
      </c>
      <c r="J2367" s="2">
        <v>672877</v>
      </c>
      <c r="K2367" s="2">
        <v>396079</v>
      </c>
      <c r="L2367" s="2">
        <v>375005</v>
      </c>
      <c r="M2367" s="2">
        <v>449958</v>
      </c>
      <c r="N2367" s="2">
        <v>482744</v>
      </c>
      <c r="O2367" s="2">
        <v>885002</v>
      </c>
      <c r="P2367" s="3">
        <f>E2367*(VLOOKUP(B2367,Price_data!A$1:B$190,2,FALSE))</f>
        <v>585.44746367306902</v>
      </c>
      <c r="Q2367" s="3">
        <f>G2367*(VLOOKUP(B2367,Price_data!A$1:B$190,2,FALSE))</f>
        <v>665.08643442193807</v>
      </c>
      <c r="R2367" s="3">
        <f>I2367*(VLOOKUP(B2367,Price_data!A$1:B$190,2,FALSE))</f>
        <v>1308.128368950622</v>
      </c>
      <c r="S2367" s="4" t="str">
        <f>(VLOOKUP(B2367,Price_data!A$1:C$190,3,FALSE))</f>
        <v>EEZ</v>
      </c>
      <c r="T2367" s="2">
        <f>IF(C2367="Total", (VLOOKUP(B2367,Recommended_fish_intake!A$4:D$122,4,FALSE)), "NA")</f>
        <v>754.55328856362007</v>
      </c>
      <c r="U2367" s="2" t="str">
        <f t="shared" si="294"/>
        <v>NA</v>
      </c>
    </row>
    <row r="2368" spans="1:21" ht="14.25" customHeight="1">
      <c r="A2368" s="2" t="s">
        <v>15</v>
      </c>
      <c r="B2368" s="2">
        <v>1989</v>
      </c>
      <c r="C2368" s="2" t="s">
        <v>21</v>
      </c>
      <c r="D2368" s="3">
        <v>3.5870000000000002</v>
      </c>
      <c r="E2368" s="3">
        <v>0.45600000000000002</v>
      </c>
      <c r="F2368" s="2" t="s">
        <v>92</v>
      </c>
      <c r="G2368" s="2" t="s">
        <v>92</v>
      </c>
      <c r="H2368" s="2" t="s">
        <v>92</v>
      </c>
      <c r="I2368" s="2" t="s">
        <v>92</v>
      </c>
      <c r="P2368" s="3">
        <f>E2368*(VLOOKUP(B2368,Price_data!A$1:B$190,2,FALSE))</f>
        <v>0.67401716181600002</v>
      </c>
      <c r="Q2368" s="3" t="e">
        <f>G2368*(VLOOKUP(B2368,Price_data!A$1:B$190,2,FALSE))</f>
        <v>#VALUE!</v>
      </c>
      <c r="R2368" s="3" t="e">
        <f>I2368*(VLOOKUP(B2368,Price_data!A$1:B$190,2,FALSE))</f>
        <v>#VALUE!</v>
      </c>
      <c r="S2368" s="4" t="str">
        <f>(VLOOKUP(B2368,Price_data!A$1:C$190,3,FALSE))</f>
        <v>EEZ</v>
      </c>
      <c r="T2368" s="2" t="str">
        <f>IF(C2368="Total", (VLOOKUP(B2368,Recommended_fish_intake!A$4:D$122,4,FALSE)), "NA")</f>
        <v>NA</v>
      </c>
      <c r="U2368" s="2" t="str">
        <f t="shared" si="294"/>
        <v>NA</v>
      </c>
    </row>
    <row r="2369" spans="1:21" ht="14.25" customHeight="1">
      <c r="A2369" s="2" t="s">
        <v>15</v>
      </c>
      <c r="B2369" s="2">
        <v>1989</v>
      </c>
      <c r="C2369" s="2" t="s">
        <v>29</v>
      </c>
      <c r="D2369" s="3" t="e">
        <f t="shared" ref="D2369:D2400" si="301">J2369/1000</f>
        <v>#N/A</v>
      </c>
      <c r="E2369" s="3" t="e">
        <f t="shared" ref="E2369:E2400" si="302">K2369/1000</f>
        <v>#N/A</v>
      </c>
      <c r="F2369" s="3" t="e">
        <f t="shared" ref="F2369:F2400" si="303">IF(L2369="", NA(), L2369/1000)</f>
        <v>#N/A</v>
      </c>
      <c r="G2369" s="3" t="e">
        <f t="shared" ref="G2369:G2400" si="304">IF(M2369="", NA(), M2369/1000)</f>
        <v>#N/A</v>
      </c>
      <c r="H2369" s="3">
        <f t="shared" ref="H2369:H2400" si="305">IF(N2369="", NA(), N2369/1000)</f>
        <v>26.974</v>
      </c>
      <c r="I2369" s="3">
        <f t="shared" ref="I2369:I2400" si="306">IF(O2369="", NA(), O2369/1000)</f>
        <v>117.996</v>
      </c>
      <c r="J2369" s="3" t="e">
        <v>#N/A</v>
      </c>
      <c r="K2369" s="3" t="e">
        <v>#N/A</v>
      </c>
      <c r="L2369" s="3" t="e">
        <v>#N/A</v>
      </c>
      <c r="M2369" s="3" t="e">
        <v>#N/A</v>
      </c>
      <c r="N2369" s="2">
        <f>4185+2910+19879</f>
        <v>26974</v>
      </c>
      <c r="O2369" s="2">
        <f>14020+7700+96276</f>
        <v>117996</v>
      </c>
      <c r="P2369" s="3" t="e">
        <f>E2369*(VLOOKUP(B2369,Price_data!A$1:B$190,2,FALSE))</f>
        <v>#N/A</v>
      </c>
      <c r="Q2369" s="3" t="e">
        <f>G2369*(VLOOKUP(B2369,Price_data!A$1:B$190,2,FALSE))</f>
        <v>#N/A</v>
      </c>
      <c r="R2369" s="3">
        <f>I2369*(VLOOKUP(B2369,Price_data!A$1:B$190,2,FALSE))</f>
        <v>174.41080926675602</v>
      </c>
      <c r="S2369" s="4" t="str">
        <f>(VLOOKUP(B2369,Price_data!A$1:C$190,3,FALSE))</f>
        <v>EEZ</v>
      </c>
      <c r="T2369" s="2" t="str">
        <f>IF(C2369="Total", (VLOOKUP(B2369,Recommended_fish_intake!A$4:D$122,4,FALSE)), "NA")</f>
        <v>NA</v>
      </c>
      <c r="U2369" s="2" t="str">
        <f t="shared" si="294"/>
        <v>NA</v>
      </c>
    </row>
    <row r="2370" spans="1:21" ht="14.25" customHeight="1">
      <c r="A2370" s="2" t="s">
        <v>15</v>
      </c>
      <c r="B2370" s="2">
        <v>1989</v>
      </c>
      <c r="C2370" s="2" t="s">
        <v>43</v>
      </c>
      <c r="D2370" s="3" t="e">
        <f t="shared" si="301"/>
        <v>#N/A</v>
      </c>
      <c r="E2370" s="3" t="e">
        <f t="shared" si="302"/>
        <v>#N/A</v>
      </c>
      <c r="F2370" s="3" t="e">
        <f t="shared" si="303"/>
        <v>#N/A</v>
      </c>
      <c r="G2370" s="3" t="e">
        <f t="shared" si="304"/>
        <v>#N/A</v>
      </c>
      <c r="H2370" s="3">
        <f t="shared" si="305"/>
        <v>66.063000000000002</v>
      </c>
      <c r="I2370" s="3">
        <f t="shared" si="306"/>
        <v>99.721000000000004</v>
      </c>
      <c r="J2370" s="3" t="e">
        <v>#N/A</v>
      </c>
      <c r="K2370" s="3" t="e">
        <v>#N/A</v>
      </c>
      <c r="L2370" s="3" t="e">
        <v>#N/A</v>
      </c>
      <c r="M2370" s="3" t="e">
        <v>#N/A</v>
      </c>
      <c r="N2370" s="2">
        <v>66063</v>
      </c>
      <c r="O2370" s="2">
        <v>99721</v>
      </c>
      <c r="P2370" s="3" t="e">
        <f>E2370*(VLOOKUP(B2370,Price_data!A$1:B$190,2,FALSE))</f>
        <v>#N/A</v>
      </c>
      <c r="Q2370" s="3" t="e">
        <f>G2370*(VLOOKUP(B2370,Price_data!A$1:B$190,2,FALSE))</f>
        <v>#N/A</v>
      </c>
      <c r="R2370" s="3">
        <f>I2370*(VLOOKUP(B2370,Price_data!A$1:B$190,2,FALSE))</f>
        <v>147.398389020731</v>
      </c>
      <c r="S2370" s="4" t="str">
        <f>(VLOOKUP(B2370,Price_data!A$1:C$190,3,FALSE))</f>
        <v>EEZ</v>
      </c>
      <c r="T2370" s="2" t="str">
        <f>IF(C2370="Total", (VLOOKUP(B2370,Recommended_fish_intake!A$4:D$122,4,FALSE)), "NA")</f>
        <v>NA</v>
      </c>
      <c r="U2370" s="2" t="str">
        <f t="shared" ref="U2370:U2433" si="307">IF(C2370="Wet fish", D2370*0.49, IF(C2370="Shellfish", D2370*0.28, "NA"))</f>
        <v>NA</v>
      </c>
    </row>
    <row r="2371" spans="1:21" ht="14.25" customHeight="1">
      <c r="A2371" s="2" t="s">
        <v>18</v>
      </c>
      <c r="B2371" s="2">
        <v>1990</v>
      </c>
      <c r="C2371" s="2" t="s">
        <v>22</v>
      </c>
      <c r="D2371" s="3">
        <f t="shared" si="301"/>
        <v>21.6</v>
      </c>
      <c r="E2371" s="3">
        <f t="shared" si="302"/>
        <v>28.524999999999999</v>
      </c>
      <c r="F2371" s="3" t="e">
        <f t="shared" si="303"/>
        <v>#N/A</v>
      </c>
      <c r="G2371" s="3" t="e">
        <f t="shared" si="304"/>
        <v>#N/A</v>
      </c>
      <c r="H2371" s="3" t="e">
        <f t="shared" si="305"/>
        <v>#N/A</v>
      </c>
      <c r="I2371" s="3" t="e">
        <f t="shared" si="306"/>
        <v>#N/A</v>
      </c>
      <c r="J2371" s="2">
        <v>21600</v>
      </c>
      <c r="K2371" s="2">
        <v>28525</v>
      </c>
      <c r="P2371" s="3">
        <f>E2371*(VLOOKUP(B2371,Price_data!A$1:B$190,2,FALSE))</f>
        <v>38.518783925474999</v>
      </c>
      <c r="Q2371" s="3" t="e">
        <f>G2371*(VLOOKUP(B2371,Price_data!A$1:B$190,2,FALSE))</f>
        <v>#N/A</v>
      </c>
      <c r="R2371" s="3" t="e">
        <f>I2371*(VLOOKUP(B2371,Price_data!A$1:B$190,2,FALSE))</f>
        <v>#N/A</v>
      </c>
      <c r="S2371" s="4" t="str">
        <f>(VLOOKUP(B2371,Price_data!A$1:C$190,3,FALSE))</f>
        <v>EEZ</v>
      </c>
      <c r="T2371" s="2" t="str">
        <f>IF(C2371="Total", (VLOOKUP(B2371,Recommended_fish_intake!A$4:D$122,4,FALSE)), "NA")</f>
        <v>NA</v>
      </c>
      <c r="U2371" s="2" t="str">
        <f t="shared" si="307"/>
        <v>NA</v>
      </c>
    </row>
    <row r="2372" spans="1:21" ht="14.25" customHeight="1">
      <c r="A2372" s="2" t="s">
        <v>18</v>
      </c>
      <c r="B2372" s="2">
        <v>1990</v>
      </c>
      <c r="C2372" s="2" t="s">
        <v>23</v>
      </c>
      <c r="D2372" s="3">
        <f t="shared" si="301"/>
        <v>2.5030000000000001</v>
      </c>
      <c r="E2372" s="3">
        <f t="shared" si="302"/>
        <v>3.101</v>
      </c>
      <c r="F2372" s="3" t="e">
        <f t="shared" si="303"/>
        <v>#N/A</v>
      </c>
      <c r="G2372" s="3" t="e">
        <f t="shared" si="304"/>
        <v>#N/A</v>
      </c>
      <c r="H2372" s="3" t="e">
        <f t="shared" si="305"/>
        <v>#N/A</v>
      </c>
      <c r="I2372" s="3" t="e">
        <f t="shared" si="306"/>
        <v>#N/A</v>
      </c>
      <c r="J2372" s="2">
        <v>2503</v>
      </c>
      <c r="K2372" s="2">
        <v>3101</v>
      </c>
      <c r="P2372" s="3">
        <f>E2372*(VLOOKUP(B2372,Price_data!A$1:B$190,2,FALSE))</f>
        <v>4.1874408046590004</v>
      </c>
      <c r="Q2372" s="3" t="e">
        <f>G2372*(VLOOKUP(B2372,Price_data!A$1:B$190,2,FALSE))</f>
        <v>#N/A</v>
      </c>
      <c r="R2372" s="3" t="e">
        <f>I2372*(VLOOKUP(B2372,Price_data!A$1:B$190,2,FALSE))</f>
        <v>#N/A</v>
      </c>
      <c r="S2372" s="4" t="str">
        <f>(VLOOKUP(B2372,Price_data!A$1:C$190,3,FALSE))</f>
        <v>EEZ</v>
      </c>
      <c r="T2372" s="2" t="str">
        <f>IF(C2372="Total", (VLOOKUP(B2372,Recommended_fish_intake!A$4:D$122,4,FALSE)), "NA")</f>
        <v>NA</v>
      </c>
      <c r="U2372" s="2" t="str">
        <f t="shared" si="307"/>
        <v>NA</v>
      </c>
    </row>
    <row r="2373" spans="1:21" ht="14.25" customHeight="1">
      <c r="A2373" s="2" t="s">
        <v>18</v>
      </c>
      <c r="B2373" s="2">
        <v>1990</v>
      </c>
      <c r="C2373" s="2" t="s">
        <v>58</v>
      </c>
      <c r="D2373" s="3">
        <f t="shared" si="301"/>
        <v>3.294</v>
      </c>
      <c r="E2373" s="3">
        <f t="shared" si="302"/>
        <v>7.4459999999999997</v>
      </c>
      <c r="F2373" s="3" t="e">
        <f t="shared" si="303"/>
        <v>#N/A</v>
      </c>
      <c r="G2373" s="3" t="e">
        <f t="shared" si="304"/>
        <v>#N/A</v>
      </c>
      <c r="H2373" s="3" t="e">
        <f t="shared" si="305"/>
        <v>#N/A</v>
      </c>
      <c r="I2373" s="3" t="e">
        <f t="shared" si="306"/>
        <v>#N/A</v>
      </c>
      <c r="J2373" s="2">
        <v>3294</v>
      </c>
      <c r="K2373" s="2">
        <v>7446</v>
      </c>
      <c r="P2373" s="3">
        <f>E2373*(VLOOKUP(B2373,Price_data!A$1:B$190,2,FALSE))</f>
        <v>10.054719197514</v>
      </c>
      <c r="Q2373" s="3" t="e">
        <f>G2373*(VLOOKUP(B2373,Price_data!A$1:B$190,2,FALSE))</f>
        <v>#N/A</v>
      </c>
      <c r="R2373" s="3" t="e">
        <f>I2373*(VLOOKUP(B2373,Price_data!A$1:B$190,2,FALSE))</f>
        <v>#N/A</v>
      </c>
      <c r="S2373" s="4" t="str">
        <f>(VLOOKUP(B2373,Price_data!A$1:C$190,3,FALSE))</f>
        <v>EEZ</v>
      </c>
      <c r="T2373" s="2" t="str">
        <f>IF(C2373="Total", (VLOOKUP(B2373,Recommended_fish_intake!A$4:D$122,4,FALSE)), "NA")</f>
        <v>NA</v>
      </c>
      <c r="U2373" s="2" t="str">
        <f t="shared" si="307"/>
        <v>NA</v>
      </c>
    </row>
    <row r="2374" spans="1:21" ht="14.25" customHeight="1">
      <c r="A2374" s="2" t="s">
        <v>18</v>
      </c>
      <c r="B2374" s="2">
        <v>1990</v>
      </c>
      <c r="C2374" s="2" t="s">
        <v>25</v>
      </c>
      <c r="D2374" s="3">
        <f t="shared" si="301"/>
        <v>18.574999999999999</v>
      </c>
      <c r="E2374" s="3">
        <f t="shared" si="302"/>
        <v>18.178999999999998</v>
      </c>
      <c r="F2374" s="3" t="e">
        <f t="shared" si="303"/>
        <v>#N/A</v>
      </c>
      <c r="G2374" s="3" t="e">
        <f t="shared" si="304"/>
        <v>#N/A</v>
      </c>
      <c r="H2374" s="3" t="e">
        <f t="shared" si="305"/>
        <v>#N/A</v>
      </c>
      <c r="I2374" s="3" t="e">
        <f t="shared" si="306"/>
        <v>#N/A</v>
      </c>
      <c r="J2374" s="2">
        <v>18575</v>
      </c>
      <c r="K2374" s="2">
        <v>18179</v>
      </c>
      <c r="P2374" s="3">
        <f>E2374*(VLOOKUP(B2374,Price_data!A$1:B$190,2,FALSE))</f>
        <v>24.548044626861</v>
      </c>
      <c r="Q2374" s="3" t="e">
        <f>G2374*(VLOOKUP(B2374,Price_data!A$1:B$190,2,FALSE))</f>
        <v>#N/A</v>
      </c>
      <c r="R2374" s="3" t="e">
        <f>I2374*(VLOOKUP(B2374,Price_data!A$1:B$190,2,FALSE))</f>
        <v>#N/A</v>
      </c>
      <c r="S2374" s="4" t="str">
        <f>(VLOOKUP(B2374,Price_data!A$1:C$190,3,FALSE))</f>
        <v>EEZ</v>
      </c>
      <c r="T2374" s="2" t="str">
        <f>IF(C2374="Total", (VLOOKUP(B2374,Recommended_fish_intake!A$4:D$122,4,FALSE)), "NA")</f>
        <v>NA</v>
      </c>
      <c r="U2374" s="2" t="str">
        <f t="shared" si="307"/>
        <v>NA</v>
      </c>
    </row>
    <row r="2375" spans="1:21" ht="14.25" customHeight="1">
      <c r="A2375" s="2" t="s">
        <v>18</v>
      </c>
      <c r="B2375" s="2">
        <v>1990</v>
      </c>
      <c r="C2375" s="2" t="s">
        <v>24</v>
      </c>
      <c r="D2375" s="3">
        <f t="shared" si="301"/>
        <v>4.9180000000000001</v>
      </c>
      <c r="E2375" s="3">
        <f t="shared" si="302"/>
        <v>2.9289999999999998</v>
      </c>
      <c r="F2375" s="3" t="e">
        <f t="shared" si="303"/>
        <v>#N/A</v>
      </c>
      <c r="G2375" s="3" t="e">
        <f t="shared" si="304"/>
        <v>#N/A</v>
      </c>
      <c r="H2375" s="3" t="e">
        <f t="shared" si="305"/>
        <v>#N/A</v>
      </c>
      <c r="I2375" s="3" t="e">
        <f t="shared" si="306"/>
        <v>#N/A</v>
      </c>
      <c r="J2375" s="2">
        <v>4918</v>
      </c>
      <c r="K2375" s="2">
        <v>2929</v>
      </c>
      <c r="P2375" s="3">
        <f>E2375*(VLOOKUP(B2375,Price_data!A$1:B$190,2,FALSE))</f>
        <v>3.9551803021109997</v>
      </c>
      <c r="Q2375" s="3" t="e">
        <f>G2375*(VLOOKUP(B2375,Price_data!A$1:B$190,2,FALSE))</f>
        <v>#N/A</v>
      </c>
      <c r="R2375" s="3" t="e">
        <f>I2375*(VLOOKUP(B2375,Price_data!A$1:B$190,2,FALSE))</f>
        <v>#N/A</v>
      </c>
      <c r="S2375" s="4" t="str">
        <f>(VLOOKUP(B2375,Price_data!A$1:C$190,3,FALSE))</f>
        <v>EEZ</v>
      </c>
      <c r="T2375" s="2" t="str">
        <f>IF(C2375="Total", (VLOOKUP(B2375,Recommended_fish_intake!A$4:D$122,4,FALSE)), "NA")</f>
        <v>NA</v>
      </c>
      <c r="U2375" s="2" t="str">
        <f t="shared" si="307"/>
        <v>NA</v>
      </c>
    </row>
    <row r="2376" spans="1:21" ht="14.25" customHeight="1">
      <c r="A2376" s="2" t="s">
        <v>18</v>
      </c>
      <c r="B2376" s="2">
        <v>1990</v>
      </c>
      <c r="C2376" s="2" t="s">
        <v>19</v>
      </c>
      <c r="D2376" s="3">
        <f t="shared" si="301"/>
        <v>0.98299999999999998</v>
      </c>
      <c r="E2376" s="3">
        <f t="shared" si="302"/>
        <v>0.26200000000000001</v>
      </c>
      <c r="F2376" s="3" t="e">
        <f t="shared" si="303"/>
        <v>#N/A</v>
      </c>
      <c r="G2376" s="3" t="e">
        <f t="shared" si="304"/>
        <v>#N/A</v>
      </c>
      <c r="H2376" s="3" t="e">
        <f t="shared" si="305"/>
        <v>#N/A</v>
      </c>
      <c r="I2376" s="3" t="e">
        <f t="shared" si="306"/>
        <v>#N/A</v>
      </c>
      <c r="J2376" s="2">
        <v>983</v>
      </c>
      <c r="K2376" s="2">
        <v>262</v>
      </c>
      <c r="P2376" s="3">
        <f>E2376*(VLOOKUP(B2376,Price_data!A$1:B$190,2,FALSE))</f>
        <v>0.35379216085800003</v>
      </c>
      <c r="Q2376" s="3" t="e">
        <f>G2376*(VLOOKUP(B2376,Price_data!A$1:B$190,2,FALSE))</f>
        <v>#N/A</v>
      </c>
      <c r="R2376" s="3" t="e">
        <f>I2376*(VLOOKUP(B2376,Price_data!A$1:B$190,2,FALSE))</f>
        <v>#N/A</v>
      </c>
      <c r="S2376" s="4" t="str">
        <f>(VLOOKUP(B2376,Price_data!A$1:C$190,3,FALSE))</f>
        <v>EEZ</v>
      </c>
      <c r="T2376" s="2" t="str">
        <f>IF(C2376="Total", (VLOOKUP(B2376,Recommended_fish_intake!A$4:D$122,4,FALSE)), "NA")</f>
        <v>NA</v>
      </c>
      <c r="U2376" s="2" t="str">
        <f t="shared" si="307"/>
        <v>NA</v>
      </c>
    </row>
    <row r="2377" spans="1:21" ht="14.25" customHeight="1">
      <c r="A2377" s="2" t="s">
        <v>18</v>
      </c>
      <c r="B2377" s="2">
        <v>1990</v>
      </c>
      <c r="C2377" s="2" t="s">
        <v>20</v>
      </c>
      <c r="D2377" s="3">
        <f t="shared" si="301"/>
        <v>8.173</v>
      </c>
      <c r="E2377" s="3">
        <f t="shared" si="302"/>
        <v>1.109</v>
      </c>
      <c r="F2377" s="3" t="e">
        <f t="shared" si="303"/>
        <v>#N/A</v>
      </c>
      <c r="G2377" s="3" t="e">
        <f t="shared" si="304"/>
        <v>#N/A</v>
      </c>
      <c r="H2377" s="3" t="e">
        <f t="shared" si="305"/>
        <v>#N/A</v>
      </c>
      <c r="I2377" s="3" t="e">
        <f t="shared" si="306"/>
        <v>#N/A</v>
      </c>
      <c r="J2377" s="2">
        <v>8173</v>
      </c>
      <c r="K2377" s="2">
        <v>1109</v>
      </c>
      <c r="P2377" s="3">
        <f>E2377*(VLOOKUP(B2377,Price_data!A$1:B$190,2,FALSE))</f>
        <v>1.4975401007310001</v>
      </c>
      <c r="Q2377" s="3" t="e">
        <f>G2377*(VLOOKUP(B2377,Price_data!A$1:B$190,2,FALSE))</f>
        <v>#N/A</v>
      </c>
      <c r="R2377" s="3" t="e">
        <f>I2377*(VLOOKUP(B2377,Price_data!A$1:B$190,2,FALSE))</f>
        <v>#N/A</v>
      </c>
      <c r="S2377" s="4" t="str">
        <f>(VLOOKUP(B2377,Price_data!A$1:C$190,3,FALSE))</f>
        <v>EEZ</v>
      </c>
      <c r="T2377" s="2" t="str">
        <f>IF(C2377="Total", (VLOOKUP(B2377,Recommended_fish_intake!A$4:D$122,4,FALSE)), "NA")</f>
        <v>NA</v>
      </c>
      <c r="U2377" s="2" t="str">
        <f t="shared" si="307"/>
        <v>NA</v>
      </c>
    </row>
    <row r="2378" spans="1:21" ht="14.25" customHeight="1">
      <c r="A2378" s="2" t="s">
        <v>18</v>
      </c>
      <c r="B2378" s="2">
        <v>1990</v>
      </c>
      <c r="C2378" s="2" t="s">
        <v>37</v>
      </c>
      <c r="D2378" s="3">
        <f t="shared" si="301"/>
        <v>94.856999999999999</v>
      </c>
      <c r="E2378" s="3">
        <f t="shared" si="302"/>
        <v>110.807</v>
      </c>
      <c r="F2378" s="3" t="e">
        <f t="shared" si="303"/>
        <v>#N/A</v>
      </c>
      <c r="G2378" s="3" t="e">
        <f t="shared" si="304"/>
        <v>#N/A</v>
      </c>
      <c r="H2378" s="3" t="e">
        <f t="shared" si="305"/>
        <v>#N/A</v>
      </c>
      <c r="I2378" s="3" t="e">
        <f t="shared" si="306"/>
        <v>#N/A</v>
      </c>
      <c r="J2378" s="2">
        <v>94857</v>
      </c>
      <c r="K2378" s="2">
        <v>110807</v>
      </c>
      <c r="P2378" s="3">
        <f>E2378*(VLOOKUP(B2378,Price_data!A$1:B$190,2,FALSE))</f>
        <v>149.62842735951301</v>
      </c>
      <c r="Q2378" s="3" t="e">
        <f>G2378*(VLOOKUP(B2378,Price_data!A$1:B$190,2,FALSE))</f>
        <v>#N/A</v>
      </c>
      <c r="R2378" s="3" t="e">
        <f>I2378*(VLOOKUP(B2378,Price_data!A$1:B$190,2,FALSE))</f>
        <v>#N/A</v>
      </c>
      <c r="S2378" s="4" t="str">
        <f>(VLOOKUP(B2378,Price_data!A$1:C$190,3,FALSE))</f>
        <v>EEZ</v>
      </c>
      <c r="T2378" s="2" t="str">
        <f>IF(C2378="Total", (VLOOKUP(B2378,Recommended_fish_intake!A$4:D$122,4,FALSE)), "NA")</f>
        <v>NA</v>
      </c>
      <c r="U2378" s="2">
        <f t="shared" si="307"/>
        <v>46.479929999999996</v>
      </c>
    </row>
    <row r="2379" spans="1:21" ht="14.25" customHeight="1">
      <c r="A2379" s="2" t="s">
        <v>18</v>
      </c>
      <c r="B2379" s="2">
        <v>1990</v>
      </c>
      <c r="C2379" s="2" t="s">
        <v>36</v>
      </c>
      <c r="D2379" s="3">
        <f t="shared" si="301"/>
        <v>9.2669999999999995</v>
      </c>
      <c r="E2379" s="3">
        <f t="shared" si="302"/>
        <v>8.3460000000000001</v>
      </c>
      <c r="F2379" s="3" t="e">
        <f t="shared" si="303"/>
        <v>#N/A</v>
      </c>
      <c r="G2379" s="3" t="e">
        <f t="shared" si="304"/>
        <v>#N/A</v>
      </c>
      <c r="H2379" s="3" t="e">
        <f t="shared" si="305"/>
        <v>#N/A</v>
      </c>
      <c r="I2379" s="3" t="e">
        <f t="shared" si="306"/>
        <v>#N/A</v>
      </c>
      <c r="J2379" s="2">
        <v>9267</v>
      </c>
      <c r="K2379" s="2">
        <v>8346</v>
      </c>
      <c r="P2379" s="3">
        <f>E2379*(VLOOKUP(B2379,Price_data!A$1:B$190,2,FALSE))</f>
        <v>11.270035780614</v>
      </c>
      <c r="Q2379" s="3" t="e">
        <f>G2379*(VLOOKUP(B2379,Price_data!A$1:B$190,2,FALSE))</f>
        <v>#N/A</v>
      </c>
      <c r="R2379" s="3" t="e">
        <f>I2379*(VLOOKUP(B2379,Price_data!A$1:B$190,2,FALSE))</f>
        <v>#N/A</v>
      </c>
      <c r="S2379" s="4" t="str">
        <f>(VLOOKUP(B2379,Price_data!A$1:C$190,3,FALSE))</f>
        <v>EEZ</v>
      </c>
      <c r="T2379" s="2" t="str">
        <f>IF(C2379="Total", (VLOOKUP(B2379,Recommended_fish_intake!A$4:D$122,4,FALSE)), "NA")</f>
        <v>NA</v>
      </c>
      <c r="U2379" s="2" t="str">
        <f t="shared" si="307"/>
        <v>NA</v>
      </c>
    </row>
    <row r="2380" spans="1:21" ht="14.25" customHeight="1">
      <c r="A2380" s="2" t="s">
        <v>18</v>
      </c>
      <c r="B2380" s="2">
        <v>1990</v>
      </c>
      <c r="C2380" s="2" t="s">
        <v>34</v>
      </c>
      <c r="D2380" s="3">
        <f t="shared" si="301"/>
        <v>0.53200000000000003</v>
      </c>
      <c r="E2380" s="3">
        <f t="shared" si="302"/>
        <v>4.367</v>
      </c>
      <c r="F2380" s="3" t="e">
        <f t="shared" si="303"/>
        <v>#N/A</v>
      </c>
      <c r="G2380" s="3" t="e">
        <f t="shared" si="304"/>
        <v>#N/A</v>
      </c>
      <c r="H2380" s="3" t="e">
        <f t="shared" si="305"/>
        <v>#N/A</v>
      </c>
      <c r="I2380" s="3" t="e">
        <f t="shared" si="306"/>
        <v>#N/A</v>
      </c>
      <c r="J2380" s="2">
        <v>532</v>
      </c>
      <c r="K2380" s="2">
        <v>4367</v>
      </c>
      <c r="P2380" s="3">
        <f>E2380*(VLOOKUP(B2380,Price_data!A$1:B$190,2,FALSE))</f>
        <v>5.8969861315530006</v>
      </c>
      <c r="Q2380" s="3" t="e">
        <f>G2380*(VLOOKUP(B2380,Price_data!A$1:B$190,2,FALSE))</f>
        <v>#N/A</v>
      </c>
      <c r="R2380" s="3" t="e">
        <f>I2380*(VLOOKUP(B2380,Price_data!A$1:B$190,2,FALSE))</f>
        <v>#N/A</v>
      </c>
      <c r="S2380" s="4" t="str">
        <f>(VLOOKUP(B2380,Price_data!A$1:C$190,3,FALSE))</f>
        <v>EEZ</v>
      </c>
      <c r="T2380" s="2" t="str">
        <f>IF(C2380="Total", (VLOOKUP(B2380,Recommended_fish_intake!A$4:D$122,4,FALSE)), "NA")</f>
        <v>NA</v>
      </c>
      <c r="U2380" s="2" t="str">
        <f t="shared" si="307"/>
        <v>NA</v>
      </c>
    </row>
    <row r="2381" spans="1:21" ht="14.25" customHeight="1">
      <c r="A2381" s="2" t="s">
        <v>18</v>
      </c>
      <c r="B2381" s="2">
        <v>1990</v>
      </c>
      <c r="C2381" s="2" t="s">
        <v>35</v>
      </c>
      <c r="D2381" s="3">
        <f t="shared" si="301"/>
        <v>2.9260000000000002</v>
      </c>
      <c r="E2381" s="3">
        <f t="shared" si="302"/>
        <v>5.484</v>
      </c>
      <c r="F2381" s="3" t="e">
        <f t="shared" si="303"/>
        <v>#N/A</v>
      </c>
      <c r="G2381" s="3" t="e">
        <f t="shared" si="304"/>
        <v>#N/A</v>
      </c>
      <c r="H2381" s="3" t="e">
        <f t="shared" si="305"/>
        <v>#N/A</v>
      </c>
      <c r="I2381" s="3" t="e">
        <f t="shared" si="306"/>
        <v>#N/A</v>
      </c>
      <c r="J2381" s="2">
        <v>2926</v>
      </c>
      <c r="K2381" s="2">
        <v>5484</v>
      </c>
      <c r="P2381" s="3">
        <f>E2381*(VLOOKUP(B2381,Price_data!A$1:B$190,2,FALSE))</f>
        <v>7.405329046356</v>
      </c>
      <c r="Q2381" s="3" t="e">
        <f>G2381*(VLOOKUP(B2381,Price_data!A$1:B$190,2,FALSE))</f>
        <v>#N/A</v>
      </c>
      <c r="R2381" s="3" t="e">
        <f>I2381*(VLOOKUP(B2381,Price_data!A$1:B$190,2,FALSE))</f>
        <v>#N/A</v>
      </c>
      <c r="S2381" s="4" t="str">
        <f>(VLOOKUP(B2381,Price_data!A$1:C$190,3,FALSE))</f>
        <v>EEZ</v>
      </c>
      <c r="T2381" s="2" t="str">
        <f>IF(C2381="Total", (VLOOKUP(B2381,Recommended_fish_intake!A$4:D$122,4,FALSE)), "NA")</f>
        <v>NA</v>
      </c>
      <c r="U2381" s="2" t="str">
        <f t="shared" si="307"/>
        <v>NA</v>
      </c>
    </row>
    <row r="2382" spans="1:21" ht="14.25" customHeight="1">
      <c r="A2382" s="2" t="s">
        <v>18</v>
      </c>
      <c r="B2382" s="2">
        <v>1990</v>
      </c>
      <c r="C2382" s="2" t="s">
        <v>52</v>
      </c>
      <c r="D2382" s="3">
        <f t="shared" si="301"/>
        <v>3.2850000000000001</v>
      </c>
      <c r="E2382" s="3">
        <f t="shared" si="302"/>
        <v>4.6959999999999997</v>
      </c>
      <c r="F2382" s="3" t="e">
        <f t="shared" si="303"/>
        <v>#N/A</v>
      </c>
      <c r="G2382" s="3" t="e">
        <f t="shared" si="304"/>
        <v>#N/A</v>
      </c>
      <c r="H2382" s="3" t="e">
        <f t="shared" si="305"/>
        <v>#N/A</v>
      </c>
      <c r="I2382" s="3" t="e">
        <f t="shared" si="306"/>
        <v>#N/A</v>
      </c>
      <c r="J2382" s="2">
        <v>3285</v>
      </c>
      <c r="K2382" s="2">
        <v>4696</v>
      </c>
      <c r="P2382" s="3">
        <f>E2382*(VLOOKUP(B2382,Price_data!A$1:B$190,2,FALSE))</f>
        <v>6.3412518602640002</v>
      </c>
      <c r="Q2382" s="3" t="e">
        <f>G2382*(VLOOKUP(B2382,Price_data!A$1:B$190,2,FALSE))</f>
        <v>#N/A</v>
      </c>
      <c r="R2382" s="3" t="e">
        <f>I2382*(VLOOKUP(B2382,Price_data!A$1:B$190,2,FALSE))</f>
        <v>#N/A</v>
      </c>
      <c r="S2382" s="4" t="str">
        <f>(VLOOKUP(B2382,Price_data!A$1:C$190,3,FALSE))</f>
        <v>EEZ</v>
      </c>
      <c r="T2382" s="2" t="str">
        <f>IF(C2382="Total", (VLOOKUP(B2382,Recommended_fish_intake!A$4:D$122,4,FALSE)), "NA")</f>
        <v>NA</v>
      </c>
      <c r="U2382" s="2" t="str">
        <f t="shared" si="307"/>
        <v>NA</v>
      </c>
    </row>
    <row r="2383" spans="1:21" ht="14.25" customHeight="1">
      <c r="A2383" s="2" t="s">
        <v>18</v>
      </c>
      <c r="B2383" s="2">
        <v>1990</v>
      </c>
      <c r="C2383" s="2" t="s">
        <v>30</v>
      </c>
      <c r="D2383" s="3">
        <f t="shared" si="301"/>
        <v>0.77400000000000002</v>
      </c>
      <c r="E2383" s="3">
        <f t="shared" si="302"/>
        <v>1.4910000000000001</v>
      </c>
      <c r="F2383" s="3" t="e">
        <f t="shared" si="303"/>
        <v>#N/A</v>
      </c>
      <c r="G2383" s="3" t="e">
        <f t="shared" si="304"/>
        <v>#N/A</v>
      </c>
      <c r="H2383" s="3" t="e">
        <f t="shared" si="305"/>
        <v>#N/A</v>
      </c>
      <c r="I2383" s="3" t="e">
        <f t="shared" si="306"/>
        <v>#N/A</v>
      </c>
      <c r="J2383" s="2">
        <v>774</v>
      </c>
      <c r="K2383" s="2">
        <v>1491</v>
      </c>
      <c r="P2383" s="3">
        <f>E2383*(VLOOKUP(B2383,Price_data!A$1:B$190,2,FALSE))</f>
        <v>2.0133744726690002</v>
      </c>
      <c r="Q2383" s="3" t="e">
        <f>G2383*(VLOOKUP(B2383,Price_data!A$1:B$190,2,FALSE))</f>
        <v>#N/A</v>
      </c>
      <c r="R2383" s="3" t="e">
        <f>I2383*(VLOOKUP(B2383,Price_data!A$1:B$190,2,FALSE))</f>
        <v>#N/A</v>
      </c>
      <c r="S2383" s="4" t="str">
        <f>(VLOOKUP(B2383,Price_data!A$1:C$190,3,FALSE))</f>
        <v>EEZ</v>
      </c>
      <c r="T2383" s="2" t="str">
        <f>IF(C2383="Total", (VLOOKUP(B2383,Recommended_fish_intake!A$4:D$122,4,FALSE)), "NA")</f>
        <v>NA</v>
      </c>
      <c r="U2383" s="2" t="str">
        <f t="shared" si="307"/>
        <v>NA</v>
      </c>
    </row>
    <row r="2384" spans="1:21" ht="14.25" customHeight="1">
      <c r="A2384" s="2" t="s">
        <v>18</v>
      </c>
      <c r="B2384" s="2">
        <v>1990</v>
      </c>
      <c r="C2384" s="2" t="s">
        <v>28</v>
      </c>
      <c r="D2384" s="3">
        <f t="shared" si="301"/>
        <v>45.704999999999998</v>
      </c>
      <c r="E2384" s="3">
        <f t="shared" si="302"/>
        <v>31.181999999999999</v>
      </c>
      <c r="F2384" s="3" t="e">
        <f t="shared" si="303"/>
        <v>#N/A</v>
      </c>
      <c r="G2384" s="3" t="e">
        <f t="shared" si="304"/>
        <v>#N/A</v>
      </c>
      <c r="H2384" s="3" t="e">
        <f t="shared" si="305"/>
        <v>#N/A</v>
      </c>
      <c r="I2384" s="3" t="e">
        <f t="shared" si="306"/>
        <v>#N/A</v>
      </c>
      <c r="J2384" s="2">
        <v>45705</v>
      </c>
      <c r="K2384" s="2">
        <v>31182</v>
      </c>
      <c r="P2384" s="3">
        <f>E2384*(VLOOKUP(B2384,Price_data!A$1:B$190,2,FALSE))</f>
        <v>42.106668549138</v>
      </c>
      <c r="Q2384" s="3" t="e">
        <f>G2384*(VLOOKUP(B2384,Price_data!A$1:B$190,2,FALSE))</f>
        <v>#N/A</v>
      </c>
      <c r="R2384" s="3" t="e">
        <f>I2384*(VLOOKUP(B2384,Price_data!A$1:B$190,2,FALSE))</f>
        <v>#N/A</v>
      </c>
      <c r="S2384" s="4" t="str">
        <f>(VLOOKUP(B2384,Price_data!A$1:C$190,3,FALSE))</f>
        <v>EEZ</v>
      </c>
      <c r="T2384" s="2" t="str">
        <f>IF(C2384="Total", (VLOOKUP(B2384,Recommended_fish_intake!A$4:D$122,4,FALSE)), "NA")</f>
        <v>NA</v>
      </c>
      <c r="U2384" s="2">
        <f t="shared" si="307"/>
        <v>12.797400000000001</v>
      </c>
    </row>
    <row r="2385" spans="1:21" ht="14.25" customHeight="1">
      <c r="A2385" s="2" t="s">
        <v>39</v>
      </c>
      <c r="B2385" s="2">
        <v>1990</v>
      </c>
      <c r="C2385" s="2" t="s">
        <v>22</v>
      </c>
      <c r="D2385" s="3">
        <f t="shared" si="301"/>
        <v>35.834000000000003</v>
      </c>
      <c r="E2385" s="3">
        <f t="shared" si="302"/>
        <v>44.161999999999999</v>
      </c>
      <c r="F2385" s="3" t="e">
        <f t="shared" si="303"/>
        <v>#N/A</v>
      </c>
      <c r="G2385" s="3" t="e">
        <f t="shared" si="304"/>
        <v>#N/A</v>
      </c>
      <c r="H2385" s="3" t="e">
        <f t="shared" si="305"/>
        <v>#N/A</v>
      </c>
      <c r="I2385" s="3" t="e">
        <f t="shared" si="306"/>
        <v>#N/A</v>
      </c>
      <c r="J2385" s="2">
        <v>35834</v>
      </c>
      <c r="K2385" s="2">
        <v>44162</v>
      </c>
      <c r="P2385" s="3">
        <f>E2385*(VLOOKUP(B2385,Price_data!A$1:B$190,2,FALSE))</f>
        <v>59.634234380957999</v>
      </c>
      <c r="Q2385" s="3" t="e">
        <f>G2385*(VLOOKUP(B2385,Price_data!A$1:B$190,2,FALSE))</f>
        <v>#N/A</v>
      </c>
      <c r="R2385" s="3" t="e">
        <f>I2385*(VLOOKUP(B2385,Price_data!A$1:B$190,2,FALSE))</f>
        <v>#N/A</v>
      </c>
      <c r="S2385" s="4" t="str">
        <f>(VLOOKUP(B2385,Price_data!A$1:C$190,3,FALSE))</f>
        <v>EEZ</v>
      </c>
      <c r="T2385" s="2" t="str">
        <f>IF(C2385="Total", (VLOOKUP(B2385,Recommended_fish_intake!A$4:D$122,4,FALSE)), "NA")</f>
        <v>NA</v>
      </c>
      <c r="U2385" s="2" t="str">
        <f t="shared" si="307"/>
        <v>NA</v>
      </c>
    </row>
    <row r="2386" spans="1:21" ht="14.25" customHeight="1">
      <c r="A2386" s="2" t="s">
        <v>39</v>
      </c>
      <c r="B2386" s="2">
        <v>1990</v>
      </c>
      <c r="C2386" s="2" t="s">
        <v>23</v>
      </c>
      <c r="D2386" s="3">
        <f t="shared" si="301"/>
        <v>46.392000000000003</v>
      </c>
      <c r="E2386" s="3">
        <f t="shared" si="302"/>
        <v>56.058</v>
      </c>
      <c r="F2386" s="3" t="e">
        <f t="shared" si="303"/>
        <v>#N/A</v>
      </c>
      <c r="G2386" s="3" t="e">
        <f t="shared" si="304"/>
        <v>#N/A</v>
      </c>
      <c r="H2386" s="3" t="e">
        <f t="shared" si="305"/>
        <v>#N/A</v>
      </c>
      <c r="I2386" s="3" t="e">
        <f t="shared" si="306"/>
        <v>#N/A</v>
      </c>
      <c r="J2386" s="2">
        <v>46392</v>
      </c>
      <c r="K2386" s="2">
        <v>56058</v>
      </c>
      <c r="P2386" s="3">
        <f>E2386*(VLOOKUP(B2386,Price_data!A$1:B$190,2,FALSE))</f>
        <v>75.698018906022</v>
      </c>
      <c r="Q2386" s="3" t="e">
        <f>G2386*(VLOOKUP(B2386,Price_data!A$1:B$190,2,FALSE))</f>
        <v>#N/A</v>
      </c>
      <c r="R2386" s="3" t="e">
        <f>I2386*(VLOOKUP(B2386,Price_data!A$1:B$190,2,FALSE))</f>
        <v>#N/A</v>
      </c>
      <c r="S2386" s="4" t="str">
        <f>(VLOOKUP(B2386,Price_data!A$1:C$190,3,FALSE))</f>
        <v>EEZ</v>
      </c>
      <c r="T2386" s="2" t="str">
        <f>IF(C2386="Total", (VLOOKUP(B2386,Recommended_fish_intake!A$4:D$122,4,FALSE)), "NA")</f>
        <v>NA</v>
      </c>
      <c r="U2386" s="2" t="str">
        <f t="shared" si="307"/>
        <v>NA</v>
      </c>
    </row>
    <row r="2387" spans="1:21" ht="14.25" customHeight="1">
      <c r="A2387" s="2" t="s">
        <v>39</v>
      </c>
      <c r="B2387" s="2">
        <v>1990</v>
      </c>
      <c r="C2387" s="2" t="s">
        <v>58</v>
      </c>
      <c r="D2387" s="3">
        <f t="shared" si="301"/>
        <v>8.8870000000000005</v>
      </c>
      <c r="E2387" s="3">
        <f t="shared" si="302"/>
        <v>18.923999999999999</v>
      </c>
      <c r="F2387" s="3" t="e">
        <f t="shared" si="303"/>
        <v>#N/A</v>
      </c>
      <c r="G2387" s="3" t="e">
        <f t="shared" si="304"/>
        <v>#N/A</v>
      </c>
      <c r="H2387" s="3" t="e">
        <f t="shared" si="305"/>
        <v>#N/A</v>
      </c>
      <c r="I2387" s="3" t="e">
        <f t="shared" si="306"/>
        <v>#N/A</v>
      </c>
      <c r="J2387" s="2">
        <v>8887</v>
      </c>
      <c r="K2387" s="2">
        <v>18924</v>
      </c>
      <c r="P2387" s="3">
        <f>E2387*(VLOOKUP(B2387,Price_data!A$1:B$190,2,FALSE))</f>
        <v>25.554056687315999</v>
      </c>
      <c r="Q2387" s="3" t="e">
        <f>G2387*(VLOOKUP(B2387,Price_data!A$1:B$190,2,FALSE))</f>
        <v>#N/A</v>
      </c>
      <c r="R2387" s="3" t="e">
        <f>I2387*(VLOOKUP(B2387,Price_data!A$1:B$190,2,FALSE))</f>
        <v>#N/A</v>
      </c>
      <c r="S2387" s="4" t="str">
        <f>(VLOOKUP(B2387,Price_data!A$1:C$190,3,FALSE))</f>
        <v>EEZ</v>
      </c>
      <c r="T2387" s="2" t="str">
        <f>IF(C2387="Total", (VLOOKUP(B2387,Recommended_fish_intake!A$4:D$122,4,FALSE)), "NA")</f>
        <v>NA</v>
      </c>
      <c r="U2387" s="2" t="str">
        <f t="shared" si="307"/>
        <v>NA</v>
      </c>
    </row>
    <row r="2388" spans="1:21" ht="14.25" customHeight="1">
      <c r="A2388" s="2" t="s">
        <v>39</v>
      </c>
      <c r="B2388" s="2">
        <v>1990</v>
      </c>
      <c r="C2388" s="2" t="s">
        <v>25</v>
      </c>
      <c r="D2388" s="3">
        <f t="shared" si="301"/>
        <v>6.468</v>
      </c>
      <c r="E2388" s="3">
        <f t="shared" si="302"/>
        <v>5.45</v>
      </c>
      <c r="F2388" s="3" t="e">
        <f t="shared" si="303"/>
        <v>#N/A</v>
      </c>
      <c r="G2388" s="3" t="e">
        <f t="shared" si="304"/>
        <v>#N/A</v>
      </c>
      <c r="H2388" s="3" t="e">
        <f t="shared" si="305"/>
        <v>#N/A</v>
      </c>
      <c r="I2388" s="3" t="e">
        <f t="shared" si="306"/>
        <v>#N/A</v>
      </c>
      <c r="J2388" s="2">
        <v>6468</v>
      </c>
      <c r="K2388" s="2">
        <v>5450</v>
      </c>
      <c r="P2388" s="3">
        <f>E2388*(VLOOKUP(B2388,Price_data!A$1:B$190,2,FALSE))</f>
        <v>7.3594170865500006</v>
      </c>
      <c r="Q2388" s="3" t="e">
        <f>G2388*(VLOOKUP(B2388,Price_data!A$1:B$190,2,FALSE))</f>
        <v>#N/A</v>
      </c>
      <c r="R2388" s="3" t="e">
        <f>I2388*(VLOOKUP(B2388,Price_data!A$1:B$190,2,FALSE))</f>
        <v>#N/A</v>
      </c>
      <c r="S2388" s="4" t="str">
        <f>(VLOOKUP(B2388,Price_data!A$1:C$190,3,FALSE))</f>
        <v>EEZ</v>
      </c>
      <c r="T2388" s="2" t="str">
        <f>IF(C2388="Total", (VLOOKUP(B2388,Recommended_fish_intake!A$4:D$122,4,FALSE)), "NA")</f>
        <v>NA</v>
      </c>
      <c r="U2388" s="2" t="str">
        <f t="shared" si="307"/>
        <v>NA</v>
      </c>
    </row>
    <row r="2389" spans="1:21" ht="14.25" customHeight="1">
      <c r="A2389" s="2" t="s">
        <v>39</v>
      </c>
      <c r="B2389" s="2">
        <v>1990</v>
      </c>
      <c r="C2389" s="2" t="s">
        <v>24</v>
      </c>
      <c r="D2389" s="3">
        <f t="shared" si="301"/>
        <v>29.4</v>
      </c>
      <c r="E2389" s="3">
        <f t="shared" si="302"/>
        <v>20.959</v>
      </c>
      <c r="F2389" s="3" t="e">
        <f t="shared" si="303"/>
        <v>#N/A</v>
      </c>
      <c r="G2389" s="3" t="e">
        <f t="shared" si="304"/>
        <v>#N/A</v>
      </c>
      <c r="H2389" s="3" t="e">
        <f t="shared" si="305"/>
        <v>#N/A</v>
      </c>
      <c r="I2389" s="3" t="e">
        <f t="shared" si="306"/>
        <v>#N/A</v>
      </c>
      <c r="J2389" s="2">
        <v>29400</v>
      </c>
      <c r="K2389" s="2">
        <v>20959</v>
      </c>
      <c r="P2389" s="3">
        <f>E2389*(VLOOKUP(B2389,Price_data!A$1:B$190,2,FALSE))</f>
        <v>28.302022516880999</v>
      </c>
      <c r="Q2389" s="3" t="e">
        <f>G2389*(VLOOKUP(B2389,Price_data!A$1:B$190,2,FALSE))</f>
        <v>#N/A</v>
      </c>
      <c r="R2389" s="3" t="e">
        <f>I2389*(VLOOKUP(B2389,Price_data!A$1:B$190,2,FALSE))</f>
        <v>#N/A</v>
      </c>
      <c r="S2389" s="4" t="str">
        <f>(VLOOKUP(B2389,Price_data!A$1:C$190,3,FALSE))</f>
        <v>EEZ</v>
      </c>
      <c r="T2389" s="2" t="str">
        <f>IF(C2389="Total", (VLOOKUP(B2389,Recommended_fish_intake!A$4:D$122,4,FALSE)), "NA")</f>
        <v>NA</v>
      </c>
      <c r="U2389" s="2" t="str">
        <f t="shared" si="307"/>
        <v>NA</v>
      </c>
    </row>
    <row r="2390" spans="1:21" ht="14.25" customHeight="1">
      <c r="A2390" s="2" t="s">
        <v>39</v>
      </c>
      <c r="B2390" s="2">
        <v>1990</v>
      </c>
      <c r="C2390" s="2" t="s">
        <v>19</v>
      </c>
      <c r="D2390" s="3">
        <f t="shared" si="301"/>
        <v>93.543999999999997</v>
      </c>
      <c r="E2390" s="3">
        <f t="shared" si="302"/>
        <v>11.022</v>
      </c>
      <c r="F2390" s="3" t="e">
        <f t="shared" si="303"/>
        <v>#N/A</v>
      </c>
      <c r="G2390" s="3" t="e">
        <f t="shared" si="304"/>
        <v>#N/A</v>
      </c>
      <c r="H2390" s="3" t="e">
        <f t="shared" si="305"/>
        <v>#N/A</v>
      </c>
      <c r="I2390" s="3" t="e">
        <f t="shared" si="306"/>
        <v>#N/A</v>
      </c>
      <c r="J2390" s="2">
        <v>93544</v>
      </c>
      <c r="K2390" s="2">
        <v>11022</v>
      </c>
      <c r="P2390" s="3">
        <f>E2390*(VLOOKUP(B2390,Price_data!A$1:B$190,2,FALSE))</f>
        <v>14.883577087698001</v>
      </c>
      <c r="Q2390" s="3" t="e">
        <f>G2390*(VLOOKUP(B2390,Price_data!A$1:B$190,2,FALSE))</f>
        <v>#N/A</v>
      </c>
      <c r="R2390" s="3" t="e">
        <f>I2390*(VLOOKUP(B2390,Price_data!A$1:B$190,2,FALSE))</f>
        <v>#N/A</v>
      </c>
      <c r="S2390" s="4" t="str">
        <f>(VLOOKUP(B2390,Price_data!A$1:C$190,3,FALSE))</f>
        <v>EEZ</v>
      </c>
      <c r="T2390" s="2" t="str">
        <f>IF(C2390="Total", (VLOOKUP(B2390,Recommended_fish_intake!A$4:D$122,4,FALSE)), "NA")</f>
        <v>NA</v>
      </c>
      <c r="U2390" s="2" t="str">
        <f t="shared" si="307"/>
        <v>NA</v>
      </c>
    </row>
    <row r="2391" spans="1:21" ht="14.25" customHeight="1">
      <c r="A2391" s="2" t="s">
        <v>39</v>
      </c>
      <c r="B2391" s="2">
        <v>1990</v>
      </c>
      <c r="C2391" s="2" t="s">
        <v>20</v>
      </c>
      <c r="D2391" s="3">
        <f t="shared" si="301"/>
        <v>137.958</v>
      </c>
      <c r="E2391" s="3">
        <f t="shared" si="302"/>
        <v>16.882999999999999</v>
      </c>
      <c r="F2391" s="3" t="e">
        <f t="shared" si="303"/>
        <v>#N/A</v>
      </c>
      <c r="G2391" s="3" t="e">
        <f t="shared" si="304"/>
        <v>#N/A</v>
      </c>
      <c r="H2391" s="3" t="e">
        <f t="shared" si="305"/>
        <v>#N/A</v>
      </c>
      <c r="I2391" s="3" t="e">
        <f t="shared" si="306"/>
        <v>#N/A</v>
      </c>
      <c r="J2391" s="2">
        <v>137958</v>
      </c>
      <c r="K2391" s="2">
        <v>16883</v>
      </c>
      <c r="P2391" s="3">
        <f>E2391*(VLOOKUP(B2391,Price_data!A$1:B$190,2,FALSE))</f>
        <v>22.797988747197</v>
      </c>
      <c r="Q2391" s="3" t="e">
        <f>G2391*(VLOOKUP(B2391,Price_data!A$1:B$190,2,FALSE))</f>
        <v>#N/A</v>
      </c>
      <c r="R2391" s="3" t="e">
        <f>I2391*(VLOOKUP(B2391,Price_data!A$1:B$190,2,FALSE))</f>
        <v>#N/A</v>
      </c>
      <c r="S2391" s="4" t="str">
        <f>(VLOOKUP(B2391,Price_data!A$1:C$190,3,FALSE))</f>
        <v>EEZ</v>
      </c>
      <c r="T2391" s="2" t="str">
        <f>IF(C2391="Total", (VLOOKUP(B2391,Recommended_fish_intake!A$4:D$122,4,FALSE)), "NA")</f>
        <v>NA</v>
      </c>
      <c r="U2391" s="2" t="str">
        <f t="shared" si="307"/>
        <v>NA</v>
      </c>
    </row>
    <row r="2392" spans="1:21" ht="14.25" customHeight="1">
      <c r="A2392" s="2" t="s">
        <v>39</v>
      </c>
      <c r="B2392" s="2">
        <v>1990</v>
      </c>
      <c r="C2392" s="2" t="s">
        <v>37</v>
      </c>
      <c r="D2392" s="3">
        <f t="shared" si="301"/>
        <v>417.822</v>
      </c>
      <c r="E2392" s="3">
        <f t="shared" si="302"/>
        <v>206.63399999999999</v>
      </c>
      <c r="F2392" s="3" t="e">
        <f t="shared" si="303"/>
        <v>#N/A</v>
      </c>
      <c r="G2392" s="3" t="e">
        <f t="shared" si="304"/>
        <v>#N/A</v>
      </c>
      <c r="H2392" s="3" t="e">
        <f t="shared" si="305"/>
        <v>#N/A</v>
      </c>
      <c r="I2392" s="3" t="e">
        <f t="shared" si="306"/>
        <v>#N/A</v>
      </c>
      <c r="J2392" s="2">
        <v>417822</v>
      </c>
      <c r="K2392" s="2">
        <v>206634</v>
      </c>
      <c r="P2392" s="3">
        <f>E2392*(VLOOKUP(B2392,Price_data!A$1:B$190,2,FALSE))</f>
        <v>279.02858536920598</v>
      </c>
      <c r="Q2392" s="3" t="e">
        <f>G2392*(VLOOKUP(B2392,Price_data!A$1:B$190,2,FALSE))</f>
        <v>#N/A</v>
      </c>
      <c r="R2392" s="3" t="e">
        <f>I2392*(VLOOKUP(B2392,Price_data!A$1:B$190,2,FALSE))</f>
        <v>#N/A</v>
      </c>
      <c r="S2392" s="4" t="str">
        <f>(VLOOKUP(B2392,Price_data!A$1:C$190,3,FALSE))</f>
        <v>EEZ</v>
      </c>
      <c r="T2392" s="2" t="str">
        <f>IF(C2392="Total", (VLOOKUP(B2392,Recommended_fish_intake!A$4:D$122,4,FALSE)), "NA")</f>
        <v>NA</v>
      </c>
      <c r="U2392" s="2">
        <f t="shared" si="307"/>
        <v>204.73277999999999</v>
      </c>
    </row>
    <row r="2393" spans="1:21" ht="14.25" customHeight="1">
      <c r="A2393" s="2" t="s">
        <v>39</v>
      </c>
      <c r="B2393" s="2">
        <v>1990</v>
      </c>
      <c r="C2393" s="2" t="s">
        <v>36</v>
      </c>
      <c r="D2393" s="3">
        <f t="shared" si="301"/>
        <v>6.4370000000000003</v>
      </c>
      <c r="E2393" s="3">
        <f t="shared" si="302"/>
        <v>6.4829999999999997</v>
      </c>
      <c r="F2393" s="3" t="e">
        <f t="shared" si="303"/>
        <v>#N/A</v>
      </c>
      <c r="G2393" s="3" t="e">
        <f t="shared" si="304"/>
        <v>#N/A</v>
      </c>
      <c r="H2393" s="3" t="e">
        <f t="shared" si="305"/>
        <v>#N/A</v>
      </c>
      <c r="I2393" s="3" t="e">
        <f t="shared" si="306"/>
        <v>#N/A</v>
      </c>
      <c r="J2393" s="2">
        <v>6437</v>
      </c>
      <c r="K2393" s="2">
        <v>6483</v>
      </c>
      <c r="P2393" s="3">
        <f>E2393*(VLOOKUP(B2393,Price_data!A$1:B$190,2,FALSE))</f>
        <v>8.7543304535969995</v>
      </c>
      <c r="Q2393" s="3" t="e">
        <f>G2393*(VLOOKUP(B2393,Price_data!A$1:B$190,2,FALSE))</f>
        <v>#N/A</v>
      </c>
      <c r="R2393" s="3" t="e">
        <f>I2393*(VLOOKUP(B2393,Price_data!A$1:B$190,2,FALSE))</f>
        <v>#N/A</v>
      </c>
      <c r="S2393" s="4" t="str">
        <f>(VLOOKUP(B2393,Price_data!A$1:C$190,3,FALSE))</f>
        <v>EEZ</v>
      </c>
      <c r="T2393" s="2" t="str">
        <f>IF(C2393="Total", (VLOOKUP(B2393,Recommended_fish_intake!A$4:D$122,4,FALSE)), "NA")</f>
        <v>NA</v>
      </c>
      <c r="U2393" s="2" t="str">
        <f t="shared" si="307"/>
        <v>NA</v>
      </c>
    </row>
    <row r="2394" spans="1:21" ht="14.25" customHeight="1">
      <c r="A2394" s="2" t="s">
        <v>39</v>
      </c>
      <c r="B2394" s="2">
        <v>1990</v>
      </c>
      <c r="C2394" s="2" t="s">
        <v>34</v>
      </c>
      <c r="D2394" s="3">
        <f t="shared" si="301"/>
        <v>0.78100000000000003</v>
      </c>
      <c r="E2394" s="3">
        <f t="shared" si="302"/>
        <v>6.6360000000000001</v>
      </c>
      <c r="F2394" s="3" t="e">
        <f t="shared" si="303"/>
        <v>#N/A</v>
      </c>
      <c r="G2394" s="3" t="e">
        <f t="shared" si="304"/>
        <v>#N/A</v>
      </c>
      <c r="H2394" s="3" t="e">
        <f t="shared" si="305"/>
        <v>#N/A</v>
      </c>
      <c r="I2394" s="3" t="e">
        <f t="shared" si="306"/>
        <v>#N/A</v>
      </c>
      <c r="J2394" s="2">
        <v>781</v>
      </c>
      <c r="K2394" s="2">
        <v>6636</v>
      </c>
      <c r="P2394" s="3">
        <f>E2394*(VLOOKUP(B2394,Price_data!A$1:B$190,2,FALSE))</f>
        <v>8.9609342727239998</v>
      </c>
      <c r="Q2394" s="3" t="e">
        <f>G2394*(VLOOKUP(B2394,Price_data!A$1:B$190,2,FALSE))</f>
        <v>#N/A</v>
      </c>
      <c r="R2394" s="3" t="e">
        <f>I2394*(VLOOKUP(B2394,Price_data!A$1:B$190,2,FALSE))</f>
        <v>#N/A</v>
      </c>
      <c r="S2394" s="4" t="str">
        <f>(VLOOKUP(B2394,Price_data!A$1:C$190,3,FALSE))</f>
        <v>EEZ</v>
      </c>
      <c r="T2394" s="2" t="str">
        <f>IF(C2394="Total", (VLOOKUP(B2394,Recommended_fish_intake!A$4:D$122,4,FALSE)), "NA")</f>
        <v>NA</v>
      </c>
      <c r="U2394" s="2" t="str">
        <f t="shared" si="307"/>
        <v>NA</v>
      </c>
    </row>
    <row r="2395" spans="1:21" ht="14.25" customHeight="1">
      <c r="A2395" s="2" t="s">
        <v>39</v>
      </c>
      <c r="B2395" s="2">
        <v>1990</v>
      </c>
      <c r="C2395" s="2" t="s">
        <v>35</v>
      </c>
      <c r="D2395" s="3">
        <f t="shared" si="301"/>
        <v>16.940999999999999</v>
      </c>
      <c r="E2395" s="3">
        <f t="shared" si="302"/>
        <v>35.316000000000003</v>
      </c>
      <c r="F2395" s="3" t="e">
        <f t="shared" si="303"/>
        <v>#N/A</v>
      </c>
      <c r="G2395" s="3" t="e">
        <f t="shared" si="304"/>
        <v>#N/A</v>
      </c>
      <c r="H2395" s="3" t="e">
        <f t="shared" si="305"/>
        <v>#N/A</v>
      </c>
      <c r="I2395" s="3" t="e">
        <f t="shared" si="306"/>
        <v>#N/A</v>
      </c>
      <c r="J2395" s="2">
        <v>16941</v>
      </c>
      <c r="K2395" s="2">
        <v>35316</v>
      </c>
      <c r="P2395" s="3">
        <f>E2395*(VLOOKUP(B2395,Price_data!A$1:B$190,2,FALSE))</f>
        <v>47.689022720844008</v>
      </c>
      <c r="Q2395" s="3" t="e">
        <f>G2395*(VLOOKUP(B2395,Price_data!A$1:B$190,2,FALSE))</f>
        <v>#N/A</v>
      </c>
      <c r="R2395" s="3" t="e">
        <f>I2395*(VLOOKUP(B2395,Price_data!A$1:B$190,2,FALSE))</f>
        <v>#N/A</v>
      </c>
      <c r="S2395" s="4" t="str">
        <f>(VLOOKUP(B2395,Price_data!A$1:C$190,3,FALSE))</f>
        <v>EEZ</v>
      </c>
      <c r="T2395" s="2" t="str">
        <f>IF(C2395="Total", (VLOOKUP(B2395,Recommended_fish_intake!A$4:D$122,4,FALSE)), "NA")</f>
        <v>NA</v>
      </c>
      <c r="U2395" s="2" t="str">
        <f t="shared" si="307"/>
        <v>NA</v>
      </c>
    </row>
    <row r="2396" spans="1:21" ht="14.25" customHeight="1">
      <c r="A2396" s="2" t="s">
        <v>39</v>
      </c>
      <c r="B2396" s="2">
        <v>1990</v>
      </c>
      <c r="C2396" s="2" t="s">
        <v>52</v>
      </c>
      <c r="D2396" s="3">
        <f t="shared" si="301"/>
        <v>4.2270000000000003</v>
      </c>
      <c r="E2396" s="3">
        <f t="shared" si="302"/>
        <v>7.3470000000000004</v>
      </c>
      <c r="F2396" s="3" t="e">
        <f t="shared" si="303"/>
        <v>#N/A</v>
      </c>
      <c r="G2396" s="3" t="e">
        <f t="shared" si="304"/>
        <v>#N/A</v>
      </c>
      <c r="H2396" s="3" t="e">
        <f t="shared" si="305"/>
        <v>#N/A</v>
      </c>
      <c r="I2396" s="3" t="e">
        <f t="shared" si="306"/>
        <v>#N/A</v>
      </c>
      <c r="J2396" s="2">
        <v>4227</v>
      </c>
      <c r="K2396" s="2">
        <v>7347</v>
      </c>
      <c r="P2396" s="3">
        <f>E2396*(VLOOKUP(B2396,Price_data!A$1:B$190,2,FALSE))</f>
        <v>9.9210343733730006</v>
      </c>
      <c r="Q2396" s="3" t="e">
        <f>G2396*(VLOOKUP(B2396,Price_data!A$1:B$190,2,FALSE))</f>
        <v>#N/A</v>
      </c>
      <c r="R2396" s="3" t="e">
        <f>I2396*(VLOOKUP(B2396,Price_data!A$1:B$190,2,FALSE))</f>
        <v>#N/A</v>
      </c>
      <c r="S2396" s="4" t="str">
        <f>(VLOOKUP(B2396,Price_data!A$1:C$190,3,FALSE))</f>
        <v>EEZ</v>
      </c>
      <c r="T2396" s="2" t="str">
        <f>IF(C2396="Total", (VLOOKUP(B2396,Recommended_fish_intake!A$4:D$122,4,FALSE)), "NA")</f>
        <v>NA</v>
      </c>
      <c r="U2396" s="2" t="str">
        <f t="shared" si="307"/>
        <v>NA</v>
      </c>
    </row>
    <row r="2397" spans="1:21" ht="14.25" customHeight="1">
      <c r="A2397" s="2" t="s">
        <v>39</v>
      </c>
      <c r="B2397" s="2">
        <v>1990</v>
      </c>
      <c r="C2397" s="2" t="s">
        <v>30</v>
      </c>
      <c r="D2397" s="3">
        <f t="shared" si="301"/>
        <v>0.41499999999999998</v>
      </c>
      <c r="E2397" s="3">
        <f t="shared" si="302"/>
        <v>0.46800000000000003</v>
      </c>
      <c r="F2397" s="3" t="e">
        <f t="shared" si="303"/>
        <v>#N/A</v>
      </c>
      <c r="G2397" s="3" t="e">
        <f t="shared" si="304"/>
        <v>#N/A</v>
      </c>
      <c r="H2397" s="3" t="e">
        <f t="shared" si="305"/>
        <v>#N/A</v>
      </c>
      <c r="I2397" s="3" t="e">
        <f t="shared" si="306"/>
        <v>#N/A</v>
      </c>
      <c r="J2397" s="2">
        <v>415</v>
      </c>
      <c r="K2397" s="2">
        <v>468</v>
      </c>
      <c r="P2397" s="3">
        <f>E2397*(VLOOKUP(B2397,Price_data!A$1:B$190,2,FALSE))</f>
        <v>0.63196462321200009</v>
      </c>
      <c r="Q2397" s="3" t="e">
        <f>G2397*(VLOOKUP(B2397,Price_data!A$1:B$190,2,FALSE))</f>
        <v>#N/A</v>
      </c>
      <c r="R2397" s="3" t="e">
        <f>I2397*(VLOOKUP(B2397,Price_data!A$1:B$190,2,FALSE))</f>
        <v>#N/A</v>
      </c>
      <c r="S2397" s="4" t="str">
        <f>(VLOOKUP(B2397,Price_data!A$1:C$190,3,FALSE))</f>
        <v>EEZ</v>
      </c>
      <c r="T2397" s="2" t="str">
        <f>IF(C2397="Total", (VLOOKUP(B2397,Recommended_fish_intake!A$4:D$122,4,FALSE)), "NA")</f>
        <v>NA</v>
      </c>
      <c r="U2397" s="2" t="str">
        <f t="shared" si="307"/>
        <v>NA</v>
      </c>
    </row>
    <row r="2398" spans="1:21" ht="14.25" customHeight="1">
      <c r="A2398" s="2" t="s">
        <v>39</v>
      </c>
      <c r="B2398" s="2">
        <v>1990</v>
      </c>
      <c r="C2398" s="2" t="s">
        <v>28</v>
      </c>
      <c r="D2398" s="3">
        <f t="shared" si="301"/>
        <v>40.56</v>
      </c>
      <c r="E2398" s="3">
        <f t="shared" si="302"/>
        <v>61.011000000000003</v>
      </c>
      <c r="F2398" s="3" t="e">
        <f t="shared" si="303"/>
        <v>#N/A</v>
      </c>
      <c r="G2398" s="3" t="e">
        <f t="shared" si="304"/>
        <v>#N/A</v>
      </c>
      <c r="H2398" s="3" t="e">
        <f t="shared" si="305"/>
        <v>#N/A</v>
      </c>
      <c r="I2398" s="3" t="e">
        <f t="shared" si="306"/>
        <v>#N/A</v>
      </c>
      <c r="J2398" s="2">
        <v>40560</v>
      </c>
      <c r="K2398" s="2">
        <v>61011</v>
      </c>
      <c r="P2398" s="3">
        <f>E2398*(VLOOKUP(B2398,Price_data!A$1:B$190,2,FALSE))</f>
        <v>82.38631116834901</v>
      </c>
      <c r="Q2398" s="3" t="e">
        <f>G2398*(VLOOKUP(B2398,Price_data!A$1:B$190,2,FALSE))</f>
        <v>#N/A</v>
      </c>
      <c r="R2398" s="3" t="e">
        <f>I2398*(VLOOKUP(B2398,Price_data!A$1:B$190,2,FALSE))</f>
        <v>#N/A</v>
      </c>
      <c r="S2398" s="4" t="str">
        <f>(VLOOKUP(B2398,Price_data!A$1:C$190,3,FALSE))</f>
        <v>EEZ</v>
      </c>
      <c r="T2398" s="2" t="str">
        <f>IF(C2398="Total", (VLOOKUP(B2398,Recommended_fish_intake!A$4:D$122,4,FALSE)), "NA")</f>
        <v>NA</v>
      </c>
      <c r="U2398" s="2">
        <f t="shared" si="307"/>
        <v>11.356800000000002</v>
      </c>
    </row>
    <row r="2399" spans="1:21" ht="14.25" customHeight="1">
      <c r="A2399" s="2" t="s">
        <v>40</v>
      </c>
      <c r="B2399" s="2">
        <v>1990</v>
      </c>
      <c r="C2399" s="2" t="s">
        <v>22</v>
      </c>
      <c r="D2399" s="3">
        <f t="shared" si="301"/>
        <v>2.9369999999999998</v>
      </c>
      <c r="E2399" s="3">
        <f t="shared" si="302"/>
        <v>4.0720000000000001</v>
      </c>
      <c r="F2399" s="3" t="e">
        <f t="shared" si="303"/>
        <v>#N/A</v>
      </c>
      <c r="G2399" s="3" t="e">
        <f t="shared" si="304"/>
        <v>#N/A</v>
      </c>
      <c r="H2399" s="3" t="e">
        <f t="shared" si="305"/>
        <v>#N/A</v>
      </c>
      <c r="I2399" s="3" t="e">
        <f t="shared" si="306"/>
        <v>#N/A</v>
      </c>
      <c r="J2399" s="2">
        <v>2937</v>
      </c>
      <c r="K2399" s="2">
        <v>4072</v>
      </c>
      <c r="P2399" s="3">
        <f>E2399*(VLOOKUP(B2399,Price_data!A$1:B$190,2,FALSE))</f>
        <v>5.4986323626480003</v>
      </c>
      <c r="Q2399" s="3" t="e">
        <f>G2399*(VLOOKUP(B2399,Price_data!A$1:B$190,2,FALSE))</f>
        <v>#N/A</v>
      </c>
      <c r="R2399" s="3" t="e">
        <f>I2399*(VLOOKUP(B2399,Price_data!A$1:B$190,2,FALSE))</f>
        <v>#N/A</v>
      </c>
      <c r="S2399" s="4" t="str">
        <f>(VLOOKUP(B2399,Price_data!A$1:C$190,3,FALSE))</f>
        <v>EEZ</v>
      </c>
      <c r="T2399" s="2" t="str">
        <f>IF(C2399="Total", (VLOOKUP(B2399,Recommended_fish_intake!A$4:D$122,4,FALSE)), "NA")</f>
        <v>NA</v>
      </c>
      <c r="U2399" s="2" t="str">
        <f t="shared" si="307"/>
        <v>NA</v>
      </c>
    </row>
    <row r="2400" spans="1:21" ht="14.25" customHeight="1">
      <c r="A2400" s="2" t="s">
        <v>40</v>
      </c>
      <c r="B2400" s="2">
        <v>1990</v>
      </c>
      <c r="C2400" s="2" t="s">
        <v>23</v>
      </c>
      <c r="D2400" s="3">
        <f t="shared" si="301"/>
        <v>0.18099999999999999</v>
      </c>
      <c r="E2400" s="3">
        <f t="shared" si="302"/>
        <v>0.21</v>
      </c>
      <c r="F2400" s="3" t="e">
        <f t="shared" si="303"/>
        <v>#N/A</v>
      </c>
      <c r="G2400" s="3" t="e">
        <f t="shared" si="304"/>
        <v>#N/A</v>
      </c>
      <c r="H2400" s="3" t="e">
        <f t="shared" si="305"/>
        <v>#N/A</v>
      </c>
      <c r="I2400" s="3" t="e">
        <f t="shared" si="306"/>
        <v>#N/A</v>
      </c>
      <c r="J2400" s="2">
        <v>181</v>
      </c>
      <c r="K2400" s="2">
        <v>210</v>
      </c>
      <c r="P2400" s="3">
        <f>E2400*(VLOOKUP(B2400,Price_data!A$1:B$190,2,FALSE))</f>
        <v>0.28357386939000001</v>
      </c>
      <c r="Q2400" s="3" t="e">
        <f>G2400*(VLOOKUP(B2400,Price_data!A$1:B$190,2,FALSE))</f>
        <v>#N/A</v>
      </c>
      <c r="R2400" s="3" t="e">
        <f>I2400*(VLOOKUP(B2400,Price_data!A$1:B$190,2,FALSE))</f>
        <v>#N/A</v>
      </c>
      <c r="S2400" s="4" t="str">
        <f>(VLOOKUP(B2400,Price_data!A$1:C$190,3,FALSE))</f>
        <v>EEZ</v>
      </c>
      <c r="T2400" s="2" t="str">
        <f>IF(C2400="Total", (VLOOKUP(B2400,Recommended_fish_intake!A$4:D$122,4,FALSE)), "NA")</f>
        <v>NA</v>
      </c>
      <c r="U2400" s="2" t="str">
        <f t="shared" si="307"/>
        <v>NA</v>
      </c>
    </row>
    <row r="2401" spans="1:21" ht="14.25" customHeight="1">
      <c r="A2401" s="2" t="s">
        <v>40</v>
      </c>
      <c r="B2401" s="2">
        <v>1990</v>
      </c>
      <c r="C2401" s="2" t="s">
        <v>58</v>
      </c>
      <c r="D2401" s="3">
        <f t="shared" ref="D2401:D2430" si="308">J2401/1000</f>
        <v>0.33200000000000002</v>
      </c>
      <c r="E2401" s="3">
        <f t="shared" ref="E2401:E2430" si="309">K2401/1000</f>
        <v>0.54900000000000004</v>
      </c>
      <c r="F2401" s="3" t="e">
        <f t="shared" ref="F2401:F2430" si="310">IF(L2401="", NA(), L2401/1000)</f>
        <v>#N/A</v>
      </c>
      <c r="G2401" s="3" t="e">
        <f t="shared" ref="G2401:G2430" si="311">IF(M2401="", NA(), M2401/1000)</f>
        <v>#N/A</v>
      </c>
      <c r="H2401" s="3" t="e">
        <f t="shared" ref="H2401:H2430" si="312">IF(N2401="", NA(), N2401/1000)</f>
        <v>#N/A</v>
      </c>
      <c r="I2401" s="3" t="e">
        <f t="shared" ref="I2401:I2430" si="313">IF(O2401="", NA(), O2401/1000)</f>
        <v>#N/A</v>
      </c>
      <c r="J2401" s="2">
        <v>332</v>
      </c>
      <c r="K2401" s="2">
        <v>549</v>
      </c>
      <c r="P2401" s="3">
        <f>E2401*(VLOOKUP(B2401,Price_data!A$1:B$190,2,FALSE))</f>
        <v>0.74134311569100009</v>
      </c>
      <c r="Q2401" s="3" t="e">
        <f>G2401*(VLOOKUP(B2401,Price_data!A$1:B$190,2,FALSE))</f>
        <v>#N/A</v>
      </c>
      <c r="R2401" s="3" t="e">
        <f>I2401*(VLOOKUP(B2401,Price_data!A$1:B$190,2,FALSE))</f>
        <v>#N/A</v>
      </c>
      <c r="S2401" s="4" t="str">
        <f>(VLOOKUP(B2401,Price_data!A$1:C$190,3,FALSE))</f>
        <v>EEZ</v>
      </c>
      <c r="T2401" s="2" t="str">
        <f>IF(C2401="Total", (VLOOKUP(B2401,Recommended_fish_intake!A$4:D$122,4,FALSE)), "NA")</f>
        <v>NA</v>
      </c>
      <c r="U2401" s="2" t="str">
        <f t="shared" si="307"/>
        <v>NA</v>
      </c>
    </row>
    <row r="2402" spans="1:21" ht="14.25" customHeight="1">
      <c r="A2402" s="2" t="s">
        <v>40</v>
      </c>
      <c r="B2402" s="2">
        <v>1990</v>
      </c>
      <c r="C2402" s="2" t="s">
        <v>25</v>
      </c>
      <c r="D2402" s="3">
        <f t="shared" si="308"/>
        <v>0.248</v>
      </c>
      <c r="E2402" s="3">
        <f t="shared" si="309"/>
        <v>0.186</v>
      </c>
      <c r="F2402" s="3" t="e">
        <f t="shared" si="310"/>
        <v>#N/A</v>
      </c>
      <c r="G2402" s="3" t="e">
        <f t="shared" si="311"/>
        <v>#N/A</v>
      </c>
      <c r="H2402" s="3" t="e">
        <f t="shared" si="312"/>
        <v>#N/A</v>
      </c>
      <c r="I2402" s="3" t="e">
        <f t="shared" si="313"/>
        <v>#N/A</v>
      </c>
      <c r="J2402" s="2">
        <v>248</v>
      </c>
      <c r="K2402" s="2">
        <v>186</v>
      </c>
      <c r="P2402" s="3">
        <f>E2402*(VLOOKUP(B2402,Price_data!A$1:B$190,2,FALSE))</f>
        <v>0.25116542717400003</v>
      </c>
      <c r="Q2402" s="3" t="e">
        <f>G2402*(VLOOKUP(B2402,Price_data!A$1:B$190,2,FALSE))</f>
        <v>#N/A</v>
      </c>
      <c r="R2402" s="3" t="e">
        <f>I2402*(VLOOKUP(B2402,Price_data!A$1:B$190,2,FALSE))</f>
        <v>#N/A</v>
      </c>
      <c r="S2402" s="4" t="str">
        <f>(VLOOKUP(B2402,Price_data!A$1:C$190,3,FALSE))</f>
        <v>EEZ</v>
      </c>
      <c r="T2402" s="2" t="str">
        <f>IF(C2402="Total", (VLOOKUP(B2402,Recommended_fish_intake!A$4:D$122,4,FALSE)), "NA")</f>
        <v>NA</v>
      </c>
      <c r="U2402" s="2" t="str">
        <f t="shared" si="307"/>
        <v>NA</v>
      </c>
    </row>
    <row r="2403" spans="1:21" ht="14.25" customHeight="1">
      <c r="A2403" s="2" t="s">
        <v>40</v>
      </c>
      <c r="B2403" s="2">
        <v>1990</v>
      </c>
      <c r="C2403" s="2" t="s">
        <v>24</v>
      </c>
      <c r="D2403" s="3">
        <f t="shared" si="308"/>
        <v>3.99</v>
      </c>
      <c r="E2403" s="3">
        <f t="shared" si="309"/>
        <v>2.1970000000000001</v>
      </c>
      <c r="F2403" s="3" t="e">
        <f t="shared" si="310"/>
        <v>#N/A</v>
      </c>
      <c r="G2403" s="3" t="e">
        <f t="shared" si="311"/>
        <v>#N/A</v>
      </c>
      <c r="H2403" s="3" t="e">
        <f t="shared" si="312"/>
        <v>#N/A</v>
      </c>
      <c r="I2403" s="3" t="e">
        <f t="shared" si="313"/>
        <v>#N/A</v>
      </c>
      <c r="J2403" s="2">
        <v>3990</v>
      </c>
      <c r="K2403" s="2">
        <v>2197</v>
      </c>
      <c r="P2403" s="3">
        <f>E2403*(VLOOKUP(B2403,Price_data!A$1:B$190,2,FALSE))</f>
        <v>2.966722814523</v>
      </c>
      <c r="Q2403" s="3" t="e">
        <f>G2403*(VLOOKUP(B2403,Price_data!A$1:B$190,2,FALSE))</f>
        <v>#N/A</v>
      </c>
      <c r="R2403" s="3" t="e">
        <f>I2403*(VLOOKUP(B2403,Price_data!A$1:B$190,2,FALSE))</f>
        <v>#N/A</v>
      </c>
      <c r="S2403" s="4" t="str">
        <f>(VLOOKUP(B2403,Price_data!A$1:C$190,3,FALSE))</f>
        <v>EEZ</v>
      </c>
      <c r="T2403" s="2" t="str">
        <f>IF(C2403="Total", (VLOOKUP(B2403,Recommended_fish_intake!A$4:D$122,4,FALSE)), "NA")</f>
        <v>NA</v>
      </c>
      <c r="U2403" s="2" t="str">
        <f t="shared" si="307"/>
        <v>NA</v>
      </c>
    </row>
    <row r="2404" spans="1:21" ht="14.25" customHeight="1">
      <c r="A2404" s="2" t="s">
        <v>40</v>
      </c>
      <c r="B2404" s="2">
        <v>1990</v>
      </c>
      <c r="C2404" s="2" t="s">
        <v>19</v>
      </c>
      <c r="D2404" s="3">
        <f t="shared" si="308"/>
        <v>4.2309999999999999</v>
      </c>
      <c r="E2404" s="3">
        <f t="shared" si="309"/>
        <v>0.42099999999999999</v>
      </c>
      <c r="F2404" s="3" t="e">
        <f t="shared" si="310"/>
        <v>#N/A</v>
      </c>
      <c r="G2404" s="3" t="e">
        <f t="shared" si="311"/>
        <v>#N/A</v>
      </c>
      <c r="H2404" s="3" t="e">
        <f t="shared" si="312"/>
        <v>#N/A</v>
      </c>
      <c r="I2404" s="3" t="e">
        <f t="shared" si="313"/>
        <v>#N/A</v>
      </c>
      <c r="J2404" s="2">
        <v>4231</v>
      </c>
      <c r="K2404" s="2">
        <v>421</v>
      </c>
      <c r="P2404" s="3">
        <f>E2404*(VLOOKUP(B2404,Price_data!A$1:B$190,2,FALSE))</f>
        <v>0.56849809053900002</v>
      </c>
      <c r="Q2404" s="3" t="e">
        <f>G2404*(VLOOKUP(B2404,Price_data!A$1:B$190,2,FALSE))</f>
        <v>#N/A</v>
      </c>
      <c r="R2404" s="3" t="e">
        <f>I2404*(VLOOKUP(B2404,Price_data!A$1:B$190,2,FALSE))</f>
        <v>#N/A</v>
      </c>
      <c r="S2404" s="4" t="str">
        <f>(VLOOKUP(B2404,Price_data!A$1:C$190,3,FALSE))</f>
        <v>EEZ</v>
      </c>
      <c r="T2404" s="2" t="str">
        <f>IF(C2404="Total", (VLOOKUP(B2404,Recommended_fish_intake!A$4:D$122,4,FALSE)), "NA")</f>
        <v>NA</v>
      </c>
      <c r="U2404" s="2" t="str">
        <f t="shared" si="307"/>
        <v>NA</v>
      </c>
    </row>
    <row r="2405" spans="1:21" ht="14.25" customHeight="1">
      <c r="A2405" s="2" t="s">
        <v>40</v>
      </c>
      <c r="B2405" s="2">
        <v>1990</v>
      </c>
      <c r="C2405" s="2" t="s">
        <v>20</v>
      </c>
      <c r="D2405" s="3">
        <f t="shared" si="308"/>
        <v>0.41399999999999998</v>
      </c>
      <c r="E2405" s="3">
        <f t="shared" si="309"/>
        <v>5.0999999999999997E-2</v>
      </c>
      <c r="F2405" s="3" t="e">
        <f t="shared" si="310"/>
        <v>#N/A</v>
      </c>
      <c r="G2405" s="3" t="e">
        <f t="shared" si="311"/>
        <v>#N/A</v>
      </c>
      <c r="H2405" s="3" t="e">
        <f t="shared" si="312"/>
        <v>#N/A</v>
      </c>
      <c r="I2405" s="3" t="e">
        <f t="shared" si="313"/>
        <v>#N/A</v>
      </c>
      <c r="J2405" s="2">
        <v>414</v>
      </c>
      <c r="K2405" s="2">
        <v>51</v>
      </c>
      <c r="P2405" s="3">
        <f>E2405*(VLOOKUP(B2405,Price_data!A$1:B$190,2,FALSE))</f>
        <v>6.8867939709000001E-2</v>
      </c>
      <c r="Q2405" s="3" t="e">
        <f>G2405*(VLOOKUP(B2405,Price_data!A$1:B$190,2,FALSE))</f>
        <v>#N/A</v>
      </c>
      <c r="R2405" s="3" t="e">
        <f>I2405*(VLOOKUP(B2405,Price_data!A$1:B$190,2,FALSE))</f>
        <v>#N/A</v>
      </c>
      <c r="S2405" s="4" t="str">
        <f>(VLOOKUP(B2405,Price_data!A$1:C$190,3,FALSE))</f>
        <v>EEZ</v>
      </c>
      <c r="T2405" s="2" t="str">
        <f>IF(C2405="Total", (VLOOKUP(B2405,Recommended_fish_intake!A$4:D$122,4,FALSE)), "NA")</f>
        <v>NA</v>
      </c>
      <c r="U2405" s="2" t="str">
        <f t="shared" si="307"/>
        <v>NA</v>
      </c>
    </row>
    <row r="2406" spans="1:21" ht="14.25" customHeight="1">
      <c r="A2406" s="2" t="s">
        <v>40</v>
      </c>
      <c r="B2406" s="2">
        <v>1990</v>
      </c>
      <c r="C2406" s="2" t="s">
        <v>37</v>
      </c>
      <c r="D2406" s="3">
        <f t="shared" si="308"/>
        <v>15.686999999999999</v>
      </c>
      <c r="E2406" s="3">
        <f t="shared" si="309"/>
        <v>12.05</v>
      </c>
      <c r="F2406" s="3" t="e">
        <f t="shared" si="310"/>
        <v>#N/A</v>
      </c>
      <c r="G2406" s="3" t="e">
        <f t="shared" si="311"/>
        <v>#N/A</v>
      </c>
      <c r="H2406" s="3" t="e">
        <f t="shared" si="312"/>
        <v>#N/A</v>
      </c>
      <c r="I2406" s="3" t="e">
        <f t="shared" si="313"/>
        <v>#N/A</v>
      </c>
      <c r="J2406" s="2">
        <v>15687</v>
      </c>
      <c r="K2406" s="2">
        <v>12050</v>
      </c>
      <c r="P2406" s="3">
        <f>E2406*(VLOOKUP(B2406,Price_data!A$1:B$190,2,FALSE))</f>
        <v>16.271738695950003</v>
      </c>
      <c r="Q2406" s="3" t="e">
        <f>G2406*(VLOOKUP(B2406,Price_data!A$1:B$190,2,FALSE))</f>
        <v>#N/A</v>
      </c>
      <c r="R2406" s="3" t="e">
        <f>I2406*(VLOOKUP(B2406,Price_data!A$1:B$190,2,FALSE))</f>
        <v>#N/A</v>
      </c>
      <c r="S2406" s="4" t="str">
        <f>(VLOOKUP(B2406,Price_data!A$1:C$190,3,FALSE))</f>
        <v>EEZ</v>
      </c>
      <c r="T2406" s="2" t="str">
        <f>IF(C2406="Total", (VLOOKUP(B2406,Recommended_fish_intake!A$4:D$122,4,FALSE)), "NA")</f>
        <v>NA</v>
      </c>
      <c r="U2406" s="2">
        <f t="shared" si="307"/>
        <v>7.6866299999999992</v>
      </c>
    </row>
    <row r="2407" spans="1:21" ht="14.25" customHeight="1">
      <c r="A2407" s="2" t="s">
        <v>40</v>
      </c>
      <c r="B2407" s="2">
        <v>1990</v>
      </c>
      <c r="C2407" s="2" t="s">
        <v>36</v>
      </c>
      <c r="D2407" s="3">
        <f t="shared" si="308"/>
        <v>0.40699999999999997</v>
      </c>
      <c r="E2407" s="3">
        <f t="shared" si="309"/>
        <v>0.23499999999999999</v>
      </c>
      <c r="F2407" s="3" t="e">
        <f t="shared" si="310"/>
        <v>#N/A</v>
      </c>
      <c r="G2407" s="3" t="e">
        <f t="shared" si="311"/>
        <v>#N/A</v>
      </c>
      <c r="H2407" s="3" t="e">
        <f t="shared" si="312"/>
        <v>#N/A</v>
      </c>
      <c r="I2407" s="3" t="e">
        <f t="shared" si="313"/>
        <v>#N/A</v>
      </c>
      <c r="J2407" s="2">
        <v>407</v>
      </c>
      <c r="K2407" s="2">
        <v>235</v>
      </c>
      <c r="P2407" s="3">
        <f>E2407*(VLOOKUP(B2407,Price_data!A$1:B$190,2,FALSE))</f>
        <v>0.31733266336499999</v>
      </c>
      <c r="Q2407" s="3" t="e">
        <f>G2407*(VLOOKUP(B2407,Price_data!A$1:B$190,2,FALSE))</f>
        <v>#N/A</v>
      </c>
      <c r="R2407" s="3" t="e">
        <f>I2407*(VLOOKUP(B2407,Price_data!A$1:B$190,2,FALSE))</f>
        <v>#N/A</v>
      </c>
      <c r="S2407" s="4" t="str">
        <f>(VLOOKUP(B2407,Price_data!A$1:C$190,3,FALSE))</f>
        <v>EEZ</v>
      </c>
      <c r="T2407" s="2" t="str">
        <f>IF(C2407="Total", (VLOOKUP(B2407,Recommended_fish_intake!A$4:D$122,4,FALSE)), "NA")</f>
        <v>NA</v>
      </c>
      <c r="U2407" s="2" t="str">
        <f t="shared" si="307"/>
        <v>NA</v>
      </c>
    </row>
    <row r="2408" spans="1:21" ht="14.25" customHeight="1">
      <c r="A2408" s="2" t="s">
        <v>40</v>
      </c>
      <c r="B2408" s="2">
        <v>1990</v>
      </c>
      <c r="C2408" s="2" t="s">
        <v>34</v>
      </c>
      <c r="D2408" s="3">
        <f t="shared" si="308"/>
        <v>1.7000000000000001E-2</v>
      </c>
      <c r="E2408" s="3">
        <f t="shared" si="309"/>
        <v>0.112</v>
      </c>
      <c r="F2408" s="3" t="e">
        <f t="shared" si="310"/>
        <v>#N/A</v>
      </c>
      <c r="G2408" s="3" t="e">
        <f t="shared" si="311"/>
        <v>#N/A</v>
      </c>
      <c r="H2408" s="3" t="e">
        <f t="shared" si="312"/>
        <v>#N/A</v>
      </c>
      <c r="I2408" s="3" t="e">
        <f t="shared" si="313"/>
        <v>#N/A</v>
      </c>
      <c r="J2408" s="2">
        <v>17</v>
      </c>
      <c r="K2408" s="2">
        <v>112</v>
      </c>
      <c r="P2408" s="3">
        <f>E2408*(VLOOKUP(B2408,Price_data!A$1:B$190,2,FALSE))</f>
        <v>0.15123939700800001</v>
      </c>
      <c r="Q2408" s="3" t="e">
        <f>G2408*(VLOOKUP(B2408,Price_data!A$1:B$190,2,FALSE))</f>
        <v>#N/A</v>
      </c>
      <c r="R2408" s="3" t="e">
        <f>I2408*(VLOOKUP(B2408,Price_data!A$1:B$190,2,FALSE))</f>
        <v>#N/A</v>
      </c>
      <c r="S2408" s="4" t="str">
        <f>(VLOOKUP(B2408,Price_data!A$1:C$190,3,FALSE))</f>
        <v>EEZ</v>
      </c>
      <c r="T2408" s="2" t="str">
        <f>IF(C2408="Total", (VLOOKUP(B2408,Recommended_fish_intake!A$4:D$122,4,FALSE)), "NA")</f>
        <v>NA</v>
      </c>
      <c r="U2408" s="2" t="str">
        <f t="shared" si="307"/>
        <v>NA</v>
      </c>
    </row>
    <row r="2409" spans="1:21" ht="14.25" customHeight="1">
      <c r="A2409" s="2" t="s">
        <v>40</v>
      </c>
      <c r="B2409" s="2">
        <v>1990</v>
      </c>
      <c r="C2409" s="2" t="s">
        <v>35</v>
      </c>
      <c r="D2409" s="3">
        <f t="shared" si="308"/>
        <v>5.6059999999999999</v>
      </c>
      <c r="E2409" s="3">
        <f t="shared" si="309"/>
        <v>7.859</v>
      </c>
      <c r="F2409" s="3" t="e">
        <f t="shared" si="310"/>
        <v>#N/A</v>
      </c>
      <c r="G2409" s="3" t="e">
        <f t="shared" si="311"/>
        <v>#N/A</v>
      </c>
      <c r="H2409" s="3" t="e">
        <f t="shared" si="312"/>
        <v>#N/A</v>
      </c>
      <c r="I2409" s="3" t="e">
        <f t="shared" si="313"/>
        <v>#N/A</v>
      </c>
      <c r="J2409" s="2">
        <v>5606</v>
      </c>
      <c r="K2409" s="2">
        <v>7859</v>
      </c>
      <c r="P2409" s="3">
        <f>E2409*(VLOOKUP(B2409,Price_data!A$1:B$190,2,FALSE))</f>
        <v>10.612414473981</v>
      </c>
      <c r="Q2409" s="3" t="e">
        <f>G2409*(VLOOKUP(B2409,Price_data!A$1:B$190,2,FALSE))</f>
        <v>#N/A</v>
      </c>
      <c r="R2409" s="3" t="e">
        <f>I2409*(VLOOKUP(B2409,Price_data!A$1:B$190,2,FALSE))</f>
        <v>#N/A</v>
      </c>
      <c r="S2409" s="4" t="str">
        <f>(VLOOKUP(B2409,Price_data!A$1:C$190,3,FALSE))</f>
        <v>EEZ</v>
      </c>
      <c r="T2409" s="2" t="str">
        <f>IF(C2409="Total", (VLOOKUP(B2409,Recommended_fish_intake!A$4:D$122,4,FALSE)), "NA")</f>
        <v>NA</v>
      </c>
      <c r="U2409" s="2" t="str">
        <f t="shared" si="307"/>
        <v>NA</v>
      </c>
    </row>
    <row r="2410" spans="1:21" ht="14.25" customHeight="1">
      <c r="A2410" s="2" t="s">
        <v>40</v>
      </c>
      <c r="B2410" s="2">
        <v>1990</v>
      </c>
      <c r="C2410" s="2" t="s">
        <v>52</v>
      </c>
      <c r="D2410" s="3">
        <f t="shared" si="308"/>
        <v>0.26</v>
      </c>
      <c r="E2410" s="3">
        <f t="shared" si="309"/>
        <v>0.41199999999999998</v>
      </c>
      <c r="F2410" s="3" t="e">
        <f t="shared" si="310"/>
        <v>#N/A</v>
      </c>
      <c r="G2410" s="3" t="e">
        <f t="shared" si="311"/>
        <v>#N/A</v>
      </c>
      <c r="H2410" s="3" t="e">
        <f t="shared" si="312"/>
        <v>#N/A</v>
      </c>
      <c r="I2410" s="3" t="e">
        <f t="shared" si="313"/>
        <v>#N/A</v>
      </c>
      <c r="J2410" s="2">
        <v>260</v>
      </c>
      <c r="K2410" s="2">
        <v>412</v>
      </c>
      <c r="P2410" s="3">
        <f>E2410*(VLOOKUP(B2410,Price_data!A$1:B$190,2,FALSE))</f>
        <v>0.55634492470800001</v>
      </c>
      <c r="Q2410" s="3" t="e">
        <f>G2410*(VLOOKUP(B2410,Price_data!A$1:B$190,2,FALSE))</f>
        <v>#N/A</v>
      </c>
      <c r="R2410" s="3" t="e">
        <f>I2410*(VLOOKUP(B2410,Price_data!A$1:B$190,2,FALSE))</f>
        <v>#N/A</v>
      </c>
      <c r="S2410" s="4" t="str">
        <f>(VLOOKUP(B2410,Price_data!A$1:C$190,3,FALSE))</f>
        <v>EEZ</v>
      </c>
      <c r="T2410" s="2" t="str">
        <f>IF(C2410="Total", (VLOOKUP(B2410,Recommended_fish_intake!A$4:D$122,4,FALSE)), "NA")</f>
        <v>NA</v>
      </c>
      <c r="U2410" s="2" t="str">
        <f t="shared" si="307"/>
        <v>NA</v>
      </c>
    </row>
    <row r="2411" spans="1:21" ht="14.25" customHeight="1">
      <c r="A2411" s="2" t="s">
        <v>40</v>
      </c>
      <c r="B2411" s="2">
        <v>1990</v>
      </c>
      <c r="C2411" s="2" t="s">
        <v>30</v>
      </c>
      <c r="D2411" s="3">
        <f t="shared" si="308"/>
        <v>0</v>
      </c>
      <c r="E2411" s="3">
        <f t="shared" si="309"/>
        <v>0</v>
      </c>
      <c r="F2411" s="3" t="e">
        <f t="shared" si="310"/>
        <v>#N/A</v>
      </c>
      <c r="G2411" s="3" t="e">
        <f t="shared" si="311"/>
        <v>#N/A</v>
      </c>
      <c r="H2411" s="3" t="e">
        <f t="shared" si="312"/>
        <v>#N/A</v>
      </c>
      <c r="I2411" s="3" t="e">
        <f t="shared" si="313"/>
        <v>#N/A</v>
      </c>
      <c r="J2411" s="2">
        <v>0</v>
      </c>
      <c r="K2411" s="2">
        <v>0</v>
      </c>
      <c r="P2411" s="3">
        <f>E2411*(VLOOKUP(B2411,Price_data!A$1:B$190,2,FALSE))</f>
        <v>0</v>
      </c>
      <c r="Q2411" s="3" t="e">
        <f>G2411*(VLOOKUP(B2411,Price_data!A$1:B$190,2,FALSE))</f>
        <v>#N/A</v>
      </c>
      <c r="R2411" s="3" t="e">
        <f>I2411*(VLOOKUP(B2411,Price_data!A$1:B$190,2,FALSE))</f>
        <v>#N/A</v>
      </c>
      <c r="S2411" s="4" t="str">
        <f>(VLOOKUP(B2411,Price_data!A$1:C$190,3,FALSE))</f>
        <v>EEZ</v>
      </c>
      <c r="T2411" s="2" t="str">
        <f>IF(C2411="Total", (VLOOKUP(B2411,Recommended_fish_intake!A$4:D$122,4,FALSE)), "NA")</f>
        <v>NA</v>
      </c>
      <c r="U2411" s="2" t="str">
        <f t="shared" si="307"/>
        <v>NA</v>
      </c>
    </row>
    <row r="2412" spans="1:21" ht="14.25" customHeight="1">
      <c r="A2412" s="2" t="s">
        <v>40</v>
      </c>
      <c r="B2412" s="2">
        <v>1990</v>
      </c>
      <c r="C2412" s="2" t="s">
        <v>28</v>
      </c>
      <c r="D2412" s="3">
        <f t="shared" si="308"/>
        <v>6.8780000000000001</v>
      </c>
      <c r="E2412" s="3">
        <f t="shared" si="309"/>
        <v>8.8190000000000008</v>
      </c>
      <c r="F2412" s="3" t="e">
        <f t="shared" si="310"/>
        <v>#N/A</v>
      </c>
      <c r="G2412" s="3" t="e">
        <f t="shared" si="311"/>
        <v>#N/A</v>
      </c>
      <c r="H2412" s="3" t="e">
        <f t="shared" si="312"/>
        <v>#N/A</v>
      </c>
      <c r="I2412" s="3" t="e">
        <f t="shared" si="313"/>
        <v>#N/A</v>
      </c>
      <c r="J2412" s="2">
        <v>6878</v>
      </c>
      <c r="K2412" s="2">
        <v>8819</v>
      </c>
      <c r="P2412" s="3">
        <f>E2412*(VLOOKUP(B2412,Price_data!A$1:B$190,2,FALSE))</f>
        <v>11.908752162621001</v>
      </c>
      <c r="Q2412" s="3" t="e">
        <f>G2412*(VLOOKUP(B2412,Price_data!A$1:B$190,2,FALSE))</f>
        <v>#N/A</v>
      </c>
      <c r="R2412" s="3" t="e">
        <f>I2412*(VLOOKUP(B2412,Price_data!A$1:B$190,2,FALSE))</f>
        <v>#N/A</v>
      </c>
      <c r="S2412" s="4" t="str">
        <f>(VLOOKUP(B2412,Price_data!A$1:C$190,3,FALSE))</f>
        <v>EEZ</v>
      </c>
      <c r="T2412" s="2" t="str">
        <f>IF(C2412="Total", (VLOOKUP(B2412,Recommended_fish_intake!A$4:D$122,4,FALSE)), "NA")</f>
        <v>NA</v>
      </c>
      <c r="U2412" s="2">
        <f t="shared" si="307"/>
        <v>1.9258400000000002</v>
      </c>
    </row>
    <row r="2413" spans="1:21" ht="14.25" customHeight="1">
      <c r="A2413" s="2" t="s">
        <v>15</v>
      </c>
      <c r="B2413" s="2">
        <v>1990</v>
      </c>
      <c r="C2413" s="2" t="s">
        <v>22</v>
      </c>
      <c r="D2413" s="3">
        <f t="shared" si="308"/>
        <v>60.371000000000002</v>
      </c>
      <c r="E2413" s="3">
        <f t="shared" si="309"/>
        <v>76.759</v>
      </c>
      <c r="F2413" s="3" t="e">
        <f t="shared" si="310"/>
        <v>#N/A</v>
      </c>
      <c r="G2413" s="3" t="e">
        <f t="shared" si="311"/>
        <v>#N/A</v>
      </c>
      <c r="H2413" s="3">
        <f t="shared" si="312"/>
        <v>134.964</v>
      </c>
      <c r="I2413" s="3">
        <f t="shared" si="313"/>
        <v>252.82300000000001</v>
      </c>
      <c r="J2413" s="2">
        <v>60371</v>
      </c>
      <c r="K2413" s="2">
        <v>76759</v>
      </c>
      <c r="N2413" s="2">
        <f>39379+79904+15192+489</f>
        <v>134964</v>
      </c>
      <c r="O2413" s="2">
        <f>48811+187479+15586+947</f>
        <v>252823</v>
      </c>
      <c r="P2413" s="3">
        <f>E2413*(VLOOKUP(B2413,Price_data!A$1:B$190,2,FALSE))</f>
        <v>103.65165066908101</v>
      </c>
      <c r="Q2413" s="3" t="e">
        <f>G2413*(VLOOKUP(B2413,Price_data!A$1:B$190,2,FALSE))</f>
        <v>#N/A</v>
      </c>
      <c r="R2413" s="3">
        <f>I2413*(VLOOKUP(B2413,Price_data!A$1:B$190,2,FALSE))</f>
        <v>341.399982765657</v>
      </c>
      <c r="S2413" s="4" t="str">
        <f>(VLOOKUP(B2413,Price_data!A$1:C$190,3,FALSE))</f>
        <v>EEZ</v>
      </c>
      <c r="T2413" s="2" t="str">
        <f>IF(C2413="Total", (VLOOKUP(B2413,Recommended_fish_intake!A$4:D$122,4,FALSE)), "NA")</f>
        <v>NA</v>
      </c>
      <c r="U2413" s="2" t="str">
        <f t="shared" si="307"/>
        <v>NA</v>
      </c>
    </row>
    <row r="2414" spans="1:21" ht="14.25" customHeight="1">
      <c r="A2414" s="2" t="s">
        <v>15</v>
      </c>
      <c r="B2414" s="2">
        <v>1990</v>
      </c>
      <c r="C2414" s="2" t="s">
        <v>23</v>
      </c>
      <c r="D2414" s="3">
        <f t="shared" si="308"/>
        <v>49.076000000000001</v>
      </c>
      <c r="E2414" s="3">
        <f t="shared" si="309"/>
        <v>59.369</v>
      </c>
      <c r="F2414" s="3" t="e">
        <f t="shared" si="310"/>
        <v>#N/A</v>
      </c>
      <c r="G2414" s="3" t="e">
        <f t="shared" si="311"/>
        <v>#N/A</v>
      </c>
      <c r="H2414" s="3">
        <f t="shared" si="312"/>
        <v>36.853000000000002</v>
      </c>
      <c r="I2414" s="3">
        <f t="shared" si="313"/>
        <v>61.460999999999999</v>
      </c>
      <c r="J2414" s="2">
        <v>49076</v>
      </c>
      <c r="K2414" s="2">
        <v>59369</v>
      </c>
      <c r="N2414" s="2">
        <f>19481+10829+6543</f>
        <v>36853</v>
      </c>
      <c r="O2414" s="2">
        <f>25794+29841+5826</f>
        <v>61461</v>
      </c>
      <c r="P2414" s="3">
        <f>E2414*(VLOOKUP(B2414,Price_data!A$1:B$190,2,FALSE))</f>
        <v>80.169033580071002</v>
      </c>
      <c r="Q2414" s="3" t="e">
        <f>G2414*(VLOOKUP(B2414,Price_data!A$1:B$190,2,FALSE))</f>
        <v>#N/A</v>
      </c>
      <c r="R2414" s="3">
        <f>I2414*(VLOOKUP(B2414,Price_data!A$1:B$190,2,FALSE))</f>
        <v>82.993969459899006</v>
      </c>
      <c r="S2414" s="4" t="str">
        <f>(VLOOKUP(B2414,Price_data!A$1:C$190,3,FALSE))</f>
        <v>EEZ</v>
      </c>
      <c r="T2414" s="2" t="str">
        <f>IF(C2414="Total", (VLOOKUP(B2414,Recommended_fish_intake!A$4:D$122,4,FALSE)), "NA")</f>
        <v>NA</v>
      </c>
      <c r="U2414" s="2" t="str">
        <f t="shared" si="307"/>
        <v>NA</v>
      </c>
    </row>
    <row r="2415" spans="1:21" ht="14.25" customHeight="1">
      <c r="A2415" s="2" t="s">
        <v>15</v>
      </c>
      <c r="B2415" s="2">
        <v>1990</v>
      </c>
      <c r="C2415" s="2" t="s">
        <v>58</v>
      </c>
      <c r="D2415" s="3">
        <f t="shared" si="308"/>
        <v>12.513</v>
      </c>
      <c r="E2415" s="3">
        <f t="shared" si="309"/>
        <v>26.919</v>
      </c>
      <c r="F2415" s="3" t="e">
        <f t="shared" si="310"/>
        <v>#N/A</v>
      </c>
      <c r="G2415" s="3" t="e">
        <f t="shared" si="311"/>
        <v>#N/A</v>
      </c>
      <c r="H2415" s="3" t="e">
        <f t="shared" si="312"/>
        <v>#N/A</v>
      </c>
      <c r="I2415" s="3" t="e">
        <f t="shared" si="313"/>
        <v>#N/A</v>
      </c>
      <c r="J2415" s="2">
        <v>12513</v>
      </c>
      <c r="K2415" s="2">
        <v>26919</v>
      </c>
      <c r="P2415" s="3">
        <f>E2415*(VLOOKUP(B2415,Price_data!A$1:B$190,2,FALSE))</f>
        <v>36.350119000521005</v>
      </c>
      <c r="Q2415" s="3" t="e">
        <f>G2415*(VLOOKUP(B2415,Price_data!A$1:B$190,2,FALSE))</f>
        <v>#N/A</v>
      </c>
      <c r="R2415" s="3" t="e">
        <f>I2415*(VLOOKUP(B2415,Price_data!A$1:B$190,2,FALSE))</f>
        <v>#N/A</v>
      </c>
      <c r="S2415" s="4" t="str">
        <f>(VLOOKUP(B2415,Price_data!A$1:C$190,3,FALSE))</f>
        <v>EEZ</v>
      </c>
      <c r="T2415" s="2" t="str">
        <f>IF(C2415="Total", (VLOOKUP(B2415,Recommended_fish_intake!A$4:D$122,4,FALSE)), "NA")</f>
        <v>NA</v>
      </c>
      <c r="U2415" s="2" t="str">
        <f t="shared" si="307"/>
        <v>NA</v>
      </c>
    </row>
    <row r="2416" spans="1:21" ht="14.25" customHeight="1">
      <c r="A2416" s="2" t="s">
        <v>15</v>
      </c>
      <c r="B2416" s="2">
        <v>1990</v>
      </c>
      <c r="C2416" s="2" t="s">
        <v>25</v>
      </c>
      <c r="D2416" s="3">
        <f t="shared" si="308"/>
        <v>25.291</v>
      </c>
      <c r="E2416" s="3">
        <f t="shared" si="309"/>
        <v>23.815000000000001</v>
      </c>
      <c r="F2416" s="3" t="e">
        <f t="shared" si="310"/>
        <v>#N/A</v>
      </c>
      <c r="G2416" s="3" t="e">
        <f t="shared" si="311"/>
        <v>#N/A</v>
      </c>
      <c r="H2416" s="3">
        <f t="shared" si="312"/>
        <v>16.277000000000001</v>
      </c>
      <c r="I2416" s="3">
        <f t="shared" si="313"/>
        <v>21.751000000000001</v>
      </c>
      <c r="J2416" s="2">
        <v>25291</v>
      </c>
      <c r="K2416" s="2">
        <v>23815</v>
      </c>
      <c r="N2416" s="2">
        <f>12460+3009+808</f>
        <v>16277</v>
      </c>
      <c r="O2416" s="2">
        <f>11936+8650+1165</f>
        <v>21751</v>
      </c>
      <c r="P2416" s="3">
        <f>E2416*(VLOOKUP(B2416,Price_data!A$1:B$190,2,FALSE))</f>
        <v>32.158627140585004</v>
      </c>
      <c r="Q2416" s="3" t="e">
        <f>G2416*(VLOOKUP(B2416,Price_data!A$1:B$190,2,FALSE))</f>
        <v>#N/A</v>
      </c>
      <c r="R2416" s="3">
        <f>I2416*(VLOOKUP(B2416,Price_data!A$1:B$190,2,FALSE))</f>
        <v>29.371501110009003</v>
      </c>
      <c r="S2416" s="4" t="str">
        <f>(VLOOKUP(B2416,Price_data!A$1:C$190,3,FALSE))</f>
        <v>EEZ</v>
      </c>
      <c r="T2416" s="2" t="str">
        <f>IF(C2416="Total", (VLOOKUP(B2416,Recommended_fish_intake!A$4:D$122,4,FALSE)), "NA")</f>
        <v>NA</v>
      </c>
      <c r="U2416" s="2" t="str">
        <f t="shared" si="307"/>
        <v>NA</v>
      </c>
    </row>
    <row r="2417" spans="1:21" ht="14.25" customHeight="1">
      <c r="A2417" s="2" t="s">
        <v>15</v>
      </c>
      <c r="B2417" s="2">
        <v>1990</v>
      </c>
      <c r="C2417" s="2" t="s">
        <v>24</v>
      </c>
      <c r="D2417" s="3">
        <f t="shared" si="308"/>
        <v>38.308</v>
      </c>
      <c r="E2417" s="3">
        <f t="shared" si="309"/>
        <v>26.085000000000001</v>
      </c>
      <c r="F2417" s="3" t="e">
        <f t="shared" si="310"/>
        <v>#N/A</v>
      </c>
      <c r="G2417" s="3" t="e">
        <f t="shared" si="311"/>
        <v>#N/A</v>
      </c>
      <c r="H2417" s="3" t="e">
        <f t="shared" si="312"/>
        <v>#N/A</v>
      </c>
      <c r="I2417" s="3" t="e">
        <f t="shared" si="313"/>
        <v>#N/A</v>
      </c>
      <c r="J2417" s="2">
        <v>38308</v>
      </c>
      <c r="K2417" s="2">
        <v>26085</v>
      </c>
      <c r="P2417" s="3">
        <f>E2417*(VLOOKUP(B2417,Price_data!A$1:B$190,2,FALSE))</f>
        <v>35.223925633515002</v>
      </c>
      <c r="Q2417" s="3" t="e">
        <f>G2417*(VLOOKUP(B2417,Price_data!A$1:B$190,2,FALSE))</f>
        <v>#N/A</v>
      </c>
      <c r="R2417" s="3" t="e">
        <f>I2417*(VLOOKUP(B2417,Price_data!A$1:B$190,2,FALSE))</f>
        <v>#N/A</v>
      </c>
      <c r="S2417" s="4" t="str">
        <f>(VLOOKUP(B2417,Price_data!A$1:C$190,3,FALSE))</f>
        <v>EEZ</v>
      </c>
      <c r="T2417" s="2" t="str">
        <f>IF(C2417="Total", (VLOOKUP(B2417,Recommended_fish_intake!A$4:D$122,4,FALSE)), "NA")</f>
        <v>NA</v>
      </c>
      <c r="U2417" s="2" t="str">
        <f t="shared" si="307"/>
        <v>NA</v>
      </c>
    </row>
    <row r="2418" spans="1:21" ht="14.25" customHeight="1">
      <c r="A2418" s="2" t="s">
        <v>15</v>
      </c>
      <c r="B2418" s="2">
        <v>1990</v>
      </c>
      <c r="C2418" s="2" t="s">
        <v>19</v>
      </c>
      <c r="D2418" s="3">
        <f t="shared" si="308"/>
        <v>98.757999999999996</v>
      </c>
      <c r="E2418" s="3">
        <f t="shared" si="309"/>
        <v>11.705</v>
      </c>
      <c r="F2418" s="3" t="e">
        <f t="shared" si="310"/>
        <v>#N/A</v>
      </c>
      <c r="G2418" s="3" t="e">
        <f t="shared" si="311"/>
        <v>#N/A</v>
      </c>
      <c r="H2418" s="3">
        <f t="shared" si="312"/>
        <v>11.86</v>
      </c>
      <c r="I2418" s="3">
        <f t="shared" si="313"/>
        <v>6.8879999999999999</v>
      </c>
      <c r="J2418" s="2">
        <v>98758</v>
      </c>
      <c r="K2418" s="2">
        <v>11705</v>
      </c>
      <c r="N2418" s="2">
        <f>4726+5145+784+1205</f>
        <v>11860</v>
      </c>
      <c r="O2418" s="2">
        <f>1504+2249+1136+1999</f>
        <v>6888</v>
      </c>
      <c r="P2418" s="3">
        <f>E2418*(VLOOKUP(B2418,Price_data!A$1:B$190,2,FALSE))</f>
        <v>15.805867339095</v>
      </c>
      <c r="Q2418" s="3" t="e">
        <f>G2418*(VLOOKUP(B2418,Price_data!A$1:B$190,2,FALSE))</f>
        <v>#N/A</v>
      </c>
      <c r="R2418" s="3">
        <f>I2418*(VLOOKUP(B2418,Price_data!A$1:B$190,2,FALSE))</f>
        <v>9.3012229159919997</v>
      </c>
      <c r="S2418" s="4" t="str">
        <f>(VLOOKUP(B2418,Price_data!A$1:C$190,3,FALSE))</f>
        <v>EEZ</v>
      </c>
      <c r="T2418" s="2" t="str">
        <f>IF(C2418="Total", (VLOOKUP(B2418,Recommended_fish_intake!A$4:D$122,4,FALSE)), "NA")</f>
        <v>NA</v>
      </c>
      <c r="U2418" s="2" t="str">
        <f t="shared" si="307"/>
        <v>NA</v>
      </c>
    </row>
    <row r="2419" spans="1:21" ht="14.25" customHeight="1">
      <c r="A2419" s="2" t="s">
        <v>15</v>
      </c>
      <c r="B2419" s="2">
        <v>1990</v>
      </c>
      <c r="C2419" s="2" t="s">
        <v>20</v>
      </c>
      <c r="D2419" s="3">
        <f t="shared" si="308"/>
        <v>146.54499999999999</v>
      </c>
      <c r="E2419" s="3">
        <f t="shared" si="309"/>
        <v>18.042999999999999</v>
      </c>
      <c r="F2419" s="3" t="e">
        <f t="shared" si="310"/>
        <v>#N/A</v>
      </c>
      <c r="G2419" s="3" t="e">
        <f t="shared" si="311"/>
        <v>#N/A</v>
      </c>
      <c r="H2419" s="3">
        <f t="shared" si="312"/>
        <v>3.1219999999999999</v>
      </c>
      <c r="I2419" s="3">
        <f t="shared" si="313"/>
        <v>6.1239999999999997</v>
      </c>
      <c r="J2419" s="2">
        <v>146545</v>
      </c>
      <c r="K2419" s="2">
        <v>18043</v>
      </c>
      <c r="N2419" s="2">
        <v>3122</v>
      </c>
      <c r="O2419" s="2">
        <v>6124</v>
      </c>
      <c r="P2419" s="3">
        <f>E2419*(VLOOKUP(B2419,Price_data!A$1:B$190,2,FALSE))</f>
        <v>24.364396787636998</v>
      </c>
      <c r="Q2419" s="3" t="e">
        <f>G2419*(VLOOKUP(B2419,Price_data!A$1:B$190,2,FALSE))</f>
        <v>#N/A</v>
      </c>
      <c r="R2419" s="3">
        <f>I2419*(VLOOKUP(B2419,Price_data!A$1:B$190,2,FALSE))</f>
        <v>8.2695541721159991</v>
      </c>
      <c r="S2419" s="4" t="str">
        <f>(VLOOKUP(B2419,Price_data!A$1:C$190,3,FALSE))</f>
        <v>EEZ</v>
      </c>
      <c r="T2419" s="2" t="str">
        <f>IF(C2419="Total", (VLOOKUP(B2419,Recommended_fish_intake!A$4:D$122,4,FALSE)), "NA")</f>
        <v>NA</v>
      </c>
      <c r="U2419" s="2" t="str">
        <f t="shared" si="307"/>
        <v>NA</v>
      </c>
    </row>
    <row r="2420" spans="1:21" ht="14.25" customHeight="1">
      <c r="A2420" s="2" t="s">
        <v>15</v>
      </c>
      <c r="B2420" s="2">
        <v>1990</v>
      </c>
      <c r="C2420" s="2" t="s">
        <v>37</v>
      </c>
      <c r="D2420" s="3">
        <f t="shared" si="308"/>
        <v>528.36699999999996</v>
      </c>
      <c r="E2420" s="3">
        <f t="shared" si="309"/>
        <v>329.49099999999999</v>
      </c>
      <c r="F2420" s="3">
        <f t="shared" si="310"/>
        <v>287.59500000000003</v>
      </c>
      <c r="G2420" s="3">
        <f t="shared" si="311"/>
        <v>312.39699999999999</v>
      </c>
      <c r="H2420" s="3">
        <f t="shared" si="312"/>
        <v>432.89400000000001</v>
      </c>
      <c r="I2420" s="3">
        <f t="shared" si="313"/>
        <v>740.32</v>
      </c>
      <c r="J2420" s="2">
        <v>528367</v>
      </c>
      <c r="K2420" s="2">
        <v>329491</v>
      </c>
      <c r="L2420" s="2">
        <v>287595</v>
      </c>
      <c r="M2420" s="2">
        <v>312397</v>
      </c>
      <c r="N2420" s="2">
        <v>432894</v>
      </c>
      <c r="O2420" s="2">
        <v>740320</v>
      </c>
      <c r="P2420" s="3">
        <f>E2420*(VLOOKUP(B2420,Price_data!A$1:B$190,2,FALSE))</f>
        <v>444.92875142466897</v>
      </c>
      <c r="Q2420" s="3">
        <f>G2420*(VLOOKUP(B2420,Price_data!A$1:B$190,2,FALSE))</f>
        <v>421.84583845632301</v>
      </c>
      <c r="R2420" s="3">
        <f>I2420*(VLOOKUP(B2420,Price_data!A$1:B$190,2,FALSE))</f>
        <v>999.69241422288007</v>
      </c>
      <c r="S2420" s="4" t="str">
        <f>(VLOOKUP(B2420,Price_data!A$1:C$190,3,FALSE))</f>
        <v>EEZ</v>
      </c>
      <c r="T2420" s="2" t="str">
        <f>IF(C2420="Total", (VLOOKUP(B2420,Recommended_fish_intake!A$4:D$122,4,FALSE)), "NA")</f>
        <v>NA</v>
      </c>
      <c r="U2420" s="2">
        <f t="shared" si="307"/>
        <v>258.89982999999995</v>
      </c>
    </row>
    <row r="2421" spans="1:21" ht="14.25" customHeight="1">
      <c r="A2421" s="2" t="s">
        <v>15</v>
      </c>
      <c r="B2421" s="2">
        <v>1990</v>
      </c>
      <c r="C2421" s="2" t="s">
        <v>36</v>
      </c>
      <c r="D2421" s="3">
        <f t="shared" si="308"/>
        <v>16.111000000000001</v>
      </c>
      <c r="E2421" s="3">
        <f t="shared" si="309"/>
        <v>15.064</v>
      </c>
      <c r="F2421" s="3" t="e">
        <f t="shared" si="310"/>
        <v>#N/A</v>
      </c>
      <c r="G2421" s="3" t="e">
        <f t="shared" si="311"/>
        <v>#N/A</v>
      </c>
      <c r="H2421" s="3">
        <f t="shared" si="312"/>
        <v>1.669</v>
      </c>
      <c r="I2421" s="3">
        <f t="shared" si="313"/>
        <v>8.2590000000000003</v>
      </c>
      <c r="J2421" s="2">
        <v>16111</v>
      </c>
      <c r="K2421" s="2">
        <v>15064</v>
      </c>
      <c r="N2421" s="2">
        <v>1669</v>
      </c>
      <c r="O2421" s="2">
        <v>8259</v>
      </c>
      <c r="P2421" s="3">
        <f>E2421*(VLOOKUP(B2421,Price_data!A$1:B$190,2,FALSE))</f>
        <v>20.341698897576002</v>
      </c>
      <c r="Q2421" s="3" t="e">
        <f>G2421*(VLOOKUP(B2421,Price_data!A$1:B$190,2,FALSE))</f>
        <v>#N/A</v>
      </c>
      <c r="R2421" s="3">
        <f>I2421*(VLOOKUP(B2421,Price_data!A$1:B$190,2,FALSE))</f>
        <v>11.152555177581</v>
      </c>
      <c r="S2421" s="4" t="str">
        <f>(VLOOKUP(B2421,Price_data!A$1:C$190,3,FALSE))</f>
        <v>EEZ</v>
      </c>
      <c r="T2421" s="2" t="str">
        <f>IF(C2421="Total", (VLOOKUP(B2421,Recommended_fish_intake!A$4:D$122,4,FALSE)), "NA")</f>
        <v>NA</v>
      </c>
      <c r="U2421" s="2" t="str">
        <f t="shared" si="307"/>
        <v>NA</v>
      </c>
    </row>
    <row r="2422" spans="1:21" ht="14.25" customHeight="1">
      <c r="A2422" s="2" t="s">
        <v>15</v>
      </c>
      <c r="B2422" s="2">
        <v>1990</v>
      </c>
      <c r="C2422" s="2" t="s">
        <v>34</v>
      </c>
      <c r="D2422" s="3">
        <f t="shared" si="308"/>
        <v>1.33</v>
      </c>
      <c r="E2422" s="3">
        <f t="shared" si="309"/>
        <v>11.115</v>
      </c>
      <c r="F2422" s="3" t="e">
        <f t="shared" si="310"/>
        <v>#N/A</v>
      </c>
      <c r="G2422" s="3" t="e">
        <f t="shared" si="311"/>
        <v>#N/A</v>
      </c>
      <c r="H2422" s="3" t="e">
        <f t="shared" si="312"/>
        <v>#N/A</v>
      </c>
      <c r="I2422" s="3" t="e">
        <f t="shared" si="313"/>
        <v>#N/A</v>
      </c>
      <c r="J2422" s="2">
        <v>1330</v>
      </c>
      <c r="K2422" s="2">
        <v>11115</v>
      </c>
      <c r="P2422" s="3">
        <f>E2422*(VLOOKUP(B2422,Price_data!A$1:B$190,2,FALSE))</f>
        <v>15.009159801285001</v>
      </c>
      <c r="Q2422" s="3" t="e">
        <f>G2422*(VLOOKUP(B2422,Price_data!A$1:B$190,2,FALSE))</f>
        <v>#N/A</v>
      </c>
      <c r="R2422" s="3" t="e">
        <f>I2422*(VLOOKUP(B2422,Price_data!A$1:B$190,2,FALSE))</f>
        <v>#N/A</v>
      </c>
      <c r="S2422" s="4" t="str">
        <f>(VLOOKUP(B2422,Price_data!A$1:C$190,3,FALSE))</f>
        <v>EEZ</v>
      </c>
      <c r="T2422" s="2" t="str">
        <f>IF(C2422="Total", (VLOOKUP(B2422,Recommended_fish_intake!A$4:D$122,4,FALSE)), "NA")</f>
        <v>NA</v>
      </c>
      <c r="U2422" s="2" t="str">
        <f t="shared" si="307"/>
        <v>NA</v>
      </c>
    </row>
    <row r="2423" spans="1:21" ht="14.25" customHeight="1">
      <c r="A2423" s="2" t="s">
        <v>15</v>
      </c>
      <c r="B2423" s="2">
        <v>1990</v>
      </c>
      <c r="C2423" s="2" t="s">
        <v>35</v>
      </c>
      <c r="D2423" s="3">
        <f t="shared" si="308"/>
        <v>25.472999999999999</v>
      </c>
      <c r="E2423" s="3">
        <f t="shared" si="309"/>
        <v>48.658999999999999</v>
      </c>
      <c r="F2423" s="3" t="e">
        <f t="shared" si="310"/>
        <v>#N/A</v>
      </c>
      <c r="G2423" s="3" t="e">
        <f t="shared" si="311"/>
        <v>#N/A</v>
      </c>
      <c r="H2423" s="3" t="e">
        <f t="shared" si="312"/>
        <v>#N/A</v>
      </c>
      <c r="I2423" s="3" t="e">
        <f t="shared" si="313"/>
        <v>#N/A</v>
      </c>
      <c r="J2423" s="2">
        <v>25473</v>
      </c>
      <c r="K2423" s="2">
        <v>48659</v>
      </c>
      <c r="P2423" s="3">
        <f>E2423*(VLOOKUP(B2423,Price_data!A$1:B$190,2,FALSE))</f>
        <v>65.706766241181001</v>
      </c>
      <c r="Q2423" s="3" t="e">
        <f>G2423*(VLOOKUP(B2423,Price_data!A$1:B$190,2,FALSE))</f>
        <v>#N/A</v>
      </c>
      <c r="R2423" s="3" t="e">
        <f>I2423*(VLOOKUP(B2423,Price_data!A$1:B$190,2,FALSE))</f>
        <v>#N/A</v>
      </c>
      <c r="S2423" s="4" t="str">
        <f>(VLOOKUP(B2423,Price_data!A$1:C$190,3,FALSE))</f>
        <v>EEZ</v>
      </c>
      <c r="T2423" s="2" t="str">
        <f>IF(C2423="Total", (VLOOKUP(B2423,Recommended_fish_intake!A$4:D$122,4,FALSE)), "NA")</f>
        <v>NA</v>
      </c>
      <c r="U2423" s="2" t="str">
        <f t="shared" si="307"/>
        <v>NA</v>
      </c>
    </row>
    <row r="2424" spans="1:21" ht="14.25" customHeight="1">
      <c r="A2424" s="2" t="s">
        <v>15</v>
      </c>
      <c r="B2424" s="2">
        <v>1990</v>
      </c>
      <c r="C2424" s="2" t="s">
        <v>52</v>
      </c>
      <c r="D2424" s="3">
        <f t="shared" si="308"/>
        <v>7.7720000000000002</v>
      </c>
      <c r="E2424" s="3">
        <f t="shared" si="309"/>
        <v>12.455</v>
      </c>
      <c r="F2424" s="3" t="e">
        <f t="shared" si="310"/>
        <v>#N/A</v>
      </c>
      <c r="G2424" s="3" t="e">
        <f t="shared" si="311"/>
        <v>#N/A</v>
      </c>
      <c r="H2424" s="3" t="e">
        <f t="shared" si="312"/>
        <v>#N/A</v>
      </c>
      <c r="I2424" s="3" t="e">
        <f t="shared" si="313"/>
        <v>#N/A</v>
      </c>
      <c r="J2424" s="2">
        <v>7772</v>
      </c>
      <c r="K2424" s="2">
        <v>12455</v>
      </c>
      <c r="P2424" s="3">
        <f>E2424*(VLOOKUP(B2424,Price_data!A$1:B$190,2,FALSE))</f>
        <v>16.818631158344999</v>
      </c>
      <c r="Q2424" s="3" t="e">
        <f>G2424*(VLOOKUP(B2424,Price_data!A$1:B$190,2,FALSE))</f>
        <v>#N/A</v>
      </c>
      <c r="R2424" s="3" t="e">
        <f>I2424*(VLOOKUP(B2424,Price_data!A$1:B$190,2,FALSE))</f>
        <v>#N/A</v>
      </c>
      <c r="S2424" s="4" t="str">
        <f>(VLOOKUP(B2424,Price_data!A$1:C$190,3,FALSE))</f>
        <v>EEZ</v>
      </c>
      <c r="T2424" s="2" t="str">
        <f>IF(C2424="Total", (VLOOKUP(B2424,Recommended_fish_intake!A$4:D$122,4,FALSE)), "NA")</f>
        <v>NA</v>
      </c>
      <c r="U2424" s="2" t="str">
        <f t="shared" si="307"/>
        <v>NA</v>
      </c>
    </row>
    <row r="2425" spans="1:21" ht="14.25" customHeight="1">
      <c r="A2425" s="2" t="s">
        <v>15</v>
      </c>
      <c r="B2425" s="2">
        <v>1990</v>
      </c>
      <c r="C2425" s="2" t="s">
        <v>30</v>
      </c>
      <c r="D2425" s="3">
        <f t="shared" si="308"/>
        <v>1.1890000000000001</v>
      </c>
      <c r="E2425" s="3">
        <f t="shared" si="309"/>
        <v>1.9590000000000001</v>
      </c>
      <c r="F2425" s="3" t="e">
        <f t="shared" si="310"/>
        <v>#N/A</v>
      </c>
      <c r="G2425" s="3" t="e">
        <f t="shared" si="311"/>
        <v>#N/A</v>
      </c>
      <c r="H2425" s="3">
        <f t="shared" si="312"/>
        <v>25.489000000000001</v>
      </c>
      <c r="I2425" s="3">
        <f t="shared" si="313"/>
        <v>84.983000000000004</v>
      </c>
      <c r="J2425" s="2">
        <v>1189</v>
      </c>
      <c r="K2425" s="2">
        <v>1959</v>
      </c>
      <c r="N2425" s="2">
        <f>5264+20225</f>
        <v>25489</v>
      </c>
      <c r="O2425" s="2">
        <f>17321+67662</f>
        <v>84983</v>
      </c>
      <c r="P2425" s="3">
        <f>E2425*(VLOOKUP(B2425,Price_data!A$1:B$190,2,FALSE))</f>
        <v>2.6453390958810004</v>
      </c>
      <c r="Q2425" s="3" t="e">
        <f>G2425*(VLOOKUP(B2425,Price_data!A$1:B$190,2,FALSE))</f>
        <v>#N/A</v>
      </c>
      <c r="R2425" s="3">
        <f>I2425*(VLOOKUP(B2425,Price_data!A$1:B$190,2,FALSE))</f>
        <v>114.75694353509701</v>
      </c>
      <c r="S2425" s="4" t="str">
        <f>(VLOOKUP(B2425,Price_data!A$1:C$190,3,FALSE))</f>
        <v>EEZ</v>
      </c>
      <c r="T2425" s="2" t="str">
        <f>IF(C2425="Total", (VLOOKUP(B2425,Recommended_fish_intake!A$4:D$122,4,FALSE)), "NA")</f>
        <v>NA</v>
      </c>
      <c r="U2425" s="2" t="str">
        <f t="shared" si="307"/>
        <v>NA</v>
      </c>
    </row>
    <row r="2426" spans="1:21" ht="14.25" customHeight="1">
      <c r="A2426" s="2" t="s">
        <v>15</v>
      </c>
      <c r="B2426" s="2">
        <v>1990</v>
      </c>
      <c r="C2426" s="2" t="s">
        <v>28</v>
      </c>
      <c r="D2426" s="3">
        <f t="shared" si="308"/>
        <v>93.143000000000001</v>
      </c>
      <c r="E2426" s="3">
        <f t="shared" si="309"/>
        <v>101.012</v>
      </c>
      <c r="F2426" s="3">
        <f t="shared" si="310"/>
        <v>63.762</v>
      </c>
      <c r="G2426" s="3">
        <f t="shared" si="311"/>
        <v>194.024</v>
      </c>
      <c r="H2426" s="3">
        <f t="shared" si="312"/>
        <v>64.459000000000003</v>
      </c>
      <c r="I2426" s="3">
        <f t="shared" si="313"/>
        <v>228.64599999999999</v>
      </c>
      <c r="J2426" s="2">
        <v>93143</v>
      </c>
      <c r="K2426" s="2">
        <v>101012</v>
      </c>
      <c r="L2426" s="2">
        <v>63762</v>
      </c>
      <c r="M2426" s="2">
        <v>194024</v>
      </c>
      <c r="N2426" s="2">
        <v>64459</v>
      </c>
      <c r="O2426" s="2">
        <v>228646</v>
      </c>
      <c r="P2426" s="3">
        <f>E2426*(VLOOKUP(B2426,Price_data!A$1:B$190,2,FALSE))</f>
        <v>136.401731880108</v>
      </c>
      <c r="Q2426" s="3">
        <f>G2426*(VLOOKUP(B2426,Price_data!A$1:B$190,2,FALSE))</f>
        <v>262.00064968821601</v>
      </c>
      <c r="R2426" s="3">
        <f>I2426*(VLOOKUP(B2426,Price_data!A$1:B$190,2,FALSE))</f>
        <v>308.75252828831401</v>
      </c>
      <c r="S2426" s="4" t="str">
        <f>(VLOOKUP(B2426,Price_data!A$1:C$190,3,FALSE))</f>
        <v>EEZ</v>
      </c>
      <c r="T2426" s="2" t="str">
        <f>IF(C2426="Total", (VLOOKUP(B2426,Recommended_fish_intake!A$4:D$122,4,FALSE)), "NA")</f>
        <v>NA</v>
      </c>
      <c r="U2426" s="2">
        <f t="shared" si="307"/>
        <v>26.080040000000004</v>
      </c>
    </row>
    <row r="2427" spans="1:21" ht="14.25" customHeight="1">
      <c r="A2427" s="2" t="s">
        <v>18</v>
      </c>
      <c r="B2427" s="2">
        <v>1990</v>
      </c>
      <c r="C2427" s="2" t="s">
        <v>16</v>
      </c>
      <c r="D2427" s="3">
        <f t="shared" si="308"/>
        <v>140.56200000000001</v>
      </c>
      <c r="E2427" s="3">
        <f t="shared" si="309"/>
        <v>141.989</v>
      </c>
      <c r="F2427" s="3" t="e">
        <f t="shared" si="310"/>
        <v>#N/A</v>
      </c>
      <c r="G2427" s="3" t="e">
        <f t="shared" si="311"/>
        <v>#N/A</v>
      </c>
      <c r="H2427" s="3" t="e">
        <f t="shared" si="312"/>
        <v>#N/A</v>
      </c>
      <c r="I2427" s="3" t="e">
        <f t="shared" si="313"/>
        <v>#N/A</v>
      </c>
      <c r="J2427" s="2">
        <v>140562</v>
      </c>
      <c r="K2427" s="2">
        <v>141989</v>
      </c>
      <c r="P2427" s="3">
        <f>E2427*(VLOOKUP(B2427,Price_data!A$1:B$190,2,FALSE))</f>
        <v>191.735095908651</v>
      </c>
      <c r="Q2427" s="3" t="e">
        <f>G2427*(VLOOKUP(B2427,Price_data!A$1:B$190,2,FALSE))</f>
        <v>#N/A</v>
      </c>
      <c r="R2427" s="3" t="e">
        <f>I2427*(VLOOKUP(B2427,Price_data!A$1:B$190,2,FALSE))</f>
        <v>#N/A</v>
      </c>
      <c r="S2427" s="4" t="str">
        <f>(VLOOKUP(B2427,Price_data!A$1:C$190,3,FALSE))</f>
        <v>EEZ</v>
      </c>
      <c r="T2427" s="2">
        <f>IF(C2427="Total", (VLOOKUP(B2427,Recommended_fish_intake!A$4:D$122,4,FALSE)), "NA")</f>
        <v>756.27328277592005</v>
      </c>
      <c r="U2427" s="2" t="str">
        <f t="shared" si="307"/>
        <v>NA</v>
      </c>
    </row>
    <row r="2428" spans="1:21" ht="14.25" customHeight="1">
      <c r="A2428" s="2" t="s">
        <v>39</v>
      </c>
      <c r="B2428" s="2">
        <v>1990</v>
      </c>
      <c r="C2428" s="2" t="s">
        <v>16</v>
      </c>
      <c r="D2428" s="3">
        <f t="shared" si="308"/>
        <v>458.38299999999998</v>
      </c>
      <c r="E2428" s="3">
        <f t="shared" si="309"/>
        <v>267.64499999999998</v>
      </c>
      <c r="F2428" s="3" t="e">
        <f t="shared" si="310"/>
        <v>#N/A</v>
      </c>
      <c r="G2428" s="3" t="e">
        <f t="shared" si="311"/>
        <v>#N/A</v>
      </c>
      <c r="H2428" s="3" t="e">
        <f t="shared" si="312"/>
        <v>#N/A</v>
      </c>
      <c r="I2428" s="3" t="e">
        <f t="shared" si="313"/>
        <v>#N/A</v>
      </c>
      <c r="J2428" s="2">
        <v>458383</v>
      </c>
      <c r="K2428" s="2">
        <v>267645</v>
      </c>
      <c r="P2428" s="3">
        <f>E2428*(VLOOKUP(B2428,Price_data!A$1:B$190,2,FALSE))</f>
        <v>361.41489653755497</v>
      </c>
      <c r="Q2428" s="3" t="e">
        <f>G2428*(VLOOKUP(B2428,Price_data!A$1:B$190,2,FALSE))</f>
        <v>#N/A</v>
      </c>
      <c r="R2428" s="3" t="e">
        <f>I2428*(VLOOKUP(B2428,Price_data!A$1:B$190,2,FALSE))</f>
        <v>#N/A</v>
      </c>
      <c r="S2428" s="4" t="str">
        <f>(VLOOKUP(B2428,Price_data!A$1:C$190,3,FALSE))</f>
        <v>EEZ</v>
      </c>
      <c r="T2428" s="2">
        <f>IF(C2428="Total", (VLOOKUP(B2428,Recommended_fish_intake!A$4:D$122,4,FALSE)), "NA")</f>
        <v>756.27328277592005</v>
      </c>
      <c r="U2428" s="2" t="str">
        <f t="shared" si="307"/>
        <v>NA</v>
      </c>
    </row>
    <row r="2429" spans="1:21" ht="14.25" customHeight="1">
      <c r="A2429" s="2" t="s">
        <v>40</v>
      </c>
      <c r="B2429" s="2">
        <v>1990</v>
      </c>
      <c r="C2429" s="2" t="s">
        <v>16</v>
      </c>
      <c r="D2429" s="3">
        <f t="shared" si="308"/>
        <v>22.565000000000001</v>
      </c>
      <c r="E2429" s="3">
        <f t="shared" si="309"/>
        <v>20.869</v>
      </c>
      <c r="F2429" s="3" t="e">
        <f t="shared" si="310"/>
        <v>#N/A</v>
      </c>
      <c r="G2429" s="3" t="e">
        <f t="shared" si="311"/>
        <v>#N/A</v>
      </c>
      <c r="H2429" s="3" t="e">
        <f t="shared" si="312"/>
        <v>#N/A</v>
      </c>
      <c r="I2429" s="3" t="e">
        <f t="shared" si="313"/>
        <v>#N/A</v>
      </c>
      <c r="J2429" s="2">
        <v>22565</v>
      </c>
      <c r="K2429" s="2">
        <v>20869</v>
      </c>
      <c r="P2429" s="3">
        <f>E2429*(VLOOKUP(B2429,Price_data!A$1:B$190,2,FALSE))</f>
        <v>28.180490858571002</v>
      </c>
      <c r="Q2429" s="3" t="e">
        <f>G2429*(VLOOKUP(B2429,Price_data!A$1:B$190,2,FALSE))</f>
        <v>#N/A</v>
      </c>
      <c r="R2429" s="3" t="e">
        <f>I2429*(VLOOKUP(B2429,Price_data!A$1:B$190,2,FALSE))</f>
        <v>#N/A</v>
      </c>
      <c r="S2429" s="4" t="str">
        <f>(VLOOKUP(B2429,Price_data!A$1:C$190,3,FALSE))</f>
        <v>EEZ</v>
      </c>
      <c r="T2429" s="2">
        <f>IF(C2429="Total", (VLOOKUP(B2429,Recommended_fish_intake!A$4:D$122,4,FALSE)), "NA")</f>
        <v>756.27328277592005</v>
      </c>
      <c r="U2429" s="2" t="str">
        <f t="shared" si="307"/>
        <v>NA</v>
      </c>
    </row>
    <row r="2430" spans="1:21" ht="14.25" customHeight="1">
      <c r="A2430" s="2" t="s">
        <v>15</v>
      </c>
      <c r="B2430" s="2">
        <v>1990</v>
      </c>
      <c r="C2430" s="2" t="s">
        <v>16</v>
      </c>
      <c r="D2430" s="3">
        <f t="shared" si="308"/>
        <v>621.51</v>
      </c>
      <c r="E2430" s="3">
        <f t="shared" si="309"/>
        <v>430.50299999999999</v>
      </c>
      <c r="F2430" s="3">
        <f t="shared" si="310"/>
        <v>351.35700000000003</v>
      </c>
      <c r="G2430" s="3">
        <f t="shared" si="311"/>
        <v>506.42099999999999</v>
      </c>
      <c r="H2430" s="3">
        <f t="shared" si="312"/>
        <v>497.35300000000001</v>
      </c>
      <c r="I2430" s="3">
        <f t="shared" si="313"/>
        <v>698.96600000000001</v>
      </c>
      <c r="J2430" s="2">
        <v>621510</v>
      </c>
      <c r="K2430" s="2">
        <v>430503</v>
      </c>
      <c r="L2430" s="2">
        <v>351357</v>
      </c>
      <c r="M2430" s="2">
        <v>506421</v>
      </c>
      <c r="N2430" s="2">
        <v>497353</v>
      </c>
      <c r="O2430" s="2">
        <v>698966</v>
      </c>
      <c r="P2430" s="3">
        <f>E2430*(VLOOKUP(B2430,Price_data!A$1:B$190,2,FALSE))</f>
        <v>581.33048330477698</v>
      </c>
      <c r="Q2430" s="3">
        <f>G2430*(VLOOKUP(B2430,Price_data!A$1:B$190,2,FALSE))</f>
        <v>683.84648814453897</v>
      </c>
      <c r="R2430" s="3">
        <f>I2430*(VLOOKUP(B2430,Price_data!A$1:B$190,2,FALSE))</f>
        <v>943.84996758119405</v>
      </c>
      <c r="S2430" s="4" t="str">
        <f>(VLOOKUP(B2430,Price_data!A$1:C$190,3,FALSE))</f>
        <v>EEZ</v>
      </c>
      <c r="T2430" s="2">
        <f>IF(C2430="Total", (VLOOKUP(B2430,Recommended_fish_intake!A$4:D$122,4,FALSE)), "NA")</f>
        <v>756.27328277592005</v>
      </c>
      <c r="U2430" s="2" t="str">
        <f t="shared" si="307"/>
        <v>NA</v>
      </c>
    </row>
    <row r="2431" spans="1:21" ht="14.25" customHeight="1">
      <c r="A2431" s="2" t="s">
        <v>15</v>
      </c>
      <c r="B2431" s="2">
        <v>1990</v>
      </c>
      <c r="C2431" s="2" t="s">
        <v>21</v>
      </c>
      <c r="D2431" s="3">
        <v>2.5779999999999998</v>
      </c>
      <c r="E2431" s="3">
        <v>0.502</v>
      </c>
      <c r="F2431" s="2" t="s">
        <v>92</v>
      </c>
      <c r="G2431" s="2" t="s">
        <v>92</v>
      </c>
      <c r="H2431" s="2" t="s">
        <v>92</v>
      </c>
      <c r="I2431" s="2" t="s">
        <v>92</v>
      </c>
      <c r="P2431" s="3">
        <f>E2431*(VLOOKUP(B2431,Price_data!A$1:B$190,2,FALSE))</f>
        <v>0.67787658301800002</v>
      </c>
      <c r="Q2431" s="3" t="e">
        <f>G2431*(VLOOKUP(B2431,Price_data!A$1:B$190,2,FALSE))</f>
        <v>#VALUE!</v>
      </c>
      <c r="R2431" s="3" t="e">
        <f>I2431*(VLOOKUP(B2431,Price_data!A$1:B$190,2,FALSE))</f>
        <v>#VALUE!</v>
      </c>
      <c r="S2431" s="4" t="str">
        <f>(VLOOKUP(B2431,Price_data!A$1:C$190,3,FALSE))</f>
        <v>EEZ</v>
      </c>
      <c r="T2431" s="2" t="str">
        <f>IF(C2431="Total", (VLOOKUP(B2431,Recommended_fish_intake!A$4:D$122,4,FALSE)), "NA")</f>
        <v>NA</v>
      </c>
      <c r="U2431" s="2" t="str">
        <f t="shared" si="307"/>
        <v>NA</v>
      </c>
    </row>
    <row r="2432" spans="1:21" ht="14.25" customHeight="1">
      <c r="A2432" s="2" t="s">
        <v>15</v>
      </c>
      <c r="B2432" s="2">
        <v>1990</v>
      </c>
      <c r="C2432" s="2" t="s">
        <v>29</v>
      </c>
      <c r="D2432" s="3" t="e">
        <f>J2432/1000</f>
        <v>#N/A</v>
      </c>
      <c r="E2432" s="3" t="e">
        <f>K2432/1000</f>
        <v>#N/A</v>
      </c>
      <c r="F2432" s="3" t="e">
        <f t="shared" ref="F2432:I2433" si="314">IF(L2432="", NA(), L2432/1000)</f>
        <v>#N/A</v>
      </c>
      <c r="G2432" s="3" t="e">
        <f t="shared" si="314"/>
        <v>#N/A</v>
      </c>
      <c r="H2432" s="3">
        <f t="shared" si="314"/>
        <v>35.421999999999997</v>
      </c>
      <c r="I2432" s="3">
        <f t="shared" si="314"/>
        <v>122.53</v>
      </c>
      <c r="J2432" s="3" t="e">
        <v>#N/A</v>
      </c>
      <c r="K2432" s="3" t="e">
        <v>#N/A</v>
      </c>
      <c r="L2432" s="3" t="e">
        <v>#N/A</v>
      </c>
      <c r="M2432" s="3" t="e">
        <v>#N/A</v>
      </c>
      <c r="N2432" s="2">
        <f>4266+2740+28416</f>
        <v>35422</v>
      </c>
      <c r="O2432" s="2">
        <f>16178+6507+99845</f>
        <v>122530</v>
      </c>
      <c r="P2432" s="3" t="e">
        <f>E2432*(VLOOKUP(B2432,Price_data!A$1:B$190,2,FALSE))</f>
        <v>#N/A</v>
      </c>
      <c r="Q2432" s="3" t="e">
        <f>G2432*(VLOOKUP(B2432,Price_data!A$1:B$190,2,FALSE))</f>
        <v>#N/A</v>
      </c>
      <c r="R2432" s="3">
        <f>I2432*(VLOOKUP(B2432,Price_data!A$1:B$190,2,FALSE))</f>
        <v>165.45860103027002</v>
      </c>
      <c r="S2432" s="4" t="str">
        <f>(VLOOKUP(B2432,Price_data!A$1:C$190,3,FALSE))</f>
        <v>EEZ</v>
      </c>
      <c r="T2432" s="2" t="str">
        <f>IF(C2432="Total", (VLOOKUP(B2432,Recommended_fish_intake!A$4:D$122,4,FALSE)), "NA")</f>
        <v>NA</v>
      </c>
      <c r="U2432" s="2" t="str">
        <f t="shared" si="307"/>
        <v>NA</v>
      </c>
    </row>
    <row r="2433" spans="1:21" ht="14.25" customHeight="1">
      <c r="A2433" s="2" t="s">
        <v>15</v>
      </c>
      <c r="B2433" s="2">
        <v>1990</v>
      </c>
      <c r="C2433" s="2" t="s">
        <v>43</v>
      </c>
      <c r="D2433" s="3" t="e">
        <f>J2433/1000</f>
        <v>#N/A</v>
      </c>
      <c r="E2433" s="3" t="e">
        <f>K2433/1000</f>
        <v>#N/A</v>
      </c>
      <c r="F2433" s="3" t="e">
        <f t="shared" si="314"/>
        <v>#N/A</v>
      </c>
      <c r="G2433" s="3" t="e">
        <f t="shared" si="314"/>
        <v>#N/A</v>
      </c>
      <c r="H2433" s="3">
        <f t="shared" si="314"/>
        <v>48.948</v>
      </c>
      <c r="I2433" s="3">
        <f t="shared" si="314"/>
        <v>70.908000000000001</v>
      </c>
      <c r="J2433" s="3" t="e">
        <v>#N/A</v>
      </c>
      <c r="K2433" s="3" t="e">
        <v>#N/A</v>
      </c>
      <c r="L2433" s="3" t="e">
        <v>#N/A</v>
      </c>
      <c r="M2433" s="3" t="e">
        <v>#N/A</v>
      </c>
      <c r="N2433" s="2">
        <v>48948</v>
      </c>
      <c r="O2433" s="2">
        <v>70908</v>
      </c>
      <c r="P2433" s="3" t="e">
        <f>E2433*(VLOOKUP(B2433,Price_data!A$1:B$190,2,FALSE))</f>
        <v>#N/A</v>
      </c>
      <c r="Q2433" s="3" t="e">
        <f>G2433*(VLOOKUP(B2433,Price_data!A$1:B$190,2,FALSE))</f>
        <v>#N/A</v>
      </c>
      <c r="R2433" s="3">
        <f>I2433*(VLOOKUP(B2433,Price_data!A$1:B$190,2,FALSE))</f>
        <v>95.750742527172008</v>
      </c>
      <c r="S2433" s="4" t="str">
        <f>(VLOOKUP(B2433,Price_data!A$1:C$190,3,FALSE))</f>
        <v>EEZ</v>
      </c>
      <c r="T2433" s="2" t="str">
        <f>IF(C2433="Total", (VLOOKUP(B2433,Recommended_fish_intake!A$4:D$122,4,FALSE)), "NA")</f>
        <v>NA</v>
      </c>
      <c r="U2433" s="2" t="str">
        <f t="shared" si="307"/>
        <v>NA</v>
      </c>
    </row>
    <row r="2434" spans="1:21" ht="14.25" customHeight="1">
      <c r="A2434" s="2" t="s">
        <v>18</v>
      </c>
      <c r="B2434" s="2">
        <v>1991</v>
      </c>
      <c r="C2434" s="2" t="s">
        <v>16</v>
      </c>
      <c r="D2434" s="2">
        <v>169.1</v>
      </c>
      <c r="E2434" s="2">
        <v>145.69999999999999</v>
      </c>
      <c r="F2434" s="2" t="s">
        <v>92</v>
      </c>
      <c r="G2434" s="2" t="s">
        <v>92</v>
      </c>
      <c r="H2434" s="2" t="s">
        <v>92</v>
      </c>
      <c r="I2434" s="2" t="s">
        <v>92</v>
      </c>
      <c r="P2434" s="3">
        <f>E2434*(VLOOKUP(B2434,Price_data!A$1:B$190,2,FALSE))</f>
        <v>185.83873171009998</v>
      </c>
      <c r="Q2434" s="3" t="e">
        <f>G2434*(VLOOKUP(B2434,Price_data!A$1:B$190,2,FALSE))</f>
        <v>#VALUE!</v>
      </c>
      <c r="R2434" s="3" t="e">
        <f>I2434*(VLOOKUP(B2434,Price_data!A$1:B$190,2,FALSE))</f>
        <v>#VALUE!</v>
      </c>
      <c r="S2434" s="4" t="str">
        <f>(VLOOKUP(B2434,Price_data!A$1:C$190,3,FALSE))</f>
        <v>EEZ</v>
      </c>
      <c r="T2434" s="2">
        <f>IF(C2434="Total", (VLOOKUP(B2434,Recommended_fish_intake!A$4:D$122,4,FALSE)), "NA")</f>
        <v>758.2473833844</v>
      </c>
      <c r="U2434" s="2" t="str">
        <f t="shared" ref="U2434:U2497" si="315">IF(C2434="Wet fish", D2434*0.49, IF(C2434="Shellfish", D2434*0.28, "NA"))</f>
        <v>NA</v>
      </c>
    </row>
    <row r="2435" spans="1:21" ht="14.25" customHeight="1">
      <c r="A2435" s="2" t="s">
        <v>39</v>
      </c>
      <c r="B2435" s="2">
        <v>1991</v>
      </c>
      <c r="C2435" s="2" t="s">
        <v>16</v>
      </c>
      <c r="D2435" s="2">
        <v>458.4</v>
      </c>
      <c r="E2435" s="2">
        <v>266.8</v>
      </c>
      <c r="F2435" s="2" t="s">
        <v>92</v>
      </c>
      <c r="G2435" s="2" t="s">
        <v>92</v>
      </c>
      <c r="H2435" s="2" t="s">
        <v>92</v>
      </c>
      <c r="I2435" s="2" t="s">
        <v>92</v>
      </c>
      <c r="P2435" s="3">
        <f>E2435*(VLOOKUP(B2435,Price_data!A$1:B$190,2,FALSE))</f>
        <v>340.30043665239998</v>
      </c>
      <c r="Q2435" s="3" t="e">
        <f>G2435*(VLOOKUP(B2435,Price_data!A$1:B$190,2,FALSE))</f>
        <v>#VALUE!</v>
      </c>
      <c r="R2435" s="3" t="e">
        <f>I2435*(VLOOKUP(B2435,Price_data!A$1:B$190,2,FALSE))</f>
        <v>#VALUE!</v>
      </c>
      <c r="S2435" s="4" t="str">
        <f>(VLOOKUP(B2435,Price_data!A$1:C$190,3,FALSE))</f>
        <v>EEZ</v>
      </c>
      <c r="T2435" s="2">
        <f>IF(C2435="Total", (VLOOKUP(B2435,Recommended_fish_intake!A$4:D$122,4,FALSE)), "NA")</f>
        <v>758.2473833844</v>
      </c>
      <c r="U2435" s="2" t="str">
        <f t="shared" si="315"/>
        <v>NA</v>
      </c>
    </row>
    <row r="2436" spans="1:21" ht="14.25" customHeight="1">
      <c r="A2436" s="2" t="s">
        <v>40</v>
      </c>
      <c r="B2436" s="2">
        <v>1991</v>
      </c>
      <c r="C2436" s="2" t="s">
        <v>16</v>
      </c>
      <c r="D2436" s="2">
        <v>23.9</v>
      </c>
      <c r="E2436" s="2">
        <v>19.7</v>
      </c>
      <c r="F2436" s="2" t="s">
        <v>92</v>
      </c>
      <c r="G2436" s="2" t="s">
        <v>92</v>
      </c>
      <c r="H2436" s="2" t="s">
        <v>92</v>
      </c>
      <c r="I2436" s="2" t="s">
        <v>92</v>
      </c>
      <c r="P2436" s="3">
        <f>E2436*(VLOOKUP(B2436,Price_data!A$1:B$190,2,FALSE))</f>
        <v>25.127131192099998</v>
      </c>
      <c r="Q2436" s="3" t="e">
        <f>G2436*(VLOOKUP(B2436,Price_data!A$1:B$190,2,FALSE))</f>
        <v>#VALUE!</v>
      </c>
      <c r="R2436" s="3" t="e">
        <f>I2436*(VLOOKUP(B2436,Price_data!A$1:B$190,2,FALSE))</f>
        <v>#VALUE!</v>
      </c>
      <c r="S2436" s="4" t="str">
        <f>(VLOOKUP(B2436,Price_data!A$1:C$190,3,FALSE))</f>
        <v>EEZ</v>
      </c>
      <c r="T2436" s="2">
        <f>IF(C2436="Total", (VLOOKUP(B2436,Recommended_fish_intake!A$4:D$122,4,FALSE)), "NA")</f>
        <v>758.2473833844</v>
      </c>
      <c r="U2436" s="2" t="str">
        <f t="shared" si="315"/>
        <v>NA</v>
      </c>
    </row>
    <row r="2437" spans="1:21" ht="14.25" customHeight="1">
      <c r="A2437" s="2" t="s">
        <v>15</v>
      </c>
      <c r="B2437" s="2">
        <v>1991</v>
      </c>
      <c r="C2437" s="2" t="s">
        <v>16</v>
      </c>
      <c r="D2437" s="2">
        <v>651.5</v>
      </c>
      <c r="E2437" s="2">
        <v>432.3</v>
      </c>
      <c r="F2437" s="3">
        <f>L2437/1000</f>
        <v>408.43</v>
      </c>
      <c r="G2437" s="3">
        <f>M2437/1000</f>
        <v>570.16499999999996</v>
      </c>
      <c r="H2437" s="3">
        <f>N2437/1000</f>
        <v>481.23</v>
      </c>
      <c r="I2437" s="3">
        <f>O2437/1000</f>
        <v>965.59500000000003</v>
      </c>
      <c r="L2437" s="2">
        <v>408430</v>
      </c>
      <c r="M2437" s="2">
        <v>570165</v>
      </c>
      <c r="N2437" s="2">
        <v>481230</v>
      </c>
      <c r="O2437" s="2">
        <v>965595</v>
      </c>
      <c r="P2437" s="3">
        <f>E2437*(VLOOKUP(B2437,Price_data!A$1:B$190,2,FALSE))</f>
        <v>551.39384844389997</v>
      </c>
      <c r="Q2437" s="3">
        <f>G2437*(VLOOKUP(B2437,Price_data!A$1:B$190,2,FALSE))</f>
        <v>727.23912467734488</v>
      </c>
      <c r="R2437" s="3">
        <f>I2437*(VLOOKUP(B2437,Price_data!A$1:B$190,2,FALSE))</f>
        <v>1231.605697636335</v>
      </c>
      <c r="S2437" s="4" t="str">
        <f>(VLOOKUP(B2437,Price_data!A$1:C$190,3,FALSE))</f>
        <v>EEZ</v>
      </c>
      <c r="T2437" s="2">
        <f>IF(C2437="Total", (VLOOKUP(B2437,Recommended_fish_intake!A$4:D$122,4,FALSE)), "NA")</f>
        <v>758.2473833844</v>
      </c>
      <c r="U2437" s="2" t="str">
        <f t="shared" si="315"/>
        <v>NA</v>
      </c>
    </row>
    <row r="2438" spans="1:21" ht="14.25" customHeight="1">
      <c r="A2438" s="2" t="s">
        <v>18</v>
      </c>
      <c r="B2438" s="2">
        <v>1991</v>
      </c>
      <c r="C2438" s="2" t="s">
        <v>42</v>
      </c>
      <c r="D2438" s="2">
        <v>17.2</v>
      </c>
      <c r="E2438" s="2">
        <v>2.9</v>
      </c>
      <c r="F2438" s="2" t="s">
        <v>92</v>
      </c>
      <c r="G2438" s="2" t="s">
        <v>92</v>
      </c>
      <c r="H2438" s="2" t="s">
        <v>92</v>
      </c>
      <c r="I2438" s="2" t="s">
        <v>92</v>
      </c>
      <c r="P2438" s="3">
        <f>E2438*(VLOOKUP(B2438,Price_data!A$1:B$190,2,FALSE))</f>
        <v>3.6989177896999994</v>
      </c>
      <c r="Q2438" s="3" t="e">
        <f>G2438*(VLOOKUP(B2438,Price_data!A$1:B$190,2,FALSE))</f>
        <v>#VALUE!</v>
      </c>
      <c r="R2438" s="3" t="e">
        <f>I2438*(VLOOKUP(B2438,Price_data!A$1:B$190,2,FALSE))</f>
        <v>#VALUE!</v>
      </c>
      <c r="S2438" s="4" t="str">
        <f>(VLOOKUP(B2438,Price_data!A$1:C$190,3,FALSE))</f>
        <v>EEZ</v>
      </c>
      <c r="T2438" s="2" t="str">
        <f>IF(C2438="Total", (VLOOKUP(B2438,Recommended_fish_intake!A$4:D$122,4,FALSE)), "NA")</f>
        <v>NA</v>
      </c>
      <c r="U2438" s="2" t="str">
        <f t="shared" si="315"/>
        <v>NA</v>
      </c>
    </row>
    <row r="2439" spans="1:21" ht="14.25" customHeight="1">
      <c r="A2439" s="2" t="s">
        <v>39</v>
      </c>
      <c r="B2439" s="2">
        <v>1991</v>
      </c>
      <c r="C2439" s="2" t="s">
        <v>42</v>
      </c>
      <c r="D2439" s="2">
        <v>211.3</v>
      </c>
      <c r="E2439" s="2">
        <v>24.9</v>
      </c>
      <c r="F2439" s="2" t="s">
        <v>92</v>
      </c>
      <c r="G2439" s="2" t="s">
        <v>92</v>
      </c>
      <c r="H2439" s="2" t="s">
        <v>92</v>
      </c>
      <c r="I2439" s="2" t="s">
        <v>92</v>
      </c>
      <c r="P2439" s="3">
        <f>E2439*(VLOOKUP(B2439,Price_data!A$1:B$190,2,FALSE))</f>
        <v>31.759673435699995</v>
      </c>
      <c r="Q2439" s="3" t="e">
        <f>G2439*(VLOOKUP(B2439,Price_data!A$1:B$190,2,FALSE))</f>
        <v>#VALUE!</v>
      </c>
      <c r="R2439" s="3" t="e">
        <f>I2439*(VLOOKUP(B2439,Price_data!A$1:B$190,2,FALSE))</f>
        <v>#VALUE!</v>
      </c>
      <c r="S2439" s="4" t="str">
        <f>(VLOOKUP(B2439,Price_data!A$1:C$190,3,FALSE))</f>
        <v>EEZ</v>
      </c>
      <c r="T2439" s="2" t="str">
        <f>IF(C2439="Total", (VLOOKUP(B2439,Recommended_fish_intake!A$4:D$122,4,FALSE)), "NA")</f>
        <v>NA</v>
      </c>
      <c r="U2439" s="2" t="str">
        <f t="shared" si="315"/>
        <v>NA</v>
      </c>
    </row>
    <row r="2440" spans="1:21" ht="14.25" customHeight="1">
      <c r="A2440" s="2" t="s">
        <v>40</v>
      </c>
      <c r="B2440" s="2">
        <v>1991</v>
      </c>
      <c r="C2440" s="2" t="s">
        <v>42</v>
      </c>
      <c r="D2440" s="2">
        <v>4.5999999999999996</v>
      </c>
      <c r="E2440" s="2">
        <v>0.5</v>
      </c>
      <c r="F2440" s="2" t="s">
        <v>92</v>
      </c>
      <c r="G2440" s="2" t="s">
        <v>92</v>
      </c>
      <c r="H2440" s="2" t="s">
        <v>92</v>
      </c>
      <c r="I2440" s="2" t="s">
        <v>92</v>
      </c>
      <c r="P2440" s="3">
        <f>E2440*(VLOOKUP(B2440,Price_data!A$1:B$190,2,FALSE))</f>
        <v>0.63774444649999995</v>
      </c>
      <c r="Q2440" s="3" t="e">
        <f>G2440*(VLOOKUP(B2440,Price_data!A$1:B$190,2,FALSE))</f>
        <v>#VALUE!</v>
      </c>
      <c r="R2440" s="3" t="e">
        <f>I2440*(VLOOKUP(B2440,Price_data!A$1:B$190,2,FALSE))</f>
        <v>#VALUE!</v>
      </c>
      <c r="S2440" s="4" t="str">
        <f>(VLOOKUP(B2440,Price_data!A$1:C$190,3,FALSE))</f>
        <v>EEZ</v>
      </c>
      <c r="T2440" s="2" t="str">
        <f>IF(C2440="Total", (VLOOKUP(B2440,Recommended_fish_intake!A$4:D$122,4,FALSE)), "NA")</f>
        <v>NA</v>
      </c>
      <c r="U2440" s="2" t="str">
        <f t="shared" si="315"/>
        <v>NA</v>
      </c>
    </row>
    <row r="2441" spans="1:21" ht="14.25" customHeight="1">
      <c r="A2441" s="2" t="s">
        <v>15</v>
      </c>
      <c r="B2441" s="2">
        <v>1991</v>
      </c>
      <c r="C2441" s="2" t="s">
        <v>42</v>
      </c>
      <c r="D2441" s="2">
        <v>233.1</v>
      </c>
      <c r="E2441" s="2">
        <v>28.3</v>
      </c>
      <c r="F2441" s="2" t="s">
        <v>92</v>
      </c>
      <c r="G2441" s="2" t="s">
        <v>92</v>
      </c>
      <c r="H2441" s="2" t="s">
        <v>92</v>
      </c>
      <c r="I2441" s="2" t="s">
        <v>92</v>
      </c>
      <c r="P2441" s="3">
        <f>E2441*(VLOOKUP(B2441,Price_data!A$1:B$190,2,FALSE))</f>
        <v>36.0963356719</v>
      </c>
      <c r="Q2441" s="3" t="e">
        <f>G2441*(VLOOKUP(B2441,Price_data!A$1:B$190,2,FALSE))</f>
        <v>#VALUE!</v>
      </c>
      <c r="R2441" s="3" t="e">
        <f>I2441*(VLOOKUP(B2441,Price_data!A$1:B$190,2,FALSE))</f>
        <v>#VALUE!</v>
      </c>
      <c r="S2441" s="4" t="str">
        <f>(VLOOKUP(B2441,Price_data!A$1:C$190,3,FALSE))</f>
        <v>EEZ</v>
      </c>
      <c r="T2441" s="2" t="str">
        <f>IF(C2441="Total", (VLOOKUP(B2441,Recommended_fish_intake!A$4:D$122,4,FALSE)), "NA")</f>
        <v>NA</v>
      </c>
      <c r="U2441" s="2" t="str">
        <f t="shared" si="315"/>
        <v>NA</v>
      </c>
    </row>
    <row r="2442" spans="1:21" ht="14.25" customHeight="1">
      <c r="A2442" s="2" t="s">
        <v>18</v>
      </c>
      <c r="B2442" s="2">
        <v>1991</v>
      </c>
      <c r="C2442" s="2" t="s">
        <v>36</v>
      </c>
      <c r="D2442" s="2">
        <v>9.5</v>
      </c>
      <c r="E2442" s="2">
        <v>9</v>
      </c>
      <c r="F2442" s="2" t="s">
        <v>92</v>
      </c>
      <c r="G2442" s="2" t="s">
        <v>92</v>
      </c>
      <c r="H2442" s="2" t="s">
        <v>92</v>
      </c>
      <c r="I2442" s="2" t="s">
        <v>92</v>
      </c>
      <c r="P2442" s="3">
        <f>E2442*(VLOOKUP(B2442,Price_data!A$1:B$190,2,FALSE))</f>
        <v>11.479400037</v>
      </c>
      <c r="Q2442" s="3" t="e">
        <f>G2442*(VLOOKUP(B2442,Price_data!A$1:B$190,2,FALSE))</f>
        <v>#VALUE!</v>
      </c>
      <c r="R2442" s="3" t="e">
        <f>I2442*(VLOOKUP(B2442,Price_data!A$1:B$190,2,FALSE))</f>
        <v>#VALUE!</v>
      </c>
      <c r="S2442" s="4" t="str">
        <f>(VLOOKUP(B2442,Price_data!A$1:C$190,3,FALSE))</f>
        <v>EEZ</v>
      </c>
      <c r="T2442" s="2" t="str">
        <f>IF(C2442="Total", (VLOOKUP(B2442,Recommended_fish_intake!A$4:D$122,4,FALSE)), "NA")</f>
        <v>NA</v>
      </c>
      <c r="U2442" s="2" t="str">
        <f t="shared" si="315"/>
        <v>NA</v>
      </c>
    </row>
    <row r="2443" spans="1:21" ht="14.25" customHeight="1">
      <c r="A2443" s="2" t="s">
        <v>39</v>
      </c>
      <c r="B2443" s="2">
        <v>1991</v>
      </c>
      <c r="C2443" s="2" t="s">
        <v>36</v>
      </c>
      <c r="D2443" s="2">
        <v>7.6</v>
      </c>
      <c r="E2443" s="2">
        <v>8.6999999999999993</v>
      </c>
      <c r="F2443" s="2" t="s">
        <v>92</v>
      </c>
      <c r="G2443" s="2" t="s">
        <v>92</v>
      </c>
      <c r="H2443" s="2" t="s">
        <v>92</v>
      </c>
      <c r="I2443" s="2" t="s">
        <v>92</v>
      </c>
      <c r="P2443" s="3">
        <f>E2443*(VLOOKUP(B2443,Price_data!A$1:B$190,2,FALSE))</f>
        <v>11.096753369099998</v>
      </c>
      <c r="Q2443" s="3" t="e">
        <f>G2443*(VLOOKUP(B2443,Price_data!A$1:B$190,2,FALSE))</f>
        <v>#VALUE!</v>
      </c>
      <c r="R2443" s="3" t="e">
        <f>I2443*(VLOOKUP(B2443,Price_data!A$1:B$190,2,FALSE))</f>
        <v>#VALUE!</v>
      </c>
      <c r="S2443" s="4" t="str">
        <f>(VLOOKUP(B2443,Price_data!A$1:C$190,3,FALSE))</f>
        <v>EEZ</v>
      </c>
      <c r="T2443" s="2" t="str">
        <f>IF(C2443="Total", (VLOOKUP(B2443,Recommended_fish_intake!A$4:D$122,4,FALSE)), "NA")</f>
        <v>NA</v>
      </c>
      <c r="U2443" s="2" t="str">
        <f t="shared" si="315"/>
        <v>NA</v>
      </c>
    </row>
    <row r="2444" spans="1:21" ht="14.25" customHeight="1">
      <c r="A2444" s="2" t="s">
        <v>40</v>
      </c>
      <c r="B2444" s="2">
        <v>1991</v>
      </c>
      <c r="C2444" s="2" t="s">
        <v>36</v>
      </c>
      <c r="D2444" s="2">
        <v>0.6</v>
      </c>
      <c r="E2444" s="2">
        <v>0.3</v>
      </c>
      <c r="F2444" s="2" t="s">
        <v>92</v>
      </c>
      <c r="G2444" s="2" t="s">
        <v>92</v>
      </c>
      <c r="H2444" s="2" t="s">
        <v>92</v>
      </c>
      <c r="I2444" s="2" t="s">
        <v>92</v>
      </c>
      <c r="P2444" s="3">
        <f>E2444*(VLOOKUP(B2444,Price_data!A$1:B$190,2,FALSE))</f>
        <v>0.38264666789999996</v>
      </c>
      <c r="Q2444" s="3" t="e">
        <f>G2444*(VLOOKUP(B2444,Price_data!A$1:B$190,2,FALSE))</f>
        <v>#VALUE!</v>
      </c>
      <c r="R2444" s="3" t="e">
        <f>I2444*(VLOOKUP(B2444,Price_data!A$1:B$190,2,FALSE))</f>
        <v>#VALUE!</v>
      </c>
      <c r="S2444" s="4" t="str">
        <f>(VLOOKUP(B2444,Price_data!A$1:C$190,3,FALSE))</f>
        <v>EEZ</v>
      </c>
      <c r="T2444" s="2" t="str">
        <f>IF(C2444="Total", (VLOOKUP(B2444,Recommended_fish_intake!A$4:D$122,4,FALSE)), "NA")</f>
        <v>NA</v>
      </c>
      <c r="U2444" s="2" t="str">
        <f t="shared" si="315"/>
        <v>NA</v>
      </c>
    </row>
    <row r="2445" spans="1:21" ht="14.25" customHeight="1">
      <c r="A2445" s="2" t="s">
        <v>15</v>
      </c>
      <c r="B2445" s="2">
        <v>1991</v>
      </c>
      <c r="C2445" s="2" t="s">
        <v>36</v>
      </c>
      <c r="D2445" s="2">
        <v>17.7</v>
      </c>
      <c r="E2445" s="2">
        <v>18</v>
      </c>
      <c r="F2445" s="3">
        <f>L2445/1000</f>
        <v>0.42099999999999999</v>
      </c>
      <c r="G2445" s="3">
        <f>M2445/1000</f>
        <v>2.875</v>
      </c>
      <c r="H2445" s="3">
        <f>N2445/1000</f>
        <v>1.645</v>
      </c>
      <c r="I2445" s="3">
        <f>O2445/1000</f>
        <v>8.11</v>
      </c>
      <c r="L2445" s="2">
        <v>421</v>
      </c>
      <c r="M2445" s="2">
        <v>2875</v>
      </c>
      <c r="N2445" s="2">
        <v>1645</v>
      </c>
      <c r="O2445" s="2">
        <v>8110</v>
      </c>
      <c r="P2445" s="3">
        <f>E2445*(VLOOKUP(B2445,Price_data!A$1:B$190,2,FALSE))</f>
        <v>22.958800073999999</v>
      </c>
      <c r="Q2445" s="3">
        <f>G2445*(VLOOKUP(B2445,Price_data!A$1:B$190,2,FALSE))</f>
        <v>3.6670305673749999</v>
      </c>
      <c r="R2445" s="3">
        <f>I2445*(VLOOKUP(B2445,Price_data!A$1:B$190,2,FALSE))</f>
        <v>10.344214922229998</v>
      </c>
      <c r="S2445" s="4" t="str">
        <f>(VLOOKUP(B2445,Price_data!A$1:C$190,3,FALSE))</f>
        <v>EEZ</v>
      </c>
      <c r="T2445" s="2" t="str">
        <f>IF(C2445="Total", (VLOOKUP(B2445,Recommended_fish_intake!A$4:D$122,4,FALSE)), "NA")</f>
        <v>NA</v>
      </c>
      <c r="U2445" s="2" t="str">
        <f t="shared" si="315"/>
        <v>NA</v>
      </c>
    </row>
    <row r="2446" spans="1:21" ht="14.25" customHeight="1">
      <c r="A2446" s="2" t="s">
        <v>18</v>
      </c>
      <c r="B2446" s="2">
        <v>1991</v>
      </c>
      <c r="C2446" s="2" t="s">
        <v>34</v>
      </c>
      <c r="D2446" s="2">
        <v>0.5</v>
      </c>
      <c r="E2446" s="2">
        <v>3.7</v>
      </c>
      <c r="F2446" s="2" t="s">
        <v>92</v>
      </c>
      <c r="G2446" s="2" t="s">
        <v>92</v>
      </c>
      <c r="H2446" s="2" t="s">
        <v>92</v>
      </c>
      <c r="I2446" s="2" t="s">
        <v>92</v>
      </c>
      <c r="P2446" s="3">
        <f>E2446*(VLOOKUP(B2446,Price_data!A$1:B$190,2,FALSE))</f>
        <v>4.7193089041</v>
      </c>
      <c r="Q2446" s="3" t="e">
        <f>G2446*(VLOOKUP(B2446,Price_data!A$1:B$190,2,FALSE))</f>
        <v>#VALUE!</v>
      </c>
      <c r="R2446" s="3" t="e">
        <f>I2446*(VLOOKUP(B2446,Price_data!A$1:B$190,2,FALSE))</f>
        <v>#VALUE!</v>
      </c>
      <c r="S2446" s="4" t="str">
        <f>(VLOOKUP(B2446,Price_data!A$1:C$190,3,FALSE))</f>
        <v>EEZ</v>
      </c>
      <c r="T2446" s="2" t="str">
        <f>IF(C2446="Total", (VLOOKUP(B2446,Recommended_fish_intake!A$4:D$122,4,FALSE)), "NA")</f>
        <v>NA</v>
      </c>
      <c r="U2446" s="2" t="str">
        <f t="shared" si="315"/>
        <v>NA</v>
      </c>
    </row>
    <row r="2447" spans="1:21" ht="14.25" customHeight="1">
      <c r="A2447" s="2" t="s">
        <v>39</v>
      </c>
      <c r="B2447" s="2">
        <v>1991</v>
      </c>
      <c r="C2447" s="2" t="s">
        <v>34</v>
      </c>
      <c r="D2447" s="2">
        <v>0.7</v>
      </c>
      <c r="E2447" s="2">
        <v>5.9</v>
      </c>
      <c r="F2447" s="2" t="s">
        <v>92</v>
      </c>
      <c r="G2447" s="2" t="s">
        <v>92</v>
      </c>
      <c r="H2447" s="2" t="s">
        <v>92</v>
      </c>
      <c r="I2447" s="2" t="s">
        <v>92</v>
      </c>
      <c r="P2447" s="3">
        <f>E2447*(VLOOKUP(B2447,Price_data!A$1:B$190,2,FALSE))</f>
        <v>7.5253844686999996</v>
      </c>
      <c r="Q2447" s="3" t="e">
        <f>G2447*(VLOOKUP(B2447,Price_data!A$1:B$190,2,FALSE))</f>
        <v>#VALUE!</v>
      </c>
      <c r="R2447" s="3" t="e">
        <f>I2447*(VLOOKUP(B2447,Price_data!A$1:B$190,2,FALSE))</f>
        <v>#VALUE!</v>
      </c>
      <c r="S2447" s="4" t="str">
        <f>(VLOOKUP(B2447,Price_data!A$1:C$190,3,FALSE))</f>
        <v>EEZ</v>
      </c>
      <c r="T2447" s="2" t="str">
        <f>IF(C2447="Total", (VLOOKUP(B2447,Recommended_fish_intake!A$4:D$122,4,FALSE)), "NA")</f>
        <v>NA</v>
      </c>
      <c r="U2447" s="2" t="str">
        <f t="shared" si="315"/>
        <v>NA</v>
      </c>
    </row>
    <row r="2448" spans="1:21" ht="14.25" customHeight="1">
      <c r="A2448" s="2" t="s">
        <v>40</v>
      </c>
      <c r="B2448" s="2">
        <v>1991</v>
      </c>
      <c r="C2448" s="2" t="s">
        <v>34</v>
      </c>
      <c r="D2448" s="2">
        <v>0</v>
      </c>
      <c r="E2448" s="2">
        <v>0.1</v>
      </c>
      <c r="F2448" s="2" t="s">
        <v>92</v>
      </c>
      <c r="G2448" s="2" t="s">
        <v>92</v>
      </c>
      <c r="H2448" s="2" t="s">
        <v>92</v>
      </c>
      <c r="I2448" s="2" t="s">
        <v>92</v>
      </c>
      <c r="P2448" s="3">
        <f>E2448*(VLOOKUP(B2448,Price_data!A$1:B$190,2,FALSE))</f>
        <v>0.1275488893</v>
      </c>
      <c r="Q2448" s="3" t="e">
        <f>G2448*(VLOOKUP(B2448,Price_data!A$1:B$190,2,FALSE))</f>
        <v>#VALUE!</v>
      </c>
      <c r="R2448" s="3" t="e">
        <f>I2448*(VLOOKUP(B2448,Price_data!A$1:B$190,2,FALSE))</f>
        <v>#VALUE!</v>
      </c>
      <c r="S2448" s="4" t="str">
        <f>(VLOOKUP(B2448,Price_data!A$1:C$190,3,FALSE))</f>
        <v>EEZ</v>
      </c>
      <c r="T2448" s="2" t="str">
        <f>IF(C2448="Total", (VLOOKUP(B2448,Recommended_fish_intake!A$4:D$122,4,FALSE)), "NA")</f>
        <v>NA</v>
      </c>
      <c r="U2448" s="2" t="str">
        <f t="shared" si="315"/>
        <v>NA</v>
      </c>
    </row>
    <row r="2449" spans="1:21" ht="14.25" customHeight="1">
      <c r="A2449" s="2" t="s">
        <v>15</v>
      </c>
      <c r="B2449" s="2">
        <v>1991</v>
      </c>
      <c r="C2449" s="2" t="s">
        <v>34</v>
      </c>
      <c r="D2449" s="2">
        <v>1.2</v>
      </c>
      <c r="E2449" s="2">
        <v>9.6</v>
      </c>
      <c r="F2449" s="2" t="s">
        <v>92</v>
      </c>
      <c r="G2449" s="2" t="s">
        <v>92</v>
      </c>
      <c r="H2449" s="2" t="s">
        <v>92</v>
      </c>
      <c r="I2449" s="2" t="s">
        <v>92</v>
      </c>
      <c r="P2449" s="3">
        <f>E2449*(VLOOKUP(B2449,Price_data!A$1:B$190,2,FALSE))</f>
        <v>12.244693372799999</v>
      </c>
      <c r="Q2449" s="3" t="e">
        <f>G2449*(VLOOKUP(B2449,Price_data!A$1:B$190,2,FALSE))</f>
        <v>#VALUE!</v>
      </c>
      <c r="R2449" s="3" t="e">
        <f>I2449*(VLOOKUP(B2449,Price_data!A$1:B$190,2,FALSE))</f>
        <v>#VALUE!</v>
      </c>
      <c r="S2449" s="4" t="str">
        <f>(VLOOKUP(B2449,Price_data!A$1:C$190,3,FALSE))</f>
        <v>EEZ</v>
      </c>
      <c r="T2449" s="2" t="str">
        <f>IF(C2449="Total", (VLOOKUP(B2449,Recommended_fish_intake!A$4:D$122,4,FALSE)), "NA")</f>
        <v>NA</v>
      </c>
      <c r="U2449" s="2" t="str">
        <f t="shared" si="315"/>
        <v>NA</v>
      </c>
    </row>
    <row r="2450" spans="1:21" ht="14.25" customHeight="1">
      <c r="A2450" s="2" t="s">
        <v>18</v>
      </c>
      <c r="B2450" s="2">
        <v>1991</v>
      </c>
      <c r="C2450" s="2" t="s">
        <v>35</v>
      </c>
      <c r="D2450" s="2">
        <v>2.8</v>
      </c>
      <c r="E2450" s="2">
        <v>4.8</v>
      </c>
      <c r="F2450" s="2" t="s">
        <v>92</v>
      </c>
      <c r="G2450" s="2" t="s">
        <v>92</v>
      </c>
      <c r="H2450" s="2" t="s">
        <v>92</v>
      </c>
      <c r="I2450" s="2" t="s">
        <v>92</v>
      </c>
      <c r="P2450" s="3">
        <f>E2450*(VLOOKUP(B2450,Price_data!A$1:B$190,2,FALSE))</f>
        <v>6.1223466863999993</v>
      </c>
      <c r="Q2450" s="3" t="e">
        <f>G2450*(VLOOKUP(B2450,Price_data!A$1:B$190,2,FALSE))</f>
        <v>#VALUE!</v>
      </c>
      <c r="R2450" s="3" t="e">
        <f>I2450*(VLOOKUP(B2450,Price_data!A$1:B$190,2,FALSE))</f>
        <v>#VALUE!</v>
      </c>
      <c r="S2450" s="4" t="str">
        <f>(VLOOKUP(B2450,Price_data!A$1:C$190,3,FALSE))</f>
        <v>EEZ</v>
      </c>
      <c r="T2450" s="2" t="str">
        <f>IF(C2450="Total", (VLOOKUP(B2450,Recommended_fish_intake!A$4:D$122,4,FALSE)), "NA")</f>
        <v>NA</v>
      </c>
      <c r="U2450" s="2" t="str">
        <f t="shared" si="315"/>
        <v>NA</v>
      </c>
    </row>
    <row r="2451" spans="1:21" ht="14.25" customHeight="1">
      <c r="A2451" s="2" t="s">
        <v>39</v>
      </c>
      <c r="B2451" s="2">
        <v>1991</v>
      </c>
      <c r="C2451" s="2" t="s">
        <v>35</v>
      </c>
      <c r="D2451" s="2">
        <v>18</v>
      </c>
      <c r="E2451" s="2">
        <v>35.299999999999997</v>
      </c>
      <c r="F2451" s="2" t="s">
        <v>92</v>
      </c>
      <c r="G2451" s="2" t="s">
        <v>92</v>
      </c>
      <c r="H2451" s="2" t="s">
        <v>92</v>
      </c>
      <c r="I2451" s="2" t="s">
        <v>92</v>
      </c>
      <c r="P2451" s="3">
        <f>E2451*(VLOOKUP(B2451,Price_data!A$1:B$190,2,FALSE))</f>
        <v>45.024757922899994</v>
      </c>
      <c r="Q2451" s="3" t="e">
        <f>G2451*(VLOOKUP(B2451,Price_data!A$1:B$190,2,FALSE))</f>
        <v>#VALUE!</v>
      </c>
      <c r="R2451" s="3" t="e">
        <f>I2451*(VLOOKUP(B2451,Price_data!A$1:B$190,2,FALSE))</f>
        <v>#VALUE!</v>
      </c>
      <c r="S2451" s="4" t="str">
        <f>(VLOOKUP(B2451,Price_data!A$1:C$190,3,FALSE))</f>
        <v>EEZ</v>
      </c>
      <c r="T2451" s="2" t="str">
        <f>IF(C2451="Total", (VLOOKUP(B2451,Recommended_fish_intake!A$4:D$122,4,FALSE)), "NA")</f>
        <v>NA</v>
      </c>
      <c r="U2451" s="2" t="str">
        <f t="shared" si="315"/>
        <v>NA</v>
      </c>
    </row>
    <row r="2452" spans="1:21" ht="14.25" customHeight="1">
      <c r="A2452" s="2" t="s">
        <v>40</v>
      </c>
      <c r="B2452" s="2">
        <v>1991</v>
      </c>
      <c r="C2452" s="2" t="s">
        <v>35</v>
      </c>
      <c r="D2452" s="2">
        <v>6</v>
      </c>
      <c r="E2452" s="2">
        <v>7.6</v>
      </c>
      <c r="F2452" s="2" t="s">
        <v>92</v>
      </c>
      <c r="G2452" s="2" t="s">
        <v>92</v>
      </c>
      <c r="H2452" s="2" t="s">
        <v>92</v>
      </c>
      <c r="I2452" s="2" t="s">
        <v>92</v>
      </c>
      <c r="P2452" s="3">
        <f>E2452*(VLOOKUP(B2452,Price_data!A$1:B$190,2,FALSE))</f>
        <v>9.693715586799998</v>
      </c>
      <c r="Q2452" s="3" t="e">
        <f>G2452*(VLOOKUP(B2452,Price_data!A$1:B$190,2,FALSE))</f>
        <v>#VALUE!</v>
      </c>
      <c r="R2452" s="3" t="e">
        <f>I2452*(VLOOKUP(B2452,Price_data!A$1:B$190,2,FALSE))</f>
        <v>#VALUE!</v>
      </c>
      <c r="S2452" s="4" t="str">
        <f>(VLOOKUP(B2452,Price_data!A$1:C$190,3,FALSE))</f>
        <v>EEZ</v>
      </c>
      <c r="T2452" s="2" t="str">
        <f>IF(C2452="Total", (VLOOKUP(B2452,Recommended_fish_intake!A$4:D$122,4,FALSE)), "NA")</f>
        <v>NA</v>
      </c>
      <c r="U2452" s="2" t="str">
        <f t="shared" si="315"/>
        <v>NA</v>
      </c>
    </row>
    <row r="2453" spans="1:21" ht="14.25" customHeight="1">
      <c r="A2453" s="2" t="s">
        <v>15</v>
      </c>
      <c r="B2453" s="2">
        <v>1991</v>
      </c>
      <c r="C2453" s="2" t="s">
        <v>35</v>
      </c>
      <c r="D2453" s="2">
        <v>26.8</v>
      </c>
      <c r="E2453" s="2">
        <v>47.7</v>
      </c>
      <c r="F2453" s="2" t="s">
        <v>92</v>
      </c>
      <c r="G2453" s="2" t="s">
        <v>92</v>
      </c>
      <c r="H2453" s="2" t="s">
        <v>92</v>
      </c>
      <c r="I2453" s="2" t="s">
        <v>92</v>
      </c>
      <c r="P2453" s="3">
        <f>E2453*(VLOOKUP(B2453,Price_data!A$1:B$190,2,FALSE))</f>
        <v>60.840820196099997</v>
      </c>
      <c r="Q2453" s="3" t="e">
        <f>G2453*(VLOOKUP(B2453,Price_data!A$1:B$190,2,FALSE))</f>
        <v>#VALUE!</v>
      </c>
      <c r="R2453" s="3" t="e">
        <f>I2453*(VLOOKUP(B2453,Price_data!A$1:B$190,2,FALSE))</f>
        <v>#VALUE!</v>
      </c>
      <c r="S2453" s="4" t="str">
        <f>(VLOOKUP(B2453,Price_data!A$1:C$190,3,FALSE))</f>
        <v>EEZ</v>
      </c>
      <c r="T2453" s="2" t="str">
        <f>IF(C2453="Total", (VLOOKUP(B2453,Recommended_fish_intake!A$4:D$122,4,FALSE)), "NA")</f>
        <v>NA</v>
      </c>
      <c r="U2453" s="2" t="str">
        <f t="shared" si="315"/>
        <v>NA</v>
      </c>
    </row>
    <row r="2454" spans="1:21" ht="14.25" customHeight="1">
      <c r="A2454" s="2" t="s">
        <v>18</v>
      </c>
      <c r="B2454" s="2">
        <v>1991</v>
      </c>
      <c r="C2454" s="2" t="s">
        <v>52</v>
      </c>
      <c r="D2454" s="2">
        <v>3.2</v>
      </c>
      <c r="E2454" s="2">
        <v>4.8</v>
      </c>
      <c r="F2454" s="2" t="s">
        <v>92</v>
      </c>
      <c r="G2454" s="2" t="s">
        <v>92</v>
      </c>
      <c r="H2454" s="2" t="s">
        <v>92</v>
      </c>
      <c r="I2454" s="2" t="s">
        <v>92</v>
      </c>
      <c r="P2454" s="3">
        <f>E2454*(VLOOKUP(B2454,Price_data!A$1:B$190,2,FALSE))</f>
        <v>6.1223466863999993</v>
      </c>
      <c r="Q2454" s="3" t="e">
        <f>G2454*(VLOOKUP(B2454,Price_data!A$1:B$190,2,FALSE))</f>
        <v>#VALUE!</v>
      </c>
      <c r="R2454" s="3" t="e">
        <f>I2454*(VLOOKUP(B2454,Price_data!A$1:B$190,2,FALSE))</f>
        <v>#VALUE!</v>
      </c>
      <c r="S2454" s="4" t="str">
        <f>(VLOOKUP(B2454,Price_data!A$1:C$190,3,FALSE))</f>
        <v>EEZ</v>
      </c>
      <c r="T2454" s="2" t="str">
        <f>IF(C2454="Total", (VLOOKUP(B2454,Recommended_fish_intake!A$4:D$122,4,FALSE)), "NA")</f>
        <v>NA</v>
      </c>
      <c r="U2454" s="2" t="str">
        <f t="shared" si="315"/>
        <v>NA</v>
      </c>
    </row>
    <row r="2455" spans="1:21" ht="14.25" customHeight="1">
      <c r="A2455" s="2" t="s">
        <v>39</v>
      </c>
      <c r="B2455" s="2">
        <v>1991</v>
      </c>
      <c r="C2455" s="2" t="s">
        <v>52</v>
      </c>
      <c r="D2455" s="2">
        <v>3.9</v>
      </c>
      <c r="E2455" s="2">
        <v>7</v>
      </c>
      <c r="F2455" s="2" t="s">
        <v>92</v>
      </c>
      <c r="G2455" s="2" t="s">
        <v>92</v>
      </c>
      <c r="H2455" s="2" t="s">
        <v>92</v>
      </c>
      <c r="I2455" s="2" t="s">
        <v>92</v>
      </c>
      <c r="P2455" s="3">
        <f>E2455*(VLOOKUP(B2455,Price_data!A$1:B$190,2,FALSE))</f>
        <v>8.9284222509999989</v>
      </c>
      <c r="Q2455" s="3" t="e">
        <f>G2455*(VLOOKUP(B2455,Price_data!A$1:B$190,2,FALSE))</f>
        <v>#VALUE!</v>
      </c>
      <c r="R2455" s="3" t="e">
        <f>I2455*(VLOOKUP(B2455,Price_data!A$1:B$190,2,FALSE))</f>
        <v>#VALUE!</v>
      </c>
      <c r="S2455" s="4" t="str">
        <f>(VLOOKUP(B2455,Price_data!A$1:C$190,3,FALSE))</f>
        <v>EEZ</v>
      </c>
      <c r="T2455" s="2" t="str">
        <f>IF(C2455="Total", (VLOOKUP(B2455,Recommended_fish_intake!A$4:D$122,4,FALSE)), "NA")</f>
        <v>NA</v>
      </c>
      <c r="U2455" s="2" t="str">
        <f t="shared" si="315"/>
        <v>NA</v>
      </c>
    </row>
    <row r="2456" spans="1:21" ht="14.25" customHeight="1">
      <c r="A2456" s="2" t="s">
        <v>40</v>
      </c>
      <c r="B2456" s="2">
        <v>1991</v>
      </c>
      <c r="C2456" s="2" t="s">
        <v>52</v>
      </c>
      <c r="D2456" s="2">
        <v>0.2</v>
      </c>
      <c r="E2456" s="2">
        <v>0.4</v>
      </c>
      <c r="F2456" s="2" t="s">
        <v>92</v>
      </c>
      <c r="G2456" s="2" t="s">
        <v>92</v>
      </c>
      <c r="H2456" s="2" t="s">
        <v>92</v>
      </c>
      <c r="I2456" s="2" t="s">
        <v>92</v>
      </c>
      <c r="P2456" s="3">
        <f>E2456*(VLOOKUP(B2456,Price_data!A$1:B$190,2,FALSE))</f>
        <v>0.51019555719999998</v>
      </c>
      <c r="Q2456" s="3" t="e">
        <f>G2456*(VLOOKUP(B2456,Price_data!A$1:B$190,2,FALSE))</f>
        <v>#VALUE!</v>
      </c>
      <c r="R2456" s="3" t="e">
        <f>I2456*(VLOOKUP(B2456,Price_data!A$1:B$190,2,FALSE))</f>
        <v>#VALUE!</v>
      </c>
      <c r="S2456" s="4" t="str">
        <f>(VLOOKUP(B2456,Price_data!A$1:C$190,3,FALSE))</f>
        <v>EEZ</v>
      </c>
      <c r="T2456" s="2" t="str">
        <f>IF(C2456="Total", (VLOOKUP(B2456,Recommended_fish_intake!A$4:D$122,4,FALSE)), "NA")</f>
        <v>NA</v>
      </c>
      <c r="U2456" s="2" t="str">
        <f t="shared" si="315"/>
        <v>NA</v>
      </c>
    </row>
    <row r="2457" spans="1:21" ht="14.25" customHeight="1">
      <c r="A2457" s="2" t="s">
        <v>15</v>
      </c>
      <c r="B2457" s="2">
        <v>1991</v>
      </c>
      <c r="C2457" s="2" t="s">
        <v>52</v>
      </c>
      <c r="D2457" s="2">
        <v>7.4</v>
      </c>
      <c r="E2457" s="2">
        <v>12.1</v>
      </c>
      <c r="F2457" s="2" t="s">
        <v>92</v>
      </c>
      <c r="G2457" s="2" t="s">
        <v>92</v>
      </c>
      <c r="H2457" s="2" t="s">
        <v>92</v>
      </c>
      <c r="I2457" s="2" t="s">
        <v>92</v>
      </c>
      <c r="P2457" s="3">
        <f>E2457*(VLOOKUP(B2457,Price_data!A$1:B$190,2,FALSE))</f>
        <v>15.433415605299999</v>
      </c>
      <c r="Q2457" s="3" t="e">
        <f>G2457*(VLOOKUP(B2457,Price_data!A$1:B$190,2,FALSE))</f>
        <v>#VALUE!</v>
      </c>
      <c r="R2457" s="3" t="e">
        <f>I2457*(VLOOKUP(B2457,Price_data!A$1:B$190,2,FALSE))</f>
        <v>#VALUE!</v>
      </c>
      <c r="S2457" s="4" t="str">
        <f>(VLOOKUP(B2457,Price_data!A$1:C$190,3,FALSE))</f>
        <v>EEZ</v>
      </c>
      <c r="T2457" s="2" t="str">
        <f>IF(C2457="Total", (VLOOKUP(B2457,Recommended_fish_intake!A$4:D$122,4,FALSE)), "NA")</f>
        <v>NA</v>
      </c>
      <c r="U2457" s="2" t="str">
        <f t="shared" si="315"/>
        <v>NA</v>
      </c>
    </row>
    <row r="2458" spans="1:21" ht="14.25" customHeight="1">
      <c r="A2458" s="2" t="s">
        <v>18</v>
      </c>
      <c r="B2458" s="2">
        <v>1991</v>
      </c>
      <c r="C2458" s="2" t="s">
        <v>30</v>
      </c>
      <c r="D2458" s="2">
        <v>0.6</v>
      </c>
      <c r="E2458" s="2">
        <v>1.1000000000000001</v>
      </c>
      <c r="F2458" s="2" t="s">
        <v>92</v>
      </c>
      <c r="G2458" s="2" t="s">
        <v>92</v>
      </c>
      <c r="H2458" s="2" t="s">
        <v>92</v>
      </c>
      <c r="I2458" s="2" t="s">
        <v>92</v>
      </c>
      <c r="P2458" s="3">
        <f>E2458*(VLOOKUP(B2458,Price_data!A$1:B$190,2,FALSE))</f>
        <v>1.4030377823</v>
      </c>
      <c r="Q2458" s="3" t="e">
        <f>G2458*(VLOOKUP(B2458,Price_data!A$1:B$190,2,FALSE))</f>
        <v>#VALUE!</v>
      </c>
      <c r="R2458" s="3" t="e">
        <f>I2458*(VLOOKUP(B2458,Price_data!A$1:B$190,2,FALSE))</f>
        <v>#VALUE!</v>
      </c>
      <c r="S2458" s="4" t="str">
        <f>(VLOOKUP(B2458,Price_data!A$1:C$190,3,FALSE))</f>
        <v>EEZ</v>
      </c>
      <c r="T2458" s="2" t="str">
        <f>IF(C2458="Total", (VLOOKUP(B2458,Recommended_fish_intake!A$4:D$122,4,FALSE)), "NA")</f>
        <v>NA</v>
      </c>
      <c r="U2458" s="2" t="str">
        <f t="shared" si="315"/>
        <v>NA</v>
      </c>
    </row>
    <row r="2459" spans="1:21" ht="14.25" customHeight="1">
      <c r="A2459" s="2" t="s">
        <v>39</v>
      </c>
      <c r="B2459" s="2">
        <v>1991</v>
      </c>
      <c r="C2459" s="2" t="s">
        <v>30</v>
      </c>
      <c r="D2459" s="2">
        <v>0.1</v>
      </c>
      <c r="E2459" s="2">
        <v>0.2</v>
      </c>
      <c r="F2459" s="2" t="s">
        <v>92</v>
      </c>
      <c r="G2459" s="2" t="s">
        <v>92</v>
      </c>
      <c r="H2459" s="2" t="s">
        <v>92</v>
      </c>
      <c r="I2459" s="2" t="s">
        <v>92</v>
      </c>
      <c r="P2459" s="3">
        <f>E2459*(VLOOKUP(B2459,Price_data!A$1:B$190,2,FALSE))</f>
        <v>0.25509777859999999</v>
      </c>
      <c r="Q2459" s="3" t="e">
        <f>G2459*(VLOOKUP(B2459,Price_data!A$1:B$190,2,FALSE))</f>
        <v>#VALUE!</v>
      </c>
      <c r="R2459" s="3" t="e">
        <f>I2459*(VLOOKUP(B2459,Price_data!A$1:B$190,2,FALSE))</f>
        <v>#VALUE!</v>
      </c>
      <c r="S2459" s="4" t="str">
        <f>(VLOOKUP(B2459,Price_data!A$1:C$190,3,FALSE))</f>
        <v>EEZ</v>
      </c>
      <c r="T2459" s="2" t="str">
        <f>IF(C2459="Total", (VLOOKUP(B2459,Recommended_fish_intake!A$4:D$122,4,FALSE)), "NA")</f>
        <v>NA</v>
      </c>
      <c r="U2459" s="2" t="str">
        <f t="shared" si="315"/>
        <v>NA</v>
      </c>
    </row>
    <row r="2460" spans="1:21" ht="14.25" customHeight="1">
      <c r="A2460" s="2" t="s">
        <v>40</v>
      </c>
      <c r="B2460" s="2">
        <v>1991</v>
      </c>
      <c r="C2460" s="2" t="s">
        <v>30</v>
      </c>
      <c r="D2460" s="2">
        <v>0</v>
      </c>
      <c r="E2460" s="2">
        <v>0</v>
      </c>
      <c r="F2460" s="2" t="s">
        <v>92</v>
      </c>
      <c r="G2460" s="2" t="s">
        <v>92</v>
      </c>
      <c r="H2460" s="2" t="s">
        <v>92</v>
      </c>
      <c r="I2460" s="2" t="s">
        <v>92</v>
      </c>
      <c r="P2460" s="3">
        <f>E2460*(VLOOKUP(B2460,Price_data!A$1:B$190,2,FALSE))</f>
        <v>0</v>
      </c>
      <c r="Q2460" s="3" t="e">
        <f>G2460*(VLOOKUP(B2460,Price_data!A$1:B$190,2,FALSE))</f>
        <v>#VALUE!</v>
      </c>
      <c r="R2460" s="3" t="e">
        <f>I2460*(VLOOKUP(B2460,Price_data!A$1:B$190,2,FALSE))</f>
        <v>#VALUE!</v>
      </c>
      <c r="S2460" s="4" t="str">
        <f>(VLOOKUP(B2460,Price_data!A$1:C$190,3,FALSE))</f>
        <v>EEZ</v>
      </c>
      <c r="T2460" s="2" t="str">
        <f>IF(C2460="Total", (VLOOKUP(B2460,Recommended_fish_intake!A$4:D$122,4,FALSE)), "NA")</f>
        <v>NA</v>
      </c>
      <c r="U2460" s="2" t="str">
        <f t="shared" si="315"/>
        <v>NA</v>
      </c>
    </row>
    <row r="2461" spans="1:21" ht="14.25" customHeight="1">
      <c r="A2461" s="2" t="s">
        <v>15</v>
      </c>
      <c r="B2461" s="2">
        <v>1991</v>
      </c>
      <c r="C2461" s="2" t="s">
        <v>30</v>
      </c>
      <c r="D2461" s="2">
        <v>0.8</v>
      </c>
      <c r="E2461" s="2">
        <v>2.9</v>
      </c>
      <c r="F2461" s="3">
        <f>L2461/1000</f>
        <v>19.148</v>
      </c>
      <c r="G2461" s="3">
        <f>M2461/1000</f>
        <v>72.144999999999996</v>
      </c>
      <c r="H2461" s="3">
        <f>N2461/1000</f>
        <v>23.326000000000001</v>
      </c>
      <c r="I2461" s="3">
        <f>O2461/1000</f>
        <v>80.204999999999998</v>
      </c>
      <c r="L2461" s="2">
        <f>8815+10333</f>
        <v>19148</v>
      </c>
      <c r="M2461" s="2">
        <f>36088+36057</f>
        <v>72145</v>
      </c>
      <c r="N2461" s="2">
        <f>5184+18142</f>
        <v>23326</v>
      </c>
      <c r="O2461" s="2">
        <f>16652+63553</f>
        <v>80205</v>
      </c>
      <c r="P2461" s="3">
        <f>E2461*(VLOOKUP(B2461,Price_data!A$1:B$190,2,FALSE))</f>
        <v>3.6989177896999994</v>
      </c>
      <c r="Q2461" s="3">
        <f>G2461*(VLOOKUP(B2461,Price_data!A$1:B$190,2,FALSE))</f>
        <v>92.02014618548499</v>
      </c>
      <c r="R2461" s="3">
        <f>I2461*(VLOOKUP(B2461,Price_data!A$1:B$190,2,FALSE))</f>
        <v>102.30058666306499</v>
      </c>
      <c r="S2461" s="4" t="str">
        <f>(VLOOKUP(B2461,Price_data!A$1:C$190,3,FALSE))</f>
        <v>EEZ</v>
      </c>
      <c r="T2461" s="2" t="str">
        <f>IF(C2461="Total", (VLOOKUP(B2461,Recommended_fish_intake!A$4:D$122,4,FALSE)), "NA")</f>
        <v>NA</v>
      </c>
      <c r="U2461" s="2" t="str">
        <f t="shared" si="315"/>
        <v>NA</v>
      </c>
    </row>
    <row r="2462" spans="1:21" ht="14.25" customHeight="1">
      <c r="A2462" s="2" t="s">
        <v>18</v>
      </c>
      <c r="B2462" s="2">
        <v>1991</v>
      </c>
      <c r="C2462" s="2" t="s">
        <v>28</v>
      </c>
      <c r="D2462" s="2">
        <v>69.599999999999994</v>
      </c>
      <c r="E2462" s="2">
        <v>32.9</v>
      </c>
      <c r="F2462" s="2" t="s">
        <v>92</v>
      </c>
      <c r="G2462" s="2" t="s">
        <v>92</v>
      </c>
      <c r="H2462" s="2" t="s">
        <v>92</v>
      </c>
      <c r="I2462" s="2" t="s">
        <v>92</v>
      </c>
      <c r="P2462" s="3">
        <f>E2462*(VLOOKUP(B2462,Price_data!A$1:B$190,2,FALSE))</f>
        <v>41.963584579699997</v>
      </c>
      <c r="Q2462" s="3" t="e">
        <f>G2462*(VLOOKUP(B2462,Price_data!A$1:B$190,2,FALSE))</f>
        <v>#VALUE!</v>
      </c>
      <c r="R2462" s="3" t="e">
        <f>I2462*(VLOOKUP(B2462,Price_data!A$1:B$190,2,FALSE))</f>
        <v>#VALUE!</v>
      </c>
      <c r="S2462" s="4" t="str">
        <f>(VLOOKUP(B2462,Price_data!A$1:C$190,3,FALSE))</f>
        <v>EEZ</v>
      </c>
      <c r="T2462" s="2" t="str">
        <f>IF(C2462="Total", (VLOOKUP(B2462,Recommended_fish_intake!A$4:D$122,4,FALSE)), "NA")</f>
        <v>NA</v>
      </c>
      <c r="U2462" s="2">
        <f t="shared" si="315"/>
        <v>19.488</v>
      </c>
    </row>
    <row r="2463" spans="1:21" ht="14.25" customHeight="1">
      <c r="A2463" s="2" t="s">
        <v>39</v>
      </c>
      <c r="B2463" s="2">
        <v>1991</v>
      </c>
      <c r="C2463" s="2" t="s">
        <v>28</v>
      </c>
      <c r="D2463" s="2">
        <v>45.9</v>
      </c>
      <c r="E2463" s="2">
        <v>62.5</v>
      </c>
      <c r="F2463" s="2" t="s">
        <v>92</v>
      </c>
      <c r="G2463" s="2" t="s">
        <v>92</v>
      </c>
      <c r="H2463" s="2" t="s">
        <v>92</v>
      </c>
      <c r="I2463" s="2" t="s">
        <v>92</v>
      </c>
      <c r="P2463" s="3">
        <f>E2463*(VLOOKUP(B2463,Price_data!A$1:B$190,2,FALSE))</f>
        <v>79.718055812499998</v>
      </c>
      <c r="Q2463" s="3" t="e">
        <f>G2463*(VLOOKUP(B2463,Price_data!A$1:B$190,2,FALSE))</f>
        <v>#VALUE!</v>
      </c>
      <c r="R2463" s="3" t="e">
        <f>I2463*(VLOOKUP(B2463,Price_data!A$1:B$190,2,FALSE))</f>
        <v>#VALUE!</v>
      </c>
      <c r="S2463" s="4" t="str">
        <f>(VLOOKUP(B2463,Price_data!A$1:C$190,3,FALSE))</f>
        <v>EEZ</v>
      </c>
      <c r="T2463" s="2" t="str">
        <f>IF(C2463="Total", (VLOOKUP(B2463,Recommended_fish_intake!A$4:D$122,4,FALSE)), "NA")</f>
        <v>NA</v>
      </c>
      <c r="U2463" s="2">
        <f t="shared" si="315"/>
        <v>12.852</v>
      </c>
    </row>
    <row r="2464" spans="1:21" ht="14.25" customHeight="1">
      <c r="A2464" s="2" t="s">
        <v>40</v>
      </c>
      <c r="B2464" s="2">
        <v>1991</v>
      </c>
      <c r="C2464" s="2" t="s">
        <v>28</v>
      </c>
      <c r="D2464" s="2">
        <v>9</v>
      </c>
      <c r="E2464" s="2">
        <v>8.6999999999999993</v>
      </c>
      <c r="F2464" s="2" t="s">
        <v>92</v>
      </c>
      <c r="G2464" s="2" t="s">
        <v>92</v>
      </c>
      <c r="H2464" s="2" t="s">
        <v>92</v>
      </c>
      <c r="I2464" s="2" t="s">
        <v>92</v>
      </c>
      <c r="P2464" s="3">
        <f>E2464*(VLOOKUP(B2464,Price_data!A$1:B$190,2,FALSE))</f>
        <v>11.096753369099998</v>
      </c>
      <c r="Q2464" s="3" t="e">
        <f>G2464*(VLOOKUP(B2464,Price_data!A$1:B$190,2,FALSE))</f>
        <v>#VALUE!</v>
      </c>
      <c r="R2464" s="3" t="e">
        <f>I2464*(VLOOKUP(B2464,Price_data!A$1:B$190,2,FALSE))</f>
        <v>#VALUE!</v>
      </c>
      <c r="S2464" s="4" t="str">
        <f>(VLOOKUP(B2464,Price_data!A$1:C$190,3,FALSE))</f>
        <v>EEZ</v>
      </c>
      <c r="T2464" s="2" t="str">
        <f>IF(C2464="Total", (VLOOKUP(B2464,Recommended_fish_intake!A$4:D$122,4,FALSE)), "NA")</f>
        <v>NA</v>
      </c>
      <c r="U2464" s="2">
        <f t="shared" si="315"/>
        <v>2.5200000000000005</v>
      </c>
    </row>
    <row r="2465" spans="1:21" ht="14.25" customHeight="1">
      <c r="A2465" s="2" t="s">
        <v>15</v>
      </c>
      <c r="B2465" s="2">
        <v>1991</v>
      </c>
      <c r="C2465" s="2" t="s">
        <v>28</v>
      </c>
      <c r="D2465" s="2">
        <v>124.5</v>
      </c>
      <c r="E2465" s="2">
        <v>104.2</v>
      </c>
      <c r="F2465" s="3">
        <f>L2465/1000</f>
        <v>76.102999999999994</v>
      </c>
      <c r="G2465" s="3">
        <f>M2465/1000</f>
        <v>210.49799999999999</v>
      </c>
      <c r="H2465" s="3">
        <f>N2465/1000</f>
        <v>65.844999999999999</v>
      </c>
      <c r="I2465" s="3">
        <f>O2465/1000</f>
        <v>227.006</v>
      </c>
      <c r="L2465" s="2">
        <v>76103</v>
      </c>
      <c r="M2465" s="2">
        <v>210498</v>
      </c>
      <c r="N2465" s="2">
        <v>65845</v>
      </c>
      <c r="O2465" s="2">
        <v>227006</v>
      </c>
      <c r="P2465" s="3">
        <f>E2465*(VLOOKUP(B2465,Price_data!A$1:B$190,2,FALSE))</f>
        <v>132.9059426506</v>
      </c>
      <c r="Q2465" s="3">
        <f>G2465*(VLOOKUP(B2465,Price_data!A$1:B$190,2,FALSE))</f>
        <v>268.48786099871398</v>
      </c>
      <c r="R2465" s="3">
        <f>I2465*(VLOOKUP(B2465,Price_data!A$1:B$190,2,FALSE))</f>
        <v>289.54363164435796</v>
      </c>
      <c r="S2465" s="4" t="str">
        <f>(VLOOKUP(B2465,Price_data!A$1:C$190,3,FALSE))</f>
        <v>EEZ</v>
      </c>
      <c r="T2465" s="2" t="str">
        <f>IF(C2465="Total", (VLOOKUP(B2465,Recommended_fish_intake!A$4:D$122,4,FALSE)), "NA")</f>
        <v>NA</v>
      </c>
      <c r="U2465" s="2">
        <f t="shared" si="315"/>
        <v>34.860000000000007</v>
      </c>
    </row>
    <row r="2466" spans="1:21" ht="14.25" customHeight="1">
      <c r="A2466" s="2" t="s">
        <v>18</v>
      </c>
      <c r="B2466" s="2">
        <v>1991</v>
      </c>
      <c r="C2466" s="2" t="s">
        <v>37</v>
      </c>
      <c r="D2466" s="2">
        <f t="shared" ref="D2466:E2469" si="316">D2226+D2478</f>
        <v>16.183</v>
      </c>
      <c r="E2466" s="2">
        <f t="shared" si="316"/>
        <v>19.443000000000001</v>
      </c>
      <c r="F2466" s="3" t="s">
        <v>92</v>
      </c>
      <c r="G2466" s="3" t="s">
        <v>92</v>
      </c>
      <c r="H2466" s="3" t="s">
        <v>92</v>
      </c>
      <c r="I2466" s="3" t="s">
        <v>92</v>
      </c>
      <c r="P2466" s="3">
        <f>E2466*(VLOOKUP(B2466,Price_data!A$1:B$190,2,FALSE))</f>
        <v>24.799330546598998</v>
      </c>
      <c r="Q2466" s="3" t="e">
        <f>G2466*(VLOOKUP(B2466,Price_data!A$1:B$190,2,FALSE))</f>
        <v>#VALUE!</v>
      </c>
      <c r="R2466" s="3" t="e">
        <f>I2466*(VLOOKUP(B2466,Price_data!A$1:B$190,2,FALSE))</f>
        <v>#VALUE!</v>
      </c>
      <c r="S2466" s="4" t="str">
        <f>(VLOOKUP(B2466,Price_data!A$1:C$190,3,FALSE))</f>
        <v>EEZ</v>
      </c>
      <c r="T2466" s="2" t="str">
        <f>IF(C2466="Total", (VLOOKUP(B2466,Recommended_fish_intake!A$4:D$122,4,FALSE)), "NA")</f>
        <v>NA</v>
      </c>
      <c r="U2466" s="2">
        <f t="shared" si="315"/>
        <v>7.9296699999999998</v>
      </c>
    </row>
    <row r="2467" spans="1:21" ht="14.25" customHeight="1">
      <c r="A2467" s="2" t="s">
        <v>39</v>
      </c>
      <c r="B2467" s="2">
        <v>1991</v>
      </c>
      <c r="C2467" s="2" t="s">
        <v>37</v>
      </c>
      <c r="D2467" s="2">
        <f t="shared" si="316"/>
        <v>144.12200000000001</v>
      </c>
      <c r="E2467" s="2">
        <f t="shared" si="316"/>
        <v>37.741</v>
      </c>
      <c r="F2467" s="3" t="s">
        <v>92</v>
      </c>
      <c r="G2467" s="3" t="s">
        <v>92</v>
      </c>
      <c r="H2467" s="3" t="s">
        <v>92</v>
      </c>
      <c r="I2467" s="3" t="s">
        <v>92</v>
      </c>
      <c r="P2467" s="3">
        <f>E2467*(VLOOKUP(B2467,Price_data!A$1:B$190,2,FALSE))</f>
        <v>48.138226310712994</v>
      </c>
      <c r="Q2467" s="3" t="e">
        <f>G2467*(VLOOKUP(B2467,Price_data!A$1:B$190,2,FALSE))</f>
        <v>#VALUE!</v>
      </c>
      <c r="R2467" s="3" t="e">
        <f>I2467*(VLOOKUP(B2467,Price_data!A$1:B$190,2,FALSE))</f>
        <v>#VALUE!</v>
      </c>
      <c r="S2467" s="4" t="str">
        <f>(VLOOKUP(B2467,Price_data!A$1:C$190,3,FALSE))</f>
        <v>EEZ</v>
      </c>
      <c r="T2467" s="2" t="str">
        <f>IF(C2467="Total", (VLOOKUP(B2467,Recommended_fish_intake!A$4:D$122,4,FALSE)), "NA")</f>
        <v>NA</v>
      </c>
      <c r="U2467" s="2">
        <f t="shared" si="315"/>
        <v>70.619780000000006</v>
      </c>
    </row>
    <row r="2468" spans="1:21" ht="14.25" customHeight="1">
      <c r="A2468" s="2" t="s">
        <v>40</v>
      </c>
      <c r="B2468" s="2">
        <v>1991</v>
      </c>
      <c r="C2468" s="2" t="s">
        <v>37</v>
      </c>
      <c r="D2468" s="2">
        <f t="shared" si="316"/>
        <v>52.466999999999999</v>
      </c>
      <c r="E2468" s="2">
        <f t="shared" si="316"/>
        <v>25.298000000000002</v>
      </c>
      <c r="F2468" s="3" t="s">
        <v>92</v>
      </c>
      <c r="G2468" s="3" t="s">
        <v>92</v>
      </c>
      <c r="H2468" s="3" t="s">
        <v>92</v>
      </c>
      <c r="I2468" s="3" t="s">
        <v>92</v>
      </c>
      <c r="P2468" s="3">
        <f>E2468*(VLOOKUP(B2468,Price_data!A$1:B$190,2,FALSE))</f>
        <v>32.267318015114</v>
      </c>
      <c r="Q2468" s="3" t="e">
        <f>G2468*(VLOOKUP(B2468,Price_data!A$1:B$190,2,FALSE))</f>
        <v>#VALUE!</v>
      </c>
      <c r="R2468" s="3" t="e">
        <f>I2468*(VLOOKUP(B2468,Price_data!A$1:B$190,2,FALSE))</f>
        <v>#VALUE!</v>
      </c>
      <c r="S2468" s="4" t="str">
        <f>(VLOOKUP(B2468,Price_data!A$1:C$190,3,FALSE))</f>
        <v>EEZ</v>
      </c>
      <c r="T2468" s="2" t="str">
        <f>IF(C2468="Total", (VLOOKUP(B2468,Recommended_fish_intake!A$4:D$122,4,FALSE)), "NA")</f>
        <v>NA</v>
      </c>
      <c r="U2468" s="2">
        <f t="shared" si="315"/>
        <v>25.708829999999999</v>
      </c>
    </row>
    <row r="2469" spans="1:21" ht="14.25" customHeight="1">
      <c r="A2469" s="2" t="s">
        <v>15</v>
      </c>
      <c r="B2469" s="2">
        <v>1991</v>
      </c>
      <c r="C2469" s="2" t="s">
        <v>37</v>
      </c>
      <c r="D2469" s="2">
        <f t="shared" si="316"/>
        <v>102.548</v>
      </c>
      <c r="E2469" s="2">
        <f t="shared" si="316"/>
        <v>12.712999999999999</v>
      </c>
      <c r="F2469" s="3">
        <f>L2469/1000</f>
        <v>332.327</v>
      </c>
      <c r="G2469" s="3">
        <f>M2469/1000</f>
        <v>359.66699999999997</v>
      </c>
      <c r="H2469" s="3">
        <f>N2469/1000</f>
        <v>415.38499999999999</v>
      </c>
      <c r="I2469" s="3">
        <f>O2469/1000</f>
        <v>738.58799999999997</v>
      </c>
      <c r="L2469" s="2">
        <v>332327</v>
      </c>
      <c r="M2469" s="2">
        <v>359667</v>
      </c>
      <c r="N2469" s="2">
        <v>415385</v>
      </c>
      <c r="O2469" s="2">
        <v>738588</v>
      </c>
      <c r="P2469" s="3">
        <f>E2469*(VLOOKUP(B2469,Price_data!A$1:B$190,2,FALSE))</f>
        <v>16.215290296708996</v>
      </c>
      <c r="Q2469" s="3">
        <f>G2469*(VLOOKUP(B2469,Price_data!A$1:B$190,2,FALSE))</f>
        <v>458.75126367863095</v>
      </c>
      <c r="R2469" s="3">
        <f>I2469*(VLOOKUP(B2469,Price_data!A$1:B$190,2,FALSE))</f>
        <v>942.06079050308392</v>
      </c>
      <c r="S2469" s="4" t="str">
        <f>(VLOOKUP(B2469,Price_data!A$1:C$190,3,FALSE))</f>
        <v>EEZ</v>
      </c>
      <c r="T2469" s="2" t="str">
        <f>IF(C2469="Total", (VLOOKUP(B2469,Recommended_fish_intake!A$4:D$122,4,FALSE)), "NA")</f>
        <v>NA</v>
      </c>
      <c r="U2469" s="2">
        <f t="shared" si="315"/>
        <v>50.248519999999999</v>
      </c>
    </row>
    <row r="2470" spans="1:21" ht="14.25" customHeight="1">
      <c r="A2470" s="2" t="s">
        <v>18</v>
      </c>
      <c r="B2470" s="2">
        <v>1991</v>
      </c>
      <c r="C2470" s="2" t="s">
        <v>41</v>
      </c>
      <c r="D2470" s="2">
        <v>82.4</v>
      </c>
      <c r="E2470" s="2">
        <v>109.9</v>
      </c>
      <c r="F2470" s="2" t="s">
        <v>92</v>
      </c>
      <c r="G2470" s="2" t="s">
        <v>92</v>
      </c>
      <c r="H2470" s="2" t="s">
        <v>92</v>
      </c>
      <c r="I2470" s="2" t="s">
        <v>92</v>
      </c>
      <c r="P2470" s="3">
        <f>E2470*(VLOOKUP(B2470,Price_data!A$1:B$190,2,FALSE))</f>
        <v>140.17622934069999</v>
      </c>
      <c r="Q2470" s="3" t="e">
        <f>G2470*(VLOOKUP(B2470,Price_data!A$1:B$190,2,FALSE))</f>
        <v>#VALUE!</v>
      </c>
      <c r="R2470" s="3" t="e">
        <f>I2470*(VLOOKUP(B2470,Price_data!A$1:B$190,2,FALSE))</f>
        <v>#VALUE!</v>
      </c>
      <c r="S2470" s="4" t="str">
        <f>(VLOOKUP(B2470,Price_data!A$1:C$190,3,FALSE))</f>
        <v>EEZ</v>
      </c>
      <c r="T2470" s="2" t="str">
        <f>IF(C2470="Total", (VLOOKUP(B2470,Recommended_fish_intake!A$4:D$122,4,FALSE)), "NA")</f>
        <v>NA</v>
      </c>
      <c r="U2470" s="2" t="str">
        <f t="shared" si="315"/>
        <v>NA</v>
      </c>
    </row>
    <row r="2471" spans="1:21" ht="14.25" customHeight="1">
      <c r="A2471" s="2" t="s">
        <v>39</v>
      </c>
      <c r="B2471" s="2">
        <v>1991</v>
      </c>
      <c r="C2471" s="2" t="s">
        <v>41</v>
      </c>
      <c r="D2471" s="2">
        <v>201.2</v>
      </c>
      <c r="E2471" s="2">
        <v>179.4</v>
      </c>
      <c r="F2471" s="2" t="s">
        <v>92</v>
      </c>
      <c r="G2471" s="2" t="s">
        <v>92</v>
      </c>
      <c r="H2471" s="2" t="s">
        <v>92</v>
      </c>
      <c r="I2471" s="2" t="s">
        <v>92</v>
      </c>
      <c r="P2471" s="3">
        <f>E2471*(VLOOKUP(B2471,Price_data!A$1:B$190,2,FALSE))</f>
        <v>228.8227074042</v>
      </c>
      <c r="Q2471" s="3" t="e">
        <f>G2471*(VLOOKUP(B2471,Price_data!A$1:B$190,2,FALSE))</f>
        <v>#VALUE!</v>
      </c>
      <c r="R2471" s="3" t="e">
        <f>I2471*(VLOOKUP(B2471,Price_data!A$1:B$190,2,FALSE))</f>
        <v>#VALUE!</v>
      </c>
      <c r="S2471" s="4" t="str">
        <f>(VLOOKUP(B2471,Price_data!A$1:C$190,3,FALSE))</f>
        <v>EEZ</v>
      </c>
      <c r="T2471" s="2" t="str">
        <f>IF(C2471="Total", (VLOOKUP(B2471,Recommended_fish_intake!A$4:D$122,4,FALSE)), "NA")</f>
        <v>NA</v>
      </c>
      <c r="U2471" s="2" t="str">
        <f t="shared" si="315"/>
        <v>NA</v>
      </c>
    </row>
    <row r="2472" spans="1:21" ht="14.25" customHeight="1">
      <c r="A2472" s="2" t="s">
        <v>40</v>
      </c>
      <c r="B2472" s="2">
        <v>1991</v>
      </c>
      <c r="C2472" s="2" t="s">
        <v>41</v>
      </c>
      <c r="D2472" s="2">
        <v>10.3</v>
      </c>
      <c r="E2472" s="2">
        <v>10.5</v>
      </c>
      <c r="F2472" s="2" t="s">
        <v>92</v>
      </c>
      <c r="G2472" s="2" t="s">
        <v>92</v>
      </c>
      <c r="H2472" s="2" t="s">
        <v>92</v>
      </c>
      <c r="I2472" s="2" t="s">
        <v>92</v>
      </c>
      <c r="P2472" s="3">
        <f>E2472*(VLOOKUP(B2472,Price_data!A$1:B$190,2,FALSE))</f>
        <v>13.392633376499999</v>
      </c>
      <c r="Q2472" s="3" t="e">
        <f>G2472*(VLOOKUP(B2472,Price_data!A$1:B$190,2,FALSE))</f>
        <v>#VALUE!</v>
      </c>
      <c r="R2472" s="3" t="e">
        <f>I2472*(VLOOKUP(B2472,Price_data!A$1:B$190,2,FALSE))</f>
        <v>#VALUE!</v>
      </c>
      <c r="S2472" s="4" t="str">
        <f>(VLOOKUP(B2472,Price_data!A$1:C$190,3,FALSE))</f>
        <v>EEZ</v>
      </c>
      <c r="T2472" s="2" t="str">
        <f>IF(C2472="Total", (VLOOKUP(B2472,Recommended_fish_intake!A$4:D$122,4,FALSE)), "NA")</f>
        <v>NA</v>
      </c>
      <c r="U2472" s="2" t="str">
        <f t="shared" si="315"/>
        <v>NA</v>
      </c>
    </row>
    <row r="2473" spans="1:21" ht="14.25" customHeight="1">
      <c r="A2473" s="2" t="s">
        <v>15</v>
      </c>
      <c r="B2473" s="2">
        <v>1991</v>
      </c>
      <c r="C2473" s="2" t="s">
        <v>41</v>
      </c>
      <c r="D2473" s="2">
        <v>293.89999999999998</v>
      </c>
      <c r="E2473" s="2">
        <v>299.8</v>
      </c>
      <c r="F2473" s="2" t="s">
        <v>92</v>
      </c>
      <c r="G2473" s="2" t="s">
        <v>92</v>
      </c>
      <c r="H2473" s="2" t="s">
        <v>92</v>
      </c>
      <c r="I2473" s="2" t="s">
        <v>92</v>
      </c>
      <c r="P2473" s="3">
        <f>E2473*(VLOOKUP(B2473,Price_data!A$1:B$190,2,FALSE))</f>
        <v>382.39157012139998</v>
      </c>
      <c r="Q2473" s="3" t="e">
        <f>G2473*(VLOOKUP(B2473,Price_data!A$1:B$190,2,FALSE))</f>
        <v>#VALUE!</v>
      </c>
      <c r="R2473" s="3" t="e">
        <f>I2473*(VLOOKUP(B2473,Price_data!A$1:B$190,2,FALSE))</f>
        <v>#VALUE!</v>
      </c>
      <c r="S2473" s="4" t="str">
        <f>(VLOOKUP(B2473,Price_data!A$1:C$190,3,FALSE))</f>
        <v>EEZ</v>
      </c>
      <c r="T2473" s="2" t="str">
        <f>IF(C2473="Total", (VLOOKUP(B2473,Recommended_fish_intake!A$4:D$122,4,FALSE)), "NA")</f>
        <v>NA</v>
      </c>
      <c r="U2473" s="2" t="str">
        <f t="shared" si="315"/>
        <v>NA</v>
      </c>
    </row>
    <row r="2474" spans="1:21" ht="14.25" customHeight="1">
      <c r="A2474" s="2" t="s">
        <v>18</v>
      </c>
      <c r="B2474" s="2">
        <v>1991</v>
      </c>
      <c r="C2474" s="2" t="s">
        <v>22</v>
      </c>
      <c r="D2474" s="1">
        <v>24.9</v>
      </c>
      <c r="E2474" s="1">
        <v>30</v>
      </c>
      <c r="F2474" s="1" t="s">
        <v>92</v>
      </c>
      <c r="G2474" s="1" t="s">
        <v>92</v>
      </c>
      <c r="H2474" s="1" t="s">
        <v>92</v>
      </c>
      <c r="I2474" s="1" t="s">
        <v>92</v>
      </c>
      <c r="J2474" s="1"/>
      <c r="K2474" s="1"/>
      <c r="L2474" s="1"/>
      <c r="M2474" s="1"/>
      <c r="N2474" s="1"/>
      <c r="O2474" s="1"/>
      <c r="P2474" s="3">
        <f>E2474*(VLOOKUP(B2474,Price_data!A$1:B$190,2,FALSE))</f>
        <v>38.26466679</v>
      </c>
      <c r="Q2474" s="3" t="e">
        <f>G2474*(VLOOKUP(B2474,Price_data!A$1:B$190,2,FALSE))</f>
        <v>#VALUE!</v>
      </c>
      <c r="R2474" s="3" t="e">
        <f>I2474*(VLOOKUP(B2474,Price_data!A$1:B$190,2,FALSE))</f>
        <v>#VALUE!</v>
      </c>
      <c r="S2474" s="4" t="str">
        <f>(VLOOKUP(B2474,Price_data!A$1:C$190,3,FALSE))</f>
        <v>EEZ</v>
      </c>
      <c r="T2474" s="2" t="str">
        <f>IF(C2474="Total", (VLOOKUP(B2474,Recommended_fish_intake!A$4:D$122,4,FALSE)), "NA")</f>
        <v>NA</v>
      </c>
      <c r="U2474" s="2" t="str">
        <f t="shared" si="315"/>
        <v>NA</v>
      </c>
    </row>
    <row r="2475" spans="1:21" ht="14.25" customHeight="1">
      <c r="A2475" s="2" t="s">
        <v>39</v>
      </c>
      <c r="B2475" s="2">
        <v>1991</v>
      </c>
      <c r="C2475" s="2" t="s">
        <v>22</v>
      </c>
      <c r="D2475" s="1">
        <v>38.200000000000003</v>
      </c>
      <c r="E2475" s="1">
        <v>43.2</v>
      </c>
      <c r="F2475" s="1" t="s">
        <v>92</v>
      </c>
      <c r="G2475" s="1" t="s">
        <v>92</v>
      </c>
      <c r="H2475" s="1" t="s">
        <v>92</v>
      </c>
      <c r="I2475" s="1" t="s">
        <v>92</v>
      </c>
      <c r="J2475" s="1"/>
      <c r="K2475" s="1"/>
      <c r="L2475" s="1"/>
      <c r="M2475" s="1"/>
      <c r="N2475" s="1"/>
      <c r="O2475" s="1"/>
      <c r="P2475" s="3">
        <f>E2475*(VLOOKUP(B2475,Price_data!A$1:B$190,2,FALSE))</f>
        <v>55.101120177600002</v>
      </c>
      <c r="Q2475" s="3" t="e">
        <f>G2475*(VLOOKUP(B2475,Price_data!A$1:B$190,2,FALSE))</f>
        <v>#VALUE!</v>
      </c>
      <c r="R2475" s="3" t="e">
        <f>I2475*(VLOOKUP(B2475,Price_data!A$1:B$190,2,FALSE))</f>
        <v>#VALUE!</v>
      </c>
      <c r="S2475" s="4" t="str">
        <f>(VLOOKUP(B2475,Price_data!A$1:C$190,3,FALSE))</f>
        <v>EEZ</v>
      </c>
      <c r="T2475" s="2" t="str">
        <f>IF(C2475="Total", (VLOOKUP(B2475,Recommended_fish_intake!A$4:D$122,4,FALSE)), "NA")</f>
        <v>NA</v>
      </c>
      <c r="U2475" s="2" t="str">
        <f t="shared" si="315"/>
        <v>NA</v>
      </c>
    </row>
    <row r="2476" spans="1:21" ht="14.25" customHeight="1">
      <c r="A2476" s="2" t="s">
        <v>40</v>
      </c>
      <c r="B2476" s="2">
        <v>1991</v>
      </c>
      <c r="C2476" s="2" t="s">
        <v>22</v>
      </c>
      <c r="D2476" s="1">
        <v>2.6</v>
      </c>
      <c r="E2476" s="1">
        <v>3.2</v>
      </c>
      <c r="F2476" s="1" t="s">
        <v>92</v>
      </c>
      <c r="G2476" s="1" t="s">
        <v>92</v>
      </c>
      <c r="H2476" s="1" t="s">
        <v>92</v>
      </c>
      <c r="I2476" s="1" t="s">
        <v>92</v>
      </c>
      <c r="J2476" s="1"/>
      <c r="K2476" s="1"/>
      <c r="L2476" s="1"/>
      <c r="M2476" s="1"/>
      <c r="N2476" s="1"/>
      <c r="O2476" s="1"/>
      <c r="P2476" s="3">
        <f>E2476*(VLOOKUP(B2476,Price_data!A$1:B$190,2,FALSE))</f>
        <v>4.0815644575999999</v>
      </c>
      <c r="Q2476" s="3" t="e">
        <f>G2476*(VLOOKUP(B2476,Price_data!A$1:B$190,2,FALSE))</f>
        <v>#VALUE!</v>
      </c>
      <c r="R2476" s="3" t="e">
        <f>I2476*(VLOOKUP(B2476,Price_data!A$1:B$190,2,FALSE))</f>
        <v>#VALUE!</v>
      </c>
      <c r="S2476" s="4" t="str">
        <f>(VLOOKUP(B2476,Price_data!A$1:C$190,3,FALSE))</f>
        <v>EEZ</v>
      </c>
      <c r="T2476" s="2" t="str">
        <f>IF(C2476="Total", (VLOOKUP(B2476,Recommended_fish_intake!A$4:D$122,4,FALSE)), "NA")</f>
        <v>NA</v>
      </c>
      <c r="U2476" s="2" t="str">
        <f t="shared" si="315"/>
        <v>NA</v>
      </c>
    </row>
    <row r="2477" spans="1:21" ht="14.25" customHeight="1">
      <c r="A2477" s="2" t="s">
        <v>15</v>
      </c>
      <c r="B2477" s="2">
        <v>1991</v>
      </c>
      <c r="C2477" s="2" t="s">
        <v>22</v>
      </c>
      <c r="D2477" s="1">
        <v>65.7</v>
      </c>
      <c r="E2477" s="1">
        <v>76.400000000000006</v>
      </c>
      <c r="F2477" s="3">
        <f>L2477/1000</f>
        <v>8.8580000000000005</v>
      </c>
      <c r="G2477" s="3">
        <f>M2477/1000</f>
        <v>19.253</v>
      </c>
      <c r="H2477" s="3">
        <f>N2477/1000</f>
        <v>117.53100000000001</v>
      </c>
      <c r="I2477" s="3">
        <f>O2477/1000</f>
        <v>247.71</v>
      </c>
      <c r="J2477" s="1"/>
      <c r="K2477" s="1"/>
      <c r="L2477" s="2">
        <f>3545+2082+2744+487</f>
        <v>8858</v>
      </c>
      <c r="M2477" s="1">
        <f>8068+4577+4972+1636</f>
        <v>19253</v>
      </c>
      <c r="N2477" s="1">
        <f>24193+66887+26273+178</f>
        <v>117531</v>
      </c>
      <c r="O2477" s="1">
        <f>30659+184268+32282+501</f>
        <v>247710</v>
      </c>
      <c r="P2477" s="3">
        <f>E2477*(VLOOKUP(B2477,Price_data!A$1:B$190,2,FALSE))</f>
        <v>97.447351425199997</v>
      </c>
      <c r="Q2477" s="3">
        <f>G2477*(VLOOKUP(B2477,Price_data!A$1:B$190,2,FALSE))</f>
        <v>24.556987656929</v>
      </c>
      <c r="R2477" s="3">
        <f>I2477*(VLOOKUP(B2477,Price_data!A$1:B$190,2,FALSE))</f>
        <v>315.95135368502997</v>
      </c>
      <c r="S2477" s="4" t="str">
        <f>(VLOOKUP(B2477,Price_data!A$1:C$190,3,FALSE))</f>
        <v>EEZ</v>
      </c>
      <c r="T2477" s="2" t="str">
        <f>IF(C2477="Total", (VLOOKUP(B2477,Recommended_fish_intake!A$4:D$122,4,FALSE)), "NA")</f>
        <v>NA</v>
      </c>
      <c r="U2477" s="2" t="str">
        <f t="shared" si="315"/>
        <v>NA</v>
      </c>
    </row>
    <row r="2478" spans="1:21" ht="14.25" customHeight="1">
      <c r="A2478" s="2" t="s">
        <v>18</v>
      </c>
      <c r="B2478" s="2">
        <v>1991</v>
      </c>
      <c r="C2478" s="2" t="s">
        <v>20</v>
      </c>
      <c r="D2478" s="2">
        <v>6.5</v>
      </c>
      <c r="E2478" s="2">
        <v>1.1000000000000001</v>
      </c>
      <c r="F2478" s="2" t="s">
        <v>92</v>
      </c>
      <c r="G2478" s="2" t="s">
        <v>92</v>
      </c>
      <c r="H2478" s="2" t="s">
        <v>92</v>
      </c>
      <c r="I2478" s="2" t="s">
        <v>92</v>
      </c>
      <c r="P2478" s="3">
        <f>E2478*(VLOOKUP(B2478,Price_data!A$1:B$190,2,FALSE))</f>
        <v>1.4030377823</v>
      </c>
      <c r="Q2478" s="3" t="e">
        <f>G2478*(VLOOKUP(B2478,Price_data!A$1:B$190,2,FALSE))</f>
        <v>#VALUE!</v>
      </c>
      <c r="R2478" s="3" t="e">
        <f>I2478*(VLOOKUP(B2478,Price_data!A$1:B$190,2,FALSE))</f>
        <v>#VALUE!</v>
      </c>
      <c r="S2478" s="4" t="str">
        <f>(VLOOKUP(B2478,Price_data!A$1:C$190,3,FALSE))</f>
        <v>EEZ</v>
      </c>
      <c r="T2478" s="2" t="str">
        <f>IF(C2478="Total", (VLOOKUP(B2478,Recommended_fish_intake!A$4:D$122,4,FALSE)), "NA")</f>
        <v>NA</v>
      </c>
      <c r="U2478" s="2" t="str">
        <f t="shared" si="315"/>
        <v>NA</v>
      </c>
    </row>
    <row r="2479" spans="1:21" ht="14.25" customHeight="1">
      <c r="A2479" s="2" t="s">
        <v>39</v>
      </c>
      <c r="B2479" s="2">
        <v>1991</v>
      </c>
      <c r="C2479" s="2" t="s">
        <v>20</v>
      </c>
      <c r="D2479" s="2">
        <v>118.4</v>
      </c>
      <c r="E2479" s="2">
        <v>15.2</v>
      </c>
      <c r="F2479" s="2" t="s">
        <v>92</v>
      </c>
      <c r="G2479" s="2" t="s">
        <v>92</v>
      </c>
      <c r="H2479" s="2" t="s">
        <v>92</v>
      </c>
      <c r="I2479" s="2" t="s">
        <v>92</v>
      </c>
      <c r="P2479" s="3">
        <f>E2479*(VLOOKUP(B2479,Price_data!A$1:B$190,2,FALSE))</f>
        <v>19.387431173599996</v>
      </c>
      <c r="Q2479" s="3" t="e">
        <f>G2479*(VLOOKUP(B2479,Price_data!A$1:B$190,2,FALSE))</f>
        <v>#VALUE!</v>
      </c>
      <c r="R2479" s="3" t="e">
        <f>I2479*(VLOOKUP(B2479,Price_data!A$1:B$190,2,FALSE))</f>
        <v>#VALUE!</v>
      </c>
      <c r="S2479" s="4" t="str">
        <f>(VLOOKUP(B2479,Price_data!A$1:C$190,3,FALSE))</f>
        <v>EEZ</v>
      </c>
      <c r="T2479" s="2" t="str">
        <f>IF(C2479="Total", (VLOOKUP(B2479,Recommended_fish_intake!A$4:D$122,4,FALSE)), "NA")</f>
        <v>NA</v>
      </c>
      <c r="U2479" s="2" t="str">
        <f t="shared" si="315"/>
        <v>NA</v>
      </c>
    </row>
    <row r="2480" spans="1:21" ht="14.25" customHeight="1">
      <c r="A2480" s="2" t="s">
        <v>40</v>
      </c>
      <c r="B2480" s="2">
        <v>1991</v>
      </c>
      <c r="C2480" s="2" t="s">
        <v>20</v>
      </c>
      <c r="D2480" s="2">
        <v>0.6</v>
      </c>
      <c r="E2480" s="2">
        <v>0.1</v>
      </c>
      <c r="F2480" s="2" t="s">
        <v>92</v>
      </c>
      <c r="G2480" s="2" t="s">
        <v>92</v>
      </c>
      <c r="H2480" s="2" t="s">
        <v>92</v>
      </c>
      <c r="I2480" s="2" t="s">
        <v>92</v>
      </c>
      <c r="P2480" s="3">
        <f>E2480*(VLOOKUP(B2480,Price_data!A$1:B$190,2,FALSE))</f>
        <v>0.1275488893</v>
      </c>
      <c r="Q2480" s="3" t="e">
        <f>G2480*(VLOOKUP(B2480,Price_data!A$1:B$190,2,FALSE))</f>
        <v>#VALUE!</v>
      </c>
      <c r="R2480" s="3" t="e">
        <f>I2480*(VLOOKUP(B2480,Price_data!A$1:B$190,2,FALSE))</f>
        <v>#VALUE!</v>
      </c>
      <c r="S2480" s="4" t="str">
        <f>(VLOOKUP(B2480,Price_data!A$1:C$190,3,FALSE))</f>
        <v>EEZ</v>
      </c>
      <c r="T2480" s="2" t="str">
        <f>IF(C2480="Total", (VLOOKUP(B2480,Recommended_fish_intake!A$4:D$122,4,FALSE)), "NA")</f>
        <v>NA</v>
      </c>
      <c r="U2480" s="2" t="str">
        <f t="shared" si="315"/>
        <v>NA</v>
      </c>
    </row>
    <row r="2481" spans="1:21" ht="14.25" customHeight="1">
      <c r="A2481" s="2" t="s">
        <v>18</v>
      </c>
      <c r="B2481" s="2">
        <v>1991</v>
      </c>
      <c r="C2481" s="2" t="s">
        <v>19</v>
      </c>
      <c r="D2481" s="2">
        <v>2.2000000000000002</v>
      </c>
      <c r="E2481" s="2">
        <v>0.5</v>
      </c>
      <c r="F2481" s="2" t="s">
        <v>92</v>
      </c>
      <c r="G2481" s="2" t="s">
        <v>92</v>
      </c>
      <c r="H2481" s="2" t="s">
        <v>92</v>
      </c>
      <c r="I2481" s="2" t="s">
        <v>92</v>
      </c>
      <c r="P2481" s="3">
        <f>E2481*(VLOOKUP(B2481,Price_data!A$1:B$190,2,FALSE))</f>
        <v>0.63774444649999995</v>
      </c>
      <c r="Q2481" s="3" t="e">
        <f>G2481*(VLOOKUP(B2481,Price_data!A$1:B$190,2,FALSE))</f>
        <v>#VALUE!</v>
      </c>
      <c r="R2481" s="3" t="e">
        <f>I2481*(VLOOKUP(B2481,Price_data!A$1:B$190,2,FALSE))</f>
        <v>#VALUE!</v>
      </c>
      <c r="S2481" s="4" t="str">
        <f>(VLOOKUP(B2481,Price_data!A$1:C$190,3,FALSE))</f>
        <v>EEZ</v>
      </c>
      <c r="T2481" s="2" t="str">
        <f>IF(C2481="Total", (VLOOKUP(B2481,Recommended_fish_intake!A$4:D$122,4,FALSE)), "NA")</f>
        <v>NA</v>
      </c>
      <c r="U2481" s="2" t="str">
        <f t="shared" si="315"/>
        <v>NA</v>
      </c>
    </row>
    <row r="2482" spans="1:21" ht="14.25" customHeight="1">
      <c r="A2482" s="2" t="s">
        <v>39</v>
      </c>
      <c r="B2482" s="2">
        <v>1991</v>
      </c>
      <c r="C2482" s="2" t="s">
        <v>19</v>
      </c>
      <c r="D2482" s="2">
        <v>88</v>
      </c>
      <c r="E2482" s="2">
        <v>9.3000000000000007</v>
      </c>
      <c r="F2482" s="2" t="s">
        <v>92</v>
      </c>
      <c r="G2482" s="2" t="s">
        <v>92</v>
      </c>
      <c r="H2482" s="2" t="s">
        <v>92</v>
      </c>
      <c r="I2482" s="2" t="s">
        <v>92</v>
      </c>
      <c r="P2482" s="3">
        <f>E2482*(VLOOKUP(B2482,Price_data!A$1:B$190,2,FALSE))</f>
        <v>11.862046704899999</v>
      </c>
      <c r="Q2482" s="3" t="e">
        <f>G2482*(VLOOKUP(B2482,Price_data!A$1:B$190,2,FALSE))</f>
        <v>#VALUE!</v>
      </c>
      <c r="R2482" s="3" t="e">
        <f>I2482*(VLOOKUP(B2482,Price_data!A$1:B$190,2,FALSE))</f>
        <v>#VALUE!</v>
      </c>
      <c r="S2482" s="4" t="str">
        <f>(VLOOKUP(B2482,Price_data!A$1:C$190,3,FALSE))</f>
        <v>EEZ</v>
      </c>
      <c r="T2482" s="2" t="str">
        <f>IF(C2482="Total", (VLOOKUP(B2482,Recommended_fish_intake!A$4:D$122,4,FALSE)), "NA")</f>
        <v>NA</v>
      </c>
      <c r="U2482" s="2" t="str">
        <f t="shared" si="315"/>
        <v>NA</v>
      </c>
    </row>
    <row r="2483" spans="1:21" ht="14.25" customHeight="1">
      <c r="A2483" s="2" t="s">
        <v>40</v>
      </c>
      <c r="B2483" s="2">
        <v>1991</v>
      </c>
      <c r="C2483" s="2" t="s">
        <v>19</v>
      </c>
      <c r="D2483" s="2">
        <v>3.8</v>
      </c>
      <c r="E2483" s="2">
        <v>0.4</v>
      </c>
      <c r="F2483" s="2" t="s">
        <v>92</v>
      </c>
      <c r="G2483" s="2" t="s">
        <v>92</v>
      </c>
      <c r="H2483" s="2" t="s">
        <v>92</v>
      </c>
      <c r="I2483" s="2" t="s">
        <v>92</v>
      </c>
      <c r="P2483" s="3">
        <f>E2483*(VLOOKUP(B2483,Price_data!A$1:B$190,2,FALSE))</f>
        <v>0.51019555719999998</v>
      </c>
      <c r="Q2483" s="3" t="e">
        <f>G2483*(VLOOKUP(B2483,Price_data!A$1:B$190,2,FALSE))</f>
        <v>#VALUE!</v>
      </c>
      <c r="R2483" s="3" t="e">
        <f>I2483*(VLOOKUP(B2483,Price_data!A$1:B$190,2,FALSE))</f>
        <v>#VALUE!</v>
      </c>
      <c r="S2483" s="4" t="str">
        <f>(VLOOKUP(B2483,Price_data!A$1:C$190,3,FALSE))</f>
        <v>EEZ</v>
      </c>
      <c r="T2483" s="2" t="str">
        <f>IF(C2483="Total", (VLOOKUP(B2483,Recommended_fish_intake!A$4:D$122,4,FALSE)), "NA")</f>
        <v>NA</v>
      </c>
      <c r="U2483" s="2" t="str">
        <f t="shared" si="315"/>
        <v>NA</v>
      </c>
    </row>
    <row r="2484" spans="1:21" ht="14.25" customHeight="1">
      <c r="A2484" s="2" t="s">
        <v>18</v>
      </c>
      <c r="B2484" s="2">
        <v>1991</v>
      </c>
      <c r="C2484" s="2" t="s">
        <v>24</v>
      </c>
      <c r="D2484" s="2">
        <v>5.9</v>
      </c>
      <c r="E2484" s="2">
        <v>3.3</v>
      </c>
      <c r="F2484" s="2" t="s">
        <v>92</v>
      </c>
      <c r="G2484" s="2" t="s">
        <v>92</v>
      </c>
      <c r="H2484" s="2" t="s">
        <v>92</v>
      </c>
      <c r="I2484" s="2" t="s">
        <v>92</v>
      </c>
      <c r="P2484" s="3">
        <f>E2484*(VLOOKUP(B2484,Price_data!A$1:B$190,2,FALSE))</f>
        <v>4.2091133468999997</v>
      </c>
      <c r="Q2484" s="3" t="e">
        <f>G2484*(VLOOKUP(B2484,Price_data!A$1:B$190,2,FALSE))</f>
        <v>#VALUE!</v>
      </c>
      <c r="R2484" s="3" t="e">
        <f>I2484*(VLOOKUP(B2484,Price_data!A$1:B$190,2,FALSE))</f>
        <v>#VALUE!</v>
      </c>
      <c r="S2484" s="4" t="str">
        <f>(VLOOKUP(B2484,Price_data!A$1:C$190,3,FALSE))</f>
        <v>EEZ</v>
      </c>
      <c r="T2484" s="2" t="str">
        <f>IF(C2484="Total", (VLOOKUP(B2484,Recommended_fish_intake!A$4:D$122,4,FALSE)), "NA")</f>
        <v>NA</v>
      </c>
      <c r="U2484" s="2" t="str">
        <f t="shared" si="315"/>
        <v>NA</v>
      </c>
    </row>
    <row r="2485" spans="1:21" ht="14.25" customHeight="1">
      <c r="A2485" s="2" t="s">
        <v>39</v>
      </c>
      <c r="B2485" s="2">
        <v>1991</v>
      </c>
      <c r="C2485" s="2" t="s">
        <v>24</v>
      </c>
      <c r="D2485" s="2">
        <v>37.200000000000003</v>
      </c>
      <c r="E2485" s="2">
        <v>18.2</v>
      </c>
      <c r="F2485" s="2" t="s">
        <v>92</v>
      </c>
      <c r="G2485" s="2" t="s">
        <v>92</v>
      </c>
      <c r="H2485" s="2" t="s">
        <v>92</v>
      </c>
      <c r="I2485" s="2" t="s">
        <v>92</v>
      </c>
      <c r="P2485" s="3">
        <f>E2485*(VLOOKUP(B2485,Price_data!A$1:B$190,2,FALSE))</f>
        <v>23.213897852599999</v>
      </c>
      <c r="Q2485" s="3" t="e">
        <f>G2485*(VLOOKUP(B2485,Price_data!A$1:B$190,2,FALSE))</f>
        <v>#VALUE!</v>
      </c>
      <c r="R2485" s="3" t="e">
        <f>I2485*(VLOOKUP(B2485,Price_data!A$1:B$190,2,FALSE))</f>
        <v>#VALUE!</v>
      </c>
      <c r="S2485" s="4" t="str">
        <f>(VLOOKUP(B2485,Price_data!A$1:C$190,3,FALSE))</f>
        <v>EEZ</v>
      </c>
      <c r="T2485" s="2" t="str">
        <f>IF(C2485="Total", (VLOOKUP(B2485,Recommended_fish_intake!A$4:D$122,4,FALSE)), "NA")</f>
        <v>NA</v>
      </c>
      <c r="U2485" s="2" t="str">
        <f t="shared" si="315"/>
        <v>NA</v>
      </c>
    </row>
    <row r="2486" spans="1:21" ht="14.25" customHeight="1">
      <c r="A2486" s="2" t="s">
        <v>40</v>
      </c>
      <c r="B2486" s="2">
        <v>1991</v>
      </c>
      <c r="C2486" s="2" t="s">
        <v>24</v>
      </c>
      <c r="D2486" s="2">
        <v>3.3</v>
      </c>
      <c r="E2486" s="2">
        <v>1.5</v>
      </c>
      <c r="F2486" s="2" t="s">
        <v>92</v>
      </c>
      <c r="G2486" s="2" t="s">
        <v>92</v>
      </c>
      <c r="H2486" s="2" t="s">
        <v>92</v>
      </c>
      <c r="I2486" s="2" t="s">
        <v>92</v>
      </c>
      <c r="P2486" s="3">
        <f>E2486*(VLOOKUP(B2486,Price_data!A$1:B$190,2,FALSE))</f>
        <v>1.9132333394999999</v>
      </c>
      <c r="Q2486" s="3" t="e">
        <f>G2486*(VLOOKUP(B2486,Price_data!A$1:B$190,2,FALSE))</f>
        <v>#VALUE!</v>
      </c>
      <c r="R2486" s="3" t="e">
        <f>I2486*(VLOOKUP(B2486,Price_data!A$1:B$190,2,FALSE))</f>
        <v>#VALUE!</v>
      </c>
      <c r="S2486" s="4" t="str">
        <f>(VLOOKUP(B2486,Price_data!A$1:C$190,3,FALSE))</f>
        <v>EEZ</v>
      </c>
      <c r="T2486" s="2" t="str">
        <f>IF(C2486="Total", (VLOOKUP(B2486,Recommended_fish_intake!A$4:D$122,4,FALSE)), "NA")</f>
        <v>NA</v>
      </c>
      <c r="U2486" s="2" t="str">
        <f t="shared" si="315"/>
        <v>NA</v>
      </c>
    </row>
    <row r="2487" spans="1:21" ht="14.25" customHeight="1">
      <c r="A2487" s="2" t="s">
        <v>18</v>
      </c>
      <c r="B2487" s="2">
        <v>1991</v>
      </c>
      <c r="C2487" s="2" t="s">
        <v>58</v>
      </c>
      <c r="D2487" s="2">
        <v>2.9</v>
      </c>
      <c r="E2487" s="2">
        <v>5.6</v>
      </c>
      <c r="F2487" s="2" t="s">
        <v>92</v>
      </c>
      <c r="G2487" s="2" t="s">
        <v>92</v>
      </c>
      <c r="H2487" s="2" t="s">
        <v>92</v>
      </c>
      <c r="I2487" s="2" t="s">
        <v>92</v>
      </c>
      <c r="P2487" s="3">
        <f>E2487*(VLOOKUP(B2487,Price_data!A$1:B$190,2,FALSE))</f>
        <v>7.1427378007999991</v>
      </c>
      <c r="Q2487" s="3" t="e">
        <f>G2487*(VLOOKUP(B2487,Price_data!A$1:B$190,2,FALSE))</f>
        <v>#VALUE!</v>
      </c>
      <c r="R2487" s="3" t="e">
        <f>I2487*(VLOOKUP(B2487,Price_data!A$1:B$190,2,FALSE))</f>
        <v>#VALUE!</v>
      </c>
      <c r="S2487" s="4" t="str">
        <f>(VLOOKUP(B2487,Price_data!A$1:C$190,3,FALSE))</f>
        <v>EEZ</v>
      </c>
      <c r="T2487" s="2" t="str">
        <f>IF(C2487="Total", (VLOOKUP(B2487,Recommended_fish_intake!A$4:D$122,4,FALSE)), "NA")</f>
        <v>NA</v>
      </c>
      <c r="U2487" s="2" t="str">
        <f t="shared" si="315"/>
        <v>NA</v>
      </c>
    </row>
    <row r="2488" spans="1:21" ht="14.25" customHeight="1">
      <c r="A2488" s="2" t="s">
        <v>39</v>
      </c>
      <c r="B2488" s="2">
        <v>1991</v>
      </c>
      <c r="C2488" s="2" t="s">
        <v>58</v>
      </c>
      <c r="D2488" s="2">
        <v>10.9</v>
      </c>
      <c r="E2488" s="2">
        <v>21.5</v>
      </c>
      <c r="F2488" s="2" t="s">
        <v>92</v>
      </c>
      <c r="G2488" s="2" t="s">
        <v>92</v>
      </c>
      <c r="H2488" s="2" t="s">
        <v>92</v>
      </c>
      <c r="I2488" s="2" t="s">
        <v>92</v>
      </c>
      <c r="P2488" s="3">
        <f>E2488*(VLOOKUP(B2488,Price_data!A$1:B$190,2,FALSE))</f>
        <v>27.423011199499999</v>
      </c>
      <c r="Q2488" s="3" t="e">
        <f>G2488*(VLOOKUP(B2488,Price_data!A$1:B$190,2,FALSE))</f>
        <v>#VALUE!</v>
      </c>
      <c r="R2488" s="3" t="e">
        <f>I2488*(VLOOKUP(B2488,Price_data!A$1:B$190,2,FALSE))</f>
        <v>#VALUE!</v>
      </c>
      <c r="S2488" s="4" t="str">
        <f>(VLOOKUP(B2488,Price_data!A$1:C$190,3,FALSE))</f>
        <v>EEZ</v>
      </c>
      <c r="T2488" s="2" t="str">
        <f>IF(C2488="Total", (VLOOKUP(B2488,Recommended_fish_intake!A$4:D$122,4,FALSE)), "NA")</f>
        <v>NA</v>
      </c>
      <c r="U2488" s="2" t="str">
        <f t="shared" si="315"/>
        <v>NA</v>
      </c>
    </row>
    <row r="2489" spans="1:21" ht="14.25" customHeight="1">
      <c r="A2489" s="2" t="s">
        <v>40</v>
      </c>
      <c r="B2489" s="2">
        <v>1991</v>
      </c>
      <c r="C2489" s="2" t="s">
        <v>58</v>
      </c>
      <c r="D2489" s="2">
        <v>0.3</v>
      </c>
      <c r="E2489" s="2">
        <v>0.4</v>
      </c>
      <c r="F2489" s="2" t="s">
        <v>92</v>
      </c>
      <c r="G2489" s="2" t="s">
        <v>92</v>
      </c>
      <c r="H2489" s="2" t="s">
        <v>92</v>
      </c>
      <c r="I2489" s="2" t="s">
        <v>92</v>
      </c>
      <c r="P2489" s="3">
        <f>E2489*(VLOOKUP(B2489,Price_data!A$1:B$190,2,FALSE))</f>
        <v>0.51019555719999998</v>
      </c>
      <c r="Q2489" s="3" t="e">
        <f>G2489*(VLOOKUP(B2489,Price_data!A$1:B$190,2,FALSE))</f>
        <v>#VALUE!</v>
      </c>
      <c r="R2489" s="3" t="e">
        <f>I2489*(VLOOKUP(B2489,Price_data!A$1:B$190,2,FALSE))</f>
        <v>#VALUE!</v>
      </c>
      <c r="S2489" s="4" t="str">
        <f>(VLOOKUP(B2489,Price_data!A$1:C$190,3,FALSE))</f>
        <v>EEZ</v>
      </c>
      <c r="T2489" s="2" t="str">
        <f>IF(C2489="Total", (VLOOKUP(B2489,Recommended_fish_intake!A$4:D$122,4,FALSE)), "NA")</f>
        <v>NA</v>
      </c>
      <c r="U2489" s="2" t="str">
        <f t="shared" si="315"/>
        <v>NA</v>
      </c>
    </row>
    <row r="2490" spans="1:21" ht="14.25" customHeight="1">
      <c r="A2490" s="2" t="s">
        <v>18</v>
      </c>
      <c r="B2490" s="2">
        <v>1991</v>
      </c>
      <c r="C2490" s="2" t="s">
        <v>23</v>
      </c>
      <c r="D2490" s="2">
        <v>2.9</v>
      </c>
      <c r="E2490" s="2">
        <v>3.2</v>
      </c>
      <c r="F2490" s="2" t="s">
        <v>92</v>
      </c>
      <c r="G2490" s="2" t="s">
        <v>92</v>
      </c>
      <c r="H2490" s="2" t="s">
        <v>92</v>
      </c>
      <c r="I2490" s="2" t="s">
        <v>92</v>
      </c>
      <c r="P2490" s="3">
        <f>E2490*(VLOOKUP(B2490,Price_data!A$1:B$190,2,FALSE))</f>
        <v>4.0815644575999999</v>
      </c>
      <c r="Q2490" s="3" t="e">
        <f>G2490*(VLOOKUP(B2490,Price_data!A$1:B$190,2,FALSE))</f>
        <v>#VALUE!</v>
      </c>
      <c r="R2490" s="3" t="e">
        <f>I2490*(VLOOKUP(B2490,Price_data!A$1:B$190,2,FALSE))</f>
        <v>#VALUE!</v>
      </c>
      <c r="S2490" s="4" t="str">
        <f>(VLOOKUP(B2490,Price_data!A$1:C$190,3,FALSE))</f>
        <v>EEZ</v>
      </c>
      <c r="T2490" s="2" t="str">
        <f>IF(C2490="Total", (VLOOKUP(B2490,Recommended_fish_intake!A$4:D$122,4,FALSE)), "NA")</f>
        <v>NA</v>
      </c>
      <c r="U2490" s="2" t="str">
        <f t="shared" si="315"/>
        <v>NA</v>
      </c>
    </row>
    <row r="2491" spans="1:21" ht="14.25" customHeight="1">
      <c r="A2491" s="2" t="s">
        <v>39</v>
      </c>
      <c r="B2491" s="2">
        <v>1991</v>
      </c>
      <c r="C2491" s="2" t="s">
        <v>23</v>
      </c>
      <c r="D2491" s="2">
        <v>50.2</v>
      </c>
      <c r="E2491" s="2">
        <v>49.9</v>
      </c>
      <c r="F2491" s="2" t="s">
        <v>92</v>
      </c>
      <c r="G2491" s="2" t="s">
        <v>92</v>
      </c>
      <c r="H2491" s="2" t="s">
        <v>92</v>
      </c>
      <c r="I2491" s="2" t="s">
        <v>92</v>
      </c>
      <c r="P2491" s="3">
        <f>E2491*(VLOOKUP(B2491,Price_data!A$1:B$190,2,FALSE))</f>
        <v>63.646895760699991</v>
      </c>
      <c r="Q2491" s="3" t="e">
        <f>G2491*(VLOOKUP(B2491,Price_data!A$1:B$190,2,FALSE))</f>
        <v>#VALUE!</v>
      </c>
      <c r="R2491" s="3" t="e">
        <f>I2491*(VLOOKUP(B2491,Price_data!A$1:B$190,2,FALSE))</f>
        <v>#VALUE!</v>
      </c>
      <c r="S2491" s="4" t="str">
        <f>(VLOOKUP(B2491,Price_data!A$1:C$190,3,FALSE))</f>
        <v>EEZ</v>
      </c>
      <c r="T2491" s="2" t="str">
        <f>IF(C2491="Total", (VLOOKUP(B2491,Recommended_fish_intake!A$4:D$122,4,FALSE)), "NA")</f>
        <v>NA</v>
      </c>
      <c r="U2491" s="2" t="str">
        <f t="shared" si="315"/>
        <v>NA</v>
      </c>
    </row>
    <row r="2492" spans="1:21" ht="14.25" customHeight="1">
      <c r="A2492" s="2" t="s">
        <v>40</v>
      </c>
      <c r="B2492" s="2">
        <v>1991</v>
      </c>
      <c r="C2492" s="2" t="s">
        <v>23</v>
      </c>
      <c r="D2492" s="2">
        <v>0.3</v>
      </c>
      <c r="E2492" s="2">
        <v>0.3</v>
      </c>
      <c r="F2492" s="2" t="s">
        <v>92</v>
      </c>
      <c r="G2492" s="2" t="s">
        <v>92</v>
      </c>
      <c r="H2492" s="2" t="s">
        <v>92</v>
      </c>
      <c r="I2492" s="2" t="s">
        <v>92</v>
      </c>
      <c r="P2492" s="3">
        <f>E2492*(VLOOKUP(B2492,Price_data!A$1:B$190,2,FALSE))</f>
        <v>0.38264666789999996</v>
      </c>
      <c r="Q2492" s="3" t="e">
        <f>G2492*(VLOOKUP(B2492,Price_data!A$1:B$190,2,FALSE))</f>
        <v>#VALUE!</v>
      </c>
      <c r="R2492" s="3" t="e">
        <f>I2492*(VLOOKUP(B2492,Price_data!A$1:B$190,2,FALSE))</f>
        <v>#VALUE!</v>
      </c>
      <c r="S2492" s="4" t="str">
        <f>(VLOOKUP(B2492,Price_data!A$1:C$190,3,FALSE))</f>
        <v>EEZ</v>
      </c>
      <c r="T2492" s="2" t="str">
        <f>IF(C2492="Total", (VLOOKUP(B2492,Recommended_fish_intake!A$4:D$122,4,FALSE)), "NA")</f>
        <v>NA</v>
      </c>
      <c r="U2492" s="2" t="str">
        <f t="shared" si="315"/>
        <v>NA</v>
      </c>
    </row>
    <row r="2493" spans="1:21" ht="14.25" customHeight="1">
      <c r="A2493" s="2" t="s">
        <v>15</v>
      </c>
      <c r="B2493" s="2">
        <v>1991</v>
      </c>
      <c r="C2493" s="2" t="s">
        <v>23</v>
      </c>
      <c r="D2493" s="2">
        <v>53.3</v>
      </c>
      <c r="E2493" s="2">
        <v>53.3</v>
      </c>
      <c r="F2493" s="4">
        <f>L2493/1000</f>
        <v>0.874</v>
      </c>
      <c r="G2493" s="4">
        <f>M2493/1000</f>
        <v>3.08</v>
      </c>
      <c r="H2493" s="4">
        <f>N2493/1000</f>
        <v>26.762</v>
      </c>
      <c r="I2493" s="4">
        <f>O2493/1000</f>
        <v>50.808</v>
      </c>
      <c r="L2493" s="2">
        <f>477+356+41</f>
        <v>874</v>
      </c>
      <c r="M2493" s="2">
        <f>1571+1454+55</f>
        <v>3080</v>
      </c>
      <c r="N2493" s="2">
        <f>15211+8235+3316</f>
        <v>26762</v>
      </c>
      <c r="O2493" s="2">
        <f>21156+25159+4493</f>
        <v>50808</v>
      </c>
      <c r="P2493" s="3">
        <f>E2493*(VLOOKUP(B2493,Price_data!A$1:B$190,2,FALSE))</f>
        <v>67.983557996899989</v>
      </c>
      <c r="Q2493" s="3">
        <f>G2493*(VLOOKUP(B2493,Price_data!A$1:B$190,2,FALSE))</f>
        <v>3.9285057904399996</v>
      </c>
      <c r="R2493" s="3">
        <f>I2493*(VLOOKUP(B2493,Price_data!A$1:B$190,2,FALSE))</f>
        <v>64.805039675543995</v>
      </c>
      <c r="S2493" s="4" t="str">
        <f>(VLOOKUP(B2493,Price_data!A$1:C$190,3,FALSE))</f>
        <v>EEZ</v>
      </c>
      <c r="T2493" s="2" t="str">
        <f>IF(C2493="Total", (VLOOKUP(B2493,Recommended_fish_intake!A$4:D$122,4,FALSE)), "NA")</f>
        <v>NA</v>
      </c>
      <c r="U2493" s="2" t="str">
        <f t="shared" si="315"/>
        <v>NA</v>
      </c>
    </row>
    <row r="2494" spans="1:21" ht="14.25" customHeight="1">
      <c r="A2494" s="2" t="s">
        <v>15</v>
      </c>
      <c r="B2494" s="2">
        <v>1991</v>
      </c>
      <c r="C2494" s="2" t="s">
        <v>58</v>
      </c>
      <c r="D2494" s="2">
        <v>14.1</v>
      </c>
      <c r="E2494" s="2">
        <v>27.6</v>
      </c>
      <c r="F2494" s="4" t="s">
        <v>92</v>
      </c>
      <c r="G2494" s="4" t="s">
        <v>92</v>
      </c>
      <c r="H2494" s="4" t="s">
        <v>92</v>
      </c>
      <c r="I2494" s="4" t="s">
        <v>92</v>
      </c>
      <c r="L2494" s="2" t="s">
        <v>92</v>
      </c>
      <c r="M2494" s="2" t="s">
        <v>92</v>
      </c>
      <c r="N2494" s="2" t="s">
        <v>92</v>
      </c>
      <c r="O2494" s="2" t="s">
        <v>92</v>
      </c>
      <c r="P2494" s="3">
        <f>E2494*(VLOOKUP(B2494,Price_data!A$1:B$190,2,FALSE))</f>
        <v>35.203493446799996</v>
      </c>
      <c r="Q2494" s="3" t="e">
        <f>G2494*(VLOOKUP(B2494,Price_data!A$1:B$190,2,FALSE))</f>
        <v>#VALUE!</v>
      </c>
      <c r="R2494" s="3" t="e">
        <f>I2494*(VLOOKUP(B2494,Price_data!A$1:B$190,2,FALSE))</f>
        <v>#VALUE!</v>
      </c>
      <c r="S2494" s="4" t="str">
        <f>(VLOOKUP(B2494,Price_data!A$1:C$190,3,FALSE))</f>
        <v>EEZ</v>
      </c>
      <c r="T2494" s="2" t="str">
        <f>IF(C2494="Total", (VLOOKUP(B2494,Recommended_fish_intake!A$4:D$122,4,FALSE)), "NA")</f>
        <v>NA</v>
      </c>
      <c r="U2494" s="2" t="str">
        <f t="shared" si="315"/>
        <v>NA</v>
      </c>
    </row>
    <row r="2495" spans="1:21" ht="14.25" customHeight="1">
      <c r="A2495" s="2" t="s">
        <v>15</v>
      </c>
      <c r="B2495" s="2">
        <v>1991</v>
      </c>
      <c r="C2495" s="2" t="s">
        <v>24</v>
      </c>
      <c r="D2495" s="2">
        <v>46.4</v>
      </c>
      <c r="E2495" s="2">
        <v>22.9</v>
      </c>
      <c r="F2495" s="4" t="s">
        <v>92</v>
      </c>
      <c r="G2495" s="4" t="s">
        <v>92</v>
      </c>
      <c r="H2495" s="4" t="s">
        <v>92</v>
      </c>
      <c r="I2495" s="4" t="s">
        <v>92</v>
      </c>
      <c r="L2495" s="2" t="s">
        <v>92</v>
      </c>
      <c r="M2495" s="2" t="s">
        <v>92</v>
      </c>
      <c r="N2495" s="2" t="s">
        <v>92</v>
      </c>
      <c r="O2495" s="2" t="s">
        <v>92</v>
      </c>
      <c r="P2495" s="3">
        <f>E2495*(VLOOKUP(B2495,Price_data!A$1:B$190,2,FALSE))</f>
        <v>29.208695649699997</v>
      </c>
      <c r="Q2495" s="3" t="e">
        <f>G2495*(VLOOKUP(B2495,Price_data!A$1:B$190,2,FALSE))</f>
        <v>#VALUE!</v>
      </c>
      <c r="R2495" s="3" t="e">
        <f>I2495*(VLOOKUP(B2495,Price_data!A$1:B$190,2,FALSE))</f>
        <v>#VALUE!</v>
      </c>
      <c r="S2495" s="4" t="str">
        <f>(VLOOKUP(B2495,Price_data!A$1:C$190,3,FALSE))</f>
        <v>EEZ</v>
      </c>
      <c r="T2495" s="2" t="str">
        <f>IF(C2495="Total", (VLOOKUP(B2495,Recommended_fish_intake!A$4:D$122,4,FALSE)), "NA")</f>
        <v>NA</v>
      </c>
      <c r="U2495" s="2" t="str">
        <f t="shared" si="315"/>
        <v>NA</v>
      </c>
    </row>
    <row r="2496" spans="1:21" ht="14.25" customHeight="1">
      <c r="A2496" s="2" t="s">
        <v>15</v>
      </c>
      <c r="B2496" s="2">
        <v>1991</v>
      </c>
      <c r="C2496" s="2" t="s">
        <v>19</v>
      </c>
      <c r="D2496" s="2">
        <v>94</v>
      </c>
      <c r="E2496" s="2">
        <v>10.1</v>
      </c>
      <c r="F2496" s="4">
        <f t="shared" ref="F2496:I2497" si="317">L2496/1000</f>
        <v>77.191999999999993</v>
      </c>
      <c r="G2496" s="4">
        <f t="shared" si="317"/>
        <v>16.256</v>
      </c>
      <c r="H2496" s="4">
        <f t="shared" si="317"/>
        <v>11.914</v>
      </c>
      <c r="I2496" s="4">
        <f t="shared" si="317"/>
        <v>7.2549999999999999</v>
      </c>
      <c r="L2496" s="2">
        <f>64230+9126+2917+919</f>
        <v>77192</v>
      </c>
      <c r="M2496" s="2">
        <f>8673+3495+2994+1094</f>
        <v>16256</v>
      </c>
      <c r="N2496" s="2">
        <f>4595+4868+1511+940</f>
        <v>11914</v>
      </c>
      <c r="O2496" s="2">
        <f>1722+1958+1913+1662</f>
        <v>7255</v>
      </c>
      <c r="P2496" s="3">
        <f>E2496*(VLOOKUP(B2496,Price_data!A$1:B$190,2,FALSE))</f>
        <v>12.882437819299998</v>
      </c>
      <c r="Q2496" s="3">
        <f>G2496*(VLOOKUP(B2496,Price_data!A$1:B$190,2,FALSE))</f>
        <v>20.734347444607998</v>
      </c>
      <c r="R2496" s="3">
        <f>I2496*(VLOOKUP(B2496,Price_data!A$1:B$190,2,FALSE))</f>
        <v>9.2536719187149998</v>
      </c>
      <c r="S2496" s="4" t="str">
        <f>(VLOOKUP(B2496,Price_data!A$1:C$190,3,FALSE))</f>
        <v>EEZ</v>
      </c>
      <c r="T2496" s="2" t="str">
        <f>IF(C2496="Total", (VLOOKUP(B2496,Recommended_fish_intake!A$4:D$122,4,FALSE)), "NA")</f>
        <v>NA</v>
      </c>
      <c r="U2496" s="2" t="str">
        <f t="shared" si="315"/>
        <v>NA</v>
      </c>
    </row>
    <row r="2497" spans="1:21" ht="14.25" customHeight="1">
      <c r="A2497" s="2" t="s">
        <v>15</v>
      </c>
      <c r="B2497" s="2">
        <v>1991</v>
      </c>
      <c r="C2497" s="2" t="s">
        <v>20</v>
      </c>
      <c r="D2497" s="2">
        <v>125.4</v>
      </c>
      <c r="E2497" s="2">
        <v>16.3</v>
      </c>
      <c r="F2497" s="4">
        <f t="shared" si="317"/>
        <v>0.97199999999999998</v>
      </c>
      <c r="G2497" s="4">
        <f t="shared" si="317"/>
        <v>2.1509999999999998</v>
      </c>
      <c r="H2497" s="4">
        <f t="shared" si="317"/>
        <v>2.7549999999999999</v>
      </c>
      <c r="I2497" s="4">
        <f t="shared" si="317"/>
        <v>5.3540000000000001</v>
      </c>
      <c r="L2497" s="2">
        <v>972</v>
      </c>
      <c r="M2497" s="2">
        <v>2151</v>
      </c>
      <c r="N2497" s="2">
        <v>2755</v>
      </c>
      <c r="O2497" s="2">
        <v>5354</v>
      </c>
      <c r="P2497" s="3">
        <f>E2497*(VLOOKUP(B2497,Price_data!A$1:B$190,2,FALSE))</f>
        <v>20.7904689559</v>
      </c>
      <c r="Q2497" s="3">
        <f>G2497*(VLOOKUP(B2497,Price_data!A$1:B$190,2,FALSE))</f>
        <v>2.7435766088429996</v>
      </c>
      <c r="R2497" s="3">
        <f>I2497*(VLOOKUP(B2497,Price_data!A$1:B$190,2,FALSE))</f>
        <v>6.8289675331219994</v>
      </c>
      <c r="S2497" s="4" t="str">
        <f>(VLOOKUP(B2497,Price_data!A$1:C$190,3,FALSE))</f>
        <v>EEZ</v>
      </c>
      <c r="T2497" s="2" t="str">
        <f>IF(C2497="Total", (VLOOKUP(B2497,Recommended_fish_intake!A$4:D$122,4,FALSE)), "NA")</f>
        <v>NA</v>
      </c>
      <c r="U2497" s="2" t="str">
        <f t="shared" si="315"/>
        <v>NA</v>
      </c>
    </row>
    <row r="2498" spans="1:21" ht="14.25" customHeight="1">
      <c r="A2498" s="2" t="s">
        <v>15</v>
      </c>
      <c r="B2498" s="2">
        <v>1991</v>
      </c>
      <c r="C2498" s="2" t="s">
        <v>21</v>
      </c>
      <c r="D2498" s="3">
        <v>6</v>
      </c>
      <c r="E2498" s="3">
        <v>0.9</v>
      </c>
      <c r="F2498" s="2" t="s">
        <v>92</v>
      </c>
      <c r="G2498" s="2" t="s">
        <v>92</v>
      </c>
      <c r="H2498" s="2" t="s">
        <v>92</v>
      </c>
      <c r="I2498" s="2" t="s">
        <v>92</v>
      </c>
      <c r="P2498" s="3">
        <f>E2498*(VLOOKUP(B2498,Price_data!A$1:B$190,2,FALSE))</f>
        <v>1.1479400037</v>
      </c>
      <c r="Q2498" s="3" t="e">
        <f>G2498*(VLOOKUP(B2498,Price_data!A$1:B$190,2,FALSE))</f>
        <v>#VALUE!</v>
      </c>
      <c r="R2498" s="3" t="e">
        <f>I2498*(VLOOKUP(B2498,Price_data!A$1:B$190,2,FALSE))</f>
        <v>#VALUE!</v>
      </c>
      <c r="S2498" s="4" t="str">
        <f>(VLOOKUP(B2498,Price_data!A$1:C$190,3,FALSE))</f>
        <v>EEZ</v>
      </c>
      <c r="T2498" s="2" t="str">
        <f>IF(C2498="Total", (VLOOKUP(B2498,Recommended_fish_intake!A$4:D$122,4,FALSE)), "NA")</f>
        <v>NA</v>
      </c>
      <c r="U2498" s="2" t="str">
        <f t="shared" ref="U2498:U2561" si="318">IF(C2498="Wet fish", D2498*0.49, IF(C2498="Shellfish", D2498*0.28, "NA"))</f>
        <v>NA</v>
      </c>
    </row>
    <row r="2499" spans="1:21" ht="14.25" customHeight="1">
      <c r="A2499" s="2" t="s">
        <v>15</v>
      </c>
      <c r="B2499" s="2">
        <v>1991</v>
      </c>
      <c r="C2499" s="2" t="s">
        <v>25</v>
      </c>
      <c r="D2499" s="2">
        <v>25.4</v>
      </c>
      <c r="E2499" s="2">
        <v>28.6</v>
      </c>
      <c r="F2499" s="3">
        <f t="shared" ref="F2499:I2501" si="319">IF(L2499="", NA(), L2499/1000)</f>
        <v>3.4209999999999998</v>
      </c>
      <c r="G2499" s="3">
        <f t="shared" si="319"/>
        <v>5.867</v>
      </c>
      <c r="H2499" s="3">
        <f t="shared" si="319"/>
        <v>12.162000000000001</v>
      </c>
      <c r="I2499" s="3">
        <f t="shared" si="319"/>
        <v>19.881</v>
      </c>
      <c r="L2499" s="2">
        <f>2941+245+235</f>
        <v>3421</v>
      </c>
      <c r="M2499" s="2">
        <f>4611+775+481</f>
        <v>5867</v>
      </c>
      <c r="N2499" s="2">
        <f>8560+2726+876</f>
        <v>12162</v>
      </c>
      <c r="O2499" s="2">
        <f>9524+9018+1339</f>
        <v>19881</v>
      </c>
      <c r="P2499" s="3">
        <f>E2499*(VLOOKUP(B2499,Price_data!A$1:B$190,2,FALSE))</f>
        <v>36.478982339799998</v>
      </c>
      <c r="Q2499" s="3">
        <f>G2499*(VLOOKUP(B2499,Price_data!A$1:B$190,2,FALSE))</f>
        <v>7.4832933352309992</v>
      </c>
      <c r="R2499" s="3">
        <f>I2499*(VLOOKUP(B2499,Price_data!A$1:B$190,2,FALSE))</f>
        <v>25.357994681732997</v>
      </c>
      <c r="S2499" s="4" t="str">
        <f>(VLOOKUP(B2499,Price_data!A$1:C$190,3,FALSE))</f>
        <v>EEZ</v>
      </c>
      <c r="T2499" s="2" t="str">
        <f>IF(C2499="Total", (VLOOKUP(B2499,Recommended_fish_intake!A$4:D$122,4,FALSE)), "NA")</f>
        <v>NA</v>
      </c>
      <c r="U2499" s="2" t="str">
        <f t="shared" si="318"/>
        <v>NA</v>
      </c>
    </row>
    <row r="2500" spans="1:21" ht="14.25" customHeight="1">
      <c r="A2500" s="2" t="s">
        <v>15</v>
      </c>
      <c r="B2500" s="2">
        <v>1991</v>
      </c>
      <c r="C2500" s="2" t="s">
        <v>43</v>
      </c>
      <c r="D2500" s="3" t="e">
        <v>#N/A</v>
      </c>
      <c r="E2500" s="3" t="e">
        <v>#N/A</v>
      </c>
      <c r="F2500" s="3">
        <f t="shared" si="319"/>
        <v>1.6339999999999999</v>
      </c>
      <c r="G2500" s="3">
        <f t="shared" si="319"/>
        <v>3.1429999999999998</v>
      </c>
      <c r="H2500" s="3">
        <f t="shared" si="319"/>
        <v>71.584000000000003</v>
      </c>
      <c r="I2500" s="3">
        <f t="shared" si="319"/>
        <v>108.6</v>
      </c>
      <c r="L2500" s="2">
        <v>1634</v>
      </c>
      <c r="M2500" s="2">
        <v>3143</v>
      </c>
      <c r="N2500" s="2">
        <v>71584</v>
      </c>
      <c r="O2500" s="2">
        <v>108600</v>
      </c>
      <c r="P2500" s="3" t="e">
        <f>E2500*(VLOOKUP(B2500,Price_data!A$1:B$190,2,FALSE))</f>
        <v>#N/A</v>
      </c>
      <c r="Q2500" s="3">
        <f>G2500*(VLOOKUP(B2500,Price_data!A$1:B$190,2,FALSE))</f>
        <v>4.0088615906989995</v>
      </c>
      <c r="R2500" s="3">
        <f>I2500*(VLOOKUP(B2500,Price_data!A$1:B$190,2,FALSE))</f>
        <v>138.51809377979998</v>
      </c>
      <c r="S2500" s="4" t="str">
        <f>(VLOOKUP(B2500,Price_data!A$1:C$190,3,FALSE))</f>
        <v>EEZ</v>
      </c>
      <c r="T2500" s="2" t="str">
        <f>IF(C2500="Total", (VLOOKUP(B2500,Recommended_fish_intake!A$4:D$122,4,FALSE)), "NA")</f>
        <v>NA</v>
      </c>
      <c r="U2500" s="2" t="str">
        <f t="shared" si="318"/>
        <v>NA</v>
      </c>
    </row>
    <row r="2501" spans="1:21" ht="14.25" customHeight="1">
      <c r="A2501" s="2" t="s">
        <v>15</v>
      </c>
      <c r="B2501" s="2">
        <v>1991</v>
      </c>
      <c r="C2501" s="2" t="s">
        <v>29</v>
      </c>
      <c r="D2501" s="3" t="e">
        <v>#N/A</v>
      </c>
      <c r="E2501" s="3" t="e">
        <v>#N/A</v>
      </c>
      <c r="F2501" s="3">
        <f t="shared" si="319"/>
        <v>16.753</v>
      </c>
      <c r="G2501" s="3">
        <f t="shared" si="319"/>
        <v>65.201999999999998</v>
      </c>
      <c r="H2501" s="3">
        <f t="shared" si="319"/>
        <v>39.527999999999999</v>
      </c>
      <c r="I2501" s="3">
        <f t="shared" si="319"/>
        <v>119.875</v>
      </c>
      <c r="L2501" s="2">
        <f>14470+839+1444</f>
        <v>16753</v>
      </c>
      <c r="M2501" s="2">
        <f>55618+2437+7147</f>
        <v>65202</v>
      </c>
      <c r="N2501" s="2">
        <f>3072+3159+33297</f>
        <v>39528</v>
      </c>
      <c r="O2501" s="2">
        <f>10525+6564+102786</f>
        <v>119875</v>
      </c>
      <c r="P2501" s="3" t="e">
        <f>E2501*(VLOOKUP(B2501,Price_data!A$1:B$190,2,FALSE))</f>
        <v>#N/A</v>
      </c>
      <c r="Q2501" s="3">
        <f>G2501*(VLOOKUP(B2501,Price_data!A$1:B$190,2,FALSE))</f>
        <v>83.164426801385986</v>
      </c>
      <c r="R2501" s="3">
        <f>I2501*(VLOOKUP(B2501,Price_data!A$1:B$190,2,FALSE))</f>
        <v>152.89923104837499</v>
      </c>
      <c r="S2501" s="4" t="str">
        <f>(VLOOKUP(B2501,Price_data!A$1:C$190,3,FALSE))</f>
        <v>EEZ</v>
      </c>
      <c r="T2501" s="2" t="str">
        <f>IF(C2501="Total", (VLOOKUP(B2501,Recommended_fish_intake!A$4:D$122,4,FALSE)), "NA")</f>
        <v>NA</v>
      </c>
      <c r="U2501" s="2" t="str">
        <f t="shared" si="318"/>
        <v>NA</v>
      </c>
    </row>
    <row r="2502" spans="1:21" ht="14.25" customHeight="1">
      <c r="A2502" s="2" t="s">
        <v>18</v>
      </c>
      <c r="B2502" s="2">
        <v>1992</v>
      </c>
      <c r="C2502" s="2" t="s">
        <v>16</v>
      </c>
      <c r="D2502" s="2">
        <v>160.6</v>
      </c>
      <c r="E2502" s="2">
        <v>138.19999999999999</v>
      </c>
      <c r="F2502" s="2" t="s">
        <v>92</v>
      </c>
      <c r="G2502" s="2" t="s">
        <v>92</v>
      </c>
      <c r="H2502" s="2" t="s">
        <v>92</v>
      </c>
      <c r="I2502" s="2" t="s">
        <v>92</v>
      </c>
      <c r="P2502" s="3">
        <f>E2502*(VLOOKUP(B2502,Price_data!A$1:B$190,2,FALSE))</f>
        <v>169.9172034872</v>
      </c>
      <c r="Q2502" s="3" t="e">
        <f>G2502*(VLOOKUP(B2502,Price_data!A$1:B$190,2,FALSE))</f>
        <v>#VALUE!</v>
      </c>
      <c r="R2502" s="3" t="e">
        <f>I2502*(VLOOKUP(B2502,Price_data!A$1:B$190,2,FALSE))</f>
        <v>#VALUE!</v>
      </c>
      <c r="S2502" s="4" t="str">
        <f>(VLOOKUP(B2502,Price_data!A$1:C$190,3,FALSE))</f>
        <v>EEZ</v>
      </c>
      <c r="T2502" s="2">
        <f>IF(C2502="Total", (VLOOKUP(B2502,Recommended_fish_intake!A$4:D$122,4,FALSE)), "NA")</f>
        <v>759.37844118318003</v>
      </c>
      <c r="U2502" s="2" t="str">
        <f t="shared" si="318"/>
        <v>NA</v>
      </c>
    </row>
    <row r="2503" spans="1:21" ht="14.25" customHeight="1">
      <c r="A2503" s="2" t="s">
        <v>39</v>
      </c>
      <c r="B2503" s="2">
        <v>1992</v>
      </c>
      <c r="C2503" s="2" t="s">
        <v>16</v>
      </c>
      <c r="D2503" s="2">
        <v>467.7</v>
      </c>
      <c r="E2503" s="2">
        <v>249.9</v>
      </c>
      <c r="F2503" s="2" t="s">
        <v>92</v>
      </c>
      <c r="G2503" s="2" t="s">
        <v>92</v>
      </c>
      <c r="H2503" s="2" t="s">
        <v>92</v>
      </c>
      <c r="I2503" s="2" t="s">
        <v>92</v>
      </c>
      <c r="P2503" s="3">
        <f>E2503*(VLOOKUP(B2503,Price_data!A$1:B$190,2,FALSE))</f>
        <v>307.25259878040004</v>
      </c>
      <c r="Q2503" s="3" t="e">
        <f>G2503*(VLOOKUP(B2503,Price_data!A$1:B$190,2,FALSE))</f>
        <v>#VALUE!</v>
      </c>
      <c r="R2503" s="3" t="e">
        <f>I2503*(VLOOKUP(B2503,Price_data!A$1:B$190,2,FALSE))</f>
        <v>#VALUE!</v>
      </c>
      <c r="S2503" s="4" t="str">
        <f>(VLOOKUP(B2503,Price_data!A$1:C$190,3,FALSE))</f>
        <v>EEZ</v>
      </c>
      <c r="T2503" s="2">
        <f>IF(C2503="Total", (VLOOKUP(B2503,Recommended_fish_intake!A$4:D$122,4,FALSE)), "NA")</f>
        <v>759.37844118318003</v>
      </c>
      <c r="U2503" s="2" t="str">
        <f t="shared" si="318"/>
        <v>NA</v>
      </c>
    </row>
    <row r="2504" spans="1:21" ht="14.25" customHeight="1">
      <c r="A2504" s="2" t="s">
        <v>40</v>
      </c>
      <c r="B2504" s="2">
        <v>1992</v>
      </c>
      <c r="C2504" s="2" t="s">
        <v>16</v>
      </c>
      <c r="D2504" s="2">
        <v>20.7</v>
      </c>
      <c r="E2504" s="2">
        <v>17.2</v>
      </c>
      <c r="F2504" s="2" t="s">
        <v>92</v>
      </c>
      <c r="G2504" s="2" t="s">
        <v>92</v>
      </c>
      <c r="H2504" s="2" t="s">
        <v>92</v>
      </c>
      <c r="I2504" s="2" t="s">
        <v>92</v>
      </c>
      <c r="P2504" s="3">
        <f>E2504*(VLOOKUP(B2504,Price_data!A$1:B$190,2,FALSE))</f>
        <v>21.1474377712</v>
      </c>
      <c r="Q2504" s="3" t="e">
        <f>G2504*(VLOOKUP(B2504,Price_data!A$1:B$190,2,FALSE))</f>
        <v>#VALUE!</v>
      </c>
      <c r="R2504" s="3" t="e">
        <f>I2504*(VLOOKUP(B2504,Price_data!A$1:B$190,2,FALSE))</f>
        <v>#VALUE!</v>
      </c>
      <c r="S2504" s="4" t="str">
        <f>(VLOOKUP(B2504,Price_data!A$1:C$190,3,FALSE))</f>
        <v>EEZ</v>
      </c>
      <c r="T2504" s="2">
        <f>IF(C2504="Total", (VLOOKUP(B2504,Recommended_fish_intake!A$4:D$122,4,FALSE)), "NA")</f>
        <v>759.37844118318003</v>
      </c>
      <c r="U2504" s="2" t="str">
        <f t="shared" si="318"/>
        <v>NA</v>
      </c>
    </row>
    <row r="2505" spans="1:21" ht="14.25" customHeight="1">
      <c r="A2505" s="2" t="s">
        <v>15</v>
      </c>
      <c r="B2505" s="2">
        <v>1992</v>
      </c>
      <c r="C2505" s="2" t="s">
        <v>16</v>
      </c>
      <c r="D2505" s="2">
        <v>649</v>
      </c>
      <c r="E2505" s="2">
        <v>405.3</v>
      </c>
      <c r="F2505" s="3">
        <f>L2505/1000</f>
        <v>412.197</v>
      </c>
      <c r="G2505" s="3">
        <f>M2505/1000</f>
        <v>564.64499999999998</v>
      </c>
      <c r="H2505" s="3">
        <f>N2505/1000</f>
        <v>485.01799999999997</v>
      </c>
      <c r="I2505" s="3">
        <f>O2505/1000</f>
        <v>983.68299999999999</v>
      </c>
      <c r="L2505" s="2">
        <v>412197</v>
      </c>
      <c r="M2505" s="2">
        <v>564645</v>
      </c>
      <c r="N2505" s="2">
        <v>485018</v>
      </c>
      <c r="O2505" s="2">
        <v>983683</v>
      </c>
      <c r="P2505" s="3">
        <f>E2505*(VLOOKUP(B2505,Price_data!A$1:B$190,2,FALSE))</f>
        <v>498.31724003880004</v>
      </c>
      <c r="Q2505" s="3">
        <f>G2505*(VLOOKUP(B2505,Price_data!A$1:B$190,2,FALSE))</f>
        <v>694.23226746042008</v>
      </c>
      <c r="R2505" s="3">
        <f>I2505*(VLOOKUP(B2505,Price_data!A$1:B$190,2,FALSE))</f>
        <v>1209.440408667868</v>
      </c>
      <c r="S2505" s="4" t="str">
        <f>(VLOOKUP(B2505,Price_data!A$1:C$190,3,FALSE))</f>
        <v>EEZ</v>
      </c>
      <c r="T2505" s="2">
        <f>IF(C2505="Total", (VLOOKUP(B2505,Recommended_fish_intake!A$4:D$122,4,FALSE)), "NA")</f>
        <v>759.37844118318003</v>
      </c>
      <c r="U2505" s="2" t="str">
        <f t="shared" si="318"/>
        <v>NA</v>
      </c>
    </row>
    <row r="2506" spans="1:21" ht="14.25" customHeight="1">
      <c r="A2506" s="2" t="s">
        <v>18</v>
      </c>
      <c r="B2506" s="2">
        <v>1992</v>
      </c>
      <c r="C2506" s="2" t="s">
        <v>42</v>
      </c>
      <c r="D2506" s="2">
        <v>23.9</v>
      </c>
      <c r="E2506" s="2">
        <v>3.8</v>
      </c>
      <c r="F2506" s="2" t="s">
        <v>92</v>
      </c>
      <c r="G2506" s="2" t="s">
        <v>92</v>
      </c>
      <c r="H2506" s="2" t="s">
        <v>92</v>
      </c>
      <c r="I2506" s="2" t="s">
        <v>92</v>
      </c>
      <c r="P2506" s="3">
        <f>E2506*(VLOOKUP(B2506,Price_data!A$1:B$190,2,FALSE))</f>
        <v>4.6721083447999998</v>
      </c>
      <c r="Q2506" s="3" t="e">
        <f>G2506*(VLOOKUP(B2506,Price_data!A$1:B$190,2,FALSE))</f>
        <v>#VALUE!</v>
      </c>
      <c r="R2506" s="3" t="e">
        <f>I2506*(VLOOKUP(B2506,Price_data!A$1:B$190,2,FALSE))</f>
        <v>#VALUE!</v>
      </c>
      <c r="S2506" s="4" t="str">
        <f>(VLOOKUP(B2506,Price_data!A$1:C$190,3,FALSE))</f>
        <v>EEZ</v>
      </c>
      <c r="T2506" s="2" t="str">
        <f>IF(C2506="Total", (VLOOKUP(B2506,Recommended_fish_intake!A$4:D$122,4,FALSE)), "NA")</f>
        <v>NA</v>
      </c>
      <c r="U2506" s="2" t="str">
        <f t="shared" si="318"/>
        <v>NA</v>
      </c>
    </row>
    <row r="2507" spans="1:21" ht="14.25" customHeight="1">
      <c r="A2507" s="2" t="s">
        <v>39</v>
      </c>
      <c r="B2507" s="2">
        <v>1992</v>
      </c>
      <c r="C2507" s="2" t="s">
        <v>42</v>
      </c>
      <c r="D2507" s="2">
        <v>227.7</v>
      </c>
      <c r="E2507" s="2">
        <v>26.5</v>
      </c>
      <c r="F2507" s="2" t="s">
        <v>92</v>
      </c>
      <c r="G2507" s="2" t="s">
        <v>92</v>
      </c>
      <c r="H2507" s="2" t="s">
        <v>92</v>
      </c>
      <c r="I2507" s="2" t="s">
        <v>92</v>
      </c>
      <c r="P2507" s="3">
        <f>E2507*(VLOOKUP(B2507,Price_data!A$1:B$190,2,FALSE))</f>
        <v>32.581808194000004</v>
      </c>
      <c r="Q2507" s="3" t="e">
        <f>G2507*(VLOOKUP(B2507,Price_data!A$1:B$190,2,FALSE))</f>
        <v>#VALUE!</v>
      </c>
      <c r="R2507" s="3" t="e">
        <f>I2507*(VLOOKUP(B2507,Price_data!A$1:B$190,2,FALSE))</f>
        <v>#VALUE!</v>
      </c>
      <c r="S2507" s="4" t="str">
        <f>(VLOOKUP(B2507,Price_data!A$1:C$190,3,FALSE))</f>
        <v>EEZ</v>
      </c>
      <c r="T2507" s="2" t="str">
        <f>IF(C2507="Total", (VLOOKUP(B2507,Recommended_fish_intake!A$4:D$122,4,FALSE)), "NA")</f>
        <v>NA</v>
      </c>
      <c r="U2507" s="2" t="str">
        <f t="shared" si="318"/>
        <v>NA</v>
      </c>
    </row>
    <row r="2508" spans="1:21" ht="14.25" customHeight="1">
      <c r="A2508" s="2" t="s">
        <v>40</v>
      </c>
      <c r="B2508" s="2">
        <v>1992</v>
      </c>
      <c r="C2508" s="2" t="s">
        <v>42</v>
      </c>
      <c r="D2508" s="2">
        <v>4.3</v>
      </c>
      <c r="E2508" s="2">
        <v>0.4</v>
      </c>
      <c r="F2508" s="2" t="s">
        <v>92</v>
      </c>
      <c r="G2508" s="2" t="s">
        <v>92</v>
      </c>
      <c r="H2508" s="2" t="s">
        <v>92</v>
      </c>
      <c r="I2508" s="2" t="s">
        <v>92</v>
      </c>
      <c r="P2508" s="3">
        <f>E2508*(VLOOKUP(B2508,Price_data!A$1:B$190,2,FALSE))</f>
        <v>0.49180087840000009</v>
      </c>
      <c r="Q2508" s="3" t="e">
        <f>G2508*(VLOOKUP(B2508,Price_data!A$1:B$190,2,FALSE))</f>
        <v>#VALUE!</v>
      </c>
      <c r="R2508" s="3" t="e">
        <f>I2508*(VLOOKUP(B2508,Price_data!A$1:B$190,2,FALSE))</f>
        <v>#VALUE!</v>
      </c>
      <c r="S2508" s="4" t="str">
        <f>(VLOOKUP(B2508,Price_data!A$1:C$190,3,FALSE))</f>
        <v>EEZ</v>
      </c>
      <c r="T2508" s="2" t="str">
        <f>IF(C2508="Total", (VLOOKUP(B2508,Recommended_fish_intake!A$4:D$122,4,FALSE)), "NA")</f>
        <v>NA</v>
      </c>
      <c r="U2508" s="2" t="str">
        <f t="shared" si="318"/>
        <v>NA</v>
      </c>
    </row>
    <row r="2509" spans="1:21" ht="14.25" customHeight="1">
      <c r="A2509" s="2" t="s">
        <v>15</v>
      </c>
      <c r="B2509" s="2">
        <v>1992</v>
      </c>
      <c r="C2509" s="2" t="s">
        <v>42</v>
      </c>
      <c r="D2509" s="2">
        <v>255.8</v>
      </c>
      <c r="E2509" s="2">
        <v>30.7</v>
      </c>
      <c r="F2509" s="2" t="s">
        <v>92</v>
      </c>
      <c r="G2509" s="2" t="s">
        <v>92</v>
      </c>
      <c r="H2509" s="2" t="s">
        <v>92</v>
      </c>
      <c r="I2509" s="2" t="s">
        <v>92</v>
      </c>
      <c r="P2509" s="3">
        <f>E2509*(VLOOKUP(B2509,Price_data!A$1:B$190,2,FALSE))</f>
        <v>37.745717417200005</v>
      </c>
      <c r="Q2509" s="3" t="e">
        <f>G2509*(VLOOKUP(B2509,Price_data!A$1:B$190,2,FALSE))</f>
        <v>#VALUE!</v>
      </c>
      <c r="R2509" s="3" t="e">
        <f>I2509*(VLOOKUP(B2509,Price_data!A$1:B$190,2,FALSE))</f>
        <v>#VALUE!</v>
      </c>
      <c r="S2509" s="4" t="str">
        <f>(VLOOKUP(B2509,Price_data!A$1:C$190,3,FALSE))</f>
        <v>EEZ</v>
      </c>
      <c r="T2509" s="2" t="str">
        <f>IF(C2509="Total", (VLOOKUP(B2509,Recommended_fish_intake!A$4:D$122,4,FALSE)), "NA")</f>
        <v>NA</v>
      </c>
      <c r="U2509" s="2" t="str">
        <f t="shared" si="318"/>
        <v>NA</v>
      </c>
    </row>
    <row r="2510" spans="1:21" ht="14.25" customHeight="1">
      <c r="A2510" s="2" t="s">
        <v>18</v>
      </c>
      <c r="B2510" s="2">
        <v>1992</v>
      </c>
      <c r="C2510" s="2" t="s">
        <v>36</v>
      </c>
      <c r="D2510" s="2">
        <v>9.5</v>
      </c>
      <c r="E2510" s="2">
        <v>8.4</v>
      </c>
      <c r="F2510" s="2" t="s">
        <v>92</v>
      </c>
      <c r="G2510" s="2" t="s">
        <v>92</v>
      </c>
      <c r="H2510" s="2" t="s">
        <v>92</v>
      </c>
      <c r="I2510" s="2" t="s">
        <v>92</v>
      </c>
      <c r="P2510" s="3">
        <f>E2510*(VLOOKUP(B2510,Price_data!A$1:B$190,2,FALSE))</f>
        <v>10.327818446400002</v>
      </c>
      <c r="Q2510" s="3" t="e">
        <f>G2510*(VLOOKUP(B2510,Price_data!A$1:B$190,2,FALSE))</f>
        <v>#VALUE!</v>
      </c>
      <c r="R2510" s="3" t="e">
        <f>I2510*(VLOOKUP(B2510,Price_data!A$1:B$190,2,FALSE))</f>
        <v>#VALUE!</v>
      </c>
      <c r="S2510" s="4" t="str">
        <f>(VLOOKUP(B2510,Price_data!A$1:C$190,3,FALSE))</f>
        <v>EEZ</v>
      </c>
      <c r="T2510" s="2" t="str">
        <f>IF(C2510="Total", (VLOOKUP(B2510,Recommended_fish_intake!A$4:D$122,4,FALSE)), "NA")</f>
        <v>NA</v>
      </c>
      <c r="U2510" s="2" t="str">
        <f t="shared" si="318"/>
        <v>NA</v>
      </c>
    </row>
    <row r="2511" spans="1:21" ht="14.25" customHeight="1">
      <c r="A2511" s="2" t="s">
        <v>39</v>
      </c>
      <c r="B2511" s="2">
        <v>1992</v>
      </c>
      <c r="C2511" s="2" t="s">
        <v>36</v>
      </c>
      <c r="D2511" s="2">
        <v>7.5</v>
      </c>
      <c r="E2511" s="2">
        <v>8.4</v>
      </c>
      <c r="F2511" s="2" t="s">
        <v>92</v>
      </c>
      <c r="G2511" s="2" t="s">
        <v>92</v>
      </c>
      <c r="H2511" s="2" t="s">
        <v>92</v>
      </c>
      <c r="I2511" s="2" t="s">
        <v>92</v>
      </c>
      <c r="P2511" s="3">
        <f>E2511*(VLOOKUP(B2511,Price_data!A$1:B$190,2,FALSE))</f>
        <v>10.327818446400002</v>
      </c>
      <c r="Q2511" s="3" t="e">
        <f>G2511*(VLOOKUP(B2511,Price_data!A$1:B$190,2,FALSE))</f>
        <v>#VALUE!</v>
      </c>
      <c r="R2511" s="3" t="e">
        <f>I2511*(VLOOKUP(B2511,Price_data!A$1:B$190,2,FALSE))</f>
        <v>#VALUE!</v>
      </c>
      <c r="S2511" s="4" t="str">
        <f>(VLOOKUP(B2511,Price_data!A$1:C$190,3,FALSE))</f>
        <v>EEZ</v>
      </c>
      <c r="T2511" s="2" t="str">
        <f>IF(C2511="Total", (VLOOKUP(B2511,Recommended_fish_intake!A$4:D$122,4,FALSE)), "NA")</f>
        <v>NA</v>
      </c>
      <c r="U2511" s="2" t="str">
        <f t="shared" si="318"/>
        <v>NA</v>
      </c>
    </row>
    <row r="2512" spans="1:21" ht="14.25" customHeight="1">
      <c r="A2512" s="2" t="s">
        <v>40</v>
      </c>
      <c r="B2512" s="2">
        <v>1992</v>
      </c>
      <c r="C2512" s="2" t="s">
        <v>36</v>
      </c>
      <c r="D2512" s="2">
        <v>0.2</v>
      </c>
      <c r="E2512" s="2">
        <v>0.2</v>
      </c>
      <c r="F2512" s="2" t="s">
        <v>92</v>
      </c>
      <c r="G2512" s="2" t="s">
        <v>92</v>
      </c>
      <c r="H2512" s="2" t="s">
        <v>92</v>
      </c>
      <c r="I2512" s="2" t="s">
        <v>92</v>
      </c>
      <c r="P2512" s="3">
        <f>E2512*(VLOOKUP(B2512,Price_data!A$1:B$190,2,FALSE))</f>
        <v>0.24590043920000004</v>
      </c>
      <c r="Q2512" s="3" t="e">
        <f>G2512*(VLOOKUP(B2512,Price_data!A$1:B$190,2,FALSE))</f>
        <v>#VALUE!</v>
      </c>
      <c r="R2512" s="3" t="e">
        <f>I2512*(VLOOKUP(B2512,Price_data!A$1:B$190,2,FALSE))</f>
        <v>#VALUE!</v>
      </c>
      <c r="S2512" s="4" t="str">
        <f>(VLOOKUP(B2512,Price_data!A$1:C$190,3,FALSE))</f>
        <v>EEZ</v>
      </c>
      <c r="T2512" s="2" t="str">
        <f>IF(C2512="Total", (VLOOKUP(B2512,Recommended_fish_intake!A$4:D$122,4,FALSE)), "NA")</f>
        <v>NA</v>
      </c>
      <c r="U2512" s="2" t="str">
        <f t="shared" si="318"/>
        <v>NA</v>
      </c>
    </row>
    <row r="2513" spans="1:21" ht="14.25" customHeight="1">
      <c r="A2513" s="2" t="s">
        <v>15</v>
      </c>
      <c r="B2513" s="2">
        <v>1992</v>
      </c>
      <c r="C2513" s="2" t="s">
        <v>36</v>
      </c>
      <c r="D2513" s="2">
        <v>17.2</v>
      </c>
      <c r="E2513" s="2">
        <v>17</v>
      </c>
      <c r="F2513" s="3">
        <f>L2513/1000</f>
        <v>0.76800000000000002</v>
      </c>
      <c r="G2513" s="3">
        <f>M2513/1000</f>
        <v>3.9449999999999998</v>
      </c>
      <c r="H2513" s="3">
        <f>N2513/1000</f>
        <v>2.1709999999999998</v>
      </c>
      <c r="I2513" s="3">
        <f>O2513/1000</f>
        <v>8.3130000000000006</v>
      </c>
      <c r="L2513" s="2">
        <v>768</v>
      </c>
      <c r="M2513" s="2">
        <v>3945</v>
      </c>
      <c r="N2513" s="2">
        <v>2171</v>
      </c>
      <c r="O2513" s="2">
        <v>8313</v>
      </c>
      <c r="P2513" s="3">
        <f>E2513*(VLOOKUP(B2513,Price_data!A$1:B$190,2,FALSE))</f>
        <v>20.901537332</v>
      </c>
      <c r="Q2513" s="3">
        <f>G2513*(VLOOKUP(B2513,Price_data!A$1:B$190,2,FALSE))</f>
        <v>4.8503861632200005</v>
      </c>
      <c r="R2513" s="3">
        <f>I2513*(VLOOKUP(B2513,Price_data!A$1:B$190,2,FALSE))</f>
        <v>10.220851755348001</v>
      </c>
      <c r="S2513" s="4" t="str">
        <f>(VLOOKUP(B2513,Price_data!A$1:C$190,3,FALSE))</f>
        <v>EEZ</v>
      </c>
      <c r="T2513" s="2" t="str">
        <f>IF(C2513="Total", (VLOOKUP(B2513,Recommended_fish_intake!A$4:D$122,4,FALSE)), "NA")</f>
        <v>NA</v>
      </c>
      <c r="U2513" s="2" t="str">
        <f t="shared" si="318"/>
        <v>NA</v>
      </c>
    </row>
    <row r="2514" spans="1:21" ht="14.25" customHeight="1">
      <c r="A2514" s="2" t="s">
        <v>18</v>
      </c>
      <c r="B2514" s="2">
        <v>1992</v>
      </c>
      <c r="C2514" s="2" t="s">
        <v>34</v>
      </c>
      <c r="D2514" s="2">
        <v>0.5</v>
      </c>
      <c r="E2514" s="2">
        <v>4</v>
      </c>
      <c r="F2514" s="2" t="s">
        <v>92</v>
      </c>
      <c r="G2514" s="2" t="s">
        <v>92</v>
      </c>
      <c r="H2514" s="2" t="s">
        <v>92</v>
      </c>
      <c r="I2514" s="2" t="s">
        <v>92</v>
      </c>
      <c r="P2514" s="3">
        <f>E2514*(VLOOKUP(B2514,Price_data!A$1:B$190,2,FALSE))</f>
        <v>4.9180087840000004</v>
      </c>
      <c r="Q2514" s="3" t="e">
        <f>G2514*(VLOOKUP(B2514,Price_data!A$1:B$190,2,FALSE))</f>
        <v>#VALUE!</v>
      </c>
      <c r="R2514" s="3" t="e">
        <f>I2514*(VLOOKUP(B2514,Price_data!A$1:B$190,2,FALSE))</f>
        <v>#VALUE!</v>
      </c>
      <c r="S2514" s="4" t="str">
        <f>(VLOOKUP(B2514,Price_data!A$1:C$190,3,FALSE))</f>
        <v>EEZ</v>
      </c>
      <c r="T2514" s="2" t="str">
        <f>IF(C2514="Total", (VLOOKUP(B2514,Recommended_fish_intake!A$4:D$122,4,FALSE)), "NA")</f>
        <v>NA</v>
      </c>
      <c r="U2514" s="2" t="str">
        <f t="shared" si="318"/>
        <v>NA</v>
      </c>
    </row>
    <row r="2515" spans="1:21" ht="14.25" customHeight="1">
      <c r="A2515" s="2" t="s">
        <v>39</v>
      </c>
      <c r="B2515" s="2">
        <v>1992</v>
      </c>
      <c r="C2515" s="2" t="s">
        <v>34</v>
      </c>
      <c r="D2515" s="2">
        <v>0.6</v>
      </c>
      <c r="E2515" s="2">
        <v>5</v>
      </c>
      <c r="F2515" s="2" t="s">
        <v>92</v>
      </c>
      <c r="G2515" s="2" t="s">
        <v>92</v>
      </c>
      <c r="H2515" s="2" t="s">
        <v>92</v>
      </c>
      <c r="I2515" s="2" t="s">
        <v>92</v>
      </c>
      <c r="P2515" s="3">
        <f>E2515*(VLOOKUP(B2515,Price_data!A$1:B$190,2,FALSE))</f>
        <v>6.1475109800000007</v>
      </c>
      <c r="Q2515" s="3" t="e">
        <f>G2515*(VLOOKUP(B2515,Price_data!A$1:B$190,2,FALSE))</f>
        <v>#VALUE!</v>
      </c>
      <c r="R2515" s="3" t="e">
        <f>I2515*(VLOOKUP(B2515,Price_data!A$1:B$190,2,FALSE))</f>
        <v>#VALUE!</v>
      </c>
      <c r="S2515" s="4" t="str">
        <f>(VLOOKUP(B2515,Price_data!A$1:C$190,3,FALSE))</f>
        <v>EEZ</v>
      </c>
      <c r="T2515" s="2" t="str">
        <f>IF(C2515="Total", (VLOOKUP(B2515,Recommended_fish_intake!A$4:D$122,4,FALSE)), "NA")</f>
        <v>NA</v>
      </c>
      <c r="U2515" s="2" t="str">
        <f t="shared" si="318"/>
        <v>NA</v>
      </c>
    </row>
    <row r="2516" spans="1:21" ht="14.25" customHeight="1">
      <c r="A2516" s="2" t="s">
        <v>40</v>
      </c>
      <c r="B2516" s="2">
        <v>1992</v>
      </c>
      <c r="C2516" s="2" t="s">
        <v>34</v>
      </c>
      <c r="D2516" s="2">
        <v>0</v>
      </c>
      <c r="E2516" s="2">
        <v>0.2</v>
      </c>
      <c r="F2516" s="2" t="s">
        <v>92</v>
      </c>
      <c r="G2516" s="2" t="s">
        <v>92</v>
      </c>
      <c r="H2516" s="2" t="s">
        <v>92</v>
      </c>
      <c r="I2516" s="2" t="s">
        <v>92</v>
      </c>
      <c r="P2516" s="3">
        <f>E2516*(VLOOKUP(B2516,Price_data!A$1:B$190,2,FALSE))</f>
        <v>0.24590043920000004</v>
      </c>
      <c r="Q2516" s="3" t="e">
        <f>G2516*(VLOOKUP(B2516,Price_data!A$1:B$190,2,FALSE))</f>
        <v>#VALUE!</v>
      </c>
      <c r="R2516" s="3" t="e">
        <f>I2516*(VLOOKUP(B2516,Price_data!A$1:B$190,2,FALSE))</f>
        <v>#VALUE!</v>
      </c>
      <c r="S2516" s="4" t="str">
        <f>(VLOOKUP(B2516,Price_data!A$1:C$190,3,FALSE))</f>
        <v>EEZ</v>
      </c>
      <c r="T2516" s="2" t="str">
        <f>IF(C2516="Total", (VLOOKUP(B2516,Recommended_fish_intake!A$4:D$122,4,FALSE)), "NA")</f>
        <v>NA</v>
      </c>
      <c r="U2516" s="2" t="str">
        <f t="shared" si="318"/>
        <v>NA</v>
      </c>
    </row>
    <row r="2517" spans="1:21" ht="14.25" customHeight="1">
      <c r="A2517" s="2" t="s">
        <v>15</v>
      </c>
      <c r="B2517" s="2">
        <v>1992</v>
      </c>
      <c r="C2517" s="2" t="s">
        <v>34</v>
      </c>
      <c r="D2517" s="2">
        <v>1.1000000000000001</v>
      </c>
      <c r="E2517" s="2">
        <v>9.1999999999999993</v>
      </c>
      <c r="F2517" s="2" t="s">
        <v>92</v>
      </c>
      <c r="G2517" s="2" t="s">
        <v>92</v>
      </c>
      <c r="H2517" s="2" t="s">
        <v>92</v>
      </c>
      <c r="I2517" s="2" t="s">
        <v>92</v>
      </c>
      <c r="P2517" s="3">
        <f>E2517*(VLOOKUP(B2517,Price_data!A$1:B$190,2,FALSE))</f>
        <v>11.311420203200001</v>
      </c>
      <c r="Q2517" s="3" t="e">
        <f>G2517*(VLOOKUP(B2517,Price_data!A$1:B$190,2,FALSE))</f>
        <v>#VALUE!</v>
      </c>
      <c r="R2517" s="3" t="e">
        <f>I2517*(VLOOKUP(B2517,Price_data!A$1:B$190,2,FALSE))</f>
        <v>#VALUE!</v>
      </c>
      <c r="S2517" s="4" t="str">
        <f>(VLOOKUP(B2517,Price_data!A$1:C$190,3,FALSE))</f>
        <v>EEZ</v>
      </c>
      <c r="T2517" s="2" t="str">
        <f>IF(C2517="Total", (VLOOKUP(B2517,Recommended_fish_intake!A$4:D$122,4,FALSE)), "NA")</f>
        <v>NA</v>
      </c>
      <c r="U2517" s="2" t="str">
        <f t="shared" si="318"/>
        <v>NA</v>
      </c>
    </row>
    <row r="2518" spans="1:21" ht="14.25" customHeight="1">
      <c r="A2518" s="2" t="s">
        <v>18</v>
      </c>
      <c r="B2518" s="2">
        <v>1992</v>
      </c>
      <c r="C2518" s="2" t="s">
        <v>35</v>
      </c>
      <c r="D2518" s="2">
        <v>1.9</v>
      </c>
      <c r="E2518" s="2">
        <v>2.8</v>
      </c>
      <c r="F2518" s="2" t="s">
        <v>92</v>
      </c>
      <c r="G2518" s="2" t="s">
        <v>92</v>
      </c>
      <c r="H2518" s="2" t="s">
        <v>92</v>
      </c>
      <c r="I2518" s="2" t="s">
        <v>92</v>
      </c>
      <c r="P2518" s="3">
        <f>E2518*(VLOOKUP(B2518,Price_data!A$1:B$190,2,FALSE))</f>
        <v>3.4426061487999999</v>
      </c>
      <c r="Q2518" s="3" t="e">
        <f>G2518*(VLOOKUP(B2518,Price_data!A$1:B$190,2,FALSE))</f>
        <v>#VALUE!</v>
      </c>
      <c r="R2518" s="3" t="e">
        <f>I2518*(VLOOKUP(B2518,Price_data!A$1:B$190,2,FALSE))</f>
        <v>#VALUE!</v>
      </c>
      <c r="S2518" s="4" t="str">
        <f>(VLOOKUP(B2518,Price_data!A$1:C$190,3,FALSE))</f>
        <v>EEZ</v>
      </c>
      <c r="T2518" s="2" t="str">
        <f>IF(C2518="Total", (VLOOKUP(B2518,Recommended_fish_intake!A$4:D$122,4,FALSE)), "NA")</f>
        <v>NA</v>
      </c>
      <c r="U2518" s="2" t="str">
        <f t="shared" si="318"/>
        <v>NA</v>
      </c>
    </row>
    <row r="2519" spans="1:21" ht="14.25" customHeight="1">
      <c r="A2519" s="2" t="s">
        <v>39</v>
      </c>
      <c r="B2519" s="2">
        <v>1992</v>
      </c>
      <c r="C2519" s="2" t="s">
        <v>35</v>
      </c>
      <c r="D2519" s="2">
        <v>17.7</v>
      </c>
      <c r="E2519" s="2">
        <v>31.3</v>
      </c>
      <c r="F2519" s="2" t="s">
        <v>92</v>
      </c>
      <c r="G2519" s="2" t="s">
        <v>92</v>
      </c>
      <c r="H2519" s="2" t="s">
        <v>92</v>
      </c>
      <c r="I2519" s="2" t="s">
        <v>92</v>
      </c>
      <c r="P2519" s="3">
        <f>E2519*(VLOOKUP(B2519,Price_data!A$1:B$190,2,FALSE))</f>
        <v>38.483418734800004</v>
      </c>
      <c r="Q2519" s="3" t="e">
        <f>G2519*(VLOOKUP(B2519,Price_data!A$1:B$190,2,FALSE))</f>
        <v>#VALUE!</v>
      </c>
      <c r="R2519" s="3" t="e">
        <f>I2519*(VLOOKUP(B2519,Price_data!A$1:B$190,2,FALSE))</f>
        <v>#VALUE!</v>
      </c>
      <c r="S2519" s="4" t="str">
        <f>(VLOOKUP(B2519,Price_data!A$1:C$190,3,FALSE))</f>
        <v>EEZ</v>
      </c>
      <c r="T2519" s="2" t="str">
        <f>IF(C2519="Total", (VLOOKUP(B2519,Recommended_fish_intake!A$4:D$122,4,FALSE)), "NA")</f>
        <v>NA</v>
      </c>
      <c r="U2519" s="2" t="str">
        <f t="shared" si="318"/>
        <v>NA</v>
      </c>
    </row>
    <row r="2520" spans="1:21" ht="14.25" customHeight="1">
      <c r="A2520" s="2" t="s">
        <v>40</v>
      </c>
      <c r="B2520" s="2">
        <v>1992</v>
      </c>
      <c r="C2520" s="2" t="s">
        <v>35</v>
      </c>
      <c r="D2520" s="2">
        <v>5.2</v>
      </c>
      <c r="E2520" s="2">
        <v>5.8</v>
      </c>
      <c r="F2520" s="2" t="s">
        <v>92</v>
      </c>
      <c r="G2520" s="2" t="s">
        <v>92</v>
      </c>
      <c r="H2520" s="2" t="s">
        <v>92</v>
      </c>
      <c r="I2520" s="2" t="s">
        <v>92</v>
      </c>
      <c r="P2520" s="3">
        <f>E2520*(VLOOKUP(B2520,Price_data!A$1:B$190,2,FALSE))</f>
        <v>7.1311127368000005</v>
      </c>
      <c r="Q2520" s="3" t="e">
        <f>G2520*(VLOOKUP(B2520,Price_data!A$1:B$190,2,FALSE))</f>
        <v>#VALUE!</v>
      </c>
      <c r="R2520" s="3" t="e">
        <f>I2520*(VLOOKUP(B2520,Price_data!A$1:B$190,2,FALSE))</f>
        <v>#VALUE!</v>
      </c>
      <c r="S2520" s="4" t="str">
        <f>(VLOOKUP(B2520,Price_data!A$1:C$190,3,FALSE))</f>
        <v>EEZ</v>
      </c>
      <c r="T2520" s="2" t="str">
        <f>IF(C2520="Total", (VLOOKUP(B2520,Recommended_fish_intake!A$4:D$122,4,FALSE)), "NA")</f>
        <v>NA</v>
      </c>
      <c r="U2520" s="2" t="str">
        <f t="shared" si="318"/>
        <v>NA</v>
      </c>
    </row>
    <row r="2521" spans="1:21" ht="14.25" customHeight="1">
      <c r="A2521" s="2" t="s">
        <v>15</v>
      </c>
      <c r="B2521" s="2">
        <v>1992</v>
      </c>
      <c r="C2521" s="2" t="s">
        <v>35</v>
      </c>
      <c r="D2521" s="2">
        <v>24.8</v>
      </c>
      <c r="E2521" s="2">
        <v>40</v>
      </c>
      <c r="F2521" s="2" t="s">
        <v>92</v>
      </c>
      <c r="G2521" s="2" t="s">
        <v>92</v>
      </c>
      <c r="H2521" s="2" t="s">
        <v>92</v>
      </c>
      <c r="I2521" s="2" t="s">
        <v>92</v>
      </c>
      <c r="P2521" s="3">
        <f>E2521*(VLOOKUP(B2521,Price_data!A$1:B$190,2,FALSE))</f>
        <v>49.180087840000006</v>
      </c>
      <c r="Q2521" s="3" t="e">
        <f>G2521*(VLOOKUP(B2521,Price_data!A$1:B$190,2,FALSE))</f>
        <v>#VALUE!</v>
      </c>
      <c r="R2521" s="3" t="e">
        <f>I2521*(VLOOKUP(B2521,Price_data!A$1:B$190,2,FALSE))</f>
        <v>#VALUE!</v>
      </c>
      <c r="S2521" s="4" t="str">
        <f>(VLOOKUP(B2521,Price_data!A$1:C$190,3,FALSE))</f>
        <v>EEZ</v>
      </c>
      <c r="T2521" s="2" t="str">
        <f>IF(C2521="Total", (VLOOKUP(B2521,Recommended_fish_intake!A$4:D$122,4,FALSE)), "NA")</f>
        <v>NA</v>
      </c>
      <c r="U2521" s="2" t="str">
        <f t="shared" si="318"/>
        <v>NA</v>
      </c>
    </row>
    <row r="2522" spans="1:21" ht="14.25" customHeight="1">
      <c r="A2522" s="2" t="s">
        <v>18</v>
      </c>
      <c r="B2522" s="2">
        <v>1992</v>
      </c>
      <c r="C2522" s="2" t="s">
        <v>52</v>
      </c>
      <c r="D2522" s="2">
        <v>2.6</v>
      </c>
      <c r="E2522" s="2">
        <v>3.7</v>
      </c>
      <c r="F2522" s="2" t="s">
        <v>92</v>
      </c>
      <c r="G2522" s="2" t="s">
        <v>92</v>
      </c>
      <c r="H2522" s="2" t="s">
        <v>92</v>
      </c>
      <c r="I2522" s="2" t="s">
        <v>92</v>
      </c>
      <c r="P2522" s="3">
        <f>E2522*(VLOOKUP(B2522,Price_data!A$1:B$190,2,FALSE))</f>
        <v>4.5491581252000008</v>
      </c>
      <c r="Q2522" s="3" t="e">
        <f>G2522*(VLOOKUP(B2522,Price_data!A$1:B$190,2,FALSE))</f>
        <v>#VALUE!</v>
      </c>
      <c r="R2522" s="3" t="e">
        <f>I2522*(VLOOKUP(B2522,Price_data!A$1:B$190,2,FALSE))</f>
        <v>#VALUE!</v>
      </c>
      <c r="S2522" s="4" t="str">
        <f>(VLOOKUP(B2522,Price_data!A$1:C$190,3,FALSE))</f>
        <v>EEZ</v>
      </c>
      <c r="T2522" s="2" t="str">
        <f>IF(C2522="Total", (VLOOKUP(B2522,Recommended_fish_intake!A$4:D$122,4,FALSE)), "NA")</f>
        <v>NA</v>
      </c>
      <c r="U2522" s="2" t="str">
        <f t="shared" si="318"/>
        <v>NA</v>
      </c>
    </row>
    <row r="2523" spans="1:21" ht="14.25" customHeight="1">
      <c r="A2523" s="2" t="s">
        <v>39</v>
      </c>
      <c r="B2523" s="2">
        <v>1992</v>
      </c>
      <c r="C2523" s="2" t="s">
        <v>52</v>
      </c>
      <c r="D2523" s="2">
        <v>5.0999999999999996</v>
      </c>
      <c r="E2523" s="2">
        <v>8.3000000000000007</v>
      </c>
      <c r="F2523" s="2" t="s">
        <v>92</v>
      </c>
      <c r="G2523" s="2" t="s">
        <v>92</v>
      </c>
      <c r="H2523" s="2" t="s">
        <v>92</v>
      </c>
      <c r="I2523" s="2" t="s">
        <v>92</v>
      </c>
      <c r="P2523" s="3">
        <f>E2523*(VLOOKUP(B2523,Price_data!A$1:B$190,2,FALSE))</f>
        <v>10.204868226800002</v>
      </c>
      <c r="Q2523" s="3" t="e">
        <f>G2523*(VLOOKUP(B2523,Price_data!A$1:B$190,2,FALSE))</f>
        <v>#VALUE!</v>
      </c>
      <c r="R2523" s="3" t="e">
        <f>I2523*(VLOOKUP(B2523,Price_data!A$1:B$190,2,FALSE))</f>
        <v>#VALUE!</v>
      </c>
      <c r="S2523" s="4" t="str">
        <f>(VLOOKUP(B2523,Price_data!A$1:C$190,3,FALSE))</f>
        <v>EEZ</v>
      </c>
      <c r="T2523" s="2" t="str">
        <f>IF(C2523="Total", (VLOOKUP(B2523,Recommended_fish_intake!A$4:D$122,4,FALSE)), "NA")</f>
        <v>NA</v>
      </c>
      <c r="U2523" s="2" t="str">
        <f t="shared" si="318"/>
        <v>NA</v>
      </c>
    </row>
    <row r="2524" spans="1:21" ht="14.25" customHeight="1">
      <c r="A2524" s="2" t="s">
        <v>40</v>
      </c>
      <c r="B2524" s="2">
        <v>1992</v>
      </c>
      <c r="C2524" s="2" t="s">
        <v>52</v>
      </c>
      <c r="D2524" s="2">
        <v>0.2</v>
      </c>
      <c r="E2524" s="2">
        <v>0.4</v>
      </c>
      <c r="F2524" s="2" t="s">
        <v>92</v>
      </c>
      <c r="G2524" s="2" t="s">
        <v>92</v>
      </c>
      <c r="H2524" s="2" t="s">
        <v>92</v>
      </c>
      <c r="I2524" s="2" t="s">
        <v>92</v>
      </c>
      <c r="P2524" s="3">
        <f>E2524*(VLOOKUP(B2524,Price_data!A$1:B$190,2,FALSE))</f>
        <v>0.49180087840000009</v>
      </c>
      <c r="Q2524" s="3" t="e">
        <f>G2524*(VLOOKUP(B2524,Price_data!A$1:B$190,2,FALSE))</f>
        <v>#VALUE!</v>
      </c>
      <c r="R2524" s="3" t="e">
        <f>I2524*(VLOOKUP(B2524,Price_data!A$1:B$190,2,FALSE))</f>
        <v>#VALUE!</v>
      </c>
      <c r="S2524" s="4" t="str">
        <f>(VLOOKUP(B2524,Price_data!A$1:C$190,3,FALSE))</f>
        <v>EEZ</v>
      </c>
      <c r="T2524" s="2" t="str">
        <f>IF(C2524="Total", (VLOOKUP(B2524,Recommended_fish_intake!A$4:D$122,4,FALSE)), "NA")</f>
        <v>NA</v>
      </c>
      <c r="U2524" s="2" t="str">
        <f t="shared" si="318"/>
        <v>NA</v>
      </c>
    </row>
    <row r="2525" spans="1:21" ht="14.25" customHeight="1">
      <c r="A2525" s="2" t="s">
        <v>15</v>
      </c>
      <c r="B2525" s="2">
        <v>1992</v>
      </c>
      <c r="C2525" s="2" t="s">
        <v>52</v>
      </c>
      <c r="D2525" s="2">
        <v>7.9</v>
      </c>
      <c r="E2525" s="2">
        <v>12.4</v>
      </c>
      <c r="F2525" s="2" t="s">
        <v>92</v>
      </c>
      <c r="G2525" s="2" t="s">
        <v>92</v>
      </c>
      <c r="H2525" s="2" t="s">
        <v>92</v>
      </c>
      <c r="I2525" s="2" t="s">
        <v>92</v>
      </c>
      <c r="P2525" s="3">
        <f>E2525*(VLOOKUP(B2525,Price_data!A$1:B$190,2,FALSE))</f>
        <v>15.245827230400002</v>
      </c>
      <c r="Q2525" s="3" t="e">
        <f>G2525*(VLOOKUP(B2525,Price_data!A$1:B$190,2,FALSE))</f>
        <v>#VALUE!</v>
      </c>
      <c r="R2525" s="3" t="e">
        <f>I2525*(VLOOKUP(B2525,Price_data!A$1:B$190,2,FALSE))</f>
        <v>#VALUE!</v>
      </c>
      <c r="S2525" s="4" t="str">
        <f>(VLOOKUP(B2525,Price_data!A$1:C$190,3,FALSE))</f>
        <v>EEZ</v>
      </c>
      <c r="T2525" s="2" t="str">
        <f>IF(C2525="Total", (VLOOKUP(B2525,Recommended_fish_intake!A$4:D$122,4,FALSE)), "NA")</f>
        <v>NA</v>
      </c>
      <c r="U2525" s="2" t="str">
        <f t="shared" si="318"/>
        <v>NA</v>
      </c>
    </row>
    <row r="2526" spans="1:21" ht="14.25" customHeight="1">
      <c r="A2526" s="2" t="s">
        <v>18</v>
      </c>
      <c r="B2526" s="2">
        <v>1992</v>
      </c>
      <c r="C2526" s="2" t="s">
        <v>30</v>
      </c>
      <c r="D2526" s="2">
        <v>0.6</v>
      </c>
      <c r="E2526" s="2">
        <v>0.8</v>
      </c>
      <c r="F2526" s="2" t="s">
        <v>92</v>
      </c>
      <c r="G2526" s="2" t="s">
        <v>92</v>
      </c>
      <c r="H2526" s="2" t="s">
        <v>92</v>
      </c>
      <c r="I2526" s="2" t="s">
        <v>92</v>
      </c>
      <c r="P2526" s="3">
        <f>E2526*(VLOOKUP(B2526,Price_data!A$1:B$190,2,FALSE))</f>
        <v>0.98360175680000017</v>
      </c>
      <c r="Q2526" s="3" t="e">
        <f>G2526*(VLOOKUP(B2526,Price_data!A$1:B$190,2,FALSE))</f>
        <v>#VALUE!</v>
      </c>
      <c r="R2526" s="3" t="e">
        <f>I2526*(VLOOKUP(B2526,Price_data!A$1:B$190,2,FALSE))</f>
        <v>#VALUE!</v>
      </c>
      <c r="S2526" s="4" t="str">
        <f>(VLOOKUP(B2526,Price_data!A$1:C$190,3,FALSE))</f>
        <v>EEZ</v>
      </c>
      <c r="T2526" s="2" t="str">
        <f>IF(C2526="Total", (VLOOKUP(B2526,Recommended_fish_intake!A$4:D$122,4,FALSE)), "NA")</f>
        <v>NA</v>
      </c>
      <c r="U2526" s="2" t="str">
        <f t="shared" si="318"/>
        <v>NA</v>
      </c>
    </row>
    <row r="2527" spans="1:21" ht="14.25" customHeight="1">
      <c r="A2527" s="2" t="s">
        <v>39</v>
      </c>
      <c r="B2527" s="2">
        <v>1992</v>
      </c>
      <c r="C2527" s="2" t="s">
        <v>30</v>
      </c>
      <c r="D2527" s="2">
        <v>0.2</v>
      </c>
      <c r="E2527" s="2">
        <v>0.2</v>
      </c>
      <c r="F2527" s="2" t="s">
        <v>92</v>
      </c>
      <c r="G2527" s="2" t="s">
        <v>92</v>
      </c>
      <c r="H2527" s="2" t="s">
        <v>92</v>
      </c>
      <c r="I2527" s="2" t="s">
        <v>92</v>
      </c>
      <c r="P2527" s="3">
        <f>E2527*(VLOOKUP(B2527,Price_data!A$1:B$190,2,FALSE))</f>
        <v>0.24590043920000004</v>
      </c>
      <c r="Q2527" s="3" t="e">
        <f>G2527*(VLOOKUP(B2527,Price_data!A$1:B$190,2,FALSE))</f>
        <v>#VALUE!</v>
      </c>
      <c r="R2527" s="3" t="e">
        <f>I2527*(VLOOKUP(B2527,Price_data!A$1:B$190,2,FALSE))</f>
        <v>#VALUE!</v>
      </c>
      <c r="S2527" s="4" t="str">
        <f>(VLOOKUP(B2527,Price_data!A$1:C$190,3,FALSE))</f>
        <v>EEZ</v>
      </c>
      <c r="T2527" s="2" t="str">
        <f>IF(C2527="Total", (VLOOKUP(B2527,Recommended_fish_intake!A$4:D$122,4,FALSE)), "NA")</f>
        <v>NA</v>
      </c>
      <c r="U2527" s="2" t="str">
        <f t="shared" si="318"/>
        <v>NA</v>
      </c>
    </row>
    <row r="2528" spans="1:21" ht="14.25" customHeight="1">
      <c r="A2528" s="2" t="s">
        <v>40</v>
      </c>
      <c r="B2528" s="2">
        <v>1992</v>
      </c>
      <c r="C2528" s="2" t="s">
        <v>30</v>
      </c>
      <c r="D2528" s="2">
        <v>0</v>
      </c>
      <c r="E2528" s="2">
        <v>0</v>
      </c>
      <c r="F2528" s="2" t="s">
        <v>92</v>
      </c>
      <c r="G2528" s="2" t="s">
        <v>92</v>
      </c>
      <c r="H2528" s="2" t="s">
        <v>92</v>
      </c>
      <c r="I2528" s="2" t="s">
        <v>92</v>
      </c>
      <c r="P2528" s="3">
        <f>E2528*(VLOOKUP(B2528,Price_data!A$1:B$190,2,FALSE))</f>
        <v>0</v>
      </c>
      <c r="Q2528" s="3" t="e">
        <f>G2528*(VLOOKUP(B2528,Price_data!A$1:B$190,2,FALSE))</f>
        <v>#VALUE!</v>
      </c>
      <c r="R2528" s="3" t="e">
        <f>I2528*(VLOOKUP(B2528,Price_data!A$1:B$190,2,FALSE))</f>
        <v>#VALUE!</v>
      </c>
      <c r="S2528" s="4" t="str">
        <f>(VLOOKUP(B2528,Price_data!A$1:C$190,3,FALSE))</f>
        <v>EEZ</v>
      </c>
      <c r="T2528" s="2" t="str">
        <f>IF(C2528="Total", (VLOOKUP(B2528,Recommended_fish_intake!A$4:D$122,4,FALSE)), "NA")</f>
        <v>NA</v>
      </c>
      <c r="U2528" s="2" t="str">
        <f t="shared" si="318"/>
        <v>NA</v>
      </c>
    </row>
    <row r="2529" spans="1:21" ht="14.25" customHeight="1">
      <c r="A2529" s="2" t="s">
        <v>15</v>
      </c>
      <c r="B2529" s="2">
        <v>1992</v>
      </c>
      <c r="C2529" s="2" t="s">
        <v>30</v>
      </c>
      <c r="D2529" s="2">
        <v>0.7</v>
      </c>
      <c r="E2529" s="2">
        <v>13.8</v>
      </c>
      <c r="F2529" s="3">
        <f>L2529/1000</f>
        <v>18.311</v>
      </c>
      <c r="G2529" s="3">
        <f>M2529/1000</f>
        <v>63.08</v>
      </c>
      <c r="H2529" s="3">
        <f>N2529/1000</f>
        <v>21.184999999999999</v>
      </c>
      <c r="I2529" s="3">
        <f>O2529/1000</f>
        <v>67.641000000000005</v>
      </c>
      <c r="L2529" s="2">
        <f>9443+8868</f>
        <v>18311</v>
      </c>
      <c r="M2529" s="2">
        <f>35340+27740</f>
        <v>63080</v>
      </c>
      <c r="N2529" s="2">
        <f>4090+17095</f>
        <v>21185</v>
      </c>
      <c r="O2529" s="2">
        <f>10805+56836</f>
        <v>67641</v>
      </c>
      <c r="P2529" s="3">
        <f>E2529*(VLOOKUP(B2529,Price_data!A$1:B$190,2,FALSE))</f>
        <v>16.967130304800001</v>
      </c>
      <c r="Q2529" s="3">
        <f>G2529*(VLOOKUP(B2529,Price_data!A$1:B$190,2,FALSE))</f>
        <v>77.556998523680008</v>
      </c>
      <c r="R2529" s="3">
        <f>I2529*(VLOOKUP(B2529,Price_data!A$1:B$190,2,FALSE))</f>
        <v>83.164758039636013</v>
      </c>
      <c r="S2529" s="4" t="str">
        <f>(VLOOKUP(B2529,Price_data!A$1:C$190,3,FALSE))</f>
        <v>EEZ</v>
      </c>
      <c r="T2529" s="2" t="str">
        <f>IF(C2529="Total", (VLOOKUP(B2529,Recommended_fish_intake!A$4:D$122,4,FALSE)), "NA")</f>
        <v>NA</v>
      </c>
      <c r="U2529" s="2" t="str">
        <f t="shared" si="318"/>
        <v>NA</v>
      </c>
    </row>
    <row r="2530" spans="1:21" ht="14.25" customHeight="1">
      <c r="A2530" s="2" t="s">
        <v>18</v>
      </c>
      <c r="B2530" s="2">
        <v>1992</v>
      </c>
      <c r="C2530" s="2" t="s">
        <v>28</v>
      </c>
      <c r="D2530" s="2">
        <v>55.4</v>
      </c>
      <c r="E2530" s="2">
        <v>29.1</v>
      </c>
      <c r="F2530" s="2" t="s">
        <v>92</v>
      </c>
      <c r="G2530" s="2" t="s">
        <v>92</v>
      </c>
      <c r="H2530" s="2" t="s">
        <v>92</v>
      </c>
      <c r="I2530" s="2" t="s">
        <v>92</v>
      </c>
      <c r="P2530" s="3">
        <f>E2530*(VLOOKUP(B2530,Price_data!A$1:B$190,2,FALSE))</f>
        <v>35.778513903600007</v>
      </c>
      <c r="Q2530" s="3" t="e">
        <f>G2530*(VLOOKUP(B2530,Price_data!A$1:B$190,2,FALSE))</f>
        <v>#VALUE!</v>
      </c>
      <c r="R2530" s="3" t="e">
        <f>I2530*(VLOOKUP(B2530,Price_data!A$1:B$190,2,FALSE))</f>
        <v>#VALUE!</v>
      </c>
      <c r="S2530" s="4" t="str">
        <f>(VLOOKUP(B2530,Price_data!A$1:C$190,3,FALSE))</f>
        <v>EEZ</v>
      </c>
      <c r="T2530" s="2" t="str">
        <f>IF(C2530="Total", (VLOOKUP(B2530,Recommended_fish_intake!A$4:D$122,4,FALSE)), "NA")</f>
        <v>NA</v>
      </c>
      <c r="U2530" s="2">
        <f t="shared" si="318"/>
        <v>15.512</v>
      </c>
    </row>
    <row r="2531" spans="1:21" ht="14.25" customHeight="1">
      <c r="A2531" s="2" t="s">
        <v>39</v>
      </c>
      <c r="B2531" s="2">
        <v>1992</v>
      </c>
      <c r="C2531" s="2" t="s">
        <v>28</v>
      </c>
      <c r="D2531" s="2">
        <v>46.1</v>
      </c>
      <c r="E2531" s="2">
        <v>59.7</v>
      </c>
      <c r="F2531" s="2" t="s">
        <v>92</v>
      </c>
      <c r="G2531" s="2" t="s">
        <v>92</v>
      </c>
      <c r="H2531" s="2" t="s">
        <v>92</v>
      </c>
      <c r="I2531" s="2" t="s">
        <v>92</v>
      </c>
      <c r="P2531" s="3">
        <f>E2531*(VLOOKUP(B2531,Price_data!A$1:B$190,2,FALSE))</f>
        <v>73.401281101200013</v>
      </c>
      <c r="Q2531" s="3" t="e">
        <f>G2531*(VLOOKUP(B2531,Price_data!A$1:B$190,2,FALSE))</f>
        <v>#VALUE!</v>
      </c>
      <c r="R2531" s="3" t="e">
        <f>I2531*(VLOOKUP(B2531,Price_data!A$1:B$190,2,FALSE))</f>
        <v>#VALUE!</v>
      </c>
      <c r="S2531" s="4" t="str">
        <f>(VLOOKUP(B2531,Price_data!A$1:C$190,3,FALSE))</f>
        <v>EEZ</v>
      </c>
      <c r="T2531" s="2" t="str">
        <f>IF(C2531="Total", (VLOOKUP(B2531,Recommended_fish_intake!A$4:D$122,4,FALSE)), "NA")</f>
        <v>NA</v>
      </c>
      <c r="U2531" s="2">
        <f t="shared" si="318"/>
        <v>12.908000000000001</v>
      </c>
    </row>
    <row r="2532" spans="1:21" ht="14.25" customHeight="1">
      <c r="A2532" s="2" t="s">
        <v>40</v>
      </c>
      <c r="B2532" s="2">
        <v>1992</v>
      </c>
      <c r="C2532" s="2" t="s">
        <v>28</v>
      </c>
      <c r="D2532" s="2">
        <v>6.5</v>
      </c>
      <c r="E2532" s="2">
        <v>7</v>
      </c>
      <c r="F2532" s="2" t="s">
        <v>92</v>
      </c>
      <c r="G2532" s="2" t="s">
        <v>92</v>
      </c>
      <c r="H2532" s="2" t="s">
        <v>92</v>
      </c>
      <c r="I2532" s="2" t="s">
        <v>92</v>
      </c>
      <c r="P2532" s="3">
        <f>E2532*(VLOOKUP(B2532,Price_data!A$1:B$190,2,FALSE))</f>
        <v>8.6065153720000005</v>
      </c>
      <c r="Q2532" s="3" t="e">
        <f>G2532*(VLOOKUP(B2532,Price_data!A$1:B$190,2,FALSE))</f>
        <v>#VALUE!</v>
      </c>
      <c r="R2532" s="3" t="e">
        <f>I2532*(VLOOKUP(B2532,Price_data!A$1:B$190,2,FALSE))</f>
        <v>#VALUE!</v>
      </c>
      <c r="S2532" s="4" t="str">
        <f>(VLOOKUP(B2532,Price_data!A$1:C$190,3,FALSE))</f>
        <v>EEZ</v>
      </c>
      <c r="T2532" s="2" t="str">
        <f>IF(C2532="Total", (VLOOKUP(B2532,Recommended_fish_intake!A$4:D$122,4,FALSE)), "NA")</f>
        <v>NA</v>
      </c>
      <c r="U2532" s="2">
        <f t="shared" si="318"/>
        <v>1.8200000000000003</v>
      </c>
    </row>
    <row r="2533" spans="1:21" ht="14.25" customHeight="1">
      <c r="A2533" s="2" t="s">
        <v>15</v>
      </c>
      <c r="B2533" s="2">
        <v>1992</v>
      </c>
      <c r="C2533" s="2" t="s">
        <v>28</v>
      </c>
      <c r="D2533" s="2">
        <v>108</v>
      </c>
      <c r="E2533" s="2">
        <v>95.7</v>
      </c>
      <c r="F2533" s="3">
        <f>L2533/1000</f>
        <v>69.2</v>
      </c>
      <c r="G2533" s="3">
        <f>M2533/1000</f>
        <v>184.54400000000001</v>
      </c>
      <c r="H2533" s="3">
        <f>N2533/1000</f>
        <v>66.438000000000002</v>
      </c>
      <c r="I2533" s="3">
        <f>O2533/1000</f>
        <v>235.24100000000001</v>
      </c>
      <c r="L2533" s="2">
        <v>69200</v>
      </c>
      <c r="M2533" s="2">
        <v>184544</v>
      </c>
      <c r="N2533" s="2">
        <v>66438</v>
      </c>
      <c r="O2533" s="2">
        <v>235241</v>
      </c>
      <c r="P2533" s="3">
        <f>E2533*(VLOOKUP(B2533,Price_data!A$1:B$190,2,FALSE))</f>
        <v>117.66336015720002</v>
      </c>
      <c r="Q2533" s="3">
        <f>G2533*(VLOOKUP(B2533,Price_data!A$1:B$190,2,FALSE))</f>
        <v>226.89725325862403</v>
      </c>
      <c r="R2533" s="3">
        <f>I2533*(VLOOKUP(B2533,Price_data!A$1:B$190,2,FALSE))</f>
        <v>289.22932608923605</v>
      </c>
      <c r="S2533" s="4" t="str">
        <f>(VLOOKUP(B2533,Price_data!A$1:C$190,3,FALSE))</f>
        <v>EEZ</v>
      </c>
      <c r="T2533" s="2" t="str">
        <f>IF(C2533="Total", (VLOOKUP(B2533,Recommended_fish_intake!A$4:D$122,4,FALSE)), "NA")</f>
        <v>NA</v>
      </c>
      <c r="U2533" s="2">
        <f t="shared" si="318"/>
        <v>30.240000000000002</v>
      </c>
    </row>
    <row r="2534" spans="1:21" ht="14.25" customHeight="1">
      <c r="A2534" s="2" t="s">
        <v>18</v>
      </c>
      <c r="B2534" s="2">
        <v>1992</v>
      </c>
      <c r="C2534" s="2" t="s">
        <v>37</v>
      </c>
      <c r="D2534" s="2">
        <f t="shared" ref="D2534:E2537" si="320">D2294+D2546</f>
        <v>654.625</v>
      </c>
      <c r="E2534" s="2">
        <f t="shared" si="320"/>
        <v>312.21199999999999</v>
      </c>
      <c r="F2534" s="3" t="s">
        <v>92</v>
      </c>
      <c r="G2534" s="3" t="s">
        <v>92</v>
      </c>
      <c r="H2534" s="3" t="s">
        <v>92</v>
      </c>
      <c r="I2534" s="3" t="s">
        <v>92</v>
      </c>
      <c r="P2534" s="3">
        <f>E2534*(VLOOKUP(B2534,Price_data!A$1:B$190,2,FALSE))</f>
        <v>383.86533961755202</v>
      </c>
      <c r="Q2534" s="3" t="e">
        <f>G2534*(VLOOKUP(B2534,Price_data!A$1:B$190,2,FALSE))</f>
        <v>#VALUE!</v>
      </c>
      <c r="R2534" s="3" t="e">
        <f>I2534*(VLOOKUP(B2534,Price_data!A$1:B$190,2,FALSE))</f>
        <v>#VALUE!</v>
      </c>
      <c r="S2534" s="4" t="str">
        <f>(VLOOKUP(B2534,Price_data!A$1:C$190,3,FALSE))</f>
        <v>EEZ</v>
      </c>
      <c r="T2534" s="2" t="str">
        <f>IF(C2534="Total", (VLOOKUP(B2534,Recommended_fish_intake!A$4:D$122,4,FALSE)), "NA")</f>
        <v>NA</v>
      </c>
      <c r="U2534" s="2">
        <f t="shared" si="318"/>
        <v>320.76625000000001</v>
      </c>
    </row>
    <row r="2535" spans="1:21" ht="14.25" customHeight="1">
      <c r="A2535" s="2" t="s">
        <v>39</v>
      </c>
      <c r="B2535" s="2">
        <v>1992</v>
      </c>
      <c r="C2535" s="2" t="s">
        <v>37</v>
      </c>
      <c r="D2535" s="2">
        <f t="shared" si="320"/>
        <v>156.76499999999999</v>
      </c>
      <c r="E2535" s="2">
        <f t="shared" si="320"/>
        <v>31.508000000000003</v>
      </c>
      <c r="F2535" s="3" t="s">
        <v>92</v>
      </c>
      <c r="G2535" s="3" t="s">
        <v>92</v>
      </c>
      <c r="H2535" s="3" t="s">
        <v>92</v>
      </c>
      <c r="I2535" s="3" t="s">
        <v>92</v>
      </c>
      <c r="P2535" s="3">
        <f>E2535*(VLOOKUP(B2535,Price_data!A$1:B$190,2,FALSE))</f>
        <v>38.73915519156801</v>
      </c>
      <c r="Q2535" s="3" t="e">
        <f>G2535*(VLOOKUP(B2535,Price_data!A$1:B$190,2,FALSE))</f>
        <v>#VALUE!</v>
      </c>
      <c r="R2535" s="3" t="e">
        <f>I2535*(VLOOKUP(B2535,Price_data!A$1:B$190,2,FALSE))</f>
        <v>#VALUE!</v>
      </c>
      <c r="S2535" s="4" t="str">
        <f>(VLOOKUP(B2535,Price_data!A$1:C$190,3,FALSE))</f>
        <v>EEZ</v>
      </c>
      <c r="T2535" s="2" t="str">
        <f>IF(C2535="Total", (VLOOKUP(B2535,Recommended_fish_intake!A$4:D$122,4,FALSE)), "NA")</f>
        <v>NA</v>
      </c>
      <c r="U2535" s="2">
        <f t="shared" si="318"/>
        <v>76.814849999999993</v>
      </c>
    </row>
    <row r="2536" spans="1:21" ht="14.25" customHeight="1">
      <c r="A2536" s="2" t="s">
        <v>40</v>
      </c>
      <c r="B2536" s="2">
        <v>1992</v>
      </c>
      <c r="C2536" s="2" t="s">
        <v>37</v>
      </c>
      <c r="D2536" s="2">
        <f t="shared" si="320"/>
        <v>1.2589999999999999</v>
      </c>
      <c r="E2536" s="2">
        <f t="shared" si="320"/>
        <v>10.163</v>
      </c>
      <c r="F2536" s="3" t="s">
        <v>92</v>
      </c>
      <c r="G2536" s="3" t="s">
        <v>92</v>
      </c>
      <c r="H2536" s="3" t="s">
        <v>92</v>
      </c>
      <c r="I2536" s="3" t="s">
        <v>92</v>
      </c>
      <c r="P2536" s="3">
        <f>E2536*(VLOOKUP(B2536,Price_data!A$1:B$190,2,FALSE))</f>
        <v>12.495430817948002</v>
      </c>
      <c r="Q2536" s="3" t="e">
        <f>G2536*(VLOOKUP(B2536,Price_data!A$1:B$190,2,FALSE))</f>
        <v>#VALUE!</v>
      </c>
      <c r="R2536" s="3" t="e">
        <f>I2536*(VLOOKUP(B2536,Price_data!A$1:B$190,2,FALSE))</f>
        <v>#VALUE!</v>
      </c>
      <c r="S2536" s="4" t="str">
        <f>(VLOOKUP(B2536,Price_data!A$1:C$190,3,FALSE))</f>
        <v>EEZ</v>
      </c>
      <c r="T2536" s="2" t="str">
        <f>IF(C2536="Total", (VLOOKUP(B2536,Recommended_fish_intake!A$4:D$122,4,FALSE)), "NA")</f>
        <v>NA</v>
      </c>
      <c r="U2536" s="2">
        <f t="shared" si="318"/>
        <v>0.61690999999999996</v>
      </c>
    </row>
    <row r="2537" spans="1:21" ht="14.25" customHeight="1">
      <c r="A2537" s="2" t="s">
        <v>15</v>
      </c>
      <c r="B2537" s="2">
        <v>1992</v>
      </c>
      <c r="C2537" s="2" t="s">
        <v>37</v>
      </c>
      <c r="D2537" s="2">
        <f t="shared" si="320"/>
        <v>28.273</v>
      </c>
      <c r="E2537" s="2">
        <f t="shared" si="320"/>
        <v>44.785000000000004</v>
      </c>
      <c r="F2537" s="3">
        <f>L2537/1000</f>
        <v>342.99799999999999</v>
      </c>
      <c r="G2537" s="3">
        <f>M2537/1000</f>
        <v>380.101</v>
      </c>
      <c r="H2537" s="3">
        <f>N2537/1000</f>
        <v>418.58</v>
      </c>
      <c r="I2537" s="3">
        <f>O2537/1000</f>
        <v>748.44200000000001</v>
      </c>
      <c r="L2537" s="2">
        <v>342998</v>
      </c>
      <c r="M2537" s="2">
        <v>380101</v>
      </c>
      <c r="N2537" s="2">
        <v>418580</v>
      </c>
      <c r="O2537" s="2">
        <v>748442</v>
      </c>
      <c r="P2537" s="3">
        <f>E2537*(VLOOKUP(B2537,Price_data!A$1:B$190,2,FALSE))</f>
        <v>55.063255847860006</v>
      </c>
      <c r="Q2537" s="3">
        <f>G2537*(VLOOKUP(B2537,Price_data!A$1:B$190,2,FALSE))</f>
        <v>467.33501420179601</v>
      </c>
      <c r="R2537" s="3">
        <f>I2537*(VLOOKUP(B2537,Price_data!A$1:B$190,2,FALSE))</f>
        <v>920.21108257863204</v>
      </c>
      <c r="S2537" s="4" t="str">
        <f>(VLOOKUP(B2537,Price_data!A$1:C$190,3,FALSE))</f>
        <v>EEZ</v>
      </c>
      <c r="T2537" s="2" t="str">
        <f>IF(C2537="Total", (VLOOKUP(B2537,Recommended_fish_intake!A$4:D$122,4,FALSE)), "NA")</f>
        <v>NA</v>
      </c>
      <c r="U2537" s="2">
        <f t="shared" si="318"/>
        <v>13.853769999999999</v>
      </c>
    </row>
    <row r="2538" spans="1:21" ht="14.25" customHeight="1">
      <c r="A2538" s="2" t="s">
        <v>18</v>
      </c>
      <c r="B2538" s="2">
        <v>1992</v>
      </c>
      <c r="C2538" s="2" t="s">
        <v>41</v>
      </c>
      <c r="D2538" s="2">
        <v>81.3</v>
      </c>
      <c r="E2538" s="2">
        <v>105.3</v>
      </c>
      <c r="F2538" s="2" t="s">
        <v>92</v>
      </c>
      <c r="G2538" s="2" t="s">
        <v>92</v>
      </c>
      <c r="H2538" s="2" t="s">
        <v>92</v>
      </c>
      <c r="I2538" s="2" t="s">
        <v>92</v>
      </c>
      <c r="P2538" s="3">
        <f>E2538*(VLOOKUP(B2538,Price_data!A$1:B$190,2,FALSE))</f>
        <v>129.46658123880002</v>
      </c>
      <c r="Q2538" s="3" t="e">
        <f>G2538*(VLOOKUP(B2538,Price_data!A$1:B$190,2,FALSE))</f>
        <v>#VALUE!</v>
      </c>
      <c r="R2538" s="3" t="e">
        <f>I2538*(VLOOKUP(B2538,Price_data!A$1:B$190,2,FALSE))</f>
        <v>#VALUE!</v>
      </c>
      <c r="S2538" s="4" t="str">
        <f>(VLOOKUP(B2538,Price_data!A$1:C$190,3,FALSE))</f>
        <v>EEZ</v>
      </c>
      <c r="T2538" s="2" t="str">
        <f>IF(C2538="Total", (VLOOKUP(B2538,Recommended_fish_intake!A$4:D$122,4,FALSE)), "NA")</f>
        <v>NA</v>
      </c>
      <c r="U2538" s="2" t="str">
        <f t="shared" si="318"/>
        <v>NA</v>
      </c>
    </row>
    <row r="2539" spans="1:21" ht="14.25" customHeight="1">
      <c r="A2539" s="2" t="s">
        <v>39</v>
      </c>
      <c r="B2539" s="2">
        <v>1992</v>
      </c>
      <c r="C2539" s="2" t="s">
        <v>41</v>
      </c>
      <c r="D2539" s="2">
        <v>193.9</v>
      </c>
      <c r="E2539" s="2">
        <v>163.69999999999999</v>
      </c>
      <c r="F2539" s="2" t="s">
        <v>92</v>
      </c>
      <c r="G2539" s="2" t="s">
        <v>92</v>
      </c>
      <c r="H2539" s="2" t="s">
        <v>92</v>
      </c>
      <c r="I2539" s="2" t="s">
        <v>92</v>
      </c>
      <c r="P2539" s="3">
        <f>E2539*(VLOOKUP(B2539,Price_data!A$1:B$190,2,FALSE))</f>
        <v>201.26950948519999</v>
      </c>
      <c r="Q2539" s="3" t="e">
        <f>G2539*(VLOOKUP(B2539,Price_data!A$1:B$190,2,FALSE))</f>
        <v>#VALUE!</v>
      </c>
      <c r="R2539" s="3" t="e">
        <f>I2539*(VLOOKUP(B2539,Price_data!A$1:B$190,2,FALSE))</f>
        <v>#VALUE!</v>
      </c>
      <c r="S2539" s="4" t="str">
        <f>(VLOOKUP(B2539,Price_data!A$1:C$190,3,FALSE))</f>
        <v>EEZ</v>
      </c>
      <c r="T2539" s="2" t="str">
        <f>IF(C2539="Total", (VLOOKUP(B2539,Recommended_fish_intake!A$4:D$122,4,FALSE)), "NA")</f>
        <v>NA</v>
      </c>
      <c r="U2539" s="2" t="str">
        <f t="shared" si="318"/>
        <v>NA</v>
      </c>
    </row>
    <row r="2540" spans="1:21" ht="14.25" customHeight="1">
      <c r="A2540" s="2" t="s">
        <v>40</v>
      </c>
      <c r="B2540" s="2">
        <v>1992</v>
      </c>
      <c r="C2540" s="2" t="s">
        <v>41</v>
      </c>
      <c r="D2540" s="2">
        <v>9.9</v>
      </c>
      <c r="E2540" s="2">
        <v>9.8000000000000007</v>
      </c>
      <c r="F2540" s="2" t="s">
        <v>92</v>
      </c>
      <c r="G2540" s="2" t="s">
        <v>92</v>
      </c>
      <c r="H2540" s="2" t="s">
        <v>92</v>
      </c>
      <c r="I2540" s="2" t="s">
        <v>92</v>
      </c>
      <c r="P2540" s="3">
        <f>E2540*(VLOOKUP(B2540,Price_data!A$1:B$190,2,FALSE))</f>
        <v>12.049121520800002</v>
      </c>
      <c r="Q2540" s="3" t="e">
        <f>G2540*(VLOOKUP(B2540,Price_data!A$1:B$190,2,FALSE))</f>
        <v>#VALUE!</v>
      </c>
      <c r="R2540" s="3" t="e">
        <f>I2540*(VLOOKUP(B2540,Price_data!A$1:B$190,2,FALSE))</f>
        <v>#VALUE!</v>
      </c>
      <c r="S2540" s="4" t="str">
        <f>(VLOOKUP(B2540,Price_data!A$1:C$190,3,FALSE))</f>
        <v>EEZ</v>
      </c>
      <c r="T2540" s="2" t="str">
        <f>IF(C2540="Total", (VLOOKUP(B2540,Recommended_fish_intake!A$4:D$122,4,FALSE)), "NA")</f>
        <v>NA</v>
      </c>
      <c r="U2540" s="2" t="str">
        <f t="shared" si="318"/>
        <v>NA</v>
      </c>
    </row>
    <row r="2541" spans="1:21" ht="14.25" customHeight="1">
      <c r="A2541" s="2" t="s">
        <v>15</v>
      </c>
      <c r="B2541" s="2">
        <v>1992</v>
      </c>
      <c r="C2541" s="2" t="s">
        <v>41</v>
      </c>
      <c r="D2541" s="2">
        <v>285.2</v>
      </c>
      <c r="E2541" s="2">
        <v>278.89999999999998</v>
      </c>
      <c r="F2541" s="2" t="s">
        <v>92</v>
      </c>
      <c r="G2541" s="2" t="s">
        <v>92</v>
      </c>
      <c r="H2541" s="2" t="s">
        <v>92</v>
      </c>
      <c r="I2541" s="2" t="s">
        <v>92</v>
      </c>
      <c r="P2541" s="3">
        <f>E2541*(VLOOKUP(B2541,Price_data!A$1:B$190,2,FALSE))</f>
        <v>342.90816246439999</v>
      </c>
      <c r="Q2541" s="3" t="e">
        <f>G2541*(VLOOKUP(B2541,Price_data!A$1:B$190,2,FALSE))</f>
        <v>#VALUE!</v>
      </c>
      <c r="R2541" s="3" t="e">
        <f>I2541*(VLOOKUP(B2541,Price_data!A$1:B$190,2,FALSE))</f>
        <v>#VALUE!</v>
      </c>
      <c r="S2541" s="4" t="str">
        <f>(VLOOKUP(B2541,Price_data!A$1:C$190,3,FALSE))</f>
        <v>EEZ</v>
      </c>
      <c r="T2541" s="2" t="str">
        <f>IF(C2541="Total", (VLOOKUP(B2541,Recommended_fish_intake!A$4:D$122,4,FALSE)), "NA")</f>
        <v>NA</v>
      </c>
      <c r="U2541" s="2" t="str">
        <f t="shared" si="318"/>
        <v>NA</v>
      </c>
    </row>
    <row r="2542" spans="1:21" ht="14.25" customHeight="1">
      <c r="A2542" s="2" t="s">
        <v>18</v>
      </c>
      <c r="B2542" s="2">
        <v>1992</v>
      </c>
      <c r="C2542" s="2" t="s">
        <v>22</v>
      </c>
      <c r="D2542" s="1">
        <v>23.5</v>
      </c>
      <c r="E2542" s="1">
        <v>27.4</v>
      </c>
      <c r="F2542" s="1" t="s">
        <v>92</v>
      </c>
      <c r="G2542" s="1" t="s">
        <v>92</v>
      </c>
      <c r="H2542" s="1" t="s">
        <v>92</v>
      </c>
      <c r="I2542" s="1" t="s">
        <v>92</v>
      </c>
      <c r="J2542" s="1"/>
      <c r="K2542" s="1"/>
      <c r="L2542" s="1"/>
      <c r="M2542" s="1"/>
      <c r="N2542" s="1"/>
      <c r="O2542" s="1"/>
      <c r="P2542" s="3">
        <f>E2542*(VLOOKUP(B2542,Price_data!A$1:B$190,2,FALSE))</f>
        <v>33.688360170400003</v>
      </c>
      <c r="Q2542" s="3" t="e">
        <f>G2542*(VLOOKUP(B2542,Price_data!A$1:B$190,2,FALSE))</f>
        <v>#VALUE!</v>
      </c>
      <c r="R2542" s="3" t="e">
        <f>I2542*(VLOOKUP(B2542,Price_data!A$1:B$190,2,FALSE))</f>
        <v>#VALUE!</v>
      </c>
      <c r="S2542" s="4" t="str">
        <f>(VLOOKUP(B2542,Price_data!A$1:C$190,3,FALSE))</f>
        <v>EEZ</v>
      </c>
      <c r="T2542" s="2" t="str">
        <f>IF(C2542="Total", (VLOOKUP(B2542,Recommended_fish_intake!A$4:D$122,4,FALSE)), "NA")</f>
        <v>NA</v>
      </c>
      <c r="U2542" s="2" t="str">
        <f t="shared" si="318"/>
        <v>NA</v>
      </c>
    </row>
    <row r="2543" spans="1:21" ht="14.25" customHeight="1">
      <c r="A2543" s="2" t="s">
        <v>39</v>
      </c>
      <c r="B2543" s="2">
        <v>1992</v>
      </c>
      <c r="C2543" s="2" t="s">
        <v>22</v>
      </c>
      <c r="D2543" s="1">
        <v>35.9</v>
      </c>
      <c r="E2543" s="1">
        <v>40.799999999999997</v>
      </c>
      <c r="F2543" s="1" t="s">
        <v>92</v>
      </c>
      <c r="G2543" s="1" t="s">
        <v>92</v>
      </c>
      <c r="H2543" s="1" t="s">
        <v>92</v>
      </c>
      <c r="I2543" s="1" t="s">
        <v>92</v>
      </c>
      <c r="J2543" s="1"/>
      <c r="K2543" s="1"/>
      <c r="L2543" s="1"/>
      <c r="M2543" s="1"/>
      <c r="N2543" s="1"/>
      <c r="O2543" s="1"/>
      <c r="P2543" s="3">
        <f>E2543*(VLOOKUP(B2543,Price_data!A$1:B$190,2,FALSE))</f>
        <v>50.163689596799998</v>
      </c>
      <c r="Q2543" s="3" t="e">
        <f>G2543*(VLOOKUP(B2543,Price_data!A$1:B$190,2,FALSE))</f>
        <v>#VALUE!</v>
      </c>
      <c r="R2543" s="3" t="e">
        <f>I2543*(VLOOKUP(B2543,Price_data!A$1:B$190,2,FALSE))</f>
        <v>#VALUE!</v>
      </c>
      <c r="S2543" s="4" t="str">
        <f>(VLOOKUP(B2543,Price_data!A$1:C$190,3,FALSE))</f>
        <v>EEZ</v>
      </c>
      <c r="T2543" s="2" t="str">
        <f>IF(C2543="Total", (VLOOKUP(B2543,Recommended_fish_intake!A$4:D$122,4,FALSE)), "NA")</f>
        <v>NA</v>
      </c>
      <c r="U2543" s="2" t="str">
        <f t="shared" si="318"/>
        <v>NA</v>
      </c>
    </row>
    <row r="2544" spans="1:21" ht="14.25" customHeight="1">
      <c r="A2544" s="2" t="s">
        <v>40</v>
      </c>
      <c r="B2544" s="2">
        <v>1992</v>
      </c>
      <c r="C2544" s="2" t="s">
        <v>22</v>
      </c>
      <c r="D2544" s="1">
        <v>2.8</v>
      </c>
      <c r="E2544" s="1">
        <v>3.4</v>
      </c>
      <c r="F2544" s="1" t="s">
        <v>92</v>
      </c>
      <c r="G2544" s="1" t="s">
        <v>92</v>
      </c>
      <c r="H2544" s="1" t="s">
        <v>92</v>
      </c>
      <c r="I2544" s="1" t="s">
        <v>92</v>
      </c>
      <c r="J2544" s="1"/>
      <c r="K2544" s="1"/>
      <c r="L2544" s="1"/>
      <c r="M2544" s="1"/>
      <c r="N2544" s="1"/>
      <c r="O2544" s="1"/>
      <c r="P2544" s="3">
        <f>E2544*(VLOOKUP(B2544,Price_data!A$1:B$190,2,FALSE))</f>
        <v>4.1803074664000004</v>
      </c>
      <c r="Q2544" s="3" t="e">
        <f>G2544*(VLOOKUP(B2544,Price_data!A$1:B$190,2,FALSE))</f>
        <v>#VALUE!</v>
      </c>
      <c r="R2544" s="3" t="e">
        <f>I2544*(VLOOKUP(B2544,Price_data!A$1:B$190,2,FALSE))</f>
        <v>#VALUE!</v>
      </c>
      <c r="S2544" s="4" t="str">
        <f>(VLOOKUP(B2544,Price_data!A$1:C$190,3,FALSE))</f>
        <v>EEZ</v>
      </c>
      <c r="T2544" s="2" t="str">
        <f>IF(C2544="Total", (VLOOKUP(B2544,Recommended_fish_intake!A$4:D$122,4,FALSE)), "NA")</f>
        <v>NA</v>
      </c>
      <c r="U2544" s="2" t="str">
        <f t="shared" si="318"/>
        <v>NA</v>
      </c>
    </row>
    <row r="2545" spans="1:21" ht="14.25" customHeight="1">
      <c r="A2545" s="2" t="s">
        <v>15</v>
      </c>
      <c r="B2545" s="2">
        <v>1992</v>
      </c>
      <c r="C2545" s="2" t="s">
        <v>22</v>
      </c>
      <c r="D2545" s="1">
        <v>62.2</v>
      </c>
      <c r="E2545" s="1">
        <v>71.599999999999994</v>
      </c>
      <c r="F2545" s="3">
        <f>L2545/1000</f>
        <v>8.1920000000000002</v>
      </c>
      <c r="G2545" s="3">
        <f>M2545/1000</f>
        <v>17.942</v>
      </c>
      <c r="H2545" s="3">
        <f>N2545/1000</f>
        <v>116.211</v>
      </c>
      <c r="I2545" s="3">
        <f>O2545/1000</f>
        <v>242.26900000000001</v>
      </c>
      <c r="J2545" s="1"/>
      <c r="K2545" s="1"/>
      <c r="L2545" s="1">
        <f>3877+2196+1590+529</f>
        <v>8192</v>
      </c>
      <c r="M2545" s="1">
        <f>8721+4934+2674+1613</f>
        <v>17942</v>
      </c>
      <c r="N2545" s="1">
        <f>18155+65968+31943+145</f>
        <v>116211</v>
      </c>
      <c r="O2545" s="1">
        <f>23555+182430+35813+471</f>
        <v>242269</v>
      </c>
      <c r="P2545" s="3">
        <f>E2545*(VLOOKUP(B2545,Price_data!A$1:B$190,2,FALSE))</f>
        <v>88.032357233599996</v>
      </c>
      <c r="Q2545" s="3">
        <f>G2545*(VLOOKUP(B2545,Price_data!A$1:B$190,2,FALSE))</f>
        <v>22.059728400632004</v>
      </c>
      <c r="R2545" s="3">
        <f>I2545*(VLOOKUP(B2545,Price_data!A$1:B$190,2,FALSE))</f>
        <v>297.87026752272402</v>
      </c>
      <c r="S2545" s="4" t="str">
        <f>(VLOOKUP(B2545,Price_data!A$1:C$190,3,FALSE))</f>
        <v>EEZ</v>
      </c>
      <c r="T2545" s="2" t="str">
        <f>IF(C2545="Total", (VLOOKUP(B2545,Recommended_fish_intake!A$4:D$122,4,FALSE)), "NA")</f>
        <v>NA</v>
      </c>
      <c r="U2545" s="2" t="str">
        <f t="shared" si="318"/>
        <v>NA</v>
      </c>
    </row>
    <row r="2546" spans="1:21" ht="14.25" customHeight="1">
      <c r="A2546" s="2" t="s">
        <v>18</v>
      </c>
      <c r="B2546" s="2">
        <v>1992</v>
      </c>
      <c r="C2546" s="2" t="s">
        <v>20</v>
      </c>
      <c r="D2546" s="2">
        <v>9.1</v>
      </c>
      <c r="E2546" s="2">
        <v>1.8</v>
      </c>
      <c r="F2546" s="2" t="s">
        <v>92</v>
      </c>
      <c r="G2546" s="2" t="s">
        <v>92</v>
      </c>
      <c r="H2546" s="2" t="s">
        <v>92</v>
      </c>
      <c r="I2546" s="2" t="s">
        <v>92</v>
      </c>
      <c r="P2546" s="3">
        <f>E2546*(VLOOKUP(B2546,Price_data!A$1:B$190,2,FALSE))</f>
        <v>2.2131039528000001</v>
      </c>
      <c r="Q2546" s="3" t="e">
        <f>G2546*(VLOOKUP(B2546,Price_data!A$1:B$190,2,FALSE))</f>
        <v>#VALUE!</v>
      </c>
      <c r="R2546" s="3" t="e">
        <f>I2546*(VLOOKUP(B2546,Price_data!A$1:B$190,2,FALSE))</f>
        <v>#VALUE!</v>
      </c>
      <c r="S2546" s="4" t="str">
        <f>(VLOOKUP(B2546,Price_data!A$1:C$190,3,FALSE))</f>
        <v>EEZ</v>
      </c>
      <c r="T2546" s="2" t="str">
        <f>IF(C2546="Total", (VLOOKUP(B2546,Recommended_fish_intake!A$4:D$122,4,FALSE)), "NA")</f>
        <v>NA</v>
      </c>
      <c r="U2546" s="2" t="str">
        <f t="shared" si="318"/>
        <v>NA</v>
      </c>
    </row>
    <row r="2547" spans="1:21" ht="14.25" customHeight="1">
      <c r="A2547" s="2" t="s">
        <v>39</v>
      </c>
      <c r="B2547" s="2">
        <v>1992</v>
      </c>
      <c r="C2547" s="2" t="s">
        <v>20</v>
      </c>
      <c r="D2547" s="2">
        <v>141.6</v>
      </c>
      <c r="E2547" s="2">
        <v>17.600000000000001</v>
      </c>
      <c r="F2547" s="2" t="s">
        <v>92</v>
      </c>
      <c r="G2547" s="2" t="s">
        <v>92</v>
      </c>
      <c r="H2547" s="2" t="s">
        <v>92</v>
      </c>
      <c r="I2547" s="2" t="s">
        <v>92</v>
      </c>
      <c r="P2547" s="3">
        <f>E2547*(VLOOKUP(B2547,Price_data!A$1:B$190,2,FALSE))</f>
        <v>21.639238649600003</v>
      </c>
      <c r="Q2547" s="3" t="e">
        <f>G2547*(VLOOKUP(B2547,Price_data!A$1:B$190,2,FALSE))</f>
        <v>#VALUE!</v>
      </c>
      <c r="R2547" s="3" t="e">
        <f>I2547*(VLOOKUP(B2547,Price_data!A$1:B$190,2,FALSE))</f>
        <v>#VALUE!</v>
      </c>
      <c r="S2547" s="4" t="str">
        <f>(VLOOKUP(B2547,Price_data!A$1:C$190,3,FALSE))</f>
        <v>EEZ</v>
      </c>
      <c r="T2547" s="2" t="str">
        <f>IF(C2547="Total", (VLOOKUP(B2547,Recommended_fish_intake!A$4:D$122,4,FALSE)), "NA")</f>
        <v>NA</v>
      </c>
      <c r="U2547" s="2" t="str">
        <f t="shared" si="318"/>
        <v>NA</v>
      </c>
    </row>
    <row r="2548" spans="1:21" ht="14.25" customHeight="1">
      <c r="A2548" s="2" t="s">
        <v>40</v>
      </c>
      <c r="B2548" s="2">
        <v>1992</v>
      </c>
      <c r="C2548" s="2" t="s">
        <v>20</v>
      </c>
      <c r="D2548" s="2">
        <v>0</v>
      </c>
      <c r="E2548" s="2">
        <v>0</v>
      </c>
      <c r="F2548" s="2" t="s">
        <v>92</v>
      </c>
      <c r="G2548" s="2" t="s">
        <v>92</v>
      </c>
      <c r="H2548" s="2" t="s">
        <v>92</v>
      </c>
      <c r="I2548" s="2" t="s">
        <v>92</v>
      </c>
      <c r="P2548" s="3">
        <f>E2548*(VLOOKUP(B2548,Price_data!A$1:B$190,2,FALSE))</f>
        <v>0</v>
      </c>
      <c r="Q2548" s="3" t="e">
        <f>G2548*(VLOOKUP(B2548,Price_data!A$1:B$190,2,FALSE))</f>
        <v>#VALUE!</v>
      </c>
      <c r="R2548" s="3" t="e">
        <f>I2548*(VLOOKUP(B2548,Price_data!A$1:B$190,2,FALSE))</f>
        <v>#VALUE!</v>
      </c>
      <c r="S2548" s="4" t="str">
        <f>(VLOOKUP(B2548,Price_data!A$1:C$190,3,FALSE))</f>
        <v>EEZ</v>
      </c>
      <c r="T2548" s="2" t="str">
        <f>IF(C2548="Total", (VLOOKUP(B2548,Recommended_fish_intake!A$4:D$122,4,FALSE)), "NA")</f>
        <v>NA</v>
      </c>
      <c r="U2548" s="2" t="str">
        <f t="shared" si="318"/>
        <v>NA</v>
      </c>
    </row>
    <row r="2549" spans="1:21" ht="14.25" customHeight="1">
      <c r="A2549" s="2" t="s">
        <v>18</v>
      </c>
      <c r="B2549" s="2">
        <v>1992</v>
      </c>
      <c r="C2549" s="2" t="s">
        <v>19</v>
      </c>
      <c r="D2549" s="2">
        <v>0.9</v>
      </c>
      <c r="E2549" s="2">
        <v>0.2</v>
      </c>
      <c r="F2549" s="2" t="s">
        <v>92</v>
      </c>
      <c r="G2549" s="2" t="s">
        <v>92</v>
      </c>
      <c r="H2549" s="2" t="s">
        <v>92</v>
      </c>
      <c r="I2549" s="2" t="s">
        <v>92</v>
      </c>
      <c r="P2549" s="3">
        <f>E2549*(VLOOKUP(B2549,Price_data!A$1:B$190,2,FALSE))</f>
        <v>0.24590043920000004</v>
      </c>
      <c r="Q2549" s="3" t="e">
        <f>G2549*(VLOOKUP(B2549,Price_data!A$1:B$190,2,FALSE))</f>
        <v>#VALUE!</v>
      </c>
      <c r="R2549" s="3" t="e">
        <f>I2549*(VLOOKUP(B2549,Price_data!A$1:B$190,2,FALSE))</f>
        <v>#VALUE!</v>
      </c>
      <c r="S2549" s="4" t="str">
        <f>(VLOOKUP(B2549,Price_data!A$1:C$190,3,FALSE))</f>
        <v>EEZ</v>
      </c>
      <c r="T2549" s="2" t="str">
        <f>IF(C2549="Total", (VLOOKUP(B2549,Recommended_fish_intake!A$4:D$122,4,FALSE)), "NA")</f>
        <v>NA</v>
      </c>
      <c r="U2549" s="2" t="str">
        <f t="shared" si="318"/>
        <v>NA</v>
      </c>
    </row>
    <row r="2550" spans="1:21" ht="14.25" customHeight="1">
      <c r="A2550" s="2" t="s">
        <v>39</v>
      </c>
      <c r="B2550" s="2">
        <v>1992</v>
      </c>
      <c r="C2550" s="2" t="s">
        <v>19</v>
      </c>
      <c r="D2550" s="2">
        <v>83.9</v>
      </c>
      <c r="E2550" s="2">
        <v>8.6</v>
      </c>
      <c r="F2550" s="2" t="s">
        <v>92</v>
      </c>
      <c r="G2550" s="2" t="s">
        <v>92</v>
      </c>
      <c r="H2550" s="2" t="s">
        <v>92</v>
      </c>
      <c r="I2550" s="2" t="s">
        <v>92</v>
      </c>
      <c r="P2550" s="3">
        <f>E2550*(VLOOKUP(B2550,Price_data!A$1:B$190,2,FALSE))</f>
        <v>10.5737188856</v>
      </c>
      <c r="Q2550" s="3" t="e">
        <f>G2550*(VLOOKUP(B2550,Price_data!A$1:B$190,2,FALSE))</f>
        <v>#VALUE!</v>
      </c>
      <c r="R2550" s="3" t="e">
        <f>I2550*(VLOOKUP(B2550,Price_data!A$1:B$190,2,FALSE))</f>
        <v>#VALUE!</v>
      </c>
      <c r="S2550" s="4" t="str">
        <f>(VLOOKUP(B2550,Price_data!A$1:C$190,3,FALSE))</f>
        <v>EEZ</v>
      </c>
      <c r="T2550" s="2" t="str">
        <f>IF(C2550="Total", (VLOOKUP(B2550,Recommended_fish_intake!A$4:D$122,4,FALSE)), "NA")</f>
        <v>NA</v>
      </c>
      <c r="U2550" s="2" t="str">
        <f t="shared" si="318"/>
        <v>NA</v>
      </c>
    </row>
    <row r="2551" spans="1:21" ht="14.25" customHeight="1">
      <c r="A2551" s="2" t="s">
        <v>40</v>
      </c>
      <c r="B2551" s="2">
        <v>1992</v>
      </c>
      <c r="C2551" s="2" t="s">
        <v>19</v>
      </c>
      <c r="D2551" s="2">
        <v>4</v>
      </c>
      <c r="E2551" s="2">
        <v>0.4</v>
      </c>
      <c r="F2551" s="2" t="s">
        <v>92</v>
      </c>
      <c r="G2551" s="2" t="s">
        <v>92</v>
      </c>
      <c r="H2551" s="2" t="s">
        <v>92</v>
      </c>
      <c r="I2551" s="2" t="s">
        <v>92</v>
      </c>
      <c r="P2551" s="3">
        <f>E2551*(VLOOKUP(B2551,Price_data!A$1:B$190,2,FALSE))</f>
        <v>0.49180087840000009</v>
      </c>
      <c r="Q2551" s="3" t="e">
        <f>G2551*(VLOOKUP(B2551,Price_data!A$1:B$190,2,FALSE))</f>
        <v>#VALUE!</v>
      </c>
      <c r="R2551" s="3" t="e">
        <f>I2551*(VLOOKUP(B2551,Price_data!A$1:B$190,2,FALSE))</f>
        <v>#VALUE!</v>
      </c>
      <c r="S2551" s="4" t="str">
        <f>(VLOOKUP(B2551,Price_data!A$1:C$190,3,FALSE))</f>
        <v>EEZ</v>
      </c>
      <c r="T2551" s="2" t="str">
        <f>IF(C2551="Total", (VLOOKUP(B2551,Recommended_fish_intake!A$4:D$122,4,FALSE)), "NA")</f>
        <v>NA</v>
      </c>
      <c r="U2551" s="2" t="str">
        <f t="shared" si="318"/>
        <v>NA</v>
      </c>
    </row>
    <row r="2552" spans="1:21" ht="14.25" customHeight="1">
      <c r="A2552" s="2" t="s">
        <v>18</v>
      </c>
      <c r="B2552" s="2">
        <v>1992</v>
      </c>
      <c r="C2552" s="2" t="s">
        <v>24</v>
      </c>
      <c r="D2552" s="2">
        <v>5.0999999999999996</v>
      </c>
      <c r="E2552" s="2">
        <v>2.6</v>
      </c>
      <c r="F2552" s="2" t="s">
        <v>92</v>
      </c>
      <c r="G2552" s="2" t="s">
        <v>92</v>
      </c>
      <c r="H2552" s="2" t="s">
        <v>92</v>
      </c>
      <c r="I2552" s="2" t="s">
        <v>92</v>
      </c>
      <c r="P2552" s="3">
        <f>E2552*(VLOOKUP(B2552,Price_data!A$1:B$190,2,FALSE))</f>
        <v>3.1967057096000002</v>
      </c>
      <c r="Q2552" s="3" t="e">
        <f>G2552*(VLOOKUP(B2552,Price_data!A$1:B$190,2,FALSE))</f>
        <v>#VALUE!</v>
      </c>
      <c r="R2552" s="3" t="e">
        <f>I2552*(VLOOKUP(B2552,Price_data!A$1:B$190,2,FALSE))</f>
        <v>#VALUE!</v>
      </c>
      <c r="S2552" s="4" t="str">
        <f>(VLOOKUP(B2552,Price_data!A$1:C$190,3,FALSE))</f>
        <v>EEZ</v>
      </c>
      <c r="T2552" s="2" t="str">
        <f>IF(C2552="Total", (VLOOKUP(B2552,Recommended_fish_intake!A$4:D$122,4,FALSE)), "NA")</f>
        <v>NA</v>
      </c>
      <c r="U2552" s="2" t="str">
        <f t="shared" si="318"/>
        <v>NA</v>
      </c>
    </row>
    <row r="2553" spans="1:21" ht="14.25" customHeight="1">
      <c r="A2553" s="2" t="s">
        <v>39</v>
      </c>
      <c r="B2553" s="2">
        <v>1992</v>
      </c>
      <c r="C2553" s="2" t="s">
        <v>24</v>
      </c>
      <c r="D2553" s="2">
        <v>35.9</v>
      </c>
      <c r="E2553" s="2">
        <v>17.600000000000001</v>
      </c>
      <c r="F2553" s="2" t="s">
        <v>92</v>
      </c>
      <c r="G2553" s="2" t="s">
        <v>92</v>
      </c>
      <c r="H2553" s="2" t="s">
        <v>92</v>
      </c>
      <c r="I2553" s="2" t="s">
        <v>92</v>
      </c>
      <c r="P2553" s="3">
        <f>E2553*(VLOOKUP(B2553,Price_data!A$1:B$190,2,FALSE))</f>
        <v>21.639238649600003</v>
      </c>
      <c r="Q2553" s="3" t="e">
        <f>G2553*(VLOOKUP(B2553,Price_data!A$1:B$190,2,FALSE))</f>
        <v>#VALUE!</v>
      </c>
      <c r="R2553" s="3" t="e">
        <f>I2553*(VLOOKUP(B2553,Price_data!A$1:B$190,2,FALSE))</f>
        <v>#VALUE!</v>
      </c>
      <c r="S2553" s="4" t="str">
        <f>(VLOOKUP(B2553,Price_data!A$1:C$190,3,FALSE))</f>
        <v>EEZ</v>
      </c>
      <c r="T2553" s="2" t="str">
        <f>IF(C2553="Total", (VLOOKUP(B2553,Recommended_fish_intake!A$4:D$122,4,FALSE)), "NA")</f>
        <v>NA</v>
      </c>
      <c r="U2553" s="2" t="str">
        <f t="shared" si="318"/>
        <v>NA</v>
      </c>
    </row>
    <row r="2554" spans="1:21" ht="14.25" customHeight="1">
      <c r="A2554" s="2" t="s">
        <v>40</v>
      </c>
      <c r="B2554" s="2">
        <v>1992</v>
      </c>
      <c r="C2554" s="2" t="s">
        <v>24</v>
      </c>
      <c r="D2554" s="2">
        <v>3.2</v>
      </c>
      <c r="E2554" s="2">
        <v>1.4</v>
      </c>
      <c r="F2554" s="2" t="s">
        <v>92</v>
      </c>
      <c r="G2554" s="2" t="s">
        <v>92</v>
      </c>
      <c r="H2554" s="2" t="s">
        <v>92</v>
      </c>
      <c r="I2554" s="2" t="s">
        <v>92</v>
      </c>
      <c r="P2554" s="3">
        <f>E2554*(VLOOKUP(B2554,Price_data!A$1:B$190,2,FALSE))</f>
        <v>1.7213030744</v>
      </c>
      <c r="Q2554" s="3" t="e">
        <f>G2554*(VLOOKUP(B2554,Price_data!A$1:B$190,2,FALSE))</f>
        <v>#VALUE!</v>
      </c>
      <c r="R2554" s="3" t="e">
        <f>I2554*(VLOOKUP(B2554,Price_data!A$1:B$190,2,FALSE))</f>
        <v>#VALUE!</v>
      </c>
      <c r="S2554" s="4" t="str">
        <f>(VLOOKUP(B2554,Price_data!A$1:C$190,3,FALSE))</f>
        <v>EEZ</v>
      </c>
      <c r="T2554" s="2" t="str">
        <f>IF(C2554="Total", (VLOOKUP(B2554,Recommended_fish_intake!A$4:D$122,4,FALSE)), "NA")</f>
        <v>NA</v>
      </c>
      <c r="U2554" s="2" t="str">
        <f t="shared" si="318"/>
        <v>NA</v>
      </c>
    </row>
    <row r="2555" spans="1:21" ht="14.25" customHeight="1">
      <c r="A2555" s="2" t="s">
        <v>18</v>
      </c>
      <c r="B2555" s="2">
        <v>1992</v>
      </c>
      <c r="C2555" s="2" t="s">
        <v>58</v>
      </c>
      <c r="D2555" s="2">
        <v>3.1</v>
      </c>
      <c r="E2555" s="2">
        <v>6.1</v>
      </c>
      <c r="F2555" s="2" t="s">
        <v>92</v>
      </c>
      <c r="G2555" s="2" t="s">
        <v>92</v>
      </c>
      <c r="H2555" s="2" t="s">
        <v>92</v>
      </c>
      <c r="I2555" s="2" t="s">
        <v>92</v>
      </c>
      <c r="P2555" s="3">
        <f>E2555*(VLOOKUP(B2555,Price_data!A$1:B$190,2,FALSE))</f>
        <v>7.4999633956</v>
      </c>
      <c r="Q2555" s="3" t="e">
        <f>G2555*(VLOOKUP(B2555,Price_data!A$1:B$190,2,FALSE))</f>
        <v>#VALUE!</v>
      </c>
      <c r="R2555" s="3" t="e">
        <f>I2555*(VLOOKUP(B2555,Price_data!A$1:B$190,2,FALSE))</f>
        <v>#VALUE!</v>
      </c>
      <c r="S2555" s="4" t="str">
        <f>(VLOOKUP(B2555,Price_data!A$1:C$190,3,FALSE))</f>
        <v>EEZ</v>
      </c>
      <c r="T2555" s="2" t="str">
        <f>IF(C2555="Total", (VLOOKUP(B2555,Recommended_fish_intake!A$4:D$122,4,FALSE)), "NA")</f>
        <v>NA</v>
      </c>
      <c r="U2555" s="2" t="str">
        <f t="shared" si="318"/>
        <v>NA</v>
      </c>
    </row>
    <row r="2556" spans="1:21" ht="14.25" customHeight="1">
      <c r="A2556" s="2" t="s">
        <v>39</v>
      </c>
      <c r="B2556" s="2">
        <v>1992</v>
      </c>
      <c r="C2556" s="2" t="s">
        <v>58</v>
      </c>
      <c r="D2556" s="2">
        <v>11.6</v>
      </c>
      <c r="E2556" s="2">
        <v>24.3</v>
      </c>
      <c r="F2556" s="2" t="s">
        <v>92</v>
      </c>
      <c r="G2556" s="2" t="s">
        <v>92</v>
      </c>
      <c r="H2556" s="2" t="s">
        <v>92</v>
      </c>
      <c r="I2556" s="2" t="s">
        <v>92</v>
      </c>
      <c r="P2556" s="3">
        <f>E2556*(VLOOKUP(B2556,Price_data!A$1:B$190,2,FALSE))</f>
        <v>29.876903362800004</v>
      </c>
      <c r="Q2556" s="3" t="e">
        <f>G2556*(VLOOKUP(B2556,Price_data!A$1:B$190,2,FALSE))</f>
        <v>#VALUE!</v>
      </c>
      <c r="R2556" s="3" t="e">
        <f>I2556*(VLOOKUP(B2556,Price_data!A$1:B$190,2,FALSE))</f>
        <v>#VALUE!</v>
      </c>
      <c r="S2556" s="4" t="str">
        <f>(VLOOKUP(B2556,Price_data!A$1:C$190,3,FALSE))</f>
        <v>EEZ</v>
      </c>
      <c r="T2556" s="2" t="str">
        <f>IF(C2556="Total", (VLOOKUP(B2556,Recommended_fish_intake!A$4:D$122,4,FALSE)), "NA")</f>
        <v>NA</v>
      </c>
      <c r="U2556" s="2" t="str">
        <f t="shared" si="318"/>
        <v>NA</v>
      </c>
    </row>
    <row r="2557" spans="1:21" ht="14.25" customHeight="1">
      <c r="A2557" s="2" t="s">
        <v>40</v>
      </c>
      <c r="B2557" s="2">
        <v>1992</v>
      </c>
      <c r="C2557" s="2" t="s">
        <v>58</v>
      </c>
      <c r="D2557" s="2">
        <v>0.3</v>
      </c>
      <c r="E2557" s="2">
        <v>0.5</v>
      </c>
      <c r="F2557" s="2" t="s">
        <v>92</v>
      </c>
      <c r="G2557" s="2" t="s">
        <v>92</v>
      </c>
      <c r="H2557" s="2" t="s">
        <v>92</v>
      </c>
      <c r="I2557" s="2" t="s">
        <v>92</v>
      </c>
      <c r="P2557" s="3">
        <f>E2557*(VLOOKUP(B2557,Price_data!A$1:B$190,2,FALSE))</f>
        <v>0.61475109800000005</v>
      </c>
      <c r="Q2557" s="3" t="e">
        <f>G2557*(VLOOKUP(B2557,Price_data!A$1:B$190,2,FALSE))</f>
        <v>#VALUE!</v>
      </c>
      <c r="R2557" s="3" t="e">
        <f>I2557*(VLOOKUP(B2557,Price_data!A$1:B$190,2,FALSE))</f>
        <v>#VALUE!</v>
      </c>
      <c r="S2557" s="4" t="str">
        <f>(VLOOKUP(B2557,Price_data!A$1:C$190,3,FALSE))</f>
        <v>EEZ</v>
      </c>
      <c r="T2557" s="2" t="str">
        <f>IF(C2557="Total", (VLOOKUP(B2557,Recommended_fish_intake!A$4:D$122,4,FALSE)), "NA")</f>
        <v>NA</v>
      </c>
      <c r="U2557" s="2" t="str">
        <f t="shared" si="318"/>
        <v>NA</v>
      </c>
    </row>
    <row r="2558" spans="1:21" ht="14.25" customHeight="1">
      <c r="A2558" s="2" t="s">
        <v>18</v>
      </c>
      <c r="B2558" s="2">
        <v>1992</v>
      </c>
      <c r="C2558" s="2" t="s">
        <v>23</v>
      </c>
      <c r="D2558" s="2">
        <v>3.7</v>
      </c>
      <c r="E2558" s="2">
        <v>3.2</v>
      </c>
      <c r="F2558" s="2" t="s">
        <v>92</v>
      </c>
      <c r="G2558" s="2" t="s">
        <v>92</v>
      </c>
      <c r="H2558" s="2" t="s">
        <v>92</v>
      </c>
      <c r="I2558" s="2" t="s">
        <v>92</v>
      </c>
      <c r="P2558" s="3">
        <f>E2558*(VLOOKUP(B2558,Price_data!A$1:B$190,2,FALSE))</f>
        <v>3.9344070272000007</v>
      </c>
      <c r="Q2558" s="3" t="e">
        <f>G2558*(VLOOKUP(B2558,Price_data!A$1:B$190,2,FALSE))</f>
        <v>#VALUE!</v>
      </c>
      <c r="R2558" s="3" t="e">
        <f>I2558*(VLOOKUP(B2558,Price_data!A$1:B$190,2,FALSE))</f>
        <v>#VALUE!</v>
      </c>
      <c r="S2558" s="4" t="str">
        <f>(VLOOKUP(B2558,Price_data!A$1:C$190,3,FALSE))</f>
        <v>EEZ</v>
      </c>
      <c r="T2558" s="2" t="str">
        <f>IF(C2558="Total", (VLOOKUP(B2558,Recommended_fish_intake!A$4:D$122,4,FALSE)), "NA")</f>
        <v>NA</v>
      </c>
      <c r="U2558" s="2" t="str">
        <f t="shared" si="318"/>
        <v>NA</v>
      </c>
    </row>
    <row r="2559" spans="1:21" ht="14.25" customHeight="1">
      <c r="A2559" s="2" t="s">
        <v>39</v>
      </c>
      <c r="B2559" s="2">
        <v>1992</v>
      </c>
      <c r="C2559" s="2" t="s">
        <v>23</v>
      </c>
      <c r="D2559" s="2">
        <v>49.9</v>
      </c>
      <c r="E2559" s="2">
        <v>36.6</v>
      </c>
      <c r="F2559" s="2" t="s">
        <v>92</v>
      </c>
      <c r="G2559" s="2" t="s">
        <v>92</v>
      </c>
      <c r="H2559" s="2" t="s">
        <v>92</v>
      </c>
      <c r="I2559" s="2" t="s">
        <v>92</v>
      </c>
      <c r="P2559" s="3">
        <f>E2559*(VLOOKUP(B2559,Price_data!A$1:B$190,2,FALSE))</f>
        <v>44.999780373600004</v>
      </c>
      <c r="Q2559" s="3" t="e">
        <f>G2559*(VLOOKUP(B2559,Price_data!A$1:B$190,2,FALSE))</f>
        <v>#VALUE!</v>
      </c>
      <c r="R2559" s="3" t="e">
        <f>I2559*(VLOOKUP(B2559,Price_data!A$1:B$190,2,FALSE))</f>
        <v>#VALUE!</v>
      </c>
      <c r="S2559" s="4" t="str">
        <f>(VLOOKUP(B2559,Price_data!A$1:C$190,3,FALSE))</f>
        <v>EEZ</v>
      </c>
      <c r="T2559" s="2" t="str">
        <f>IF(C2559="Total", (VLOOKUP(B2559,Recommended_fish_intake!A$4:D$122,4,FALSE)), "NA")</f>
        <v>NA</v>
      </c>
      <c r="U2559" s="2" t="str">
        <f t="shared" si="318"/>
        <v>NA</v>
      </c>
    </row>
    <row r="2560" spans="1:21" ht="14.25" customHeight="1">
      <c r="A2560" s="2" t="s">
        <v>40</v>
      </c>
      <c r="B2560" s="2">
        <v>1992</v>
      </c>
      <c r="C2560" s="2" t="s">
        <v>23</v>
      </c>
      <c r="D2560" s="2">
        <v>0.3</v>
      </c>
      <c r="E2560" s="2">
        <v>0.2</v>
      </c>
      <c r="F2560" s="2" t="s">
        <v>92</v>
      </c>
      <c r="G2560" s="2" t="s">
        <v>92</v>
      </c>
      <c r="H2560" s="2" t="s">
        <v>92</v>
      </c>
      <c r="I2560" s="2" t="s">
        <v>92</v>
      </c>
      <c r="P2560" s="3">
        <f>E2560*(VLOOKUP(B2560,Price_data!A$1:B$190,2,FALSE))</f>
        <v>0.24590043920000004</v>
      </c>
      <c r="Q2560" s="3" t="e">
        <f>G2560*(VLOOKUP(B2560,Price_data!A$1:B$190,2,FALSE))</f>
        <v>#VALUE!</v>
      </c>
      <c r="R2560" s="3" t="e">
        <f>I2560*(VLOOKUP(B2560,Price_data!A$1:B$190,2,FALSE))</f>
        <v>#VALUE!</v>
      </c>
      <c r="S2560" s="4" t="str">
        <f>(VLOOKUP(B2560,Price_data!A$1:C$190,3,FALSE))</f>
        <v>EEZ</v>
      </c>
      <c r="T2560" s="2" t="str">
        <f>IF(C2560="Total", (VLOOKUP(B2560,Recommended_fish_intake!A$4:D$122,4,FALSE)), "NA")</f>
        <v>NA</v>
      </c>
      <c r="U2560" s="2" t="str">
        <f t="shared" si="318"/>
        <v>NA</v>
      </c>
    </row>
    <row r="2561" spans="1:21" ht="14.25" customHeight="1">
      <c r="A2561" s="2" t="s">
        <v>15</v>
      </c>
      <c r="B2561" s="2">
        <v>1992</v>
      </c>
      <c r="C2561" s="2" t="s">
        <v>23</v>
      </c>
      <c r="D2561" s="2">
        <v>53.9</v>
      </c>
      <c r="E2561" s="2">
        <v>40.1</v>
      </c>
      <c r="F2561" s="4">
        <f>L2561/1000</f>
        <v>1.1180000000000001</v>
      </c>
      <c r="G2561" s="4">
        <f>M2561/1000</f>
        <v>2.9820000000000002</v>
      </c>
      <c r="H2561" s="4">
        <f>N2561/1000</f>
        <v>28.869</v>
      </c>
      <c r="I2561" s="4">
        <f>O2561/1000</f>
        <v>54.994999999999997</v>
      </c>
      <c r="L2561" s="2">
        <f>440+616+62</f>
        <v>1118</v>
      </c>
      <c r="M2561" s="2">
        <f>1131+1679+172</f>
        <v>2982</v>
      </c>
      <c r="N2561" s="2">
        <f>13419+9049+6401</f>
        <v>28869</v>
      </c>
      <c r="O2561" s="2">
        <f>19473+28173+7349</f>
        <v>54995</v>
      </c>
      <c r="P2561" s="3">
        <f>E2561*(VLOOKUP(B2561,Price_data!A$1:B$190,2,FALSE))</f>
        <v>49.303038059600006</v>
      </c>
      <c r="Q2561" s="3">
        <f>G2561*(VLOOKUP(B2561,Price_data!A$1:B$190,2,FALSE))</f>
        <v>3.6663755484720006</v>
      </c>
      <c r="R2561" s="3">
        <f>I2561*(VLOOKUP(B2561,Price_data!A$1:B$190,2,FALSE))</f>
        <v>67.616473269020005</v>
      </c>
      <c r="S2561" s="4" t="str">
        <f>(VLOOKUP(B2561,Price_data!A$1:C$190,3,FALSE))</f>
        <v>EEZ</v>
      </c>
      <c r="T2561" s="2" t="str">
        <f>IF(C2561="Total", (VLOOKUP(B2561,Recommended_fish_intake!A$4:D$122,4,FALSE)), "NA")</f>
        <v>NA</v>
      </c>
      <c r="U2561" s="2" t="str">
        <f t="shared" si="318"/>
        <v>NA</v>
      </c>
    </row>
    <row r="2562" spans="1:21" ht="14.25" customHeight="1">
      <c r="A2562" s="2" t="s">
        <v>15</v>
      </c>
      <c r="B2562" s="2">
        <v>1992</v>
      </c>
      <c r="C2562" s="2" t="s">
        <v>58</v>
      </c>
      <c r="D2562" s="2">
        <v>15</v>
      </c>
      <c r="E2562" s="2">
        <v>30.9</v>
      </c>
      <c r="F2562" s="4" t="s">
        <v>92</v>
      </c>
      <c r="G2562" s="4" t="s">
        <v>92</v>
      </c>
      <c r="H2562" s="4" t="s">
        <v>92</v>
      </c>
      <c r="I2562" s="4" t="s">
        <v>92</v>
      </c>
      <c r="L2562" s="2" t="s">
        <v>92</v>
      </c>
      <c r="M2562" s="2" t="s">
        <v>92</v>
      </c>
      <c r="N2562" s="2" t="s">
        <v>92</v>
      </c>
      <c r="O2562" s="2" t="s">
        <v>92</v>
      </c>
      <c r="P2562" s="3">
        <f>E2562*(VLOOKUP(B2562,Price_data!A$1:B$190,2,FALSE))</f>
        <v>37.991617856400005</v>
      </c>
      <c r="Q2562" s="3" t="e">
        <f>G2562*(VLOOKUP(B2562,Price_data!A$1:B$190,2,FALSE))</f>
        <v>#VALUE!</v>
      </c>
      <c r="R2562" s="3" t="e">
        <f>I2562*(VLOOKUP(B2562,Price_data!A$1:B$190,2,FALSE))</f>
        <v>#VALUE!</v>
      </c>
      <c r="S2562" s="4" t="str">
        <f>(VLOOKUP(B2562,Price_data!A$1:C$190,3,FALSE))</f>
        <v>EEZ</v>
      </c>
      <c r="T2562" s="2" t="str">
        <f>IF(C2562="Total", (VLOOKUP(B2562,Recommended_fish_intake!A$4:D$122,4,FALSE)), "NA")</f>
        <v>NA</v>
      </c>
      <c r="U2562" s="2" t="str">
        <f t="shared" ref="U2562:U2625" si="321">IF(C2562="Wet fish", D2562*0.49, IF(C2562="Shellfish", D2562*0.28, "NA"))</f>
        <v>NA</v>
      </c>
    </row>
    <row r="2563" spans="1:21" ht="14.25" customHeight="1">
      <c r="A2563" s="2" t="s">
        <v>15</v>
      </c>
      <c r="B2563" s="2">
        <v>1992</v>
      </c>
      <c r="C2563" s="2" t="s">
        <v>24</v>
      </c>
      <c r="D2563" s="2">
        <v>44.2</v>
      </c>
      <c r="E2563" s="2">
        <v>21.7</v>
      </c>
      <c r="F2563" s="4" t="s">
        <v>92</v>
      </c>
      <c r="G2563" s="4" t="s">
        <v>92</v>
      </c>
      <c r="H2563" s="4" t="s">
        <v>92</v>
      </c>
      <c r="I2563" s="4" t="s">
        <v>92</v>
      </c>
      <c r="L2563" s="2" t="s">
        <v>92</v>
      </c>
      <c r="M2563" s="2" t="s">
        <v>92</v>
      </c>
      <c r="N2563" s="2" t="s">
        <v>92</v>
      </c>
      <c r="O2563" s="2" t="s">
        <v>92</v>
      </c>
      <c r="P2563" s="3">
        <f>E2563*(VLOOKUP(B2563,Price_data!A$1:B$190,2,FALSE))</f>
        <v>26.6801976532</v>
      </c>
      <c r="Q2563" s="3" t="e">
        <f>G2563*(VLOOKUP(B2563,Price_data!A$1:B$190,2,FALSE))</f>
        <v>#VALUE!</v>
      </c>
      <c r="R2563" s="3" t="e">
        <f>I2563*(VLOOKUP(B2563,Price_data!A$1:B$190,2,FALSE))</f>
        <v>#VALUE!</v>
      </c>
      <c r="S2563" s="4" t="str">
        <f>(VLOOKUP(B2563,Price_data!A$1:C$190,3,FALSE))</f>
        <v>EEZ</v>
      </c>
      <c r="T2563" s="2" t="str">
        <f>IF(C2563="Total", (VLOOKUP(B2563,Recommended_fish_intake!A$4:D$122,4,FALSE)), "NA")</f>
        <v>NA</v>
      </c>
      <c r="U2563" s="2" t="str">
        <f t="shared" si="321"/>
        <v>NA</v>
      </c>
    </row>
    <row r="2564" spans="1:21" ht="14.25" customHeight="1">
      <c r="A2564" s="2" t="s">
        <v>15</v>
      </c>
      <c r="B2564" s="2">
        <v>1992</v>
      </c>
      <c r="C2564" s="2" t="s">
        <v>19</v>
      </c>
      <c r="D2564" s="2">
        <v>88.8</v>
      </c>
      <c r="E2564" s="2">
        <v>9.3000000000000007</v>
      </c>
      <c r="F2564" s="4">
        <f t="shared" ref="F2564:I2565" si="322">L2564/1000</f>
        <v>79.227000000000004</v>
      </c>
      <c r="G2564" s="4">
        <f t="shared" si="322"/>
        <v>17.489999999999998</v>
      </c>
      <c r="H2564" s="4">
        <f t="shared" si="322"/>
        <v>11.632</v>
      </c>
      <c r="I2564" s="4">
        <f t="shared" si="322"/>
        <v>7.1749999999999998</v>
      </c>
      <c r="L2564" s="2">
        <f>61291+14450+1742+1744</f>
        <v>79227</v>
      </c>
      <c r="M2564" s="2">
        <f>9184+4673+1949+1684</f>
        <v>17490</v>
      </c>
      <c r="N2564" s="2">
        <f>5385+4090+1212+945</f>
        <v>11632</v>
      </c>
      <c r="O2564" s="2">
        <f>1781+2131+1504+1759</f>
        <v>7175</v>
      </c>
      <c r="P2564" s="3">
        <f>E2564*(VLOOKUP(B2564,Price_data!A$1:B$190,2,FALSE))</f>
        <v>11.434370422800002</v>
      </c>
      <c r="Q2564" s="3">
        <f>G2564*(VLOOKUP(B2564,Price_data!A$1:B$190,2,FALSE))</f>
        <v>21.503993408039999</v>
      </c>
      <c r="R2564" s="3">
        <f>I2564*(VLOOKUP(B2564,Price_data!A$1:B$190,2,FALSE))</f>
        <v>8.8216782563000002</v>
      </c>
      <c r="S2564" s="4" t="str">
        <f>(VLOOKUP(B2564,Price_data!A$1:C$190,3,FALSE))</f>
        <v>EEZ</v>
      </c>
      <c r="T2564" s="2" t="str">
        <f>IF(C2564="Total", (VLOOKUP(B2564,Recommended_fish_intake!A$4:D$122,4,FALSE)), "NA")</f>
        <v>NA</v>
      </c>
      <c r="U2564" s="2" t="str">
        <f t="shared" si="321"/>
        <v>NA</v>
      </c>
    </row>
    <row r="2565" spans="1:21" ht="14.25" customHeight="1">
      <c r="A2565" s="2" t="s">
        <v>15</v>
      </c>
      <c r="B2565" s="2">
        <v>1992</v>
      </c>
      <c r="C2565" s="2" t="s">
        <v>20</v>
      </c>
      <c r="D2565" s="2">
        <v>150.69999999999999</v>
      </c>
      <c r="E2565" s="2">
        <v>19.399999999999999</v>
      </c>
      <c r="F2565" s="4">
        <f t="shared" si="322"/>
        <v>1.1539999999999999</v>
      </c>
      <c r="G2565" s="4">
        <f t="shared" si="322"/>
        <v>2.4630000000000001</v>
      </c>
      <c r="H2565" s="4">
        <f t="shared" si="322"/>
        <v>2.2589999999999999</v>
      </c>
      <c r="I2565" s="4">
        <f t="shared" si="322"/>
        <v>4.7969999999999997</v>
      </c>
      <c r="L2565" s="2">
        <v>1154</v>
      </c>
      <c r="M2565" s="2">
        <v>2463</v>
      </c>
      <c r="N2565" s="2">
        <v>2259</v>
      </c>
      <c r="O2565" s="2">
        <v>4797</v>
      </c>
      <c r="P2565" s="3">
        <f>E2565*(VLOOKUP(B2565,Price_data!A$1:B$190,2,FALSE))</f>
        <v>23.8523426024</v>
      </c>
      <c r="Q2565" s="3">
        <f>G2565*(VLOOKUP(B2565,Price_data!A$1:B$190,2,FALSE))</f>
        <v>3.0282639087480003</v>
      </c>
      <c r="R2565" s="3">
        <f>I2565*(VLOOKUP(B2565,Price_data!A$1:B$190,2,FALSE))</f>
        <v>5.8979220342119998</v>
      </c>
      <c r="S2565" s="4" t="str">
        <f>(VLOOKUP(B2565,Price_data!A$1:C$190,3,FALSE))</f>
        <v>EEZ</v>
      </c>
      <c r="T2565" s="2" t="str">
        <f>IF(C2565="Total", (VLOOKUP(B2565,Recommended_fish_intake!A$4:D$122,4,FALSE)), "NA")</f>
        <v>NA</v>
      </c>
      <c r="U2565" s="2" t="str">
        <f t="shared" si="321"/>
        <v>NA</v>
      </c>
    </row>
    <row r="2566" spans="1:21" ht="14.25" customHeight="1">
      <c r="A2566" s="2" t="s">
        <v>15</v>
      </c>
      <c r="B2566" s="2">
        <v>1992</v>
      </c>
      <c r="C2566" s="2" t="s">
        <v>21</v>
      </c>
      <c r="D2566" s="3">
        <v>10</v>
      </c>
      <c r="E2566" s="3">
        <v>1</v>
      </c>
      <c r="F2566" s="2" t="s">
        <v>92</v>
      </c>
      <c r="G2566" s="2" t="s">
        <v>92</v>
      </c>
      <c r="H2566" s="2" t="s">
        <v>92</v>
      </c>
      <c r="I2566" s="2" t="s">
        <v>92</v>
      </c>
      <c r="P2566" s="3">
        <f>E2566*(VLOOKUP(B2566,Price_data!A$1:B$190,2,FALSE))</f>
        <v>1.2295021960000001</v>
      </c>
      <c r="Q2566" s="3" t="e">
        <f>G2566*(VLOOKUP(B2566,Price_data!A$1:B$190,2,FALSE))</f>
        <v>#VALUE!</v>
      </c>
      <c r="R2566" s="3" t="e">
        <f>I2566*(VLOOKUP(B2566,Price_data!A$1:B$190,2,FALSE))</f>
        <v>#VALUE!</v>
      </c>
      <c r="S2566" s="4" t="str">
        <f>(VLOOKUP(B2566,Price_data!A$1:C$190,3,FALSE))</f>
        <v>EEZ</v>
      </c>
      <c r="T2566" s="2" t="str">
        <f>IF(C2566="Total", (VLOOKUP(B2566,Recommended_fish_intake!A$4:D$122,4,FALSE)), "NA")</f>
        <v>NA</v>
      </c>
      <c r="U2566" s="2" t="str">
        <f t="shared" si="321"/>
        <v>NA</v>
      </c>
    </row>
    <row r="2567" spans="1:21" ht="14.25" customHeight="1">
      <c r="A2567" s="2" t="s">
        <v>15</v>
      </c>
      <c r="B2567" s="2">
        <v>1992</v>
      </c>
      <c r="C2567" s="2" t="s">
        <v>25</v>
      </c>
      <c r="D2567" s="2">
        <v>24.1</v>
      </c>
      <c r="E2567" s="2">
        <v>24.3</v>
      </c>
      <c r="F2567" s="3">
        <f t="shared" ref="F2567:I2569" si="323">IF(L2567="", NA(), L2567/1000)</f>
        <v>3.0409999999999999</v>
      </c>
      <c r="G2567" s="3">
        <f t="shared" si="323"/>
        <v>4.3339999999999996</v>
      </c>
      <c r="H2567" s="3">
        <f t="shared" si="323"/>
        <v>10.92</v>
      </c>
      <c r="I2567" s="3">
        <f t="shared" si="323"/>
        <v>19.347999999999999</v>
      </c>
      <c r="L2567" s="2">
        <f>2512+421+108</f>
        <v>3041</v>
      </c>
      <c r="M2567" s="2">
        <f>3005+1078+251</f>
        <v>4334</v>
      </c>
      <c r="N2567" s="2">
        <f>7091+2929+900</f>
        <v>10920</v>
      </c>
      <c r="O2567" s="2">
        <f>8564+9604+1180</f>
        <v>19348</v>
      </c>
      <c r="P2567" s="3">
        <f>E2567*(VLOOKUP(B2567,Price_data!A$1:B$190,2,FALSE))</f>
        <v>29.876903362800004</v>
      </c>
      <c r="Q2567" s="3">
        <f>G2567*(VLOOKUP(B2567,Price_data!A$1:B$190,2,FALSE))</f>
        <v>5.3286625174640001</v>
      </c>
      <c r="R2567" s="3">
        <f>I2567*(VLOOKUP(B2567,Price_data!A$1:B$190,2,FALSE))</f>
        <v>23.788408488208002</v>
      </c>
      <c r="S2567" s="4" t="str">
        <f>(VLOOKUP(B2567,Price_data!A$1:C$190,3,FALSE))</f>
        <v>EEZ</v>
      </c>
      <c r="T2567" s="2" t="str">
        <f>IF(C2567="Total", (VLOOKUP(B2567,Recommended_fish_intake!A$4:D$122,4,FALSE)), "NA")</f>
        <v>NA</v>
      </c>
      <c r="U2567" s="2" t="str">
        <f t="shared" si="321"/>
        <v>NA</v>
      </c>
    </row>
    <row r="2568" spans="1:21" ht="14.25" customHeight="1">
      <c r="A2568" s="2" t="s">
        <v>15</v>
      </c>
      <c r="B2568" s="2">
        <v>1992</v>
      </c>
      <c r="C2568" s="2" t="s">
        <v>43</v>
      </c>
      <c r="D2568" s="3" t="e">
        <v>#N/A</v>
      </c>
      <c r="E2568" s="3" t="e">
        <v>#N/A</v>
      </c>
      <c r="F2568" s="3">
        <f t="shared" si="323"/>
        <v>1.363</v>
      </c>
      <c r="G2568" s="3">
        <f t="shared" si="323"/>
        <v>2.282</v>
      </c>
      <c r="H2568" s="3">
        <f t="shared" si="323"/>
        <v>72.372</v>
      </c>
      <c r="I2568" s="3">
        <f t="shared" si="323"/>
        <v>98.027000000000001</v>
      </c>
      <c r="L2568" s="2">
        <v>1363</v>
      </c>
      <c r="M2568" s="2">
        <v>2282</v>
      </c>
      <c r="N2568" s="2">
        <v>72372</v>
      </c>
      <c r="O2568" s="2">
        <v>98027</v>
      </c>
      <c r="P2568" s="3" t="e">
        <f>E2568*(VLOOKUP(B2568,Price_data!A$1:B$190,2,FALSE))</f>
        <v>#N/A</v>
      </c>
      <c r="Q2568" s="3">
        <f>G2568*(VLOOKUP(B2568,Price_data!A$1:B$190,2,FALSE))</f>
        <v>2.8057240112720003</v>
      </c>
      <c r="R2568" s="3">
        <f>I2568*(VLOOKUP(B2568,Price_data!A$1:B$190,2,FALSE))</f>
        <v>120.52441176729201</v>
      </c>
      <c r="S2568" s="4" t="str">
        <f>(VLOOKUP(B2568,Price_data!A$1:C$190,3,FALSE))</f>
        <v>EEZ</v>
      </c>
      <c r="T2568" s="2" t="str">
        <f>IF(C2568="Total", (VLOOKUP(B2568,Recommended_fish_intake!A$4:D$122,4,FALSE)), "NA")</f>
        <v>NA</v>
      </c>
      <c r="U2568" s="2" t="str">
        <f t="shared" si="321"/>
        <v>NA</v>
      </c>
    </row>
    <row r="2569" spans="1:21" ht="14.25" customHeight="1">
      <c r="A2569" s="2" t="s">
        <v>15</v>
      </c>
      <c r="B2569" s="2">
        <v>1992</v>
      </c>
      <c r="C2569" s="2" t="s">
        <v>29</v>
      </c>
      <c r="D2569" s="3" t="e">
        <v>#N/A</v>
      </c>
      <c r="E2569" s="3" t="e">
        <v>#N/A</v>
      </c>
      <c r="F2569" s="3">
        <f t="shared" si="323"/>
        <v>14.430999999999999</v>
      </c>
      <c r="G2569" s="3">
        <f t="shared" si="323"/>
        <v>61.493000000000002</v>
      </c>
      <c r="H2569" s="3">
        <f t="shared" si="323"/>
        <v>44.954000000000001</v>
      </c>
      <c r="I2569" s="3">
        <f t="shared" si="323"/>
        <v>138.40100000000001</v>
      </c>
      <c r="L2569" s="2">
        <f>11541+1479+1411</f>
        <v>14431</v>
      </c>
      <c r="M2569" s="2">
        <f>51855+4400+5238</f>
        <v>61493</v>
      </c>
      <c r="N2569" s="2">
        <f>5717+3730+35507</f>
        <v>44954</v>
      </c>
      <c r="O2569" s="2">
        <f>21932+9082+107387</f>
        <v>138401</v>
      </c>
      <c r="P2569" s="3" t="e">
        <f>E2569*(VLOOKUP(B2569,Price_data!A$1:B$190,2,FALSE))</f>
        <v>#N/A</v>
      </c>
      <c r="Q2569" s="3">
        <f>G2569*(VLOOKUP(B2569,Price_data!A$1:B$190,2,FALSE))</f>
        <v>75.605778538628016</v>
      </c>
      <c r="R2569" s="3">
        <f>I2569*(VLOOKUP(B2569,Price_data!A$1:B$190,2,FALSE))</f>
        <v>170.16433342859602</v>
      </c>
      <c r="S2569" s="4" t="str">
        <f>(VLOOKUP(B2569,Price_data!A$1:C$190,3,FALSE))</f>
        <v>EEZ</v>
      </c>
      <c r="T2569" s="2" t="str">
        <f>IF(C2569="Total", (VLOOKUP(B2569,Recommended_fish_intake!A$4:D$122,4,FALSE)), "NA")</f>
        <v>NA</v>
      </c>
      <c r="U2569" s="2" t="str">
        <f t="shared" si="321"/>
        <v>NA</v>
      </c>
    </row>
    <row r="2570" spans="1:21" ht="14.25" customHeight="1">
      <c r="A2570" s="2" t="s">
        <v>18</v>
      </c>
      <c r="B2570" s="2">
        <v>1993</v>
      </c>
      <c r="C2570" s="2" t="s">
        <v>16</v>
      </c>
      <c r="D2570" s="2">
        <v>165.5</v>
      </c>
      <c r="E2570" s="2">
        <v>147.6</v>
      </c>
      <c r="F2570" s="2" t="s">
        <v>92</v>
      </c>
      <c r="G2570" s="2" t="s">
        <v>92</v>
      </c>
      <c r="H2570" s="2" t="s">
        <v>92</v>
      </c>
      <c r="I2570" s="2" t="s">
        <v>92</v>
      </c>
      <c r="P2570" s="3">
        <f>E2570*(VLOOKUP(B2570,Price_data!A$1:B$190,2,FALSE))</f>
        <v>178.63030091159999</v>
      </c>
      <c r="Q2570" s="3" t="e">
        <f>G2570*(VLOOKUP(B2570,Price_data!A$1:B$190,2,FALSE))</f>
        <v>#VALUE!</v>
      </c>
      <c r="R2570" s="3" t="e">
        <f>I2570*(VLOOKUP(B2570,Price_data!A$1:B$190,2,FALSE))</f>
        <v>#VALUE!</v>
      </c>
      <c r="S2570" s="4" t="str">
        <f>(VLOOKUP(B2570,Price_data!A$1:C$190,3,FALSE))</f>
        <v>EEZ</v>
      </c>
      <c r="T2570" s="2">
        <f>IF(C2570="Total", (VLOOKUP(B2570,Recommended_fish_intake!A$4:D$122,4,FALSE)), "NA")</f>
        <v>760.54715978513991</v>
      </c>
      <c r="U2570" s="2" t="str">
        <f t="shared" si="321"/>
        <v>NA</v>
      </c>
    </row>
    <row r="2571" spans="1:21" ht="14.25" customHeight="1">
      <c r="A2571" s="2" t="s">
        <v>39</v>
      </c>
      <c r="B2571" s="2">
        <v>1993</v>
      </c>
      <c r="C2571" s="2" t="s">
        <v>16</v>
      </c>
      <c r="D2571" s="2">
        <v>491.8</v>
      </c>
      <c r="E2571" s="2">
        <v>260.5</v>
      </c>
      <c r="F2571" s="2" t="s">
        <v>92</v>
      </c>
      <c r="G2571" s="2" t="s">
        <v>92</v>
      </c>
      <c r="H2571" s="2" t="s">
        <v>92</v>
      </c>
      <c r="I2571" s="2" t="s">
        <v>92</v>
      </c>
      <c r="P2571" s="3">
        <f>E2571*(VLOOKUP(B2571,Price_data!A$1:B$190,2,FALSE))</f>
        <v>315.26553785549999</v>
      </c>
      <c r="Q2571" s="3" t="e">
        <f>G2571*(VLOOKUP(B2571,Price_data!A$1:B$190,2,FALSE))</f>
        <v>#VALUE!</v>
      </c>
      <c r="R2571" s="3" t="e">
        <f>I2571*(VLOOKUP(B2571,Price_data!A$1:B$190,2,FALSE))</f>
        <v>#VALUE!</v>
      </c>
      <c r="S2571" s="4" t="str">
        <f>(VLOOKUP(B2571,Price_data!A$1:C$190,3,FALSE))</f>
        <v>EEZ</v>
      </c>
      <c r="T2571" s="2">
        <f>IF(C2571="Total", (VLOOKUP(B2571,Recommended_fish_intake!A$4:D$122,4,FALSE)), "NA")</f>
        <v>760.54715978513991</v>
      </c>
      <c r="U2571" s="2" t="str">
        <f t="shared" si="321"/>
        <v>NA</v>
      </c>
    </row>
    <row r="2572" spans="1:21" ht="14.25" customHeight="1">
      <c r="A2572" s="2" t="s">
        <v>40</v>
      </c>
      <c r="B2572" s="2">
        <v>1993</v>
      </c>
      <c r="C2572" s="2" t="s">
        <v>16</v>
      </c>
      <c r="D2572" s="2">
        <v>20.9</v>
      </c>
      <c r="E2572" s="2">
        <v>17.100000000000001</v>
      </c>
      <c r="F2572" s="2" t="s">
        <v>92</v>
      </c>
      <c r="G2572" s="2" t="s">
        <v>92</v>
      </c>
      <c r="H2572" s="2" t="s">
        <v>92</v>
      </c>
      <c r="I2572" s="2" t="s">
        <v>92</v>
      </c>
      <c r="P2572" s="3">
        <f>E2572*(VLOOKUP(B2572,Price_data!A$1:B$190,2,FALSE))</f>
        <v>20.694973886100001</v>
      </c>
      <c r="Q2572" s="3" t="e">
        <f>G2572*(VLOOKUP(B2572,Price_data!A$1:B$190,2,FALSE))</f>
        <v>#VALUE!</v>
      </c>
      <c r="R2572" s="3" t="e">
        <f>I2572*(VLOOKUP(B2572,Price_data!A$1:B$190,2,FALSE))</f>
        <v>#VALUE!</v>
      </c>
      <c r="S2572" s="4" t="str">
        <f>(VLOOKUP(B2572,Price_data!A$1:C$190,3,FALSE))</f>
        <v>EEZ</v>
      </c>
      <c r="T2572" s="2">
        <f>IF(C2572="Total", (VLOOKUP(B2572,Recommended_fish_intake!A$4:D$122,4,FALSE)), "NA")</f>
        <v>760.54715978513991</v>
      </c>
      <c r="U2572" s="2" t="str">
        <f t="shared" si="321"/>
        <v>NA</v>
      </c>
    </row>
    <row r="2573" spans="1:21" ht="14.25" customHeight="1">
      <c r="A2573" s="2" t="s">
        <v>15</v>
      </c>
      <c r="B2573" s="2">
        <v>1993</v>
      </c>
      <c r="C2573" s="2" t="s">
        <v>16</v>
      </c>
      <c r="D2573" s="2">
        <v>678.2</v>
      </c>
      <c r="E2573" s="2">
        <v>425.6</v>
      </c>
      <c r="F2573" s="3">
        <f>L2573/1000</f>
        <v>375.99200000000002</v>
      </c>
      <c r="G2573" s="3">
        <f>M2573/1000</f>
        <v>545.57899999999995</v>
      </c>
      <c r="H2573" s="3">
        <f>N2573/1000</f>
        <v>442.26600000000002</v>
      </c>
      <c r="I2573" s="3">
        <f>O2573/1000</f>
        <v>968.18399999999997</v>
      </c>
      <c r="L2573" s="2">
        <v>375992</v>
      </c>
      <c r="M2573" s="2">
        <v>545579</v>
      </c>
      <c r="N2573" s="2">
        <v>442266</v>
      </c>
      <c r="O2573" s="2">
        <v>968184</v>
      </c>
      <c r="P2573" s="3">
        <f>E2573*(VLOOKUP(B2573,Price_data!A$1:B$190,2,FALSE))</f>
        <v>515.07490560960002</v>
      </c>
      <c r="Q2573" s="3">
        <f>G2573*(VLOOKUP(B2573,Price_data!A$1:B$190,2,FALSE))</f>
        <v>660.27737764938888</v>
      </c>
      <c r="R2573" s="3">
        <f>I2573*(VLOOKUP(B2573,Price_data!A$1:B$190,2,FALSE))</f>
        <v>1171.7276372479439</v>
      </c>
      <c r="S2573" s="4" t="str">
        <f>(VLOOKUP(B2573,Price_data!A$1:C$190,3,FALSE))</f>
        <v>EEZ</v>
      </c>
      <c r="T2573" s="2">
        <f>IF(C2573="Total", (VLOOKUP(B2573,Recommended_fish_intake!A$4:D$122,4,FALSE)), "NA")</f>
        <v>760.54715978513991</v>
      </c>
      <c r="U2573" s="2" t="str">
        <f t="shared" si="321"/>
        <v>NA</v>
      </c>
    </row>
    <row r="2574" spans="1:21" ht="14.25" customHeight="1">
      <c r="A2574" s="2" t="s">
        <v>18</v>
      </c>
      <c r="B2574" s="2">
        <v>1993</v>
      </c>
      <c r="C2574" s="2" t="s">
        <v>42</v>
      </c>
      <c r="D2574" s="2">
        <v>30</v>
      </c>
      <c r="E2574" s="2">
        <v>5.0999999999999996</v>
      </c>
      <c r="F2574" s="2" t="s">
        <v>92</v>
      </c>
      <c r="G2574" s="2" t="s">
        <v>92</v>
      </c>
      <c r="H2574" s="2" t="s">
        <v>92</v>
      </c>
      <c r="I2574" s="2" t="s">
        <v>92</v>
      </c>
      <c r="P2574" s="3">
        <f>E2574*(VLOOKUP(B2574,Price_data!A$1:B$190,2,FALSE))</f>
        <v>6.172185194099999</v>
      </c>
      <c r="Q2574" s="3" t="e">
        <f>G2574*(VLOOKUP(B2574,Price_data!A$1:B$190,2,FALSE))</f>
        <v>#VALUE!</v>
      </c>
      <c r="R2574" s="3" t="e">
        <f>I2574*(VLOOKUP(B2574,Price_data!A$1:B$190,2,FALSE))</f>
        <v>#VALUE!</v>
      </c>
      <c r="S2574" s="4" t="str">
        <f>(VLOOKUP(B2574,Price_data!A$1:C$190,3,FALSE))</f>
        <v>EEZ</v>
      </c>
      <c r="T2574" s="2" t="str">
        <f>IF(C2574="Total", (VLOOKUP(B2574,Recommended_fish_intake!A$4:D$122,4,FALSE)), "NA")</f>
        <v>NA</v>
      </c>
      <c r="U2574" s="2" t="str">
        <f t="shared" si="321"/>
        <v>NA</v>
      </c>
    </row>
    <row r="2575" spans="1:21" ht="14.25" customHeight="1">
      <c r="A2575" s="2" t="s">
        <v>39</v>
      </c>
      <c r="B2575" s="2">
        <v>1993</v>
      </c>
      <c r="C2575" s="2" t="s">
        <v>42</v>
      </c>
      <c r="D2575" s="2">
        <v>231.3</v>
      </c>
      <c r="E2575" s="2">
        <v>29.1</v>
      </c>
      <c r="F2575" s="2" t="s">
        <v>92</v>
      </c>
      <c r="G2575" s="2" t="s">
        <v>92</v>
      </c>
      <c r="H2575" s="2" t="s">
        <v>92</v>
      </c>
      <c r="I2575" s="2" t="s">
        <v>92</v>
      </c>
      <c r="P2575" s="3">
        <f>E2575*(VLOOKUP(B2575,Price_data!A$1:B$190,2,FALSE))</f>
        <v>35.2177625781</v>
      </c>
      <c r="Q2575" s="3" t="e">
        <f>G2575*(VLOOKUP(B2575,Price_data!A$1:B$190,2,FALSE))</f>
        <v>#VALUE!</v>
      </c>
      <c r="R2575" s="3" t="e">
        <f>I2575*(VLOOKUP(B2575,Price_data!A$1:B$190,2,FALSE))</f>
        <v>#VALUE!</v>
      </c>
      <c r="S2575" s="4" t="str">
        <f>(VLOOKUP(B2575,Price_data!A$1:C$190,3,FALSE))</f>
        <v>EEZ</v>
      </c>
      <c r="T2575" s="2" t="str">
        <f>IF(C2575="Total", (VLOOKUP(B2575,Recommended_fish_intake!A$4:D$122,4,FALSE)), "NA")</f>
        <v>NA</v>
      </c>
      <c r="U2575" s="2" t="str">
        <f t="shared" si="321"/>
        <v>NA</v>
      </c>
    </row>
    <row r="2576" spans="1:21" ht="14.25" customHeight="1">
      <c r="A2576" s="2" t="s">
        <v>40</v>
      </c>
      <c r="B2576" s="2">
        <v>1993</v>
      </c>
      <c r="C2576" s="2" t="s">
        <v>42</v>
      </c>
      <c r="D2576" s="2">
        <v>4.2</v>
      </c>
      <c r="E2576" s="2">
        <v>0.4</v>
      </c>
      <c r="F2576" s="2" t="s">
        <v>92</v>
      </c>
      <c r="G2576" s="2" t="s">
        <v>92</v>
      </c>
      <c r="H2576" s="2" t="s">
        <v>92</v>
      </c>
      <c r="I2576" s="2" t="s">
        <v>92</v>
      </c>
      <c r="P2576" s="3">
        <f>E2576*(VLOOKUP(B2576,Price_data!A$1:B$190,2,FALSE))</f>
        <v>0.4840929564</v>
      </c>
      <c r="Q2576" s="3" t="e">
        <f>G2576*(VLOOKUP(B2576,Price_data!A$1:B$190,2,FALSE))</f>
        <v>#VALUE!</v>
      </c>
      <c r="R2576" s="3" t="e">
        <f>I2576*(VLOOKUP(B2576,Price_data!A$1:B$190,2,FALSE))</f>
        <v>#VALUE!</v>
      </c>
      <c r="S2576" s="4" t="str">
        <f>(VLOOKUP(B2576,Price_data!A$1:C$190,3,FALSE))</f>
        <v>EEZ</v>
      </c>
      <c r="T2576" s="2" t="str">
        <f>IF(C2576="Total", (VLOOKUP(B2576,Recommended_fish_intake!A$4:D$122,4,FALSE)), "NA")</f>
        <v>NA</v>
      </c>
      <c r="U2576" s="2" t="str">
        <f t="shared" si="321"/>
        <v>NA</v>
      </c>
    </row>
    <row r="2577" spans="1:21" ht="14.25" customHeight="1">
      <c r="A2577" s="2" t="s">
        <v>15</v>
      </c>
      <c r="B2577" s="2">
        <v>1993</v>
      </c>
      <c r="C2577" s="2" t="s">
        <v>42</v>
      </c>
      <c r="D2577" s="2">
        <v>265.60000000000002</v>
      </c>
      <c r="E2577" s="2">
        <v>34.6</v>
      </c>
      <c r="F2577" s="2" t="s">
        <v>92</v>
      </c>
      <c r="G2577" s="2" t="s">
        <v>92</v>
      </c>
      <c r="H2577" s="2" t="s">
        <v>92</v>
      </c>
      <c r="I2577" s="2" t="s">
        <v>92</v>
      </c>
      <c r="P2577" s="3">
        <f>E2577*(VLOOKUP(B2577,Price_data!A$1:B$190,2,FALSE))</f>
        <v>41.874040728600001</v>
      </c>
      <c r="Q2577" s="3" t="e">
        <f>G2577*(VLOOKUP(B2577,Price_data!A$1:B$190,2,FALSE))</f>
        <v>#VALUE!</v>
      </c>
      <c r="R2577" s="3" t="e">
        <f>I2577*(VLOOKUP(B2577,Price_data!A$1:B$190,2,FALSE))</f>
        <v>#VALUE!</v>
      </c>
      <c r="S2577" s="4" t="str">
        <f>(VLOOKUP(B2577,Price_data!A$1:C$190,3,FALSE))</f>
        <v>EEZ</v>
      </c>
      <c r="T2577" s="2" t="str">
        <f>IF(C2577="Total", (VLOOKUP(B2577,Recommended_fish_intake!A$4:D$122,4,FALSE)), "NA")</f>
        <v>NA</v>
      </c>
      <c r="U2577" s="2" t="str">
        <f t="shared" si="321"/>
        <v>NA</v>
      </c>
    </row>
    <row r="2578" spans="1:21" ht="14.25" customHeight="1">
      <c r="A2578" s="2" t="s">
        <v>18</v>
      </c>
      <c r="B2578" s="2">
        <v>1993</v>
      </c>
      <c r="C2578" s="2" t="s">
        <v>36</v>
      </c>
      <c r="D2578" s="2">
        <v>7.2</v>
      </c>
      <c r="E2578" s="2">
        <v>7.2</v>
      </c>
      <c r="F2578" s="2" t="s">
        <v>92</v>
      </c>
      <c r="G2578" s="2" t="s">
        <v>92</v>
      </c>
      <c r="H2578" s="2" t="s">
        <v>92</v>
      </c>
      <c r="I2578" s="2" t="s">
        <v>92</v>
      </c>
      <c r="P2578" s="3">
        <f>E2578*(VLOOKUP(B2578,Price_data!A$1:B$190,2,FALSE))</f>
        <v>8.7136732152</v>
      </c>
      <c r="Q2578" s="3" t="e">
        <f>G2578*(VLOOKUP(B2578,Price_data!A$1:B$190,2,FALSE))</f>
        <v>#VALUE!</v>
      </c>
      <c r="R2578" s="3" t="e">
        <f>I2578*(VLOOKUP(B2578,Price_data!A$1:B$190,2,FALSE))</f>
        <v>#VALUE!</v>
      </c>
      <c r="S2578" s="4" t="str">
        <f>(VLOOKUP(B2578,Price_data!A$1:C$190,3,FALSE))</f>
        <v>EEZ</v>
      </c>
      <c r="T2578" s="2" t="str">
        <f>IF(C2578="Total", (VLOOKUP(B2578,Recommended_fish_intake!A$4:D$122,4,FALSE)), "NA")</f>
        <v>NA</v>
      </c>
      <c r="U2578" s="2" t="str">
        <f t="shared" si="321"/>
        <v>NA</v>
      </c>
    </row>
    <row r="2579" spans="1:21" ht="14.25" customHeight="1">
      <c r="A2579" s="2" t="s">
        <v>39</v>
      </c>
      <c r="B2579" s="2">
        <v>1993</v>
      </c>
      <c r="C2579" s="2" t="s">
        <v>36</v>
      </c>
      <c r="D2579" s="2">
        <v>7.6</v>
      </c>
      <c r="E2579" s="2">
        <v>8.4</v>
      </c>
      <c r="F2579" s="2" t="s">
        <v>92</v>
      </c>
      <c r="G2579" s="2" t="s">
        <v>92</v>
      </c>
      <c r="H2579" s="2" t="s">
        <v>92</v>
      </c>
      <c r="I2579" s="2" t="s">
        <v>92</v>
      </c>
      <c r="P2579" s="3">
        <f>E2579*(VLOOKUP(B2579,Price_data!A$1:B$190,2,FALSE))</f>
        <v>10.165952084399999</v>
      </c>
      <c r="Q2579" s="3" t="e">
        <f>G2579*(VLOOKUP(B2579,Price_data!A$1:B$190,2,FALSE))</f>
        <v>#VALUE!</v>
      </c>
      <c r="R2579" s="3" t="e">
        <f>I2579*(VLOOKUP(B2579,Price_data!A$1:B$190,2,FALSE))</f>
        <v>#VALUE!</v>
      </c>
      <c r="S2579" s="4" t="str">
        <f>(VLOOKUP(B2579,Price_data!A$1:C$190,3,FALSE))</f>
        <v>EEZ</v>
      </c>
      <c r="T2579" s="2" t="str">
        <f>IF(C2579="Total", (VLOOKUP(B2579,Recommended_fish_intake!A$4:D$122,4,FALSE)), "NA")</f>
        <v>NA</v>
      </c>
      <c r="U2579" s="2" t="str">
        <f t="shared" si="321"/>
        <v>NA</v>
      </c>
    </row>
    <row r="2580" spans="1:21" ht="14.25" customHeight="1">
      <c r="A2580" s="2" t="s">
        <v>40</v>
      </c>
      <c r="B2580" s="2">
        <v>1993</v>
      </c>
      <c r="C2580" s="2" t="s">
        <v>36</v>
      </c>
      <c r="D2580" s="2">
        <v>0.5</v>
      </c>
      <c r="E2580" s="2">
        <v>0.3</v>
      </c>
      <c r="F2580" s="2" t="s">
        <v>92</v>
      </c>
      <c r="G2580" s="2" t="s">
        <v>92</v>
      </c>
      <c r="H2580" s="2" t="s">
        <v>92</v>
      </c>
      <c r="I2580" s="2" t="s">
        <v>92</v>
      </c>
      <c r="P2580" s="3">
        <f>E2580*(VLOOKUP(B2580,Price_data!A$1:B$190,2,FALSE))</f>
        <v>0.36306971729999998</v>
      </c>
      <c r="Q2580" s="3" t="e">
        <f>G2580*(VLOOKUP(B2580,Price_data!A$1:B$190,2,FALSE))</f>
        <v>#VALUE!</v>
      </c>
      <c r="R2580" s="3" t="e">
        <f>I2580*(VLOOKUP(B2580,Price_data!A$1:B$190,2,FALSE))</f>
        <v>#VALUE!</v>
      </c>
      <c r="S2580" s="4" t="str">
        <f>(VLOOKUP(B2580,Price_data!A$1:C$190,3,FALSE))</f>
        <v>EEZ</v>
      </c>
      <c r="T2580" s="2" t="str">
        <f>IF(C2580="Total", (VLOOKUP(B2580,Recommended_fish_intake!A$4:D$122,4,FALSE)), "NA")</f>
        <v>NA</v>
      </c>
      <c r="U2580" s="2" t="str">
        <f t="shared" si="321"/>
        <v>NA</v>
      </c>
    </row>
    <row r="2581" spans="1:21" ht="14.25" customHeight="1">
      <c r="A2581" s="2" t="s">
        <v>15</v>
      </c>
      <c r="B2581" s="2">
        <v>1993</v>
      </c>
      <c r="C2581" s="2" t="s">
        <v>36</v>
      </c>
      <c r="D2581" s="2">
        <v>15.2</v>
      </c>
      <c r="E2581" s="2">
        <v>15.8</v>
      </c>
      <c r="F2581" s="3">
        <f>L2581/1000</f>
        <v>11.311999999999999</v>
      </c>
      <c r="G2581" s="3">
        <f>M2581/1000</f>
        <v>24.047000000000001</v>
      </c>
      <c r="H2581" s="3">
        <f>N2581/1000</f>
        <v>1.494</v>
      </c>
      <c r="I2581" s="3">
        <f>O2581/1000</f>
        <v>8.7530000000000001</v>
      </c>
      <c r="L2581" s="2">
        <f>10602+710</f>
        <v>11312</v>
      </c>
      <c r="M2581" s="2">
        <f>18321+5726</f>
        <v>24047</v>
      </c>
      <c r="N2581" s="2">
        <f>240+1254</f>
        <v>1494</v>
      </c>
      <c r="O2581" s="2">
        <f>940+7813</f>
        <v>8753</v>
      </c>
      <c r="P2581" s="3">
        <f>E2581*(VLOOKUP(B2581,Price_data!A$1:B$190,2,FALSE))</f>
        <v>19.1216717778</v>
      </c>
      <c r="Q2581" s="3">
        <f>G2581*(VLOOKUP(B2581,Price_data!A$1:B$190,2,FALSE))</f>
        <v>29.102458306376999</v>
      </c>
      <c r="R2581" s="3">
        <f>I2581*(VLOOKUP(B2581,Price_data!A$1:B$190,2,FALSE))</f>
        <v>10.593164118422999</v>
      </c>
      <c r="S2581" s="4" t="str">
        <f>(VLOOKUP(B2581,Price_data!A$1:C$190,3,FALSE))</f>
        <v>EEZ</v>
      </c>
      <c r="T2581" s="2" t="str">
        <f>IF(C2581="Total", (VLOOKUP(B2581,Recommended_fish_intake!A$4:D$122,4,FALSE)), "NA")</f>
        <v>NA</v>
      </c>
      <c r="U2581" s="2" t="str">
        <f t="shared" si="321"/>
        <v>NA</v>
      </c>
    </row>
    <row r="2582" spans="1:21" ht="14.25" customHeight="1">
      <c r="A2582" s="2" t="s">
        <v>18</v>
      </c>
      <c r="B2582" s="2">
        <v>1993</v>
      </c>
      <c r="C2582" s="2" t="s">
        <v>34</v>
      </c>
      <c r="D2582" s="2">
        <v>0.6</v>
      </c>
      <c r="E2582" s="2">
        <v>4.7</v>
      </c>
      <c r="F2582" s="2" t="s">
        <v>92</v>
      </c>
      <c r="G2582" s="2" t="s">
        <v>92</v>
      </c>
      <c r="H2582" s="2" t="s">
        <v>92</v>
      </c>
      <c r="I2582" s="2" t="s">
        <v>92</v>
      </c>
      <c r="P2582" s="3">
        <f>E2582*(VLOOKUP(B2582,Price_data!A$1:B$190,2,FALSE))</f>
        <v>5.6880922376999994</v>
      </c>
      <c r="Q2582" s="3" t="e">
        <f>G2582*(VLOOKUP(B2582,Price_data!A$1:B$190,2,FALSE))</f>
        <v>#VALUE!</v>
      </c>
      <c r="R2582" s="3" t="e">
        <f>I2582*(VLOOKUP(B2582,Price_data!A$1:B$190,2,FALSE))</f>
        <v>#VALUE!</v>
      </c>
      <c r="S2582" s="4" t="str">
        <f>(VLOOKUP(B2582,Price_data!A$1:C$190,3,FALSE))</f>
        <v>EEZ</v>
      </c>
      <c r="T2582" s="2" t="str">
        <f>IF(C2582="Total", (VLOOKUP(B2582,Recommended_fish_intake!A$4:D$122,4,FALSE)), "NA")</f>
        <v>NA</v>
      </c>
      <c r="U2582" s="2" t="str">
        <f t="shared" si="321"/>
        <v>NA</v>
      </c>
    </row>
    <row r="2583" spans="1:21" ht="14.25" customHeight="1">
      <c r="A2583" s="2" t="s">
        <v>39</v>
      </c>
      <c r="B2583" s="2">
        <v>1993</v>
      </c>
      <c r="C2583" s="2" t="s">
        <v>34</v>
      </c>
      <c r="D2583" s="2">
        <v>0.5</v>
      </c>
      <c r="E2583" s="2">
        <v>4.5</v>
      </c>
      <c r="F2583" s="2" t="s">
        <v>92</v>
      </c>
      <c r="G2583" s="2" t="s">
        <v>92</v>
      </c>
      <c r="H2583" s="2" t="s">
        <v>92</v>
      </c>
      <c r="I2583" s="2" t="s">
        <v>92</v>
      </c>
      <c r="P2583" s="3">
        <f>E2583*(VLOOKUP(B2583,Price_data!A$1:B$190,2,FALSE))</f>
        <v>5.4460457594999996</v>
      </c>
      <c r="Q2583" s="3" t="e">
        <f>G2583*(VLOOKUP(B2583,Price_data!A$1:B$190,2,FALSE))</f>
        <v>#VALUE!</v>
      </c>
      <c r="R2583" s="3" t="e">
        <f>I2583*(VLOOKUP(B2583,Price_data!A$1:B$190,2,FALSE))</f>
        <v>#VALUE!</v>
      </c>
      <c r="S2583" s="4" t="str">
        <f>(VLOOKUP(B2583,Price_data!A$1:C$190,3,FALSE))</f>
        <v>EEZ</v>
      </c>
      <c r="T2583" s="2" t="str">
        <f>IF(C2583="Total", (VLOOKUP(B2583,Recommended_fish_intake!A$4:D$122,4,FALSE)), "NA")</f>
        <v>NA</v>
      </c>
      <c r="U2583" s="2" t="str">
        <f t="shared" si="321"/>
        <v>NA</v>
      </c>
    </row>
    <row r="2584" spans="1:21" ht="14.25" customHeight="1">
      <c r="A2584" s="2" t="s">
        <v>40</v>
      </c>
      <c r="B2584" s="2">
        <v>1993</v>
      </c>
      <c r="C2584" s="2" t="s">
        <v>34</v>
      </c>
      <c r="D2584" s="2">
        <v>0</v>
      </c>
      <c r="E2584" s="2">
        <v>0.1</v>
      </c>
      <c r="F2584" s="2" t="s">
        <v>92</v>
      </c>
      <c r="G2584" s="2" t="s">
        <v>92</v>
      </c>
      <c r="H2584" s="2" t="s">
        <v>92</v>
      </c>
      <c r="I2584" s="2" t="s">
        <v>92</v>
      </c>
      <c r="P2584" s="3">
        <f>E2584*(VLOOKUP(B2584,Price_data!A$1:B$190,2,FALSE))</f>
        <v>0.1210232391</v>
      </c>
      <c r="Q2584" s="3" t="e">
        <f>G2584*(VLOOKUP(B2584,Price_data!A$1:B$190,2,FALSE))</f>
        <v>#VALUE!</v>
      </c>
      <c r="R2584" s="3" t="e">
        <f>I2584*(VLOOKUP(B2584,Price_data!A$1:B$190,2,FALSE))</f>
        <v>#VALUE!</v>
      </c>
      <c r="S2584" s="4" t="str">
        <f>(VLOOKUP(B2584,Price_data!A$1:C$190,3,FALSE))</f>
        <v>EEZ</v>
      </c>
      <c r="T2584" s="2" t="str">
        <f>IF(C2584="Total", (VLOOKUP(B2584,Recommended_fish_intake!A$4:D$122,4,FALSE)), "NA")</f>
        <v>NA</v>
      </c>
      <c r="U2584" s="2" t="str">
        <f t="shared" si="321"/>
        <v>NA</v>
      </c>
    </row>
    <row r="2585" spans="1:21" ht="14.25" customHeight="1">
      <c r="A2585" s="2" t="s">
        <v>15</v>
      </c>
      <c r="B2585" s="2">
        <v>1993</v>
      </c>
      <c r="C2585" s="2" t="s">
        <v>34</v>
      </c>
      <c r="D2585" s="2">
        <v>1</v>
      </c>
      <c r="E2585" s="2">
        <v>9.4</v>
      </c>
      <c r="F2585" s="2" t="s">
        <v>92</v>
      </c>
      <c r="G2585" s="2" t="s">
        <v>92</v>
      </c>
      <c r="H2585" s="2" t="s">
        <v>92</v>
      </c>
      <c r="I2585" s="2" t="s">
        <v>92</v>
      </c>
      <c r="P2585" s="3">
        <f>E2585*(VLOOKUP(B2585,Price_data!A$1:B$190,2,FALSE))</f>
        <v>11.376184475399999</v>
      </c>
      <c r="Q2585" s="3" t="e">
        <f>G2585*(VLOOKUP(B2585,Price_data!A$1:B$190,2,FALSE))</f>
        <v>#VALUE!</v>
      </c>
      <c r="R2585" s="3" t="e">
        <f>I2585*(VLOOKUP(B2585,Price_data!A$1:B$190,2,FALSE))</f>
        <v>#VALUE!</v>
      </c>
      <c r="S2585" s="4" t="str">
        <f>(VLOOKUP(B2585,Price_data!A$1:C$190,3,FALSE))</f>
        <v>EEZ</v>
      </c>
      <c r="T2585" s="2" t="str">
        <f>IF(C2585="Total", (VLOOKUP(B2585,Recommended_fish_intake!A$4:D$122,4,FALSE)), "NA")</f>
        <v>NA</v>
      </c>
      <c r="U2585" s="2" t="str">
        <f t="shared" si="321"/>
        <v>NA</v>
      </c>
    </row>
    <row r="2586" spans="1:21" ht="14.25" customHeight="1">
      <c r="A2586" s="2" t="s">
        <v>18</v>
      </c>
      <c r="B2586" s="2">
        <v>1993</v>
      </c>
      <c r="C2586" s="2" t="s">
        <v>35</v>
      </c>
      <c r="D2586" s="2">
        <v>3.5</v>
      </c>
      <c r="E2586" s="2">
        <v>5.5</v>
      </c>
      <c r="F2586" s="2" t="s">
        <v>92</v>
      </c>
      <c r="G2586" s="2" t="s">
        <v>92</v>
      </c>
      <c r="H2586" s="2" t="s">
        <v>92</v>
      </c>
      <c r="I2586" s="2" t="s">
        <v>92</v>
      </c>
      <c r="P2586" s="3">
        <f>E2586*(VLOOKUP(B2586,Price_data!A$1:B$190,2,FALSE))</f>
        <v>6.6562781504999995</v>
      </c>
      <c r="Q2586" s="3" t="e">
        <f>G2586*(VLOOKUP(B2586,Price_data!A$1:B$190,2,FALSE))</f>
        <v>#VALUE!</v>
      </c>
      <c r="R2586" s="3" t="e">
        <f>I2586*(VLOOKUP(B2586,Price_data!A$1:B$190,2,FALSE))</f>
        <v>#VALUE!</v>
      </c>
      <c r="S2586" s="4" t="str">
        <f>(VLOOKUP(B2586,Price_data!A$1:C$190,3,FALSE))</f>
        <v>EEZ</v>
      </c>
      <c r="T2586" s="2" t="str">
        <f>IF(C2586="Total", (VLOOKUP(B2586,Recommended_fish_intake!A$4:D$122,4,FALSE)), "NA")</f>
        <v>NA</v>
      </c>
      <c r="U2586" s="2" t="str">
        <f t="shared" si="321"/>
        <v>NA</v>
      </c>
    </row>
    <row r="2587" spans="1:21" ht="14.25" customHeight="1">
      <c r="A2587" s="2" t="s">
        <v>39</v>
      </c>
      <c r="B2587" s="2">
        <v>1993</v>
      </c>
      <c r="C2587" s="2" t="s">
        <v>35</v>
      </c>
      <c r="D2587" s="2">
        <v>19.399999999999999</v>
      </c>
      <c r="E2587" s="2">
        <v>36.5</v>
      </c>
      <c r="F2587" s="2" t="s">
        <v>92</v>
      </c>
      <c r="G2587" s="2" t="s">
        <v>92</v>
      </c>
      <c r="H2587" s="2" t="s">
        <v>92</v>
      </c>
      <c r="I2587" s="2" t="s">
        <v>92</v>
      </c>
      <c r="P2587" s="3">
        <f>E2587*(VLOOKUP(B2587,Price_data!A$1:B$190,2,FALSE))</f>
        <v>44.173482271499999</v>
      </c>
      <c r="Q2587" s="3" t="e">
        <f>G2587*(VLOOKUP(B2587,Price_data!A$1:B$190,2,FALSE))</f>
        <v>#VALUE!</v>
      </c>
      <c r="R2587" s="3" t="e">
        <f>I2587*(VLOOKUP(B2587,Price_data!A$1:B$190,2,FALSE))</f>
        <v>#VALUE!</v>
      </c>
      <c r="S2587" s="4" t="str">
        <f>(VLOOKUP(B2587,Price_data!A$1:C$190,3,FALSE))</f>
        <v>EEZ</v>
      </c>
      <c r="T2587" s="2" t="str">
        <f>IF(C2587="Total", (VLOOKUP(B2587,Recommended_fish_intake!A$4:D$122,4,FALSE)), "NA")</f>
        <v>NA</v>
      </c>
      <c r="U2587" s="2" t="str">
        <f t="shared" si="321"/>
        <v>NA</v>
      </c>
    </row>
    <row r="2588" spans="1:21" ht="14.25" customHeight="1">
      <c r="A2588" s="2" t="s">
        <v>40</v>
      </c>
      <c r="B2588" s="2">
        <v>1993</v>
      </c>
      <c r="C2588" s="2" t="s">
        <v>35</v>
      </c>
      <c r="D2588" s="2">
        <v>5.4</v>
      </c>
      <c r="E2588" s="2">
        <v>6.9</v>
      </c>
      <c r="F2588" s="2" t="s">
        <v>92</v>
      </c>
      <c r="G2588" s="2" t="s">
        <v>92</v>
      </c>
      <c r="H2588" s="2" t="s">
        <v>92</v>
      </c>
      <c r="I2588" s="2" t="s">
        <v>92</v>
      </c>
      <c r="P2588" s="3">
        <f>E2588*(VLOOKUP(B2588,Price_data!A$1:B$190,2,FALSE))</f>
        <v>8.3506034978999999</v>
      </c>
      <c r="Q2588" s="3" t="e">
        <f>G2588*(VLOOKUP(B2588,Price_data!A$1:B$190,2,FALSE))</f>
        <v>#VALUE!</v>
      </c>
      <c r="R2588" s="3" t="e">
        <f>I2588*(VLOOKUP(B2588,Price_data!A$1:B$190,2,FALSE))</f>
        <v>#VALUE!</v>
      </c>
      <c r="S2588" s="4" t="str">
        <f>(VLOOKUP(B2588,Price_data!A$1:C$190,3,FALSE))</f>
        <v>EEZ</v>
      </c>
      <c r="T2588" s="2" t="str">
        <f>IF(C2588="Total", (VLOOKUP(B2588,Recommended_fish_intake!A$4:D$122,4,FALSE)), "NA")</f>
        <v>NA</v>
      </c>
      <c r="U2588" s="2" t="str">
        <f t="shared" si="321"/>
        <v>NA</v>
      </c>
    </row>
    <row r="2589" spans="1:21" ht="14.25" customHeight="1">
      <c r="A2589" s="2" t="s">
        <v>15</v>
      </c>
      <c r="B2589" s="2">
        <v>1993</v>
      </c>
      <c r="C2589" s="2" t="s">
        <v>35</v>
      </c>
      <c r="D2589" s="2">
        <v>28.4</v>
      </c>
      <c r="E2589" s="2">
        <v>48.9</v>
      </c>
      <c r="F2589" s="2" t="s">
        <v>92</v>
      </c>
      <c r="G2589" s="2" t="s">
        <v>92</v>
      </c>
      <c r="H2589" s="2" t="s">
        <v>92</v>
      </c>
      <c r="I2589" s="2" t="s">
        <v>92</v>
      </c>
      <c r="P2589" s="3">
        <f>E2589*(VLOOKUP(B2589,Price_data!A$1:B$190,2,FALSE))</f>
        <v>59.180363919899996</v>
      </c>
      <c r="Q2589" s="3" t="e">
        <f>G2589*(VLOOKUP(B2589,Price_data!A$1:B$190,2,FALSE))</f>
        <v>#VALUE!</v>
      </c>
      <c r="R2589" s="3" t="e">
        <f>I2589*(VLOOKUP(B2589,Price_data!A$1:B$190,2,FALSE))</f>
        <v>#VALUE!</v>
      </c>
      <c r="S2589" s="4" t="str">
        <f>(VLOOKUP(B2589,Price_data!A$1:C$190,3,FALSE))</f>
        <v>EEZ</v>
      </c>
      <c r="T2589" s="2" t="str">
        <f>IF(C2589="Total", (VLOOKUP(B2589,Recommended_fish_intake!A$4:D$122,4,FALSE)), "NA")</f>
        <v>NA</v>
      </c>
      <c r="U2589" s="2" t="str">
        <f t="shared" si="321"/>
        <v>NA</v>
      </c>
    </row>
    <row r="2590" spans="1:21" ht="14.25" customHeight="1">
      <c r="A2590" s="2" t="s">
        <v>18</v>
      </c>
      <c r="B2590" s="2">
        <v>1993</v>
      </c>
      <c r="C2590" s="2" t="s">
        <v>52</v>
      </c>
      <c r="D2590" s="2">
        <v>3.5</v>
      </c>
      <c r="E2590" s="2">
        <v>4.7</v>
      </c>
      <c r="F2590" s="2" t="s">
        <v>92</v>
      </c>
      <c r="G2590" s="2" t="s">
        <v>92</v>
      </c>
      <c r="H2590" s="2" t="s">
        <v>92</v>
      </c>
      <c r="I2590" s="2" t="s">
        <v>92</v>
      </c>
      <c r="P2590" s="3">
        <f>E2590*(VLOOKUP(B2590,Price_data!A$1:B$190,2,FALSE))</f>
        <v>5.6880922376999994</v>
      </c>
      <c r="Q2590" s="3" t="e">
        <f>G2590*(VLOOKUP(B2590,Price_data!A$1:B$190,2,FALSE))</f>
        <v>#VALUE!</v>
      </c>
      <c r="R2590" s="3" t="e">
        <f>I2590*(VLOOKUP(B2590,Price_data!A$1:B$190,2,FALSE))</f>
        <v>#VALUE!</v>
      </c>
      <c r="S2590" s="4" t="str">
        <f>(VLOOKUP(B2590,Price_data!A$1:C$190,3,FALSE))</f>
        <v>EEZ</v>
      </c>
      <c r="T2590" s="2" t="str">
        <f>IF(C2590="Total", (VLOOKUP(B2590,Recommended_fish_intake!A$4:D$122,4,FALSE)), "NA")</f>
        <v>NA</v>
      </c>
      <c r="U2590" s="2" t="str">
        <f t="shared" si="321"/>
        <v>NA</v>
      </c>
    </row>
    <row r="2591" spans="1:21" ht="14.25" customHeight="1">
      <c r="A2591" s="2" t="s">
        <v>39</v>
      </c>
      <c r="B2591" s="2">
        <v>1993</v>
      </c>
      <c r="C2591" s="2" t="s">
        <v>52</v>
      </c>
      <c r="D2591" s="2">
        <v>5.6</v>
      </c>
      <c r="E2591" s="2">
        <v>8.6999999999999993</v>
      </c>
      <c r="F2591" s="2" t="s">
        <v>92</v>
      </c>
      <c r="G2591" s="2" t="s">
        <v>92</v>
      </c>
      <c r="H2591" s="2" t="s">
        <v>92</v>
      </c>
      <c r="I2591" s="2" t="s">
        <v>92</v>
      </c>
      <c r="P2591" s="3">
        <f>E2591*(VLOOKUP(B2591,Price_data!A$1:B$190,2,FALSE))</f>
        <v>10.529021801699999</v>
      </c>
      <c r="Q2591" s="3" t="e">
        <f>G2591*(VLOOKUP(B2591,Price_data!A$1:B$190,2,FALSE))</f>
        <v>#VALUE!</v>
      </c>
      <c r="R2591" s="3" t="e">
        <f>I2591*(VLOOKUP(B2591,Price_data!A$1:B$190,2,FALSE))</f>
        <v>#VALUE!</v>
      </c>
      <c r="S2591" s="4" t="str">
        <f>(VLOOKUP(B2591,Price_data!A$1:C$190,3,FALSE))</f>
        <v>EEZ</v>
      </c>
      <c r="T2591" s="2" t="str">
        <f>IF(C2591="Total", (VLOOKUP(B2591,Recommended_fish_intake!A$4:D$122,4,FALSE)), "NA")</f>
        <v>NA</v>
      </c>
      <c r="U2591" s="2" t="str">
        <f t="shared" si="321"/>
        <v>NA</v>
      </c>
    </row>
    <row r="2592" spans="1:21" ht="14.25" customHeight="1">
      <c r="A2592" s="2" t="s">
        <v>40</v>
      </c>
      <c r="B2592" s="2">
        <v>1993</v>
      </c>
      <c r="C2592" s="2" t="s">
        <v>52</v>
      </c>
      <c r="D2592" s="2">
        <v>0.3</v>
      </c>
      <c r="E2592" s="2">
        <v>0.4</v>
      </c>
      <c r="F2592" s="2" t="s">
        <v>92</v>
      </c>
      <c r="G2592" s="2" t="s">
        <v>92</v>
      </c>
      <c r="H2592" s="2" t="s">
        <v>92</v>
      </c>
      <c r="I2592" s="2" t="s">
        <v>92</v>
      </c>
      <c r="P2592" s="3">
        <f>E2592*(VLOOKUP(B2592,Price_data!A$1:B$190,2,FALSE))</f>
        <v>0.4840929564</v>
      </c>
      <c r="Q2592" s="3" t="e">
        <f>G2592*(VLOOKUP(B2592,Price_data!A$1:B$190,2,FALSE))</f>
        <v>#VALUE!</v>
      </c>
      <c r="R2592" s="3" t="e">
        <f>I2592*(VLOOKUP(B2592,Price_data!A$1:B$190,2,FALSE))</f>
        <v>#VALUE!</v>
      </c>
      <c r="S2592" s="4" t="str">
        <f>(VLOOKUP(B2592,Price_data!A$1:C$190,3,FALSE))</f>
        <v>EEZ</v>
      </c>
      <c r="T2592" s="2" t="str">
        <f>IF(C2592="Total", (VLOOKUP(B2592,Recommended_fish_intake!A$4:D$122,4,FALSE)), "NA")</f>
        <v>NA</v>
      </c>
      <c r="U2592" s="2" t="str">
        <f t="shared" si="321"/>
        <v>NA</v>
      </c>
    </row>
    <row r="2593" spans="1:21" ht="14.25" customHeight="1">
      <c r="A2593" s="2" t="s">
        <v>15</v>
      </c>
      <c r="B2593" s="2">
        <v>1993</v>
      </c>
      <c r="C2593" s="2" t="s">
        <v>52</v>
      </c>
      <c r="D2593" s="2">
        <v>9.3000000000000007</v>
      </c>
      <c r="E2593" s="2">
        <v>13.8</v>
      </c>
      <c r="F2593" s="2" t="s">
        <v>92</v>
      </c>
      <c r="G2593" s="2" t="s">
        <v>92</v>
      </c>
      <c r="H2593" s="2" t="s">
        <v>92</v>
      </c>
      <c r="I2593" s="2" t="s">
        <v>92</v>
      </c>
      <c r="P2593" s="3">
        <f>E2593*(VLOOKUP(B2593,Price_data!A$1:B$190,2,FALSE))</f>
        <v>16.7012069958</v>
      </c>
      <c r="Q2593" s="3" t="e">
        <f>G2593*(VLOOKUP(B2593,Price_data!A$1:B$190,2,FALSE))</f>
        <v>#VALUE!</v>
      </c>
      <c r="R2593" s="3" t="e">
        <f>I2593*(VLOOKUP(B2593,Price_data!A$1:B$190,2,FALSE))</f>
        <v>#VALUE!</v>
      </c>
      <c r="S2593" s="4" t="str">
        <f>(VLOOKUP(B2593,Price_data!A$1:C$190,3,FALSE))</f>
        <v>EEZ</v>
      </c>
      <c r="T2593" s="2" t="str">
        <f>IF(C2593="Total", (VLOOKUP(B2593,Recommended_fish_intake!A$4:D$122,4,FALSE)), "NA")</f>
        <v>NA</v>
      </c>
      <c r="U2593" s="2" t="str">
        <f t="shared" si="321"/>
        <v>NA</v>
      </c>
    </row>
    <row r="2594" spans="1:21" ht="14.25" customHeight="1">
      <c r="A2594" s="2" t="s">
        <v>18</v>
      </c>
      <c r="B2594" s="2">
        <v>1993</v>
      </c>
      <c r="C2594" s="2" t="s">
        <v>30</v>
      </c>
      <c r="D2594" s="2">
        <v>0.9</v>
      </c>
      <c r="E2594" s="2">
        <v>1.2</v>
      </c>
      <c r="F2594" s="2" t="s">
        <v>92</v>
      </c>
      <c r="G2594" s="2" t="s">
        <v>92</v>
      </c>
      <c r="H2594" s="2" t="s">
        <v>92</v>
      </c>
      <c r="I2594" s="2" t="s">
        <v>92</v>
      </c>
      <c r="P2594" s="3">
        <f>E2594*(VLOOKUP(B2594,Price_data!A$1:B$190,2,FALSE))</f>
        <v>1.4522788691999999</v>
      </c>
      <c r="Q2594" s="3" t="e">
        <f>G2594*(VLOOKUP(B2594,Price_data!A$1:B$190,2,FALSE))</f>
        <v>#VALUE!</v>
      </c>
      <c r="R2594" s="3" t="e">
        <f>I2594*(VLOOKUP(B2594,Price_data!A$1:B$190,2,FALSE))</f>
        <v>#VALUE!</v>
      </c>
      <c r="S2594" s="4" t="str">
        <f>(VLOOKUP(B2594,Price_data!A$1:C$190,3,FALSE))</f>
        <v>EEZ</v>
      </c>
      <c r="T2594" s="2" t="str">
        <f>IF(C2594="Total", (VLOOKUP(B2594,Recommended_fish_intake!A$4:D$122,4,FALSE)), "NA")</f>
        <v>NA</v>
      </c>
      <c r="U2594" s="2" t="str">
        <f t="shared" si="321"/>
        <v>NA</v>
      </c>
    </row>
    <row r="2595" spans="1:21" ht="14.25" customHeight="1">
      <c r="A2595" s="2" t="s">
        <v>39</v>
      </c>
      <c r="B2595" s="2">
        <v>1993</v>
      </c>
      <c r="C2595" s="2" t="s">
        <v>30</v>
      </c>
      <c r="D2595" s="2">
        <v>0.7</v>
      </c>
      <c r="E2595" s="2">
        <v>0.7</v>
      </c>
      <c r="F2595" s="2" t="s">
        <v>92</v>
      </c>
      <c r="G2595" s="2" t="s">
        <v>92</v>
      </c>
      <c r="H2595" s="2" t="s">
        <v>92</v>
      </c>
      <c r="I2595" s="2" t="s">
        <v>92</v>
      </c>
      <c r="P2595" s="3">
        <f>E2595*(VLOOKUP(B2595,Price_data!A$1:B$190,2,FALSE))</f>
        <v>0.84716267369999987</v>
      </c>
      <c r="Q2595" s="3" t="e">
        <f>G2595*(VLOOKUP(B2595,Price_data!A$1:B$190,2,FALSE))</f>
        <v>#VALUE!</v>
      </c>
      <c r="R2595" s="3" t="e">
        <f>I2595*(VLOOKUP(B2595,Price_data!A$1:B$190,2,FALSE))</f>
        <v>#VALUE!</v>
      </c>
      <c r="S2595" s="4" t="str">
        <f>(VLOOKUP(B2595,Price_data!A$1:C$190,3,FALSE))</f>
        <v>EEZ</v>
      </c>
      <c r="T2595" s="2" t="str">
        <f>IF(C2595="Total", (VLOOKUP(B2595,Recommended_fish_intake!A$4:D$122,4,FALSE)), "NA")</f>
        <v>NA</v>
      </c>
      <c r="U2595" s="2" t="str">
        <f t="shared" si="321"/>
        <v>NA</v>
      </c>
    </row>
    <row r="2596" spans="1:21" ht="14.25" customHeight="1">
      <c r="A2596" s="2" t="s">
        <v>40</v>
      </c>
      <c r="B2596" s="2">
        <v>1993</v>
      </c>
      <c r="C2596" s="2" t="s">
        <v>30</v>
      </c>
      <c r="D2596" s="2">
        <v>0</v>
      </c>
      <c r="E2596" s="2">
        <v>0</v>
      </c>
      <c r="F2596" s="2" t="s">
        <v>92</v>
      </c>
      <c r="G2596" s="2" t="s">
        <v>92</v>
      </c>
      <c r="H2596" s="2" t="s">
        <v>92</v>
      </c>
      <c r="I2596" s="2" t="s">
        <v>92</v>
      </c>
      <c r="P2596" s="3">
        <f>E2596*(VLOOKUP(B2596,Price_data!A$1:B$190,2,FALSE))</f>
        <v>0</v>
      </c>
      <c r="Q2596" s="3" t="e">
        <f>G2596*(VLOOKUP(B2596,Price_data!A$1:B$190,2,FALSE))</f>
        <v>#VALUE!</v>
      </c>
      <c r="R2596" s="3" t="e">
        <f>I2596*(VLOOKUP(B2596,Price_data!A$1:B$190,2,FALSE))</f>
        <v>#VALUE!</v>
      </c>
      <c r="S2596" s="4" t="str">
        <f>(VLOOKUP(B2596,Price_data!A$1:C$190,3,FALSE))</f>
        <v>EEZ</v>
      </c>
      <c r="T2596" s="2" t="str">
        <f>IF(C2596="Total", (VLOOKUP(B2596,Recommended_fish_intake!A$4:D$122,4,FALSE)), "NA")</f>
        <v>NA</v>
      </c>
      <c r="U2596" s="2" t="str">
        <f t="shared" si="321"/>
        <v>NA</v>
      </c>
    </row>
    <row r="2597" spans="1:21" ht="14.25" customHeight="1">
      <c r="A2597" s="2" t="s">
        <v>15</v>
      </c>
      <c r="B2597" s="2">
        <v>1993</v>
      </c>
      <c r="C2597" s="2" t="s">
        <v>30</v>
      </c>
      <c r="D2597" s="2">
        <v>1.5</v>
      </c>
      <c r="E2597" s="2">
        <v>1.9</v>
      </c>
      <c r="F2597" s="3">
        <f>L2597/1000</f>
        <v>17.995999999999999</v>
      </c>
      <c r="G2597" s="3">
        <f>M2597/1000</f>
        <v>59.942999999999998</v>
      </c>
      <c r="H2597" s="3">
        <f>N2597/1000</f>
        <v>51.783999999999999</v>
      </c>
      <c r="I2597" s="3">
        <f>O2597/1000</f>
        <v>211.95099999999999</v>
      </c>
      <c r="L2597" s="2">
        <f>1280+13062+3654</f>
        <v>17996</v>
      </c>
      <c r="M2597" s="2">
        <f>5182+41134+13627</f>
        <v>59943</v>
      </c>
      <c r="N2597" s="2">
        <f>3914+16086+31784</f>
        <v>51784</v>
      </c>
      <c r="O2597" s="2">
        <f>13244+65611+133096</f>
        <v>211951</v>
      </c>
      <c r="P2597" s="3">
        <f>E2597*(VLOOKUP(B2597,Price_data!A$1:B$190,2,FALSE))</f>
        <v>2.2994415428999999</v>
      </c>
      <c r="Q2597" s="3">
        <f>G2597*(VLOOKUP(B2597,Price_data!A$1:B$190,2,FALSE))</f>
        <v>72.544960213712997</v>
      </c>
      <c r="R2597" s="3">
        <f>I2597*(VLOOKUP(B2597,Price_data!A$1:B$190,2,FALSE))</f>
        <v>256.50996550484098</v>
      </c>
      <c r="S2597" s="4" t="str">
        <f>(VLOOKUP(B2597,Price_data!A$1:C$190,3,FALSE))</f>
        <v>EEZ</v>
      </c>
      <c r="T2597" s="2" t="str">
        <f>IF(C2597="Total", (VLOOKUP(B2597,Recommended_fish_intake!A$4:D$122,4,FALSE)), "NA")</f>
        <v>NA</v>
      </c>
      <c r="U2597" s="2" t="str">
        <f t="shared" si="321"/>
        <v>NA</v>
      </c>
    </row>
    <row r="2598" spans="1:21" ht="14.25" customHeight="1">
      <c r="A2598" s="2" t="s">
        <v>18</v>
      </c>
      <c r="B2598" s="2">
        <v>1993</v>
      </c>
      <c r="C2598" s="2" t="s">
        <v>28</v>
      </c>
      <c r="D2598" s="2">
        <v>50.5</v>
      </c>
      <c r="E2598" s="2">
        <v>34.9</v>
      </c>
      <c r="F2598" s="2" t="s">
        <v>92</v>
      </c>
      <c r="G2598" s="2" t="s">
        <v>92</v>
      </c>
      <c r="H2598" s="2" t="s">
        <v>92</v>
      </c>
      <c r="I2598" s="2" t="s">
        <v>92</v>
      </c>
      <c r="P2598" s="3">
        <f>E2598*(VLOOKUP(B2598,Price_data!A$1:B$190,2,FALSE))</f>
        <v>42.237110445899994</v>
      </c>
      <c r="Q2598" s="3" t="e">
        <f>G2598*(VLOOKUP(B2598,Price_data!A$1:B$190,2,FALSE))</f>
        <v>#VALUE!</v>
      </c>
      <c r="R2598" s="3" t="e">
        <f>I2598*(VLOOKUP(B2598,Price_data!A$1:B$190,2,FALSE))</f>
        <v>#VALUE!</v>
      </c>
      <c r="S2598" s="4" t="str">
        <f>(VLOOKUP(B2598,Price_data!A$1:C$190,3,FALSE))</f>
        <v>EEZ</v>
      </c>
      <c r="T2598" s="2" t="str">
        <f>IF(C2598="Total", (VLOOKUP(B2598,Recommended_fish_intake!A$4:D$122,4,FALSE)), "NA")</f>
        <v>NA</v>
      </c>
      <c r="U2598" s="2">
        <f t="shared" si="321"/>
        <v>14.14</v>
      </c>
    </row>
    <row r="2599" spans="1:21" ht="14.25" customHeight="1">
      <c r="A2599" s="2" t="s">
        <v>39</v>
      </c>
      <c r="B2599" s="2">
        <v>1993</v>
      </c>
      <c r="C2599" s="2" t="s">
        <v>28</v>
      </c>
      <c r="D2599" s="2">
        <v>45.3</v>
      </c>
      <c r="E2599" s="2">
        <v>64.2</v>
      </c>
      <c r="F2599" s="2" t="s">
        <v>92</v>
      </c>
      <c r="G2599" s="2" t="s">
        <v>92</v>
      </c>
      <c r="H2599" s="2" t="s">
        <v>92</v>
      </c>
      <c r="I2599" s="2" t="s">
        <v>92</v>
      </c>
      <c r="P2599" s="3">
        <f>E2599*(VLOOKUP(B2599,Price_data!A$1:B$190,2,FALSE))</f>
        <v>77.696919502200004</v>
      </c>
      <c r="Q2599" s="3" t="e">
        <f>G2599*(VLOOKUP(B2599,Price_data!A$1:B$190,2,FALSE))</f>
        <v>#VALUE!</v>
      </c>
      <c r="R2599" s="3" t="e">
        <f>I2599*(VLOOKUP(B2599,Price_data!A$1:B$190,2,FALSE))</f>
        <v>#VALUE!</v>
      </c>
      <c r="S2599" s="4" t="str">
        <f>(VLOOKUP(B2599,Price_data!A$1:C$190,3,FALSE))</f>
        <v>EEZ</v>
      </c>
      <c r="T2599" s="2" t="str">
        <f>IF(C2599="Total", (VLOOKUP(B2599,Recommended_fish_intake!A$4:D$122,4,FALSE)), "NA")</f>
        <v>NA</v>
      </c>
      <c r="U2599" s="2">
        <f t="shared" si="321"/>
        <v>12.684000000000001</v>
      </c>
    </row>
    <row r="2600" spans="1:21" ht="14.25" customHeight="1">
      <c r="A2600" s="2" t="s">
        <v>40</v>
      </c>
      <c r="B2600" s="2">
        <v>1993</v>
      </c>
      <c r="C2600" s="2" t="s">
        <v>28</v>
      </c>
      <c r="D2600" s="2">
        <v>6.7</v>
      </c>
      <c r="E2600" s="2">
        <v>8</v>
      </c>
      <c r="F2600" s="2" t="s">
        <v>92</v>
      </c>
      <c r="G2600" s="2" t="s">
        <v>92</v>
      </c>
      <c r="H2600" s="2" t="s">
        <v>92</v>
      </c>
      <c r="I2600" s="2" t="s">
        <v>92</v>
      </c>
      <c r="P2600" s="3">
        <f>E2600*(VLOOKUP(B2600,Price_data!A$1:B$190,2,FALSE))</f>
        <v>9.6818591279999993</v>
      </c>
      <c r="Q2600" s="3" t="e">
        <f>G2600*(VLOOKUP(B2600,Price_data!A$1:B$190,2,FALSE))</f>
        <v>#VALUE!</v>
      </c>
      <c r="R2600" s="3" t="e">
        <f>I2600*(VLOOKUP(B2600,Price_data!A$1:B$190,2,FALSE))</f>
        <v>#VALUE!</v>
      </c>
      <c r="S2600" s="4" t="str">
        <f>(VLOOKUP(B2600,Price_data!A$1:C$190,3,FALSE))</f>
        <v>EEZ</v>
      </c>
      <c r="T2600" s="2" t="str">
        <f>IF(C2600="Total", (VLOOKUP(B2600,Recommended_fish_intake!A$4:D$122,4,FALSE)), "NA")</f>
        <v>NA</v>
      </c>
      <c r="U2600" s="2">
        <f t="shared" si="321"/>
        <v>1.8760000000000003</v>
      </c>
    </row>
    <row r="2601" spans="1:21" ht="14.25" customHeight="1">
      <c r="A2601" s="2" t="s">
        <v>15</v>
      </c>
      <c r="B2601" s="2">
        <v>1993</v>
      </c>
      <c r="C2601" s="2" t="s">
        <v>28</v>
      </c>
      <c r="D2601" s="2">
        <v>102.5</v>
      </c>
      <c r="E2601" s="2">
        <v>107.6</v>
      </c>
      <c r="F2601" s="3">
        <f>L2601/1000</f>
        <v>61.322000000000003</v>
      </c>
      <c r="G2601" s="3">
        <f>M2601/1000</f>
        <v>186.38499999999999</v>
      </c>
      <c r="H2601" s="3">
        <f>N2601/1000</f>
        <v>62.540999999999997</v>
      </c>
      <c r="I2601" s="3">
        <f>O2601/1000</f>
        <v>246.10300000000001</v>
      </c>
      <c r="L2601" s="2">
        <v>61322</v>
      </c>
      <c r="M2601" s="2">
        <v>186385</v>
      </c>
      <c r="N2601" s="2">
        <v>62541</v>
      </c>
      <c r="O2601" s="2">
        <v>246103</v>
      </c>
      <c r="P2601" s="3">
        <f>E2601*(VLOOKUP(B2601,Price_data!A$1:B$190,2,FALSE))</f>
        <v>130.22100527159998</v>
      </c>
      <c r="Q2601" s="3">
        <f>G2601*(VLOOKUP(B2601,Price_data!A$1:B$190,2,FALSE))</f>
        <v>225.56916419653498</v>
      </c>
      <c r="R2601" s="3">
        <f>I2601*(VLOOKUP(B2601,Price_data!A$1:B$190,2,FALSE))</f>
        <v>297.84182212227302</v>
      </c>
      <c r="S2601" s="4" t="str">
        <f>(VLOOKUP(B2601,Price_data!A$1:C$190,3,FALSE))</f>
        <v>EEZ</v>
      </c>
      <c r="T2601" s="2" t="str">
        <f>IF(C2601="Total", (VLOOKUP(B2601,Recommended_fish_intake!A$4:D$122,4,FALSE)), "NA")</f>
        <v>NA</v>
      </c>
      <c r="U2601" s="2">
        <f t="shared" si="321"/>
        <v>28.700000000000003</v>
      </c>
    </row>
    <row r="2602" spans="1:21" ht="14.25" customHeight="1">
      <c r="A2602" s="2" t="s">
        <v>18</v>
      </c>
      <c r="B2602" s="2">
        <v>1993</v>
      </c>
      <c r="C2602" s="2" t="s">
        <v>37</v>
      </c>
      <c r="D2602" s="2">
        <f t="shared" ref="D2602:E2605" si="324">D2362+D2614</f>
        <v>17.824000000000002</v>
      </c>
      <c r="E2602" s="2">
        <f t="shared" si="324"/>
        <v>5.032</v>
      </c>
      <c r="F2602" s="3" t="s">
        <v>92</v>
      </c>
      <c r="G2602" s="3" t="s">
        <v>92</v>
      </c>
      <c r="H2602" s="3" t="s">
        <v>92</v>
      </c>
      <c r="I2602" s="3" t="s">
        <v>92</v>
      </c>
      <c r="P2602" s="3">
        <f>E2602*(VLOOKUP(B2602,Price_data!A$1:B$190,2,FALSE))</f>
        <v>6.0898893915119992</v>
      </c>
      <c r="Q2602" s="3" t="e">
        <f>G2602*(VLOOKUP(B2602,Price_data!A$1:B$190,2,FALSE))</f>
        <v>#VALUE!</v>
      </c>
      <c r="R2602" s="3" t="e">
        <f>I2602*(VLOOKUP(B2602,Price_data!A$1:B$190,2,FALSE))</f>
        <v>#VALUE!</v>
      </c>
      <c r="S2602" s="4" t="str">
        <f>(VLOOKUP(B2602,Price_data!A$1:C$190,3,FALSE))</f>
        <v>EEZ</v>
      </c>
      <c r="T2602" s="2" t="str">
        <f>IF(C2602="Total", (VLOOKUP(B2602,Recommended_fish_intake!A$4:D$122,4,FALSE)), "NA")</f>
        <v>NA</v>
      </c>
      <c r="U2602" s="2">
        <f t="shared" si="321"/>
        <v>8.7337600000000002</v>
      </c>
    </row>
    <row r="2603" spans="1:21" ht="14.25" customHeight="1">
      <c r="A2603" s="2" t="s">
        <v>39</v>
      </c>
      <c r="B2603" s="2">
        <v>1993</v>
      </c>
      <c r="C2603" s="2" t="s">
        <v>37</v>
      </c>
      <c r="D2603" s="2">
        <f t="shared" si="324"/>
        <v>237.631</v>
      </c>
      <c r="E2603" s="2">
        <f t="shared" si="324"/>
        <v>115.97300000000001</v>
      </c>
      <c r="F2603" s="3" t="s">
        <v>92</v>
      </c>
      <c r="G2603" s="3" t="s">
        <v>92</v>
      </c>
      <c r="H2603" s="3" t="s">
        <v>92</v>
      </c>
      <c r="I2603" s="3" t="s">
        <v>92</v>
      </c>
      <c r="P2603" s="3">
        <f>E2603*(VLOOKUP(B2603,Price_data!A$1:B$190,2,FALSE))</f>
        <v>140.35428108144299</v>
      </c>
      <c r="Q2603" s="3" t="e">
        <f>G2603*(VLOOKUP(B2603,Price_data!A$1:B$190,2,FALSE))</f>
        <v>#VALUE!</v>
      </c>
      <c r="R2603" s="3" t="e">
        <f>I2603*(VLOOKUP(B2603,Price_data!A$1:B$190,2,FALSE))</f>
        <v>#VALUE!</v>
      </c>
      <c r="S2603" s="4" t="str">
        <f>(VLOOKUP(B2603,Price_data!A$1:C$190,3,FALSE))</f>
        <v>EEZ</v>
      </c>
      <c r="T2603" s="2" t="str">
        <f>IF(C2603="Total", (VLOOKUP(B2603,Recommended_fish_intake!A$4:D$122,4,FALSE)), "NA")</f>
        <v>NA</v>
      </c>
      <c r="U2603" s="2">
        <f t="shared" si="321"/>
        <v>116.43919</v>
      </c>
    </row>
    <row r="2604" spans="1:21" ht="14.25" customHeight="1">
      <c r="A2604" s="2" t="s">
        <v>40</v>
      </c>
      <c r="B2604" s="2">
        <v>1993</v>
      </c>
      <c r="C2604" s="2" t="s">
        <v>37</v>
      </c>
      <c r="D2604" s="2">
        <f t="shared" si="324"/>
        <v>140.554</v>
      </c>
      <c r="E2604" s="2">
        <f t="shared" si="324"/>
        <v>132.36799999999999</v>
      </c>
      <c r="F2604" s="3" t="s">
        <v>92</v>
      </c>
      <c r="G2604" s="3" t="s">
        <v>92</v>
      </c>
      <c r="H2604" s="3" t="s">
        <v>92</v>
      </c>
      <c r="I2604" s="3" t="s">
        <v>92</v>
      </c>
      <c r="P2604" s="3">
        <f>E2604*(VLOOKUP(B2604,Price_data!A$1:B$190,2,FALSE))</f>
        <v>160.19604113188799</v>
      </c>
      <c r="Q2604" s="3" t="e">
        <f>G2604*(VLOOKUP(B2604,Price_data!A$1:B$190,2,FALSE))</f>
        <v>#VALUE!</v>
      </c>
      <c r="R2604" s="3" t="e">
        <f>I2604*(VLOOKUP(B2604,Price_data!A$1:B$190,2,FALSE))</f>
        <v>#VALUE!</v>
      </c>
      <c r="S2604" s="4" t="str">
        <f>(VLOOKUP(B2604,Price_data!A$1:C$190,3,FALSE))</f>
        <v>EEZ</v>
      </c>
      <c r="T2604" s="2" t="str">
        <f>IF(C2604="Total", (VLOOKUP(B2604,Recommended_fish_intake!A$4:D$122,4,FALSE)), "NA")</f>
        <v>NA</v>
      </c>
      <c r="U2604" s="2">
        <f t="shared" si="321"/>
        <v>68.871459999999999</v>
      </c>
    </row>
    <row r="2605" spans="1:21" ht="14.25" customHeight="1">
      <c r="A2605" s="2" t="s">
        <v>15</v>
      </c>
      <c r="B2605" s="2">
        <v>1993</v>
      </c>
      <c r="C2605" s="2" t="s">
        <v>37</v>
      </c>
      <c r="D2605" s="2">
        <f t="shared" si="324"/>
        <v>512.54899999999998</v>
      </c>
      <c r="E2605" s="2">
        <f t="shared" si="324"/>
        <v>247.274</v>
      </c>
      <c r="F2605" s="3">
        <f>L2605/1000</f>
        <v>314.67099999999999</v>
      </c>
      <c r="G2605" s="3">
        <f>M2605/1000</f>
        <v>359.19400000000002</v>
      </c>
      <c r="H2605" s="3">
        <f>N2605/1000</f>
        <v>379.72500000000002</v>
      </c>
      <c r="I2605" s="3">
        <f>O2605/1000</f>
        <v>722.08100000000002</v>
      </c>
      <c r="L2605" s="2">
        <v>314671</v>
      </c>
      <c r="M2605" s="2">
        <v>359194</v>
      </c>
      <c r="N2605" s="2">
        <v>379725</v>
      </c>
      <c r="O2605" s="2">
        <v>722081</v>
      </c>
      <c r="P2605" s="3">
        <f>E2605*(VLOOKUP(B2605,Price_data!A$1:B$190,2,FALSE))</f>
        <v>299.25900425213399</v>
      </c>
      <c r="Q2605" s="3">
        <f>G2605*(VLOOKUP(B2605,Price_data!A$1:B$190,2,FALSE))</f>
        <v>434.70821345285401</v>
      </c>
      <c r="R2605" s="3">
        <f>I2605*(VLOOKUP(B2605,Price_data!A$1:B$190,2,FALSE))</f>
        <v>873.885815125671</v>
      </c>
      <c r="S2605" s="4" t="str">
        <f>(VLOOKUP(B2605,Price_data!A$1:C$190,3,FALSE))</f>
        <v>EEZ</v>
      </c>
      <c r="T2605" s="2" t="str">
        <f>IF(C2605="Total", (VLOOKUP(B2605,Recommended_fish_intake!A$4:D$122,4,FALSE)), "NA")</f>
        <v>NA</v>
      </c>
      <c r="U2605" s="2">
        <f t="shared" si="321"/>
        <v>251.14900999999998</v>
      </c>
    </row>
    <row r="2606" spans="1:21" ht="14.25" customHeight="1">
      <c r="A2606" s="2" t="s">
        <v>18</v>
      </c>
      <c r="B2606" s="2">
        <v>1993</v>
      </c>
      <c r="C2606" s="2" t="s">
        <v>41</v>
      </c>
      <c r="D2606" s="2">
        <v>84.9</v>
      </c>
      <c r="E2606" s="2">
        <v>107.6</v>
      </c>
      <c r="F2606" s="2" t="s">
        <v>92</v>
      </c>
      <c r="G2606" s="2" t="s">
        <v>92</v>
      </c>
      <c r="H2606" s="2" t="s">
        <v>92</v>
      </c>
      <c r="I2606" s="2" t="s">
        <v>92</v>
      </c>
      <c r="P2606" s="3">
        <f>E2606*(VLOOKUP(B2606,Price_data!A$1:B$190,2,FALSE))</f>
        <v>130.22100527159998</v>
      </c>
      <c r="Q2606" s="3" t="e">
        <f>G2606*(VLOOKUP(B2606,Price_data!A$1:B$190,2,FALSE))</f>
        <v>#VALUE!</v>
      </c>
      <c r="R2606" s="3" t="e">
        <f>I2606*(VLOOKUP(B2606,Price_data!A$1:B$190,2,FALSE))</f>
        <v>#VALUE!</v>
      </c>
      <c r="S2606" s="4" t="str">
        <f>(VLOOKUP(B2606,Price_data!A$1:C$190,3,FALSE))</f>
        <v>EEZ</v>
      </c>
      <c r="T2606" s="2" t="str">
        <f>IF(C2606="Total", (VLOOKUP(B2606,Recommended_fish_intake!A$4:D$122,4,FALSE)), "NA")</f>
        <v>NA</v>
      </c>
      <c r="U2606" s="2" t="str">
        <f t="shared" si="321"/>
        <v>NA</v>
      </c>
    </row>
    <row r="2607" spans="1:21" ht="14.25" customHeight="1">
      <c r="A2607" s="2" t="s">
        <v>39</v>
      </c>
      <c r="B2607" s="2">
        <v>1993</v>
      </c>
      <c r="C2607" s="2" t="s">
        <v>41</v>
      </c>
      <c r="D2607" s="2">
        <v>215.2</v>
      </c>
      <c r="E2607" s="2">
        <v>167.1</v>
      </c>
      <c r="F2607" s="2" t="s">
        <v>92</v>
      </c>
      <c r="G2607" s="2" t="s">
        <v>92</v>
      </c>
      <c r="H2607" s="2" t="s">
        <v>92</v>
      </c>
      <c r="I2607" s="2" t="s">
        <v>92</v>
      </c>
      <c r="P2607" s="3">
        <f>E2607*(VLOOKUP(B2607,Price_data!A$1:B$190,2,FALSE))</f>
        <v>202.22983253609999</v>
      </c>
      <c r="Q2607" s="3" t="e">
        <f>G2607*(VLOOKUP(B2607,Price_data!A$1:B$190,2,FALSE))</f>
        <v>#VALUE!</v>
      </c>
      <c r="R2607" s="3" t="e">
        <f>I2607*(VLOOKUP(B2607,Price_data!A$1:B$190,2,FALSE))</f>
        <v>#VALUE!</v>
      </c>
      <c r="S2607" s="4" t="str">
        <f>(VLOOKUP(B2607,Price_data!A$1:C$190,3,FALSE))</f>
        <v>EEZ</v>
      </c>
      <c r="T2607" s="2" t="str">
        <f>IF(C2607="Total", (VLOOKUP(B2607,Recommended_fish_intake!A$4:D$122,4,FALSE)), "NA")</f>
        <v>NA</v>
      </c>
      <c r="U2607" s="2" t="str">
        <f t="shared" si="321"/>
        <v>NA</v>
      </c>
    </row>
    <row r="2608" spans="1:21" ht="14.25" customHeight="1">
      <c r="A2608" s="2" t="s">
        <v>40</v>
      </c>
      <c r="B2608" s="2">
        <v>1993</v>
      </c>
      <c r="C2608" s="2" t="s">
        <v>41</v>
      </c>
      <c r="D2608" s="2">
        <v>10</v>
      </c>
      <c r="E2608" s="2">
        <v>8.6999999999999993</v>
      </c>
      <c r="F2608" s="2" t="s">
        <v>92</v>
      </c>
      <c r="G2608" s="2" t="s">
        <v>92</v>
      </c>
      <c r="H2608" s="2" t="s">
        <v>92</v>
      </c>
      <c r="I2608" s="2" t="s">
        <v>92</v>
      </c>
      <c r="P2608" s="3">
        <f>E2608*(VLOOKUP(B2608,Price_data!A$1:B$190,2,FALSE))</f>
        <v>10.529021801699999</v>
      </c>
      <c r="Q2608" s="3" t="e">
        <f>G2608*(VLOOKUP(B2608,Price_data!A$1:B$190,2,FALSE))</f>
        <v>#VALUE!</v>
      </c>
      <c r="R2608" s="3" t="e">
        <f>I2608*(VLOOKUP(B2608,Price_data!A$1:B$190,2,FALSE))</f>
        <v>#VALUE!</v>
      </c>
      <c r="S2608" s="4" t="str">
        <f>(VLOOKUP(B2608,Price_data!A$1:C$190,3,FALSE))</f>
        <v>EEZ</v>
      </c>
      <c r="T2608" s="2" t="str">
        <f>IF(C2608="Total", (VLOOKUP(B2608,Recommended_fish_intake!A$4:D$122,4,FALSE)), "NA")</f>
        <v>NA</v>
      </c>
      <c r="U2608" s="2" t="str">
        <f t="shared" si="321"/>
        <v>NA</v>
      </c>
    </row>
    <row r="2609" spans="1:21" ht="14.25" customHeight="1">
      <c r="A2609" s="2" t="s">
        <v>15</v>
      </c>
      <c r="B2609" s="2">
        <v>1993</v>
      </c>
      <c r="C2609" s="2" t="s">
        <v>41</v>
      </c>
      <c r="D2609" s="2">
        <v>310.10000000000002</v>
      </c>
      <c r="E2609" s="2">
        <v>283.5</v>
      </c>
      <c r="F2609" s="2" t="s">
        <v>92</v>
      </c>
      <c r="G2609" s="2" t="s">
        <v>92</v>
      </c>
      <c r="H2609" s="2" t="s">
        <v>92</v>
      </c>
      <c r="I2609" s="2" t="s">
        <v>92</v>
      </c>
      <c r="P2609" s="3">
        <f>E2609*(VLOOKUP(B2609,Price_data!A$1:B$190,2,FALSE))</f>
        <v>343.10088284849996</v>
      </c>
      <c r="Q2609" s="3" t="e">
        <f>G2609*(VLOOKUP(B2609,Price_data!A$1:B$190,2,FALSE))</f>
        <v>#VALUE!</v>
      </c>
      <c r="R2609" s="3" t="e">
        <f>I2609*(VLOOKUP(B2609,Price_data!A$1:B$190,2,FALSE))</f>
        <v>#VALUE!</v>
      </c>
      <c r="S2609" s="4" t="str">
        <f>(VLOOKUP(B2609,Price_data!A$1:C$190,3,FALSE))</f>
        <v>EEZ</v>
      </c>
      <c r="T2609" s="2" t="str">
        <f>IF(C2609="Total", (VLOOKUP(B2609,Recommended_fish_intake!A$4:D$122,4,FALSE)), "NA")</f>
        <v>NA</v>
      </c>
      <c r="U2609" s="2" t="str">
        <f t="shared" si="321"/>
        <v>NA</v>
      </c>
    </row>
    <row r="2610" spans="1:21" ht="14.25" customHeight="1">
      <c r="A2610" s="2" t="s">
        <v>18</v>
      </c>
      <c r="B2610" s="2">
        <v>1993</v>
      </c>
      <c r="C2610" s="2" t="s">
        <v>22</v>
      </c>
      <c r="D2610" s="1">
        <v>27.2</v>
      </c>
      <c r="E2610" s="1">
        <v>27.9</v>
      </c>
      <c r="F2610" s="1" t="s">
        <v>92</v>
      </c>
      <c r="G2610" s="1" t="s">
        <v>92</v>
      </c>
      <c r="H2610" s="1" t="s">
        <v>92</v>
      </c>
      <c r="I2610" s="1" t="s">
        <v>92</v>
      </c>
      <c r="J2610" s="1"/>
      <c r="K2610" s="1"/>
      <c r="L2610" s="1"/>
      <c r="M2610" s="1"/>
      <c r="N2610" s="1"/>
      <c r="O2610" s="1"/>
      <c r="P2610" s="3">
        <f>E2610*(VLOOKUP(B2610,Price_data!A$1:B$190,2,FALSE))</f>
        <v>33.765483708899993</v>
      </c>
      <c r="Q2610" s="3" t="e">
        <f>G2610*(VLOOKUP(B2610,Price_data!A$1:B$190,2,FALSE))</f>
        <v>#VALUE!</v>
      </c>
      <c r="R2610" s="3" t="e">
        <f>I2610*(VLOOKUP(B2610,Price_data!A$1:B$190,2,FALSE))</f>
        <v>#VALUE!</v>
      </c>
      <c r="S2610" s="4" t="str">
        <f>(VLOOKUP(B2610,Price_data!A$1:C$190,3,FALSE))</f>
        <v>EEZ</v>
      </c>
      <c r="T2610" s="2" t="str">
        <f>IF(C2610="Total", (VLOOKUP(B2610,Recommended_fish_intake!A$4:D$122,4,FALSE)), "NA")</f>
        <v>NA</v>
      </c>
      <c r="U2610" s="2" t="str">
        <f t="shared" si="321"/>
        <v>NA</v>
      </c>
    </row>
    <row r="2611" spans="1:21" ht="14.25" customHeight="1">
      <c r="A2611" s="2" t="s">
        <v>39</v>
      </c>
      <c r="B2611" s="2">
        <v>1993</v>
      </c>
      <c r="C2611" s="2" t="s">
        <v>22</v>
      </c>
      <c r="D2611" s="1">
        <v>34.9</v>
      </c>
      <c r="E2611" s="1">
        <v>34.1</v>
      </c>
      <c r="F2611" s="1" t="s">
        <v>92</v>
      </c>
      <c r="G2611" s="1" t="s">
        <v>92</v>
      </c>
      <c r="H2611" s="1" t="s">
        <v>92</v>
      </c>
      <c r="I2611" s="1" t="s">
        <v>92</v>
      </c>
      <c r="J2611" s="1"/>
      <c r="K2611" s="1"/>
      <c r="L2611" s="1"/>
      <c r="M2611" s="1"/>
      <c r="N2611" s="1"/>
      <c r="O2611" s="1"/>
      <c r="P2611" s="3">
        <f>E2611*(VLOOKUP(B2611,Price_data!A$1:B$190,2,FALSE))</f>
        <v>41.268924533099998</v>
      </c>
      <c r="Q2611" s="3" t="e">
        <f>G2611*(VLOOKUP(B2611,Price_data!A$1:B$190,2,FALSE))</f>
        <v>#VALUE!</v>
      </c>
      <c r="R2611" s="3" t="e">
        <f>I2611*(VLOOKUP(B2611,Price_data!A$1:B$190,2,FALSE))</f>
        <v>#VALUE!</v>
      </c>
      <c r="S2611" s="4" t="str">
        <f>(VLOOKUP(B2611,Price_data!A$1:C$190,3,FALSE))</f>
        <v>EEZ</v>
      </c>
      <c r="T2611" s="2" t="str">
        <f>IF(C2611="Total", (VLOOKUP(B2611,Recommended_fish_intake!A$4:D$122,4,FALSE)), "NA")</f>
        <v>NA</v>
      </c>
      <c r="U2611" s="2" t="str">
        <f t="shared" si="321"/>
        <v>NA</v>
      </c>
    </row>
    <row r="2612" spans="1:21" ht="14.25" customHeight="1">
      <c r="A2612" s="2" t="s">
        <v>40</v>
      </c>
      <c r="B2612" s="2">
        <v>1993</v>
      </c>
      <c r="C2612" s="2" t="s">
        <v>22</v>
      </c>
      <c r="D2612" s="1">
        <v>2.8</v>
      </c>
      <c r="E2612" s="1">
        <v>3</v>
      </c>
      <c r="F2612" s="1" t="s">
        <v>92</v>
      </c>
      <c r="G2612" s="1" t="s">
        <v>92</v>
      </c>
      <c r="H2612" s="1" t="s">
        <v>92</v>
      </c>
      <c r="I2612" s="1" t="s">
        <v>92</v>
      </c>
      <c r="J2612" s="1"/>
      <c r="K2612" s="1"/>
      <c r="L2612" s="1"/>
      <c r="M2612" s="1"/>
      <c r="N2612" s="1"/>
      <c r="O2612" s="1"/>
      <c r="P2612" s="3">
        <f>E2612*(VLOOKUP(B2612,Price_data!A$1:B$190,2,FALSE))</f>
        <v>3.6306971729999997</v>
      </c>
      <c r="Q2612" s="3" t="e">
        <f>G2612*(VLOOKUP(B2612,Price_data!A$1:B$190,2,FALSE))</f>
        <v>#VALUE!</v>
      </c>
      <c r="R2612" s="3" t="e">
        <f>I2612*(VLOOKUP(B2612,Price_data!A$1:B$190,2,FALSE))</f>
        <v>#VALUE!</v>
      </c>
      <c r="S2612" s="4" t="str">
        <f>(VLOOKUP(B2612,Price_data!A$1:C$190,3,FALSE))</f>
        <v>EEZ</v>
      </c>
      <c r="T2612" s="2" t="str">
        <f>IF(C2612="Total", (VLOOKUP(B2612,Recommended_fish_intake!A$4:D$122,4,FALSE)), "NA")</f>
        <v>NA</v>
      </c>
      <c r="U2612" s="2" t="str">
        <f t="shared" si="321"/>
        <v>NA</v>
      </c>
    </row>
    <row r="2613" spans="1:21" ht="14.25" customHeight="1">
      <c r="A2613" s="2" t="s">
        <v>15</v>
      </c>
      <c r="B2613" s="2">
        <v>1993</v>
      </c>
      <c r="C2613" s="2" t="s">
        <v>22</v>
      </c>
      <c r="D2613" s="1">
        <v>64.8</v>
      </c>
      <c r="E2613" s="1">
        <v>64.900000000000006</v>
      </c>
      <c r="F2613" s="3">
        <f>L2613/1000</f>
        <v>11.262</v>
      </c>
      <c r="G2613" s="3">
        <f>M2613/1000</f>
        <v>22.074999999999999</v>
      </c>
      <c r="H2613" s="3">
        <f>N2613/1000</f>
        <v>106.09099999999999</v>
      </c>
      <c r="I2613" s="3">
        <f>O2613/1000</f>
        <v>218.56700000000001</v>
      </c>
      <c r="J2613" s="1"/>
      <c r="K2613" s="1"/>
      <c r="L2613" s="2">
        <f>1917+1309+2794+2531+398+1839+474</f>
        <v>11262</v>
      </c>
      <c r="M2613" s="2">
        <f>3413+3824+3175+5548+1014+4018+1083</f>
        <v>22075</v>
      </c>
      <c r="N2613" s="1">
        <f>16033+240+19649+63105+5424+62+1578</f>
        <v>106091</v>
      </c>
      <c r="O2613" s="1">
        <f>19570+507+18758+170836+5617+242+3037</f>
        <v>218567</v>
      </c>
      <c r="P2613" s="3">
        <f>E2613*(VLOOKUP(B2613,Price_data!A$1:B$190,2,FALSE))</f>
        <v>78.544082175900002</v>
      </c>
      <c r="Q2613" s="3">
        <f>G2613*(VLOOKUP(B2613,Price_data!A$1:B$190,2,FALSE))</f>
        <v>26.715880031324996</v>
      </c>
      <c r="R2613" s="3">
        <f>I2613*(VLOOKUP(B2613,Price_data!A$1:B$190,2,FALSE))</f>
        <v>264.51686300369698</v>
      </c>
      <c r="S2613" s="4" t="str">
        <f>(VLOOKUP(B2613,Price_data!A$1:C$190,3,FALSE))</f>
        <v>EEZ</v>
      </c>
      <c r="T2613" s="2" t="str">
        <f>IF(C2613="Total", (VLOOKUP(B2613,Recommended_fish_intake!A$4:D$122,4,FALSE)), "NA")</f>
        <v>NA</v>
      </c>
      <c r="U2613" s="2" t="str">
        <f t="shared" si="321"/>
        <v>NA</v>
      </c>
    </row>
    <row r="2614" spans="1:21" ht="14.25" customHeight="1">
      <c r="A2614" s="2" t="s">
        <v>18</v>
      </c>
      <c r="B2614" s="2">
        <v>1993</v>
      </c>
      <c r="C2614" s="2" t="s">
        <v>20</v>
      </c>
      <c r="D2614" s="2">
        <v>16</v>
      </c>
      <c r="E2614" s="2">
        <v>2.4</v>
      </c>
      <c r="F2614" s="2" t="s">
        <v>92</v>
      </c>
      <c r="G2614" s="2" t="s">
        <v>92</v>
      </c>
      <c r="H2614" s="2" t="s">
        <v>92</v>
      </c>
      <c r="I2614" s="2" t="s">
        <v>92</v>
      </c>
      <c r="P2614" s="3">
        <f>E2614*(VLOOKUP(B2614,Price_data!A$1:B$190,2,FALSE))</f>
        <v>2.9045577383999999</v>
      </c>
      <c r="Q2614" s="3" t="e">
        <f>G2614*(VLOOKUP(B2614,Price_data!A$1:B$190,2,FALSE))</f>
        <v>#VALUE!</v>
      </c>
      <c r="R2614" s="3" t="e">
        <f>I2614*(VLOOKUP(B2614,Price_data!A$1:B$190,2,FALSE))</f>
        <v>#VALUE!</v>
      </c>
      <c r="S2614" s="4" t="str">
        <f>(VLOOKUP(B2614,Price_data!A$1:C$190,3,FALSE))</f>
        <v>EEZ</v>
      </c>
      <c r="T2614" s="2" t="str">
        <f>IF(C2614="Total", (VLOOKUP(B2614,Recommended_fish_intake!A$4:D$122,4,FALSE)), "NA")</f>
        <v>NA</v>
      </c>
      <c r="U2614" s="2" t="str">
        <f t="shared" si="321"/>
        <v>NA</v>
      </c>
    </row>
    <row r="2615" spans="1:21" ht="14.25" customHeight="1">
      <c r="A2615" s="2" t="s">
        <v>39</v>
      </c>
      <c r="B2615" s="2">
        <v>1993</v>
      </c>
      <c r="C2615" s="2" t="s">
        <v>20</v>
      </c>
      <c r="D2615" s="2">
        <v>145.6</v>
      </c>
      <c r="E2615" s="2">
        <v>19.600000000000001</v>
      </c>
      <c r="F2615" s="2" t="s">
        <v>92</v>
      </c>
      <c r="G2615" s="2" t="s">
        <v>92</v>
      </c>
      <c r="H2615" s="2" t="s">
        <v>92</v>
      </c>
      <c r="I2615" s="2" t="s">
        <v>92</v>
      </c>
      <c r="P2615" s="3">
        <f>E2615*(VLOOKUP(B2615,Price_data!A$1:B$190,2,FALSE))</f>
        <v>23.7205548636</v>
      </c>
      <c r="Q2615" s="3" t="e">
        <f>G2615*(VLOOKUP(B2615,Price_data!A$1:B$190,2,FALSE))</f>
        <v>#VALUE!</v>
      </c>
      <c r="R2615" s="3" t="e">
        <f>I2615*(VLOOKUP(B2615,Price_data!A$1:B$190,2,FALSE))</f>
        <v>#VALUE!</v>
      </c>
      <c r="S2615" s="4" t="str">
        <f>(VLOOKUP(B2615,Price_data!A$1:C$190,3,FALSE))</f>
        <v>EEZ</v>
      </c>
      <c r="T2615" s="2" t="str">
        <f>IF(C2615="Total", (VLOOKUP(B2615,Recommended_fish_intake!A$4:D$122,4,FALSE)), "NA")</f>
        <v>NA</v>
      </c>
      <c r="U2615" s="2" t="str">
        <f t="shared" si="321"/>
        <v>NA</v>
      </c>
    </row>
    <row r="2616" spans="1:21" ht="14.25" customHeight="1">
      <c r="A2616" s="2" t="s">
        <v>40</v>
      </c>
      <c r="B2616" s="2">
        <v>1993</v>
      </c>
      <c r="C2616" s="2" t="s">
        <v>20</v>
      </c>
      <c r="D2616" s="2">
        <v>0.2</v>
      </c>
      <c r="E2616" s="2">
        <v>0</v>
      </c>
      <c r="F2616" s="2" t="s">
        <v>92</v>
      </c>
      <c r="G2616" s="2" t="s">
        <v>92</v>
      </c>
      <c r="H2616" s="2" t="s">
        <v>92</v>
      </c>
      <c r="I2616" s="2" t="s">
        <v>92</v>
      </c>
      <c r="P2616" s="3">
        <f>E2616*(VLOOKUP(B2616,Price_data!A$1:B$190,2,FALSE))</f>
        <v>0</v>
      </c>
      <c r="Q2616" s="3" t="e">
        <f>G2616*(VLOOKUP(B2616,Price_data!A$1:B$190,2,FALSE))</f>
        <v>#VALUE!</v>
      </c>
      <c r="R2616" s="3" t="e">
        <f>I2616*(VLOOKUP(B2616,Price_data!A$1:B$190,2,FALSE))</f>
        <v>#VALUE!</v>
      </c>
      <c r="S2616" s="4" t="str">
        <f>(VLOOKUP(B2616,Price_data!A$1:C$190,3,FALSE))</f>
        <v>EEZ</v>
      </c>
      <c r="T2616" s="2" t="str">
        <f>IF(C2616="Total", (VLOOKUP(B2616,Recommended_fish_intake!A$4:D$122,4,FALSE)), "NA")</f>
        <v>NA</v>
      </c>
      <c r="U2616" s="2" t="str">
        <f t="shared" si="321"/>
        <v>NA</v>
      </c>
    </row>
    <row r="2617" spans="1:21" ht="14.25" customHeight="1">
      <c r="A2617" s="2" t="s">
        <v>18</v>
      </c>
      <c r="B2617" s="2">
        <v>1993</v>
      </c>
      <c r="C2617" s="2" t="s">
        <v>19</v>
      </c>
      <c r="D2617" s="2">
        <v>1.9</v>
      </c>
      <c r="E2617" s="2">
        <v>0.4</v>
      </c>
      <c r="F2617" s="2" t="s">
        <v>92</v>
      </c>
      <c r="G2617" s="2" t="s">
        <v>92</v>
      </c>
      <c r="H2617" s="2" t="s">
        <v>92</v>
      </c>
      <c r="I2617" s="2" t="s">
        <v>92</v>
      </c>
      <c r="P2617" s="3">
        <f>E2617*(VLOOKUP(B2617,Price_data!A$1:B$190,2,FALSE))</f>
        <v>0.4840929564</v>
      </c>
      <c r="Q2617" s="3" t="e">
        <f>G2617*(VLOOKUP(B2617,Price_data!A$1:B$190,2,FALSE))</f>
        <v>#VALUE!</v>
      </c>
      <c r="R2617" s="3" t="e">
        <f>I2617*(VLOOKUP(B2617,Price_data!A$1:B$190,2,FALSE))</f>
        <v>#VALUE!</v>
      </c>
      <c r="S2617" s="4" t="str">
        <f>(VLOOKUP(B2617,Price_data!A$1:C$190,3,FALSE))</f>
        <v>EEZ</v>
      </c>
      <c r="T2617" s="2" t="str">
        <f>IF(C2617="Total", (VLOOKUP(B2617,Recommended_fish_intake!A$4:D$122,4,FALSE)), "NA")</f>
        <v>NA</v>
      </c>
      <c r="U2617" s="2" t="str">
        <f t="shared" si="321"/>
        <v>NA</v>
      </c>
    </row>
    <row r="2618" spans="1:21" ht="14.25" customHeight="1">
      <c r="A2618" s="2" t="s">
        <v>39</v>
      </c>
      <c r="B2618" s="2">
        <v>1993</v>
      </c>
      <c r="C2618" s="2" t="s">
        <v>19</v>
      </c>
      <c r="D2618" s="2">
        <v>81.7</v>
      </c>
      <c r="E2618" s="2">
        <v>9</v>
      </c>
      <c r="F2618" s="2" t="s">
        <v>92</v>
      </c>
      <c r="G2618" s="2" t="s">
        <v>92</v>
      </c>
      <c r="H2618" s="2" t="s">
        <v>92</v>
      </c>
      <c r="I2618" s="2" t="s">
        <v>92</v>
      </c>
      <c r="P2618" s="3">
        <f>E2618*(VLOOKUP(B2618,Price_data!A$1:B$190,2,FALSE))</f>
        <v>10.892091518999999</v>
      </c>
      <c r="Q2618" s="3" t="e">
        <f>G2618*(VLOOKUP(B2618,Price_data!A$1:B$190,2,FALSE))</f>
        <v>#VALUE!</v>
      </c>
      <c r="R2618" s="3" t="e">
        <f>I2618*(VLOOKUP(B2618,Price_data!A$1:B$190,2,FALSE))</f>
        <v>#VALUE!</v>
      </c>
      <c r="S2618" s="4" t="str">
        <f>(VLOOKUP(B2618,Price_data!A$1:C$190,3,FALSE))</f>
        <v>EEZ</v>
      </c>
      <c r="T2618" s="2" t="str">
        <f>IF(C2618="Total", (VLOOKUP(B2618,Recommended_fish_intake!A$4:D$122,4,FALSE)), "NA")</f>
        <v>NA</v>
      </c>
      <c r="U2618" s="2" t="str">
        <f t="shared" si="321"/>
        <v>NA</v>
      </c>
    </row>
    <row r="2619" spans="1:21" ht="14.25" customHeight="1">
      <c r="A2619" s="2" t="s">
        <v>40</v>
      </c>
      <c r="B2619" s="2">
        <v>1993</v>
      </c>
      <c r="C2619" s="2" t="s">
        <v>19</v>
      </c>
      <c r="D2619" s="2">
        <v>3.6</v>
      </c>
      <c r="E2619" s="2">
        <v>0.3</v>
      </c>
      <c r="F2619" s="2" t="s">
        <v>92</v>
      </c>
      <c r="G2619" s="2" t="s">
        <v>92</v>
      </c>
      <c r="H2619" s="2" t="s">
        <v>92</v>
      </c>
      <c r="I2619" s="2" t="s">
        <v>92</v>
      </c>
      <c r="P2619" s="3">
        <f>E2619*(VLOOKUP(B2619,Price_data!A$1:B$190,2,FALSE))</f>
        <v>0.36306971729999998</v>
      </c>
      <c r="Q2619" s="3" t="e">
        <f>G2619*(VLOOKUP(B2619,Price_data!A$1:B$190,2,FALSE))</f>
        <v>#VALUE!</v>
      </c>
      <c r="R2619" s="3" t="e">
        <f>I2619*(VLOOKUP(B2619,Price_data!A$1:B$190,2,FALSE))</f>
        <v>#VALUE!</v>
      </c>
      <c r="S2619" s="4" t="str">
        <f>(VLOOKUP(B2619,Price_data!A$1:C$190,3,FALSE))</f>
        <v>EEZ</v>
      </c>
      <c r="T2619" s="2" t="str">
        <f>IF(C2619="Total", (VLOOKUP(B2619,Recommended_fish_intake!A$4:D$122,4,FALSE)), "NA")</f>
        <v>NA</v>
      </c>
      <c r="U2619" s="2" t="str">
        <f t="shared" si="321"/>
        <v>NA</v>
      </c>
    </row>
    <row r="2620" spans="1:21" ht="14.25" customHeight="1">
      <c r="A2620" s="2" t="s">
        <v>18</v>
      </c>
      <c r="B2620" s="2">
        <v>1993</v>
      </c>
      <c r="C2620" s="2" t="s">
        <v>24</v>
      </c>
      <c r="D2620" s="2">
        <v>5.2</v>
      </c>
      <c r="E2620" s="2">
        <v>2.2000000000000002</v>
      </c>
      <c r="F2620" s="2" t="s">
        <v>92</v>
      </c>
      <c r="G2620" s="2" t="s">
        <v>92</v>
      </c>
      <c r="H2620" s="2" t="s">
        <v>92</v>
      </c>
      <c r="I2620" s="2" t="s">
        <v>92</v>
      </c>
      <c r="P2620" s="3">
        <f>E2620*(VLOOKUP(B2620,Price_data!A$1:B$190,2,FALSE))</f>
        <v>2.6625112602000001</v>
      </c>
      <c r="Q2620" s="3" t="e">
        <f>G2620*(VLOOKUP(B2620,Price_data!A$1:B$190,2,FALSE))</f>
        <v>#VALUE!</v>
      </c>
      <c r="R2620" s="3" t="e">
        <f>I2620*(VLOOKUP(B2620,Price_data!A$1:B$190,2,FALSE))</f>
        <v>#VALUE!</v>
      </c>
      <c r="S2620" s="4" t="str">
        <f>(VLOOKUP(B2620,Price_data!A$1:C$190,3,FALSE))</f>
        <v>EEZ</v>
      </c>
      <c r="T2620" s="2" t="str">
        <f>IF(C2620="Total", (VLOOKUP(B2620,Recommended_fish_intake!A$4:D$122,4,FALSE)), "NA")</f>
        <v>NA</v>
      </c>
      <c r="U2620" s="2" t="str">
        <f t="shared" si="321"/>
        <v>NA</v>
      </c>
    </row>
    <row r="2621" spans="1:21" ht="14.25" customHeight="1">
      <c r="A2621" s="2" t="s">
        <v>39</v>
      </c>
      <c r="B2621" s="2">
        <v>1993</v>
      </c>
      <c r="C2621" s="2" t="s">
        <v>24</v>
      </c>
      <c r="D2621" s="2">
        <v>37</v>
      </c>
      <c r="E2621" s="2">
        <v>17.5</v>
      </c>
      <c r="F2621" s="2" t="s">
        <v>92</v>
      </c>
      <c r="G2621" s="2" t="s">
        <v>92</v>
      </c>
      <c r="H2621" s="2" t="s">
        <v>92</v>
      </c>
      <c r="I2621" s="2" t="s">
        <v>92</v>
      </c>
      <c r="P2621" s="3">
        <f>E2621*(VLOOKUP(B2621,Price_data!A$1:B$190,2,FALSE))</f>
        <v>21.179066842499999</v>
      </c>
      <c r="Q2621" s="3" t="e">
        <f>G2621*(VLOOKUP(B2621,Price_data!A$1:B$190,2,FALSE))</f>
        <v>#VALUE!</v>
      </c>
      <c r="R2621" s="3" t="e">
        <f>I2621*(VLOOKUP(B2621,Price_data!A$1:B$190,2,FALSE))</f>
        <v>#VALUE!</v>
      </c>
      <c r="S2621" s="4" t="str">
        <f>(VLOOKUP(B2621,Price_data!A$1:C$190,3,FALSE))</f>
        <v>EEZ</v>
      </c>
      <c r="T2621" s="2" t="str">
        <f>IF(C2621="Total", (VLOOKUP(B2621,Recommended_fish_intake!A$4:D$122,4,FALSE)), "NA")</f>
        <v>NA</v>
      </c>
      <c r="U2621" s="2" t="str">
        <f t="shared" si="321"/>
        <v>NA</v>
      </c>
    </row>
    <row r="2622" spans="1:21" ht="14.25" customHeight="1">
      <c r="A2622" s="2" t="s">
        <v>40</v>
      </c>
      <c r="B2622" s="2">
        <v>1993</v>
      </c>
      <c r="C2622" s="2" t="s">
        <v>24</v>
      </c>
      <c r="D2622" s="2">
        <v>3.4</v>
      </c>
      <c r="E2622" s="2">
        <v>1</v>
      </c>
      <c r="F2622" s="2" t="s">
        <v>92</v>
      </c>
      <c r="G2622" s="2" t="s">
        <v>92</v>
      </c>
      <c r="H2622" s="2" t="s">
        <v>92</v>
      </c>
      <c r="I2622" s="2" t="s">
        <v>92</v>
      </c>
      <c r="P2622" s="3">
        <f>E2622*(VLOOKUP(B2622,Price_data!A$1:B$190,2,FALSE))</f>
        <v>1.2102323909999999</v>
      </c>
      <c r="Q2622" s="3" t="e">
        <f>G2622*(VLOOKUP(B2622,Price_data!A$1:B$190,2,FALSE))</f>
        <v>#VALUE!</v>
      </c>
      <c r="R2622" s="3" t="e">
        <f>I2622*(VLOOKUP(B2622,Price_data!A$1:B$190,2,FALSE))</f>
        <v>#VALUE!</v>
      </c>
      <c r="S2622" s="4" t="str">
        <f>(VLOOKUP(B2622,Price_data!A$1:C$190,3,FALSE))</f>
        <v>EEZ</v>
      </c>
      <c r="T2622" s="2" t="str">
        <f>IF(C2622="Total", (VLOOKUP(B2622,Recommended_fish_intake!A$4:D$122,4,FALSE)), "NA")</f>
        <v>NA</v>
      </c>
      <c r="U2622" s="2" t="str">
        <f t="shared" si="321"/>
        <v>NA</v>
      </c>
    </row>
    <row r="2623" spans="1:21" ht="14.25" customHeight="1">
      <c r="A2623" s="2" t="s">
        <v>18</v>
      </c>
      <c r="B2623" s="2">
        <v>1993</v>
      </c>
      <c r="C2623" s="2" t="s">
        <v>58</v>
      </c>
      <c r="D2623" s="2">
        <v>3.4</v>
      </c>
      <c r="E2623" s="2">
        <v>5.7</v>
      </c>
      <c r="F2623" s="2" t="s">
        <v>92</v>
      </c>
      <c r="G2623" s="2" t="s">
        <v>92</v>
      </c>
      <c r="H2623" s="2" t="s">
        <v>92</v>
      </c>
      <c r="I2623" s="2" t="s">
        <v>92</v>
      </c>
      <c r="P2623" s="3">
        <f>E2623*(VLOOKUP(B2623,Price_data!A$1:B$190,2,FALSE))</f>
        <v>6.8983246286999993</v>
      </c>
      <c r="Q2623" s="3" t="e">
        <f>G2623*(VLOOKUP(B2623,Price_data!A$1:B$190,2,FALSE))</f>
        <v>#VALUE!</v>
      </c>
      <c r="R2623" s="3" t="e">
        <f>I2623*(VLOOKUP(B2623,Price_data!A$1:B$190,2,FALSE))</f>
        <v>#VALUE!</v>
      </c>
      <c r="S2623" s="4" t="str">
        <f>(VLOOKUP(B2623,Price_data!A$1:C$190,3,FALSE))</f>
        <v>EEZ</v>
      </c>
      <c r="T2623" s="2" t="str">
        <f>IF(C2623="Total", (VLOOKUP(B2623,Recommended_fish_intake!A$4:D$122,4,FALSE)), "NA")</f>
        <v>NA</v>
      </c>
      <c r="U2623" s="2" t="str">
        <f t="shared" si="321"/>
        <v>NA</v>
      </c>
    </row>
    <row r="2624" spans="1:21" ht="14.25" customHeight="1">
      <c r="A2624" s="2" t="s">
        <v>39</v>
      </c>
      <c r="B2624" s="2">
        <v>1993</v>
      </c>
      <c r="C2624" s="2" t="s">
        <v>58</v>
      </c>
      <c r="D2624" s="2">
        <v>12.9</v>
      </c>
      <c r="E2624" s="2">
        <v>25.9</v>
      </c>
      <c r="F2624" s="2" t="s">
        <v>92</v>
      </c>
      <c r="G2624" s="2" t="s">
        <v>92</v>
      </c>
      <c r="H2624" s="2" t="s">
        <v>92</v>
      </c>
      <c r="I2624" s="2" t="s">
        <v>92</v>
      </c>
      <c r="P2624" s="3">
        <f>E2624*(VLOOKUP(B2624,Price_data!A$1:B$190,2,FALSE))</f>
        <v>31.345018926899996</v>
      </c>
      <c r="Q2624" s="3" t="e">
        <f>G2624*(VLOOKUP(B2624,Price_data!A$1:B$190,2,FALSE))</f>
        <v>#VALUE!</v>
      </c>
      <c r="R2624" s="3" t="e">
        <f>I2624*(VLOOKUP(B2624,Price_data!A$1:B$190,2,FALSE))</f>
        <v>#VALUE!</v>
      </c>
      <c r="S2624" s="4" t="str">
        <f>(VLOOKUP(B2624,Price_data!A$1:C$190,3,FALSE))</f>
        <v>EEZ</v>
      </c>
      <c r="T2624" s="2" t="str">
        <f>IF(C2624="Total", (VLOOKUP(B2624,Recommended_fish_intake!A$4:D$122,4,FALSE)), "NA")</f>
        <v>NA</v>
      </c>
      <c r="U2624" s="2" t="str">
        <f t="shared" si="321"/>
        <v>NA</v>
      </c>
    </row>
    <row r="2625" spans="1:21" ht="14.25" customHeight="1">
      <c r="A2625" s="2" t="s">
        <v>40</v>
      </c>
      <c r="B2625" s="2">
        <v>1993</v>
      </c>
      <c r="C2625" s="2" t="s">
        <v>58</v>
      </c>
      <c r="D2625" s="2">
        <v>0.4</v>
      </c>
      <c r="E2625" s="2">
        <v>0.7</v>
      </c>
      <c r="F2625" s="2" t="s">
        <v>92</v>
      </c>
      <c r="G2625" s="2" t="s">
        <v>92</v>
      </c>
      <c r="H2625" s="2" t="s">
        <v>92</v>
      </c>
      <c r="I2625" s="2" t="s">
        <v>92</v>
      </c>
      <c r="P2625" s="3">
        <f>E2625*(VLOOKUP(B2625,Price_data!A$1:B$190,2,FALSE))</f>
        <v>0.84716267369999987</v>
      </c>
      <c r="Q2625" s="3" t="e">
        <f>G2625*(VLOOKUP(B2625,Price_data!A$1:B$190,2,FALSE))</f>
        <v>#VALUE!</v>
      </c>
      <c r="R2625" s="3" t="e">
        <f>I2625*(VLOOKUP(B2625,Price_data!A$1:B$190,2,FALSE))</f>
        <v>#VALUE!</v>
      </c>
      <c r="S2625" s="4" t="str">
        <f>(VLOOKUP(B2625,Price_data!A$1:C$190,3,FALSE))</f>
        <v>EEZ</v>
      </c>
      <c r="T2625" s="2" t="str">
        <f>IF(C2625="Total", (VLOOKUP(B2625,Recommended_fish_intake!A$4:D$122,4,FALSE)), "NA")</f>
        <v>NA</v>
      </c>
      <c r="U2625" s="2" t="str">
        <f t="shared" si="321"/>
        <v>NA</v>
      </c>
    </row>
    <row r="2626" spans="1:21" ht="14.25" customHeight="1">
      <c r="A2626" s="2" t="s">
        <v>18</v>
      </c>
      <c r="B2626" s="2">
        <v>1993</v>
      </c>
      <c r="C2626" s="2" t="s">
        <v>23</v>
      </c>
      <c r="D2626" s="2">
        <v>6.4</v>
      </c>
      <c r="E2626" s="2">
        <v>4.7</v>
      </c>
      <c r="F2626" s="2" t="s">
        <v>92</v>
      </c>
      <c r="G2626" s="2" t="s">
        <v>92</v>
      </c>
      <c r="H2626" s="2" t="s">
        <v>92</v>
      </c>
      <c r="I2626" s="2" t="s">
        <v>92</v>
      </c>
      <c r="P2626" s="3">
        <f>E2626*(VLOOKUP(B2626,Price_data!A$1:B$190,2,FALSE))</f>
        <v>5.6880922376999994</v>
      </c>
      <c r="Q2626" s="3" t="e">
        <f>G2626*(VLOOKUP(B2626,Price_data!A$1:B$190,2,FALSE))</f>
        <v>#VALUE!</v>
      </c>
      <c r="R2626" s="3" t="e">
        <f>I2626*(VLOOKUP(B2626,Price_data!A$1:B$190,2,FALSE))</f>
        <v>#VALUE!</v>
      </c>
      <c r="S2626" s="4" t="str">
        <f>(VLOOKUP(B2626,Price_data!A$1:C$190,3,FALSE))</f>
        <v>EEZ</v>
      </c>
      <c r="T2626" s="2" t="str">
        <f>IF(C2626="Total", (VLOOKUP(B2626,Recommended_fish_intake!A$4:D$122,4,FALSE)), "NA")</f>
        <v>NA</v>
      </c>
      <c r="U2626" s="2" t="str">
        <f t="shared" ref="U2626:U2689" si="325">IF(C2626="Wet fish", D2626*0.49, IF(C2626="Shellfish", D2626*0.28, "NA"))</f>
        <v>NA</v>
      </c>
    </row>
    <row r="2627" spans="1:21" ht="14.25" customHeight="1">
      <c r="A2627" s="2" t="s">
        <v>39</v>
      </c>
      <c r="B2627" s="2">
        <v>1993</v>
      </c>
      <c r="C2627" s="2" t="s">
        <v>23</v>
      </c>
      <c r="D2627" s="2">
        <v>80.400000000000006</v>
      </c>
      <c r="E2627" s="2">
        <v>49.8</v>
      </c>
      <c r="F2627" s="2" t="s">
        <v>92</v>
      </c>
      <c r="G2627" s="2" t="s">
        <v>92</v>
      </c>
      <c r="H2627" s="2" t="s">
        <v>92</v>
      </c>
      <c r="I2627" s="2" t="s">
        <v>92</v>
      </c>
      <c r="P2627" s="3">
        <f>E2627*(VLOOKUP(B2627,Price_data!A$1:B$190,2,FALSE))</f>
        <v>60.269573071799989</v>
      </c>
      <c r="Q2627" s="3" t="e">
        <f>G2627*(VLOOKUP(B2627,Price_data!A$1:B$190,2,FALSE))</f>
        <v>#VALUE!</v>
      </c>
      <c r="R2627" s="3" t="e">
        <f>I2627*(VLOOKUP(B2627,Price_data!A$1:B$190,2,FALSE))</f>
        <v>#VALUE!</v>
      </c>
      <c r="S2627" s="4" t="str">
        <f>(VLOOKUP(B2627,Price_data!A$1:C$190,3,FALSE))</f>
        <v>EEZ</v>
      </c>
      <c r="T2627" s="2" t="str">
        <f>IF(C2627="Total", (VLOOKUP(B2627,Recommended_fish_intake!A$4:D$122,4,FALSE)), "NA")</f>
        <v>NA</v>
      </c>
      <c r="U2627" s="2" t="str">
        <f t="shared" si="325"/>
        <v>NA</v>
      </c>
    </row>
    <row r="2628" spans="1:21" ht="14.25" customHeight="1">
      <c r="A2628" s="2" t="s">
        <v>40</v>
      </c>
      <c r="B2628" s="2">
        <v>1993</v>
      </c>
      <c r="C2628" s="2" t="s">
        <v>23</v>
      </c>
      <c r="D2628" s="2">
        <v>0.3</v>
      </c>
      <c r="E2628" s="2">
        <v>0.2</v>
      </c>
      <c r="F2628" s="2" t="s">
        <v>92</v>
      </c>
      <c r="G2628" s="2" t="s">
        <v>92</v>
      </c>
      <c r="H2628" s="2" t="s">
        <v>92</v>
      </c>
      <c r="I2628" s="2" t="s">
        <v>92</v>
      </c>
      <c r="P2628" s="3">
        <f>E2628*(VLOOKUP(B2628,Price_data!A$1:B$190,2,FALSE))</f>
        <v>0.2420464782</v>
      </c>
      <c r="Q2628" s="3" t="e">
        <f>G2628*(VLOOKUP(B2628,Price_data!A$1:B$190,2,FALSE))</f>
        <v>#VALUE!</v>
      </c>
      <c r="R2628" s="3" t="e">
        <f>I2628*(VLOOKUP(B2628,Price_data!A$1:B$190,2,FALSE))</f>
        <v>#VALUE!</v>
      </c>
      <c r="S2628" s="4" t="str">
        <f>(VLOOKUP(B2628,Price_data!A$1:C$190,3,FALSE))</f>
        <v>EEZ</v>
      </c>
      <c r="T2628" s="2" t="str">
        <f>IF(C2628="Total", (VLOOKUP(B2628,Recommended_fish_intake!A$4:D$122,4,FALSE)), "NA")</f>
        <v>NA</v>
      </c>
      <c r="U2628" s="2" t="str">
        <f t="shared" si="325"/>
        <v>NA</v>
      </c>
    </row>
    <row r="2629" spans="1:21" ht="14.25" customHeight="1">
      <c r="A2629" s="2" t="s">
        <v>15</v>
      </c>
      <c r="B2629" s="2">
        <v>1993</v>
      </c>
      <c r="C2629" s="2" t="s">
        <v>23</v>
      </c>
      <c r="D2629" s="2">
        <v>87.1</v>
      </c>
      <c r="E2629" s="2">
        <v>54.7</v>
      </c>
      <c r="F2629" s="4">
        <f t="shared" ref="F2629:I2633" si="326">L2629/1000</f>
        <v>1.0389999999999999</v>
      </c>
      <c r="G2629" s="4">
        <f t="shared" si="326"/>
        <v>2.8679999999999999</v>
      </c>
      <c r="H2629" s="4">
        <f t="shared" si="326"/>
        <v>28.712</v>
      </c>
      <c r="I2629" s="4">
        <f t="shared" si="326"/>
        <v>48.487000000000002</v>
      </c>
      <c r="L2629" s="2">
        <f>182+48+804+5</f>
        <v>1039</v>
      </c>
      <c r="M2629" s="2">
        <f>397+77+2374+20</f>
        <v>2868</v>
      </c>
      <c r="N2629" s="2">
        <f>11062+7650+9704+296</f>
        <v>28712</v>
      </c>
      <c r="O2629" s="2">
        <f>13453+7000+27785+249</f>
        <v>48487</v>
      </c>
      <c r="P2629" s="3">
        <f>E2629*(VLOOKUP(B2629,Price_data!A$1:B$190,2,FALSE))</f>
        <v>66.199711787699997</v>
      </c>
      <c r="Q2629" s="3">
        <f>G2629*(VLOOKUP(B2629,Price_data!A$1:B$190,2,FALSE))</f>
        <v>3.4709464973879998</v>
      </c>
      <c r="R2629" s="3">
        <f>I2629*(VLOOKUP(B2629,Price_data!A$1:B$190,2,FALSE))</f>
        <v>58.680537942416997</v>
      </c>
      <c r="S2629" s="4" t="str">
        <f>(VLOOKUP(B2629,Price_data!A$1:C$190,3,FALSE))</f>
        <v>EEZ</v>
      </c>
      <c r="T2629" s="2" t="str">
        <f>IF(C2629="Total", (VLOOKUP(B2629,Recommended_fish_intake!A$4:D$122,4,FALSE)), "NA")</f>
        <v>NA</v>
      </c>
      <c r="U2629" s="2" t="str">
        <f t="shared" si="325"/>
        <v>NA</v>
      </c>
    </row>
    <row r="2630" spans="1:21" ht="14.25" customHeight="1">
      <c r="A2630" s="2" t="s">
        <v>15</v>
      </c>
      <c r="B2630" s="2">
        <v>1993</v>
      </c>
      <c r="C2630" s="2" t="s">
        <v>58</v>
      </c>
      <c r="D2630" s="2">
        <v>16.7</v>
      </c>
      <c r="E2630" s="2">
        <v>32.299999999999997</v>
      </c>
      <c r="F2630" s="4">
        <f t="shared" si="326"/>
        <v>4.2569999999999997</v>
      </c>
      <c r="G2630" s="4">
        <f t="shared" si="326"/>
        <v>20.445</v>
      </c>
      <c r="H2630" s="4">
        <f t="shared" si="326"/>
        <v>0.442</v>
      </c>
      <c r="I2630" s="4">
        <f t="shared" si="326"/>
        <v>0.92600000000000005</v>
      </c>
      <c r="L2630" s="2">
        <f>3378+363+516</f>
        <v>4257</v>
      </c>
      <c r="M2630" s="2">
        <f>17145+228+3072</f>
        <v>20445</v>
      </c>
      <c r="N2630" s="2">
        <f>412+5+25</f>
        <v>442</v>
      </c>
      <c r="O2630" s="2">
        <f>834+10+82</f>
        <v>926</v>
      </c>
      <c r="P2630" s="3">
        <f>E2630*(VLOOKUP(B2630,Price_data!A$1:B$190,2,FALSE))</f>
        <v>39.09050622929999</v>
      </c>
      <c r="Q2630" s="3">
        <f>G2630*(VLOOKUP(B2630,Price_data!A$1:B$190,2,FALSE))</f>
        <v>24.743201233994998</v>
      </c>
      <c r="R2630" s="3">
        <f>I2630*(VLOOKUP(B2630,Price_data!A$1:B$190,2,FALSE))</f>
        <v>1.120675194066</v>
      </c>
      <c r="S2630" s="4" t="str">
        <f>(VLOOKUP(B2630,Price_data!A$1:C$190,3,FALSE))</f>
        <v>EEZ</v>
      </c>
      <c r="T2630" s="2" t="str">
        <f>IF(C2630="Total", (VLOOKUP(B2630,Recommended_fish_intake!A$4:D$122,4,FALSE)), "NA")</f>
        <v>NA</v>
      </c>
      <c r="U2630" s="2" t="str">
        <f t="shared" si="325"/>
        <v>NA</v>
      </c>
    </row>
    <row r="2631" spans="1:21" ht="14.25" customHeight="1">
      <c r="A2631" s="2" t="s">
        <v>15</v>
      </c>
      <c r="B2631" s="2">
        <v>1993</v>
      </c>
      <c r="C2631" s="2" t="s">
        <v>24</v>
      </c>
      <c r="D2631" s="2">
        <v>45.6</v>
      </c>
      <c r="E2631" s="2">
        <v>20.7</v>
      </c>
      <c r="F2631" s="4">
        <f t="shared" si="326"/>
        <v>5.2850000000000001</v>
      </c>
      <c r="G2631" s="4">
        <f t="shared" si="326"/>
        <v>9.0660000000000007</v>
      </c>
      <c r="H2631" s="4">
        <f t="shared" si="326"/>
        <v>0.30399999999999999</v>
      </c>
      <c r="I2631" s="4">
        <f t="shared" si="326"/>
        <v>0.34100000000000003</v>
      </c>
      <c r="L2631" s="2">
        <f>3217+134+1934</f>
        <v>5285</v>
      </c>
      <c r="M2631" s="2">
        <f>4226+568+4272</f>
        <v>9066</v>
      </c>
      <c r="N2631" s="2">
        <f>192+12+100</f>
        <v>304</v>
      </c>
      <c r="O2631" s="2">
        <f>157+8+176</f>
        <v>341</v>
      </c>
      <c r="P2631" s="3">
        <f>E2631*(VLOOKUP(B2631,Price_data!A$1:B$190,2,FALSE))</f>
        <v>25.051810493699996</v>
      </c>
      <c r="Q2631" s="3">
        <f>G2631*(VLOOKUP(B2631,Price_data!A$1:B$190,2,FALSE))</f>
        <v>10.971966856806</v>
      </c>
      <c r="R2631" s="3">
        <f>I2631*(VLOOKUP(B2631,Price_data!A$1:B$190,2,FALSE))</f>
        <v>0.41268924533099999</v>
      </c>
      <c r="S2631" s="4" t="str">
        <f>(VLOOKUP(B2631,Price_data!A$1:C$190,3,FALSE))</f>
        <v>EEZ</v>
      </c>
      <c r="T2631" s="2" t="str">
        <f>IF(C2631="Total", (VLOOKUP(B2631,Recommended_fish_intake!A$4:D$122,4,FALSE)), "NA")</f>
        <v>NA</v>
      </c>
      <c r="U2631" s="2" t="str">
        <f t="shared" si="325"/>
        <v>NA</v>
      </c>
    </row>
    <row r="2632" spans="1:21" ht="14.25" customHeight="1">
      <c r="A2632" s="2" t="s">
        <v>15</v>
      </c>
      <c r="B2632" s="2">
        <v>1993</v>
      </c>
      <c r="C2632" s="2" t="s">
        <v>19</v>
      </c>
      <c r="D2632" s="2">
        <v>87.2</v>
      </c>
      <c r="E2632" s="2">
        <v>9.6999999999999993</v>
      </c>
      <c r="F2632" s="4">
        <f t="shared" si="326"/>
        <v>91.221000000000004</v>
      </c>
      <c r="G2632" s="4">
        <f t="shared" si="326"/>
        <v>18.576000000000001</v>
      </c>
      <c r="H2632" s="4">
        <f t="shared" si="326"/>
        <v>10.597</v>
      </c>
      <c r="I2632" s="4">
        <f t="shared" si="326"/>
        <v>6.3810000000000002</v>
      </c>
      <c r="L2632" s="2">
        <f>72189+2230+11741+1117+1372+1479+1093</f>
        <v>91221</v>
      </c>
      <c r="M2632" s="2">
        <f>10620+935+2324+684+680+2348+985</f>
        <v>18576</v>
      </c>
      <c r="N2632" s="2">
        <f>3001+467+3213+883+1136+659+1238</f>
        <v>10597</v>
      </c>
      <c r="O2632" s="2">
        <f>696+270+1311+399+610+288+2807</f>
        <v>6381</v>
      </c>
      <c r="P2632" s="3">
        <f>E2632*(VLOOKUP(B2632,Price_data!A$1:B$190,2,FALSE))</f>
        <v>11.739254192699999</v>
      </c>
      <c r="Q2632" s="3">
        <f>G2632*(VLOOKUP(B2632,Price_data!A$1:B$190,2,FALSE))</f>
        <v>22.481276895215998</v>
      </c>
      <c r="R2632" s="3">
        <f>I2632*(VLOOKUP(B2632,Price_data!A$1:B$190,2,FALSE))</f>
        <v>7.7224928869709997</v>
      </c>
      <c r="S2632" s="4" t="str">
        <f>(VLOOKUP(B2632,Price_data!A$1:C$190,3,FALSE))</f>
        <v>EEZ</v>
      </c>
      <c r="T2632" s="2" t="str">
        <f>IF(C2632="Total", (VLOOKUP(B2632,Recommended_fish_intake!A$4:D$122,4,FALSE)), "NA")</f>
        <v>NA</v>
      </c>
      <c r="U2632" s="2" t="str">
        <f t="shared" si="325"/>
        <v>NA</v>
      </c>
    </row>
    <row r="2633" spans="1:21" ht="14.25" customHeight="1">
      <c r="A2633" s="2" t="s">
        <v>15</v>
      </c>
      <c r="B2633" s="2">
        <v>1993</v>
      </c>
      <c r="C2633" s="2" t="s">
        <v>20</v>
      </c>
      <c r="D2633" s="2">
        <v>161.80000000000001</v>
      </c>
      <c r="E2633" s="2">
        <v>22.1</v>
      </c>
      <c r="F2633" s="4">
        <f t="shared" si="326"/>
        <v>114.092</v>
      </c>
      <c r="G2633" s="4">
        <f t="shared" si="326"/>
        <v>29.128</v>
      </c>
      <c r="H2633" s="4">
        <f t="shared" si="326"/>
        <v>10.675000000000001</v>
      </c>
      <c r="I2633" s="4">
        <f t="shared" si="326"/>
        <v>6.141</v>
      </c>
      <c r="L2633" s="2">
        <f>49660+58409+4373+401+1249</f>
        <v>114092</v>
      </c>
      <c r="M2633" s="2">
        <f>7087+16359+2512+712+2458</f>
        <v>29128</v>
      </c>
      <c r="N2633" s="2">
        <f>6833+1224+399+4+2215</f>
        <v>10675</v>
      </c>
      <c r="O2633" s="2">
        <f>812+528+229+8+4564</f>
        <v>6141</v>
      </c>
      <c r="P2633" s="3">
        <f>E2633*(VLOOKUP(B2633,Price_data!A$1:B$190,2,FALSE))</f>
        <v>26.746135841099999</v>
      </c>
      <c r="Q2633" s="3">
        <f>G2633*(VLOOKUP(B2633,Price_data!A$1:B$190,2,FALSE))</f>
        <v>35.251649085047994</v>
      </c>
      <c r="R2633" s="3">
        <f>I2633*(VLOOKUP(B2633,Price_data!A$1:B$190,2,FALSE))</f>
        <v>7.432037113130999</v>
      </c>
      <c r="S2633" s="4" t="str">
        <f>(VLOOKUP(B2633,Price_data!A$1:C$190,3,FALSE))</f>
        <v>EEZ</v>
      </c>
      <c r="T2633" s="2" t="str">
        <f>IF(C2633="Total", (VLOOKUP(B2633,Recommended_fish_intake!A$4:D$122,4,FALSE)), "NA")</f>
        <v>NA</v>
      </c>
      <c r="U2633" s="2" t="str">
        <f t="shared" si="325"/>
        <v>NA</v>
      </c>
    </row>
    <row r="2634" spans="1:21" ht="14.25" customHeight="1">
      <c r="A2634" s="2" t="s">
        <v>15</v>
      </c>
      <c r="B2634" s="2">
        <v>1993</v>
      </c>
      <c r="C2634" s="2" t="s">
        <v>21</v>
      </c>
      <c r="D2634" s="3">
        <v>7</v>
      </c>
      <c r="E2634" s="3">
        <v>1</v>
      </c>
      <c r="F2634" s="2" t="s">
        <v>92</v>
      </c>
      <c r="G2634" s="2" t="s">
        <v>92</v>
      </c>
      <c r="H2634" s="2" t="s">
        <v>92</v>
      </c>
      <c r="I2634" s="2" t="s">
        <v>92</v>
      </c>
      <c r="P2634" s="3">
        <f>E2634*(VLOOKUP(B2634,Price_data!A$1:B$190,2,FALSE))</f>
        <v>1.2102323909999999</v>
      </c>
      <c r="Q2634" s="3" t="e">
        <f>G2634*(VLOOKUP(B2634,Price_data!A$1:B$190,2,FALSE))</f>
        <v>#VALUE!</v>
      </c>
      <c r="R2634" s="3" t="e">
        <f>I2634*(VLOOKUP(B2634,Price_data!A$1:B$190,2,FALSE))</f>
        <v>#VALUE!</v>
      </c>
      <c r="S2634" s="4" t="str">
        <f>(VLOOKUP(B2634,Price_data!A$1:C$190,3,FALSE))</f>
        <v>EEZ</v>
      </c>
      <c r="T2634" s="2" t="str">
        <f>IF(C2634="Total", (VLOOKUP(B2634,Recommended_fish_intake!A$4:D$122,4,FALSE)), "NA")</f>
        <v>NA</v>
      </c>
      <c r="U2634" s="2" t="str">
        <f t="shared" si="325"/>
        <v>NA</v>
      </c>
    </row>
    <row r="2635" spans="1:21" ht="14.25" customHeight="1">
      <c r="A2635" s="2" t="s">
        <v>15</v>
      </c>
      <c r="B2635" s="2">
        <v>1993</v>
      </c>
      <c r="C2635" s="2" t="s">
        <v>25</v>
      </c>
      <c r="D2635" s="2">
        <v>19.399999999999999</v>
      </c>
      <c r="E2635" s="2">
        <v>21.5</v>
      </c>
      <c r="F2635" s="3">
        <f t="shared" ref="F2635:I2637" si="327">IF(L2635="", NA(), L2635/1000)</f>
        <v>2.0009999999999999</v>
      </c>
      <c r="G2635" s="3">
        <f t="shared" si="327"/>
        <v>3.181</v>
      </c>
      <c r="H2635" s="3">
        <f t="shared" si="327"/>
        <v>9.3819999999999997</v>
      </c>
      <c r="I2635" s="3">
        <f t="shared" si="327"/>
        <v>18.135999999999999</v>
      </c>
      <c r="L2635" s="2">
        <f>1784+34+183</f>
        <v>2001</v>
      </c>
      <c r="M2635" s="2">
        <f>2413+158+610</f>
        <v>3181</v>
      </c>
      <c r="N2635" s="2">
        <f>5832+534+3016</f>
        <v>9382</v>
      </c>
      <c r="O2635" s="2">
        <f>7665+609+9862</f>
        <v>18136</v>
      </c>
      <c r="P2635" s="3">
        <f>E2635*(VLOOKUP(B2635,Price_data!A$1:B$190,2,FALSE))</f>
        <v>26.019996406499999</v>
      </c>
      <c r="Q2635" s="3">
        <f>G2635*(VLOOKUP(B2635,Price_data!A$1:B$190,2,FALSE))</f>
        <v>3.8497492357709997</v>
      </c>
      <c r="R2635" s="3">
        <f>I2635*(VLOOKUP(B2635,Price_data!A$1:B$190,2,FALSE))</f>
        <v>21.948774643175998</v>
      </c>
      <c r="S2635" s="4" t="str">
        <f>(VLOOKUP(B2635,Price_data!A$1:C$190,3,FALSE))</f>
        <v>EEZ</v>
      </c>
      <c r="T2635" s="2" t="str">
        <f>IF(C2635="Total", (VLOOKUP(B2635,Recommended_fish_intake!A$4:D$122,4,FALSE)), "NA")</f>
        <v>NA</v>
      </c>
      <c r="U2635" s="2" t="str">
        <f t="shared" si="325"/>
        <v>NA</v>
      </c>
    </row>
    <row r="2636" spans="1:21" ht="14.25" customHeight="1">
      <c r="A2636" s="2" t="s">
        <v>15</v>
      </c>
      <c r="B2636" s="2">
        <v>1993</v>
      </c>
      <c r="C2636" s="2" t="s">
        <v>43</v>
      </c>
      <c r="D2636" s="3" t="e">
        <v>#N/A</v>
      </c>
      <c r="E2636" s="3" t="e">
        <v>#N/A</v>
      </c>
      <c r="F2636" s="3">
        <f t="shared" si="327"/>
        <v>1.802</v>
      </c>
      <c r="G2636" s="3">
        <f t="shared" si="327"/>
        <v>4.29</v>
      </c>
      <c r="H2636" s="3">
        <f t="shared" si="327"/>
        <v>48.005000000000003</v>
      </c>
      <c r="I2636" s="3">
        <f t="shared" si="327"/>
        <v>76.385999999999996</v>
      </c>
      <c r="L2636" s="2">
        <f>232+14+1556</f>
        <v>1802</v>
      </c>
      <c r="M2636" s="2">
        <f>746+35+3509</f>
        <v>4290</v>
      </c>
      <c r="N2636" s="2">
        <f>199+175+47631</f>
        <v>48005</v>
      </c>
      <c r="O2636" s="2">
        <f>897+206+75283</f>
        <v>76386</v>
      </c>
      <c r="P2636" s="3" t="e">
        <f>E2636*(VLOOKUP(B2636,Price_data!A$1:B$190,2,FALSE))</f>
        <v>#N/A</v>
      </c>
      <c r="Q2636" s="3">
        <f>G2636*(VLOOKUP(B2636,Price_data!A$1:B$190,2,FALSE))</f>
        <v>5.19189695739</v>
      </c>
      <c r="R2636" s="3">
        <f>I2636*(VLOOKUP(B2636,Price_data!A$1:B$190,2,FALSE))</f>
        <v>92.444811418925994</v>
      </c>
      <c r="S2636" s="4" t="str">
        <f>(VLOOKUP(B2636,Price_data!A$1:C$190,3,FALSE))</f>
        <v>EEZ</v>
      </c>
      <c r="T2636" s="2" t="str">
        <f>IF(C2636="Total", (VLOOKUP(B2636,Recommended_fish_intake!A$4:D$122,4,FALSE)), "NA")</f>
        <v>NA</v>
      </c>
      <c r="U2636" s="2" t="str">
        <f t="shared" si="325"/>
        <v>NA</v>
      </c>
    </row>
    <row r="2637" spans="1:21" ht="14.25" customHeight="1">
      <c r="A2637" s="2" t="s">
        <v>15</v>
      </c>
      <c r="B2637" s="2">
        <v>1993</v>
      </c>
      <c r="C2637" s="2" t="s">
        <v>29</v>
      </c>
      <c r="D2637" s="3" t="e">
        <v>#N/A</v>
      </c>
      <c r="E2637" s="3" t="e">
        <v>#N/A</v>
      </c>
      <c r="F2637" s="3">
        <f t="shared" si="327"/>
        <v>20.849</v>
      </c>
      <c r="G2637" s="3">
        <f t="shared" si="327"/>
        <v>98.52</v>
      </c>
      <c r="H2637" s="3">
        <f t="shared" si="327"/>
        <v>37.33</v>
      </c>
      <c r="I2637" s="3">
        <f t="shared" si="327"/>
        <v>128.346</v>
      </c>
      <c r="L2637" s="2">
        <f>23+15896+512+657+187+2409+1165</f>
        <v>20849</v>
      </c>
      <c r="M2637" s="2">
        <f>95+54908+2525+2308+1814+31968+4902</f>
        <v>98520</v>
      </c>
      <c r="N2637" s="2">
        <f>59+6045+280+1948+716+132+28150</f>
        <v>37330</v>
      </c>
      <c r="O2637" s="2">
        <f>103+21081+1276+4460+3345+999+97082</f>
        <v>128346</v>
      </c>
      <c r="P2637" s="3" t="e">
        <f>E2637*(VLOOKUP(B2637,Price_data!A$1:B$190,2,FALSE))</f>
        <v>#N/A</v>
      </c>
      <c r="Q2637" s="3">
        <f>G2637*(VLOOKUP(B2637,Price_data!A$1:B$190,2,FALSE))</f>
        <v>119.23209516131999</v>
      </c>
      <c r="R2637" s="3">
        <f>I2637*(VLOOKUP(B2637,Price_data!A$1:B$190,2,FALSE))</f>
        <v>155.328486455286</v>
      </c>
      <c r="S2637" s="4" t="str">
        <f>(VLOOKUP(B2637,Price_data!A$1:C$190,3,FALSE))</f>
        <v>EEZ</v>
      </c>
      <c r="T2637" s="2" t="str">
        <f>IF(C2637="Total", (VLOOKUP(B2637,Recommended_fish_intake!A$4:D$122,4,FALSE)), "NA")</f>
        <v>NA</v>
      </c>
      <c r="U2637" s="2" t="str">
        <f t="shared" si="325"/>
        <v>NA</v>
      </c>
    </row>
    <row r="2638" spans="1:21" ht="14.25" customHeight="1">
      <c r="A2638" s="2" t="s">
        <v>90</v>
      </c>
      <c r="B2638" s="2">
        <v>1994</v>
      </c>
      <c r="C2638" s="2" t="s">
        <v>22</v>
      </c>
      <c r="D2638" s="2">
        <v>29.2</v>
      </c>
      <c r="E2638" s="2">
        <v>27.9</v>
      </c>
      <c r="P2638" s="3">
        <f>E2638*(VLOOKUP(B2638,Price_data!A$1:B$190,2,FALSE))</f>
        <v>32.9696042355</v>
      </c>
      <c r="Q2638" s="3">
        <f>G2638*(VLOOKUP(B2638,Price_data!A$1:B$190,2,FALSE))</f>
        <v>0</v>
      </c>
      <c r="R2638" s="3">
        <f>I2638*(VLOOKUP(B2638,Price_data!A$1:B$190,2,FALSE))</f>
        <v>0</v>
      </c>
      <c r="S2638" s="4" t="str">
        <f>(VLOOKUP(B2638,Price_data!A$1:C$190,3,FALSE))</f>
        <v>EEZ</v>
      </c>
      <c r="T2638" s="2" t="str">
        <f>IF(C2638="Total", (VLOOKUP(B2638,Recommended_fish_intake!A$4:D$122,4,FALSE)), "NA")</f>
        <v>NA</v>
      </c>
      <c r="U2638" s="2" t="str">
        <f t="shared" si="325"/>
        <v>NA</v>
      </c>
    </row>
    <row r="2639" spans="1:21" ht="14.25" customHeight="1">
      <c r="A2639" s="2" t="s">
        <v>90</v>
      </c>
      <c r="B2639" s="2">
        <v>1994</v>
      </c>
      <c r="C2639" s="2" t="s">
        <v>23</v>
      </c>
      <c r="D2639" s="2">
        <v>8.6999999999999993</v>
      </c>
      <c r="E2639" s="2">
        <v>6.4</v>
      </c>
      <c r="P2639" s="3">
        <f>E2639*(VLOOKUP(B2639,Price_data!A$1:B$190,2,FALSE))</f>
        <v>7.5629199680000001</v>
      </c>
      <c r="Q2639" s="3">
        <f>G2639*(VLOOKUP(B2639,Price_data!A$1:B$190,2,FALSE))</f>
        <v>0</v>
      </c>
      <c r="R2639" s="3">
        <f>I2639*(VLOOKUP(B2639,Price_data!A$1:B$190,2,FALSE))</f>
        <v>0</v>
      </c>
      <c r="S2639" s="4" t="str">
        <f>(VLOOKUP(B2639,Price_data!A$1:C$190,3,FALSE))</f>
        <v>EEZ</v>
      </c>
      <c r="T2639" s="2" t="str">
        <f>IF(C2639="Total", (VLOOKUP(B2639,Recommended_fish_intake!A$4:D$122,4,FALSE)), "NA")</f>
        <v>NA</v>
      </c>
      <c r="U2639" s="2" t="str">
        <f t="shared" si="325"/>
        <v>NA</v>
      </c>
    </row>
    <row r="2640" spans="1:21" ht="14.25" customHeight="1">
      <c r="A2640" s="2" t="s">
        <v>90</v>
      </c>
      <c r="B2640" s="2">
        <v>1994</v>
      </c>
      <c r="C2640" s="2" t="s">
        <v>58</v>
      </c>
      <c r="D2640" s="2">
        <v>2.9</v>
      </c>
      <c r="E2640" s="2">
        <v>4.8</v>
      </c>
      <c r="P2640" s="3">
        <f>E2640*(VLOOKUP(B2640,Price_data!A$1:B$190,2,FALSE))</f>
        <v>5.6721899759999994</v>
      </c>
      <c r="Q2640" s="3">
        <f>G2640*(VLOOKUP(B2640,Price_data!A$1:B$190,2,FALSE))</f>
        <v>0</v>
      </c>
      <c r="R2640" s="3">
        <f>I2640*(VLOOKUP(B2640,Price_data!A$1:B$190,2,FALSE))</f>
        <v>0</v>
      </c>
      <c r="S2640" s="4" t="str">
        <f>(VLOOKUP(B2640,Price_data!A$1:C$190,3,FALSE))</f>
        <v>EEZ</v>
      </c>
      <c r="T2640" s="2" t="str">
        <f>IF(C2640="Total", (VLOOKUP(B2640,Recommended_fish_intake!A$4:D$122,4,FALSE)), "NA")</f>
        <v>NA</v>
      </c>
      <c r="U2640" s="2" t="str">
        <f t="shared" si="325"/>
        <v>NA</v>
      </c>
    </row>
    <row r="2641" spans="1:21" ht="14.25" customHeight="1">
      <c r="A2641" s="2" t="s">
        <v>90</v>
      </c>
      <c r="B2641" s="2">
        <v>1994</v>
      </c>
      <c r="C2641" s="2" t="s">
        <v>24</v>
      </c>
      <c r="D2641" s="2">
        <v>4.7</v>
      </c>
      <c r="E2641" s="2">
        <v>2.2000000000000002</v>
      </c>
      <c r="P2641" s="3">
        <f>E2641*(VLOOKUP(B2641,Price_data!A$1:B$190,2,FALSE))</f>
        <v>2.5997537390000001</v>
      </c>
      <c r="Q2641" s="3">
        <f>G2641*(VLOOKUP(B2641,Price_data!A$1:B$190,2,FALSE))</f>
        <v>0</v>
      </c>
      <c r="R2641" s="3">
        <f>I2641*(VLOOKUP(B2641,Price_data!A$1:B$190,2,FALSE))</f>
        <v>0</v>
      </c>
      <c r="S2641" s="4" t="str">
        <f>(VLOOKUP(B2641,Price_data!A$1:C$190,3,FALSE))</f>
        <v>EEZ</v>
      </c>
      <c r="T2641" s="2" t="str">
        <f>IF(C2641="Total", (VLOOKUP(B2641,Recommended_fish_intake!A$4:D$122,4,FALSE)), "NA")</f>
        <v>NA</v>
      </c>
      <c r="U2641" s="2" t="str">
        <f t="shared" si="325"/>
        <v>NA</v>
      </c>
    </row>
    <row r="2642" spans="1:21" ht="14.25" customHeight="1">
      <c r="A2642" s="2" t="s">
        <v>90</v>
      </c>
      <c r="B2642" s="2">
        <v>1994</v>
      </c>
      <c r="C2642" s="2" t="s">
        <v>41</v>
      </c>
      <c r="D2642" s="2">
        <v>85.3</v>
      </c>
      <c r="E2642" s="2">
        <v>107.9</v>
      </c>
      <c r="P2642" s="3">
        <f>E2642*(VLOOKUP(B2642,Price_data!A$1:B$190,2,FALSE))</f>
        <v>127.5061038355</v>
      </c>
      <c r="Q2642" s="3">
        <f>G2642*(VLOOKUP(B2642,Price_data!A$1:B$190,2,FALSE))</f>
        <v>0</v>
      </c>
      <c r="R2642" s="3">
        <f>I2642*(VLOOKUP(B2642,Price_data!A$1:B$190,2,FALSE))</f>
        <v>0</v>
      </c>
      <c r="S2642" s="4" t="str">
        <f>(VLOOKUP(B2642,Price_data!A$1:C$190,3,FALSE))</f>
        <v>EEZ</v>
      </c>
      <c r="T2642" s="2" t="str">
        <f>IF(C2642="Total", (VLOOKUP(B2642,Recommended_fish_intake!A$4:D$122,4,FALSE)), "NA")</f>
        <v>NA</v>
      </c>
      <c r="U2642" s="2" t="str">
        <f t="shared" si="325"/>
        <v>NA</v>
      </c>
    </row>
    <row r="2643" spans="1:21" ht="14.25" customHeight="1">
      <c r="A2643" s="2" t="s">
        <v>90</v>
      </c>
      <c r="B2643" s="2">
        <v>1994</v>
      </c>
      <c r="C2643" s="2" t="s">
        <v>19</v>
      </c>
      <c r="D2643" s="2">
        <v>4.2</v>
      </c>
      <c r="E2643" s="2">
        <v>0.5</v>
      </c>
      <c r="P2643" s="3">
        <f>E2643*(VLOOKUP(B2643,Price_data!A$1:B$190,2,FALSE))</f>
        <v>0.59085312249999999</v>
      </c>
      <c r="Q2643" s="3">
        <f>G2643*(VLOOKUP(B2643,Price_data!A$1:B$190,2,FALSE))</f>
        <v>0</v>
      </c>
      <c r="R2643" s="3">
        <f>I2643*(VLOOKUP(B2643,Price_data!A$1:B$190,2,FALSE))</f>
        <v>0</v>
      </c>
      <c r="S2643" s="4" t="str">
        <f>(VLOOKUP(B2643,Price_data!A$1:C$190,3,FALSE))</f>
        <v>EEZ</v>
      </c>
      <c r="T2643" s="2" t="str">
        <f>IF(C2643="Total", (VLOOKUP(B2643,Recommended_fish_intake!A$4:D$122,4,FALSE)), "NA")</f>
        <v>NA</v>
      </c>
      <c r="U2643" s="2" t="str">
        <f t="shared" si="325"/>
        <v>NA</v>
      </c>
    </row>
    <row r="2644" spans="1:21" ht="14.25" customHeight="1">
      <c r="A2644" s="2" t="s">
        <v>90</v>
      </c>
      <c r="B2644" s="2">
        <v>1994</v>
      </c>
      <c r="C2644" s="2" t="s">
        <v>20</v>
      </c>
      <c r="D2644" s="2">
        <v>17.3</v>
      </c>
      <c r="E2644" s="2">
        <v>2.6</v>
      </c>
      <c r="P2644" s="3">
        <f>E2644*(VLOOKUP(B2644,Price_data!A$1:B$190,2,FALSE))</f>
        <v>3.0724362370000002</v>
      </c>
      <c r="Q2644" s="3">
        <f>G2644*(VLOOKUP(B2644,Price_data!A$1:B$190,2,FALSE))</f>
        <v>0</v>
      </c>
      <c r="R2644" s="3">
        <f>I2644*(VLOOKUP(B2644,Price_data!A$1:B$190,2,FALSE))</f>
        <v>0</v>
      </c>
      <c r="S2644" s="4" t="str">
        <f>(VLOOKUP(B2644,Price_data!A$1:C$190,3,FALSE))</f>
        <v>EEZ</v>
      </c>
      <c r="T2644" s="2" t="str">
        <f>IF(C2644="Total", (VLOOKUP(B2644,Recommended_fish_intake!A$4:D$122,4,FALSE)), "NA")</f>
        <v>NA</v>
      </c>
      <c r="U2644" s="2" t="str">
        <f t="shared" si="325"/>
        <v>NA</v>
      </c>
    </row>
    <row r="2645" spans="1:21" ht="14.25" customHeight="1">
      <c r="A2645" s="2" t="s">
        <v>90</v>
      </c>
      <c r="B2645" s="2">
        <v>1994</v>
      </c>
      <c r="C2645" s="2" t="s">
        <v>42</v>
      </c>
      <c r="D2645" s="2">
        <v>34.799999999999997</v>
      </c>
      <c r="E2645" s="2">
        <v>5.9</v>
      </c>
      <c r="P2645" s="3">
        <f>E2645*(VLOOKUP(B2645,Price_data!A$1:B$190,2,FALSE))</f>
        <v>6.9720668455000006</v>
      </c>
      <c r="Q2645" s="3">
        <f>G2645*(VLOOKUP(B2645,Price_data!A$1:B$190,2,FALSE))</f>
        <v>0</v>
      </c>
      <c r="R2645" s="3">
        <f>I2645*(VLOOKUP(B2645,Price_data!A$1:B$190,2,FALSE))</f>
        <v>0</v>
      </c>
      <c r="S2645" s="4" t="str">
        <f>(VLOOKUP(B2645,Price_data!A$1:C$190,3,FALSE))</f>
        <v>EEZ</v>
      </c>
      <c r="T2645" s="2" t="str">
        <f>IF(C2645="Total", (VLOOKUP(B2645,Recommended_fish_intake!A$4:D$122,4,FALSE)), "NA")</f>
        <v>NA</v>
      </c>
      <c r="U2645" s="2" t="str">
        <f t="shared" si="325"/>
        <v>NA</v>
      </c>
    </row>
    <row r="2646" spans="1:21" ht="14.25" customHeight="1">
      <c r="A2646" s="2" t="s">
        <v>90</v>
      </c>
      <c r="B2646" s="2">
        <v>1994</v>
      </c>
      <c r="C2646" s="2" t="s">
        <v>36</v>
      </c>
      <c r="D2646" s="2">
        <v>10</v>
      </c>
      <c r="E2646" s="2">
        <v>10.199999999999999</v>
      </c>
      <c r="P2646" s="3">
        <f>E2646*(VLOOKUP(B2646,Price_data!A$1:B$190,2,FALSE))</f>
        <v>12.053403698999999</v>
      </c>
      <c r="Q2646" s="3">
        <f>G2646*(VLOOKUP(B2646,Price_data!A$1:B$190,2,FALSE))</f>
        <v>0</v>
      </c>
      <c r="R2646" s="3">
        <f>I2646*(VLOOKUP(B2646,Price_data!A$1:B$190,2,FALSE))</f>
        <v>0</v>
      </c>
      <c r="S2646" s="4" t="str">
        <f>(VLOOKUP(B2646,Price_data!A$1:C$190,3,FALSE))</f>
        <v>EEZ</v>
      </c>
      <c r="T2646" s="2" t="str">
        <f>IF(C2646="Total", (VLOOKUP(B2646,Recommended_fish_intake!A$4:D$122,4,FALSE)), "NA")</f>
        <v>NA</v>
      </c>
      <c r="U2646" s="2" t="str">
        <f t="shared" si="325"/>
        <v>NA</v>
      </c>
    </row>
    <row r="2647" spans="1:21" ht="14.25" customHeight="1">
      <c r="A2647" s="2" t="s">
        <v>90</v>
      </c>
      <c r="B2647" s="2">
        <v>1994</v>
      </c>
      <c r="C2647" s="2" t="s">
        <v>34</v>
      </c>
      <c r="D2647" s="2">
        <v>0.6</v>
      </c>
      <c r="E2647" s="2">
        <v>5.6</v>
      </c>
      <c r="P2647" s="3">
        <f>E2647*(VLOOKUP(B2647,Price_data!A$1:B$190,2,FALSE))</f>
        <v>6.6175549719999998</v>
      </c>
      <c r="Q2647" s="3">
        <f>G2647*(VLOOKUP(B2647,Price_data!A$1:B$190,2,FALSE))</f>
        <v>0</v>
      </c>
      <c r="R2647" s="3">
        <f>I2647*(VLOOKUP(B2647,Price_data!A$1:B$190,2,FALSE))</f>
        <v>0</v>
      </c>
      <c r="S2647" s="4" t="str">
        <f>(VLOOKUP(B2647,Price_data!A$1:C$190,3,FALSE))</f>
        <v>EEZ</v>
      </c>
      <c r="T2647" s="2" t="str">
        <f>IF(C2647="Total", (VLOOKUP(B2647,Recommended_fish_intake!A$4:D$122,4,FALSE)), "NA")</f>
        <v>NA</v>
      </c>
      <c r="U2647" s="2" t="str">
        <f t="shared" si="325"/>
        <v>NA</v>
      </c>
    </row>
    <row r="2648" spans="1:21" ht="14.25" customHeight="1">
      <c r="A2648" s="2" t="s">
        <v>90</v>
      </c>
      <c r="B2648" s="2">
        <v>1994</v>
      </c>
      <c r="C2648" s="2" t="s">
        <v>35</v>
      </c>
      <c r="D2648" s="2">
        <v>4.0999999999999996</v>
      </c>
      <c r="E2648" s="2">
        <v>7.3</v>
      </c>
      <c r="P2648" s="3">
        <f>E2648*(VLOOKUP(B2648,Price_data!A$1:B$190,2,FALSE))</f>
        <v>8.6264555884999989</v>
      </c>
      <c r="Q2648" s="3">
        <f>G2648*(VLOOKUP(B2648,Price_data!A$1:B$190,2,FALSE))</f>
        <v>0</v>
      </c>
      <c r="R2648" s="3">
        <f>I2648*(VLOOKUP(B2648,Price_data!A$1:B$190,2,FALSE))</f>
        <v>0</v>
      </c>
      <c r="S2648" s="4" t="str">
        <f>(VLOOKUP(B2648,Price_data!A$1:C$190,3,FALSE))</f>
        <v>EEZ</v>
      </c>
      <c r="T2648" s="2" t="str">
        <f>IF(C2648="Total", (VLOOKUP(B2648,Recommended_fish_intake!A$4:D$122,4,FALSE)), "NA")</f>
        <v>NA</v>
      </c>
      <c r="U2648" s="2" t="str">
        <f t="shared" si="325"/>
        <v>NA</v>
      </c>
    </row>
    <row r="2649" spans="1:21" ht="14.25" customHeight="1">
      <c r="A2649" s="2" t="s">
        <v>90</v>
      </c>
      <c r="B2649" s="2">
        <v>1994</v>
      </c>
      <c r="C2649" s="2" t="s">
        <v>52</v>
      </c>
      <c r="D2649" s="2">
        <v>5.3</v>
      </c>
      <c r="E2649" s="2">
        <v>6.7</v>
      </c>
      <c r="P2649" s="3">
        <f>E2649*(VLOOKUP(B2649,Price_data!A$1:B$190,2,FALSE))</f>
        <v>7.9174318415</v>
      </c>
      <c r="Q2649" s="3">
        <f>G2649*(VLOOKUP(B2649,Price_data!A$1:B$190,2,FALSE))</f>
        <v>0</v>
      </c>
      <c r="R2649" s="3">
        <f>I2649*(VLOOKUP(B2649,Price_data!A$1:B$190,2,FALSE))</f>
        <v>0</v>
      </c>
      <c r="S2649" s="4" t="str">
        <f>(VLOOKUP(B2649,Price_data!A$1:C$190,3,FALSE))</f>
        <v>EEZ</v>
      </c>
      <c r="T2649" s="2" t="str">
        <f>IF(C2649="Total", (VLOOKUP(B2649,Recommended_fish_intake!A$4:D$122,4,FALSE)), "NA")</f>
        <v>NA</v>
      </c>
      <c r="U2649" s="2" t="str">
        <f t="shared" si="325"/>
        <v>NA</v>
      </c>
    </row>
    <row r="2650" spans="1:21" ht="14.25" customHeight="1">
      <c r="A2650" s="2" t="s">
        <v>90</v>
      </c>
      <c r="B2650" s="2">
        <v>1994</v>
      </c>
      <c r="C2650" s="2" t="s">
        <v>30</v>
      </c>
      <c r="D2650" s="2">
        <v>1.2</v>
      </c>
      <c r="E2650" s="2">
        <v>1.7</v>
      </c>
      <c r="P2650" s="3">
        <f>E2650*(VLOOKUP(B2650,Price_data!A$1:B$190,2,FALSE))</f>
        <v>2.0089006165000001</v>
      </c>
      <c r="Q2650" s="3">
        <f>G2650*(VLOOKUP(B2650,Price_data!A$1:B$190,2,FALSE))</f>
        <v>0</v>
      </c>
      <c r="R2650" s="3">
        <f>I2650*(VLOOKUP(B2650,Price_data!A$1:B$190,2,FALSE))</f>
        <v>0</v>
      </c>
      <c r="S2650" s="4" t="str">
        <f>(VLOOKUP(B2650,Price_data!A$1:C$190,3,FALSE))</f>
        <v>EEZ</v>
      </c>
      <c r="T2650" s="2" t="str">
        <f>IF(C2650="Total", (VLOOKUP(B2650,Recommended_fish_intake!A$4:D$122,4,FALSE)), "NA")</f>
        <v>NA</v>
      </c>
      <c r="U2650" s="2" t="str">
        <f t="shared" si="325"/>
        <v>NA</v>
      </c>
    </row>
    <row r="2651" spans="1:21" ht="14.25" customHeight="1">
      <c r="A2651" s="2" t="s">
        <v>90</v>
      </c>
      <c r="B2651" s="2">
        <v>1994</v>
      </c>
      <c r="C2651" s="2" t="s">
        <v>28</v>
      </c>
      <c r="D2651" s="2">
        <v>58.5</v>
      </c>
      <c r="E2651" s="2">
        <v>43.6</v>
      </c>
      <c r="P2651" s="3">
        <f>E2651*(VLOOKUP(B2651,Price_data!A$1:B$190,2,FALSE))</f>
        <v>51.522392281999998</v>
      </c>
      <c r="Q2651" s="3">
        <f>G2651*(VLOOKUP(B2651,Price_data!A$1:B$190,2,FALSE))</f>
        <v>0</v>
      </c>
      <c r="R2651" s="3">
        <f>I2651*(VLOOKUP(B2651,Price_data!A$1:B$190,2,FALSE))</f>
        <v>0</v>
      </c>
      <c r="S2651" s="4" t="str">
        <f>(VLOOKUP(B2651,Price_data!A$1:C$190,3,FALSE))</f>
        <v>EEZ</v>
      </c>
      <c r="T2651" s="2" t="str">
        <f>IF(C2651="Total", (VLOOKUP(B2651,Recommended_fish_intake!A$4:D$122,4,FALSE)), "NA")</f>
        <v>NA</v>
      </c>
      <c r="U2651" s="2">
        <f t="shared" si="325"/>
        <v>16.380000000000003</v>
      </c>
    </row>
    <row r="2652" spans="1:21" ht="14.25" customHeight="1">
      <c r="A2652" s="2" t="s">
        <v>91</v>
      </c>
      <c r="B2652" s="2">
        <v>1994</v>
      </c>
      <c r="C2652" s="2" t="s">
        <v>22</v>
      </c>
      <c r="D2652" s="2">
        <v>0</v>
      </c>
      <c r="E2652" s="2">
        <v>0</v>
      </c>
      <c r="P2652" s="3">
        <f>E2652*(VLOOKUP(B2652,Price_data!A$1:B$190,2,FALSE))</f>
        <v>0</v>
      </c>
      <c r="Q2652" s="3">
        <f>G2652*(VLOOKUP(B2652,Price_data!A$1:B$190,2,FALSE))</f>
        <v>0</v>
      </c>
      <c r="R2652" s="3">
        <f>I2652*(VLOOKUP(B2652,Price_data!A$1:B$190,2,FALSE))</f>
        <v>0</v>
      </c>
      <c r="S2652" s="4" t="str">
        <f>(VLOOKUP(B2652,Price_data!A$1:C$190,3,FALSE))</f>
        <v>EEZ</v>
      </c>
      <c r="T2652" s="2" t="str">
        <f>IF(C2652="Total", (VLOOKUP(B2652,Recommended_fish_intake!A$4:D$122,4,FALSE)), "NA")</f>
        <v>NA</v>
      </c>
      <c r="U2652" s="2" t="str">
        <f t="shared" si="325"/>
        <v>NA</v>
      </c>
    </row>
    <row r="2653" spans="1:21" ht="14.25" customHeight="1">
      <c r="A2653" s="2" t="s">
        <v>91</v>
      </c>
      <c r="B2653" s="2">
        <v>1994</v>
      </c>
      <c r="C2653" s="2" t="s">
        <v>23</v>
      </c>
      <c r="D2653" s="2">
        <v>0</v>
      </c>
      <c r="E2653" s="2">
        <v>0</v>
      </c>
      <c r="P2653" s="3">
        <f>E2653*(VLOOKUP(B2653,Price_data!A$1:B$190,2,FALSE))</f>
        <v>0</v>
      </c>
      <c r="Q2653" s="3">
        <f>G2653*(VLOOKUP(B2653,Price_data!A$1:B$190,2,FALSE))</f>
        <v>0</v>
      </c>
      <c r="R2653" s="3">
        <f>I2653*(VLOOKUP(B2653,Price_data!A$1:B$190,2,FALSE))</f>
        <v>0</v>
      </c>
      <c r="S2653" s="4" t="str">
        <f>(VLOOKUP(B2653,Price_data!A$1:C$190,3,FALSE))</f>
        <v>EEZ</v>
      </c>
      <c r="T2653" s="2" t="str">
        <f>IF(C2653="Total", (VLOOKUP(B2653,Recommended_fish_intake!A$4:D$122,4,FALSE)), "NA")</f>
        <v>NA</v>
      </c>
      <c r="U2653" s="2" t="str">
        <f t="shared" si="325"/>
        <v>NA</v>
      </c>
    </row>
    <row r="2654" spans="1:21" ht="14.25" customHeight="1">
      <c r="A2654" s="2" t="s">
        <v>91</v>
      </c>
      <c r="B2654" s="2">
        <v>1994</v>
      </c>
      <c r="C2654" s="2" t="s">
        <v>58</v>
      </c>
      <c r="D2654" s="2">
        <v>0</v>
      </c>
      <c r="E2654" s="2">
        <v>0</v>
      </c>
      <c r="P2654" s="3">
        <f>E2654*(VLOOKUP(B2654,Price_data!A$1:B$190,2,FALSE))</f>
        <v>0</v>
      </c>
      <c r="Q2654" s="3">
        <f>G2654*(VLOOKUP(B2654,Price_data!A$1:B$190,2,FALSE))</f>
        <v>0</v>
      </c>
      <c r="R2654" s="3">
        <f>I2654*(VLOOKUP(B2654,Price_data!A$1:B$190,2,FALSE))</f>
        <v>0</v>
      </c>
      <c r="S2654" s="4" t="str">
        <f>(VLOOKUP(B2654,Price_data!A$1:C$190,3,FALSE))</f>
        <v>EEZ</v>
      </c>
      <c r="T2654" s="2" t="str">
        <f>IF(C2654="Total", (VLOOKUP(B2654,Recommended_fish_intake!A$4:D$122,4,FALSE)), "NA")</f>
        <v>NA</v>
      </c>
      <c r="U2654" s="2" t="str">
        <f t="shared" si="325"/>
        <v>NA</v>
      </c>
    </row>
    <row r="2655" spans="1:21" ht="14.25" customHeight="1">
      <c r="A2655" s="2" t="s">
        <v>91</v>
      </c>
      <c r="B2655" s="2">
        <v>1994</v>
      </c>
      <c r="C2655" s="2" t="s">
        <v>24</v>
      </c>
      <c r="D2655" s="2">
        <v>0</v>
      </c>
      <c r="E2655" s="2">
        <v>0</v>
      </c>
      <c r="P2655" s="3">
        <f>E2655*(VLOOKUP(B2655,Price_data!A$1:B$190,2,FALSE))</f>
        <v>0</v>
      </c>
      <c r="Q2655" s="3">
        <f>G2655*(VLOOKUP(B2655,Price_data!A$1:B$190,2,FALSE))</f>
        <v>0</v>
      </c>
      <c r="R2655" s="3">
        <f>I2655*(VLOOKUP(B2655,Price_data!A$1:B$190,2,FALSE))</f>
        <v>0</v>
      </c>
      <c r="S2655" s="4" t="str">
        <f>(VLOOKUP(B2655,Price_data!A$1:C$190,3,FALSE))</f>
        <v>EEZ</v>
      </c>
      <c r="T2655" s="2" t="str">
        <f>IF(C2655="Total", (VLOOKUP(B2655,Recommended_fish_intake!A$4:D$122,4,FALSE)), "NA")</f>
        <v>NA</v>
      </c>
      <c r="U2655" s="2" t="str">
        <f t="shared" si="325"/>
        <v>NA</v>
      </c>
    </row>
    <row r="2656" spans="1:21" ht="14.25" customHeight="1">
      <c r="A2656" s="2" t="s">
        <v>91</v>
      </c>
      <c r="B2656" s="2">
        <v>1994</v>
      </c>
      <c r="C2656" s="2" t="s">
        <v>41</v>
      </c>
      <c r="D2656" s="2">
        <v>0</v>
      </c>
      <c r="E2656" s="2">
        <v>0</v>
      </c>
      <c r="P2656" s="3">
        <f>E2656*(VLOOKUP(B2656,Price_data!A$1:B$190,2,FALSE))</f>
        <v>0</v>
      </c>
      <c r="Q2656" s="3">
        <f>G2656*(VLOOKUP(B2656,Price_data!A$1:B$190,2,FALSE))</f>
        <v>0</v>
      </c>
      <c r="R2656" s="3">
        <f>I2656*(VLOOKUP(B2656,Price_data!A$1:B$190,2,FALSE))</f>
        <v>0</v>
      </c>
      <c r="S2656" s="4" t="str">
        <f>(VLOOKUP(B2656,Price_data!A$1:C$190,3,FALSE))</f>
        <v>EEZ</v>
      </c>
      <c r="T2656" s="2" t="str">
        <f>IF(C2656="Total", (VLOOKUP(B2656,Recommended_fish_intake!A$4:D$122,4,FALSE)), "NA")</f>
        <v>NA</v>
      </c>
      <c r="U2656" s="2" t="str">
        <f t="shared" si="325"/>
        <v>NA</v>
      </c>
    </row>
    <row r="2657" spans="1:21" ht="14.25" customHeight="1">
      <c r="A2657" s="2" t="s">
        <v>91</v>
      </c>
      <c r="B2657" s="2">
        <v>1994</v>
      </c>
      <c r="C2657" s="2" t="s">
        <v>19</v>
      </c>
      <c r="D2657" s="2">
        <v>0</v>
      </c>
      <c r="E2657" s="2">
        <v>0</v>
      </c>
      <c r="P2657" s="3">
        <f>E2657*(VLOOKUP(B2657,Price_data!A$1:B$190,2,FALSE))</f>
        <v>0</v>
      </c>
      <c r="Q2657" s="3">
        <f>G2657*(VLOOKUP(B2657,Price_data!A$1:B$190,2,FALSE))</f>
        <v>0</v>
      </c>
      <c r="R2657" s="3">
        <f>I2657*(VLOOKUP(B2657,Price_data!A$1:B$190,2,FALSE))</f>
        <v>0</v>
      </c>
      <c r="S2657" s="4" t="str">
        <f>(VLOOKUP(B2657,Price_data!A$1:C$190,3,FALSE))</f>
        <v>EEZ</v>
      </c>
      <c r="T2657" s="2" t="str">
        <f>IF(C2657="Total", (VLOOKUP(B2657,Recommended_fish_intake!A$4:D$122,4,FALSE)), "NA")</f>
        <v>NA</v>
      </c>
      <c r="U2657" s="2" t="str">
        <f t="shared" si="325"/>
        <v>NA</v>
      </c>
    </row>
    <row r="2658" spans="1:21" ht="14.25" customHeight="1">
      <c r="A2658" s="2" t="s">
        <v>91</v>
      </c>
      <c r="B2658" s="2">
        <v>1994</v>
      </c>
      <c r="C2658" s="2" t="s">
        <v>20</v>
      </c>
      <c r="D2658" s="2">
        <v>0</v>
      </c>
      <c r="E2658" s="2">
        <v>0</v>
      </c>
      <c r="P2658" s="3">
        <f>E2658*(VLOOKUP(B2658,Price_data!A$1:B$190,2,FALSE))</f>
        <v>0</v>
      </c>
      <c r="Q2658" s="3">
        <f>G2658*(VLOOKUP(B2658,Price_data!A$1:B$190,2,FALSE))</f>
        <v>0</v>
      </c>
      <c r="R2658" s="3">
        <f>I2658*(VLOOKUP(B2658,Price_data!A$1:B$190,2,FALSE))</f>
        <v>0</v>
      </c>
      <c r="S2658" s="4" t="str">
        <f>(VLOOKUP(B2658,Price_data!A$1:C$190,3,FALSE))</f>
        <v>EEZ</v>
      </c>
      <c r="T2658" s="2" t="str">
        <f>IF(C2658="Total", (VLOOKUP(B2658,Recommended_fish_intake!A$4:D$122,4,FALSE)), "NA")</f>
        <v>NA</v>
      </c>
      <c r="U2658" s="2" t="str">
        <f t="shared" si="325"/>
        <v>NA</v>
      </c>
    </row>
    <row r="2659" spans="1:21" ht="14.25" customHeight="1">
      <c r="A2659" s="2" t="s">
        <v>91</v>
      </c>
      <c r="B2659" s="2">
        <v>1994</v>
      </c>
      <c r="C2659" s="2" t="s">
        <v>42</v>
      </c>
      <c r="D2659" s="2">
        <v>0</v>
      </c>
      <c r="E2659" s="2">
        <v>0</v>
      </c>
      <c r="P2659" s="3">
        <f>E2659*(VLOOKUP(B2659,Price_data!A$1:B$190,2,FALSE))</f>
        <v>0</v>
      </c>
      <c r="Q2659" s="3">
        <f>G2659*(VLOOKUP(B2659,Price_data!A$1:B$190,2,FALSE))</f>
        <v>0</v>
      </c>
      <c r="R2659" s="3">
        <f>I2659*(VLOOKUP(B2659,Price_data!A$1:B$190,2,FALSE))</f>
        <v>0</v>
      </c>
      <c r="S2659" s="4" t="str">
        <f>(VLOOKUP(B2659,Price_data!A$1:C$190,3,FALSE))</f>
        <v>EEZ</v>
      </c>
      <c r="T2659" s="2" t="str">
        <f>IF(C2659="Total", (VLOOKUP(B2659,Recommended_fish_intake!A$4:D$122,4,FALSE)), "NA")</f>
        <v>NA</v>
      </c>
      <c r="U2659" s="2" t="str">
        <f t="shared" si="325"/>
        <v>NA</v>
      </c>
    </row>
    <row r="2660" spans="1:21" ht="14.25" customHeight="1">
      <c r="A2660" s="2" t="s">
        <v>91</v>
      </c>
      <c r="B2660" s="2">
        <v>1994</v>
      </c>
      <c r="C2660" s="2" t="s">
        <v>36</v>
      </c>
      <c r="D2660" s="2">
        <v>0</v>
      </c>
      <c r="E2660" s="2">
        <v>0</v>
      </c>
      <c r="P2660" s="3">
        <f>E2660*(VLOOKUP(B2660,Price_data!A$1:B$190,2,FALSE))</f>
        <v>0</v>
      </c>
      <c r="Q2660" s="3">
        <f>G2660*(VLOOKUP(B2660,Price_data!A$1:B$190,2,FALSE))</f>
        <v>0</v>
      </c>
      <c r="R2660" s="3">
        <f>I2660*(VLOOKUP(B2660,Price_data!A$1:B$190,2,FALSE))</f>
        <v>0</v>
      </c>
      <c r="S2660" s="4" t="str">
        <f>(VLOOKUP(B2660,Price_data!A$1:C$190,3,FALSE))</f>
        <v>EEZ</v>
      </c>
      <c r="T2660" s="2" t="str">
        <f>IF(C2660="Total", (VLOOKUP(B2660,Recommended_fish_intake!A$4:D$122,4,FALSE)), "NA")</f>
        <v>NA</v>
      </c>
      <c r="U2660" s="2" t="str">
        <f t="shared" si="325"/>
        <v>NA</v>
      </c>
    </row>
    <row r="2661" spans="1:21" ht="14.25" customHeight="1">
      <c r="A2661" s="2" t="s">
        <v>91</v>
      </c>
      <c r="B2661" s="2">
        <v>1994</v>
      </c>
      <c r="C2661" s="2" t="s">
        <v>34</v>
      </c>
      <c r="D2661" s="2">
        <v>0</v>
      </c>
      <c r="E2661" s="2">
        <v>0</v>
      </c>
      <c r="P2661" s="3">
        <f>E2661*(VLOOKUP(B2661,Price_data!A$1:B$190,2,FALSE))</f>
        <v>0</v>
      </c>
      <c r="Q2661" s="3">
        <f>G2661*(VLOOKUP(B2661,Price_data!A$1:B$190,2,FALSE))</f>
        <v>0</v>
      </c>
      <c r="R2661" s="3">
        <f>I2661*(VLOOKUP(B2661,Price_data!A$1:B$190,2,FALSE))</f>
        <v>0</v>
      </c>
      <c r="S2661" s="4" t="str">
        <f>(VLOOKUP(B2661,Price_data!A$1:C$190,3,FALSE))</f>
        <v>EEZ</v>
      </c>
      <c r="T2661" s="2" t="str">
        <f>IF(C2661="Total", (VLOOKUP(B2661,Recommended_fish_intake!A$4:D$122,4,FALSE)), "NA")</f>
        <v>NA</v>
      </c>
      <c r="U2661" s="2" t="str">
        <f t="shared" si="325"/>
        <v>NA</v>
      </c>
    </row>
    <row r="2662" spans="1:21" ht="14.25" customHeight="1">
      <c r="A2662" s="2" t="s">
        <v>91</v>
      </c>
      <c r="B2662" s="2">
        <v>1994</v>
      </c>
      <c r="C2662" s="2" t="s">
        <v>35</v>
      </c>
      <c r="D2662" s="2">
        <v>0</v>
      </c>
      <c r="E2662" s="2">
        <v>0</v>
      </c>
      <c r="P2662" s="3">
        <f>E2662*(VLOOKUP(B2662,Price_data!A$1:B$190,2,FALSE))</f>
        <v>0</v>
      </c>
      <c r="Q2662" s="3">
        <f>G2662*(VLOOKUP(B2662,Price_data!A$1:B$190,2,FALSE))</f>
        <v>0</v>
      </c>
      <c r="R2662" s="3">
        <f>I2662*(VLOOKUP(B2662,Price_data!A$1:B$190,2,FALSE))</f>
        <v>0</v>
      </c>
      <c r="S2662" s="4" t="str">
        <f>(VLOOKUP(B2662,Price_data!A$1:C$190,3,FALSE))</f>
        <v>EEZ</v>
      </c>
      <c r="T2662" s="2" t="str">
        <f>IF(C2662="Total", (VLOOKUP(B2662,Recommended_fish_intake!A$4:D$122,4,FALSE)), "NA")</f>
        <v>NA</v>
      </c>
      <c r="U2662" s="2" t="str">
        <f t="shared" si="325"/>
        <v>NA</v>
      </c>
    </row>
    <row r="2663" spans="1:21" ht="14.25" customHeight="1">
      <c r="A2663" s="2" t="s">
        <v>91</v>
      </c>
      <c r="B2663" s="2">
        <v>1994</v>
      </c>
      <c r="C2663" s="2" t="s">
        <v>52</v>
      </c>
      <c r="D2663" s="2">
        <v>0</v>
      </c>
      <c r="E2663" s="2">
        <v>0</v>
      </c>
      <c r="P2663" s="3">
        <f>E2663*(VLOOKUP(B2663,Price_data!A$1:B$190,2,FALSE))</f>
        <v>0</v>
      </c>
      <c r="Q2663" s="3">
        <f>G2663*(VLOOKUP(B2663,Price_data!A$1:B$190,2,FALSE))</f>
        <v>0</v>
      </c>
      <c r="R2663" s="3">
        <f>I2663*(VLOOKUP(B2663,Price_data!A$1:B$190,2,FALSE))</f>
        <v>0</v>
      </c>
      <c r="S2663" s="4" t="str">
        <f>(VLOOKUP(B2663,Price_data!A$1:C$190,3,FALSE))</f>
        <v>EEZ</v>
      </c>
      <c r="T2663" s="2" t="str">
        <f>IF(C2663="Total", (VLOOKUP(B2663,Recommended_fish_intake!A$4:D$122,4,FALSE)), "NA")</f>
        <v>NA</v>
      </c>
      <c r="U2663" s="2" t="str">
        <f t="shared" si="325"/>
        <v>NA</v>
      </c>
    </row>
    <row r="2664" spans="1:21" ht="14.25" customHeight="1">
      <c r="A2664" s="2" t="s">
        <v>91</v>
      </c>
      <c r="B2664" s="2">
        <v>1994</v>
      </c>
      <c r="C2664" s="2" t="s">
        <v>30</v>
      </c>
      <c r="D2664" s="2">
        <v>0</v>
      </c>
      <c r="E2664" s="2">
        <v>0</v>
      </c>
      <c r="P2664" s="3">
        <f>E2664*(VLOOKUP(B2664,Price_data!A$1:B$190,2,FALSE))</f>
        <v>0</v>
      </c>
      <c r="Q2664" s="3">
        <f>G2664*(VLOOKUP(B2664,Price_data!A$1:B$190,2,FALSE))</f>
        <v>0</v>
      </c>
      <c r="R2664" s="3">
        <f>I2664*(VLOOKUP(B2664,Price_data!A$1:B$190,2,FALSE))</f>
        <v>0</v>
      </c>
      <c r="S2664" s="4" t="str">
        <f>(VLOOKUP(B2664,Price_data!A$1:C$190,3,FALSE))</f>
        <v>EEZ</v>
      </c>
      <c r="T2664" s="2" t="str">
        <f>IF(C2664="Total", (VLOOKUP(B2664,Recommended_fish_intake!A$4:D$122,4,FALSE)), "NA")</f>
        <v>NA</v>
      </c>
      <c r="U2664" s="2" t="str">
        <f t="shared" si="325"/>
        <v>NA</v>
      </c>
    </row>
    <row r="2665" spans="1:21" ht="14.25" customHeight="1">
      <c r="A2665" s="2" t="s">
        <v>91</v>
      </c>
      <c r="B2665" s="2">
        <v>1994</v>
      </c>
      <c r="C2665" s="2" t="s">
        <v>28</v>
      </c>
      <c r="D2665" s="2">
        <v>0</v>
      </c>
      <c r="E2665" s="2">
        <v>0</v>
      </c>
      <c r="P2665" s="3">
        <f>E2665*(VLOOKUP(B2665,Price_data!A$1:B$190,2,FALSE))</f>
        <v>0</v>
      </c>
      <c r="Q2665" s="3">
        <f>G2665*(VLOOKUP(B2665,Price_data!A$1:B$190,2,FALSE))</f>
        <v>0</v>
      </c>
      <c r="R2665" s="3">
        <f>I2665*(VLOOKUP(B2665,Price_data!A$1:B$190,2,FALSE))</f>
        <v>0</v>
      </c>
      <c r="S2665" s="4" t="str">
        <f>(VLOOKUP(B2665,Price_data!A$1:C$190,3,FALSE))</f>
        <v>EEZ</v>
      </c>
      <c r="T2665" s="2" t="str">
        <f>IF(C2665="Total", (VLOOKUP(B2665,Recommended_fish_intake!A$4:D$122,4,FALSE)), "NA")</f>
        <v>NA</v>
      </c>
      <c r="U2665" s="2">
        <f t="shared" si="325"/>
        <v>0</v>
      </c>
    </row>
    <row r="2666" spans="1:21" ht="14.25" customHeight="1">
      <c r="A2666" s="2" t="s">
        <v>39</v>
      </c>
      <c r="B2666" s="2">
        <v>1994</v>
      </c>
      <c r="C2666" s="2" t="s">
        <v>22</v>
      </c>
      <c r="D2666" s="2">
        <v>34.54</v>
      </c>
      <c r="E2666" s="2">
        <v>34.853999999999999</v>
      </c>
      <c r="P2666" s="3">
        <f>E2666*(VLOOKUP(B2666,Price_data!A$1:B$190,2,FALSE))</f>
        <v>41.187189463229998</v>
      </c>
      <c r="Q2666" s="3">
        <f>G2666*(VLOOKUP(B2666,Price_data!A$1:B$190,2,FALSE))</f>
        <v>0</v>
      </c>
      <c r="R2666" s="3">
        <f>I2666*(VLOOKUP(B2666,Price_data!A$1:B$190,2,FALSE))</f>
        <v>0</v>
      </c>
      <c r="S2666" s="4" t="str">
        <f>(VLOOKUP(B2666,Price_data!A$1:C$190,3,FALSE))</f>
        <v>EEZ</v>
      </c>
      <c r="T2666" s="2" t="str">
        <f>IF(C2666="Total", (VLOOKUP(B2666,Recommended_fish_intake!A$4:D$122,4,FALSE)), "NA")</f>
        <v>NA</v>
      </c>
      <c r="U2666" s="2" t="str">
        <f t="shared" si="325"/>
        <v>NA</v>
      </c>
    </row>
    <row r="2667" spans="1:21" ht="14.25" customHeight="1">
      <c r="A2667" s="2" t="s">
        <v>39</v>
      </c>
      <c r="B2667" s="2">
        <v>1994</v>
      </c>
      <c r="C2667" s="2" t="s">
        <v>23</v>
      </c>
      <c r="D2667" s="2">
        <v>83.899000000000001</v>
      </c>
      <c r="E2667" s="2">
        <v>54.307000000000002</v>
      </c>
      <c r="P2667" s="3">
        <f>E2667*(VLOOKUP(B2667,Price_data!A$1:B$190,2,FALSE))</f>
        <v>64.174921047215008</v>
      </c>
      <c r="Q2667" s="3">
        <f>G2667*(VLOOKUP(B2667,Price_data!A$1:B$190,2,FALSE))</f>
        <v>0</v>
      </c>
      <c r="R2667" s="3">
        <f>I2667*(VLOOKUP(B2667,Price_data!A$1:B$190,2,FALSE))</f>
        <v>0</v>
      </c>
      <c r="S2667" s="4" t="str">
        <f>(VLOOKUP(B2667,Price_data!A$1:C$190,3,FALSE))</f>
        <v>EEZ</v>
      </c>
      <c r="T2667" s="2" t="str">
        <f>IF(C2667="Total", (VLOOKUP(B2667,Recommended_fish_intake!A$4:D$122,4,FALSE)), "NA")</f>
        <v>NA</v>
      </c>
      <c r="U2667" s="2" t="str">
        <f t="shared" si="325"/>
        <v>NA</v>
      </c>
    </row>
    <row r="2668" spans="1:21" ht="14.25" customHeight="1">
      <c r="A2668" s="2" t="s">
        <v>39</v>
      </c>
      <c r="B2668" s="2">
        <v>1994</v>
      </c>
      <c r="C2668" s="2" t="s">
        <v>58</v>
      </c>
      <c r="D2668" s="2">
        <v>14.567</v>
      </c>
      <c r="E2668" s="2">
        <v>29.141999999999999</v>
      </c>
      <c r="P2668" s="3">
        <f>E2668*(VLOOKUP(B2668,Price_data!A$1:B$190,2,FALSE))</f>
        <v>34.437283391789997</v>
      </c>
      <c r="Q2668" s="3">
        <f>G2668*(VLOOKUP(B2668,Price_data!A$1:B$190,2,FALSE))</f>
        <v>0</v>
      </c>
      <c r="R2668" s="3">
        <f>I2668*(VLOOKUP(B2668,Price_data!A$1:B$190,2,FALSE))</f>
        <v>0</v>
      </c>
      <c r="S2668" s="4" t="str">
        <f>(VLOOKUP(B2668,Price_data!A$1:C$190,3,FALSE))</f>
        <v>EEZ</v>
      </c>
      <c r="T2668" s="2" t="str">
        <f>IF(C2668="Total", (VLOOKUP(B2668,Recommended_fish_intake!A$4:D$122,4,FALSE)), "NA")</f>
        <v>NA</v>
      </c>
      <c r="U2668" s="2" t="str">
        <f t="shared" si="325"/>
        <v>NA</v>
      </c>
    </row>
    <row r="2669" spans="1:21" ht="14.25" customHeight="1">
      <c r="A2669" s="2" t="s">
        <v>39</v>
      </c>
      <c r="B2669" s="2">
        <v>1994</v>
      </c>
      <c r="C2669" s="2" t="s">
        <v>24</v>
      </c>
      <c r="D2669" s="2">
        <v>33.527999999999999</v>
      </c>
      <c r="E2669" s="2">
        <v>16.582000000000001</v>
      </c>
      <c r="P2669" s="3">
        <f>E2669*(VLOOKUP(B2669,Price_data!A$1:B$190,2,FALSE))</f>
        <v>19.595052954589999</v>
      </c>
      <c r="Q2669" s="3">
        <f>G2669*(VLOOKUP(B2669,Price_data!A$1:B$190,2,FALSE))</f>
        <v>0</v>
      </c>
      <c r="R2669" s="3">
        <f>I2669*(VLOOKUP(B2669,Price_data!A$1:B$190,2,FALSE))</f>
        <v>0</v>
      </c>
      <c r="S2669" s="4" t="str">
        <f>(VLOOKUP(B2669,Price_data!A$1:C$190,3,FALSE))</f>
        <v>EEZ</v>
      </c>
      <c r="T2669" s="2" t="str">
        <f>IF(C2669="Total", (VLOOKUP(B2669,Recommended_fish_intake!A$4:D$122,4,FALSE)), "NA")</f>
        <v>NA</v>
      </c>
      <c r="U2669" s="2" t="str">
        <f t="shared" si="325"/>
        <v>NA</v>
      </c>
    </row>
    <row r="2670" spans="1:21" ht="14.25" customHeight="1">
      <c r="A2670" s="2" t="s">
        <v>39</v>
      </c>
      <c r="B2670" s="2">
        <v>1994</v>
      </c>
      <c r="C2670" s="2" t="s">
        <v>41</v>
      </c>
      <c r="D2670" s="2">
        <v>217.821</v>
      </c>
      <c r="E2670" s="2">
        <v>175.874</v>
      </c>
      <c r="P2670" s="3">
        <f>E2670*(VLOOKUP(B2670,Price_data!A$1:B$190,2,FALSE))</f>
        <v>207.83140413312998</v>
      </c>
      <c r="Q2670" s="3">
        <f>G2670*(VLOOKUP(B2670,Price_data!A$1:B$190,2,FALSE))</f>
        <v>0</v>
      </c>
      <c r="R2670" s="3">
        <f>I2670*(VLOOKUP(B2670,Price_data!A$1:B$190,2,FALSE))</f>
        <v>0</v>
      </c>
      <c r="S2670" s="4" t="str">
        <f>(VLOOKUP(B2670,Price_data!A$1:C$190,3,FALSE))</f>
        <v>EEZ</v>
      </c>
      <c r="T2670" s="2" t="str">
        <f>IF(C2670="Total", (VLOOKUP(B2670,Recommended_fish_intake!A$4:D$122,4,FALSE)), "NA")</f>
        <v>NA</v>
      </c>
      <c r="U2670" s="2" t="str">
        <f t="shared" si="325"/>
        <v>NA</v>
      </c>
    </row>
    <row r="2671" spans="1:21" ht="14.25" customHeight="1">
      <c r="A2671" s="2" t="s">
        <v>39</v>
      </c>
      <c r="B2671" s="2">
        <v>1994</v>
      </c>
      <c r="C2671" s="2" t="s">
        <v>19</v>
      </c>
      <c r="D2671" s="2">
        <v>78.433999999999997</v>
      </c>
      <c r="E2671" s="2">
        <v>8.9060000000000006</v>
      </c>
      <c r="P2671" s="3">
        <f>E2671*(VLOOKUP(B2671,Price_data!A$1:B$190,2,FALSE))</f>
        <v>10.52427581797</v>
      </c>
      <c r="Q2671" s="3">
        <f>G2671*(VLOOKUP(B2671,Price_data!A$1:B$190,2,FALSE))</f>
        <v>0</v>
      </c>
      <c r="R2671" s="3">
        <f>I2671*(VLOOKUP(B2671,Price_data!A$1:B$190,2,FALSE))</f>
        <v>0</v>
      </c>
      <c r="S2671" s="4" t="str">
        <f>(VLOOKUP(B2671,Price_data!A$1:C$190,3,FALSE))</f>
        <v>EEZ</v>
      </c>
      <c r="T2671" s="2" t="str">
        <f>IF(C2671="Total", (VLOOKUP(B2671,Recommended_fish_intake!A$4:D$122,4,FALSE)), "NA")</f>
        <v>NA</v>
      </c>
      <c r="U2671" s="2" t="str">
        <f t="shared" si="325"/>
        <v>NA</v>
      </c>
    </row>
    <row r="2672" spans="1:21" ht="14.25" customHeight="1">
      <c r="A2672" s="2" t="s">
        <v>39</v>
      </c>
      <c r="B2672" s="2">
        <v>1994</v>
      </c>
      <c r="C2672" s="2" t="s">
        <v>20</v>
      </c>
      <c r="D2672" s="2">
        <v>137.52099999999999</v>
      </c>
      <c r="E2672" s="2">
        <v>18.545999999999999</v>
      </c>
      <c r="P2672" s="3">
        <f>E2672*(VLOOKUP(B2672,Price_data!A$1:B$190,2,FALSE))</f>
        <v>21.915924019769999</v>
      </c>
      <c r="Q2672" s="3">
        <f>G2672*(VLOOKUP(B2672,Price_data!A$1:B$190,2,FALSE))</f>
        <v>0</v>
      </c>
      <c r="R2672" s="3">
        <f>I2672*(VLOOKUP(B2672,Price_data!A$1:B$190,2,FALSE))</f>
        <v>0</v>
      </c>
      <c r="S2672" s="4" t="str">
        <f>(VLOOKUP(B2672,Price_data!A$1:C$190,3,FALSE))</f>
        <v>EEZ</v>
      </c>
      <c r="T2672" s="2" t="str">
        <f>IF(C2672="Total", (VLOOKUP(B2672,Recommended_fish_intake!A$4:D$122,4,FALSE)), "NA")</f>
        <v>NA</v>
      </c>
      <c r="U2672" s="2" t="str">
        <f t="shared" si="325"/>
        <v>NA</v>
      </c>
    </row>
    <row r="2673" spans="1:21" ht="14.25" customHeight="1">
      <c r="A2673" s="2" t="s">
        <v>39</v>
      </c>
      <c r="B2673" s="2">
        <v>1994</v>
      </c>
      <c r="C2673" s="2" t="s">
        <v>42</v>
      </c>
      <c r="D2673" s="2">
        <v>224.196</v>
      </c>
      <c r="E2673" s="2">
        <v>28.148</v>
      </c>
      <c r="P2673" s="3">
        <f>E2673*(VLOOKUP(B2673,Price_data!A$1:B$190,2,FALSE))</f>
        <v>33.262667384259998</v>
      </c>
      <c r="Q2673" s="3">
        <f>G2673*(VLOOKUP(B2673,Price_data!A$1:B$190,2,FALSE))</f>
        <v>0</v>
      </c>
      <c r="R2673" s="3">
        <f>I2673*(VLOOKUP(B2673,Price_data!A$1:B$190,2,FALSE))</f>
        <v>0</v>
      </c>
      <c r="S2673" s="4" t="str">
        <f>(VLOOKUP(B2673,Price_data!A$1:C$190,3,FALSE))</f>
        <v>EEZ</v>
      </c>
      <c r="T2673" s="2" t="str">
        <f>IF(C2673="Total", (VLOOKUP(B2673,Recommended_fish_intake!A$4:D$122,4,FALSE)), "NA")</f>
        <v>NA</v>
      </c>
      <c r="U2673" s="2" t="str">
        <f t="shared" si="325"/>
        <v>NA</v>
      </c>
    </row>
    <row r="2674" spans="1:21" ht="14.25" customHeight="1">
      <c r="A2674" s="2" t="s">
        <v>39</v>
      </c>
      <c r="B2674" s="2">
        <v>1994</v>
      </c>
      <c r="C2674" s="2" t="s">
        <v>36</v>
      </c>
      <c r="D2674" s="2">
        <v>8.9329999999999998</v>
      </c>
      <c r="E2674" s="2">
        <v>9.9600000000000009</v>
      </c>
      <c r="P2674" s="3">
        <f>E2674*(VLOOKUP(B2674,Price_data!A$1:B$190,2,FALSE))</f>
        <v>11.769794200200002</v>
      </c>
      <c r="Q2674" s="3">
        <f>G2674*(VLOOKUP(B2674,Price_data!A$1:B$190,2,FALSE))</f>
        <v>0</v>
      </c>
      <c r="R2674" s="3">
        <f>I2674*(VLOOKUP(B2674,Price_data!A$1:B$190,2,FALSE))</f>
        <v>0</v>
      </c>
      <c r="S2674" s="4" t="str">
        <f>(VLOOKUP(B2674,Price_data!A$1:C$190,3,FALSE))</f>
        <v>EEZ</v>
      </c>
      <c r="T2674" s="2" t="str">
        <f>IF(C2674="Total", (VLOOKUP(B2674,Recommended_fish_intake!A$4:D$122,4,FALSE)), "NA")</f>
        <v>NA</v>
      </c>
      <c r="U2674" s="2" t="str">
        <f t="shared" si="325"/>
        <v>NA</v>
      </c>
    </row>
    <row r="2675" spans="1:21" ht="14.25" customHeight="1">
      <c r="A2675" s="2" t="s">
        <v>39</v>
      </c>
      <c r="B2675" s="2">
        <v>1994</v>
      </c>
      <c r="C2675" s="2" t="s">
        <v>34</v>
      </c>
      <c r="D2675" s="2">
        <v>0.49299999999999999</v>
      </c>
      <c r="E2675" s="2">
        <v>4.9409999999999998</v>
      </c>
      <c r="P2675" s="3">
        <f>E2675*(VLOOKUP(B2675,Price_data!A$1:B$190,2,FALSE))</f>
        <v>5.8388105565449999</v>
      </c>
      <c r="Q2675" s="3">
        <f>G2675*(VLOOKUP(B2675,Price_data!A$1:B$190,2,FALSE))</f>
        <v>0</v>
      </c>
      <c r="R2675" s="3">
        <f>I2675*(VLOOKUP(B2675,Price_data!A$1:B$190,2,FALSE))</f>
        <v>0</v>
      </c>
      <c r="S2675" s="4" t="str">
        <f>(VLOOKUP(B2675,Price_data!A$1:C$190,3,FALSE))</f>
        <v>EEZ</v>
      </c>
      <c r="T2675" s="2" t="str">
        <f>IF(C2675="Total", (VLOOKUP(B2675,Recommended_fish_intake!A$4:D$122,4,FALSE)), "NA")</f>
        <v>NA</v>
      </c>
      <c r="U2675" s="2" t="str">
        <f t="shared" si="325"/>
        <v>NA</v>
      </c>
    </row>
    <row r="2676" spans="1:21" ht="14.25" customHeight="1">
      <c r="A2676" s="2" t="s">
        <v>39</v>
      </c>
      <c r="B2676" s="2">
        <v>1994</v>
      </c>
      <c r="C2676" s="2" t="s">
        <v>35</v>
      </c>
      <c r="D2676" s="2">
        <v>19.852</v>
      </c>
      <c r="E2676" s="2">
        <v>41.026000000000003</v>
      </c>
      <c r="P2676" s="3">
        <f>E2676*(VLOOKUP(B2676,Price_data!A$1:B$190,2,FALSE))</f>
        <v>48.480680407370002</v>
      </c>
      <c r="Q2676" s="3">
        <f>G2676*(VLOOKUP(B2676,Price_data!A$1:B$190,2,FALSE))</f>
        <v>0</v>
      </c>
      <c r="R2676" s="3">
        <f>I2676*(VLOOKUP(B2676,Price_data!A$1:B$190,2,FALSE))</f>
        <v>0</v>
      </c>
      <c r="S2676" s="4" t="str">
        <f>(VLOOKUP(B2676,Price_data!A$1:C$190,3,FALSE))</f>
        <v>EEZ</v>
      </c>
      <c r="T2676" s="2" t="str">
        <f>IF(C2676="Total", (VLOOKUP(B2676,Recommended_fish_intake!A$4:D$122,4,FALSE)), "NA")</f>
        <v>NA</v>
      </c>
      <c r="U2676" s="2" t="str">
        <f t="shared" si="325"/>
        <v>NA</v>
      </c>
    </row>
    <row r="2677" spans="1:21" ht="14.25" customHeight="1">
      <c r="A2677" s="2" t="s">
        <v>39</v>
      </c>
      <c r="B2677" s="2">
        <v>1994</v>
      </c>
      <c r="C2677" s="2" t="s">
        <v>52</v>
      </c>
      <c r="D2677" s="2">
        <v>11.444000000000001</v>
      </c>
      <c r="E2677" s="2">
        <v>15.971</v>
      </c>
      <c r="P2677" s="3">
        <f>E2677*(VLOOKUP(B2677,Price_data!A$1:B$190,2,FALSE))</f>
        <v>18.873030438895</v>
      </c>
      <c r="Q2677" s="3">
        <f>G2677*(VLOOKUP(B2677,Price_data!A$1:B$190,2,FALSE))</f>
        <v>0</v>
      </c>
      <c r="R2677" s="3">
        <f>I2677*(VLOOKUP(B2677,Price_data!A$1:B$190,2,FALSE))</f>
        <v>0</v>
      </c>
      <c r="S2677" s="4" t="str">
        <f>(VLOOKUP(B2677,Price_data!A$1:C$190,3,FALSE))</f>
        <v>EEZ</v>
      </c>
      <c r="T2677" s="2" t="str">
        <f>IF(C2677="Total", (VLOOKUP(B2677,Recommended_fish_intake!A$4:D$122,4,FALSE)), "NA")</f>
        <v>NA</v>
      </c>
      <c r="U2677" s="2" t="str">
        <f t="shared" si="325"/>
        <v>NA</v>
      </c>
    </row>
    <row r="2678" spans="1:21" ht="14.25" customHeight="1">
      <c r="A2678" s="2" t="s">
        <v>39</v>
      </c>
      <c r="B2678" s="2">
        <v>1994</v>
      </c>
      <c r="C2678" s="2" t="s">
        <v>30</v>
      </c>
      <c r="D2678" s="2">
        <v>0.185</v>
      </c>
      <c r="E2678" s="2">
        <v>0.28799999999999998</v>
      </c>
      <c r="P2678" s="3">
        <f>E2678*(VLOOKUP(B2678,Price_data!A$1:B$190,2,FALSE))</f>
        <v>0.34033139856</v>
      </c>
      <c r="Q2678" s="3">
        <f>G2678*(VLOOKUP(B2678,Price_data!A$1:B$190,2,FALSE))</f>
        <v>0</v>
      </c>
      <c r="R2678" s="3">
        <f>I2678*(VLOOKUP(B2678,Price_data!A$1:B$190,2,FALSE))</f>
        <v>0</v>
      </c>
      <c r="S2678" s="4" t="str">
        <f>(VLOOKUP(B2678,Price_data!A$1:C$190,3,FALSE))</f>
        <v>EEZ</v>
      </c>
      <c r="T2678" s="2" t="str">
        <f>IF(C2678="Total", (VLOOKUP(B2678,Recommended_fish_intake!A$4:D$122,4,FALSE)), "NA")</f>
        <v>NA</v>
      </c>
      <c r="U2678" s="2" t="str">
        <f t="shared" si="325"/>
        <v>NA</v>
      </c>
    </row>
    <row r="2679" spans="1:21" ht="14.25" customHeight="1">
      <c r="A2679" s="2" t="s">
        <v>39</v>
      </c>
      <c r="B2679" s="2">
        <v>1994</v>
      </c>
      <c r="C2679" s="2" t="s">
        <v>28</v>
      </c>
      <c r="D2679" s="2">
        <v>45.691000000000003</v>
      </c>
      <c r="E2679" s="2">
        <v>75.271000000000001</v>
      </c>
      <c r="P2679" s="3">
        <f>E2679*(VLOOKUP(B2679,Price_data!A$1:B$190,2,FALSE))</f>
        <v>88.948210767394997</v>
      </c>
      <c r="Q2679" s="3">
        <f>G2679*(VLOOKUP(B2679,Price_data!A$1:B$190,2,FALSE))</f>
        <v>0</v>
      </c>
      <c r="R2679" s="3">
        <f>I2679*(VLOOKUP(B2679,Price_data!A$1:B$190,2,FALSE))</f>
        <v>0</v>
      </c>
      <c r="S2679" s="4" t="str">
        <f>(VLOOKUP(B2679,Price_data!A$1:C$190,3,FALSE))</f>
        <v>EEZ</v>
      </c>
      <c r="T2679" s="2" t="str">
        <f>IF(C2679="Total", (VLOOKUP(B2679,Recommended_fish_intake!A$4:D$122,4,FALSE)), "NA")</f>
        <v>NA</v>
      </c>
      <c r="U2679" s="2">
        <f t="shared" si="325"/>
        <v>12.793480000000002</v>
      </c>
    </row>
    <row r="2680" spans="1:21" ht="14.25" customHeight="1">
      <c r="A2680" s="2" t="s">
        <v>40</v>
      </c>
      <c r="B2680" s="2">
        <v>1994</v>
      </c>
      <c r="C2680" s="2" t="s">
        <v>22</v>
      </c>
      <c r="D2680" s="2">
        <v>2.0289999999999999</v>
      </c>
      <c r="E2680" s="2">
        <v>2.371</v>
      </c>
      <c r="P2680" s="3">
        <f>E2680*(VLOOKUP(B2680,Price_data!A$1:B$190,2,FALSE))</f>
        <v>2.8018255068949998</v>
      </c>
      <c r="Q2680" s="3">
        <f>G2680*(VLOOKUP(B2680,Price_data!A$1:B$190,2,FALSE))</f>
        <v>0</v>
      </c>
      <c r="R2680" s="3">
        <f>I2680*(VLOOKUP(B2680,Price_data!A$1:B$190,2,FALSE))</f>
        <v>0</v>
      </c>
      <c r="S2680" s="4" t="str">
        <f>(VLOOKUP(B2680,Price_data!A$1:C$190,3,FALSE))</f>
        <v>EEZ</v>
      </c>
      <c r="T2680" s="2" t="str">
        <f>IF(C2680="Total", (VLOOKUP(B2680,Recommended_fish_intake!A$4:D$122,4,FALSE)), "NA")</f>
        <v>NA</v>
      </c>
      <c r="U2680" s="2" t="str">
        <f t="shared" si="325"/>
        <v>NA</v>
      </c>
    </row>
    <row r="2681" spans="1:21" ht="14.25" customHeight="1">
      <c r="A2681" s="2" t="s">
        <v>40</v>
      </c>
      <c r="B2681" s="2">
        <v>1994</v>
      </c>
      <c r="C2681" s="2" t="s">
        <v>23</v>
      </c>
      <c r="D2681" s="2">
        <v>0.36699999999999999</v>
      </c>
      <c r="E2681" s="2">
        <v>0.30399999999999999</v>
      </c>
      <c r="P2681" s="3">
        <f>E2681*(VLOOKUP(B2681,Price_data!A$1:B$190,2,FALSE))</f>
        <v>0.35923869848000001</v>
      </c>
      <c r="Q2681" s="3">
        <f>G2681*(VLOOKUP(B2681,Price_data!A$1:B$190,2,FALSE))</f>
        <v>0</v>
      </c>
      <c r="R2681" s="3">
        <f>I2681*(VLOOKUP(B2681,Price_data!A$1:B$190,2,FALSE))</f>
        <v>0</v>
      </c>
      <c r="S2681" s="4" t="str">
        <f>(VLOOKUP(B2681,Price_data!A$1:C$190,3,FALSE))</f>
        <v>EEZ</v>
      </c>
      <c r="T2681" s="2" t="str">
        <f>IF(C2681="Total", (VLOOKUP(B2681,Recommended_fish_intake!A$4:D$122,4,FALSE)), "NA")</f>
        <v>NA</v>
      </c>
      <c r="U2681" s="2" t="str">
        <f t="shared" si="325"/>
        <v>NA</v>
      </c>
    </row>
    <row r="2682" spans="1:21" ht="14.25" customHeight="1">
      <c r="A2682" s="2" t="s">
        <v>40</v>
      </c>
      <c r="B2682" s="2">
        <v>1994</v>
      </c>
      <c r="C2682" s="2" t="s">
        <v>58</v>
      </c>
      <c r="D2682" s="2">
        <v>0.245</v>
      </c>
      <c r="E2682" s="2">
        <v>0.33700000000000002</v>
      </c>
      <c r="P2682" s="3">
        <f>E2682*(VLOOKUP(B2682,Price_data!A$1:B$190,2,FALSE))</f>
        <v>0.39823500456499999</v>
      </c>
      <c r="Q2682" s="3">
        <f>G2682*(VLOOKUP(B2682,Price_data!A$1:B$190,2,FALSE))</f>
        <v>0</v>
      </c>
      <c r="R2682" s="3">
        <f>I2682*(VLOOKUP(B2682,Price_data!A$1:B$190,2,FALSE))</f>
        <v>0</v>
      </c>
      <c r="S2682" s="4" t="str">
        <f>(VLOOKUP(B2682,Price_data!A$1:C$190,3,FALSE))</f>
        <v>EEZ</v>
      </c>
      <c r="T2682" s="2" t="str">
        <f>IF(C2682="Total", (VLOOKUP(B2682,Recommended_fish_intake!A$4:D$122,4,FALSE)), "NA")</f>
        <v>NA</v>
      </c>
      <c r="U2682" s="2" t="str">
        <f t="shared" si="325"/>
        <v>NA</v>
      </c>
    </row>
    <row r="2683" spans="1:21" ht="14.25" customHeight="1">
      <c r="A2683" s="2" t="s">
        <v>40</v>
      </c>
      <c r="B2683" s="2">
        <v>1994</v>
      </c>
      <c r="C2683" s="2" t="s">
        <v>24</v>
      </c>
      <c r="D2683" s="2">
        <v>3.5179999999999998</v>
      </c>
      <c r="E2683" s="2">
        <v>1.389</v>
      </c>
      <c r="P2683" s="3">
        <f>E2683*(VLOOKUP(B2683,Price_data!A$1:B$190,2,FALSE))</f>
        <v>1.641389974305</v>
      </c>
      <c r="Q2683" s="3">
        <f>G2683*(VLOOKUP(B2683,Price_data!A$1:B$190,2,FALSE))</f>
        <v>0</v>
      </c>
      <c r="R2683" s="3">
        <f>I2683*(VLOOKUP(B2683,Price_data!A$1:B$190,2,FALSE))</f>
        <v>0</v>
      </c>
      <c r="S2683" s="4" t="str">
        <f>(VLOOKUP(B2683,Price_data!A$1:C$190,3,FALSE))</f>
        <v>EEZ</v>
      </c>
      <c r="T2683" s="2" t="str">
        <f>IF(C2683="Total", (VLOOKUP(B2683,Recommended_fish_intake!A$4:D$122,4,FALSE)), "NA")</f>
        <v>NA</v>
      </c>
      <c r="U2683" s="2" t="str">
        <f t="shared" si="325"/>
        <v>NA</v>
      </c>
    </row>
    <row r="2684" spans="1:21" ht="14.25" customHeight="1">
      <c r="A2684" s="2" t="s">
        <v>40</v>
      </c>
      <c r="B2684" s="2">
        <v>1994</v>
      </c>
      <c r="C2684" s="2" t="s">
        <v>41</v>
      </c>
      <c r="D2684" s="2">
        <v>9.4879999999999995</v>
      </c>
      <c r="E2684" s="2">
        <v>8.2309999999999999</v>
      </c>
      <c r="P2684" s="3">
        <f>E2684*(VLOOKUP(B2684,Price_data!A$1:B$190,2,FALSE))</f>
        <v>9.7266241025950002</v>
      </c>
      <c r="Q2684" s="3">
        <f>G2684*(VLOOKUP(B2684,Price_data!A$1:B$190,2,FALSE))</f>
        <v>0</v>
      </c>
      <c r="R2684" s="3">
        <f>I2684*(VLOOKUP(B2684,Price_data!A$1:B$190,2,FALSE))</f>
        <v>0</v>
      </c>
      <c r="S2684" s="4" t="str">
        <f>(VLOOKUP(B2684,Price_data!A$1:C$190,3,FALSE))</f>
        <v>EEZ</v>
      </c>
      <c r="T2684" s="2" t="str">
        <f>IF(C2684="Total", (VLOOKUP(B2684,Recommended_fish_intake!A$4:D$122,4,FALSE)), "NA")</f>
        <v>NA</v>
      </c>
      <c r="U2684" s="2" t="str">
        <f t="shared" si="325"/>
        <v>NA</v>
      </c>
    </row>
    <row r="2685" spans="1:21" ht="14.25" customHeight="1">
      <c r="A2685" s="2" t="s">
        <v>40</v>
      </c>
      <c r="B2685" s="2">
        <v>1994</v>
      </c>
      <c r="C2685" s="2" t="s">
        <v>19</v>
      </c>
      <c r="D2685" s="2">
        <v>3.4279999999999999</v>
      </c>
      <c r="E2685" s="2">
        <v>0.35799999999999998</v>
      </c>
      <c r="P2685" s="3">
        <f>E2685*(VLOOKUP(B2685,Price_data!A$1:B$190,2,FALSE))</f>
        <v>0.42305083570999996</v>
      </c>
      <c r="Q2685" s="3">
        <f>G2685*(VLOOKUP(B2685,Price_data!A$1:B$190,2,FALSE))</f>
        <v>0</v>
      </c>
      <c r="R2685" s="3">
        <f>I2685*(VLOOKUP(B2685,Price_data!A$1:B$190,2,FALSE))</f>
        <v>0</v>
      </c>
      <c r="S2685" s="4" t="str">
        <f>(VLOOKUP(B2685,Price_data!A$1:C$190,3,FALSE))</f>
        <v>EEZ</v>
      </c>
      <c r="T2685" s="2" t="str">
        <f>IF(C2685="Total", (VLOOKUP(B2685,Recommended_fish_intake!A$4:D$122,4,FALSE)), "NA")</f>
        <v>NA</v>
      </c>
      <c r="U2685" s="2" t="str">
        <f t="shared" si="325"/>
        <v>NA</v>
      </c>
    </row>
    <row r="2686" spans="1:21" ht="14.25" customHeight="1">
      <c r="A2686" s="2" t="s">
        <v>40</v>
      </c>
      <c r="B2686" s="2">
        <v>1994</v>
      </c>
      <c r="C2686" s="2" t="s">
        <v>20</v>
      </c>
      <c r="D2686" s="2">
        <v>1.048</v>
      </c>
      <c r="E2686" s="2">
        <v>0.114</v>
      </c>
      <c r="P2686" s="3">
        <f>E2686*(VLOOKUP(B2686,Price_data!A$1:B$190,2,FALSE))</f>
        <v>0.13471451193</v>
      </c>
      <c r="Q2686" s="3">
        <f>G2686*(VLOOKUP(B2686,Price_data!A$1:B$190,2,FALSE))</f>
        <v>0</v>
      </c>
      <c r="R2686" s="3">
        <f>I2686*(VLOOKUP(B2686,Price_data!A$1:B$190,2,FALSE))</f>
        <v>0</v>
      </c>
      <c r="S2686" s="4" t="str">
        <f>(VLOOKUP(B2686,Price_data!A$1:C$190,3,FALSE))</f>
        <v>EEZ</v>
      </c>
      <c r="T2686" s="2" t="str">
        <f>IF(C2686="Total", (VLOOKUP(B2686,Recommended_fish_intake!A$4:D$122,4,FALSE)), "NA")</f>
        <v>NA</v>
      </c>
      <c r="U2686" s="2" t="str">
        <f t="shared" si="325"/>
        <v>NA</v>
      </c>
    </row>
    <row r="2687" spans="1:21" ht="14.25" customHeight="1">
      <c r="A2687" s="2" t="s">
        <v>40</v>
      </c>
      <c r="B2687" s="2">
        <v>1994</v>
      </c>
      <c r="C2687" s="2" t="s">
        <v>42</v>
      </c>
      <c r="D2687" s="2">
        <v>4.5949999999999998</v>
      </c>
      <c r="E2687" s="2">
        <v>0.47199999999999998</v>
      </c>
      <c r="P2687" s="3">
        <f>E2687*(VLOOKUP(B2687,Price_data!A$1:B$190,2,FALSE))</f>
        <v>0.55776534763999996</v>
      </c>
      <c r="Q2687" s="3">
        <f>G2687*(VLOOKUP(B2687,Price_data!A$1:B$190,2,FALSE))</f>
        <v>0</v>
      </c>
      <c r="R2687" s="3">
        <f>I2687*(VLOOKUP(B2687,Price_data!A$1:B$190,2,FALSE))</f>
        <v>0</v>
      </c>
      <c r="S2687" s="4" t="str">
        <f>(VLOOKUP(B2687,Price_data!A$1:C$190,3,FALSE))</f>
        <v>EEZ</v>
      </c>
      <c r="T2687" s="2" t="str">
        <f>IF(C2687="Total", (VLOOKUP(B2687,Recommended_fish_intake!A$4:D$122,4,FALSE)), "NA")</f>
        <v>NA</v>
      </c>
      <c r="U2687" s="2" t="str">
        <f t="shared" si="325"/>
        <v>NA</v>
      </c>
    </row>
    <row r="2688" spans="1:21" ht="14.25" customHeight="1">
      <c r="A2688" s="2" t="s">
        <v>40</v>
      </c>
      <c r="B2688" s="2">
        <v>1994</v>
      </c>
      <c r="C2688" s="2" t="s">
        <v>36</v>
      </c>
      <c r="D2688" s="2">
        <v>0.33300000000000002</v>
      </c>
      <c r="E2688" s="2">
        <v>0.19500000000000001</v>
      </c>
      <c r="P2688" s="3">
        <f>E2688*(VLOOKUP(B2688,Price_data!A$1:B$190,2,FALSE))</f>
        <v>0.23043271777500002</v>
      </c>
      <c r="Q2688" s="3">
        <f>G2688*(VLOOKUP(B2688,Price_data!A$1:B$190,2,FALSE))</f>
        <v>0</v>
      </c>
      <c r="R2688" s="3">
        <f>I2688*(VLOOKUP(B2688,Price_data!A$1:B$190,2,FALSE))</f>
        <v>0</v>
      </c>
      <c r="S2688" s="4" t="str">
        <f>(VLOOKUP(B2688,Price_data!A$1:C$190,3,FALSE))</f>
        <v>EEZ</v>
      </c>
      <c r="T2688" s="2" t="str">
        <f>IF(C2688="Total", (VLOOKUP(B2688,Recommended_fish_intake!A$4:D$122,4,FALSE)), "NA")</f>
        <v>NA</v>
      </c>
      <c r="U2688" s="2" t="str">
        <f t="shared" si="325"/>
        <v>NA</v>
      </c>
    </row>
    <row r="2689" spans="1:21" ht="14.25" customHeight="1">
      <c r="A2689" s="2" t="s">
        <v>40</v>
      </c>
      <c r="B2689" s="2">
        <v>1994</v>
      </c>
      <c r="C2689" s="2" t="s">
        <v>34</v>
      </c>
      <c r="D2689" s="2">
        <v>0</v>
      </c>
      <c r="E2689" s="2">
        <v>0.129</v>
      </c>
      <c r="P2689" s="3">
        <f>E2689*(VLOOKUP(B2689,Price_data!A$1:B$190,2,FALSE))</f>
        <v>0.15244010560500001</v>
      </c>
      <c r="Q2689" s="3">
        <f>G2689*(VLOOKUP(B2689,Price_data!A$1:B$190,2,FALSE))</f>
        <v>0</v>
      </c>
      <c r="R2689" s="3">
        <f>I2689*(VLOOKUP(B2689,Price_data!A$1:B$190,2,FALSE))</f>
        <v>0</v>
      </c>
      <c r="S2689" s="4" t="str">
        <f>(VLOOKUP(B2689,Price_data!A$1:C$190,3,FALSE))</f>
        <v>EEZ</v>
      </c>
      <c r="T2689" s="2" t="str">
        <f>IF(C2689="Total", (VLOOKUP(B2689,Recommended_fish_intake!A$4:D$122,4,FALSE)), "NA")</f>
        <v>NA</v>
      </c>
      <c r="U2689" s="2" t="str">
        <f t="shared" si="325"/>
        <v>NA</v>
      </c>
    </row>
    <row r="2690" spans="1:21" ht="14.25" customHeight="1">
      <c r="A2690" s="2" t="s">
        <v>40</v>
      </c>
      <c r="B2690" s="2">
        <v>1994</v>
      </c>
      <c r="C2690" s="2" t="s">
        <v>35</v>
      </c>
      <c r="D2690" s="2">
        <v>5.9009999999999998</v>
      </c>
      <c r="E2690" s="2">
        <v>7.9930000000000003</v>
      </c>
      <c r="P2690" s="3">
        <f>E2690*(VLOOKUP(B2690,Price_data!A$1:B$190,2,FALSE))</f>
        <v>9.4453780162849998</v>
      </c>
      <c r="Q2690" s="3">
        <f>G2690*(VLOOKUP(B2690,Price_data!A$1:B$190,2,FALSE))</f>
        <v>0</v>
      </c>
      <c r="R2690" s="3">
        <f>I2690*(VLOOKUP(B2690,Price_data!A$1:B$190,2,FALSE))</f>
        <v>0</v>
      </c>
      <c r="S2690" s="4" t="str">
        <f>(VLOOKUP(B2690,Price_data!A$1:C$190,3,FALSE))</f>
        <v>EEZ</v>
      </c>
      <c r="T2690" s="2" t="str">
        <f>IF(C2690="Total", (VLOOKUP(B2690,Recommended_fish_intake!A$4:D$122,4,FALSE)), "NA")</f>
        <v>NA</v>
      </c>
      <c r="U2690" s="2" t="str">
        <f t="shared" ref="U2690:U2753" si="328">IF(C2690="Wet fish", D2690*0.49, IF(C2690="Shellfish", D2690*0.28, "NA"))</f>
        <v>NA</v>
      </c>
    </row>
    <row r="2691" spans="1:21" ht="14.25" customHeight="1">
      <c r="A2691" s="2" t="s">
        <v>40</v>
      </c>
      <c r="B2691" s="2">
        <v>1994</v>
      </c>
      <c r="C2691" s="2" t="s">
        <v>52</v>
      </c>
      <c r="D2691" s="2">
        <v>0.24099999999999999</v>
      </c>
      <c r="E2691" s="2">
        <v>0.28999999999999998</v>
      </c>
      <c r="P2691" s="3">
        <f>E2691*(VLOOKUP(B2691,Price_data!A$1:B$190,2,FALSE))</f>
        <v>0.34269481104999999</v>
      </c>
      <c r="Q2691" s="3">
        <f>G2691*(VLOOKUP(B2691,Price_data!A$1:B$190,2,FALSE))</f>
        <v>0</v>
      </c>
      <c r="R2691" s="3">
        <f>I2691*(VLOOKUP(B2691,Price_data!A$1:B$190,2,FALSE))</f>
        <v>0</v>
      </c>
      <c r="S2691" s="4" t="str">
        <f>(VLOOKUP(B2691,Price_data!A$1:C$190,3,FALSE))</f>
        <v>EEZ</v>
      </c>
      <c r="T2691" s="2" t="str">
        <f>IF(C2691="Total", (VLOOKUP(B2691,Recommended_fish_intake!A$4:D$122,4,FALSE)), "NA")</f>
        <v>NA</v>
      </c>
      <c r="U2691" s="2" t="str">
        <f t="shared" si="328"/>
        <v>NA</v>
      </c>
    </row>
    <row r="2692" spans="1:21" ht="14.25" customHeight="1">
      <c r="A2692" s="2" t="s">
        <v>40</v>
      </c>
      <c r="B2692" s="2">
        <v>1994</v>
      </c>
      <c r="C2692" s="2" t="s">
        <v>30</v>
      </c>
      <c r="D2692" s="2">
        <v>0</v>
      </c>
      <c r="E2692" s="2">
        <v>0</v>
      </c>
      <c r="P2692" s="3">
        <f>E2692*(VLOOKUP(B2692,Price_data!A$1:B$190,2,FALSE))</f>
        <v>0</v>
      </c>
      <c r="Q2692" s="3">
        <f>G2692*(VLOOKUP(B2692,Price_data!A$1:B$190,2,FALSE))</f>
        <v>0</v>
      </c>
      <c r="R2692" s="3">
        <f>I2692*(VLOOKUP(B2692,Price_data!A$1:B$190,2,FALSE))</f>
        <v>0</v>
      </c>
      <c r="S2692" s="4" t="str">
        <f>(VLOOKUP(B2692,Price_data!A$1:C$190,3,FALSE))</f>
        <v>EEZ</v>
      </c>
      <c r="T2692" s="2" t="str">
        <f>IF(C2692="Total", (VLOOKUP(B2692,Recommended_fish_intake!A$4:D$122,4,FALSE)), "NA")</f>
        <v>NA</v>
      </c>
      <c r="U2692" s="2" t="str">
        <f t="shared" si="328"/>
        <v>NA</v>
      </c>
    </row>
    <row r="2693" spans="1:21" ht="14.25" customHeight="1">
      <c r="A2693" s="2" t="s">
        <v>40</v>
      </c>
      <c r="B2693" s="2">
        <v>1994</v>
      </c>
      <c r="C2693" s="2" t="s">
        <v>28</v>
      </c>
      <c r="D2693" s="2">
        <v>6.8659999999999997</v>
      </c>
      <c r="E2693" s="2">
        <v>8.8510000000000009</v>
      </c>
      <c r="P2693" s="3">
        <f>E2693*(VLOOKUP(B2693,Price_data!A$1:B$190,2,FALSE))</f>
        <v>10.459281974495001</v>
      </c>
      <c r="Q2693" s="3">
        <f>G2693*(VLOOKUP(B2693,Price_data!A$1:B$190,2,FALSE))</f>
        <v>0</v>
      </c>
      <c r="R2693" s="3">
        <f>I2693*(VLOOKUP(B2693,Price_data!A$1:B$190,2,FALSE))</f>
        <v>0</v>
      </c>
      <c r="S2693" s="4" t="str">
        <f>(VLOOKUP(B2693,Price_data!A$1:C$190,3,FALSE))</f>
        <v>EEZ</v>
      </c>
      <c r="T2693" s="2" t="str">
        <f>IF(C2693="Total", (VLOOKUP(B2693,Recommended_fish_intake!A$4:D$122,4,FALSE)), "NA")</f>
        <v>NA</v>
      </c>
      <c r="U2693" s="2">
        <f t="shared" si="328"/>
        <v>1.9224800000000002</v>
      </c>
    </row>
    <row r="2694" spans="1:21" ht="14.25" customHeight="1">
      <c r="A2694" s="2" t="s">
        <v>40</v>
      </c>
      <c r="B2694" s="2">
        <v>1994</v>
      </c>
      <c r="C2694" s="4" t="s">
        <v>37</v>
      </c>
      <c r="D2694" s="3">
        <f>D2566+D2518</f>
        <v>11.9</v>
      </c>
      <c r="E2694" s="3">
        <f>E2566+E2518</f>
        <v>3.8</v>
      </c>
      <c r="P2694" s="3">
        <f>E2694*(VLOOKUP(B2694,Price_data!A$1:B$190,2,FALSE))</f>
        <v>4.4904837309999994</v>
      </c>
      <c r="Q2694" s="3">
        <f>G2694*(VLOOKUP(B2694,Price_data!A$1:B$190,2,FALSE))</f>
        <v>0</v>
      </c>
      <c r="R2694" s="3">
        <f>I2694*(VLOOKUP(B2694,Price_data!A$1:B$190,2,FALSE))</f>
        <v>0</v>
      </c>
      <c r="S2694" s="4" t="str">
        <f>(VLOOKUP(B2694,Price_data!A$1:C$190,3,FALSE))</f>
        <v>EEZ</v>
      </c>
      <c r="T2694" s="2" t="str">
        <f>IF(C2694="Total", (VLOOKUP(B2694,Recommended_fish_intake!A$4:D$122,4,FALSE)), "NA")</f>
        <v>NA</v>
      </c>
      <c r="U2694" s="2">
        <f t="shared" si="328"/>
        <v>5.8310000000000004</v>
      </c>
    </row>
    <row r="2695" spans="1:21" ht="14.25" customHeight="1">
      <c r="A2695" s="2" t="s">
        <v>39</v>
      </c>
      <c r="B2695" s="2">
        <v>1994</v>
      </c>
      <c r="C2695" s="4" t="s">
        <v>37</v>
      </c>
      <c r="D2695" s="3">
        <f>D2311+D2263</f>
        <v>54.760000000000005</v>
      </c>
      <c r="E2695" s="3">
        <f>E2311+E2263</f>
        <v>33.164000000000001</v>
      </c>
      <c r="P2695" s="3">
        <f>E2695*(VLOOKUP(B2695,Price_data!A$1:B$190,2,FALSE))</f>
        <v>39.190105909179998</v>
      </c>
      <c r="Q2695" s="3">
        <f>G2695*(VLOOKUP(B2695,Price_data!A$1:B$190,2,FALSE))</f>
        <v>0</v>
      </c>
      <c r="R2695" s="3">
        <f>I2695*(VLOOKUP(B2695,Price_data!A$1:B$190,2,FALSE))</f>
        <v>0</v>
      </c>
      <c r="S2695" s="4" t="str">
        <f>(VLOOKUP(B2695,Price_data!A$1:C$190,3,FALSE))</f>
        <v>EEZ</v>
      </c>
      <c r="T2695" s="2" t="str">
        <f>IF(C2695="Total", (VLOOKUP(B2695,Recommended_fish_intake!A$4:D$122,4,FALSE)), "NA")</f>
        <v>NA</v>
      </c>
      <c r="U2695" s="2">
        <f t="shared" si="328"/>
        <v>26.832400000000003</v>
      </c>
    </row>
    <row r="2696" spans="1:21" ht="14.25" customHeight="1">
      <c r="A2696" s="2" t="s">
        <v>18</v>
      </c>
      <c r="B2696" s="2">
        <v>1994</v>
      </c>
      <c r="C2696" s="2" t="s">
        <v>22</v>
      </c>
      <c r="D2696" s="3">
        <f t="shared" ref="D2696:E2709" si="329">D1944+D1704</f>
        <v>1.4089999999999998</v>
      </c>
      <c r="E2696" s="3">
        <f t="shared" si="329"/>
        <v>1.056</v>
      </c>
      <c r="P2696" s="3">
        <f>E2696*(VLOOKUP(B2696,Price_data!A$1:B$190,2,FALSE))</f>
        <v>1.24788179472</v>
      </c>
      <c r="Q2696" s="3">
        <f>G2696*(VLOOKUP(B2696,Price_data!A$1:B$190,2,FALSE))</f>
        <v>0</v>
      </c>
      <c r="R2696" s="3">
        <f>I2696*(VLOOKUP(B2696,Price_data!A$1:B$190,2,FALSE))</f>
        <v>0</v>
      </c>
      <c r="S2696" s="4" t="str">
        <f>(VLOOKUP(B2696,Price_data!A$1:C$190,3,FALSE))</f>
        <v>EEZ</v>
      </c>
      <c r="T2696" s="2" t="str">
        <f>IF(C2696="Total", (VLOOKUP(B2696,Recommended_fish_intake!A$4:D$122,4,FALSE)), "NA")</f>
        <v>NA</v>
      </c>
      <c r="U2696" s="2" t="str">
        <f t="shared" si="328"/>
        <v>NA</v>
      </c>
    </row>
    <row r="2697" spans="1:21" ht="14.25" customHeight="1">
      <c r="A2697" s="2" t="s">
        <v>18</v>
      </c>
      <c r="B2697" s="2">
        <v>1994</v>
      </c>
      <c r="C2697" s="2" t="s">
        <v>23</v>
      </c>
      <c r="D2697" s="3">
        <f t="shared" si="329"/>
        <v>62.504000000000005</v>
      </c>
      <c r="E2697" s="3">
        <f t="shared" si="329"/>
        <v>41.457000000000001</v>
      </c>
      <c r="P2697" s="3">
        <f>E2697*(VLOOKUP(B2697,Price_data!A$1:B$190,2,FALSE))</f>
        <v>48.989995798964998</v>
      </c>
      <c r="Q2697" s="3">
        <f>G2697*(VLOOKUP(B2697,Price_data!A$1:B$190,2,FALSE))</f>
        <v>0</v>
      </c>
      <c r="R2697" s="3">
        <f>I2697*(VLOOKUP(B2697,Price_data!A$1:B$190,2,FALSE))</f>
        <v>0</v>
      </c>
      <c r="S2697" s="4" t="str">
        <f>(VLOOKUP(B2697,Price_data!A$1:C$190,3,FALSE))</f>
        <v>EEZ</v>
      </c>
      <c r="T2697" s="2" t="str">
        <f>IF(C2697="Total", (VLOOKUP(B2697,Recommended_fish_intake!A$4:D$122,4,FALSE)), "NA")</f>
        <v>NA</v>
      </c>
      <c r="U2697" s="2" t="str">
        <f t="shared" si="328"/>
        <v>NA</v>
      </c>
    </row>
    <row r="2698" spans="1:21" ht="14.25" customHeight="1">
      <c r="A2698" s="2" t="s">
        <v>18</v>
      </c>
      <c r="B2698" s="2">
        <v>1994</v>
      </c>
      <c r="C2698" s="2" t="s">
        <v>58</v>
      </c>
      <c r="D2698" s="3">
        <f t="shared" si="329"/>
        <v>57.981000000000002</v>
      </c>
      <c r="E2698" s="3">
        <f t="shared" si="329"/>
        <v>38.529000000000003</v>
      </c>
      <c r="P2698" s="3">
        <f>E2698*(VLOOKUP(B2698,Price_data!A$1:B$190,2,FALSE))</f>
        <v>45.529959913605005</v>
      </c>
      <c r="Q2698" s="3">
        <f>G2698*(VLOOKUP(B2698,Price_data!A$1:B$190,2,FALSE))</f>
        <v>0</v>
      </c>
      <c r="R2698" s="3">
        <f>I2698*(VLOOKUP(B2698,Price_data!A$1:B$190,2,FALSE))</f>
        <v>0</v>
      </c>
      <c r="S2698" s="4" t="str">
        <f>(VLOOKUP(B2698,Price_data!A$1:C$190,3,FALSE))</f>
        <v>EEZ</v>
      </c>
      <c r="T2698" s="2" t="str">
        <f>IF(C2698="Total", (VLOOKUP(B2698,Recommended_fish_intake!A$4:D$122,4,FALSE)), "NA")</f>
        <v>NA</v>
      </c>
      <c r="U2698" s="2" t="str">
        <f t="shared" si="328"/>
        <v>NA</v>
      </c>
    </row>
    <row r="2699" spans="1:21" ht="14.25" customHeight="1">
      <c r="A2699" s="2" t="s">
        <v>18</v>
      </c>
      <c r="B2699" s="2">
        <v>1994</v>
      </c>
      <c r="C2699" s="2" t="s">
        <v>24</v>
      </c>
      <c r="D2699" s="3">
        <f t="shared" si="329"/>
        <v>108.53700000000001</v>
      </c>
      <c r="E2699" s="3">
        <f t="shared" si="329"/>
        <v>50.933</v>
      </c>
      <c r="P2699" s="3">
        <f>E2699*(VLOOKUP(B2699,Price_data!A$1:B$190,2,FALSE))</f>
        <v>60.187844176585003</v>
      </c>
      <c r="Q2699" s="3">
        <f>G2699*(VLOOKUP(B2699,Price_data!A$1:B$190,2,FALSE))</f>
        <v>0</v>
      </c>
      <c r="R2699" s="3">
        <f>I2699*(VLOOKUP(B2699,Price_data!A$1:B$190,2,FALSE))</f>
        <v>0</v>
      </c>
      <c r="S2699" s="4" t="str">
        <f>(VLOOKUP(B2699,Price_data!A$1:C$190,3,FALSE))</f>
        <v>EEZ</v>
      </c>
      <c r="T2699" s="2" t="str">
        <f>IF(C2699="Total", (VLOOKUP(B2699,Recommended_fish_intake!A$4:D$122,4,FALSE)), "NA")</f>
        <v>NA</v>
      </c>
      <c r="U2699" s="2" t="str">
        <f t="shared" si="328"/>
        <v>NA</v>
      </c>
    </row>
    <row r="2700" spans="1:21" ht="14.25" customHeight="1">
      <c r="A2700" s="2" t="s">
        <v>18</v>
      </c>
      <c r="B2700" s="2">
        <v>1994</v>
      </c>
      <c r="C2700" s="2" t="s">
        <v>41</v>
      </c>
      <c r="D2700" s="3">
        <f t="shared" si="329"/>
        <v>5.0059999999999993</v>
      </c>
      <c r="E2700" s="3">
        <f t="shared" si="329"/>
        <v>3.044</v>
      </c>
      <c r="P2700" s="3">
        <f>E2700*(VLOOKUP(B2700,Price_data!A$1:B$190,2,FALSE))</f>
        <v>3.5971138097800002</v>
      </c>
      <c r="Q2700" s="3">
        <f>G2700*(VLOOKUP(B2700,Price_data!A$1:B$190,2,FALSE))</f>
        <v>0</v>
      </c>
      <c r="R2700" s="3">
        <f>I2700*(VLOOKUP(B2700,Price_data!A$1:B$190,2,FALSE))</f>
        <v>0</v>
      </c>
      <c r="S2700" s="4" t="str">
        <f>(VLOOKUP(B2700,Price_data!A$1:C$190,3,FALSE))</f>
        <v>EEZ</v>
      </c>
      <c r="T2700" s="2" t="str">
        <f>IF(C2700="Total", (VLOOKUP(B2700,Recommended_fish_intake!A$4:D$122,4,FALSE)), "NA")</f>
        <v>NA</v>
      </c>
      <c r="U2700" s="2" t="str">
        <f t="shared" si="328"/>
        <v>NA</v>
      </c>
    </row>
    <row r="2701" spans="1:21" ht="14.25" customHeight="1">
      <c r="A2701" s="2" t="s">
        <v>18</v>
      </c>
      <c r="B2701" s="2">
        <v>1994</v>
      </c>
      <c r="C2701" s="2" t="s">
        <v>19</v>
      </c>
      <c r="D2701" s="3">
        <f t="shared" si="329"/>
        <v>45.723999999999997</v>
      </c>
      <c r="E2701" s="3">
        <f t="shared" si="329"/>
        <v>14.662000000000001</v>
      </c>
      <c r="P2701" s="3">
        <f>E2701*(VLOOKUP(B2701,Price_data!A$1:B$190,2,FALSE))</f>
        <v>17.326176964190001</v>
      </c>
      <c r="Q2701" s="3">
        <f>G2701*(VLOOKUP(B2701,Price_data!A$1:B$190,2,FALSE))</f>
        <v>0</v>
      </c>
      <c r="R2701" s="3">
        <f>I2701*(VLOOKUP(B2701,Price_data!A$1:B$190,2,FALSE))</f>
        <v>0</v>
      </c>
      <c r="S2701" s="4" t="str">
        <f>(VLOOKUP(B2701,Price_data!A$1:C$190,3,FALSE))</f>
        <v>EEZ</v>
      </c>
      <c r="T2701" s="2" t="str">
        <f>IF(C2701="Total", (VLOOKUP(B2701,Recommended_fish_intake!A$4:D$122,4,FALSE)), "NA")</f>
        <v>NA</v>
      </c>
      <c r="U2701" s="2" t="str">
        <f t="shared" si="328"/>
        <v>NA</v>
      </c>
    </row>
    <row r="2702" spans="1:21" ht="14.25" customHeight="1">
      <c r="A2702" s="2" t="s">
        <v>18</v>
      </c>
      <c r="B2702" s="2">
        <v>1994</v>
      </c>
      <c r="C2702" s="2" t="s">
        <v>20</v>
      </c>
      <c r="D2702" s="3">
        <f t="shared" si="329"/>
        <v>54.330999999999996</v>
      </c>
      <c r="E2702" s="3">
        <f t="shared" si="329"/>
        <v>7.2050000000000001</v>
      </c>
      <c r="P2702" s="3">
        <f>E2702*(VLOOKUP(B2702,Price_data!A$1:B$190,2,FALSE))</f>
        <v>8.5141934952249994</v>
      </c>
      <c r="Q2702" s="3">
        <f>G2702*(VLOOKUP(B2702,Price_data!A$1:B$190,2,FALSE))</f>
        <v>0</v>
      </c>
      <c r="R2702" s="3">
        <f>I2702*(VLOOKUP(B2702,Price_data!A$1:B$190,2,FALSE))</f>
        <v>0</v>
      </c>
      <c r="S2702" s="4" t="str">
        <f>(VLOOKUP(B2702,Price_data!A$1:C$190,3,FALSE))</f>
        <v>EEZ</v>
      </c>
      <c r="T2702" s="2" t="str">
        <f>IF(C2702="Total", (VLOOKUP(B2702,Recommended_fish_intake!A$4:D$122,4,FALSE)), "NA")</f>
        <v>NA</v>
      </c>
      <c r="U2702" s="2" t="str">
        <f t="shared" si="328"/>
        <v>NA</v>
      </c>
    </row>
    <row r="2703" spans="1:21" ht="14.25" customHeight="1">
      <c r="A2703" s="2" t="s">
        <v>18</v>
      </c>
      <c r="B2703" s="2">
        <v>1994</v>
      </c>
      <c r="C2703" s="2" t="s">
        <v>42</v>
      </c>
      <c r="D2703" s="3">
        <f t="shared" si="329"/>
        <v>121.73699999999999</v>
      </c>
      <c r="E2703" s="3">
        <f t="shared" si="329"/>
        <v>13.723000000000001</v>
      </c>
      <c r="P2703" s="3">
        <f>E2703*(VLOOKUP(B2703,Price_data!A$1:B$190,2,FALSE))</f>
        <v>16.216554800135</v>
      </c>
      <c r="Q2703" s="3">
        <f>G2703*(VLOOKUP(B2703,Price_data!A$1:B$190,2,FALSE))</f>
        <v>0</v>
      </c>
      <c r="R2703" s="3">
        <f>I2703*(VLOOKUP(B2703,Price_data!A$1:B$190,2,FALSE))</f>
        <v>0</v>
      </c>
      <c r="S2703" s="4" t="str">
        <f>(VLOOKUP(B2703,Price_data!A$1:C$190,3,FALSE))</f>
        <v>EEZ</v>
      </c>
      <c r="T2703" s="2" t="str">
        <f>IF(C2703="Total", (VLOOKUP(B2703,Recommended_fish_intake!A$4:D$122,4,FALSE)), "NA")</f>
        <v>NA</v>
      </c>
      <c r="U2703" s="2" t="str">
        <f t="shared" si="328"/>
        <v>NA</v>
      </c>
    </row>
    <row r="2704" spans="1:21" ht="14.25" customHeight="1">
      <c r="A2704" s="2" t="s">
        <v>18</v>
      </c>
      <c r="B2704" s="2">
        <v>1994</v>
      </c>
      <c r="C2704" s="2" t="s">
        <v>36</v>
      </c>
      <c r="D2704" s="3">
        <f t="shared" si="329"/>
        <v>2.1469999999999998</v>
      </c>
      <c r="E2704" s="3">
        <f t="shared" si="329"/>
        <v>0.21199999999999999</v>
      </c>
      <c r="P2704" s="3">
        <f>E2704*(VLOOKUP(B2704,Price_data!A$1:B$190,2,FALSE))</f>
        <v>0.25052172394</v>
      </c>
      <c r="Q2704" s="3">
        <f>G2704*(VLOOKUP(B2704,Price_data!A$1:B$190,2,FALSE))</f>
        <v>0</v>
      </c>
      <c r="R2704" s="3">
        <f>I2704*(VLOOKUP(B2704,Price_data!A$1:B$190,2,FALSE))</f>
        <v>0</v>
      </c>
      <c r="S2704" s="4" t="str">
        <f>(VLOOKUP(B2704,Price_data!A$1:C$190,3,FALSE))</f>
        <v>EEZ</v>
      </c>
      <c r="T2704" s="2" t="str">
        <f>IF(C2704="Total", (VLOOKUP(B2704,Recommended_fish_intake!A$4:D$122,4,FALSE)), "NA")</f>
        <v>NA</v>
      </c>
      <c r="U2704" s="2" t="str">
        <f t="shared" si="328"/>
        <v>NA</v>
      </c>
    </row>
    <row r="2705" spans="1:21" ht="14.25" customHeight="1">
      <c r="A2705" s="2" t="s">
        <v>18</v>
      </c>
      <c r="B2705" s="2">
        <v>1994</v>
      </c>
      <c r="C2705" s="2" t="s">
        <v>34</v>
      </c>
      <c r="D2705" s="3">
        <f t="shared" si="329"/>
        <v>466.40699999999998</v>
      </c>
      <c r="E2705" s="3">
        <f t="shared" si="329"/>
        <v>141.03</v>
      </c>
      <c r="P2705" s="3">
        <f>E2705*(VLOOKUP(B2705,Price_data!A$1:B$190,2,FALSE))</f>
        <v>166.65603173234999</v>
      </c>
      <c r="Q2705" s="3">
        <f>G2705*(VLOOKUP(B2705,Price_data!A$1:B$190,2,FALSE))</f>
        <v>0</v>
      </c>
      <c r="R2705" s="3">
        <f>I2705*(VLOOKUP(B2705,Price_data!A$1:B$190,2,FALSE))</f>
        <v>0</v>
      </c>
      <c r="S2705" s="4" t="str">
        <f>(VLOOKUP(B2705,Price_data!A$1:C$190,3,FALSE))</f>
        <v>EEZ</v>
      </c>
      <c r="T2705" s="2" t="str">
        <f>IF(C2705="Total", (VLOOKUP(B2705,Recommended_fish_intake!A$4:D$122,4,FALSE)), "NA")</f>
        <v>NA</v>
      </c>
      <c r="U2705" s="2" t="str">
        <f t="shared" si="328"/>
        <v>NA</v>
      </c>
    </row>
    <row r="2706" spans="1:21" ht="14.25" customHeight="1">
      <c r="A2706" s="2" t="s">
        <v>18</v>
      </c>
      <c r="B2706" s="2">
        <v>1994</v>
      </c>
      <c r="C2706" s="2" t="s">
        <v>35</v>
      </c>
      <c r="D2706" s="3">
        <f t="shared" si="329"/>
        <v>11.684999999999999</v>
      </c>
      <c r="E2706" s="3">
        <f t="shared" si="329"/>
        <v>3.9379999999999997</v>
      </c>
      <c r="P2706" s="3">
        <f>E2706*(VLOOKUP(B2706,Price_data!A$1:B$190,2,FALSE))</f>
        <v>4.6535591928099995</v>
      </c>
      <c r="Q2706" s="3">
        <f>G2706*(VLOOKUP(B2706,Price_data!A$1:B$190,2,FALSE))</f>
        <v>0</v>
      </c>
      <c r="R2706" s="3">
        <f>I2706*(VLOOKUP(B2706,Price_data!A$1:B$190,2,FALSE))</f>
        <v>0</v>
      </c>
      <c r="S2706" s="4" t="str">
        <f>(VLOOKUP(B2706,Price_data!A$1:C$190,3,FALSE))</f>
        <v>EEZ</v>
      </c>
      <c r="T2706" s="2" t="str">
        <f>IF(C2706="Total", (VLOOKUP(B2706,Recommended_fish_intake!A$4:D$122,4,FALSE)), "NA")</f>
        <v>NA</v>
      </c>
      <c r="U2706" s="2" t="str">
        <f t="shared" si="328"/>
        <v>NA</v>
      </c>
    </row>
    <row r="2707" spans="1:21" ht="14.25" customHeight="1">
      <c r="A2707" s="2" t="s">
        <v>18</v>
      </c>
      <c r="B2707" s="2">
        <v>1994</v>
      </c>
      <c r="C2707" s="2" t="s">
        <v>52</v>
      </c>
      <c r="D2707" s="3">
        <f t="shared" si="329"/>
        <v>0.51200000000000001</v>
      </c>
      <c r="E2707" s="3">
        <f t="shared" si="329"/>
        <v>2.919</v>
      </c>
      <c r="P2707" s="3">
        <f>E2707*(VLOOKUP(B2707,Price_data!A$1:B$190,2,FALSE))</f>
        <v>3.4494005291550001</v>
      </c>
      <c r="Q2707" s="3">
        <f>G2707*(VLOOKUP(B2707,Price_data!A$1:B$190,2,FALSE))</f>
        <v>0</v>
      </c>
      <c r="R2707" s="3">
        <f>I2707*(VLOOKUP(B2707,Price_data!A$1:B$190,2,FALSE))</f>
        <v>0</v>
      </c>
      <c r="S2707" s="4" t="str">
        <f>(VLOOKUP(B2707,Price_data!A$1:C$190,3,FALSE))</f>
        <v>EEZ</v>
      </c>
      <c r="T2707" s="2" t="str">
        <f>IF(C2707="Total", (VLOOKUP(B2707,Recommended_fish_intake!A$4:D$122,4,FALSE)), "NA")</f>
        <v>NA</v>
      </c>
      <c r="U2707" s="2" t="str">
        <f t="shared" si="328"/>
        <v>NA</v>
      </c>
    </row>
    <row r="2708" spans="1:21" ht="14.25" customHeight="1">
      <c r="A2708" s="2" t="s">
        <v>18</v>
      </c>
      <c r="B2708" s="2">
        <v>1994</v>
      </c>
      <c r="C2708" s="2" t="s">
        <v>30</v>
      </c>
      <c r="D2708" s="3">
        <f t="shared" si="329"/>
        <v>14.255000000000001</v>
      </c>
      <c r="E2708" s="3">
        <f t="shared" si="329"/>
        <v>16.878</v>
      </c>
      <c r="P2708" s="3">
        <f>E2708*(VLOOKUP(B2708,Price_data!A$1:B$190,2,FALSE))</f>
        <v>19.94483800311</v>
      </c>
      <c r="Q2708" s="3">
        <f>G2708*(VLOOKUP(B2708,Price_data!A$1:B$190,2,FALSE))</f>
        <v>0</v>
      </c>
      <c r="R2708" s="3">
        <f>I2708*(VLOOKUP(B2708,Price_data!A$1:B$190,2,FALSE))</f>
        <v>0</v>
      </c>
      <c r="S2708" s="4" t="str">
        <f>(VLOOKUP(B2708,Price_data!A$1:C$190,3,FALSE))</f>
        <v>EEZ</v>
      </c>
      <c r="T2708" s="2" t="str">
        <f>IF(C2708="Total", (VLOOKUP(B2708,Recommended_fish_intake!A$4:D$122,4,FALSE)), "NA")</f>
        <v>NA</v>
      </c>
      <c r="U2708" s="2" t="str">
        <f t="shared" si="328"/>
        <v>NA</v>
      </c>
    </row>
    <row r="2709" spans="1:21" ht="14.25" customHeight="1">
      <c r="A2709" s="2" t="s">
        <v>18</v>
      </c>
      <c r="B2709" s="2">
        <v>1994</v>
      </c>
      <c r="C2709" s="2" t="s">
        <v>28</v>
      </c>
      <c r="D2709" s="3">
        <f t="shared" si="329"/>
        <v>5.1079999999999997</v>
      </c>
      <c r="E2709" s="3">
        <f t="shared" si="329"/>
        <v>3.8340000000000001</v>
      </c>
      <c r="P2709" s="3">
        <f>E2709*(VLOOKUP(B2709,Price_data!A$1:B$190,2,FALSE))</f>
        <v>4.5306617433299996</v>
      </c>
      <c r="Q2709" s="3">
        <f>G2709*(VLOOKUP(B2709,Price_data!A$1:B$190,2,FALSE))</f>
        <v>0</v>
      </c>
      <c r="R2709" s="3">
        <f>I2709*(VLOOKUP(B2709,Price_data!A$1:B$190,2,FALSE))</f>
        <v>0</v>
      </c>
      <c r="S2709" s="4" t="str">
        <f>(VLOOKUP(B2709,Price_data!A$1:C$190,3,FALSE))</f>
        <v>EEZ</v>
      </c>
      <c r="T2709" s="2" t="str">
        <f>IF(C2709="Total", (VLOOKUP(B2709,Recommended_fish_intake!A$4:D$122,4,FALSE)), "NA")</f>
        <v>NA</v>
      </c>
      <c r="U2709" s="2">
        <f t="shared" si="328"/>
        <v>1.43024</v>
      </c>
    </row>
    <row r="2710" spans="1:21" ht="14.25" customHeight="1">
      <c r="A2710" s="2" t="s">
        <v>90</v>
      </c>
      <c r="B2710" s="2">
        <v>1994</v>
      </c>
      <c r="C2710" s="2" t="s">
        <v>16</v>
      </c>
      <c r="D2710" s="2">
        <v>178.6</v>
      </c>
      <c r="E2710" s="2">
        <v>157.4</v>
      </c>
      <c r="P2710" s="3">
        <f>E2710*(VLOOKUP(B2710,Price_data!A$1:B$190,2,FALSE))</f>
        <v>186.00056296299999</v>
      </c>
      <c r="Q2710" s="3">
        <f>G2710*(VLOOKUP(B2710,Price_data!A$1:B$190,2,FALSE))</f>
        <v>0</v>
      </c>
      <c r="R2710" s="3">
        <f>I2710*(VLOOKUP(B2710,Price_data!A$1:B$190,2,FALSE))</f>
        <v>0</v>
      </c>
      <c r="S2710" s="4" t="str">
        <f>(VLOOKUP(B2710,Price_data!A$1:C$190,3,FALSE))</f>
        <v>EEZ</v>
      </c>
      <c r="T2710" s="2">
        <f>IF(C2710="Total", (VLOOKUP(B2710,Recommended_fish_intake!A$4:D$122,4,FALSE)), "NA")</f>
        <v>762.35795164620004</v>
      </c>
      <c r="U2710" s="2" t="str">
        <f t="shared" si="328"/>
        <v>NA</v>
      </c>
    </row>
    <row r="2711" spans="1:21" ht="14.25" customHeight="1">
      <c r="A2711" s="2" t="s">
        <v>91</v>
      </c>
      <c r="B2711" s="2">
        <v>1994</v>
      </c>
      <c r="C2711" s="2" t="s">
        <v>16</v>
      </c>
      <c r="D2711" s="2">
        <v>0</v>
      </c>
      <c r="E2711" s="2">
        <v>0</v>
      </c>
      <c r="P2711" s="3">
        <f>E2711*(VLOOKUP(B2711,Price_data!A$1:B$190,2,FALSE))</f>
        <v>0</v>
      </c>
      <c r="Q2711" s="3">
        <f>G2711*(VLOOKUP(B2711,Price_data!A$1:B$190,2,FALSE))</f>
        <v>0</v>
      </c>
      <c r="R2711" s="3">
        <f>I2711*(VLOOKUP(B2711,Price_data!A$1:B$190,2,FALSE))</f>
        <v>0</v>
      </c>
      <c r="S2711" s="4" t="str">
        <f>(VLOOKUP(B2711,Price_data!A$1:C$190,3,FALSE))</f>
        <v>EEZ</v>
      </c>
      <c r="T2711" s="2">
        <f>IF(C2711="Total", (VLOOKUP(B2711,Recommended_fish_intake!A$4:D$122,4,FALSE)), "NA")</f>
        <v>762.35795164620004</v>
      </c>
      <c r="U2711" s="2" t="str">
        <f t="shared" si="328"/>
        <v>NA</v>
      </c>
    </row>
    <row r="2712" spans="1:21" ht="14.25" customHeight="1">
      <c r="A2712" s="2" t="s">
        <v>39</v>
      </c>
      <c r="B2712" s="2">
        <v>1994</v>
      </c>
      <c r="C2712" s="2" t="s">
        <v>16</v>
      </c>
      <c r="D2712" s="2">
        <v>487.70800000000003</v>
      </c>
      <c r="E2712" s="2">
        <v>279.29300000000001</v>
      </c>
      <c r="P2712" s="3">
        <f>E2712*(VLOOKUP(B2712,Price_data!A$1:B$190,2,FALSE))</f>
        <v>330.04228228478502</v>
      </c>
      <c r="Q2712" s="3">
        <f>G2712*(VLOOKUP(B2712,Price_data!A$1:B$190,2,FALSE))</f>
        <v>0</v>
      </c>
      <c r="R2712" s="3">
        <f>I2712*(VLOOKUP(B2712,Price_data!A$1:B$190,2,FALSE))</f>
        <v>0</v>
      </c>
      <c r="S2712" s="4" t="str">
        <f>(VLOOKUP(B2712,Price_data!A$1:C$190,3,FALSE))</f>
        <v>EEZ</v>
      </c>
      <c r="T2712" s="2">
        <f>IF(C2712="Total", (VLOOKUP(B2712,Recommended_fish_intake!A$4:D$122,4,FALSE)), "NA")</f>
        <v>762.35795164620004</v>
      </c>
      <c r="U2712" s="2" t="str">
        <f t="shared" si="328"/>
        <v>NA</v>
      </c>
    </row>
    <row r="2713" spans="1:21" ht="14.25" customHeight="1">
      <c r="A2713" s="2" t="s">
        <v>40</v>
      </c>
      <c r="B2713" s="2">
        <v>1994</v>
      </c>
      <c r="C2713" s="2" t="s">
        <v>16</v>
      </c>
      <c r="D2713" s="2">
        <v>20.949000000000002</v>
      </c>
      <c r="E2713" s="2">
        <v>17.555</v>
      </c>
      <c r="P2713" s="3">
        <f>E2713*(VLOOKUP(B2713,Price_data!A$1:B$190,2,FALSE))</f>
        <v>20.744853130974999</v>
      </c>
      <c r="Q2713" s="3">
        <f>G2713*(VLOOKUP(B2713,Price_data!A$1:B$190,2,FALSE))</f>
        <v>0</v>
      </c>
      <c r="R2713" s="3">
        <f>I2713*(VLOOKUP(B2713,Price_data!A$1:B$190,2,FALSE))</f>
        <v>0</v>
      </c>
      <c r="S2713" s="4" t="str">
        <f>(VLOOKUP(B2713,Price_data!A$1:C$190,3,FALSE))</f>
        <v>EEZ</v>
      </c>
      <c r="T2713" s="2">
        <f>IF(C2713="Total", (VLOOKUP(B2713,Recommended_fish_intake!A$4:D$122,4,FALSE)), "NA")</f>
        <v>762.35795164620004</v>
      </c>
      <c r="U2713" s="2" t="str">
        <f t="shared" si="328"/>
        <v>NA</v>
      </c>
    </row>
    <row r="2714" spans="1:21" ht="14.25" customHeight="1">
      <c r="A2714" s="2" t="s">
        <v>18</v>
      </c>
      <c r="B2714" s="2">
        <v>1994</v>
      </c>
      <c r="C2714" s="2" t="s">
        <v>16</v>
      </c>
      <c r="D2714" s="3">
        <f>D1962+D1722</f>
        <v>72.927000000000007</v>
      </c>
      <c r="E2714" s="3">
        <f>E1962+E1722</f>
        <v>35.972999999999999</v>
      </c>
      <c r="P2714" s="3">
        <f>E2714*(VLOOKUP(B2714,Price_data!A$1:B$190,2,FALSE))</f>
        <v>42.509518751384995</v>
      </c>
      <c r="Q2714" s="3">
        <f>G2714*(VLOOKUP(B2714,Price_data!A$1:B$190,2,FALSE))</f>
        <v>0</v>
      </c>
      <c r="R2714" s="3">
        <f>I2714*(VLOOKUP(B2714,Price_data!A$1:B$190,2,FALSE))</f>
        <v>0</v>
      </c>
      <c r="S2714" s="4" t="str">
        <f>(VLOOKUP(B2714,Price_data!A$1:C$190,3,FALSE))</f>
        <v>EEZ</v>
      </c>
      <c r="T2714" s="2">
        <f>IF(C2714="Total", (VLOOKUP(B2714,Recommended_fish_intake!A$4:D$122,4,FALSE)), "NA")</f>
        <v>762.35795164620004</v>
      </c>
      <c r="U2714" s="2" t="str">
        <f t="shared" si="328"/>
        <v>NA</v>
      </c>
    </row>
    <row r="2715" spans="1:21" ht="14.25" customHeight="1">
      <c r="A2715" s="2" t="s">
        <v>15</v>
      </c>
      <c r="B2715" s="2">
        <v>1994</v>
      </c>
      <c r="C2715" s="2" t="s">
        <v>16</v>
      </c>
      <c r="D2715" s="2">
        <v>687.55200000000002</v>
      </c>
      <c r="E2715" s="2">
        <v>454.46600000000001</v>
      </c>
      <c r="F2715" s="3">
        <f>L2715/1000</f>
        <v>372.16199999999998</v>
      </c>
      <c r="G2715" s="3">
        <f>M2715/1000</f>
        <v>636.95100000000002</v>
      </c>
      <c r="H2715" s="3">
        <f>N2715/1000</f>
        <v>457.64100000000002</v>
      </c>
      <c r="I2715" s="3">
        <f>O2715/1000</f>
        <v>1011.634</v>
      </c>
      <c r="L2715" s="2">
        <v>372162</v>
      </c>
      <c r="M2715" s="2">
        <v>636951</v>
      </c>
      <c r="N2715" s="2">
        <v>457641</v>
      </c>
      <c r="O2715" s="2">
        <v>1011634</v>
      </c>
      <c r="P2715" s="3">
        <f>E2715*(VLOOKUP(B2715,Price_data!A$1:B$190,2,FALSE))</f>
        <v>537.04531034016998</v>
      </c>
      <c r="Q2715" s="3">
        <f>G2715*(VLOOKUP(B2715,Price_data!A$1:B$190,2,FALSE))</f>
        <v>752.68897445899506</v>
      </c>
      <c r="R2715" s="3">
        <f>I2715*(VLOOKUP(B2715,Price_data!A$1:B$190,2,FALSE))</f>
        <v>1195.4542154543301</v>
      </c>
      <c r="S2715" s="4" t="str">
        <f>(VLOOKUP(B2715,Price_data!A$1:C$190,3,FALSE))</f>
        <v>EEZ</v>
      </c>
      <c r="T2715" s="2">
        <f>IF(C2715="Total", (VLOOKUP(B2715,Recommended_fish_intake!A$4:D$122,4,FALSE)), "NA")</f>
        <v>762.35795164620004</v>
      </c>
      <c r="U2715" s="2" t="str">
        <f t="shared" si="328"/>
        <v>NA</v>
      </c>
    </row>
    <row r="2716" spans="1:21" ht="14.25" customHeight="1">
      <c r="A2716" s="2" t="s">
        <v>18</v>
      </c>
      <c r="B2716" s="2">
        <v>1994</v>
      </c>
      <c r="C2716" s="2" t="s">
        <v>37</v>
      </c>
      <c r="D2716" s="3">
        <f>D2540+D2588</f>
        <v>15.3</v>
      </c>
      <c r="E2716" s="3">
        <f>E2540+E2588</f>
        <v>16.700000000000003</v>
      </c>
      <c r="P2716" s="3">
        <f>E2716*(VLOOKUP(B2716,Price_data!A$1:B$190,2,FALSE))</f>
        <v>19.734494291500003</v>
      </c>
      <c r="Q2716" s="3">
        <f>G2716*(VLOOKUP(B2716,Price_data!A$1:B$190,2,FALSE))</f>
        <v>0</v>
      </c>
      <c r="R2716" s="3">
        <f>I2716*(VLOOKUP(B2716,Price_data!A$1:B$190,2,FALSE))</f>
        <v>0</v>
      </c>
      <c r="S2716" s="4" t="str">
        <f>(VLOOKUP(B2716,Price_data!A$1:C$190,3,FALSE))</f>
        <v>EEZ</v>
      </c>
      <c r="T2716" s="2" t="str">
        <f>IF(C2716="Total", (VLOOKUP(B2716,Recommended_fish_intake!A$4:D$122,4,FALSE)), "NA")</f>
        <v>NA</v>
      </c>
      <c r="U2716" s="2">
        <f t="shared" si="328"/>
        <v>7.4969999999999999</v>
      </c>
    </row>
    <row r="2717" spans="1:21" ht="14.25" customHeight="1">
      <c r="A2717" s="2" t="s">
        <v>15</v>
      </c>
      <c r="B2717" s="2">
        <v>1994</v>
      </c>
      <c r="C2717" s="2" t="s">
        <v>42</v>
      </c>
      <c r="D2717" s="2">
        <v>263.66800000000001</v>
      </c>
      <c r="E2717" s="2">
        <v>34.533999999999999</v>
      </c>
      <c r="F2717" s="2" t="s">
        <v>92</v>
      </c>
      <c r="G2717" s="2" t="s">
        <v>92</v>
      </c>
      <c r="H2717" s="2" t="s">
        <v>92</v>
      </c>
      <c r="I2717" s="2" t="s">
        <v>92</v>
      </c>
      <c r="P2717" s="3">
        <f>E2717*(VLOOKUP(B2717,Price_data!A$1:B$190,2,FALSE))</f>
        <v>40.809043464829998</v>
      </c>
      <c r="Q2717" s="3" t="e">
        <f>G2717*(VLOOKUP(B2717,Price_data!A$1:B$190,2,FALSE))</f>
        <v>#VALUE!</v>
      </c>
      <c r="R2717" s="3" t="e">
        <f>I2717*(VLOOKUP(B2717,Price_data!A$1:B$190,2,FALSE))</f>
        <v>#VALUE!</v>
      </c>
      <c r="S2717" s="4" t="str">
        <f>(VLOOKUP(B2717,Price_data!A$1:C$190,3,FALSE))</f>
        <v>EEZ</v>
      </c>
      <c r="T2717" s="2" t="str">
        <f>IF(C2717="Total", (VLOOKUP(B2717,Recommended_fish_intake!A$4:D$122,4,FALSE)), "NA")</f>
        <v>NA</v>
      </c>
      <c r="U2717" s="2" t="str">
        <f t="shared" si="328"/>
        <v>NA</v>
      </c>
    </row>
    <row r="2718" spans="1:21" ht="14.25" customHeight="1">
      <c r="A2718" s="2" t="s">
        <v>15</v>
      </c>
      <c r="B2718" s="2">
        <v>1994</v>
      </c>
      <c r="C2718" s="2" t="s">
        <v>36</v>
      </c>
      <c r="D2718" s="2">
        <v>19.22</v>
      </c>
      <c r="E2718" s="2">
        <v>20.396999999999998</v>
      </c>
      <c r="F2718" s="3">
        <f>L2718/1000</f>
        <v>14.121</v>
      </c>
      <c r="G2718" s="3">
        <f>M2718/1000</f>
        <v>31.068999999999999</v>
      </c>
      <c r="H2718" s="3">
        <f>N2718/1000</f>
        <v>1.4910000000000001</v>
      </c>
      <c r="I2718" s="3">
        <f>O2718/1000</f>
        <v>13.651</v>
      </c>
      <c r="L2718" s="2">
        <f>13285+836</f>
        <v>14121</v>
      </c>
      <c r="M2718" s="2">
        <f>22615+8454</f>
        <v>31069</v>
      </c>
      <c r="N2718" s="2">
        <f>349+1142</f>
        <v>1491</v>
      </c>
      <c r="O2718" s="2">
        <f>1140+12511</f>
        <v>13651</v>
      </c>
      <c r="P2718" s="3">
        <f>E2718*(VLOOKUP(B2718,Price_data!A$1:B$190,2,FALSE))</f>
        <v>24.103262279265</v>
      </c>
      <c r="Q2718" s="3">
        <f>G2718*(VLOOKUP(B2718,Price_data!A$1:B$190,2,FALSE))</f>
        <v>36.714431325904997</v>
      </c>
      <c r="R2718" s="3">
        <f>I2718*(VLOOKUP(B2718,Price_data!A$1:B$190,2,FALSE))</f>
        <v>16.131471950495001</v>
      </c>
      <c r="S2718" s="4" t="str">
        <f>(VLOOKUP(B2718,Price_data!A$1:C$190,3,FALSE))</f>
        <v>EEZ</v>
      </c>
      <c r="T2718" s="2" t="str">
        <f>IF(C2718="Total", (VLOOKUP(B2718,Recommended_fish_intake!A$4:D$122,4,FALSE)), "NA")</f>
        <v>NA</v>
      </c>
      <c r="U2718" s="2" t="str">
        <f t="shared" si="328"/>
        <v>NA</v>
      </c>
    </row>
    <row r="2719" spans="1:21" ht="14.25" customHeight="1">
      <c r="A2719" s="2" t="s">
        <v>15</v>
      </c>
      <c r="B2719" s="2">
        <v>1994</v>
      </c>
      <c r="C2719" s="2" t="s">
        <v>34</v>
      </c>
      <c r="D2719" s="2">
        <v>1.147</v>
      </c>
      <c r="E2719" s="2">
        <v>10.688000000000001</v>
      </c>
      <c r="F2719" s="2" t="s">
        <v>92</v>
      </c>
      <c r="G2719" s="2" t="s">
        <v>92</v>
      </c>
      <c r="H2719" s="2" t="s">
        <v>92</v>
      </c>
      <c r="I2719" s="2" t="s">
        <v>92</v>
      </c>
      <c r="P2719" s="3">
        <f>E2719*(VLOOKUP(B2719,Price_data!A$1:B$190,2,FALSE))</f>
        <v>12.630076346560001</v>
      </c>
      <c r="Q2719" s="3" t="e">
        <f>G2719*(VLOOKUP(B2719,Price_data!A$1:B$190,2,FALSE))</f>
        <v>#VALUE!</v>
      </c>
      <c r="R2719" s="3" t="e">
        <f>I2719*(VLOOKUP(B2719,Price_data!A$1:B$190,2,FALSE))</f>
        <v>#VALUE!</v>
      </c>
      <c r="S2719" s="4" t="str">
        <f>(VLOOKUP(B2719,Price_data!A$1:C$190,3,FALSE))</f>
        <v>EEZ</v>
      </c>
      <c r="T2719" s="2" t="str">
        <f>IF(C2719="Total", (VLOOKUP(B2719,Recommended_fish_intake!A$4:D$122,4,FALSE)), "NA")</f>
        <v>NA</v>
      </c>
      <c r="U2719" s="2" t="str">
        <f t="shared" si="328"/>
        <v>NA</v>
      </c>
    </row>
    <row r="2720" spans="1:21" ht="14.25" customHeight="1">
      <c r="A2720" s="2" t="s">
        <v>15</v>
      </c>
      <c r="B2720" s="2">
        <v>1994</v>
      </c>
      <c r="C2720" s="2" t="s">
        <v>35</v>
      </c>
      <c r="D2720" s="2">
        <v>29.841000000000001</v>
      </c>
      <c r="E2720" s="2">
        <v>56.366</v>
      </c>
      <c r="F2720" s="2" t="s">
        <v>92</v>
      </c>
      <c r="G2720" s="2" t="s">
        <v>92</v>
      </c>
      <c r="H2720" s="2" t="s">
        <v>92</v>
      </c>
      <c r="I2720" s="2" t="s">
        <v>92</v>
      </c>
      <c r="P2720" s="3">
        <f>E2720*(VLOOKUP(B2720,Price_data!A$1:B$190,2,FALSE))</f>
        <v>66.608054205670001</v>
      </c>
      <c r="Q2720" s="3" t="e">
        <f>G2720*(VLOOKUP(B2720,Price_data!A$1:B$190,2,FALSE))</f>
        <v>#VALUE!</v>
      </c>
      <c r="R2720" s="3" t="e">
        <f>I2720*(VLOOKUP(B2720,Price_data!A$1:B$190,2,FALSE))</f>
        <v>#VALUE!</v>
      </c>
      <c r="S2720" s="4" t="str">
        <f>(VLOOKUP(B2720,Price_data!A$1:C$190,3,FALSE))</f>
        <v>EEZ</v>
      </c>
      <c r="T2720" s="2" t="str">
        <f>IF(C2720="Total", (VLOOKUP(B2720,Recommended_fish_intake!A$4:D$122,4,FALSE)), "NA")</f>
        <v>NA</v>
      </c>
      <c r="U2720" s="2" t="str">
        <f t="shared" si="328"/>
        <v>NA</v>
      </c>
    </row>
    <row r="2721" spans="1:21" ht="14.25" customHeight="1">
      <c r="A2721" s="2" t="s">
        <v>15</v>
      </c>
      <c r="B2721" s="2">
        <v>1994</v>
      </c>
      <c r="C2721" s="2" t="s">
        <v>52</v>
      </c>
      <c r="D2721" s="2">
        <v>16.997</v>
      </c>
      <c r="E2721" s="2">
        <v>22.998000000000001</v>
      </c>
      <c r="F2721" s="2" t="s">
        <v>92</v>
      </c>
      <c r="G2721" s="2" t="s">
        <v>92</v>
      </c>
      <c r="H2721" s="2" t="s">
        <v>92</v>
      </c>
      <c r="I2721" s="2" t="s">
        <v>92</v>
      </c>
      <c r="P2721" s="3">
        <f>E2721*(VLOOKUP(B2721,Price_data!A$1:B$190,2,FALSE))</f>
        <v>27.17688022251</v>
      </c>
      <c r="Q2721" s="3" t="e">
        <f>G2721*(VLOOKUP(B2721,Price_data!A$1:B$190,2,FALSE))</f>
        <v>#VALUE!</v>
      </c>
      <c r="R2721" s="3" t="e">
        <f>I2721*(VLOOKUP(B2721,Price_data!A$1:B$190,2,FALSE))</f>
        <v>#VALUE!</v>
      </c>
      <c r="S2721" s="4" t="str">
        <f>(VLOOKUP(B2721,Price_data!A$1:C$190,3,FALSE))</f>
        <v>EEZ</v>
      </c>
      <c r="T2721" s="2" t="str">
        <f>IF(C2721="Total", (VLOOKUP(B2721,Recommended_fish_intake!A$4:D$122,4,FALSE)), "NA")</f>
        <v>NA</v>
      </c>
      <c r="U2721" s="2" t="str">
        <f t="shared" si="328"/>
        <v>NA</v>
      </c>
    </row>
    <row r="2722" spans="1:21" ht="14.25" customHeight="1">
      <c r="A2722" s="2" t="s">
        <v>15</v>
      </c>
      <c r="B2722" s="2">
        <v>1994</v>
      </c>
      <c r="C2722" s="2" t="s">
        <v>30</v>
      </c>
      <c r="D2722" s="2">
        <v>1.425</v>
      </c>
      <c r="E2722" s="2">
        <v>1.9810000000000001</v>
      </c>
      <c r="F2722" s="3">
        <f t="shared" ref="F2722:I2724" si="330">L2722/1000</f>
        <v>20.234999999999999</v>
      </c>
      <c r="G2722" s="3">
        <f t="shared" si="330"/>
        <v>73.418000000000006</v>
      </c>
      <c r="H2722" s="3">
        <f t="shared" si="330"/>
        <v>57.326000000000001</v>
      </c>
      <c r="I2722" s="3">
        <f t="shared" si="330"/>
        <v>262.16000000000003</v>
      </c>
      <c r="L2722" s="2">
        <f>974+15151+4110</f>
        <v>20235</v>
      </c>
      <c r="M2722" s="2">
        <f>4168+53125+16125</f>
        <v>73418</v>
      </c>
      <c r="N2722" s="2">
        <f>7164+20707+29455</f>
        <v>57326</v>
      </c>
      <c r="O2722" s="2">
        <f>29149+98484+134527</f>
        <v>262160</v>
      </c>
      <c r="P2722" s="3">
        <f>E2722*(VLOOKUP(B2722,Price_data!A$1:B$190,2,FALSE))</f>
        <v>2.3409600713450001</v>
      </c>
      <c r="Q2722" s="3">
        <f>G2722*(VLOOKUP(B2722,Price_data!A$1:B$190,2,FALSE))</f>
        <v>86.758509095410005</v>
      </c>
      <c r="R2722" s="3">
        <f>I2722*(VLOOKUP(B2722,Price_data!A$1:B$190,2,FALSE))</f>
        <v>309.79610918920002</v>
      </c>
      <c r="S2722" s="4" t="str">
        <f>(VLOOKUP(B2722,Price_data!A$1:C$190,3,FALSE))</f>
        <v>EEZ</v>
      </c>
      <c r="T2722" s="2" t="str">
        <f>IF(C2722="Total", (VLOOKUP(B2722,Recommended_fish_intake!A$4:D$122,4,FALSE)), "NA")</f>
        <v>NA</v>
      </c>
      <c r="U2722" s="2" t="str">
        <f t="shared" si="328"/>
        <v>NA</v>
      </c>
    </row>
    <row r="2723" spans="1:21" ht="14.25" customHeight="1">
      <c r="A2723" s="2" t="s">
        <v>15</v>
      </c>
      <c r="B2723" s="2">
        <v>1994</v>
      </c>
      <c r="C2723" s="2" t="s">
        <v>28</v>
      </c>
      <c r="D2723" s="2">
        <v>111.08</v>
      </c>
      <c r="E2723" s="2">
        <v>127.746</v>
      </c>
      <c r="F2723" s="3">
        <f t="shared" si="330"/>
        <v>65.805000000000007</v>
      </c>
      <c r="G2723" s="3">
        <f t="shared" si="330"/>
        <v>222.91</v>
      </c>
      <c r="H2723" s="3">
        <f t="shared" si="330"/>
        <v>69.498999999999995</v>
      </c>
      <c r="I2723" s="3">
        <f t="shared" si="330"/>
        <v>308.25700000000001</v>
      </c>
      <c r="L2723" s="2">
        <v>65805</v>
      </c>
      <c r="M2723" s="2">
        <v>222910</v>
      </c>
      <c r="N2723" s="2">
        <v>69499</v>
      </c>
      <c r="O2723" s="2">
        <v>308257</v>
      </c>
      <c r="P2723" s="3">
        <f>E2723*(VLOOKUP(B2723,Price_data!A$1:B$190,2,FALSE))</f>
        <v>150.95824597377</v>
      </c>
      <c r="Q2723" s="3">
        <f>G2723*(VLOOKUP(B2723,Price_data!A$1:B$190,2,FALSE))</f>
        <v>263.41413907294998</v>
      </c>
      <c r="R2723" s="3">
        <f>I2723*(VLOOKUP(B2723,Price_data!A$1:B$190,2,FALSE))</f>
        <v>364.26922196496503</v>
      </c>
      <c r="S2723" s="4" t="str">
        <f>(VLOOKUP(B2723,Price_data!A$1:C$190,3,FALSE))</f>
        <v>EEZ</v>
      </c>
      <c r="T2723" s="2" t="str">
        <f>IF(C2723="Total", (VLOOKUP(B2723,Recommended_fish_intake!A$4:D$122,4,FALSE)), "NA")</f>
        <v>NA</v>
      </c>
      <c r="U2723" s="2">
        <f t="shared" si="328"/>
        <v>31.102400000000003</v>
      </c>
    </row>
    <row r="2724" spans="1:21" ht="14.25" customHeight="1">
      <c r="A2724" s="2" t="s">
        <v>15</v>
      </c>
      <c r="B2724" s="2">
        <v>1994</v>
      </c>
      <c r="C2724" s="2" t="s">
        <v>37</v>
      </c>
      <c r="D2724" s="2">
        <f>D2512+D2764</f>
        <v>42.202000000000005</v>
      </c>
      <c r="E2724" s="2">
        <f>E2512+E2764</f>
        <v>36.252000000000002</v>
      </c>
      <c r="F2724" s="3">
        <f t="shared" si="330"/>
        <v>306.35700000000003</v>
      </c>
      <c r="G2724" s="3">
        <f t="shared" si="330"/>
        <v>414.041</v>
      </c>
      <c r="H2724" s="3">
        <f t="shared" si="330"/>
        <v>388.14299999999997</v>
      </c>
      <c r="I2724" s="3">
        <f t="shared" si="330"/>
        <v>703.37699999999995</v>
      </c>
      <c r="L2724" s="2">
        <v>306357</v>
      </c>
      <c r="M2724" s="2">
        <v>414041</v>
      </c>
      <c r="N2724" s="2">
        <v>388143</v>
      </c>
      <c r="O2724" s="2">
        <v>703377</v>
      </c>
      <c r="P2724" s="3">
        <f>E2724*(VLOOKUP(B2724,Price_data!A$1:B$190,2,FALSE))</f>
        <v>42.839214793740005</v>
      </c>
      <c r="Q2724" s="3">
        <f>G2724*(VLOOKUP(B2724,Price_data!A$1:B$190,2,FALSE))</f>
        <v>489.27483538604497</v>
      </c>
      <c r="R2724" s="3">
        <f>I2724*(VLOOKUP(B2724,Price_data!A$1:B$190,2,FALSE))</f>
        <v>831.18499348936496</v>
      </c>
      <c r="S2724" s="4" t="str">
        <f>(VLOOKUP(B2724,Price_data!A$1:C$190,3,FALSE))</f>
        <v>EEZ</v>
      </c>
      <c r="T2724" s="2" t="str">
        <f>IF(C2724="Total", (VLOOKUP(B2724,Recommended_fish_intake!A$4:D$122,4,FALSE)), "NA")</f>
        <v>NA</v>
      </c>
      <c r="U2724" s="2">
        <f t="shared" si="328"/>
        <v>20.678980000000003</v>
      </c>
    </row>
    <row r="2725" spans="1:21" ht="14.25" customHeight="1">
      <c r="A2725" s="2" t="s">
        <v>15</v>
      </c>
      <c r="B2725" s="2">
        <v>1994</v>
      </c>
      <c r="C2725" s="2" t="s">
        <v>41</v>
      </c>
      <c r="D2725" s="2">
        <v>312.80399999999997</v>
      </c>
      <c r="E2725" s="2">
        <v>292.18599999999998</v>
      </c>
      <c r="F2725" s="2" t="s">
        <v>92</v>
      </c>
      <c r="G2725" s="2" t="s">
        <v>92</v>
      </c>
      <c r="H2725" s="2" t="s">
        <v>92</v>
      </c>
      <c r="I2725" s="2" t="s">
        <v>92</v>
      </c>
      <c r="P2725" s="3">
        <f>E2725*(VLOOKUP(B2725,Price_data!A$1:B$190,2,FALSE))</f>
        <v>345.27802090156996</v>
      </c>
      <c r="Q2725" s="3" t="e">
        <f>G2725*(VLOOKUP(B2725,Price_data!A$1:B$190,2,FALSE))</f>
        <v>#VALUE!</v>
      </c>
      <c r="R2725" s="3" t="e">
        <f>I2725*(VLOOKUP(B2725,Price_data!A$1:B$190,2,FALSE))</f>
        <v>#VALUE!</v>
      </c>
      <c r="S2725" s="4" t="str">
        <f>(VLOOKUP(B2725,Price_data!A$1:C$190,3,FALSE))</f>
        <v>EEZ</v>
      </c>
      <c r="T2725" s="2" t="str">
        <f>IF(C2725="Total", (VLOOKUP(B2725,Recommended_fish_intake!A$4:D$122,4,FALSE)), "NA")</f>
        <v>NA</v>
      </c>
      <c r="U2725" s="2" t="str">
        <f t="shared" si="328"/>
        <v>NA</v>
      </c>
    </row>
    <row r="2726" spans="1:21" ht="14.25" customHeight="1">
      <c r="A2726" s="2" t="s">
        <v>15</v>
      </c>
      <c r="B2726" s="2">
        <v>1994</v>
      </c>
      <c r="C2726" s="2" t="s">
        <v>22</v>
      </c>
      <c r="D2726" s="2">
        <v>65.72</v>
      </c>
      <c r="E2726" s="2">
        <v>65.09</v>
      </c>
      <c r="F2726" s="3">
        <f t="shared" ref="F2726:I2731" si="331">L2726/1000</f>
        <v>9.2159999999999993</v>
      </c>
      <c r="G2726" s="3">
        <f t="shared" si="331"/>
        <v>24.431999999999999</v>
      </c>
      <c r="H2726" s="3">
        <f t="shared" si="331"/>
        <v>105.79300000000001</v>
      </c>
      <c r="I2726" s="3">
        <f t="shared" si="331"/>
        <v>197.161</v>
      </c>
      <c r="L2726" s="2">
        <f>3513+1010+439+1304+330+1944+676</f>
        <v>9216</v>
      </c>
      <c r="M2726" s="2">
        <f>4683+2885+7184+3101+831+4205+1543</f>
        <v>24432</v>
      </c>
      <c r="N2726" s="2">
        <f>16714+733+22896+57861+5971+186+1432</f>
        <v>105793</v>
      </c>
      <c r="O2726" s="2">
        <f>19104+1746+19963+145722+6282+662+3682</f>
        <v>197161</v>
      </c>
      <c r="P2726" s="3">
        <f>E2726*(VLOOKUP(B2726,Price_data!A$1:B$190,2,FALSE))</f>
        <v>76.917259487050003</v>
      </c>
      <c r="Q2726" s="3">
        <f>G2726*(VLOOKUP(B2726,Price_data!A$1:B$190,2,FALSE))</f>
        <v>28.871446977839998</v>
      </c>
      <c r="R2726" s="3">
        <f>I2726*(VLOOKUP(B2726,Price_data!A$1:B$190,2,FALSE))</f>
        <v>232.98638497044499</v>
      </c>
      <c r="S2726" s="4" t="str">
        <f>(VLOOKUP(B2726,Price_data!A$1:C$190,3,FALSE))</f>
        <v>EEZ</v>
      </c>
      <c r="T2726" s="2" t="str">
        <f>IF(C2726="Total", (VLOOKUP(B2726,Recommended_fish_intake!A$4:D$122,4,FALSE)), "NA")</f>
        <v>NA</v>
      </c>
      <c r="U2726" s="2" t="str">
        <f t="shared" si="328"/>
        <v>NA</v>
      </c>
    </row>
    <row r="2727" spans="1:21" ht="14.25" customHeight="1">
      <c r="A2727" s="2" t="s">
        <v>15</v>
      </c>
      <c r="B2727" s="2">
        <v>1994</v>
      </c>
      <c r="C2727" s="2" t="s">
        <v>23</v>
      </c>
      <c r="D2727" s="2">
        <v>92.938999999999993</v>
      </c>
      <c r="E2727" s="2">
        <v>61.017000000000003</v>
      </c>
      <c r="F2727" s="4">
        <f t="shared" si="331"/>
        <v>1.1819999999999999</v>
      </c>
      <c r="G2727" s="4">
        <f t="shared" si="331"/>
        <v>3.1480000000000001</v>
      </c>
      <c r="H2727" s="4">
        <f t="shared" si="331"/>
        <v>33.07</v>
      </c>
      <c r="I2727" s="4">
        <f t="shared" si="331"/>
        <v>54.856000000000002</v>
      </c>
      <c r="L2727" s="2">
        <f>236+184+758+4</f>
        <v>1182</v>
      </c>
      <c r="M2727" s="2">
        <f>670+298+2169+11</f>
        <v>3148</v>
      </c>
      <c r="N2727" s="2">
        <f>10366+8726+13265+713</f>
        <v>33070</v>
      </c>
      <c r="O2727" s="2">
        <f>12573+7955+33753+575</f>
        <v>54856</v>
      </c>
      <c r="P2727" s="3">
        <f>E2727*(VLOOKUP(B2727,Price_data!A$1:B$190,2,FALSE))</f>
        <v>72.104169951165005</v>
      </c>
      <c r="Q2727" s="3">
        <f>G2727*(VLOOKUP(B2727,Price_data!A$1:B$190,2,FALSE))</f>
        <v>3.7200112592600001</v>
      </c>
      <c r="R2727" s="3">
        <f>I2727*(VLOOKUP(B2727,Price_data!A$1:B$190,2,FALSE))</f>
        <v>64.82367777572</v>
      </c>
      <c r="S2727" s="4" t="str">
        <f>(VLOOKUP(B2727,Price_data!A$1:C$190,3,FALSE))</f>
        <v>EEZ</v>
      </c>
      <c r="T2727" s="2" t="str">
        <f>IF(C2727="Total", (VLOOKUP(B2727,Recommended_fish_intake!A$4:D$122,4,FALSE)), "NA")</f>
        <v>NA</v>
      </c>
      <c r="U2727" s="2" t="str">
        <f t="shared" si="328"/>
        <v>NA</v>
      </c>
    </row>
    <row r="2728" spans="1:21" ht="14.25" customHeight="1">
      <c r="A2728" s="2" t="s">
        <v>15</v>
      </c>
      <c r="B2728" s="2">
        <v>1994</v>
      </c>
      <c r="C2728" s="2" t="s">
        <v>58</v>
      </c>
      <c r="D2728" s="2">
        <v>17.745000000000001</v>
      </c>
      <c r="E2728" s="2">
        <v>34.328000000000003</v>
      </c>
      <c r="F2728" s="4">
        <f t="shared" si="331"/>
        <v>4.4370000000000003</v>
      </c>
      <c r="G2728" s="4">
        <f t="shared" si="331"/>
        <v>20.391999999999999</v>
      </c>
      <c r="H2728" s="4">
        <f t="shared" si="331"/>
        <v>0.34899999999999998</v>
      </c>
      <c r="I2728" s="4">
        <f t="shared" si="331"/>
        <v>0.85499999999999998</v>
      </c>
      <c r="L2728" s="2">
        <f>3718+439+280</f>
        <v>4437</v>
      </c>
      <c r="M2728" s="2">
        <f>18404+478+1510</f>
        <v>20392</v>
      </c>
      <c r="N2728" s="2">
        <f>331+5+13</f>
        <v>349</v>
      </c>
      <c r="O2728" s="2">
        <f>802+11+42</f>
        <v>855</v>
      </c>
      <c r="P2728" s="3">
        <f>E2728*(VLOOKUP(B2728,Price_data!A$1:B$190,2,FALSE))</f>
        <v>40.565611978360003</v>
      </c>
      <c r="Q2728" s="3">
        <f>G2728*(VLOOKUP(B2728,Price_data!A$1:B$190,2,FALSE))</f>
        <v>24.09735374804</v>
      </c>
      <c r="R2728" s="3">
        <f>I2728*(VLOOKUP(B2728,Price_data!A$1:B$190,2,FALSE))</f>
        <v>1.010358839475</v>
      </c>
      <c r="S2728" s="4" t="str">
        <f>(VLOOKUP(B2728,Price_data!A$1:C$190,3,FALSE))</f>
        <v>EEZ</v>
      </c>
      <c r="T2728" s="2" t="str">
        <f>IF(C2728="Total", (VLOOKUP(B2728,Recommended_fish_intake!A$4:D$122,4,FALSE)), "NA")</f>
        <v>NA</v>
      </c>
      <c r="U2728" s="2" t="str">
        <f t="shared" si="328"/>
        <v>NA</v>
      </c>
    </row>
    <row r="2729" spans="1:21" ht="14.25" customHeight="1">
      <c r="A2729" s="2" t="s">
        <v>15</v>
      </c>
      <c r="B2729" s="2">
        <v>1994</v>
      </c>
      <c r="C2729" s="2" t="s">
        <v>24</v>
      </c>
      <c r="D2729" s="2">
        <v>41.753</v>
      </c>
      <c r="E2729" s="2">
        <v>20.135000000000002</v>
      </c>
      <c r="F2729" s="4">
        <f t="shared" si="331"/>
        <v>4.2869999999999999</v>
      </c>
      <c r="G2729" s="4">
        <f t="shared" si="331"/>
        <v>7.9240000000000004</v>
      </c>
      <c r="H2729" s="4">
        <f t="shared" si="331"/>
        <v>0.67100000000000004</v>
      </c>
      <c r="I2729" s="4">
        <f t="shared" si="331"/>
        <v>0.68400000000000005</v>
      </c>
      <c r="L2729" s="2">
        <f>2477+4+1806</f>
        <v>4287</v>
      </c>
      <c r="M2729" s="2">
        <f>3088+9+4827</f>
        <v>7924</v>
      </c>
      <c r="N2729" s="2">
        <f>571+26+74</f>
        <v>671</v>
      </c>
      <c r="O2729" s="2">
        <f>570+42+72</f>
        <v>684</v>
      </c>
      <c r="P2729" s="3">
        <f>E2729*(VLOOKUP(B2729,Price_data!A$1:B$190,2,FALSE))</f>
        <v>23.793655243075001</v>
      </c>
      <c r="Q2729" s="3">
        <f>G2729*(VLOOKUP(B2729,Price_data!A$1:B$190,2,FALSE))</f>
        <v>9.3638402853800002</v>
      </c>
      <c r="R2729" s="3">
        <f>I2729*(VLOOKUP(B2729,Price_data!A$1:B$190,2,FALSE))</f>
        <v>0.80828707158000002</v>
      </c>
      <c r="S2729" s="4" t="str">
        <f>(VLOOKUP(B2729,Price_data!A$1:C$190,3,FALSE))</f>
        <v>EEZ</v>
      </c>
      <c r="T2729" s="2" t="str">
        <f>IF(C2729="Total", (VLOOKUP(B2729,Recommended_fish_intake!A$4:D$122,4,FALSE)), "NA")</f>
        <v>NA</v>
      </c>
      <c r="U2729" s="2" t="str">
        <f t="shared" si="328"/>
        <v>NA</v>
      </c>
    </row>
    <row r="2730" spans="1:21" ht="14.25" customHeight="1">
      <c r="A2730" s="2" t="s">
        <v>15</v>
      </c>
      <c r="B2730" s="2">
        <v>1994</v>
      </c>
      <c r="C2730" s="2" t="s">
        <v>19</v>
      </c>
      <c r="D2730" s="2">
        <v>86.069000000000003</v>
      </c>
      <c r="E2730" s="2">
        <v>9.7560000000000002</v>
      </c>
      <c r="F2730" s="4">
        <f t="shared" si="331"/>
        <v>47.08</v>
      </c>
      <c r="G2730" s="4">
        <f t="shared" si="331"/>
        <v>15.954000000000001</v>
      </c>
      <c r="H2730" s="4">
        <f t="shared" si="331"/>
        <v>8.7279999999999998</v>
      </c>
      <c r="I2730" s="4">
        <f t="shared" si="331"/>
        <v>9.0399999999999991</v>
      </c>
      <c r="L2730" s="2">
        <f>22716+9775+9008+1599+789+2801+392</f>
        <v>47080</v>
      </c>
      <c r="M2730" s="2">
        <f>3367+4520+3108+950+382+3108+519</f>
        <v>15954</v>
      </c>
      <c r="N2730" s="2">
        <f>2715+274+2135+429+1187+562+1426</f>
        <v>8728</v>
      </c>
      <c r="O2730" s="2">
        <f>421+147+4300+262+616+257+3037</f>
        <v>9040</v>
      </c>
      <c r="P2730" s="3">
        <f>E2730*(VLOOKUP(B2730,Price_data!A$1:B$190,2,FALSE))</f>
        <v>11.52872612622</v>
      </c>
      <c r="Q2730" s="3">
        <f>G2730*(VLOOKUP(B2730,Price_data!A$1:B$190,2,FALSE))</f>
        <v>18.852941432729999</v>
      </c>
      <c r="R2730" s="3">
        <f>I2730*(VLOOKUP(B2730,Price_data!A$1:B$190,2,FALSE))</f>
        <v>10.682624454799999</v>
      </c>
      <c r="S2730" s="4" t="str">
        <f>(VLOOKUP(B2730,Price_data!A$1:C$190,3,FALSE))</f>
        <v>EEZ</v>
      </c>
      <c r="T2730" s="2" t="str">
        <f>IF(C2730="Total", (VLOOKUP(B2730,Recommended_fish_intake!A$4:D$122,4,FALSE)), "NA")</f>
        <v>NA</v>
      </c>
      <c r="U2730" s="2" t="str">
        <f t="shared" si="328"/>
        <v>NA</v>
      </c>
    </row>
    <row r="2731" spans="1:21" ht="14.25" customHeight="1">
      <c r="A2731" s="2" t="s">
        <v>15</v>
      </c>
      <c r="B2731" s="2">
        <v>1994</v>
      </c>
      <c r="C2731" s="2" t="s">
        <v>20</v>
      </c>
      <c r="D2731" s="2">
        <v>155.91</v>
      </c>
      <c r="E2731" s="2">
        <v>21.23</v>
      </c>
      <c r="F2731" s="4">
        <f t="shared" si="331"/>
        <v>125.98399999999999</v>
      </c>
      <c r="G2731" s="4">
        <f t="shared" si="331"/>
        <v>41.713999999999999</v>
      </c>
      <c r="H2731" s="4">
        <f t="shared" si="331"/>
        <v>14.484999999999999</v>
      </c>
      <c r="I2731" s="4">
        <f t="shared" si="331"/>
        <v>7.8129999999999997</v>
      </c>
      <c r="L2731" s="2">
        <f>56960+60564+3553+498+4409</f>
        <v>125984</v>
      </c>
      <c r="M2731" s="2">
        <f>11573+22750+2532+995+3864</f>
        <v>41714</v>
      </c>
      <c r="N2731" s="2">
        <f>7498+4159+397+14+2417</f>
        <v>14485</v>
      </c>
      <c r="O2731" s="2">
        <f>1110+1234+243+21+5205</f>
        <v>7813</v>
      </c>
      <c r="P2731" s="3">
        <f>E2731*(VLOOKUP(B2731,Price_data!A$1:B$190,2,FALSE))</f>
        <v>25.087623581350002</v>
      </c>
      <c r="Q2731" s="3">
        <f>G2731*(VLOOKUP(B2731,Price_data!A$1:B$190,2,FALSE))</f>
        <v>49.293694303929996</v>
      </c>
      <c r="R2731" s="3">
        <f>I2731*(VLOOKUP(B2731,Price_data!A$1:B$190,2,FALSE))</f>
        <v>9.2326708921850003</v>
      </c>
      <c r="S2731" s="4" t="str">
        <f>(VLOOKUP(B2731,Price_data!A$1:C$190,3,FALSE))</f>
        <v>EEZ</v>
      </c>
      <c r="T2731" s="2" t="str">
        <f>IF(C2731="Total", (VLOOKUP(B2731,Recommended_fish_intake!A$4:D$122,4,FALSE)), "NA")</f>
        <v>NA</v>
      </c>
      <c r="U2731" s="2" t="str">
        <f t="shared" si="328"/>
        <v>NA</v>
      </c>
    </row>
    <row r="2732" spans="1:21" ht="14.25" customHeight="1">
      <c r="A2732" s="2" t="s">
        <v>15</v>
      </c>
      <c r="B2732" s="2">
        <v>1994</v>
      </c>
      <c r="C2732" s="2" t="s">
        <v>21</v>
      </c>
      <c r="D2732" s="3">
        <v>7.6</v>
      </c>
      <c r="E2732" s="3">
        <v>1.5</v>
      </c>
      <c r="F2732" s="2" t="s">
        <v>92</v>
      </c>
      <c r="G2732" s="2" t="s">
        <v>92</v>
      </c>
      <c r="H2732" s="2" t="s">
        <v>92</v>
      </c>
      <c r="I2732" s="2" t="s">
        <v>92</v>
      </c>
      <c r="P2732" s="3">
        <f>E2732*(VLOOKUP(B2732,Price_data!A$1:B$190,2,FALSE))</f>
        <v>1.7725593675</v>
      </c>
      <c r="Q2732" s="3" t="e">
        <f>G2732*(VLOOKUP(B2732,Price_data!A$1:B$190,2,FALSE))</f>
        <v>#VALUE!</v>
      </c>
      <c r="R2732" s="3" t="e">
        <f>I2732*(VLOOKUP(B2732,Price_data!A$1:B$190,2,FALSE))</f>
        <v>#VALUE!</v>
      </c>
      <c r="S2732" s="4" t="str">
        <f>(VLOOKUP(B2732,Price_data!A$1:C$190,3,FALSE))</f>
        <v>EEZ</v>
      </c>
      <c r="T2732" s="2" t="str">
        <f>IF(C2732="Total", (VLOOKUP(B2732,Recommended_fish_intake!A$4:D$122,4,FALSE)), "NA")</f>
        <v>NA</v>
      </c>
      <c r="U2732" s="2" t="str">
        <f t="shared" si="328"/>
        <v>NA</v>
      </c>
    </row>
    <row r="2733" spans="1:21" ht="14.25" customHeight="1">
      <c r="A2733" s="2" t="s">
        <v>15</v>
      </c>
      <c r="B2733" s="2">
        <v>1994</v>
      </c>
      <c r="C2733" s="2" t="s">
        <v>25</v>
      </c>
      <c r="D2733" s="2">
        <v>17.5</v>
      </c>
      <c r="E2733" s="2">
        <v>19.899999999999999</v>
      </c>
      <c r="F2733" s="3">
        <f t="shared" ref="F2733:I2735" si="332">IF(L2733="", NA(), L2733/1000)</f>
        <v>2.867</v>
      </c>
      <c r="G2733" s="3">
        <f t="shared" si="332"/>
        <v>3.883</v>
      </c>
      <c r="H2733" s="3">
        <f t="shared" si="332"/>
        <v>11.653</v>
      </c>
      <c r="I2733" s="3">
        <f t="shared" si="332"/>
        <v>24.021999999999998</v>
      </c>
      <c r="L2733" s="2">
        <f>2651+50+166</f>
        <v>2867</v>
      </c>
      <c r="M2733" s="2">
        <f>3277+73+533</f>
        <v>3883</v>
      </c>
      <c r="N2733" s="2">
        <f>6488+1209+3956</f>
        <v>11653</v>
      </c>
      <c r="O2733" s="2">
        <f>8771+1926+13325</f>
        <v>24022</v>
      </c>
      <c r="P2733" s="3">
        <f>E2733*(VLOOKUP(B2733,Price_data!A$1:B$190,2,FALSE))</f>
        <v>23.515954275499997</v>
      </c>
      <c r="Q2733" s="3">
        <f>G2733*(VLOOKUP(B2733,Price_data!A$1:B$190,2,FALSE))</f>
        <v>4.588565349335</v>
      </c>
      <c r="R2733" s="3">
        <f>I2733*(VLOOKUP(B2733,Price_data!A$1:B$190,2,FALSE))</f>
        <v>28.386947417389997</v>
      </c>
      <c r="S2733" s="4" t="str">
        <f>(VLOOKUP(B2733,Price_data!A$1:C$190,3,FALSE))</f>
        <v>EEZ</v>
      </c>
      <c r="T2733" s="2" t="str">
        <f>IF(C2733="Total", (VLOOKUP(B2733,Recommended_fish_intake!A$4:D$122,4,FALSE)), "NA")</f>
        <v>NA</v>
      </c>
      <c r="U2733" s="2" t="str">
        <f t="shared" si="328"/>
        <v>NA</v>
      </c>
    </row>
    <row r="2734" spans="1:21" ht="14.25" customHeight="1">
      <c r="A2734" s="2" t="s">
        <v>15</v>
      </c>
      <c r="B2734" s="2">
        <v>1994</v>
      </c>
      <c r="C2734" s="2" t="s">
        <v>43</v>
      </c>
      <c r="D2734" s="3" t="e">
        <v>#N/A</v>
      </c>
      <c r="E2734" s="3" t="e">
        <v>#N/A</v>
      </c>
      <c r="F2734" s="3">
        <f t="shared" si="332"/>
        <v>3.15</v>
      </c>
      <c r="G2734" s="3">
        <f t="shared" si="332"/>
        <v>6.6120000000000001</v>
      </c>
      <c r="H2734" s="3">
        <f t="shared" si="332"/>
        <v>63.320999999999998</v>
      </c>
      <c r="I2734" s="3">
        <f t="shared" si="332"/>
        <v>114.65300000000001</v>
      </c>
      <c r="L2734" s="2">
        <f>155+26+2969</f>
        <v>3150</v>
      </c>
      <c r="M2734" s="2">
        <f>591+45+5976</f>
        <v>6612</v>
      </c>
      <c r="N2734" s="2">
        <f>247+298+62776</f>
        <v>63321</v>
      </c>
      <c r="O2734" s="2">
        <f>1095+361+113197</f>
        <v>114653</v>
      </c>
      <c r="P2734" s="3" t="e">
        <f>E2734*(VLOOKUP(B2734,Price_data!A$1:B$190,2,FALSE))</f>
        <v>#N/A</v>
      </c>
      <c r="Q2734" s="3">
        <f>G2734*(VLOOKUP(B2734,Price_data!A$1:B$190,2,FALSE))</f>
        <v>7.8134416919399996</v>
      </c>
      <c r="R2734" s="3">
        <f>I2734*(VLOOKUP(B2734,Price_data!A$1:B$190,2,FALSE))</f>
        <v>135.48616610798501</v>
      </c>
      <c r="S2734" s="4" t="str">
        <f>(VLOOKUP(B2734,Price_data!A$1:C$190,3,FALSE))</f>
        <v>EEZ</v>
      </c>
      <c r="T2734" s="2" t="str">
        <f>IF(C2734="Total", (VLOOKUP(B2734,Recommended_fish_intake!A$4:D$122,4,FALSE)), "NA")</f>
        <v>NA</v>
      </c>
      <c r="U2734" s="2" t="str">
        <f t="shared" si="328"/>
        <v>NA</v>
      </c>
    </row>
    <row r="2735" spans="1:21" ht="14.25" customHeight="1">
      <c r="A2735" s="2" t="s">
        <v>15</v>
      </c>
      <c r="B2735" s="2">
        <v>1994</v>
      </c>
      <c r="C2735" s="2" t="s">
        <v>29</v>
      </c>
      <c r="D2735" s="3" t="e">
        <v>#N/A</v>
      </c>
      <c r="E2735" s="3" t="e">
        <v>#N/A</v>
      </c>
      <c r="F2735" s="3">
        <f t="shared" si="332"/>
        <v>28.844000000000001</v>
      </c>
      <c r="G2735" s="3">
        <f t="shared" si="332"/>
        <v>123.634</v>
      </c>
      <c r="H2735" s="3">
        <f t="shared" si="332"/>
        <v>31.495000000000001</v>
      </c>
      <c r="I2735" s="3">
        <f t="shared" si="332"/>
        <v>99.613</v>
      </c>
      <c r="L2735" s="2">
        <f>53+22228+1241+949+65+3036+1272</f>
        <v>28844</v>
      </c>
      <c r="M2735" s="2">
        <f>185+74504+5410+2385+396+36491+4263</f>
        <v>123634</v>
      </c>
      <c r="N2735" s="2">
        <f>50+7305+279+1380+716+383+21382</f>
        <v>31495</v>
      </c>
      <c r="O2735" s="2">
        <f>370+24669+1070+2318+2826+3548+64812</f>
        <v>99613</v>
      </c>
      <c r="P2735" s="3" t="e">
        <f>E2735*(VLOOKUP(B2735,Price_data!A$1:B$190,2,FALSE))</f>
        <v>#N/A</v>
      </c>
      <c r="Q2735" s="3">
        <f>G2735*(VLOOKUP(B2735,Price_data!A$1:B$190,2,FALSE))</f>
        <v>146.09906989433</v>
      </c>
      <c r="R2735" s="3">
        <f>I2735*(VLOOKUP(B2735,Price_data!A$1:B$190,2,FALSE))</f>
        <v>117.713304183185</v>
      </c>
      <c r="S2735" s="4" t="str">
        <f>(VLOOKUP(B2735,Price_data!A$1:C$190,3,FALSE))</f>
        <v>EEZ</v>
      </c>
      <c r="T2735" s="2" t="str">
        <f>IF(C2735="Total", (VLOOKUP(B2735,Recommended_fish_intake!A$4:D$122,4,FALSE)), "NA")</f>
        <v>NA</v>
      </c>
      <c r="U2735" s="2" t="str">
        <f t="shared" si="328"/>
        <v>NA</v>
      </c>
    </row>
    <row r="2736" spans="1:21" ht="14.25" customHeight="1">
      <c r="A2736" s="2" t="s">
        <v>90</v>
      </c>
      <c r="B2736" s="2">
        <v>1995</v>
      </c>
      <c r="C2736" s="2" t="s">
        <v>22</v>
      </c>
      <c r="D2736" s="2">
        <v>30.3</v>
      </c>
      <c r="E2736" s="2">
        <v>27.6</v>
      </c>
      <c r="P2736" s="3">
        <f>E2736*(VLOOKUP(B2736,Price_data!A$1:B$190,2,FALSE))</f>
        <v>31.522747372800001</v>
      </c>
      <c r="Q2736" s="3">
        <f>G2736*(VLOOKUP(B2736,Price_data!A$1:B$190,2,FALSE))</f>
        <v>0</v>
      </c>
      <c r="R2736" s="3">
        <f>I2736*(VLOOKUP(B2736,Price_data!A$1:B$190,2,FALSE))</f>
        <v>0</v>
      </c>
      <c r="S2736" s="4" t="str">
        <f>(VLOOKUP(B2736,Price_data!A$1:C$190,3,FALSE))</f>
        <v>EEZ</v>
      </c>
      <c r="T2736" s="2" t="str">
        <f>IF(C2736="Total", (VLOOKUP(B2736,Recommended_fish_intake!A$4:D$122,4,FALSE)), "NA")</f>
        <v>NA</v>
      </c>
      <c r="U2736" s="2" t="str">
        <f t="shared" si="328"/>
        <v>NA</v>
      </c>
    </row>
    <row r="2737" spans="1:21" ht="14.25" customHeight="1">
      <c r="A2737" s="2" t="s">
        <v>90</v>
      </c>
      <c r="B2737" s="2">
        <v>1995</v>
      </c>
      <c r="C2737" s="2" t="s">
        <v>23</v>
      </c>
      <c r="D2737" s="2">
        <v>6.6</v>
      </c>
      <c r="E2737" s="2">
        <v>4.7</v>
      </c>
      <c r="P2737" s="3">
        <f>E2737*(VLOOKUP(B2737,Price_data!A$1:B$190,2,FALSE))</f>
        <v>5.3680040816000005</v>
      </c>
      <c r="Q2737" s="3">
        <f>G2737*(VLOOKUP(B2737,Price_data!A$1:B$190,2,FALSE))</f>
        <v>0</v>
      </c>
      <c r="R2737" s="3">
        <f>I2737*(VLOOKUP(B2737,Price_data!A$1:B$190,2,FALSE))</f>
        <v>0</v>
      </c>
      <c r="S2737" s="4" t="str">
        <f>(VLOOKUP(B2737,Price_data!A$1:C$190,3,FALSE))</f>
        <v>EEZ</v>
      </c>
      <c r="T2737" s="2" t="str">
        <f>IF(C2737="Total", (VLOOKUP(B2737,Recommended_fish_intake!A$4:D$122,4,FALSE)), "NA")</f>
        <v>NA</v>
      </c>
      <c r="U2737" s="2" t="str">
        <f t="shared" si="328"/>
        <v>NA</v>
      </c>
    </row>
    <row r="2738" spans="1:21" ht="14.25" customHeight="1">
      <c r="A2738" s="2" t="s">
        <v>90</v>
      </c>
      <c r="B2738" s="2">
        <v>1995</v>
      </c>
      <c r="C2738" s="2" t="s">
        <v>58</v>
      </c>
      <c r="D2738" s="2">
        <v>3.1</v>
      </c>
      <c r="E2738" s="2">
        <v>5.2</v>
      </c>
      <c r="P2738" s="3">
        <f>E2738*(VLOOKUP(B2738,Price_data!A$1:B$190,2,FALSE))</f>
        <v>5.9390683456</v>
      </c>
      <c r="Q2738" s="3">
        <f>G2738*(VLOOKUP(B2738,Price_data!A$1:B$190,2,FALSE))</f>
        <v>0</v>
      </c>
      <c r="R2738" s="3">
        <f>I2738*(VLOOKUP(B2738,Price_data!A$1:B$190,2,FALSE))</f>
        <v>0</v>
      </c>
      <c r="S2738" s="4" t="str">
        <f>(VLOOKUP(B2738,Price_data!A$1:C$190,3,FALSE))</f>
        <v>EEZ</v>
      </c>
      <c r="T2738" s="2" t="str">
        <f>IF(C2738="Total", (VLOOKUP(B2738,Recommended_fish_intake!A$4:D$122,4,FALSE)), "NA")</f>
        <v>NA</v>
      </c>
      <c r="U2738" s="2" t="str">
        <f t="shared" si="328"/>
        <v>NA</v>
      </c>
    </row>
    <row r="2739" spans="1:21" ht="14.25" customHeight="1">
      <c r="A2739" s="2" t="s">
        <v>90</v>
      </c>
      <c r="B2739" s="2">
        <v>1995</v>
      </c>
      <c r="C2739" s="2" t="s">
        <v>24</v>
      </c>
      <c r="D2739" s="2">
        <v>4.5999999999999996</v>
      </c>
      <c r="E2739" s="2">
        <v>1.9</v>
      </c>
      <c r="P2739" s="3">
        <f>E2739*(VLOOKUP(B2739,Price_data!A$1:B$190,2,FALSE))</f>
        <v>2.1700442031999998</v>
      </c>
      <c r="Q2739" s="3">
        <f>G2739*(VLOOKUP(B2739,Price_data!A$1:B$190,2,FALSE))</f>
        <v>0</v>
      </c>
      <c r="R2739" s="3">
        <f>I2739*(VLOOKUP(B2739,Price_data!A$1:B$190,2,FALSE))</f>
        <v>0</v>
      </c>
      <c r="S2739" s="4" t="str">
        <f>(VLOOKUP(B2739,Price_data!A$1:C$190,3,FALSE))</f>
        <v>EEZ</v>
      </c>
      <c r="T2739" s="2" t="str">
        <f>IF(C2739="Total", (VLOOKUP(B2739,Recommended_fish_intake!A$4:D$122,4,FALSE)), "NA")</f>
        <v>NA</v>
      </c>
      <c r="U2739" s="2" t="str">
        <f t="shared" si="328"/>
        <v>NA</v>
      </c>
    </row>
    <row r="2740" spans="1:21" ht="14.25" customHeight="1">
      <c r="A2740" s="2" t="s">
        <v>90</v>
      </c>
      <c r="B2740" s="2">
        <v>1995</v>
      </c>
      <c r="C2740" s="2" t="s">
        <v>41</v>
      </c>
      <c r="D2740" s="2">
        <v>82.8</v>
      </c>
      <c r="E2740" s="2">
        <v>107.7</v>
      </c>
      <c r="P2740" s="3">
        <f>E2740*(VLOOKUP(B2740,Price_data!A$1:B$190,2,FALSE))</f>
        <v>123.0072424656</v>
      </c>
      <c r="Q2740" s="3">
        <f>G2740*(VLOOKUP(B2740,Price_data!A$1:B$190,2,FALSE))</f>
        <v>0</v>
      </c>
      <c r="R2740" s="3">
        <f>I2740*(VLOOKUP(B2740,Price_data!A$1:B$190,2,FALSE))</f>
        <v>0</v>
      </c>
      <c r="S2740" s="4" t="str">
        <f>(VLOOKUP(B2740,Price_data!A$1:C$190,3,FALSE))</f>
        <v>EEZ</v>
      </c>
      <c r="T2740" s="2" t="str">
        <f>IF(C2740="Total", (VLOOKUP(B2740,Recommended_fish_intake!A$4:D$122,4,FALSE)), "NA")</f>
        <v>NA</v>
      </c>
      <c r="U2740" s="2" t="str">
        <f t="shared" si="328"/>
        <v>NA</v>
      </c>
    </row>
    <row r="2741" spans="1:21" ht="14.25" customHeight="1">
      <c r="A2741" s="2" t="s">
        <v>90</v>
      </c>
      <c r="B2741" s="2">
        <v>1995</v>
      </c>
      <c r="C2741" s="2" t="s">
        <v>19</v>
      </c>
      <c r="D2741" s="2">
        <v>5.5</v>
      </c>
      <c r="E2741" s="2">
        <v>0.8</v>
      </c>
      <c r="P2741" s="3">
        <f>E2741*(VLOOKUP(B2741,Price_data!A$1:B$190,2,FALSE))</f>
        <v>0.9137028224</v>
      </c>
      <c r="Q2741" s="3">
        <f>G2741*(VLOOKUP(B2741,Price_data!A$1:B$190,2,FALSE))</f>
        <v>0</v>
      </c>
      <c r="R2741" s="3">
        <f>I2741*(VLOOKUP(B2741,Price_data!A$1:B$190,2,FALSE))</f>
        <v>0</v>
      </c>
      <c r="S2741" s="4" t="str">
        <f>(VLOOKUP(B2741,Price_data!A$1:C$190,3,FALSE))</f>
        <v>EEZ</v>
      </c>
      <c r="T2741" s="2" t="str">
        <f>IF(C2741="Total", (VLOOKUP(B2741,Recommended_fish_intake!A$4:D$122,4,FALSE)), "NA")</f>
        <v>NA</v>
      </c>
      <c r="U2741" s="2" t="str">
        <f t="shared" si="328"/>
        <v>NA</v>
      </c>
    </row>
    <row r="2742" spans="1:21" ht="14.25" customHeight="1">
      <c r="A2742" s="2" t="s">
        <v>90</v>
      </c>
      <c r="B2742" s="2">
        <v>1995</v>
      </c>
      <c r="C2742" s="2" t="s">
        <v>20</v>
      </c>
      <c r="D2742" s="2">
        <v>34.200000000000003</v>
      </c>
      <c r="E2742" s="2">
        <v>5.4</v>
      </c>
      <c r="P2742" s="3">
        <f>E2742*(VLOOKUP(B2742,Price_data!A$1:B$190,2,FALSE))</f>
        <v>6.1674940512000003</v>
      </c>
      <c r="Q2742" s="3">
        <f>G2742*(VLOOKUP(B2742,Price_data!A$1:B$190,2,FALSE))</f>
        <v>0</v>
      </c>
      <c r="R2742" s="3">
        <f>I2742*(VLOOKUP(B2742,Price_data!A$1:B$190,2,FALSE))</f>
        <v>0</v>
      </c>
      <c r="S2742" s="4" t="str">
        <f>(VLOOKUP(B2742,Price_data!A$1:C$190,3,FALSE))</f>
        <v>EEZ</v>
      </c>
      <c r="T2742" s="2" t="str">
        <f>IF(C2742="Total", (VLOOKUP(B2742,Recommended_fish_intake!A$4:D$122,4,FALSE)), "NA")</f>
        <v>NA</v>
      </c>
      <c r="U2742" s="2" t="str">
        <f t="shared" si="328"/>
        <v>NA</v>
      </c>
    </row>
    <row r="2743" spans="1:21" ht="14.25" customHeight="1">
      <c r="A2743" s="2" t="s">
        <v>90</v>
      </c>
      <c r="B2743" s="2">
        <v>1995</v>
      </c>
      <c r="C2743" s="2" t="s">
        <v>42</v>
      </c>
      <c r="D2743" s="2">
        <v>73.7</v>
      </c>
      <c r="E2743" s="2">
        <v>10.3</v>
      </c>
      <c r="P2743" s="3">
        <f>E2743*(VLOOKUP(B2743,Price_data!A$1:B$190,2,FALSE))</f>
        <v>11.7639238384</v>
      </c>
      <c r="Q2743" s="3">
        <f>G2743*(VLOOKUP(B2743,Price_data!A$1:B$190,2,FALSE))</f>
        <v>0</v>
      </c>
      <c r="R2743" s="3">
        <f>I2743*(VLOOKUP(B2743,Price_data!A$1:B$190,2,FALSE))</f>
        <v>0</v>
      </c>
      <c r="S2743" s="4" t="str">
        <f>(VLOOKUP(B2743,Price_data!A$1:C$190,3,FALSE))</f>
        <v>EEZ</v>
      </c>
      <c r="T2743" s="2" t="str">
        <f>IF(C2743="Total", (VLOOKUP(B2743,Recommended_fish_intake!A$4:D$122,4,FALSE)), "NA")</f>
        <v>NA</v>
      </c>
      <c r="U2743" s="2" t="str">
        <f t="shared" si="328"/>
        <v>NA</v>
      </c>
    </row>
    <row r="2744" spans="1:21" ht="14.25" customHeight="1">
      <c r="A2744" s="2" t="s">
        <v>90</v>
      </c>
      <c r="B2744" s="2">
        <v>1995</v>
      </c>
      <c r="C2744" s="2" t="s">
        <v>36</v>
      </c>
      <c r="D2744" s="2">
        <v>10.9</v>
      </c>
      <c r="E2744" s="2">
        <v>10.9</v>
      </c>
      <c r="P2744" s="3">
        <f>E2744*(VLOOKUP(B2744,Price_data!A$1:B$190,2,FALSE))</f>
        <v>12.4492009552</v>
      </c>
      <c r="Q2744" s="3">
        <f>G2744*(VLOOKUP(B2744,Price_data!A$1:B$190,2,FALSE))</f>
        <v>0</v>
      </c>
      <c r="R2744" s="3">
        <f>I2744*(VLOOKUP(B2744,Price_data!A$1:B$190,2,FALSE))</f>
        <v>0</v>
      </c>
      <c r="S2744" s="4" t="str">
        <f>(VLOOKUP(B2744,Price_data!A$1:C$190,3,FALSE))</f>
        <v>EEZ</v>
      </c>
      <c r="T2744" s="2" t="str">
        <f>IF(C2744="Total", (VLOOKUP(B2744,Recommended_fish_intake!A$4:D$122,4,FALSE)), "NA")</f>
        <v>NA</v>
      </c>
      <c r="U2744" s="2" t="str">
        <f t="shared" si="328"/>
        <v>NA</v>
      </c>
    </row>
    <row r="2745" spans="1:21" ht="14.25" customHeight="1">
      <c r="A2745" s="2" t="s">
        <v>90</v>
      </c>
      <c r="B2745" s="2">
        <v>1995</v>
      </c>
      <c r="C2745" s="2" t="s">
        <v>34</v>
      </c>
      <c r="D2745" s="2">
        <v>0.7</v>
      </c>
      <c r="E2745" s="2">
        <v>6.3</v>
      </c>
      <c r="P2745" s="3">
        <f>E2745*(VLOOKUP(B2745,Price_data!A$1:B$190,2,FALSE))</f>
        <v>7.1954097263999994</v>
      </c>
      <c r="Q2745" s="3">
        <f>G2745*(VLOOKUP(B2745,Price_data!A$1:B$190,2,FALSE))</f>
        <v>0</v>
      </c>
      <c r="R2745" s="3">
        <f>I2745*(VLOOKUP(B2745,Price_data!A$1:B$190,2,FALSE))</f>
        <v>0</v>
      </c>
      <c r="S2745" s="4" t="str">
        <f>(VLOOKUP(B2745,Price_data!A$1:C$190,3,FALSE))</f>
        <v>EEZ</v>
      </c>
      <c r="T2745" s="2" t="str">
        <f>IF(C2745="Total", (VLOOKUP(B2745,Recommended_fish_intake!A$4:D$122,4,FALSE)), "NA")</f>
        <v>NA</v>
      </c>
      <c r="U2745" s="2" t="str">
        <f t="shared" si="328"/>
        <v>NA</v>
      </c>
    </row>
    <row r="2746" spans="1:21" ht="14.25" customHeight="1">
      <c r="A2746" s="2" t="s">
        <v>90</v>
      </c>
      <c r="B2746" s="2">
        <v>1995</v>
      </c>
      <c r="C2746" s="2" t="s">
        <v>35</v>
      </c>
      <c r="D2746" s="2">
        <v>3</v>
      </c>
      <c r="E2746" s="2">
        <v>5.2</v>
      </c>
      <c r="P2746" s="3">
        <f>E2746*(VLOOKUP(B2746,Price_data!A$1:B$190,2,FALSE))</f>
        <v>5.9390683456</v>
      </c>
      <c r="Q2746" s="3">
        <f>G2746*(VLOOKUP(B2746,Price_data!A$1:B$190,2,FALSE))</f>
        <v>0</v>
      </c>
      <c r="R2746" s="3">
        <f>I2746*(VLOOKUP(B2746,Price_data!A$1:B$190,2,FALSE))</f>
        <v>0</v>
      </c>
      <c r="S2746" s="4" t="str">
        <f>(VLOOKUP(B2746,Price_data!A$1:C$190,3,FALSE))</f>
        <v>EEZ</v>
      </c>
      <c r="T2746" s="2" t="str">
        <f>IF(C2746="Total", (VLOOKUP(B2746,Recommended_fish_intake!A$4:D$122,4,FALSE)), "NA")</f>
        <v>NA</v>
      </c>
      <c r="U2746" s="2" t="str">
        <f t="shared" si="328"/>
        <v>NA</v>
      </c>
    </row>
    <row r="2747" spans="1:21" ht="14.25" customHeight="1">
      <c r="A2747" s="2" t="s">
        <v>90</v>
      </c>
      <c r="B2747" s="2">
        <v>1995</v>
      </c>
      <c r="C2747" s="2" t="s">
        <v>52</v>
      </c>
      <c r="D2747" s="2">
        <v>7.1</v>
      </c>
      <c r="E2747" s="2">
        <v>8.6999999999999993</v>
      </c>
      <c r="P2747" s="3">
        <f>E2747*(VLOOKUP(B2747,Price_data!A$1:B$190,2,FALSE))</f>
        <v>9.9365181935999995</v>
      </c>
      <c r="Q2747" s="3">
        <f>G2747*(VLOOKUP(B2747,Price_data!A$1:B$190,2,FALSE))</f>
        <v>0</v>
      </c>
      <c r="R2747" s="3">
        <f>I2747*(VLOOKUP(B2747,Price_data!A$1:B$190,2,FALSE))</f>
        <v>0</v>
      </c>
      <c r="S2747" s="4" t="str">
        <f>(VLOOKUP(B2747,Price_data!A$1:C$190,3,FALSE))</f>
        <v>EEZ</v>
      </c>
      <c r="T2747" s="2" t="str">
        <f>IF(C2747="Total", (VLOOKUP(B2747,Recommended_fish_intake!A$4:D$122,4,FALSE)), "NA")</f>
        <v>NA</v>
      </c>
      <c r="U2747" s="2" t="str">
        <f t="shared" si="328"/>
        <v>NA</v>
      </c>
    </row>
    <row r="2748" spans="1:21" ht="14.25" customHeight="1">
      <c r="A2748" s="2" t="s">
        <v>90</v>
      </c>
      <c r="B2748" s="2">
        <v>1995</v>
      </c>
      <c r="C2748" s="2" t="s">
        <v>30</v>
      </c>
      <c r="D2748" s="2">
        <v>1.3</v>
      </c>
      <c r="E2748" s="2">
        <v>1.8</v>
      </c>
      <c r="P2748" s="3">
        <f>E2748*(VLOOKUP(B2748,Price_data!A$1:B$190,2,FALSE))</f>
        <v>2.0558313504000001</v>
      </c>
      <c r="Q2748" s="3">
        <f>G2748*(VLOOKUP(B2748,Price_data!A$1:B$190,2,FALSE))</f>
        <v>0</v>
      </c>
      <c r="R2748" s="3">
        <f>I2748*(VLOOKUP(B2748,Price_data!A$1:B$190,2,FALSE))</f>
        <v>0</v>
      </c>
      <c r="S2748" s="4" t="str">
        <f>(VLOOKUP(B2748,Price_data!A$1:C$190,3,FALSE))</f>
        <v>EEZ</v>
      </c>
      <c r="T2748" s="2" t="str">
        <f>IF(C2748="Total", (VLOOKUP(B2748,Recommended_fish_intake!A$4:D$122,4,FALSE)), "NA")</f>
        <v>NA</v>
      </c>
      <c r="U2748" s="2" t="str">
        <f t="shared" si="328"/>
        <v>NA</v>
      </c>
    </row>
    <row r="2749" spans="1:21" ht="14.25" customHeight="1">
      <c r="A2749" s="2" t="s">
        <v>90</v>
      </c>
      <c r="B2749" s="2">
        <v>1995</v>
      </c>
      <c r="C2749" s="2" t="s">
        <v>28</v>
      </c>
      <c r="D2749" s="2">
        <v>66.3</v>
      </c>
      <c r="E2749" s="2">
        <v>48.8</v>
      </c>
      <c r="P2749" s="3">
        <f>E2749*(VLOOKUP(B2749,Price_data!A$1:B$190,2,FALSE))</f>
        <v>55.735872166399993</v>
      </c>
      <c r="Q2749" s="3">
        <f>G2749*(VLOOKUP(B2749,Price_data!A$1:B$190,2,FALSE))</f>
        <v>0</v>
      </c>
      <c r="R2749" s="3">
        <f>I2749*(VLOOKUP(B2749,Price_data!A$1:B$190,2,FALSE))</f>
        <v>0</v>
      </c>
      <c r="S2749" s="4" t="str">
        <f>(VLOOKUP(B2749,Price_data!A$1:C$190,3,FALSE))</f>
        <v>EEZ</v>
      </c>
      <c r="T2749" s="2" t="str">
        <f>IF(C2749="Total", (VLOOKUP(B2749,Recommended_fish_intake!A$4:D$122,4,FALSE)), "NA")</f>
        <v>NA</v>
      </c>
      <c r="U2749" s="2">
        <f t="shared" si="328"/>
        <v>18.564</v>
      </c>
    </row>
    <row r="2750" spans="1:21" ht="14.25" customHeight="1">
      <c r="A2750" s="2" t="s">
        <v>91</v>
      </c>
      <c r="B2750" s="2">
        <v>1995</v>
      </c>
      <c r="C2750" s="2" t="s">
        <v>22</v>
      </c>
      <c r="D2750" s="2">
        <v>0</v>
      </c>
      <c r="E2750" s="2">
        <v>0</v>
      </c>
      <c r="P2750" s="3">
        <f>E2750*(VLOOKUP(B2750,Price_data!A$1:B$190,2,FALSE))</f>
        <v>0</v>
      </c>
      <c r="Q2750" s="3">
        <f>G2750*(VLOOKUP(B2750,Price_data!A$1:B$190,2,FALSE))</f>
        <v>0</v>
      </c>
      <c r="R2750" s="3">
        <f>I2750*(VLOOKUP(B2750,Price_data!A$1:B$190,2,FALSE))</f>
        <v>0</v>
      </c>
      <c r="S2750" s="4" t="str">
        <f>(VLOOKUP(B2750,Price_data!A$1:C$190,3,FALSE))</f>
        <v>EEZ</v>
      </c>
      <c r="T2750" s="2" t="str">
        <f>IF(C2750="Total", (VLOOKUP(B2750,Recommended_fish_intake!A$4:D$122,4,FALSE)), "NA")</f>
        <v>NA</v>
      </c>
      <c r="U2750" s="2" t="str">
        <f t="shared" si="328"/>
        <v>NA</v>
      </c>
    </row>
    <row r="2751" spans="1:21" ht="14.25" customHeight="1">
      <c r="A2751" s="2" t="s">
        <v>91</v>
      </c>
      <c r="B2751" s="2">
        <v>1995</v>
      </c>
      <c r="C2751" s="2" t="s">
        <v>23</v>
      </c>
      <c r="D2751" s="2">
        <v>0</v>
      </c>
      <c r="E2751" s="2">
        <v>0</v>
      </c>
      <c r="P2751" s="3">
        <f>E2751*(VLOOKUP(B2751,Price_data!A$1:B$190,2,FALSE))</f>
        <v>0</v>
      </c>
      <c r="Q2751" s="3">
        <f>G2751*(VLOOKUP(B2751,Price_data!A$1:B$190,2,FALSE))</f>
        <v>0</v>
      </c>
      <c r="R2751" s="3">
        <f>I2751*(VLOOKUP(B2751,Price_data!A$1:B$190,2,FALSE))</f>
        <v>0</v>
      </c>
      <c r="S2751" s="4" t="str">
        <f>(VLOOKUP(B2751,Price_data!A$1:C$190,3,FALSE))</f>
        <v>EEZ</v>
      </c>
      <c r="T2751" s="2" t="str">
        <f>IF(C2751="Total", (VLOOKUP(B2751,Recommended_fish_intake!A$4:D$122,4,FALSE)), "NA")</f>
        <v>NA</v>
      </c>
      <c r="U2751" s="2" t="str">
        <f t="shared" si="328"/>
        <v>NA</v>
      </c>
    </row>
    <row r="2752" spans="1:21" ht="14.25" customHeight="1">
      <c r="A2752" s="2" t="s">
        <v>91</v>
      </c>
      <c r="B2752" s="2">
        <v>1995</v>
      </c>
      <c r="C2752" s="2" t="s">
        <v>58</v>
      </c>
      <c r="D2752" s="2">
        <v>0</v>
      </c>
      <c r="E2752" s="2">
        <v>0</v>
      </c>
      <c r="P2752" s="3">
        <f>E2752*(VLOOKUP(B2752,Price_data!A$1:B$190,2,FALSE))</f>
        <v>0</v>
      </c>
      <c r="Q2752" s="3">
        <f>G2752*(VLOOKUP(B2752,Price_data!A$1:B$190,2,FALSE))</f>
        <v>0</v>
      </c>
      <c r="R2752" s="3">
        <f>I2752*(VLOOKUP(B2752,Price_data!A$1:B$190,2,FALSE))</f>
        <v>0</v>
      </c>
      <c r="S2752" s="4" t="str">
        <f>(VLOOKUP(B2752,Price_data!A$1:C$190,3,FALSE))</f>
        <v>EEZ</v>
      </c>
      <c r="T2752" s="2" t="str">
        <f>IF(C2752="Total", (VLOOKUP(B2752,Recommended_fish_intake!A$4:D$122,4,FALSE)), "NA")</f>
        <v>NA</v>
      </c>
      <c r="U2752" s="2" t="str">
        <f t="shared" si="328"/>
        <v>NA</v>
      </c>
    </row>
    <row r="2753" spans="1:21" ht="14.25" customHeight="1">
      <c r="A2753" s="2" t="s">
        <v>91</v>
      </c>
      <c r="B2753" s="2">
        <v>1995</v>
      </c>
      <c r="C2753" s="2" t="s">
        <v>24</v>
      </c>
      <c r="D2753" s="2">
        <v>0</v>
      </c>
      <c r="E2753" s="2">
        <v>0</v>
      </c>
      <c r="P2753" s="3">
        <f>E2753*(VLOOKUP(B2753,Price_data!A$1:B$190,2,FALSE))</f>
        <v>0</v>
      </c>
      <c r="Q2753" s="3">
        <f>G2753*(VLOOKUP(B2753,Price_data!A$1:B$190,2,FALSE))</f>
        <v>0</v>
      </c>
      <c r="R2753" s="3">
        <f>I2753*(VLOOKUP(B2753,Price_data!A$1:B$190,2,FALSE))</f>
        <v>0</v>
      </c>
      <c r="S2753" s="4" t="str">
        <f>(VLOOKUP(B2753,Price_data!A$1:C$190,3,FALSE))</f>
        <v>EEZ</v>
      </c>
      <c r="T2753" s="2" t="str">
        <f>IF(C2753="Total", (VLOOKUP(B2753,Recommended_fish_intake!A$4:D$122,4,FALSE)), "NA")</f>
        <v>NA</v>
      </c>
      <c r="U2753" s="2" t="str">
        <f t="shared" si="328"/>
        <v>NA</v>
      </c>
    </row>
    <row r="2754" spans="1:21" ht="14.25" customHeight="1">
      <c r="A2754" s="2" t="s">
        <v>91</v>
      </c>
      <c r="B2754" s="2">
        <v>1995</v>
      </c>
      <c r="C2754" s="2" t="s">
        <v>41</v>
      </c>
      <c r="D2754" s="2">
        <v>0</v>
      </c>
      <c r="E2754" s="2">
        <v>0</v>
      </c>
      <c r="P2754" s="3">
        <f>E2754*(VLOOKUP(B2754,Price_data!A$1:B$190,2,FALSE))</f>
        <v>0</v>
      </c>
      <c r="Q2754" s="3">
        <f>G2754*(VLOOKUP(B2754,Price_data!A$1:B$190,2,FALSE))</f>
        <v>0</v>
      </c>
      <c r="R2754" s="3">
        <f>I2754*(VLOOKUP(B2754,Price_data!A$1:B$190,2,FALSE))</f>
        <v>0</v>
      </c>
      <c r="S2754" s="4" t="str">
        <f>(VLOOKUP(B2754,Price_data!A$1:C$190,3,FALSE))</f>
        <v>EEZ</v>
      </c>
      <c r="T2754" s="2" t="str">
        <f>IF(C2754="Total", (VLOOKUP(B2754,Recommended_fish_intake!A$4:D$122,4,FALSE)), "NA")</f>
        <v>NA</v>
      </c>
      <c r="U2754" s="2" t="str">
        <f t="shared" ref="U2754:U2817" si="333">IF(C2754="Wet fish", D2754*0.49, IF(C2754="Shellfish", D2754*0.28, "NA"))</f>
        <v>NA</v>
      </c>
    </row>
    <row r="2755" spans="1:21" ht="14.25" customHeight="1">
      <c r="A2755" s="2" t="s">
        <v>91</v>
      </c>
      <c r="B2755" s="2">
        <v>1995</v>
      </c>
      <c r="C2755" s="2" t="s">
        <v>19</v>
      </c>
      <c r="D2755" s="2">
        <v>0</v>
      </c>
      <c r="E2755" s="2">
        <v>0</v>
      </c>
      <c r="P2755" s="3">
        <f>E2755*(VLOOKUP(B2755,Price_data!A$1:B$190,2,FALSE))</f>
        <v>0</v>
      </c>
      <c r="Q2755" s="3">
        <f>G2755*(VLOOKUP(B2755,Price_data!A$1:B$190,2,FALSE))</f>
        <v>0</v>
      </c>
      <c r="R2755" s="3">
        <f>I2755*(VLOOKUP(B2755,Price_data!A$1:B$190,2,FALSE))</f>
        <v>0</v>
      </c>
      <c r="S2755" s="4" t="str">
        <f>(VLOOKUP(B2755,Price_data!A$1:C$190,3,FALSE))</f>
        <v>EEZ</v>
      </c>
      <c r="T2755" s="2" t="str">
        <f>IF(C2755="Total", (VLOOKUP(B2755,Recommended_fish_intake!A$4:D$122,4,FALSE)), "NA")</f>
        <v>NA</v>
      </c>
      <c r="U2755" s="2" t="str">
        <f t="shared" si="333"/>
        <v>NA</v>
      </c>
    </row>
    <row r="2756" spans="1:21" ht="14.25" customHeight="1">
      <c r="A2756" s="2" t="s">
        <v>91</v>
      </c>
      <c r="B2756" s="2">
        <v>1995</v>
      </c>
      <c r="C2756" s="2" t="s">
        <v>20</v>
      </c>
      <c r="D2756" s="2">
        <v>0</v>
      </c>
      <c r="E2756" s="2">
        <v>0</v>
      </c>
      <c r="P2756" s="3">
        <f>E2756*(VLOOKUP(B2756,Price_data!A$1:B$190,2,FALSE))</f>
        <v>0</v>
      </c>
      <c r="Q2756" s="3">
        <f>G2756*(VLOOKUP(B2756,Price_data!A$1:B$190,2,FALSE))</f>
        <v>0</v>
      </c>
      <c r="R2756" s="3">
        <f>I2756*(VLOOKUP(B2756,Price_data!A$1:B$190,2,FALSE))</f>
        <v>0</v>
      </c>
      <c r="S2756" s="4" t="str">
        <f>(VLOOKUP(B2756,Price_data!A$1:C$190,3,FALSE))</f>
        <v>EEZ</v>
      </c>
      <c r="T2756" s="2" t="str">
        <f>IF(C2756="Total", (VLOOKUP(B2756,Recommended_fish_intake!A$4:D$122,4,FALSE)), "NA")</f>
        <v>NA</v>
      </c>
      <c r="U2756" s="2" t="str">
        <f t="shared" si="333"/>
        <v>NA</v>
      </c>
    </row>
    <row r="2757" spans="1:21" ht="14.25" customHeight="1">
      <c r="A2757" s="2" t="s">
        <v>91</v>
      </c>
      <c r="B2757" s="2">
        <v>1995</v>
      </c>
      <c r="C2757" s="2" t="s">
        <v>42</v>
      </c>
      <c r="D2757" s="2">
        <v>0</v>
      </c>
      <c r="E2757" s="2">
        <v>0</v>
      </c>
      <c r="P2757" s="3">
        <f>E2757*(VLOOKUP(B2757,Price_data!A$1:B$190,2,FALSE))</f>
        <v>0</v>
      </c>
      <c r="Q2757" s="3">
        <f>G2757*(VLOOKUP(B2757,Price_data!A$1:B$190,2,FALSE))</f>
        <v>0</v>
      </c>
      <c r="R2757" s="3">
        <f>I2757*(VLOOKUP(B2757,Price_data!A$1:B$190,2,FALSE))</f>
        <v>0</v>
      </c>
      <c r="S2757" s="4" t="str">
        <f>(VLOOKUP(B2757,Price_data!A$1:C$190,3,FALSE))</f>
        <v>EEZ</v>
      </c>
      <c r="T2757" s="2" t="str">
        <f>IF(C2757="Total", (VLOOKUP(B2757,Recommended_fish_intake!A$4:D$122,4,FALSE)), "NA")</f>
        <v>NA</v>
      </c>
      <c r="U2757" s="2" t="str">
        <f t="shared" si="333"/>
        <v>NA</v>
      </c>
    </row>
    <row r="2758" spans="1:21" ht="14.25" customHeight="1">
      <c r="A2758" s="2" t="s">
        <v>91</v>
      </c>
      <c r="B2758" s="2">
        <v>1995</v>
      </c>
      <c r="C2758" s="2" t="s">
        <v>36</v>
      </c>
      <c r="D2758" s="2">
        <v>0</v>
      </c>
      <c r="E2758" s="2">
        <v>0</v>
      </c>
      <c r="P2758" s="3">
        <f>E2758*(VLOOKUP(B2758,Price_data!A$1:B$190,2,FALSE))</f>
        <v>0</v>
      </c>
      <c r="Q2758" s="3">
        <f>G2758*(VLOOKUP(B2758,Price_data!A$1:B$190,2,FALSE))</f>
        <v>0</v>
      </c>
      <c r="R2758" s="3">
        <f>I2758*(VLOOKUP(B2758,Price_data!A$1:B$190,2,FALSE))</f>
        <v>0</v>
      </c>
      <c r="S2758" s="4" t="str">
        <f>(VLOOKUP(B2758,Price_data!A$1:C$190,3,FALSE))</f>
        <v>EEZ</v>
      </c>
      <c r="T2758" s="2" t="str">
        <f>IF(C2758="Total", (VLOOKUP(B2758,Recommended_fish_intake!A$4:D$122,4,FALSE)), "NA")</f>
        <v>NA</v>
      </c>
      <c r="U2758" s="2" t="str">
        <f t="shared" si="333"/>
        <v>NA</v>
      </c>
    </row>
    <row r="2759" spans="1:21" ht="14.25" customHeight="1">
      <c r="A2759" s="2" t="s">
        <v>91</v>
      </c>
      <c r="B2759" s="2">
        <v>1995</v>
      </c>
      <c r="C2759" s="2" t="s">
        <v>34</v>
      </c>
      <c r="D2759" s="2">
        <v>0</v>
      </c>
      <c r="E2759" s="2">
        <v>0</v>
      </c>
      <c r="P2759" s="3">
        <f>E2759*(VLOOKUP(B2759,Price_data!A$1:B$190,2,FALSE))</f>
        <v>0</v>
      </c>
      <c r="Q2759" s="3">
        <f>G2759*(VLOOKUP(B2759,Price_data!A$1:B$190,2,FALSE))</f>
        <v>0</v>
      </c>
      <c r="R2759" s="3">
        <f>I2759*(VLOOKUP(B2759,Price_data!A$1:B$190,2,FALSE))</f>
        <v>0</v>
      </c>
      <c r="S2759" s="4" t="str">
        <f>(VLOOKUP(B2759,Price_data!A$1:C$190,3,FALSE))</f>
        <v>EEZ</v>
      </c>
      <c r="T2759" s="2" t="str">
        <f>IF(C2759="Total", (VLOOKUP(B2759,Recommended_fish_intake!A$4:D$122,4,FALSE)), "NA")</f>
        <v>NA</v>
      </c>
      <c r="U2759" s="2" t="str">
        <f t="shared" si="333"/>
        <v>NA</v>
      </c>
    </row>
    <row r="2760" spans="1:21" ht="14.25" customHeight="1">
      <c r="A2760" s="2" t="s">
        <v>91</v>
      </c>
      <c r="B2760" s="2">
        <v>1995</v>
      </c>
      <c r="C2760" s="2" t="s">
        <v>35</v>
      </c>
      <c r="D2760" s="2">
        <v>0</v>
      </c>
      <c r="E2760" s="2">
        <v>0</v>
      </c>
      <c r="P2760" s="3">
        <f>E2760*(VLOOKUP(B2760,Price_data!A$1:B$190,2,FALSE))</f>
        <v>0</v>
      </c>
      <c r="Q2760" s="3">
        <f>G2760*(VLOOKUP(B2760,Price_data!A$1:B$190,2,FALSE))</f>
        <v>0</v>
      </c>
      <c r="R2760" s="3">
        <f>I2760*(VLOOKUP(B2760,Price_data!A$1:B$190,2,FALSE))</f>
        <v>0</v>
      </c>
      <c r="S2760" s="4" t="str">
        <f>(VLOOKUP(B2760,Price_data!A$1:C$190,3,FALSE))</f>
        <v>EEZ</v>
      </c>
      <c r="T2760" s="2" t="str">
        <f>IF(C2760="Total", (VLOOKUP(B2760,Recommended_fish_intake!A$4:D$122,4,FALSE)), "NA")</f>
        <v>NA</v>
      </c>
      <c r="U2760" s="2" t="str">
        <f t="shared" si="333"/>
        <v>NA</v>
      </c>
    </row>
    <row r="2761" spans="1:21" ht="14.25" customHeight="1">
      <c r="A2761" s="2" t="s">
        <v>91</v>
      </c>
      <c r="B2761" s="2">
        <v>1995</v>
      </c>
      <c r="C2761" s="2" t="s">
        <v>52</v>
      </c>
      <c r="D2761" s="2">
        <v>0</v>
      </c>
      <c r="E2761" s="2">
        <v>0</v>
      </c>
      <c r="P2761" s="3">
        <f>E2761*(VLOOKUP(B2761,Price_data!A$1:B$190,2,FALSE))</f>
        <v>0</v>
      </c>
      <c r="Q2761" s="3">
        <f>G2761*(VLOOKUP(B2761,Price_data!A$1:B$190,2,FALSE))</f>
        <v>0</v>
      </c>
      <c r="R2761" s="3">
        <f>I2761*(VLOOKUP(B2761,Price_data!A$1:B$190,2,FALSE))</f>
        <v>0</v>
      </c>
      <c r="S2761" s="4" t="str">
        <f>(VLOOKUP(B2761,Price_data!A$1:C$190,3,FALSE))</f>
        <v>EEZ</v>
      </c>
      <c r="T2761" s="2" t="str">
        <f>IF(C2761="Total", (VLOOKUP(B2761,Recommended_fish_intake!A$4:D$122,4,FALSE)), "NA")</f>
        <v>NA</v>
      </c>
      <c r="U2761" s="2" t="str">
        <f t="shared" si="333"/>
        <v>NA</v>
      </c>
    </row>
    <row r="2762" spans="1:21" ht="14.25" customHeight="1">
      <c r="A2762" s="2" t="s">
        <v>91</v>
      </c>
      <c r="B2762" s="2">
        <v>1995</v>
      </c>
      <c r="C2762" s="2" t="s">
        <v>30</v>
      </c>
      <c r="D2762" s="2">
        <v>0</v>
      </c>
      <c r="E2762" s="2">
        <v>0</v>
      </c>
      <c r="P2762" s="3">
        <f>E2762*(VLOOKUP(B2762,Price_data!A$1:B$190,2,FALSE))</f>
        <v>0</v>
      </c>
      <c r="Q2762" s="3">
        <f>G2762*(VLOOKUP(B2762,Price_data!A$1:B$190,2,FALSE))</f>
        <v>0</v>
      </c>
      <c r="R2762" s="3">
        <f>I2762*(VLOOKUP(B2762,Price_data!A$1:B$190,2,FALSE))</f>
        <v>0</v>
      </c>
      <c r="S2762" s="4" t="str">
        <f>(VLOOKUP(B2762,Price_data!A$1:C$190,3,FALSE))</f>
        <v>EEZ</v>
      </c>
      <c r="T2762" s="2" t="str">
        <f>IF(C2762="Total", (VLOOKUP(B2762,Recommended_fish_intake!A$4:D$122,4,FALSE)), "NA")</f>
        <v>NA</v>
      </c>
      <c r="U2762" s="2" t="str">
        <f t="shared" si="333"/>
        <v>NA</v>
      </c>
    </row>
    <row r="2763" spans="1:21" ht="14.25" customHeight="1">
      <c r="A2763" s="2" t="s">
        <v>91</v>
      </c>
      <c r="B2763" s="2">
        <v>1995</v>
      </c>
      <c r="C2763" s="2" t="s">
        <v>28</v>
      </c>
      <c r="D2763" s="2">
        <v>0</v>
      </c>
      <c r="E2763" s="2">
        <v>0</v>
      </c>
      <c r="P2763" s="3">
        <f>E2763*(VLOOKUP(B2763,Price_data!A$1:B$190,2,FALSE))</f>
        <v>0</v>
      </c>
      <c r="Q2763" s="3">
        <f>G2763*(VLOOKUP(B2763,Price_data!A$1:B$190,2,FALSE))</f>
        <v>0</v>
      </c>
      <c r="R2763" s="3">
        <f>I2763*(VLOOKUP(B2763,Price_data!A$1:B$190,2,FALSE))</f>
        <v>0</v>
      </c>
      <c r="S2763" s="4" t="str">
        <f>(VLOOKUP(B2763,Price_data!A$1:C$190,3,FALSE))</f>
        <v>EEZ</v>
      </c>
      <c r="T2763" s="2" t="str">
        <f>IF(C2763="Total", (VLOOKUP(B2763,Recommended_fish_intake!A$4:D$122,4,FALSE)), "NA")</f>
        <v>NA</v>
      </c>
      <c r="U2763" s="2">
        <f t="shared" si="333"/>
        <v>0</v>
      </c>
    </row>
    <row r="2764" spans="1:21" ht="14.25" customHeight="1">
      <c r="A2764" s="2" t="s">
        <v>39</v>
      </c>
      <c r="B2764" s="2">
        <v>1995</v>
      </c>
      <c r="C2764" s="2" t="s">
        <v>22</v>
      </c>
      <c r="D2764" s="2">
        <v>42.002000000000002</v>
      </c>
      <c r="E2764" s="2">
        <v>36.052</v>
      </c>
      <c r="P2764" s="3">
        <f>E2764*(VLOOKUP(B2764,Price_data!A$1:B$190,2,FALSE))</f>
        <v>41.176017691455996</v>
      </c>
      <c r="Q2764" s="3">
        <f>G2764*(VLOOKUP(B2764,Price_data!A$1:B$190,2,FALSE))</f>
        <v>0</v>
      </c>
      <c r="R2764" s="3">
        <f>I2764*(VLOOKUP(B2764,Price_data!A$1:B$190,2,FALSE))</f>
        <v>0</v>
      </c>
      <c r="S2764" s="4" t="str">
        <f>(VLOOKUP(B2764,Price_data!A$1:C$190,3,FALSE))</f>
        <v>EEZ</v>
      </c>
      <c r="T2764" s="2" t="str">
        <f>IF(C2764="Total", (VLOOKUP(B2764,Recommended_fish_intake!A$4:D$122,4,FALSE)), "NA")</f>
        <v>NA</v>
      </c>
      <c r="U2764" s="2" t="str">
        <f t="shared" si="333"/>
        <v>NA</v>
      </c>
    </row>
    <row r="2765" spans="1:21" ht="14.25" customHeight="1">
      <c r="A2765" s="2" t="s">
        <v>39</v>
      </c>
      <c r="B2765" s="2">
        <v>1995</v>
      </c>
      <c r="C2765" s="2" t="s">
        <v>23</v>
      </c>
      <c r="D2765" s="2">
        <v>78.284000000000006</v>
      </c>
      <c r="E2765" s="2">
        <v>49.817</v>
      </c>
      <c r="P2765" s="3">
        <f>E2765*(VLOOKUP(B2765,Price_data!A$1:B$190,2,FALSE))</f>
        <v>56.897416879375996</v>
      </c>
      <c r="Q2765" s="3">
        <f>G2765*(VLOOKUP(B2765,Price_data!A$1:B$190,2,FALSE))</f>
        <v>0</v>
      </c>
      <c r="R2765" s="3">
        <f>I2765*(VLOOKUP(B2765,Price_data!A$1:B$190,2,FALSE))</f>
        <v>0</v>
      </c>
      <c r="S2765" s="4" t="str">
        <f>(VLOOKUP(B2765,Price_data!A$1:C$190,3,FALSE))</f>
        <v>EEZ</v>
      </c>
      <c r="T2765" s="2" t="str">
        <f>IF(C2765="Total", (VLOOKUP(B2765,Recommended_fish_intake!A$4:D$122,4,FALSE)), "NA")</f>
        <v>NA</v>
      </c>
      <c r="U2765" s="2" t="str">
        <f t="shared" si="333"/>
        <v>NA</v>
      </c>
    </row>
    <row r="2766" spans="1:21" ht="14.25" customHeight="1">
      <c r="A2766" s="2" t="s">
        <v>39</v>
      </c>
      <c r="B2766" s="2">
        <v>1995</v>
      </c>
      <c r="C2766" s="2" t="s">
        <v>58</v>
      </c>
      <c r="D2766" s="2">
        <v>18.881</v>
      </c>
      <c r="E2766" s="2">
        <v>33.938000000000002</v>
      </c>
      <c r="P2766" s="3">
        <f>E2766*(VLOOKUP(B2766,Price_data!A$1:B$190,2,FALSE))</f>
        <v>38.761557983264005</v>
      </c>
      <c r="Q2766" s="3">
        <f>G2766*(VLOOKUP(B2766,Price_data!A$1:B$190,2,FALSE))</f>
        <v>0</v>
      </c>
      <c r="R2766" s="3">
        <f>I2766*(VLOOKUP(B2766,Price_data!A$1:B$190,2,FALSE))</f>
        <v>0</v>
      </c>
      <c r="S2766" s="4" t="str">
        <f>(VLOOKUP(B2766,Price_data!A$1:C$190,3,FALSE))</f>
        <v>EEZ</v>
      </c>
      <c r="T2766" s="2" t="str">
        <f>IF(C2766="Total", (VLOOKUP(B2766,Recommended_fish_intake!A$4:D$122,4,FALSE)), "NA")</f>
        <v>NA</v>
      </c>
      <c r="U2766" s="2" t="str">
        <f t="shared" si="333"/>
        <v>NA</v>
      </c>
    </row>
    <row r="2767" spans="1:21" ht="14.25" customHeight="1">
      <c r="A2767" s="2" t="s">
        <v>39</v>
      </c>
      <c r="B2767" s="2">
        <v>1995</v>
      </c>
      <c r="C2767" s="2" t="s">
        <v>24</v>
      </c>
      <c r="D2767" s="2">
        <v>32.393000000000001</v>
      </c>
      <c r="E2767" s="2">
        <v>15.919</v>
      </c>
      <c r="P2767" s="3">
        <f>E2767*(VLOOKUP(B2767,Price_data!A$1:B$190,2,FALSE))</f>
        <v>18.181544037232001</v>
      </c>
      <c r="Q2767" s="3">
        <f>G2767*(VLOOKUP(B2767,Price_data!A$1:B$190,2,FALSE))</f>
        <v>0</v>
      </c>
      <c r="R2767" s="3">
        <f>I2767*(VLOOKUP(B2767,Price_data!A$1:B$190,2,FALSE))</f>
        <v>0</v>
      </c>
      <c r="S2767" s="4" t="str">
        <f>(VLOOKUP(B2767,Price_data!A$1:C$190,3,FALSE))</f>
        <v>EEZ</v>
      </c>
      <c r="T2767" s="2" t="str">
        <f>IF(C2767="Total", (VLOOKUP(B2767,Recommended_fish_intake!A$4:D$122,4,FALSE)), "NA")</f>
        <v>NA</v>
      </c>
      <c r="U2767" s="2" t="str">
        <f t="shared" si="333"/>
        <v>NA</v>
      </c>
    </row>
    <row r="2768" spans="1:21" ht="14.25" customHeight="1">
      <c r="A2768" s="2" t="s">
        <v>39</v>
      </c>
      <c r="B2768" s="2">
        <v>1995</v>
      </c>
      <c r="C2768" s="2" t="s">
        <v>41</v>
      </c>
      <c r="D2768" s="2">
        <v>231.37700000000001</v>
      </c>
      <c r="E2768" s="2">
        <v>181.887</v>
      </c>
      <c r="P2768" s="3">
        <f>E2768*(VLOOKUP(B2768,Price_data!A$1:B$190,2,FALSE))</f>
        <v>207.73833157233599</v>
      </c>
      <c r="Q2768" s="3">
        <f>G2768*(VLOOKUP(B2768,Price_data!A$1:B$190,2,FALSE))</f>
        <v>0</v>
      </c>
      <c r="R2768" s="3">
        <f>I2768*(VLOOKUP(B2768,Price_data!A$1:B$190,2,FALSE))</f>
        <v>0</v>
      </c>
      <c r="S2768" s="4" t="str">
        <f>(VLOOKUP(B2768,Price_data!A$1:C$190,3,FALSE))</f>
        <v>EEZ</v>
      </c>
      <c r="T2768" s="2" t="str">
        <f>IF(C2768="Total", (VLOOKUP(B2768,Recommended_fish_intake!A$4:D$122,4,FALSE)), "NA")</f>
        <v>NA</v>
      </c>
      <c r="U2768" s="2" t="str">
        <f t="shared" si="333"/>
        <v>NA</v>
      </c>
    </row>
    <row r="2769" spans="1:21" ht="14.25" customHeight="1">
      <c r="A2769" s="2" t="s">
        <v>39</v>
      </c>
      <c r="B2769" s="2">
        <v>1995</v>
      </c>
      <c r="C2769" s="2" t="s">
        <v>19</v>
      </c>
      <c r="D2769" s="2">
        <v>86.024000000000001</v>
      </c>
      <c r="E2769" s="2">
        <v>9.8659999999999997</v>
      </c>
      <c r="P2769" s="3">
        <f>E2769*(VLOOKUP(B2769,Price_data!A$1:B$190,2,FALSE))</f>
        <v>11.268240057247999</v>
      </c>
      <c r="Q2769" s="3">
        <f>G2769*(VLOOKUP(B2769,Price_data!A$1:B$190,2,FALSE))</f>
        <v>0</v>
      </c>
      <c r="R2769" s="3">
        <f>I2769*(VLOOKUP(B2769,Price_data!A$1:B$190,2,FALSE))</f>
        <v>0</v>
      </c>
      <c r="S2769" s="4" t="str">
        <f>(VLOOKUP(B2769,Price_data!A$1:C$190,3,FALSE))</f>
        <v>EEZ</v>
      </c>
      <c r="T2769" s="2" t="str">
        <f>IF(C2769="Total", (VLOOKUP(B2769,Recommended_fish_intake!A$4:D$122,4,FALSE)), "NA")</f>
        <v>NA</v>
      </c>
      <c r="U2769" s="2" t="str">
        <f t="shared" si="333"/>
        <v>NA</v>
      </c>
    </row>
    <row r="2770" spans="1:21" ht="14.25" customHeight="1">
      <c r="A2770" s="2" t="s">
        <v>39</v>
      </c>
      <c r="B2770" s="2">
        <v>1995</v>
      </c>
      <c r="C2770" s="2" t="s">
        <v>20</v>
      </c>
      <c r="D2770" s="2">
        <v>106.14100000000001</v>
      </c>
      <c r="E2770" s="2">
        <v>15.301</v>
      </c>
      <c r="P2770" s="3">
        <f>E2770*(VLOOKUP(B2770,Price_data!A$1:B$190,2,FALSE))</f>
        <v>17.475708606927999</v>
      </c>
      <c r="Q2770" s="3">
        <f>G2770*(VLOOKUP(B2770,Price_data!A$1:B$190,2,FALSE))</f>
        <v>0</v>
      </c>
      <c r="R2770" s="3">
        <f>I2770*(VLOOKUP(B2770,Price_data!A$1:B$190,2,FALSE))</f>
        <v>0</v>
      </c>
      <c r="S2770" s="4" t="str">
        <f>(VLOOKUP(B2770,Price_data!A$1:C$190,3,FALSE))</f>
        <v>EEZ</v>
      </c>
      <c r="T2770" s="2" t="str">
        <f>IF(C2770="Total", (VLOOKUP(B2770,Recommended_fish_intake!A$4:D$122,4,FALSE)), "NA")</f>
        <v>NA</v>
      </c>
      <c r="U2770" s="2" t="str">
        <f t="shared" si="333"/>
        <v>NA</v>
      </c>
    </row>
    <row r="2771" spans="1:21" ht="14.25" customHeight="1">
      <c r="A2771" s="2" t="s">
        <v>39</v>
      </c>
      <c r="B2771" s="2">
        <v>1995</v>
      </c>
      <c r="C2771" s="2" t="s">
        <v>42</v>
      </c>
      <c r="D2771" s="2">
        <v>200.58699999999999</v>
      </c>
      <c r="E2771" s="2">
        <v>25.977</v>
      </c>
      <c r="P2771" s="3">
        <f>E2771*(VLOOKUP(B2771,Price_data!A$1:B$190,2,FALSE))</f>
        <v>29.669072771856001</v>
      </c>
      <c r="Q2771" s="3">
        <f>G2771*(VLOOKUP(B2771,Price_data!A$1:B$190,2,FALSE))</f>
        <v>0</v>
      </c>
      <c r="R2771" s="3">
        <f>I2771*(VLOOKUP(B2771,Price_data!A$1:B$190,2,FALSE))</f>
        <v>0</v>
      </c>
      <c r="S2771" s="4" t="str">
        <f>(VLOOKUP(B2771,Price_data!A$1:C$190,3,FALSE))</f>
        <v>EEZ</v>
      </c>
      <c r="T2771" s="2" t="str">
        <f>IF(C2771="Total", (VLOOKUP(B2771,Recommended_fish_intake!A$4:D$122,4,FALSE)), "NA")</f>
        <v>NA</v>
      </c>
      <c r="U2771" s="2" t="str">
        <f t="shared" si="333"/>
        <v>NA</v>
      </c>
    </row>
    <row r="2772" spans="1:21" ht="14.25" customHeight="1">
      <c r="A2772" s="2" t="s">
        <v>39</v>
      </c>
      <c r="B2772" s="2">
        <v>1995</v>
      </c>
      <c r="C2772" s="2" t="s">
        <v>36</v>
      </c>
      <c r="D2772" s="2">
        <v>10.281000000000001</v>
      </c>
      <c r="E2772" s="2">
        <v>10.147</v>
      </c>
      <c r="P2772" s="3">
        <f>E2772*(VLOOKUP(B2772,Price_data!A$1:B$190,2,FALSE))</f>
        <v>11.589178173616</v>
      </c>
      <c r="Q2772" s="3">
        <f>G2772*(VLOOKUP(B2772,Price_data!A$1:B$190,2,FALSE))</f>
        <v>0</v>
      </c>
      <c r="R2772" s="3">
        <f>I2772*(VLOOKUP(B2772,Price_data!A$1:B$190,2,FALSE))</f>
        <v>0</v>
      </c>
      <c r="S2772" s="4" t="str">
        <f>(VLOOKUP(B2772,Price_data!A$1:C$190,3,FALSE))</f>
        <v>EEZ</v>
      </c>
      <c r="T2772" s="2" t="str">
        <f>IF(C2772="Total", (VLOOKUP(B2772,Recommended_fish_intake!A$4:D$122,4,FALSE)), "NA")</f>
        <v>NA</v>
      </c>
      <c r="U2772" s="2" t="str">
        <f t="shared" si="333"/>
        <v>NA</v>
      </c>
    </row>
    <row r="2773" spans="1:21" ht="14.25" customHeight="1">
      <c r="A2773" s="2" t="s">
        <v>39</v>
      </c>
      <c r="B2773" s="2">
        <v>1995</v>
      </c>
      <c r="C2773" s="2" t="s">
        <v>34</v>
      </c>
      <c r="D2773" s="2">
        <v>0.56699999999999995</v>
      </c>
      <c r="E2773" s="2">
        <v>5.4379999999999997</v>
      </c>
      <c r="P2773" s="3">
        <f>E2773*(VLOOKUP(B2773,Price_data!A$1:B$190,2,FALSE))</f>
        <v>6.2108949352639993</v>
      </c>
      <c r="Q2773" s="3">
        <f>G2773*(VLOOKUP(B2773,Price_data!A$1:B$190,2,FALSE))</f>
        <v>0</v>
      </c>
      <c r="R2773" s="3">
        <f>I2773*(VLOOKUP(B2773,Price_data!A$1:B$190,2,FALSE))</f>
        <v>0</v>
      </c>
      <c r="S2773" s="4" t="str">
        <f>(VLOOKUP(B2773,Price_data!A$1:C$190,3,FALSE))</f>
        <v>EEZ</v>
      </c>
      <c r="T2773" s="2" t="str">
        <f>IF(C2773="Total", (VLOOKUP(B2773,Recommended_fish_intake!A$4:D$122,4,FALSE)), "NA")</f>
        <v>NA</v>
      </c>
      <c r="U2773" s="2" t="str">
        <f t="shared" si="333"/>
        <v>NA</v>
      </c>
    </row>
    <row r="2774" spans="1:21" ht="14.25" customHeight="1">
      <c r="A2774" s="2" t="s">
        <v>39</v>
      </c>
      <c r="B2774" s="2">
        <v>1995</v>
      </c>
      <c r="C2774" s="2" t="s">
        <v>35</v>
      </c>
      <c r="D2774" s="2">
        <v>22.536999999999999</v>
      </c>
      <c r="E2774" s="2">
        <v>47.734000000000002</v>
      </c>
      <c r="P2774" s="3">
        <f>E2774*(VLOOKUP(B2774,Price_data!A$1:B$190,2,FALSE))</f>
        <v>54.518363155552002</v>
      </c>
      <c r="Q2774" s="3">
        <f>G2774*(VLOOKUP(B2774,Price_data!A$1:B$190,2,FALSE))</f>
        <v>0</v>
      </c>
      <c r="R2774" s="3">
        <f>I2774*(VLOOKUP(B2774,Price_data!A$1:B$190,2,FALSE))</f>
        <v>0</v>
      </c>
      <c r="S2774" s="4" t="str">
        <f>(VLOOKUP(B2774,Price_data!A$1:C$190,3,FALSE))</f>
        <v>EEZ</v>
      </c>
      <c r="T2774" s="2" t="str">
        <f>IF(C2774="Total", (VLOOKUP(B2774,Recommended_fish_intake!A$4:D$122,4,FALSE)), "NA")</f>
        <v>NA</v>
      </c>
      <c r="U2774" s="2" t="str">
        <f t="shared" si="333"/>
        <v>NA</v>
      </c>
    </row>
    <row r="2775" spans="1:21" ht="14.25" customHeight="1">
      <c r="A2775" s="2" t="s">
        <v>39</v>
      </c>
      <c r="B2775" s="2">
        <v>1995</v>
      </c>
      <c r="C2775" s="2" t="s">
        <v>52</v>
      </c>
      <c r="D2775" s="2">
        <v>11.263</v>
      </c>
      <c r="E2775" s="2">
        <v>17.331</v>
      </c>
      <c r="P2775" s="3">
        <f>E2775*(VLOOKUP(B2775,Price_data!A$1:B$190,2,FALSE))</f>
        <v>19.794229518767999</v>
      </c>
      <c r="Q2775" s="3">
        <f>G2775*(VLOOKUP(B2775,Price_data!A$1:B$190,2,FALSE))</f>
        <v>0</v>
      </c>
      <c r="R2775" s="3">
        <f>I2775*(VLOOKUP(B2775,Price_data!A$1:B$190,2,FALSE))</f>
        <v>0</v>
      </c>
      <c r="S2775" s="4" t="str">
        <f>(VLOOKUP(B2775,Price_data!A$1:C$190,3,FALSE))</f>
        <v>EEZ</v>
      </c>
      <c r="T2775" s="2" t="str">
        <f>IF(C2775="Total", (VLOOKUP(B2775,Recommended_fish_intake!A$4:D$122,4,FALSE)), "NA")</f>
        <v>NA</v>
      </c>
      <c r="U2775" s="2" t="str">
        <f t="shared" si="333"/>
        <v>NA</v>
      </c>
    </row>
    <row r="2776" spans="1:21" ht="14.25" customHeight="1">
      <c r="A2776" s="2" t="s">
        <v>39</v>
      </c>
      <c r="B2776" s="2">
        <v>1995</v>
      </c>
      <c r="C2776" s="2" t="s">
        <v>30</v>
      </c>
      <c r="D2776" s="2">
        <v>1.427</v>
      </c>
      <c r="E2776" s="2">
        <v>1.736</v>
      </c>
      <c r="P2776" s="3">
        <f>E2776*(VLOOKUP(B2776,Price_data!A$1:B$190,2,FALSE))</f>
        <v>1.9827351246080001</v>
      </c>
      <c r="Q2776" s="3">
        <f>G2776*(VLOOKUP(B2776,Price_data!A$1:B$190,2,FALSE))</f>
        <v>0</v>
      </c>
      <c r="R2776" s="3">
        <f>I2776*(VLOOKUP(B2776,Price_data!A$1:B$190,2,FALSE))</f>
        <v>0</v>
      </c>
      <c r="S2776" s="4" t="str">
        <f>(VLOOKUP(B2776,Price_data!A$1:C$190,3,FALSE))</f>
        <v>EEZ</v>
      </c>
      <c r="T2776" s="2" t="str">
        <f>IF(C2776="Total", (VLOOKUP(B2776,Recommended_fish_intake!A$4:D$122,4,FALSE)), "NA")</f>
        <v>NA</v>
      </c>
      <c r="U2776" s="2" t="str">
        <f t="shared" si="333"/>
        <v>NA</v>
      </c>
    </row>
    <row r="2777" spans="1:21" ht="14.25" customHeight="1">
      <c r="A2777" s="2" t="s">
        <v>39</v>
      </c>
      <c r="B2777" s="2">
        <v>1995</v>
      </c>
      <c r="C2777" s="2" t="s">
        <v>28</v>
      </c>
      <c r="D2777" s="2">
        <v>51.744</v>
      </c>
      <c r="E2777" s="2">
        <v>87.373999999999995</v>
      </c>
      <c r="P2777" s="3">
        <f>E2777*(VLOOKUP(B2777,Price_data!A$1:B$190,2,FALSE))</f>
        <v>99.79233800547199</v>
      </c>
      <c r="Q2777" s="3">
        <f>G2777*(VLOOKUP(B2777,Price_data!A$1:B$190,2,FALSE))</f>
        <v>0</v>
      </c>
      <c r="R2777" s="3">
        <f>I2777*(VLOOKUP(B2777,Price_data!A$1:B$190,2,FALSE))</f>
        <v>0</v>
      </c>
      <c r="S2777" s="4" t="str">
        <f>(VLOOKUP(B2777,Price_data!A$1:C$190,3,FALSE))</f>
        <v>EEZ</v>
      </c>
      <c r="T2777" s="2" t="str">
        <f>IF(C2777="Total", (VLOOKUP(B2777,Recommended_fish_intake!A$4:D$122,4,FALSE)), "NA")</f>
        <v>NA</v>
      </c>
      <c r="U2777" s="2">
        <f t="shared" si="333"/>
        <v>14.488320000000002</v>
      </c>
    </row>
    <row r="2778" spans="1:21" ht="14.25" customHeight="1">
      <c r="A2778" s="2" t="s">
        <v>40</v>
      </c>
      <c r="B2778" s="2">
        <v>1995</v>
      </c>
      <c r="C2778" s="2" t="s">
        <v>22</v>
      </c>
      <c r="D2778" s="2">
        <v>2.0830000000000002</v>
      </c>
      <c r="E2778" s="2">
        <v>2.1440000000000001</v>
      </c>
      <c r="P2778" s="3">
        <f>E2778*(VLOOKUP(B2778,Price_data!A$1:B$190,2,FALSE))</f>
        <v>2.448723564032</v>
      </c>
      <c r="Q2778" s="3">
        <f>G2778*(VLOOKUP(B2778,Price_data!A$1:B$190,2,FALSE))</f>
        <v>0</v>
      </c>
      <c r="R2778" s="3">
        <f>I2778*(VLOOKUP(B2778,Price_data!A$1:B$190,2,FALSE))</f>
        <v>0</v>
      </c>
      <c r="S2778" s="4" t="str">
        <f>(VLOOKUP(B2778,Price_data!A$1:C$190,3,FALSE))</f>
        <v>EEZ</v>
      </c>
      <c r="T2778" s="2" t="str">
        <f>IF(C2778="Total", (VLOOKUP(B2778,Recommended_fish_intake!A$4:D$122,4,FALSE)), "NA")</f>
        <v>NA</v>
      </c>
      <c r="U2778" s="2" t="str">
        <f t="shared" si="333"/>
        <v>NA</v>
      </c>
    </row>
    <row r="2779" spans="1:21" ht="14.25" customHeight="1">
      <c r="A2779" s="2" t="s">
        <v>40</v>
      </c>
      <c r="B2779" s="2">
        <v>1995</v>
      </c>
      <c r="C2779" s="2" t="s">
        <v>23</v>
      </c>
      <c r="D2779" s="2">
        <v>0.38100000000000001</v>
      </c>
      <c r="E2779" s="2">
        <v>0.253</v>
      </c>
      <c r="P2779" s="3">
        <f>E2779*(VLOOKUP(B2779,Price_data!A$1:B$190,2,FALSE))</f>
        <v>0.28895851758399999</v>
      </c>
      <c r="Q2779" s="3">
        <f>G2779*(VLOOKUP(B2779,Price_data!A$1:B$190,2,FALSE))</f>
        <v>0</v>
      </c>
      <c r="R2779" s="3">
        <f>I2779*(VLOOKUP(B2779,Price_data!A$1:B$190,2,FALSE))</f>
        <v>0</v>
      </c>
      <c r="S2779" s="4" t="str">
        <f>(VLOOKUP(B2779,Price_data!A$1:C$190,3,FALSE))</f>
        <v>EEZ</v>
      </c>
      <c r="T2779" s="2" t="str">
        <f>IF(C2779="Total", (VLOOKUP(B2779,Recommended_fish_intake!A$4:D$122,4,FALSE)), "NA")</f>
        <v>NA</v>
      </c>
      <c r="U2779" s="2" t="str">
        <f t="shared" si="333"/>
        <v>NA</v>
      </c>
    </row>
    <row r="2780" spans="1:21" ht="14.25" customHeight="1">
      <c r="A2780" s="2" t="s">
        <v>40</v>
      </c>
      <c r="B2780" s="2">
        <v>1995</v>
      </c>
      <c r="C2780" s="2" t="s">
        <v>58</v>
      </c>
      <c r="D2780" s="2">
        <v>0.26600000000000001</v>
      </c>
      <c r="E2780" s="2">
        <v>0.314</v>
      </c>
      <c r="P2780" s="3">
        <f>E2780*(VLOOKUP(B2780,Price_data!A$1:B$190,2,FALSE))</f>
        <v>0.35862835779199997</v>
      </c>
      <c r="Q2780" s="3">
        <f>G2780*(VLOOKUP(B2780,Price_data!A$1:B$190,2,FALSE))</f>
        <v>0</v>
      </c>
      <c r="R2780" s="3">
        <f>I2780*(VLOOKUP(B2780,Price_data!A$1:B$190,2,FALSE))</f>
        <v>0</v>
      </c>
      <c r="S2780" s="4" t="str">
        <f>(VLOOKUP(B2780,Price_data!A$1:C$190,3,FALSE))</f>
        <v>EEZ</v>
      </c>
      <c r="T2780" s="2" t="str">
        <f>IF(C2780="Total", (VLOOKUP(B2780,Recommended_fish_intake!A$4:D$122,4,FALSE)), "NA")</f>
        <v>NA</v>
      </c>
      <c r="U2780" s="2" t="str">
        <f t="shared" si="333"/>
        <v>NA</v>
      </c>
    </row>
    <row r="2781" spans="1:21" ht="14.25" customHeight="1">
      <c r="A2781" s="2" t="s">
        <v>40</v>
      </c>
      <c r="B2781" s="2">
        <v>1995</v>
      </c>
      <c r="C2781" s="2" t="s">
        <v>24</v>
      </c>
      <c r="D2781" s="2">
        <v>2.74</v>
      </c>
      <c r="E2781" s="2">
        <v>1.099</v>
      </c>
      <c r="P2781" s="3">
        <f>E2781*(VLOOKUP(B2781,Price_data!A$1:B$190,2,FALSE))</f>
        <v>1.2551992522719999</v>
      </c>
      <c r="Q2781" s="3">
        <f>G2781*(VLOOKUP(B2781,Price_data!A$1:B$190,2,FALSE))</f>
        <v>0</v>
      </c>
      <c r="R2781" s="3">
        <f>I2781*(VLOOKUP(B2781,Price_data!A$1:B$190,2,FALSE))</f>
        <v>0</v>
      </c>
      <c r="S2781" s="4" t="str">
        <f>(VLOOKUP(B2781,Price_data!A$1:C$190,3,FALSE))</f>
        <v>EEZ</v>
      </c>
      <c r="T2781" s="2" t="str">
        <f>IF(C2781="Total", (VLOOKUP(B2781,Recommended_fish_intake!A$4:D$122,4,FALSE)), "NA")</f>
        <v>NA</v>
      </c>
      <c r="U2781" s="2" t="str">
        <f t="shared" si="333"/>
        <v>NA</v>
      </c>
    </row>
    <row r="2782" spans="1:21" ht="14.25" customHeight="1">
      <c r="A2782" s="2" t="s">
        <v>40</v>
      </c>
      <c r="B2782" s="2">
        <v>1995</v>
      </c>
      <c r="C2782" s="2" t="s">
        <v>41</v>
      </c>
      <c r="D2782" s="2">
        <v>7.6509999999999998</v>
      </c>
      <c r="E2782" s="2">
        <v>6.625</v>
      </c>
      <c r="P2782" s="3">
        <f>E2782*(VLOOKUP(B2782,Price_data!A$1:B$190,2,FALSE))</f>
        <v>7.5666014979999998</v>
      </c>
      <c r="Q2782" s="3">
        <f>G2782*(VLOOKUP(B2782,Price_data!A$1:B$190,2,FALSE))</f>
        <v>0</v>
      </c>
      <c r="R2782" s="3">
        <f>I2782*(VLOOKUP(B2782,Price_data!A$1:B$190,2,FALSE))</f>
        <v>0</v>
      </c>
      <c r="S2782" s="4" t="str">
        <f>(VLOOKUP(B2782,Price_data!A$1:C$190,3,FALSE))</f>
        <v>EEZ</v>
      </c>
      <c r="T2782" s="2" t="str">
        <f>IF(C2782="Total", (VLOOKUP(B2782,Recommended_fish_intake!A$4:D$122,4,FALSE)), "NA")</f>
        <v>NA</v>
      </c>
      <c r="U2782" s="2" t="str">
        <f t="shared" si="333"/>
        <v>NA</v>
      </c>
    </row>
    <row r="2783" spans="1:21" ht="14.25" customHeight="1">
      <c r="A2783" s="2" t="s">
        <v>40</v>
      </c>
      <c r="B2783" s="2">
        <v>1995</v>
      </c>
      <c r="C2783" s="2" t="s">
        <v>19</v>
      </c>
      <c r="D2783" s="2">
        <v>4.3949999999999996</v>
      </c>
      <c r="E2783" s="2">
        <v>0.45900000000000002</v>
      </c>
      <c r="P2783" s="3">
        <f>E2783*(VLOOKUP(B2783,Price_data!A$1:B$190,2,FALSE))</f>
        <v>0.524236994352</v>
      </c>
      <c r="Q2783" s="3">
        <f>G2783*(VLOOKUP(B2783,Price_data!A$1:B$190,2,FALSE))</f>
        <v>0</v>
      </c>
      <c r="R2783" s="3">
        <f>I2783*(VLOOKUP(B2783,Price_data!A$1:B$190,2,FALSE))</f>
        <v>0</v>
      </c>
      <c r="S2783" s="4" t="str">
        <f>(VLOOKUP(B2783,Price_data!A$1:C$190,3,FALSE))</f>
        <v>EEZ</v>
      </c>
      <c r="T2783" s="2" t="str">
        <f>IF(C2783="Total", (VLOOKUP(B2783,Recommended_fish_intake!A$4:D$122,4,FALSE)), "NA")</f>
        <v>NA</v>
      </c>
      <c r="U2783" s="2" t="str">
        <f t="shared" si="333"/>
        <v>NA</v>
      </c>
    </row>
    <row r="2784" spans="1:21" ht="14.25" customHeight="1">
      <c r="A2784" s="2" t="s">
        <v>40</v>
      </c>
      <c r="B2784" s="2">
        <v>1995</v>
      </c>
      <c r="C2784" s="2" t="s">
        <v>20</v>
      </c>
      <c r="D2784" s="2">
        <v>0.123</v>
      </c>
      <c r="E2784" s="2">
        <v>0.11</v>
      </c>
      <c r="P2784" s="3">
        <f>E2784*(VLOOKUP(B2784,Price_data!A$1:B$190,2,FALSE))</f>
        <v>0.12563413807999999</v>
      </c>
      <c r="Q2784" s="3">
        <f>G2784*(VLOOKUP(B2784,Price_data!A$1:B$190,2,FALSE))</f>
        <v>0</v>
      </c>
      <c r="R2784" s="3">
        <f>I2784*(VLOOKUP(B2784,Price_data!A$1:B$190,2,FALSE))</f>
        <v>0</v>
      </c>
      <c r="S2784" s="4" t="str">
        <f>(VLOOKUP(B2784,Price_data!A$1:C$190,3,FALSE))</f>
        <v>EEZ</v>
      </c>
      <c r="T2784" s="2" t="str">
        <f>IF(C2784="Total", (VLOOKUP(B2784,Recommended_fish_intake!A$4:D$122,4,FALSE)), "NA")</f>
        <v>NA</v>
      </c>
      <c r="U2784" s="2" t="str">
        <f t="shared" si="333"/>
        <v>NA</v>
      </c>
    </row>
    <row r="2785" spans="1:21" ht="14.25" customHeight="1">
      <c r="A2785" s="2" t="s">
        <v>40</v>
      </c>
      <c r="B2785" s="2">
        <v>1995</v>
      </c>
      <c r="C2785" s="2" t="s">
        <v>42</v>
      </c>
      <c r="D2785" s="2">
        <v>4.6429999999999998</v>
      </c>
      <c r="E2785" s="2">
        <v>0.56799999999999995</v>
      </c>
      <c r="P2785" s="3">
        <f>E2785*(VLOOKUP(B2785,Price_data!A$1:B$190,2,FALSE))</f>
        <v>0.6487290039039999</v>
      </c>
      <c r="Q2785" s="3">
        <f>G2785*(VLOOKUP(B2785,Price_data!A$1:B$190,2,FALSE))</f>
        <v>0</v>
      </c>
      <c r="R2785" s="3">
        <f>I2785*(VLOOKUP(B2785,Price_data!A$1:B$190,2,FALSE))</f>
        <v>0</v>
      </c>
      <c r="S2785" s="4" t="str">
        <f>(VLOOKUP(B2785,Price_data!A$1:C$190,3,FALSE))</f>
        <v>EEZ</v>
      </c>
      <c r="T2785" s="2" t="str">
        <f>IF(C2785="Total", (VLOOKUP(B2785,Recommended_fish_intake!A$4:D$122,4,FALSE)), "NA")</f>
        <v>NA</v>
      </c>
      <c r="U2785" s="2" t="str">
        <f t="shared" si="333"/>
        <v>NA</v>
      </c>
    </row>
    <row r="2786" spans="1:21" ht="14.25" customHeight="1">
      <c r="A2786" s="2" t="s">
        <v>40</v>
      </c>
      <c r="B2786" s="2">
        <v>1995</v>
      </c>
      <c r="C2786" s="2" t="s">
        <v>36</v>
      </c>
      <c r="D2786" s="2">
        <v>0.52500000000000002</v>
      </c>
      <c r="E2786" s="2">
        <v>0.318</v>
      </c>
      <c r="P2786" s="3">
        <f>E2786*(VLOOKUP(B2786,Price_data!A$1:B$190,2,FALSE))</f>
        <v>0.36319687190400002</v>
      </c>
      <c r="Q2786" s="3">
        <f>G2786*(VLOOKUP(B2786,Price_data!A$1:B$190,2,FALSE))</f>
        <v>0</v>
      </c>
      <c r="R2786" s="3">
        <f>I2786*(VLOOKUP(B2786,Price_data!A$1:B$190,2,FALSE))</f>
        <v>0</v>
      </c>
      <c r="S2786" s="4" t="str">
        <f>(VLOOKUP(B2786,Price_data!A$1:C$190,3,FALSE))</f>
        <v>EEZ</v>
      </c>
      <c r="T2786" s="2" t="str">
        <f>IF(C2786="Total", (VLOOKUP(B2786,Recommended_fish_intake!A$4:D$122,4,FALSE)), "NA")</f>
        <v>NA</v>
      </c>
      <c r="U2786" s="2" t="str">
        <f t="shared" si="333"/>
        <v>NA</v>
      </c>
    </row>
    <row r="2787" spans="1:21" ht="14.25" customHeight="1">
      <c r="A2787" s="2" t="s">
        <v>40</v>
      </c>
      <c r="B2787" s="2">
        <v>1995</v>
      </c>
      <c r="C2787" s="2" t="s">
        <v>34</v>
      </c>
      <c r="D2787" s="2">
        <v>0</v>
      </c>
      <c r="E2787" s="2">
        <v>0.186</v>
      </c>
      <c r="P2787" s="3">
        <f>E2787*(VLOOKUP(B2787,Price_data!A$1:B$190,2,FALSE))</f>
        <v>0.21243590620799999</v>
      </c>
      <c r="Q2787" s="3">
        <f>G2787*(VLOOKUP(B2787,Price_data!A$1:B$190,2,FALSE))</f>
        <v>0</v>
      </c>
      <c r="R2787" s="3">
        <f>I2787*(VLOOKUP(B2787,Price_data!A$1:B$190,2,FALSE))</f>
        <v>0</v>
      </c>
      <c r="S2787" s="4" t="str">
        <f>(VLOOKUP(B2787,Price_data!A$1:C$190,3,FALSE))</f>
        <v>EEZ</v>
      </c>
      <c r="T2787" s="2" t="str">
        <f>IF(C2787="Total", (VLOOKUP(B2787,Recommended_fish_intake!A$4:D$122,4,FALSE)), "NA")</f>
        <v>NA</v>
      </c>
      <c r="U2787" s="2" t="str">
        <f t="shared" si="333"/>
        <v>NA</v>
      </c>
    </row>
    <row r="2788" spans="1:21" ht="14.25" customHeight="1">
      <c r="A2788" s="2" t="s">
        <v>40</v>
      </c>
      <c r="B2788" s="2">
        <v>1995</v>
      </c>
      <c r="C2788" s="2" t="s">
        <v>35</v>
      </c>
      <c r="D2788" s="2">
        <v>5.5430000000000001</v>
      </c>
      <c r="E2788" s="2">
        <v>7.7939999999999996</v>
      </c>
      <c r="P2788" s="3">
        <f>E2788*(VLOOKUP(B2788,Price_data!A$1:B$190,2,FALSE))</f>
        <v>8.9017497472319995</v>
      </c>
      <c r="Q2788" s="3">
        <f>G2788*(VLOOKUP(B2788,Price_data!A$1:B$190,2,FALSE))</f>
        <v>0</v>
      </c>
      <c r="R2788" s="3">
        <f>I2788*(VLOOKUP(B2788,Price_data!A$1:B$190,2,FALSE))</f>
        <v>0</v>
      </c>
      <c r="S2788" s="4" t="str">
        <f>(VLOOKUP(B2788,Price_data!A$1:C$190,3,FALSE))</f>
        <v>EEZ</v>
      </c>
      <c r="T2788" s="2" t="str">
        <f>IF(C2788="Total", (VLOOKUP(B2788,Recommended_fish_intake!A$4:D$122,4,FALSE)), "NA")</f>
        <v>NA</v>
      </c>
      <c r="U2788" s="2" t="str">
        <f t="shared" si="333"/>
        <v>NA</v>
      </c>
    </row>
    <row r="2789" spans="1:21" ht="14.25" customHeight="1">
      <c r="A2789" s="2" t="s">
        <v>40</v>
      </c>
      <c r="B2789" s="2">
        <v>1995</v>
      </c>
      <c r="C2789" s="2" t="s">
        <v>52</v>
      </c>
      <c r="D2789" s="2">
        <v>0.14199999999999999</v>
      </c>
      <c r="E2789" s="2">
        <v>0.19</v>
      </c>
      <c r="P2789" s="3">
        <f>E2789*(VLOOKUP(B2789,Price_data!A$1:B$190,2,FALSE))</f>
        <v>0.21700442032</v>
      </c>
      <c r="Q2789" s="3">
        <f>G2789*(VLOOKUP(B2789,Price_data!A$1:B$190,2,FALSE))</f>
        <v>0</v>
      </c>
      <c r="R2789" s="3">
        <f>I2789*(VLOOKUP(B2789,Price_data!A$1:B$190,2,FALSE))</f>
        <v>0</v>
      </c>
      <c r="S2789" s="4" t="str">
        <f>(VLOOKUP(B2789,Price_data!A$1:C$190,3,FALSE))</f>
        <v>EEZ</v>
      </c>
      <c r="T2789" s="2" t="str">
        <f>IF(C2789="Total", (VLOOKUP(B2789,Recommended_fish_intake!A$4:D$122,4,FALSE)), "NA")</f>
        <v>NA</v>
      </c>
      <c r="U2789" s="2" t="str">
        <f t="shared" si="333"/>
        <v>NA</v>
      </c>
    </row>
    <row r="2790" spans="1:21" ht="14.25" customHeight="1">
      <c r="A2790" s="2" t="s">
        <v>40</v>
      </c>
      <c r="B2790" s="2">
        <v>1995</v>
      </c>
      <c r="C2790" s="2" t="s">
        <v>30</v>
      </c>
      <c r="D2790" s="2">
        <v>0</v>
      </c>
      <c r="E2790" s="2">
        <v>0</v>
      </c>
      <c r="P2790" s="3">
        <f>E2790*(VLOOKUP(B2790,Price_data!A$1:B$190,2,FALSE))</f>
        <v>0</v>
      </c>
      <c r="Q2790" s="3">
        <f>G2790*(VLOOKUP(B2790,Price_data!A$1:B$190,2,FALSE))</f>
        <v>0</v>
      </c>
      <c r="R2790" s="3">
        <f>I2790*(VLOOKUP(B2790,Price_data!A$1:B$190,2,FALSE))</f>
        <v>0</v>
      </c>
      <c r="S2790" s="4" t="str">
        <f>(VLOOKUP(B2790,Price_data!A$1:C$190,3,FALSE))</f>
        <v>EEZ</v>
      </c>
      <c r="T2790" s="2" t="str">
        <f>IF(C2790="Total", (VLOOKUP(B2790,Recommended_fish_intake!A$4:D$122,4,FALSE)), "NA")</f>
        <v>NA</v>
      </c>
      <c r="U2790" s="2" t="str">
        <f t="shared" si="333"/>
        <v>NA</v>
      </c>
    </row>
    <row r="2791" spans="1:21" ht="14.25" customHeight="1">
      <c r="A2791" s="2" t="s">
        <v>40</v>
      </c>
      <c r="B2791" s="2">
        <v>1995</v>
      </c>
      <c r="C2791" s="2" t="s">
        <v>28</v>
      </c>
      <c r="D2791" s="2">
        <v>6.5659999999999998</v>
      </c>
      <c r="E2791" s="2">
        <v>8.8000000000000007</v>
      </c>
      <c r="P2791" s="3">
        <f>E2791*(VLOOKUP(B2791,Price_data!A$1:B$190,2,FALSE))</f>
        <v>10.050731046400001</v>
      </c>
      <c r="Q2791" s="3">
        <f>G2791*(VLOOKUP(B2791,Price_data!A$1:B$190,2,FALSE))</f>
        <v>0</v>
      </c>
      <c r="R2791" s="3">
        <f>I2791*(VLOOKUP(B2791,Price_data!A$1:B$190,2,FALSE))</f>
        <v>0</v>
      </c>
      <c r="S2791" s="4" t="str">
        <f>(VLOOKUP(B2791,Price_data!A$1:C$190,3,FALSE))</f>
        <v>EEZ</v>
      </c>
      <c r="T2791" s="2" t="str">
        <f>IF(C2791="Total", (VLOOKUP(B2791,Recommended_fish_intake!A$4:D$122,4,FALSE)), "NA")</f>
        <v>NA</v>
      </c>
      <c r="U2791" s="2">
        <f t="shared" si="333"/>
        <v>1.8384800000000001</v>
      </c>
    </row>
    <row r="2792" spans="1:21" ht="14.25" customHeight="1">
      <c r="A2792" s="2" t="s">
        <v>40</v>
      </c>
      <c r="B2792" s="2">
        <v>1995</v>
      </c>
      <c r="C2792" s="4" t="s">
        <v>37</v>
      </c>
      <c r="D2792" s="3">
        <f>D2664+D2616</f>
        <v>0.2</v>
      </c>
      <c r="E2792" s="3">
        <f>E2664+E2616</f>
        <v>0</v>
      </c>
      <c r="P2792" s="3">
        <f>E2792*(VLOOKUP(B2792,Price_data!A$1:B$190,2,FALSE))</f>
        <v>0</v>
      </c>
      <c r="Q2792" s="3">
        <f>G2792*(VLOOKUP(B2792,Price_data!A$1:B$190,2,FALSE))</f>
        <v>0</v>
      </c>
      <c r="R2792" s="3">
        <f>I2792*(VLOOKUP(B2792,Price_data!A$1:B$190,2,FALSE))</f>
        <v>0</v>
      </c>
      <c r="S2792" s="4" t="str">
        <f>(VLOOKUP(B2792,Price_data!A$1:C$190,3,FALSE))</f>
        <v>EEZ</v>
      </c>
      <c r="T2792" s="2" t="str">
        <f>IF(C2792="Total", (VLOOKUP(B2792,Recommended_fish_intake!A$4:D$122,4,FALSE)), "NA")</f>
        <v>NA</v>
      </c>
      <c r="U2792" s="2">
        <f t="shared" si="333"/>
        <v>9.8000000000000004E-2</v>
      </c>
    </row>
    <row r="2793" spans="1:21" ht="14.25" customHeight="1">
      <c r="A2793" s="2" t="s">
        <v>39</v>
      </c>
      <c r="B2793" s="2">
        <v>1995</v>
      </c>
      <c r="C2793" s="4" t="s">
        <v>37</v>
      </c>
      <c r="D2793" s="3">
        <f>D2409+D2361</f>
        <v>14.183999999999999</v>
      </c>
      <c r="E2793" s="3">
        <f>E2409+E2361</f>
        <v>20.966000000000001</v>
      </c>
      <c r="P2793" s="3">
        <f>E2793*(VLOOKUP(B2793,Price_data!A$1:B$190,2,FALSE))</f>
        <v>23.945866718048002</v>
      </c>
      <c r="Q2793" s="3">
        <f>G2793*(VLOOKUP(B2793,Price_data!A$1:B$190,2,FALSE))</f>
        <v>0</v>
      </c>
      <c r="R2793" s="3">
        <f>I2793*(VLOOKUP(B2793,Price_data!A$1:B$190,2,FALSE))</f>
        <v>0</v>
      </c>
      <c r="S2793" s="4" t="str">
        <f>(VLOOKUP(B2793,Price_data!A$1:C$190,3,FALSE))</f>
        <v>EEZ</v>
      </c>
      <c r="T2793" s="2" t="str">
        <f>IF(C2793="Total", (VLOOKUP(B2793,Recommended_fish_intake!A$4:D$122,4,FALSE)), "NA")</f>
        <v>NA</v>
      </c>
      <c r="U2793" s="2">
        <f t="shared" si="333"/>
        <v>6.9501599999999994</v>
      </c>
    </row>
    <row r="2794" spans="1:21" ht="14.25" customHeight="1">
      <c r="A2794" s="2" t="s">
        <v>18</v>
      </c>
      <c r="B2794" s="2">
        <v>1995</v>
      </c>
      <c r="C2794" s="2" t="s">
        <v>22</v>
      </c>
      <c r="D2794" s="3">
        <f t="shared" ref="D2794:E2807" si="334">D2042+D1802</f>
        <v>382.065</v>
      </c>
      <c r="E2794" s="3">
        <f t="shared" si="334"/>
        <v>104.19800000000001</v>
      </c>
      <c r="P2794" s="3">
        <f>E2794*(VLOOKUP(B2794,Price_data!A$1:B$190,2,FALSE))</f>
        <v>119.00750836054401</v>
      </c>
      <c r="Q2794" s="3">
        <f>G2794*(VLOOKUP(B2794,Price_data!A$1:B$190,2,FALSE))</f>
        <v>0</v>
      </c>
      <c r="R2794" s="3">
        <f>I2794*(VLOOKUP(B2794,Price_data!A$1:B$190,2,FALSE))</f>
        <v>0</v>
      </c>
      <c r="S2794" s="4" t="str">
        <f>(VLOOKUP(B2794,Price_data!A$1:C$190,3,FALSE))</f>
        <v>EEZ</v>
      </c>
      <c r="T2794" s="2" t="str">
        <f>IF(C2794="Total", (VLOOKUP(B2794,Recommended_fish_intake!A$4:D$122,4,FALSE)), "NA")</f>
        <v>NA</v>
      </c>
      <c r="U2794" s="2" t="str">
        <f t="shared" si="333"/>
        <v>NA</v>
      </c>
    </row>
    <row r="2795" spans="1:21" ht="14.25" customHeight="1">
      <c r="A2795" s="2" t="s">
        <v>18</v>
      </c>
      <c r="B2795" s="2">
        <v>1995</v>
      </c>
      <c r="C2795" s="2" t="s">
        <v>23</v>
      </c>
      <c r="D2795" s="3">
        <f t="shared" si="334"/>
        <v>1032.402</v>
      </c>
      <c r="E2795" s="3">
        <f t="shared" si="334"/>
        <v>354.185</v>
      </c>
      <c r="P2795" s="3">
        <f>E2795*(VLOOKUP(B2795,Price_data!A$1:B$190,2,FALSE))</f>
        <v>404.52479268968</v>
      </c>
      <c r="Q2795" s="3">
        <f>G2795*(VLOOKUP(B2795,Price_data!A$1:B$190,2,FALSE))</f>
        <v>0</v>
      </c>
      <c r="R2795" s="3">
        <f>I2795*(VLOOKUP(B2795,Price_data!A$1:B$190,2,FALSE))</f>
        <v>0</v>
      </c>
      <c r="S2795" s="4" t="str">
        <f>(VLOOKUP(B2795,Price_data!A$1:C$190,3,FALSE))</f>
        <v>EEZ</v>
      </c>
      <c r="T2795" s="2" t="str">
        <f>IF(C2795="Total", (VLOOKUP(B2795,Recommended_fish_intake!A$4:D$122,4,FALSE)), "NA")</f>
        <v>NA</v>
      </c>
      <c r="U2795" s="2" t="str">
        <f t="shared" si="333"/>
        <v>NA</v>
      </c>
    </row>
    <row r="2796" spans="1:21" ht="14.25" customHeight="1">
      <c r="A2796" s="2" t="s">
        <v>18</v>
      </c>
      <c r="B2796" s="2">
        <v>1995</v>
      </c>
      <c r="C2796" s="2" t="s">
        <v>58</v>
      </c>
      <c r="D2796" s="3">
        <f t="shared" si="334"/>
        <v>25.463999999999999</v>
      </c>
      <c r="E2796" s="3">
        <f t="shared" si="334"/>
        <v>13.044</v>
      </c>
      <c r="P2796" s="3">
        <f>E2796*(VLOOKUP(B2796,Price_data!A$1:B$190,2,FALSE))</f>
        <v>14.897924519232001</v>
      </c>
      <c r="Q2796" s="3">
        <f>G2796*(VLOOKUP(B2796,Price_data!A$1:B$190,2,FALSE))</f>
        <v>0</v>
      </c>
      <c r="R2796" s="3">
        <f>I2796*(VLOOKUP(B2796,Price_data!A$1:B$190,2,FALSE))</f>
        <v>0</v>
      </c>
      <c r="S2796" s="4" t="str">
        <f>(VLOOKUP(B2796,Price_data!A$1:C$190,3,FALSE))</f>
        <v>EEZ</v>
      </c>
      <c r="T2796" s="2" t="str">
        <f>IF(C2796="Total", (VLOOKUP(B2796,Recommended_fish_intake!A$4:D$122,4,FALSE)), "NA")</f>
        <v>NA</v>
      </c>
      <c r="U2796" s="2" t="str">
        <f t="shared" si="333"/>
        <v>NA</v>
      </c>
    </row>
    <row r="2797" spans="1:21" ht="14.25" customHeight="1">
      <c r="A2797" s="2" t="s">
        <v>18</v>
      </c>
      <c r="B2797" s="2">
        <v>1995</v>
      </c>
      <c r="C2797" s="2" t="s">
        <v>24</v>
      </c>
      <c r="D2797" s="3">
        <f t="shared" si="334"/>
        <v>760.31000000000006</v>
      </c>
      <c r="E2797" s="3">
        <f t="shared" si="334"/>
        <v>229.411</v>
      </c>
      <c r="P2797" s="3">
        <f>E2797*(VLOOKUP(B2797,Price_data!A$1:B$190,2,FALSE))</f>
        <v>262.01684773700799</v>
      </c>
      <c r="Q2797" s="3">
        <f>G2797*(VLOOKUP(B2797,Price_data!A$1:B$190,2,FALSE))</f>
        <v>0</v>
      </c>
      <c r="R2797" s="3">
        <f>I2797*(VLOOKUP(B2797,Price_data!A$1:B$190,2,FALSE))</f>
        <v>0</v>
      </c>
      <c r="S2797" s="4" t="str">
        <f>(VLOOKUP(B2797,Price_data!A$1:C$190,3,FALSE))</f>
        <v>EEZ</v>
      </c>
      <c r="T2797" s="2" t="str">
        <f>IF(C2797="Total", (VLOOKUP(B2797,Recommended_fish_intake!A$4:D$122,4,FALSE)), "NA")</f>
        <v>NA</v>
      </c>
      <c r="U2797" s="2" t="str">
        <f t="shared" si="333"/>
        <v>NA</v>
      </c>
    </row>
    <row r="2798" spans="1:21" ht="14.25" customHeight="1">
      <c r="A2798" s="2" t="s">
        <v>18</v>
      </c>
      <c r="B2798" s="2">
        <v>1995</v>
      </c>
      <c r="C2798" s="2" t="s">
        <v>41</v>
      </c>
      <c r="D2798" s="3" t="e">
        <f t="shared" si="334"/>
        <v>#N/A</v>
      </c>
      <c r="E2798" s="3" t="e">
        <f t="shared" si="334"/>
        <v>#N/A</v>
      </c>
      <c r="P2798" s="3" t="e">
        <f>E2798*(VLOOKUP(B2798,Price_data!A$1:B$190,2,FALSE))</f>
        <v>#N/A</v>
      </c>
      <c r="Q2798" s="3">
        <f>G2798*(VLOOKUP(B2798,Price_data!A$1:B$190,2,FALSE))</f>
        <v>0</v>
      </c>
      <c r="R2798" s="3">
        <f>I2798*(VLOOKUP(B2798,Price_data!A$1:B$190,2,FALSE))</f>
        <v>0</v>
      </c>
      <c r="S2798" s="4" t="str">
        <f>(VLOOKUP(B2798,Price_data!A$1:C$190,3,FALSE))</f>
        <v>EEZ</v>
      </c>
      <c r="T2798" s="2" t="str">
        <f>IF(C2798="Total", (VLOOKUP(B2798,Recommended_fish_intake!A$4:D$122,4,FALSE)), "NA")</f>
        <v>NA</v>
      </c>
      <c r="U2798" s="2" t="str">
        <f t="shared" si="333"/>
        <v>NA</v>
      </c>
    </row>
    <row r="2799" spans="1:21" ht="14.25" customHeight="1">
      <c r="A2799" s="2" t="s">
        <v>18</v>
      </c>
      <c r="B2799" s="2">
        <v>1995</v>
      </c>
      <c r="C2799" s="2" t="s">
        <v>19</v>
      </c>
      <c r="D2799" s="3" t="e">
        <f t="shared" si="334"/>
        <v>#N/A</v>
      </c>
      <c r="E2799" s="3" t="e">
        <f t="shared" si="334"/>
        <v>#N/A</v>
      </c>
      <c r="P2799" s="3" t="e">
        <f>E2799*(VLOOKUP(B2799,Price_data!A$1:B$190,2,FALSE))</f>
        <v>#N/A</v>
      </c>
      <c r="Q2799" s="3">
        <f>G2799*(VLOOKUP(B2799,Price_data!A$1:B$190,2,FALSE))</f>
        <v>0</v>
      </c>
      <c r="R2799" s="3">
        <f>I2799*(VLOOKUP(B2799,Price_data!A$1:B$190,2,FALSE))</f>
        <v>0</v>
      </c>
      <c r="S2799" s="4" t="str">
        <f>(VLOOKUP(B2799,Price_data!A$1:C$190,3,FALSE))</f>
        <v>EEZ</v>
      </c>
      <c r="T2799" s="2" t="str">
        <f>IF(C2799="Total", (VLOOKUP(B2799,Recommended_fish_intake!A$4:D$122,4,FALSE)), "NA")</f>
        <v>NA</v>
      </c>
      <c r="U2799" s="2" t="str">
        <f t="shared" si="333"/>
        <v>NA</v>
      </c>
    </row>
    <row r="2800" spans="1:21" ht="14.25" customHeight="1">
      <c r="A2800" s="2" t="s">
        <v>18</v>
      </c>
      <c r="B2800" s="2">
        <v>1995</v>
      </c>
      <c r="C2800" s="2" t="s">
        <v>20</v>
      </c>
      <c r="D2800" s="3">
        <f t="shared" si="334"/>
        <v>59.514000000000003</v>
      </c>
      <c r="E2800" s="3">
        <f t="shared" si="334"/>
        <v>30.364999999999998</v>
      </c>
      <c r="P2800" s="3">
        <f>E2800*(VLOOKUP(B2800,Price_data!A$1:B$190,2,FALSE))</f>
        <v>34.680732752719997</v>
      </c>
      <c r="Q2800" s="3">
        <f>G2800*(VLOOKUP(B2800,Price_data!A$1:B$190,2,FALSE))</f>
        <v>0</v>
      </c>
      <c r="R2800" s="3">
        <f>I2800*(VLOOKUP(B2800,Price_data!A$1:B$190,2,FALSE))</f>
        <v>0</v>
      </c>
      <c r="S2800" s="4" t="str">
        <f>(VLOOKUP(B2800,Price_data!A$1:C$190,3,FALSE))</f>
        <v>EEZ</v>
      </c>
      <c r="T2800" s="2" t="str">
        <f>IF(C2800="Total", (VLOOKUP(B2800,Recommended_fish_intake!A$4:D$122,4,FALSE)), "NA")</f>
        <v>NA</v>
      </c>
      <c r="U2800" s="2" t="str">
        <f t="shared" si="333"/>
        <v>NA</v>
      </c>
    </row>
    <row r="2801" spans="1:21" ht="14.25" customHeight="1">
      <c r="A2801" s="2" t="s">
        <v>18</v>
      </c>
      <c r="B2801" s="2">
        <v>1995</v>
      </c>
      <c r="C2801" s="2" t="s">
        <v>42</v>
      </c>
      <c r="D2801" s="3">
        <f t="shared" si="334"/>
        <v>88.256999999999991</v>
      </c>
      <c r="E2801" s="3">
        <f t="shared" si="334"/>
        <v>63.343000000000004</v>
      </c>
      <c r="P2801" s="3">
        <f>E2801*(VLOOKUP(B2801,Price_data!A$1:B$190,2,FALSE))</f>
        <v>72.345847349104005</v>
      </c>
      <c r="Q2801" s="3">
        <f>G2801*(VLOOKUP(B2801,Price_data!A$1:B$190,2,FALSE))</f>
        <v>0</v>
      </c>
      <c r="R2801" s="3">
        <f>I2801*(VLOOKUP(B2801,Price_data!A$1:B$190,2,FALSE))</f>
        <v>0</v>
      </c>
      <c r="S2801" s="4" t="str">
        <f>(VLOOKUP(B2801,Price_data!A$1:C$190,3,FALSE))</f>
        <v>EEZ</v>
      </c>
      <c r="T2801" s="2" t="str">
        <f>IF(C2801="Total", (VLOOKUP(B2801,Recommended_fish_intake!A$4:D$122,4,FALSE)), "NA")</f>
        <v>NA</v>
      </c>
      <c r="U2801" s="2" t="str">
        <f t="shared" si="333"/>
        <v>NA</v>
      </c>
    </row>
    <row r="2802" spans="1:21" ht="14.25" customHeight="1">
      <c r="A2802" s="2" t="s">
        <v>18</v>
      </c>
      <c r="B2802" s="2">
        <v>1995</v>
      </c>
      <c r="C2802" s="2" t="s">
        <v>36</v>
      </c>
      <c r="D2802" s="3">
        <f t="shared" si="334"/>
        <v>191.69299999999998</v>
      </c>
      <c r="E2802" s="3">
        <f t="shared" si="334"/>
        <v>106.589</v>
      </c>
      <c r="P2802" s="3">
        <f>E2802*(VLOOKUP(B2802,Price_data!A$1:B$190,2,FALSE))</f>
        <v>121.738337670992</v>
      </c>
      <c r="Q2802" s="3">
        <f>G2802*(VLOOKUP(B2802,Price_data!A$1:B$190,2,FALSE))</f>
        <v>0</v>
      </c>
      <c r="R2802" s="3">
        <f>I2802*(VLOOKUP(B2802,Price_data!A$1:B$190,2,FALSE))</f>
        <v>0</v>
      </c>
      <c r="S2802" s="4" t="str">
        <f>(VLOOKUP(B2802,Price_data!A$1:C$190,3,FALSE))</f>
        <v>EEZ</v>
      </c>
      <c r="T2802" s="2" t="str">
        <f>IF(C2802="Total", (VLOOKUP(B2802,Recommended_fish_intake!A$4:D$122,4,FALSE)), "NA")</f>
        <v>NA</v>
      </c>
      <c r="U2802" s="2" t="str">
        <f t="shared" si="333"/>
        <v>NA</v>
      </c>
    </row>
    <row r="2803" spans="1:21" ht="14.25" customHeight="1">
      <c r="A2803" s="2" t="s">
        <v>18</v>
      </c>
      <c r="B2803" s="2">
        <v>1995</v>
      </c>
      <c r="C2803" s="2" t="s">
        <v>34</v>
      </c>
      <c r="D2803" s="3">
        <f t="shared" si="334"/>
        <v>550.65600000000006</v>
      </c>
      <c r="E2803" s="3">
        <f t="shared" si="334"/>
        <v>195.69799999999998</v>
      </c>
      <c r="P2803" s="3">
        <f>E2803*(VLOOKUP(B2803,Price_data!A$1:B$190,2,FALSE))</f>
        <v>223.51226867254397</v>
      </c>
      <c r="Q2803" s="3">
        <f>G2803*(VLOOKUP(B2803,Price_data!A$1:B$190,2,FALSE))</f>
        <v>0</v>
      </c>
      <c r="R2803" s="3">
        <f>I2803*(VLOOKUP(B2803,Price_data!A$1:B$190,2,FALSE))</f>
        <v>0</v>
      </c>
      <c r="S2803" s="4" t="str">
        <f>(VLOOKUP(B2803,Price_data!A$1:C$190,3,FALSE))</f>
        <v>EEZ</v>
      </c>
      <c r="T2803" s="2" t="str">
        <f>IF(C2803="Total", (VLOOKUP(B2803,Recommended_fish_intake!A$4:D$122,4,FALSE)), "NA")</f>
        <v>NA</v>
      </c>
      <c r="U2803" s="2" t="str">
        <f t="shared" si="333"/>
        <v>NA</v>
      </c>
    </row>
    <row r="2804" spans="1:21" ht="14.25" customHeight="1">
      <c r="A2804" s="2" t="s">
        <v>18</v>
      </c>
      <c r="B2804" s="2">
        <v>1995</v>
      </c>
      <c r="C2804" s="2" t="s">
        <v>35</v>
      </c>
      <c r="D2804" s="3">
        <f t="shared" si="334"/>
        <v>20.451999999999998</v>
      </c>
      <c r="E2804" s="3">
        <f t="shared" si="334"/>
        <v>7.9489999999999998</v>
      </c>
      <c r="P2804" s="3">
        <f>E2804*(VLOOKUP(B2804,Price_data!A$1:B$190,2,FALSE))</f>
        <v>9.0787796690720004</v>
      </c>
      <c r="Q2804" s="3">
        <f>G2804*(VLOOKUP(B2804,Price_data!A$1:B$190,2,FALSE))</f>
        <v>0</v>
      </c>
      <c r="R2804" s="3">
        <f>I2804*(VLOOKUP(B2804,Price_data!A$1:B$190,2,FALSE))</f>
        <v>0</v>
      </c>
      <c r="S2804" s="4" t="str">
        <f>(VLOOKUP(B2804,Price_data!A$1:C$190,3,FALSE))</f>
        <v>EEZ</v>
      </c>
      <c r="T2804" s="2" t="str">
        <f>IF(C2804="Total", (VLOOKUP(B2804,Recommended_fish_intake!A$4:D$122,4,FALSE)), "NA")</f>
        <v>NA</v>
      </c>
      <c r="U2804" s="2" t="str">
        <f t="shared" si="333"/>
        <v>NA</v>
      </c>
    </row>
    <row r="2805" spans="1:21" ht="14.25" customHeight="1">
      <c r="A2805" s="2" t="s">
        <v>18</v>
      </c>
      <c r="B2805" s="2">
        <v>1995</v>
      </c>
      <c r="C2805" s="2" t="s">
        <v>52</v>
      </c>
      <c r="D2805" s="3">
        <f t="shared" si="334"/>
        <v>816.19799999999998</v>
      </c>
      <c r="E2805" s="3">
        <f t="shared" si="334"/>
        <v>306.327</v>
      </c>
      <c r="P2805" s="3">
        <f>E2805*(VLOOKUP(B2805,Price_data!A$1:B$190,2,FALSE))</f>
        <v>349.86480559665597</v>
      </c>
      <c r="Q2805" s="3">
        <f>G2805*(VLOOKUP(B2805,Price_data!A$1:B$190,2,FALSE))</f>
        <v>0</v>
      </c>
      <c r="R2805" s="3">
        <f>I2805*(VLOOKUP(B2805,Price_data!A$1:B$190,2,FALSE))</f>
        <v>0</v>
      </c>
      <c r="S2805" s="4" t="str">
        <f>(VLOOKUP(B2805,Price_data!A$1:C$190,3,FALSE))</f>
        <v>EEZ</v>
      </c>
      <c r="T2805" s="2" t="str">
        <f>IF(C2805="Total", (VLOOKUP(B2805,Recommended_fish_intake!A$4:D$122,4,FALSE)), "NA")</f>
        <v>NA</v>
      </c>
      <c r="U2805" s="2" t="str">
        <f t="shared" si="333"/>
        <v>NA</v>
      </c>
    </row>
    <row r="2806" spans="1:21" ht="14.25" customHeight="1">
      <c r="A2806" s="2" t="s">
        <v>18</v>
      </c>
      <c r="B2806" s="2">
        <v>1995</v>
      </c>
      <c r="C2806" s="2" t="s">
        <v>30</v>
      </c>
      <c r="D2806" s="3" t="e">
        <f t="shared" si="334"/>
        <v>#N/A</v>
      </c>
      <c r="E2806" s="3" t="e">
        <f t="shared" si="334"/>
        <v>#N/A</v>
      </c>
      <c r="P2806" s="3" t="e">
        <f>E2806*(VLOOKUP(B2806,Price_data!A$1:B$190,2,FALSE))</f>
        <v>#N/A</v>
      </c>
      <c r="Q2806" s="3">
        <f>G2806*(VLOOKUP(B2806,Price_data!A$1:B$190,2,FALSE))</f>
        <v>0</v>
      </c>
      <c r="R2806" s="3">
        <f>I2806*(VLOOKUP(B2806,Price_data!A$1:B$190,2,FALSE))</f>
        <v>0</v>
      </c>
      <c r="S2806" s="4" t="str">
        <f>(VLOOKUP(B2806,Price_data!A$1:C$190,3,FALSE))</f>
        <v>EEZ</v>
      </c>
      <c r="T2806" s="2" t="str">
        <f>IF(C2806="Total", (VLOOKUP(B2806,Recommended_fish_intake!A$4:D$122,4,FALSE)), "NA")</f>
        <v>NA</v>
      </c>
      <c r="U2806" s="2" t="str">
        <f t="shared" si="333"/>
        <v>NA</v>
      </c>
    </row>
    <row r="2807" spans="1:21" ht="14.25" customHeight="1">
      <c r="A2807" s="2" t="s">
        <v>18</v>
      </c>
      <c r="B2807" s="2">
        <v>1995</v>
      </c>
      <c r="C2807" s="2" t="s">
        <v>28</v>
      </c>
      <c r="D2807" s="3" t="e">
        <f t="shared" si="334"/>
        <v>#N/A</v>
      </c>
      <c r="E2807" s="3" t="e">
        <f t="shared" si="334"/>
        <v>#N/A</v>
      </c>
      <c r="P2807" s="3" t="e">
        <f>E2807*(VLOOKUP(B2807,Price_data!A$1:B$190,2,FALSE))</f>
        <v>#N/A</v>
      </c>
      <c r="Q2807" s="3">
        <f>G2807*(VLOOKUP(B2807,Price_data!A$1:B$190,2,FALSE))</f>
        <v>0</v>
      </c>
      <c r="R2807" s="3">
        <f>I2807*(VLOOKUP(B2807,Price_data!A$1:B$190,2,FALSE))</f>
        <v>0</v>
      </c>
      <c r="S2807" s="4" t="str">
        <f>(VLOOKUP(B2807,Price_data!A$1:C$190,3,FALSE))</f>
        <v>EEZ</v>
      </c>
      <c r="T2807" s="2" t="str">
        <f>IF(C2807="Total", (VLOOKUP(B2807,Recommended_fish_intake!A$4:D$122,4,FALSE)), "NA")</f>
        <v>NA</v>
      </c>
      <c r="U2807" s="2" t="e">
        <f t="shared" si="333"/>
        <v>#N/A</v>
      </c>
    </row>
    <row r="2808" spans="1:21" ht="14.25" customHeight="1">
      <c r="A2808" s="2" t="s">
        <v>90</v>
      </c>
      <c r="B2808" s="2">
        <v>1995</v>
      </c>
      <c r="C2808" s="2" t="s">
        <v>16</v>
      </c>
      <c r="D2808" s="2">
        <v>222.9</v>
      </c>
      <c r="E2808" s="2">
        <v>166.8</v>
      </c>
      <c r="P2808" s="3">
        <f>E2808*(VLOOKUP(B2808,Price_data!A$1:B$190,2,FALSE))</f>
        <v>190.5070384704</v>
      </c>
      <c r="Q2808" s="3">
        <f>G2808*(VLOOKUP(B2808,Price_data!A$1:B$190,2,FALSE))</f>
        <v>0</v>
      </c>
      <c r="R2808" s="3">
        <f>I2808*(VLOOKUP(B2808,Price_data!A$1:B$190,2,FALSE))</f>
        <v>0</v>
      </c>
      <c r="S2808" s="4" t="str">
        <f>(VLOOKUP(B2808,Price_data!A$1:C$190,3,FALSE))</f>
        <v>EEZ</v>
      </c>
      <c r="T2808" s="2">
        <f>IF(C2808="Total", (VLOOKUP(B2808,Recommended_fish_intake!A$4:D$122,4,FALSE)), "NA")</f>
        <v>764.73883856916007</v>
      </c>
      <c r="U2808" s="2" t="str">
        <f t="shared" si="333"/>
        <v>NA</v>
      </c>
    </row>
    <row r="2809" spans="1:21" ht="14.25" customHeight="1">
      <c r="A2809" s="2" t="s">
        <v>91</v>
      </c>
      <c r="B2809" s="2">
        <v>1995</v>
      </c>
      <c r="C2809" s="2" t="s">
        <v>16</v>
      </c>
      <c r="D2809" s="2">
        <v>0</v>
      </c>
      <c r="E2809" s="2">
        <v>0</v>
      </c>
      <c r="P2809" s="3">
        <f>E2809*(VLOOKUP(B2809,Price_data!A$1:B$190,2,FALSE))</f>
        <v>0</v>
      </c>
      <c r="Q2809" s="3">
        <f>G2809*(VLOOKUP(B2809,Price_data!A$1:B$190,2,FALSE))</f>
        <v>0</v>
      </c>
      <c r="R2809" s="3">
        <f>I2809*(VLOOKUP(B2809,Price_data!A$1:B$190,2,FALSE))</f>
        <v>0</v>
      </c>
      <c r="S2809" s="4" t="str">
        <f>(VLOOKUP(B2809,Price_data!A$1:C$190,3,FALSE))</f>
        <v>EEZ</v>
      </c>
      <c r="T2809" s="2">
        <f>IF(C2809="Total", (VLOOKUP(B2809,Recommended_fish_intake!A$4:D$122,4,FALSE)), "NA")</f>
        <v>764.73883856916007</v>
      </c>
      <c r="U2809" s="2" t="str">
        <f t="shared" si="333"/>
        <v>NA</v>
      </c>
    </row>
    <row r="2810" spans="1:21" ht="14.25" customHeight="1">
      <c r="A2810" s="2" t="s">
        <v>39</v>
      </c>
      <c r="B2810" s="2">
        <v>1995</v>
      </c>
      <c r="C2810" s="2" t="s">
        <v>16</v>
      </c>
      <c r="D2810" s="2">
        <v>483.70699999999999</v>
      </c>
      <c r="E2810" s="2">
        <v>295.238</v>
      </c>
      <c r="P2810" s="3">
        <f>E2810*(VLOOKUP(B2810,Price_data!A$1:B$190,2,FALSE))</f>
        <v>337.19974234966401</v>
      </c>
      <c r="Q2810" s="3">
        <f>G2810*(VLOOKUP(B2810,Price_data!A$1:B$190,2,FALSE))</f>
        <v>0</v>
      </c>
      <c r="R2810" s="3">
        <f>I2810*(VLOOKUP(B2810,Price_data!A$1:B$190,2,FALSE))</f>
        <v>0</v>
      </c>
      <c r="S2810" s="4" t="str">
        <f>(VLOOKUP(B2810,Price_data!A$1:C$190,3,FALSE))</f>
        <v>EEZ</v>
      </c>
      <c r="T2810" s="2">
        <f>IF(C2810="Total", (VLOOKUP(B2810,Recommended_fish_intake!A$4:D$122,4,FALSE)), "NA")</f>
        <v>764.73883856916007</v>
      </c>
      <c r="U2810" s="2" t="str">
        <f t="shared" si="333"/>
        <v>NA</v>
      </c>
    </row>
    <row r="2811" spans="1:21" ht="14.25" customHeight="1">
      <c r="A2811" s="2" t="s">
        <v>40</v>
      </c>
      <c r="B2811" s="2">
        <v>1995</v>
      </c>
      <c r="C2811" s="2" t="s">
        <v>16</v>
      </c>
      <c r="D2811" s="2">
        <v>18.859000000000002</v>
      </c>
      <c r="E2811" s="2">
        <v>15.993</v>
      </c>
      <c r="P2811" s="3">
        <f>E2811*(VLOOKUP(B2811,Price_data!A$1:B$190,2,FALSE))</f>
        <v>18.266061548303998</v>
      </c>
      <c r="Q2811" s="3">
        <f>G2811*(VLOOKUP(B2811,Price_data!A$1:B$190,2,FALSE))</f>
        <v>0</v>
      </c>
      <c r="R2811" s="3">
        <f>I2811*(VLOOKUP(B2811,Price_data!A$1:B$190,2,FALSE))</f>
        <v>0</v>
      </c>
      <c r="S2811" s="4" t="str">
        <f>(VLOOKUP(B2811,Price_data!A$1:C$190,3,FALSE))</f>
        <v>EEZ</v>
      </c>
      <c r="T2811" s="2">
        <f>IF(C2811="Total", (VLOOKUP(B2811,Recommended_fish_intake!A$4:D$122,4,FALSE)), "NA")</f>
        <v>764.73883856916007</v>
      </c>
      <c r="U2811" s="2" t="str">
        <f t="shared" si="333"/>
        <v>NA</v>
      </c>
    </row>
    <row r="2812" spans="1:21" ht="14.25" customHeight="1">
      <c r="A2812" s="2" t="s">
        <v>18</v>
      </c>
      <c r="B2812" s="2">
        <v>1995</v>
      </c>
      <c r="C2812" s="2" t="s">
        <v>16</v>
      </c>
      <c r="D2812" s="3">
        <f>D2060+D1820</f>
        <v>7.4889999999999999</v>
      </c>
      <c r="E2812" s="3">
        <f>E2060+E1820</f>
        <v>2.798</v>
      </c>
      <c r="P2812" s="3">
        <f>E2812*(VLOOKUP(B2812,Price_data!A$1:B$190,2,FALSE))</f>
        <v>3.1956756213439999</v>
      </c>
      <c r="Q2812" s="3">
        <f>G2812*(VLOOKUP(B2812,Price_data!A$1:B$190,2,FALSE))</f>
        <v>0</v>
      </c>
      <c r="R2812" s="3">
        <f>I2812*(VLOOKUP(B2812,Price_data!A$1:B$190,2,FALSE))</f>
        <v>0</v>
      </c>
      <c r="S2812" s="4" t="str">
        <f>(VLOOKUP(B2812,Price_data!A$1:C$190,3,FALSE))</f>
        <v>EEZ</v>
      </c>
      <c r="T2812" s="2">
        <f>IF(C2812="Total", (VLOOKUP(B2812,Recommended_fish_intake!A$4:D$122,4,FALSE)), "NA")</f>
        <v>764.73883856916007</v>
      </c>
      <c r="U2812" s="2" t="str">
        <f t="shared" si="333"/>
        <v>NA</v>
      </c>
    </row>
    <row r="2813" spans="1:21" ht="14.25" customHeight="1">
      <c r="A2813" s="2" t="s">
        <v>15</v>
      </c>
      <c r="B2813" s="2">
        <v>1995</v>
      </c>
      <c r="C2813" s="2" t="s">
        <v>16</v>
      </c>
      <c r="D2813" s="2">
        <v>725.64</v>
      </c>
      <c r="E2813" s="2">
        <v>478.209</v>
      </c>
      <c r="F2813" s="3">
        <f>L2813/1000</f>
        <v>362.11900000000003</v>
      </c>
      <c r="G2813" s="3">
        <f>M2813/1000</f>
        <v>691.17100000000005</v>
      </c>
      <c r="H2813" s="3">
        <f>N2813/1000</f>
        <v>484.69</v>
      </c>
      <c r="I2813" s="3">
        <f>O2813/1000</f>
        <v>1124.0219999999999</v>
      </c>
      <c r="L2813" s="2">
        <v>362119</v>
      </c>
      <c r="M2813" s="2">
        <v>691171</v>
      </c>
      <c r="N2813" s="2">
        <v>484690</v>
      </c>
      <c r="O2813" s="2">
        <v>1124022</v>
      </c>
      <c r="P2813" s="3">
        <f>E2813*(VLOOKUP(B2813,Price_data!A$1:B$190,2,FALSE))</f>
        <v>546.17614124635202</v>
      </c>
      <c r="Q2813" s="3">
        <f>G2813*(VLOOKUP(B2813,Price_data!A$1:B$190,2,FALSE))</f>
        <v>789.40611682628798</v>
      </c>
      <c r="R2813" s="3">
        <f>I2813*(VLOOKUP(B2813,Price_data!A$1:B$190,2,FALSE))</f>
        <v>1283.7775922996159</v>
      </c>
      <c r="S2813" s="4" t="str">
        <f>(VLOOKUP(B2813,Price_data!A$1:C$190,3,FALSE))</f>
        <v>EEZ</v>
      </c>
      <c r="T2813" s="2">
        <f>IF(C2813="Total", (VLOOKUP(B2813,Recommended_fish_intake!A$4:D$122,4,FALSE)), "NA")</f>
        <v>764.73883856916007</v>
      </c>
      <c r="U2813" s="2" t="str">
        <f t="shared" si="333"/>
        <v>NA</v>
      </c>
    </row>
    <row r="2814" spans="1:21" ht="14.25" customHeight="1">
      <c r="A2814" s="2" t="s">
        <v>18</v>
      </c>
      <c r="B2814" s="2">
        <v>1995</v>
      </c>
      <c r="C2814" s="2" t="s">
        <v>37</v>
      </c>
      <c r="D2814" s="3">
        <f>D2638+D2686</f>
        <v>30.247999999999998</v>
      </c>
      <c r="E2814" s="3">
        <f>E2638+E2686</f>
        <v>28.013999999999999</v>
      </c>
      <c r="P2814" s="3">
        <f>E2814*(VLOOKUP(B2814,Price_data!A$1:B$190,2,FALSE))</f>
        <v>31.995588583391999</v>
      </c>
      <c r="Q2814" s="3">
        <f>G2814*(VLOOKUP(B2814,Price_data!A$1:B$190,2,FALSE))</f>
        <v>0</v>
      </c>
      <c r="R2814" s="3">
        <f>I2814*(VLOOKUP(B2814,Price_data!A$1:B$190,2,FALSE))</f>
        <v>0</v>
      </c>
      <c r="S2814" s="4" t="str">
        <f>(VLOOKUP(B2814,Price_data!A$1:C$190,3,FALSE))</f>
        <v>EEZ</v>
      </c>
      <c r="T2814" s="2" t="str">
        <f>IF(C2814="Total", (VLOOKUP(B2814,Recommended_fish_intake!A$4:D$122,4,FALSE)), "NA")</f>
        <v>NA</v>
      </c>
      <c r="U2814" s="2">
        <f t="shared" si="333"/>
        <v>14.821519999999998</v>
      </c>
    </row>
    <row r="2815" spans="1:21" ht="14.25" customHeight="1">
      <c r="A2815" s="2" t="s">
        <v>15</v>
      </c>
      <c r="B2815" s="2">
        <v>1995</v>
      </c>
      <c r="C2815" s="2" t="s">
        <v>42</v>
      </c>
      <c r="D2815" s="2">
        <v>278.98200000000003</v>
      </c>
      <c r="E2815" s="2">
        <v>36.868000000000002</v>
      </c>
      <c r="F2815" s="2" t="s">
        <v>92</v>
      </c>
      <c r="G2815" s="2" t="s">
        <v>92</v>
      </c>
      <c r="H2815" s="2" t="s">
        <v>92</v>
      </c>
      <c r="I2815" s="2" t="s">
        <v>92</v>
      </c>
      <c r="P2815" s="3">
        <f>E2815*(VLOOKUP(B2815,Price_data!A$1:B$190,2,FALSE))</f>
        <v>42.107994570304001</v>
      </c>
      <c r="Q2815" s="3" t="e">
        <f>G2815*(VLOOKUP(B2815,Price_data!A$1:B$190,2,FALSE))</f>
        <v>#VALUE!</v>
      </c>
      <c r="R2815" s="3" t="e">
        <f>I2815*(VLOOKUP(B2815,Price_data!A$1:B$190,2,FALSE))</f>
        <v>#VALUE!</v>
      </c>
      <c r="S2815" s="4" t="str">
        <f>(VLOOKUP(B2815,Price_data!A$1:C$190,3,FALSE))</f>
        <v>EEZ</v>
      </c>
      <c r="T2815" s="2" t="str">
        <f>IF(C2815="Total", (VLOOKUP(B2815,Recommended_fish_intake!A$4:D$122,4,FALSE)), "NA")</f>
        <v>NA</v>
      </c>
      <c r="U2815" s="2" t="str">
        <f t="shared" si="333"/>
        <v>NA</v>
      </c>
    </row>
    <row r="2816" spans="1:21" ht="14.25" customHeight="1">
      <c r="A2816" s="2" t="s">
        <v>15</v>
      </c>
      <c r="B2816" s="2">
        <v>1995</v>
      </c>
      <c r="C2816" s="2" t="s">
        <v>36</v>
      </c>
      <c r="D2816" s="2">
        <v>21.675000000000001</v>
      </c>
      <c r="E2816" s="2">
        <v>21.346</v>
      </c>
      <c r="F2816" s="3">
        <f>L2816/1000</f>
        <v>14.173999999999999</v>
      </c>
      <c r="G2816" s="3">
        <f>M2816/1000</f>
        <v>30.765999999999998</v>
      </c>
      <c r="H2816" s="3">
        <f>N2816/1000</f>
        <v>1.5189999999999999</v>
      </c>
      <c r="I2816" s="3">
        <f>O2816/1000</f>
        <v>15.132999999999999</v>
      </c>
      <c r="L2816" s="2">
        <f>13597+577</f>
        <v>14174</v>
      </c>
      <c r="M2816" s="2">
        <f>24297+6469</f>
        <v>30766</v>
      </c>
      <c r="N2816" s="2">
        <f>260+1259</f>
        <v>1519</v>
      </c>
      <c r="O2816" s="2">
        <f>1097+14036</f>
        <v>15133</v>
      </c>
      <c r="P2816" s="3">
        <f>E2816*(VLOOKUP(B2816,Price_data!A$1:B$190,2,FALSE))</f>
        <v>24.379875558687999</v>
      </c>
      <c r="Q2816" s="3">
        <f>G2816*(VLOOKUP(B2816,Price_data!A$1:B$190,2,FALSE))</f>
        <v>35.138726292447998</v>
      </c>
      <c r="R2816" s="3">
        <f>I2816*(VLOOKUP(B2816,Price_data!A$1:B$190,2,FALSE))</f>
        <v>17.283831014223999</v>
      </c>
      <c r="S2816" s="4" t="str">
        <f>(VLOOKUP(B2816,Price_data!A$1:C$190,3,FALSE))</f>
        <v>EEZ</v>
      </c>
      <c r="T2816" s="2" t="str">
        <f>IF(C2816="Total", (VLOOKUP(B2816,Recommended_fish_intake!A$4:D$122,4,FALSE)), "NA")</f>
        <v>NA</v>
      </c>
      <c r="U2816" s="2" t="str">
        <f t="shared" si="333"/>
        <v>NA</v>
      </c>
    </row>
    <row r="2817" spans="1:21" ht="14.25" customHeight="1">
      <c r="A2817" s="2" t="s">
        <v>15</v>
      </c>
      <c r="B2817" s="2">
        <v>1995</v>
      </c>
      <c r="C2817" s="2" t="s">
        <v>34</v>
      </c>
      <c r="D2817" s="2">
        <v>1.296</v>
      </c>
      <c r="E2817" s="2">
        <v>11.896000000000001</v>
      </c>
      <c r="F2817" s="2" t="s">
        <v>92</v>
      </c>
      <c r="G2817" s="2" t="s">
        <v>92</v>
      </c>
      <c r="H2817" s="2" t="s">
        <v>92</v>
      </c>
      <c r="I2817" s="2" t="s">
        <v>92</v>
      </c>
      <c r="P2817" s="3">
        <f>E2817*(VLOOKUP(B2817,Price_data!A$1:B$190,2,FALSE))</f>
        <v>13.586760969088001</v>
      </c>
      <c r="Q2817" s="3" t="e">
        <f>G2817*(VLOOKUP(B2817,Price_data!A$1:B$190,2,FALSE))</f>
        <v>#VALUE!</v>
      </c>
      <c r="R2817" s="3" t="e">
        <f>I2817*(VLOOKUP(B2817,Price_data!A$1:B$190,2,FALSE))</f>
        <v>#VALUE!</v>
      </c>
      <c r="S2817" s="4" t="str">
        <f>(VLOOKUP(B2817,Price_data!A$1:C$190,3,FALSE))</f>
        <v>EEZ</v>
      </c>
      <c r="T2817" s="2" t="str">
        <f>IF(C2817="Total", (VLOOKUP(B2817,Recommended_fish_intake!A$4:D$122,4,FALSE)), "NA")</f>
        <v>NA</v>
      </c>
      <c r="U2817" s="2" t="str">
        <f t="shared" si="333"/>
        <v>NA</v>
      </c>
    </row>
    <row r="2818" spans="1:21" ht="14.25" customHeight="1">
      <c r="A2818" s="2" t="s">
        <v>15</v>
      </c>
      <c r="B2818" s="2">
        <v>1995</v>
      </c>
      <c r="C2818" s="2" t="s">
        <v>35</v>
      </c>
      <c r="D2818" s="2">
        <v>31.114999999999998</v>
      </c>
      <c r="E2818" s="2">
        <v>60.704000000000001</v>
      </c>
      <c r="F2818" s="2" t="s">
        <v>92</v>
      </c>
      <c r="G2818" s="2" t="s">
        <v>92</v>
      </c>
      <c r="H2818" s="2" t="s">
        <v>92</v>
      </c>
      <c r="I2818" s="2" t="s">
        <v>92</v>
      </c>
      <c r="P2818" s="3">
        <f>E2818*(VLOOKUP(B2818,Price_data!A$1:B$190,2,FALSE))</f>
        <v>69.331770163711994</v>
      </c>
      <c r="Q2818" s="3" t="e">
        <f>G2818*(VLOOKUP(B2818,Price_data!A$1:B$190,2,FALSE))</f>
        <v>#VALUE!</v>
      </c>
      <c r="R2818" s="3" t="e">
        <f>I2818*(VLOOKUP(B2818,Price_data!A$1:B$190,2,FALSE))</f>
        <v>#VALUE!</v>
      </c>
      <c r="S2818" s="4" t="str">
        <f>(VLOOKUP(B2818,Price_data!A$1:C$190,3,FALSE))</f>
        <v>EEZ</v>
      </c>
      <c r="T2818" s="2" t="str">
        <f>IF(C2818="Total", (VLOOKUP(B2818,Recommended_fish_intake!A$4:D$122,4,FALSE)), "NA")</f>
        <v>NA</v>
      </c>
      <c r="U2818" s="2" t="str">
        <f t="shared" ref="U2818:U2881" si="335">IF(C2818="Wet fish", D2818*0.49, IF(C2818="Shellfish", D2818*0.28, "NA"))</f>
        <v>NA</v>
      </c>
    </row>
    <row r="2819" spans="1:21" ht="14.25" customHeight="1">
      <c r="A2819" s="2" t="s">
        <v>15</v>
      </c>
      <c r="B2819" s="2">
        <v>1995</v>
      </c>
      <c r="C2819" s="2" t="s">
        <v>52</v>
      </c>
      <c r="D2819" s="2">
        <v>18.521999999999998</v>
      </c>
      <c r="E2819" s="2">
        <v>26.209</v>
      </c>
      <c r="F2819" s="2" t="s">
        <v>92</v>
      </c>
      <c r="G2819" s="2" t="s">
        <v>92</v>
      </c>
      <c r="H2819" s="2" t="s">
        <v>92</v>
      </c>
      <c r="I2819" s="2" t="s">
        <v>92</v>
      </c>
      <c r="P2819" s="3">
        <f>E2819*(VLOOKUP(B2819,Price_data!A$1:B$190,2,FALSE))</f>
        <v>29.934046590352001</v>
      </c>
      <c r="Q2819" s="3" t="e">
        <f>G2819*(VLOOKUP(B2819,Price_data!A$1:B$190,2,FALSE))</f>
        <v>#VALUE!</v>
      </c>
      <c r="R2819" s="3" t="e">
        <f>I2819*(VLOOKUP(B2819,Price_data!A$1:B$190,2,FALSE))</f>
        <v>#VALUE!</v>
      </c>
      <c r="S2819" s="4" t="str">
        <f>(VLOOKUP(B2819,Price_data!A$1:C$190,3,FALSE))</f>
        <v>EEZ</v>
      </c>
      <c r="T2819" s="2" t="str">
        <f>IF(C2819="Total", (VLOOKUP(B2819,Recommended_fish_intake!A$4:D$122,4,FALSE)), "NA")</f>
        <v>NA</v>
      </c>
      <c r="U2819" s="2" t="str">
        <f t="shared" si="335"/>
        <v>NA</v>
      </c>
    </row>
    <row r="2820" spans="1:21" ht="14.25" customHeight="1">
      <c r="A2820" s="2" t="s">
        <v>15</v>
      </c>
      <c r="B2820" s="2">
        <v>1995</v>
      </c>
      <c r="C2820" s="2" t="s">
        <v>30</v>
      </c>
      <c r="D2820" s="2">
        <v>2.702</v>
      </c>
      <c r="E2820" s="2">
        <v>3.5169999999999999</v>
      </c>
      <c r="F2820" s="3">
        <f t="shared" ref="F2820:I2822" si="336">L2820/1000</f>
        <v>20.879000000000001</v>
      </c>
      <c r="G2820" s="3">
        <f t="shared" si="336"/>
        <v>79.971000000000004</v>
      </c>
      <c r="H2820" s="3">
        <f t="shared" si="336"/>
        <v>58.414999999999999</v>
      </c>
      <c r="I2820" s="3">
        <f t="shared" si="336"/>
        <v>299.911</v>
      </c>
      <c r="L2820" s="2">
        <f>1567+16118+3194</f>
        <v>20879</v>
      </c>
      <c r="M2820" s="2">
        <f>5063+62238+12670</f>
        <v>79971</v>
      </c>
      <c r="N2820" s="2">
        <f>5223+22790+30402</f>
        <v>58415</v>
      </c>
      <c r="O2820" s="2">
        <f>20282+111025+168604</f>
        <v>299911</v>
      </c>
      <c r="P2820" s="3">
        <f>E2820*(VLOOKUP(B2820,Price_data!A$1:B$190,2,FALSE))</f>
        <v>4.016866032976</v>
      </c>
      <c r="Q2820" s="3">
        <f>G2820*(VLOOKUP(B2820,Price_data!A$1:B$190,2,FALSE))</f>
        <v>91.337160512688001</v>
      </c>
      <c r="R2820" s="3">
        <f>I2820*(VLOOKUP(B2820,Price_data!A$1:B$190,2,FALSE))</f>
        <v>342.53690896100801</v>
      </c>
      <c r="S2820" s="4" t="str">
        <f>(VLOOKUP(B2820,Price_data!A$1:C$190,3,FALSE))</f>
        <v>EEZ</v>
      </c>
      <c r="T2820" s="2" t="str">
        <f>IF(C2820="Total", (VLOOKUP(B2820,Recommended_fish_intake!A$4:D$122,4,FALSE)), "NA")</f>
        <v>NA</v>
      </c>
      <c r="U2820" s="2" t="str">
        <f t="shared" si="335"/>
        <v>NA</v>
      </c>
    </row>
    <row r="2821" spans="1:21" ht="14.25" customHeight="1">
      <c r="A2821" s="2" t="s">
        <v>15</v>
      </c>
      <c r="B2821" s="2">
        <v>1995</v>
      </c>
      <c r="C2821" s="2" t="s">
        <v>28</v>
      </c>
      <c r="D2821" s="2">
        <v>124.646</v>
      </c>
      <c r="E2821" s="2">
        <v>145.035</v>
      </c>
      <c r="F2821" s="3">
        <f t="shared" si="336"/>
        <v>71.293999999999997</v>
      </c>
      <c r="G2821" s="3">
        <f t="shared" si="336"/>
        <v>250.66200000000001</v>
      </c>
      <c r="H2821" s="3">
        <f t="shared" si="336"/>
        <v>70.442999999999998</v>
      </c>
      <c r="I2821" s="3">
        <f t="shared" si="336"/>
        <v>347.63299999999998</v>
      </c>
      <c r="L2821" s="2">
        <v>71294</v>
      </c>
      <c r="M2821" s="2">
        <v>250662</v>
      </c>
      <c r="N2821" s="2">
        <v>70443</v>
      </c>
      <c r="O2821" s="2">
        <v>347633</v>
      </c>
      <c r="P2821" s="3">
        <f>E2821*(VLOOKUP(B2821,Price_data!A$1:B$190,2,FALSE))</f>
        <v>165.64861105847999</v>
      </c>
      <c r="Q2821" s="3">
        <f>G2821*(VLOOKUP(B2821,Price_data!A$1:B$190,2,FALSE))</f>
        <v>286.28822108553601</v>
      </c>
      <c r="R2821" s="3">
        <f>I2821*(VLOOKUP(B2821,Price_data!A$1:B$190,2,FALSE))</f>
        <v>397.04156657422396</v>
      </c>
      <c r="S2821" s="4" t="str">
        <f>(VLOOKUP(B2821,Price_data!A$1:C$190,3,FALSE))</f>
        <v>EEZ</v>
      </c>
      <c r="T2821" s="2" t="str">
        <f>IF(C2821="Total", (VLOOKUP(B2821,Recommended_fish_intake!A$4:D$122,4,FALSE)), "NA")</f>
        <v>NA</v>
      </c>
      <c r="U2821" s="2">
        <f t="shared" si="335"/>
        <v>34.900880000000001</v>
      </c>
    </row>
    <row r="2822" spans="1:21" ht="14.25" customHeight="1">
      <c r="A2822" s="2" t="s">
        <v>15</v>
      </c>
      <c r="B2822" s="2">
        <v>1995</v>
      </c>
      <c r="C2822" s="2" t="s">
        <v>37</v>
      </c>
      <c r="D2822" s="2">
        <f>D2610+D2862</f>
        <v>69.47</v>
      </c>
      <c r="E2822" s="2">
        <f>E2610+E2862</f>
        <v>66.775000000000006</v>
      </c>
      <c r="F2822" s="3">
        <f t="shared" si="336"/>
        <v>290.82499999999999</v>
      </c>
      <c r="G2822" s="3">
        <f t="shared" si="336"/>
        <v>440.51</v>
      </c>
      <c r="H2822" s="3">
        <f t="shared" si="336"/>
        <v>414.24700000000001</v>
      </c>
      <c r="I2822" s="3">
        <f t="shared" si="336"/>
        <v>776.39</v>
      </c>
      <c r="L2822" s="2">
        <v>290825</v>
      </c>
      <c r="M2822" s="2">
        <v>440510</v>
      </c>
      <c r="N2822" s="2">
        <v>414247</v>
      </c>
      <c r="O2822" s="2">
        <v>776390</v>
      </c>
      <c r="P2822" s="3">
        <f>E2822*(VLOOKUP(B2822,Price_data!A$1:B$190,2,FALSE))</f>
        <v>76.265632457199999</v>
      </c>
      <c r="Q2822" s="3">
        <f>G2822*(VLOOKUP(B2822,Price_data!A$1:B$190,2,FALSE))</f>
        <v>503.11903786927996</v>
      </c>
      <c r="R2822" s="3">
        <f>I2822*(VLOOKUP(B2822,Price_data!A$1:B$190,2,FALSE))</f>
        <v>886.73716785391991</v>
      </c>
      <c r="S2822" s="4" t="str">
        <f>(VLOOKUP(B2822,Price_data!A$1:C$190,3,FALSE))</f>
        <v>EEZ</v>
      </c>
      <c r="T2822" s="2" t="str">
        <f>IF(C2822="Total", (VLOOKUP(B2822,Recommended_fish_intake!A$4:D$122,4,FALSE)), "NA")</f>
        <v>NA</v>
      </c>
      <c r="U2822" s="2">
        <f t="shared" si="335"/>
        <v>34.040300000000002</v>
      </c>
    </row>
    <row r="2823" spans="1:21" ht="14.25" customHeight="1">
      <c r="A2823" s="2" t="s">
        <v>15</v>
      </c>
      <c r="B2823" s="2">
        <v>1995</v>
      </c>
      <c r="C2823" s="2" t="s">
        <v>41</v>
      </c>
      <c r="D2823" s="2">
        <v>322.01299999999998</v>
      </c>
      <c r="E2823" s="2">
        <v>296.30500000000001</v>
      </c>
      <c r="F2823" s="2" t="s">
        <v>92</v>
      </c>
      <c r="G2823" s="2" t="s">
        <v>92</v>
      </c>
      <c r="H2823" s="2" t="s">
        <v>92</v>
      </c>
      <c r="I2823" s="2" t="s">
        <v>92</v>
      </c>
      <c r="P2823" s="3">
        <f>E2823*(VLOOKUP(B2823,Price_data!A$1:B$190,2,FALSE))</f>
        <v>338.41839348904</v>
      </c>
      <c r="Q2823" s="3" t="e">
        <f>G2823*(VLOOKUP(B2823,Price_data!A$1:B$190,2,FALSE))</f>
        <v>#VALUE!</v>
      </c>
      <c r="R2823" s="3" t="e">
        <f>I2823*(VLOOKUP(B2823,Price_data!A$1:B$190,2,FALSE))</f>
        <v>#VALUE!</v>
      </c>
      <c r="S2823" s="4" t="str">
        <f>(VLOOKUP(B2823,Price_data!A$1:C$190,3,FALSE))</f>
        <v>EEZ</v>
      </c>
      <c r="T2823" s="2" t="str">
        <f>IF(C2823="Total", (VLOOKUP(B2823,Recommended_fish_intake!A$4:D$122,4,FALSE)), "NA")</f>
        <v>NA</v>
      </c>
      <c r="U2823" s="2" t="str">
        <f t="shared" si="335"/>
        <v>NA</v>
      </c>
    </row>
    <row r="2824" spans="1:21" ht="14.25" customHeight="1">
      <c r="A2824" s="2" t="s">
        <v>15</v>
      </c>
      <c r="B2824" s="2">
        <v>1995</v>
      </c>
      <c r="C2824" s="2" t="s">
        <v>22</v>
      </c>
      <c r="D2824" s="2">
        <v>74.361999999999995</v>
      </c>
      <c r="E2824" s="2">
        <v>65.772000000000006</v>
      </c>
      <c r="F2824" s="3">
        <f t="shared" ref="F2824:I2829" si="337">L2824/1000</f>
        <v>15.391999999999999</v>
      </c>
      <c r="G2824" s="3">
        <f t="shared" si="337"/>
        <v>24.498999999999999</v>
      </c>
      <c r="H2824" s="3">
        <f t="shared" si="337"/>
        <v>97.867000000000004</v>
      </c>
      <c r="I2824" s="3">
        <f t="shared" si="337"/>
        <v>194.39400000000001</v>
      </c>
      <c r="L2824" s="2">
        <f>3330+1249+7150+1260+350+1418+635</f>
        <v>15392</v>
      </c>
      <c r="M2824" s="2">
        <f>4075+3473+7721+2971+489+3865+1905</f>
        <v>24499</v>
      </c>
      <c r="N2824" s="2">
        <f>13072+752+23685+53992+4658+625+1083</f>
        <v>97867</v>
      </c>
      <c r="O2824" s="2">
        <f>14778+2000+22484+144708+5821+2257+2346</f>
        <v>194394</v>
      </c>
      <c r="P2824" s="3">
        <f>E2824*(VLOOKUP(B2824,Price_data!A$1:B$190,2,FALSE))</f>
        <v>75.120077543616006</v>
      </c>
      <c r="Q2824" s="3">
        <f>G2824*(VLOOKUP(B2824,Price_data!A$1:B$190,2,FALSE))</f>
        <v>27.981006807471999</v>
      </c>
      <c r="R2824" s="3">
        <f>I2824*(VLOOKUP(B2824,Price_data!A$1:B$190,2,FALSE))</f>
        <v>222.022933072032</v>
      </c>
      <c r="S2824" s="4" t="str">
        <f>(VLOOKUP(B2824,Price_data!A$1:C$190,3,FALSE))</f>
        <v>EEZ</v>
      </c>
      <c r="T2824" s="2" t="str">
        <f>IF(C2824="Total", (VLOOKUP(B2824,Recommended_fish_intake!A$4:D$122,4,FALSE)), "NA")</f>
        <v>NA</v>
      </c>
      <c r="U2824" s="2" t="str">
        <f t="shared" si="335"/>
        <v>NA</v>
      </c>
    </row>
    <row r="2825" spans="1:21" ht="14.25" customHeight="1">
      <c r="A2825" s="2" t="s">
        <v>15</v>
      </c>
      <c r="B2825" s="2">
        <v>1995</v>
      </c>
      <c r="C2825" s="2" t="s">
        <v>23</v>
      </c>
      <c r="D2825" s="2">
        <v>85.307000000000002</v>
      </c>
      <c r="E2825" s="2">
        <v>54.734000000000002</v>
      </c>
      <c r="F2825" s="4">
        <f t="shared" si="337"/>
        <v>1.369</v>
      </c>
      <c r="G2825" s="4">
        <f t="shared" si="337"/>
        <v>3.0110000000000001</v>
      </c>
      <c r="H2825" s="4">
        <f t="shared" si="337"/>
        <v>37.920999999999999</v>
      </c>
      <c r="I2825" s="4">
        <f t="shared" si="337"/>
        <v>63.795999999999999</v>
      </c>
      <c r="L2825" s="2">
        <f>59+549+761+0</f>
        <v>1369</v>
      </c>
      <c r="M2825" s="2">
        <f>146+596+2269+0</f>
        <v>3011</v>
      </c>
      <c r="N2825" s="2">
        <f>12298+8850+15832+941</f>
        <v>37921</v>
      </c>
      <c r="O2825" s="2">
        <f>13656+7778+41391+971</f>
        <v>63796</v>
      </c>
      <c r="P2825" s="3">
        <f>E2825*(VLOOKUP(B2825,Price_data!A$1:B$190,2,FALSE))</f>
        <v>62.513262851552</v>
      </c>
      <c r="Q2825" s="3">
        <f>G2825*(VLOOKUP(B2825,Price_data!A$1:B$190,2,FALSE))</f>
        <v>3.4389489978080001</v>
      </c>
      <c r="R2825" s="3">
        <f>I2825*(VLOOKUP(B2825,Price_data!A$1:B$190,2,FALSE))</f>
        <v>72.863231572288001</v>
      </c>
      <c r="S2825" s="4" t="str">
        <f>(VLOOKUP(B2825,Price_data!A$1:C$190,3,FALSE))</f>
        <v>EEZ</v>
      </c>
      <c r="T2825" s="2" t="str">
        <f>IF(C2825="Total", (VLOOKUP(B2825,Recommended_fish_intake!A$4:D$122,4,FALSE)), "NA")</f>
        <v>NA</v>
      </c>
      <c r="U2825" s="2" t="str">
        <f t="shared" si="335"/>
        <v>NA</v>
      </c>
    </row>
    <row r="2826" spans="1:21" ht="14.25" customHeight="1">
      <c r="A2826" s="2" t="s">
        <v>15</v>
      </c>
      <c r="B2826" s="2">
        <v>1995</v>
      </c>
      <c r="C2826" s="2" t="s">
        <v>58</v>
      </c>
      <c r="D2826" s="2">
        <v>22.204999999999998</v>
      </c>
      <c r="E2826" s="2">
        <v>39.451000000000001</v>
      </c>
      <c r="F2826" s="4">
        <f t="shared" si="337"/>
        <v>6.1929999999999996</v>
      </c>
      <c r="G2826" s="4">
        <f t="shared" si="337"/>
        <v>24.733000000000001</v>
      </c>
      <c r="H2826" s="4">
        <f t="shared" si="337"/>
        <v>0.53100000000000003</v>
      </c>
      <c r="I2826" s="4">
        <f t="shared" si="337"/>
        <v>1.605</v>
      </c>
      <c r="L2826" s="2">
        <f>5690+201+302</f>
        <v>6193</v>
      </c>
      <c r="M2826" s="2">
        <f>22928+226+1579</f>
        <v>24733</v>
      </c>
      <c r="N2826" s="2">
        <f>483+13+35</f>
        <v>531</v>
      </c>
      <c r="O2826" s="2">
        <f>1447+23+135</f>
        <v>1605</v>
      </c>
      <c r="P2826" s="3">
        <f>E2826*(VLOOKUP(B2826,Price_data!A$1:B$190,2,FALSE))</f>
        <v>45.058112558128002</v>
      </c>
      <c r="Q2826" s="3">
        <f>G2826*(VLOOKUP(B2826,Price_data!A$1:B$190,2,FALSE))</f>
        <v>28.248264883024</v>
      </c>
      <c r="R2826" s="3">
        <f>I2826*(VLOOKUP(B2826,Price_data!A$1:B$190,2,FALSE))</f>
        <v>1.83311628744</v>
      </c>
      <c r="S2826" s="4" t="str">
        <f>(VLOOKUP(B2826,Price_data!A$1:C$190,3,FALSE))</f>
        <v>EEZ</v>
      </c>
      <c r="T2826" s="2" t="str">
        <f>IF(C2826="Total", (VLOOKUP(B2826,Recommended_fish_intake!A$4:D$122,4,FALSE)), "NA")</f>
        <v>NA</v>
      </c>
      <c r="U2826" s="2" t="str">
        <f t="shared" si="335"/>
        <v>NA</v>
      </c>
    </row>
    <row r="2827" spans="1:21" ht="14.25" customHeight="1">
      <c r="A2827" s="2" t="s">
        <v>15</v>
      </c>
      <c r="B2827" s="2">
        <v>1995</v>
      </c>
      <c r="C2827" s="2" t="s">
        <v>24</v>
      </c>
      <c r="D2827" s="2">
        <v>39.765999999999998</v>
      </c>
      <c r="E2827" s="2">
        <v>18.917999999999999</v>
      </c>
      <c r="F2827" s="4">
        <f t="shared" si="337"/>
        <v>3.8140000000000001</v>
      </c>
      <c r="G2827" s="4">
        <f t="shared" si="337"/>
        <v>7.109</v>
      </c>
      <c r="H2827" s="4">
        <f t="shared" si="337"/>
        <v>0.76100000000000001</v>
      </c>
      <c r="I2827" s="4">
        <f t="shared" si="337"/>
        <v>0.80100000000000005</v>
      </c>
      <c r="L2827" s="2">
        <f>2208+24+1582</f>
        <v>3814</v>
      </c>
      <c r="M2827" s="2">
        <f>2754+48+4307</f>
        <v>7109</v>
      </c>
      <c r="N2827" s="2">
        <f>687+41+33</f>
        <v>761</v>
      </c>
      <c r="O2827" s="2">
        <f>671+59+71</f>
        <v>801</v>
      </c>
      <c r="P2827" s="3">
        <f>E2827*(VLOOKUP(B2827,Price_data!A$1:B$190,2,FALSE))</f>
        <v>21.606787492703997</v>
      </c>
      <c r="Q2827" s="3">
        <f>G2827*(VLOOKUP(B2827,Price_data!A$1:B$190,2,FALSE))</f>
        <v>8.1193917055519993</v>
      </c>
      <c r="R2827" s="3">
        <f>I2827*(VLOOKUP(B2827,Price_data!A$1:B$190,2,FALSE))</f>
        <v>0.914844950928</v>
      </c>
      <c r="S2827" s="4" t="str">
        <f>(VLOOKUP(B2827,Price_data!A$1:C$190,3,FALSE))</f>
        <v>EEZ</v>
      </c>
      <c r="T2827" s="2" t="str">
        <f>IF(C2827="Total", (VLOOKUP(B2827,Recommended_fish_intake!A$4:D$122,4,FALSE)), "NA")</f>
        <v>NA</v>
      </c>
      <c r="U2827" s="2" t="str">
        <f t="shared" si="335"/>
        <v>NA</v>
      </c>
    </row>
    <row r="2828" spans="1:21" ht="14.25" customHeight="1">
      <c r="A2828" s="2" t="s">
        <v>15</v>
      </c>
      <c r="B2828" s="2">
        <v>1995</v>
      </c>
      <c r="C2828" s="2" t="s">
        <v>19</v>
      </c>
      <c r="D2828" s="2">
        <v>95.876999999999995</v>
      </c>
      <c r="E2828" s="2">
        <v>11.105</v>
      </c>
      <c r="F2828" s="4">
        <f t="shared" si="337"/>
        <v>35.774999999999999</v>
      </c>
      <c r="G2828" s="4">
        <f t="shared" si="337"/>
        <v>16.167000000000002</v>
      </c>
      <c r="H2828" s="4">
        <f t="shared" si="337"/>
        <v>8.26</v>
      </c>
      <c r="I2828" s="4">
        <f t="shared" si="337"/>
        <v>6.17</v>
      </c>
      <c r="L2828" s="2">
        <f>9002+7589+10664+2315+609+5336+260</f>
        <v>35775</v>
      </c>
      <c r="M2828" s="2">
        <f>1698+3616+3802+1243+260+5136+412</f>
        <v>16167</v>
      </c>
      <c r="N2828" s="2">
        <f>2113+332+1577+1111+1221+538+1368</f>
        <v>8260</v>
      </c>
      <c r="O2828" s="2">
        <f>329+211+706+641+678+248+3357</f>
        <v>6170</v>
      </c>
      <c r="P2828" s="3">
        <f>E2828*(VLOOKUP(B2828,Price_data!A$1:B$190,2,FALSE))</f>
        <v>12.68333730344</v>
      </c>
      <c r="Q2828" s="3">
        <f>G2828*(VLOOKUP(B2828,Price_data!A$1:B$190,2,FALSE))</f>
        <v>18.464791912176</v>
      </c>
      <c r="R2828" s="3">
        <f>I2828*(VLOOKUP(B2828,Price_data!A$1:B$190,2,FALSE))</f>
        <v>7.0469330177599998</v>
      </c>
      <c r="S2828" s="4" t="str">
        <f>(VLOOKUP(B2828,Price_data!A$1:C$190,3,FALSE))</f>
        <v>EEZ</v>
      </c>
      <c r="T2828" s="2" t="str">
        <f>IF(C2828="Total", (VLOOKUP(B2828,Recommended_fish_intake!A$4:D$122,4,FALSE)), "NA")</f>
        <v>NA</v>
      </c>
      <c r="U2828" s="2" t="str">
        <f t="shared" si="335"/>
        <v>NA</v>
      </c>
    </row>
    <row r="2829" spans="1:21" ht="14.25" customHeight="1">
      <c r="A2829" s="2" t="s">
        <v>15</v>
      </c>
      <c r="B2829" s="2">
        <v>1995</v>
      </c>
      <c r="C2829" s="2" t="s">
        <v>20</v>
      </c>
      <c r="D2829" s="2">
        <v>140.44</v>
      </c>
      <c r="E2829" s="2">
        <v>20.86</v>
      </c>
      <c r="F2829" s="4">
        <f t="shared" si="337"/>
        <v>99.091999999999999</v>
      </c>
      <c r="G2829" s="4">
        <f t="shared" si="337"/>
        <v>34.526000000000003</v>
      </c>
      <c r="H2829" s="4">
        <f t="shared" si="337"/>
        <v>17.091999999999999</v>
      </c>
      <c r="I2829" s="4">
        <f t="shared" si="337"/>
        <v>8.07</v>
      </c>
      <c r="L2829" s="2">
        <f>39924+52087+3458+640+2983</f>
        <v>99092</v>
      </c>
      <c r="M2829" s="2">
        <f>8013+19535+2502+911+3565</f>
        <v>34526</v>
      </c>
      <c r="N2829" s="2">
        <f>12160+1814+718+5+2395</f>
        <v>17092</v>
      </c>
      <c r="O2829" s="2">
        <f>1894+701+449+16+5010</f>
        <v>8070</v>
      </c>
      <c r="P2829" s="3">
        <f>E2829*(VLOOKUP(B2829,Price_data!A$1:B$190,2,FALSE))</f>
        <v>23.824801094079998</v>
      </c>
      <c r="Q2829" s="3">
        <f>G2829*(VLOOKUP(B2829,Price_data!A$1:B$190,2,FALSE))</f>
        <v>39.433129557728002</v>
      </c>
      <c r="R2829" s="3">
        <f>I2829*(VLOOKUP(B2829,Price_data!A$1:B$190,2,FALSE))</f>
        <v>9.2169772209600005</v>
      </c>
      <c r="S2829" s="4" t="str">
        <f>(VLOOKUP(B2829,Price_data!A$1:C$190,3,FALSE))</f>
        <v>EEZ</v>
      </c>
      <c r="T2829" s="2" t="str">
        <f>IF(C2829="Total", (VLOOKUP(B2829,Recommended_fish_intake!A$4:D$122,4,FALSE)), "NA")</f>
        <v>NA</v>
      </c>
      <c r="U2829" s="2" t="str">
        <f t="shared" si="335"/>
        <v>NA</v>
      </c>
    </row>
    <row r="2830" spans="1:21" ht="14.25" customHeight="1">
      <c r="A2830" s="2" t="s">
        <v>15</v>
      </c>
      <c r="B2830" s="2">
        <v>1995</v>
      </c>
      <c r="C2830" s="2" t="s">
        <v>21</v>
      </c>
      <c r="D2830" s="3">
        <v>5.9</v>
      </c>
      <c r="E2830" s="3">
        <v>1.1000000000000001</v>
      </c>
      <c r="F2830" s="2" t="s">
        <v>92</v>
      </c>
      <c r="G2830" s="2" t="s">
        <v>92</v>
      </c>
      <c r="H2830" s="2" t="s">
        <v>92</v>
      </c>
      <c r="I2830" s="2" t="s">
        <v>92</v>
      </c>
      <c r="P2830" s="3">
        <f>E2830*(VLOOKUP(B2830,Price_data!A$1:B$190,2,FALSE))</f>
        <v>1.2563413808000001</v>
      </c>
      <c r="Q2830" s="3" t="e">
        <f>G2830*(VLOOKUP(B2830,Price_data!A$1:B$190,2,FALSE))</f>
        <v>#VALUE!</v>
      </c>
      <c r="R2830" s="3" t="e">
        <f>I2830*(VLOOKUP(B2830,Price_data!A$1:B$190,2,FALSE))</f>
        <v>#VALUE!</v>
      </c>
      <c r="S2830" s="4" t="str">
        <f>(VLOOKUP(B2830,Price_data!A$1:C$190,3,FALSE))</f>
        <v>EEZ</v>
      </c>
      <c r="T2830" s="2" t="str">
        <f>IF(C2830="Total", (VLOOKUP(B2830,Recommended_fish_intake!A$4:D$122,4,FALSE)), "NA")</f>
        <v>NA</v>
      </c>
      <c r="U2830" s="2" t="str">
        <f t="shared" si="335"/>
        <v>NA</v>
      </c>
    </row>
    <row r="2831" spans="1:21" ht="14.25" customHeight="1">
      <c r="A2831" s="2" t="s">
        <v>15</v>
      </c>
      <c r="B2831" s="2">
        <v>1995</v>
      </c>
      <c r="C2831" s="2" t="s">
        <v>25</v>
      </c>
      <c r="D2831" s="2">
        <v>15.5</v>
      </c>
      <c r="E2831" s="2">
        <v>17.600000000000001</v>
      </c>
      <c r="F2831" s="3">
        <f t="shared" ref="F2831:I2833" si="338">IF(L2831="", NA(), L2831/1000)</f>
        <v>2.653</v>
      </c>
      <c r="G2831" s="3">
        <f t="shared" si="338"/>
        <v>3.8820000000000001</v>
      </c>
      <c r="H2831" s="3">
        <f t="shared" si="338"/>
        <v>9.4540000000000006</v>
      </c>
      <c r="I2831" s="3">
        <f t="shared" si="338"/>
        <v>24.132999999999999</v>
      </c>
      <c r="L2831" s="2">
        <f>2288+140+225</f>
        <v>2653</v>
      </c>
      <c r="M2831" s="2">
        <f>2843+326+713</f>
        <v>3882</v>
      </c>
      <c r="N2831" s="2">
        <f>4185+1357+3912</f>
        <v>9454</v>
      </c>
      <c r="O2831" s="2">
        <f>6232+2065+15836</f>
        <v>24133</v>
      </c>
      <c r="P2831" s="3">
        <f>E2831*(VLOOKUP(B2831,Price_data!A$1:B$190,2,FALSE))</f>
        <v>20.101462092800002</v>
      </c>
      <c r="Q2831" s="3">
        <f>G2831*(VLOOKUP(B2831,Price_data!A$1:B$190,2,FALSE))</f>
        <v>4.4337429456960002</v>
      </c>
      <c r="R2831" s="3">
        <f>I2831*(VLOOKUP(B2831,Price_data!A$1:B$190,2,FALSE))</f>
        <v>27.562987766223998</v>
      </c>
      <c r="S2831" s="4" t="str">
        <f>(VLOOKUP(B2831,Price_data!A$1:C$190,3,FALSE))</f>
        <v>EEZ</v>
      </c>
      <c r="T2831" s="2" t="str">
        <f>IF(C2831="Total", (VLOOKUP(B2831,Recommended_fish_intake!A$4:D$122,4,FALSE)), "NA")</f>
        <v>NA</v>
      </c>
      <c r="U2831" s="2" t="str">
        <f t="shared" si="335"/>
        <v>NA</v>
      </c>
    </row>
    <row r="2832" spans="1:21" ht="14.25" customHeight="1">
      <c r="A2832" s="2" t="s">
        <v>15</v>
      </c>
      <c r="B2832" s="2">
        <v>1995</v>
      </c>
      <c r="C2832" s="2" t="s">
        <v>43</v>
      </c>
      <c r="D2832" s="3" t="e">
        <v>#N/A</v>
      </c>
      <c r="E2832" s="3" t="e">
        <v>#N/A</v>
      </c>
      <c r="F2832" s="3">
        <f t="shared" si="338"/>
        <v>2.7189999999999999</v>
      </c>
      <c r="G2832" s="3">
        <f t="shared" si="338"/>
        <v>5.2649999999999997</v>
      </c>
      <c r="H2832" s="3">
        <f t="shared" si="338"/>
        <v>87.418000000000006</v>
      </c>
      <c r="I2832" s="3">
        <f t="shared" si="338"/>
        <v>150.702</v>
      </c>
      <c r="L2832" s="2">
        <f>76+58+2585</f>
        <v>2719</v>
      </c>
      <c r="M2832" s="2">
        <f>227+102+4936</f>
        <v>5265</v>
      </c>
      <c r="N2832" s="2">
        <f>261+374+86783</f>
        <v>87418</v>
      </c>
      <c r="O2832" s="2">
        <f>1054+490+149158</f>
        <v>150702</v>
      </c>
      <c r="P2832" s="3" t="e">
        <f>E2832*(VLOOKUP(B2832,Price_data!A$1:B$190,2,FALSE))</f>
        <v>#N/A</v>
      </c>
      <c r="Q2832" s="3">
        <f>G2832*(VLOOKUP(B2832,Price_data!A$1:B$190,2,FALSE))</f>
        <v>6.0133066999199993</v>
      </c>
      <c r="R2832" s="3">
        <f>I2832*(VLOOKUP(B2832,Price_data!A$1:B$190,2,FALSE))</f>
        <v>172.121053426656</v>
      </c>
      <c r="S2832" s="4" t="str">
        <f>(VLOOKUP(B2832,Price_data!A$1:C$190,3,FALSE))</f>
        <v>EEZ</v>
      </c>
      <c r="T2832" s="2" t="str">
        <f>IF(C2832="Total", (VLOOKUP(B2832,Recommended_fish_intake!A$4:D$122,4,FALSE)), "NA")</f>
        <v>NA</v>
      </c>
      <c r="U2832" s="2" t="str">
        <f t="shared" si="335"/>
        <v>NA</v>
      </c>
    </row>
    <row r="2833" spans="1:21" ht="14.25" customHeight="1">
      <c r="A2833" s="2" t="s">
        <v>15</v>
      </c>
      <c r="B2833" s="2">
        <v>1995</v>
      </c>
      <c r="C2833" s="2" t="s">
        <v>29</v>
      </c>
      <c r="D2833" s="3" t="e">
        <v>#N/A</v>
      </c>
      <c r="E2833" s="3" t="e">
        <v>#N/A</v>
      </c>
      <c r="F2833" s="3">
        <f t="shared" si="338"/>
        <v>29.183</v>
      </c>
      <c r="G2833" s="3">
        <f t="shared" si="338"/>
        <v>121.602</v>
      </c>
      <c r="H2833" s="3">
        <f t="shared" si="338"/>
        <v>37.595999999999997</v>
      </c>
      <c r="I2833" s="3">
        <f t="shared" si="338"/>
        <v>124.625</v>
      </c>
      <c r="L2833" s="2">
        <f>71+22194+1518+480+229+3360+1331</f>
        <v>29183</v>
      </c>
      <c r="M2833" s="2">
        <f>474+73685+6918+1379+861+33818+4467</f>
        <v>121602</v>
      </c>
      <c r="N2833" s="2">
        <f>50+7785+456+1652+1616+246+25791</f>
        <v>37596</v>
      </c>
      <c r="O2833" s="2">
        <f>239+25096+1884+2663+3655+1380+89708</f>
        <v>124625</v>
      </c>
      <c r="P2833" s="3" t="e">
        <f>E2833*(VLOOKUP(B2833,Price_data!A$1:B$190,2,FALSE))</f>
        <v>#N/A</v>
      </c>
      <c r="Q2833" s="3">
        <f>G2833*(VLOOKUP(B2833,Price_data!A$1:B$190,2,FALSE))</f>
        <v>138.88511326185599</v>
      </c>
      <c r="R2833" s="3">
        <f>I2833*(VLOOKUP(B2833,Price_data!A$1:B$190,2,FALSE))</f>
        <v>142.337767802</v>
      </c>
      <c r="S2833" s="4" t="str">
        <f>(VLOOKUP(B2833,Price_data!A$1:C$190,3,FALSE))</f>
        <v>EEZ</v>
      </c>
      <c r="T2833" s="2" t="str">
        <f>IF(C2833="Total", (VLOOKUP(B2833,Recommended_fish_intake!A$4:D$122,4,FALSE)), "NA")</f>
        <v>NA</v>
      </c>
      <c r="U2833" s="2" t="str">
        <f t="shared" si="335"/>
        <v>NA</v>
      </c>
    </row>
    <row r="2834" spans="1:21" ht="14.25" customHeight="1">
      <c r="A2834" s="2" t="s">
        <v>90</v>
      </c>
      <c r="B2834" s="2">
        <v>1996</v>
      </c>
      <c r="C2834" s="2" t="s">
        <v>22</v>
      </c>
      <c r="D2834" s="2">
        <v>31.2</v>
      </c>
      <c r="E2834" s="2">
        <v>28.7</v>
      </c>
      <c r="P2834" s="3">
        <f>E2834*(VLOOKUP(B2834,Price_data!A$1:B$190,2,FALSE))</f>
        <v>32.006407694099998</v>
      </c>
      <c r="Q2834" s="3">
        <f>G2834*(VLOOKUP(B2834,Price_data!A$1:B$190,2,FALSE))</f>
        <v>0</v>
      </c>
      <c r="R2834" s="3">
        <f>I2834*(VLOOKUP(B2834,Price_data!A$1:B$190,2,FALSE))</f>
        <v>0</v>
      </c>
      <c r="S2834" s="4" t="str">
        <f>(VLOOKUP(B2834,Price_data!A$1:C$190,3,FALSE))</f>
        <v>EEZ</v>
      </c>
      <c r="T2834" s="2" t="str">
        <f>IF(C2834="Total", (VLOOKUP(B2834,Recommended_fish_intake!A$4:D$122,4,FALSE)), "NA")</f>
        <v>NA</v>
      </c>
      <c r="U2834" s="2" t="str">
        <f t="shared" si="335"/>
        <v>NA</v>
      </c>
    </row>
    <row r="2835" spans="1:21" ht="14.25" customHeight="1">
      <c r="A2835" s="2" t="s">
        <v>90</v>
      </c>
      <c r="B2835" s="2">
        <v>1996</v>
      </c>
      <c r="C2835" s="2" t="s">
        <v>23</v>
      </c>
      <c r="D2835" s="2">
        <v>6.2</v>
      </c>
      <c r="E2835" s="2">
        <v>4.0999999999999996</v>
      </c>
      <c r="P2835" s="3">
        <f>E2835*(VLOOKUP(B2835,Price_data!A$1:B$190,2,FALSE))</f>
        <v>4.5723439563000001</v>
      </c>
      <c r="Q2835" s="3">
        <f>G2835*(VLOOKUP(B2835,Price_data!A$1:B$190,2,FALSE))</f>
        <v>0</v>
      </c>
      <c r="R2835" s="3">
        <f>I2835*(VLOOKUP(B2835,Price_data!A$1:B$190,2,FALSE))</f>
        <v>0</v>
      </c>
      <c r="S2835" s="4" t="str">
        <f>(VLOOKUP(B2835,Price_data!A$1:C$190,3,FALSE))</f>
        <v>EEZ</v>
      </c>
      <c r="T2835" s="2" t="str">
        <f>IF(C2835="Total", (VLOOKUP(B2835,Recommended_fish_intake!A$4:D$122,4,FALSE)), "NA")</f>
        <v>NA</v>
      </c>
      <c r="U2835" s="2" t="str">
        <f t="shared" si="335"/>
        <v>NA</v>
      </c>
    </row>
    <row r="2836" spans="1:21" ht="14.25" customHeight="1">
      <c r="A2836" s="2" t="s">
        <v>90</v>
      </c>
      <c r="B2836" s="2">
        <v>1996</v>
      </c>
      <c r="C2836" s="2" t="s">
        <v>58</v>
      </c>
      <c r="D2836" s="2">
        <v>3.3</v>
      </c>
      <c r="E2836" s="2">
        <v>6.1</v>
      </c>
      <c r="P2836" s="3">
        <f>E2836*(VLOOKUP(B2836,Price_data!A$1:B$190,2,FALSE))</f>
        <v>6.8027556423000002</v>
      </c>
      <c r="Q2836" s="3">
        <f>G2836*(VLOOKUP(B2836,Price_data!A$1:B$190,2,FALSE))</f>
        <v>0</v>
      </c>
      <c r="R2836" s="3">
        <f>I2836*(VLOOKUP(B2836,Price_data!A$1:B$190,2,FALSE))</f>
        <v>0</v>
      </c>
      <c r="S2836" s="4" t="str">
        <f>(VLOOKUP(B2836,Price_data!A$1:C$190,3,FALSE))</f>
        <v>EEZ</v>
      </c>
      <c r="T2836" s="2" t="str">
        <f>IF(C2836="Total", (VLOOKUP(B2836,Recommended_fish_intake!A$4:D$122,4,FALSE)), "NA")</f>
        <v>NA</v>
      </c>
      <c r="U2836" s="2" t="str">
        <f t="shared" si="335"/>
        <v>NA</v>
      </c>
    </row>
    <row r="2837" spans="1:21" ht="14.25" customHeight="1">
      <c r="A2837" s="2" t="s">
        <v>90</v>
      </c>
      <c r="B2837" s="2">
        <v>1996</v>
      </c>
      <c r="C2837" s="2" t="s">
        <v>24</v>
      </c>
      <c r="D2837" s="2">
        <v>4.2</v>
      </c>
      <c r="E2837" s="2">
        <v>1.9</v>
      </c>
      <c r="P2837" s="3">
        <f>E2837*(VLOOKUP(B2837,Price_data!A$1:B$190,2,FALSE))</f>
        <v>2.1188911017000001</v>
      </c>
      <c r="Q2837" s="3">
        <f>G2837*(VLOOKUP(B2837,Price_data!A$1:B$190,2,FALSE))</f>
        <v>0</v>
      </c>
      <c r="R2837" s="3">
        <f>I2837*(VLOOKUP(B2837,Price_data!A$1:B$190,2,FALSE))</f>
        <v>0</v>
      </c>
      <c r="S2837" s="4" t="str">
        <f>(VLOOKUP(B2837,Price_data!A$1:C$190,3,FALSE))</f>
        <v>EEZ</v>
      </c>
      <c r="T2837" s="2" t="str">
        <f>IF(C2837="Total", (VLOOKUP(B2837,Recommended_fish_intake!A$4:D$122,4,FALSE)), "NA")</f>
        <v>NA</v>
      </c>
      <c r="U2837" s="2" t="str">
        <f t="shared" si="335"/>
        <v>NA</v>
      </c>
    </row>
    <row r="2838" spans="1:21" ht="14.25" customHeight="1">
      <c r="A2838" s="2" t="s">
        <v>90</v>
      </c>
      <c r="B2838" s="2">
        <v>1996</v>
      </c>
      <c r="C2838" s="2" t="s">
        <v>41</v>
      </c>
      <c r="D2838" s="2">
        <v>79.400000000000006</v>
      </c>
      <c r="E2838" s="2">
        <v>106.9</v>
      </c>
      <c r="P2838" s="3">
        <f>E2838*(VLOOKUP(B2838,Price_data!A$1:B$190,2,FALSE))</f>
        <v>119.21550461670002</v>
      </c>
      <c r="Q2838" s="3">
        <f>G2838*(VLOOKUP(B2838,Price_data!A$1:B$190,2,FALSE))</f>
        <v>0</v>
      </c>
      <c r="R2838" s="3">
        <f>I2838*(VLOOKUP(B2838,Price_data!A$1:B$190,2,FALSE))</f>
        <v>0</v>
      </c>
      <c r="S2838" s="4" t="str">
        <f>(VLOOKUP(B2838,Price_data!A$1:C$190,3,FALSE))</f>
        <v>EEZ</v>
      </c>
      <c r="T2838" s="2" t="str">
        <f>IF(C2838="Total", (VLOOKUP(B2838,Recommended_fish_intake!A$4:D$122,4,FALSE)), "NA")</f>
        <v>NA</v>
      </c>
      <c r="U2838" s="2" t="str">
        <f t="shared" si="335"/>
        <v>NA</v>
      </c>
    </row>
    <row r="2839" spans="1:21" ht="14.25" customHeight="1">
      <c r="A2839" s="2" t="s">
        <v>90</v>
      </c>
      <c r="B2839" s="2">
        <v>1996</v>
      </c>
      <c r="C2839" s="2" t="s">
        <v>19</v>
      </c>
      <c r="D2839" s="2">
        <v>2.8</v>
      </c>
      <c r="E2839" s="2">
        <v>0.5</v>
      </c>
      <c r="P2839" s="3">
        <f>E2839*(VLOOKUP(B2839,Price_data!A$1:B$190,2,FALSE))</f>
        <v>0.55760292150000001</v>
      </c>
      <c r="Q2839" s="3">
        <f>G2839*(VLOOKUP(B2839,Price_data!A$1:B$190,2,FALSE))</f>
        <v>0</v>
      </c>
      <c r="R2839" s="3">
        <f>I2839*(VLOOKUP(B2839,Price_data!A$1:B$190,2,FALSE))</f>
        <v>0</v>
      </c>
      <c r="S2839" s="4" t="str">
        <f>(VLOOKUP(B2839,Price_data!A$1:C$190,3,FALSE))</f>
        <v>EEZ</v>
      </c>
      <c r="T2839" s="2" t="str">
        <f>IF(C2839="Total", (VLOOKUP(B2839,Recommended_fish_intake!A$4:D$122,4,FALSE)), "NA")</f>
        <v>NA</v>
      </c>
      <c r="U2839" s="2" t="str">
        <f t="shared" si="335"/>
        <v>NA</v>
      </c>
    </row>
    <row r="2840" spans="1:21" ht="14.25" customHeight="1">
      <c r="A2840" s="2" t="s">
        <v>90</v>
      </c>
      <c r="B2840" s="2">
        <v>1996</v>
      </c>
      <c r="C2840" s="2" t="s">
        <v>20</v>
      </c>
      <c r="D2840" s="2">
        <v>17.8</v>
      </c>
      <c r="E2840" s="2">
        <v>3.6</v>
      </c>
      <c r="P2840" s="3">
        <f>E2840*(VLOOKUP(B2840,Price_data!A$1:B$190,2,FALSE))</f>
        <v>4.0147410348000001</v>
      </c>
      <c r="Q2840" s="3">
        <f>G2840*(VLOOKUP(B2840,Price_data!A$1:B$190,2,FALSE))</f>
        <v>0</v>
      </c>
      <c r="R2840" s="3">
        <f>I2840*(VLOOKUP(B2840,Price_data!A$1:B$190,2,FALSE))</f>
        <v>0</v>
      </c>
      <c r="S2840" s="4" t="str">
        <f>(VLOOKUP(B2840,Price_data!A$1:C$190,3,FALSE))</f>
        <v>EEZ</v>
      </c>
      <c r="T2840" s="2" t="str">
        <f>IF(C2840="Total", (VLOOKUP(B2840,Recommended_fish_intake!A$4:D$122,4,FALSE)), "NA")</f>
        <v>NA</v>
      </c>
      <c r="U2840" s="2" t="str">
        <f t="shared" si="335"/>
        <v>NA</v>
      </c>
    </row>
    <row r="2841" spans="1:21" ht="14.25" customHeight="1">
      <c r="A2841" s="2" t="s">
        <v>90</v>
      </c>
      <c r="B2841" s="2">
        <v>1996</v>
      </c>
      <c r="C2841" s="2" t="s">
        <v>42</v>
      </c>
      <c r="D2841" s="2">
        <v>50.4</v>
      </c>
      <c r="E2841" s="2">
        <v>8.5</v>
      </c>
      <c r="P2841" s="3">
        <f>E2841*(VLOOKUP(B2841,Price_data!A$1:B$190,2,FALSE))</f>
        <v>9.4792496654999994</v>
      </c>
      <c r="Q2841" s="3">
        <f>G2841*(VLOOKUP(B2841,Price_data!A$1:B$190,2,FALSE))</f>
        <v>0</v>
      </c>
      <c r="R2841" s="3">
        <f>I2841*(VLOOKUP(B2841,Price_data!A$1:B$190,2,FALSE))</f>
        <v>0</v>
      </c>
      <c r="S2841" s="4" t="str">
        <f>(VLOOKUP(B2841,Price_data!A$1:C$190,3,FALSE))</f>
        <v>EEZ</v>
      </c>
      <c r="T2841" s="2" t="str">
        <f>IF(C2841="Total", (VLOOKUP(B2841,Recommended_fish_intake!A$4:D$122,4,FALSE)), "NA")</f>
        <v>NA</v>
      </c>
      <c r="U2841" s="2" t="str">
        <f t="shared" si="335"/>
        <v>NA</v>
      </c>
    </row>
    <row r="2842" spans="1:21" ht="14.25" customHeight="1">
      <c r="A2842" s="2" t="s">
        <v>90</v>
      </c>
      <c r="B2842" s="2">
        <v>1996</v>
      </c>
      <c r="C2842" s="2" t="s">
        <v>36</v>
      </c>
      <c r="D2842" s="2">
        <v>10</v>
      </c>
      <c r="E2842" s="2">
        <v>10.5</v>
      </c>
      <c r="P2842" s="3">
        <f>E2842*(VLOOKUP(B2842,Price_data!A$1:B$190,2,FALSE))</f>
        <v>11.709661351499999</v>
      </c>
      <c r="Q2842" s="3">
        <f>G2842*(VLOOKUP(B2842,Price_data!A$1:B$190,2,FALSE))</f>
        <v>0</v>
      </c>
      <c r="R2842" s="3">
        <f>I2842*(VLOOKUP(B2842,Price_data!A$1:B$190,2,FALSE))</f>
        <v>0</v>
      </c>
      <c r="S2842" s="4" t="str">
        <f>(VLOOKUP(B2842,Price_data!A$1:C$190,3,FALSE))</f>
        <v>EEZ</v>
      </c>
      <c r="T2842" s="2" t="str">
        <f>IF(C2842="Total", (VLOOKUP(B2842,Recommended_fish_intake!A$4:D$122,4,FALSE)), "NA")</f>
        <v>NA</v>
      </c>
      <c r="U2842" s="2" t="str">
        <f t="shared" si="335"/>
        <v>NA</v>
      </c>
    </row>
    <row r="2843" spans="1:21" ht="14.25" customHeight="1">
      <c r="A2843" s="2" t="s">
        <v>90</v>
      </c>
      <c r="B2843" s="2">
        <v>1996</v>
      </c>
      <c r="C2843" s="2" t="s">
        <v>34</v>
      </c>
      <c r="D2843" s="2">
        <v>0.7</v>
      </c>
      <c r="E2843" s="2">
        <v>5.9</v>
      </c>
      <c r="P2843" s="3">
        <f>E2843*(VLOOKUP(B2843,Price_data!A$1:B$190,2,FALSE))</f>
        <v>6.5797144737000002</v>
      </c>
      <c r="Q2843" s="3">
        <f>G2843*(VLOOKUP(B2843,Price_data!A$1:B$190,2,FALSE))</f>
        <v>0</v>
      </c>
      <c r="R2843" s="3">
        <f>I2843*(VLOOKUP(B2843,Price_data!A$1:B$190,2,FALSE))</f>
        <v>0</v>
      </c>
      <c r="S2843" s="4" t="str">
        <f>(VLOOKUP(B2843,Price_data!A$1:C$190,3,FALSE))</f>
        <v>EEZ</v>
      </c>
      <c r="T2843" s="2" t="str">
        <f>IF(C2843="Total", (VLOOKUP(B2843,Recommended_fish_intake!A$4:D$122,4,FALSE)), "NA")</f>
        <v>NA</v>
      </c>
      <c r="U2843" s="2" t="str">
        <f t="shared" si="335"/>
        <v>NA</v>
      </c>
    </row>
    <row r="2844" spans="1:21" ht="14.25" customHeight="1">
      <c r="A2844" s="2" t="s">
        <v>90</v>
      </c>
      <c r="B2844" s="2">
        <v>1996</v>
      </c>
      <c r="C2844" s="2" t="s">
        <v>35</v>
      </c>
      <c r="D2844" s="2">
        <v>3</v>
      </c>
      <c r="E2844" s="2">
        <v>4.9000000000000004</v>
      </c>
      <c r="P2844" s="3">
        <f>E2844*(VLOOKUP(B2844,Price_data!A$1:B$190,2,FALSE))</f>
        <v>5.4645086307000001</v>
      </c>
      <c r="Q2844" s="3">
        <f>G2844*(VLOOKUP(B2844,Price_data!A$1:B$190,2,FALSE))</f>
        <v>0</v>
      </c>
      <c r="R2844" s="3">
        <f>I2844*(VLOOKUP(B2844,Price_data!A$1:B$190,2,FALSE))</f>
        <v>0</v>
      </c>
      <c r="S2844" s="4" t="str">
        <f>(VLOOKUP(B2844,Price_data!A$1:C$190,3,FALSE))</f>
        <v>EEZ</v>
      </c>
      <c r="T2844" s="2" t="str">
        <f>IF(C2844="Total", (VLOOKUP(B2844,Recommended_fish_intake!A$4:D$122,4,FALSE)), "NA")</f>
        <v>NA</v>
      </c>
      <c r="U2844" s="2" t="str">
        <f t="shared" si="335"/>
        <v>NA</v>
      </c>
    </row>
    <row r="2845" spans="1:21" ht="14.25" customHeight="1">
      <c r="A2845" s="2" t="s">
        <v>90</v>
      </c>
      <c r="B2845" s="2">
        <v>1996</v>
      </c>
      <c r="C2845" s="2" t="s">
        <v>52</v>
      </c>
      <c r="D2845" s="2">
        <v>7.6</v>
      </c>
      <c r="E2845" s="2">
        <v>11.2</v>
      </c>
      <c r="P2845" s="3">
        <f>E2845*(VLOOKUP(B2845,Price_data!A$1:B$190,2,FALSE))</f>
        <v>12.4903054416</v>
      </c>
      <c r="Q2845" s="3">
        <f>G2845*(VLOOKUP(B2845,Price_data!A$1:B$190,2,FALSE))</f>
        <v>0</v>
      </c>
      <c r="R2845" s="3">
        <f>I2845*(VLOOKUP(B2845,Price_data!A$1:B$190,2,FALSE))</f>
        <v>0</v>
      </c>
      <c r="S2845" s="4" t="str">
        <f>(VLOOKUP(B2845,Price_data!A$1:C$190,3,FALSE))</f>
        <v>EEZ</v>
      </c>
      <c r="T2845" s="2" t="str">
        <f>IF(C2845="Total", (VLOOKUP(B2845,Recommended_fish_intake!A$4:D$122,4,FALSE)), "NA")</f>
        <v>NA</v>
      </c>
      <c r="U2845" s="2" t="str">
        <f t="shared" si="335"/>
        <v>NA</v>
      </c>
    </row>
    <row r="2846" spans="1:21" ht="14.25" customHeight="1">
      <c r="A2846" s="2" t="s">
        <v>90</v>
      </c>
      <c r="B2846" s="2">
        <v>1996</v>
      </c>
      <c r="C2846" s="2" t="s">
        <v>30</v>
      </c>
      <c r="D2846" s="2">
        <v>0.8</v>
      </c>
      <c r="E2846" s="2">
        <v>1.1000000000000001</v>
      </c>
      <c r="P2846" s="3">
        <f>E2846*(VLOOKUP(B2846,Price_data!A$1:B$190,2,FALSE))</f>
        <v>1.2267264273</v>
      </c>
      <c r="Q2846" s="3">
        <f>G2846*(VLOOKUP(B2846,Price_data!A$1:B$190,2,FALSE))</f>
        <v>0</v>
      </c>
      <c r="R2846" s="3">
        <f>I2846*(VLOOKUP(B2846,Price_data!A$1:B$190,2,FALSE))</f>
        <v>0</v>
      </c>
      <c r="S2846" s="4" t="str">
        <f>(VLOOKUP(B2846,Price_data!A$1:C$190,3,FALSE))</f>
        <v>EEZ</v>
      </c>
      <c r="T2846" s="2" t="str">
        <f>IF(C2846="Total", (VLOOKUP(B2846,Recommended_fish_intake!A$4:D$122,4,FALSE)), "NA")</f>
        <v>NA</v>
      </c>
      <c r="U2846" s="2" t="str">
        <f t="shared" si="335"/>
        <v>NA</v>
      </c>
    </row>
    <row r="2847" spans="1:21" ht="14.25" customHeight="1">
      <c r="A2847" s="2" t="s">
        <v>90</v>
      </c>
      <c r="B2847" s="2">
        <v>1996</v>
      </c>
      <c r="C2847" s="2" t="s">
        <v>28</v>
      </c>
      <c r="D2847" s="2">
        <v>72.900000000000006</v>
      </c>
      <c r="E2847" s="2">
        <v>53</v>
      </c>
      <c r="P2847" s="3">
        <f>E2847*(VLOOKUP(B2847,Price_data!A$1:B$190,2,FALSE))</f>
        <v>59.105909679</v>
      </c>
      <c r="Q2847" s="3">
        <f>G2847*(VLOOKUP(B2847,Price_data!A$1:B$190,2,FALSE))</f>
        <v>0</v>
      </c>
      <c r="R2847" s="3">
        <f>I2847*(VLOOKUP(B2847,Price_data!A$1:B$190,2,FALSE))</f>
        <v>0</v>
      </c>
      <c r="S2847" s="4" t="str">
        <f>(VLOOKUP(B2847,Price_data!A$1:C$190,3,FALSE))</f>
        <v>EEZ</v>
      </c>
      <c r="T2847" s="2" t="str">
        <f>IF(C2847="Total", (VLOOKUP(B2847,Recommended_fish_intake!A$4:D$122,4,FALSE)), "NA")</f>
        <v>NA</v>
      </c>
      <c r="U2847" s="2">
        <f t="shared" si="335"/>
        <v>20.412000000000003</v>
      </c>
    </row>
    <row r="2848" spans="1:21" ht="14.25" customHeight="1">
      <c r="A2848" s="2" t="s">
        <v>91</v>
      </c>
      <c r="B2848" s="2">
        <v>1996</v>
      </c>
      <c r="C2848" s="2" t="s">
        <v>22</v>
      </c>
      <c r="D2848" s="2">
        <v>0</v>
      </c>
      <c r="E2848" s="2">
        <v>0</v>
      </c>
      <c r="P2848" s="3">
        <f>E2848*(VLOOKUP(B2848,Price_data!A$1:B$190,2,FALSE))</f>
        <v>0</v>
      </c>
      <c r="Q2848" s="3">
        <f>G2848*(VLOOKUP(B2848,Price_data!A$1:B$190,2,FALSE))</f>
        <v>0</v>
      </c>
      <c r="R2848" s="3">
        <f>I2848*(VLOOKUP(B2848,Price_data!A$1:B$190,2,FALSE))</f>
        <v>0</v>
      </c>
      <c r="S2848" s="4" t="str">
        <f>(VLOOKUP(B2848,Price_data!A$1:C$190,3,FALSE))</f>
        <v>EEZ</v>
      </c>
      <c r="T2848" s="2" t="str">
        <f>IF(C2848="Total", (VLOOKUP(B2848,Recommended_fish_intake!A$4:D$122,4,FALSE)), "NA")</f>
        <v>NA</v>
      </c>
      <c r="U2848" s="2" t="str">
        <f t="shared" si="335"/>
        <v>NA</v>
      </c>
    </row>
    <row r="2849" spans="1:21" ht="14.25" customHeight="1">
      <c r="A2849" s="2" t="s">
        <v>91</v>
      </c>
      <c r="B2849" s="2">
        <v>1996</v>
      </c>
      <c r="C2849" s="2" t="s">
        <v>23</v>
      </c>
      <c r="D2849" s="2">
        <v>0</v>
      </c>
      <c r="E2849" s="2">
        <v>0</v>
      </c>
      <c r="P2849" s="3">
        <f>E2849*(VLOOKUP(B2849,Price_data!A$1:B$190,2,FALSE))</f>
        <v>0</v>
      </c>
      <c r="Q2849" s="3">
        <f>G2849*(VLOOKUP(B2849,Price_data!A$1:B$190,2,FALSE))</f>
        <v>0</v>
      </c>
      <c r="R2849" s="3">
        <f>I2849*(VLOOKUP(B2849,Price_data!A$1:B$190,2,FALSE))</f>
        <v>0</v>
      </c>
      <c r="S2849" s="4" t="str">
        <f>(VLOOKUP(B2849,Price_data!A$1:C$190,3,FALSE))</f>
        <v>EEZ</v>
      </c>
      <c r="T2849" s="2" t="str">
        <f>IF(C2849="Total", (VLOOKUP(B2849,Recommended_fish_intake!A$4:D$122,4,FALSE)), "NA")</f>
        <v>NA</v>
      </c>
      <c r="U2849" s="2" t="str">
        <f t="shared" si="335"/>
        <v>NA</v>
      </c>
    </row>
    <row r="2850" spans="1:21" ht="14.25" customHeight="1">
      <c r="A2850" s="2" t="s">
        <v>91</v>
      </c>
      <c r="B2850" s="2">
        <v>1996</v>
      </c>
      <c r="C2850" s="2" t="s">
        <v>58</v>
      </c>
      <c r="D2850" s="2">
        <v>0</v>
      </c>
      <c r="E2850" s="2">
        <v>0</v>
      </c>
      <c r="P2850" s="3">
        <f>E2850*(VLOOKUP(B2850,Price_data!A$1:B$190,2,FALSE))</f>
        <v>0</v>
      </c>
      <c r="Q2850" s="3">
        <f>G2850*(VLOOKUP(B2850,Price_data!A$1:B$190,2,FALSE))</f>
        <v>0</v>
      </c>
      <c r="R2850" s="3">
        <f>I2850*(VLOOKUP(B2850,Price_data!A$1:B$190,2,FALSE))</f>
        <v>0</v>
      </c>
      <c r="S2850" s="4" t="str">
        <f>(VLOOKUP(B2850,Price_data!A$1:C$190,3,FALSE))</f>
        <v>EEZ</v>
      </c>
      <c r="T2850" s="2" t="str">
        <f>IF(C2850="Total", (VLOOKUP(B2850,Recommended_fish_intake!A$4:D$122,4,FALSE)), "NA")</f>
        <v>NA</v>
      </c>
      <c r="U2850" s="2" t="str">
        <f t="shared" si="335"/>
        <v>NA</v>
      </c>
    </row>
    <row r="2851" spans="1:21" ht="14.25" customHeight="1">
      <c r="A2851" s="2" t="s">
        <v>91</v>
      </c>
      <c r="B2851" s="2">
        <v>1996</v>
      </c>
      <c r="C2851" s="2" t="s">
        <v>24</v>
      </c>
      <c r="D2851" s="2">
        <v>0</v>
      </c>
      <c r="E2851" s="2">
        <v>0</v>
      </c>
      <c r="P2851" s="3">
        <f>E2851*(VLOOKUP(B2851,Price_data!A$1:B$190,2,FALSE))</f>
        <v>0</v>
      </c>
      <c r="Q2851" s="3">
        <f>G2851*(VLOOKUP(B2851,Price_data!A$1:B$190,2,FALSE))</f>
        <v>0</v>
      </c>
      <c r="R2851" s="3">
        <f>I2851*(VLOOKUP(B2851,Price_data!A$1:B$190,2,FALSE))</f>
        <v>0</v>
      </c>
      <c r="S2851" s="4" t="str">
        <f>(VLOOKUP(B2851,Price_data!A$1:C$190,3,FALSE))</f>
        <v>EEZ</v>
      </c>
      <c r="T2851" s="2" t="str">
        <f>IF(C2851="Total", (VLOOKUP(B2851,Recommended_fish_intake!A$4:D$122,4,FALSE)), "NA")</f>
        <v>NA</v>
      </c>
      <c r="U2851" s="2" t="str">
        <f t="shared" si="335"/>
        <v>NA</v>
      </c>
    </row>
    <row r="2852" spans="1:21" ht="14.25" customHeight="1">
      <c r="A2852" s="2" t="s">
        <v>91</v>
      </c>
      <c r="B2852" s="2">
        <v>1996</v>
      </c>
      <c r="C2852" s="2" t="s">
        <v>41</v>
      </c>
      <c r="D2852" s="2">
        <v>0</v>
      </c>
      <c r="E2852" s="2">
        <v>0</v>
      </c>
      <c r="P2852" s="3">
        <f>E2852*(VLOOKUP(B2852,Price_data!A$1:B$190,2,FALSE))</f>
        <v>0</v>
      </c>
      <c r="Q2852" s="3">
        <f>G2852*(VLOOKUP(B2852,Price_data!A$1:B$190,2,FALSE))</f>
        <v>0</v>
      </c>
      <c r="R2852" s="3">
        <f>I2852*(VLOOKUP(B2852,Price_data!A$1:B$190,2,FALSE))</f>
        <v>0</v>
      </c>
      <c r="S2852" s="4" t="str">
        <f>(VLOOKUP(B2852,Price_data!A$1:C$190,3,FALSE))</f>
        <v>EEZ</v>
      </c>
      <c r="T2852" s="2" t="str">
        <f>IF(C2852="Total", (VLOOKUP(B2852,Recommended_fish_intake!A$4:D$122,4,FALSE)), "NA")</f>
        <v>NA</v>
      </c>
      <c r="U2852" s="2" t="str">
        <f t="shared" si="335"/>
        <v>NA</v>
      </c>
    </row>
    <row r="2853" spans="1:21" ht="14.25" customHeight="1">
      <c r="A2853" s="2" t="s">
        <v>91</v>
      </c>
      <c r="B2853" s="2">
        <v>1996</v>
      </c>
      <c r="C2853" s="2" t="s">
        <v>19</v>
      </c>
      <c r="D2853" s="2">
        <v>0</v>
      </c>
      <c r="E2853" s="2">
        <v>0</v>
      </c>
      <c r="P2853" s="3">
        <f>E2853*(VLOOKUP(B2853,Price_data!A$1:B$190,2,FALSE))</f>
        <v>0</v>
      </c>
      <c r="Q2853" s="3">
        <f>G2853*(VLOOKUP(B2853,Price_data!A$1:B$190,2,FALSE))</f>
        <v>0</v>
      </c>
      <c r="R2853" s="3">
        <f>I2853*(VLOOKUP(B2853,Price_data!A$1:B$190,2,FALSE))</f>
        <v>0</v>
      </c>
      <c r="S2853" s="4" t="str">
        <f>(VLOOKUP(B2853,Price_data!A$1:C$190,3,FALSE))</f>
        <v>EEZ</v>
      </c>
      <c r="T2853" s="2" t="str">
        <f>IF(C2853="Total", (VLOOKUP(B2853,Recommended_fish_intake!A$4:D$122,4,FALSE)), "NA")</f>
        <v>NA</v>
      </c>
      <c r="U2853" s="2" t="str">
        <f t="shared" si="335"/>
        <v>NA</v>
      </c>
    </row>
    <row r="2854" spans="1:21" ht="14.25" customHeight="1">
      <c r="A2854" s="2" t="s">
        <v>91</v>
      </c>
      <c r="B2854" s="2">
        <v>1996</v>
      </c>
      <c r="C2854" s="2" t="s">
        <v>20</v>
      </c>
      <c r="D2854" s="2">
        <v>0</v>
      </c>
      <c r="E2854" s="2">
        <v>0</v>
      </c>
      <c r="P2854" s="3">
        <f>E2854*(VLOOKUP(B2854,Price_data!A$1:B$190,2,FALSE))</f>
        <v>0</v>
      </c>
      <c r="Q2854" s="3">
        <f>G2854*(VLOOKUP(B2854,Price_data!A$1:B$190,2,FALSE))</f>
        <v>0</v>
      </c>
      <c r="R2854" s="3">
        <f>I2854*(VLOOKUP(B2854,Price_data!A$1:B$190,2,FALSE))</f>
        <v>0</v>
      </c>
      <c r="S2854" s="4" t="str">
        <f>(VLOOKUP(B2854,Price_data!A$1:C$190,3,FALSE))</f>
        <v>EEZ</v>
      </c>
      <c r="T2854" s="2" t="str">
        <f>IF(C2854="Total", (VLOOKUP(B2854,Recommended_fish_intake!A$4:D$122,4,FALSE)), "NA")</f>
        <v>NA</v>
      </c>
      <c r="U2854" s="2" t="str">
        <f t="shared" si="335"/>
        <v>NA</v>
      </c>
    </row>
    <row r="2855" spans="1:21" ht="14.25" customHeight="1">
      <c r="A2855" s="2" t="s">
        <v>91</v>
      </c>
      <c r="B2855" s="2">
        <v>1996</v>
      </c>
      <c r="C2855" s="2" t="s">
        <v>42</v>
      </c>
      <c r="D2855" s="2">
        <v>0</v>
      </c>
      <c r="E2855" s="2">
        <v>0</v>
      </c>
      <c r="P2855" s="3">
        <f>E2855*(VLOOKUP(B2855,Price_data!A$1:B$190,2,FALSE))</f>
        <v>0</v>
      </c>
      <c r="Q2855" s="3">
        <f>G2855*(VLOOKUP(B2855,Price_data!A$1:B$190,2,FALSE))</f>
        <v>0</v>
      </c>
      <c r="R2855" s="3">
        <f>I2855*(VLOOKUP(B2855,Price_data!A$1:B$190,2,FALSE))</f>
        <v>0</v>
      </c>
      <c r="S2855" s="4" t="str">
        <f>(VLOOKUP(B2855,Price_data!A$1:C$190,3,FALSE))</f>
        <v>EEZ</v>
      </c>
      <c r="T2855" s="2" t="str">
        <f>IF(C2855="Total", (VLOOKUP(B2855,Recommended_fish_intake!A$4:D$122,4,FALSE)), "NA")</f>
        <v>NA</v>
      </c>
      <c r="U2855" s="2" t="str">
        <f t="shared" si="335"/>
        <v>NA</v>
      </c>
    </row>
    <row r="2856" spans="1:21" ht="14.25" customHeight="1">
      <c r="A2856" s="2" t="s">
        <v>91</v>
      </c>
      <c r="B2856" s="2">
        <v>1996</v>
      </c>
      <c r="C2856" s="2" t="s">
        <v>36</v>
      </c>
      <c r="D2856" s="2">
        <v>0</v>
      </c>
      <c r="E2856" s="2">
        <v>0</v>
      </c>
      <c r="P2856" s="3">
        <f>E2856*(VLOOKUP(B2856,Price_data!A$1:B$190,2,FALSE))</f>
        <v>0</v>
      </c>
      <c r="Q2856" s="3">
        <f>G2856*(VLOOKUP(B2856,Price_data!A$1:B$190,2,FALSE))</f>
        <v>0</v>
      </c>
      <c r="R2856" s="3">
        <f>I2856*(VLOOKUP(B2856,Price_data!A$1:B$190,2,FALSE))</f>
        <v>0</v>
      </c>
      <c r="S2856" s="4" t="str">
        <f>(VLOOKUP(B2856,Price_data!A$1:C$190,3,FALSE))</f>
        <v>EEZ</v>
      </c>
      <c r="T2856" s="2" t="str">
        <f>IF(C2856="Total", (VLOOKUP(B2856,Recommended_fish_intake!A$4:D$122,4,FALSE)), "NA")</f>
        <v>NA</v>
      </c>
      <c r="U2856" s="2" t="str">
        <f t="shared" si="335"/>
        <v>NA</v>
      </c>
    </row>
    <row r="2857" spans="1:21" ht="14.25" customHeight="1">
      <c r="A2857" s="2" t="s">
        <v>91</v>
      </c>
      <c r="B2857" s="2">
        <v>1996</v>
      </c>
      <c r="C2857" s="2" t="s">
        <v>34</v>
      </c>
      <c r="D2857" s="2">
        <v>0</v>
      </c>
      <c r="E2857" s="2">
        <v>0</v>
      </c>
      <c r="P2857" s="3">
        <f>E2857*(VLOOKUP(B2857,Price_data!A$1:B$190,2,FALSE))</f>
        <v>0</v>
      </c>
      <c r="Q2857" s="3">
        <f>G2857*(VLOOKUP(B2857,Price_data!A$1:B$190,2,FALSE))</f>
        <v>0</v>
      </c>
      <c r="R2857" s="3">
        <f>I2857*(VLOOKUP(B2857,Price_data!A$1:B$190,2,FALSE))</f>
        <v>0</v>
      </c>
      <c r="S2857" s="4" t="str">
        <f>(VLOOKUP(B2857,Price_data!A$1:C$190,3,FALSE))</f>
        <v>EEZ</v>
      </c>
      <c r="T2857" s="2" t="str">
        <f>IF(C2857="Total", (VLOOKUP(B2857,Recommended_fish_intake!A$4:D$122,4,FALSE)), "NA")</f>
        <v>NA</v>
      </c>
      <c r="U2857" s="2" t="str">
        <f t="shared" si="335"/>
        <v>NA</v>
      </c>
    </row>
    <row r="2858" spans="1:21" ht="14.25" customHeight="1">
      <c r="A2858" s="2" t="s">
        <v>91</v>
      </c>
      <c r="B2858" s="2">
        <v>1996</v>
      </c>
      <c r="C2858" s="2" t="s">
        <v>35</v>
      </c>
      <c r="D2858" s="2">
        <v>0</v>
      </c>
      <c r="E2858" s="2">
        <v>0</v>
      </c>
      <c r="P2858" s="3">
        <f>E2858*(VLOOKUP(B2858,Price_data!A$1:B$190,2,FALSE))</f>
        <v>0</v>
      </c>
      <c r="Q2858" s="3">
        <f>G2858*(VLOOKUP(B2858,Price_data!A$1:B$190,2,FALSE))</f>
        <v>0</v>
      </c>
      <c r="R2858" s="3">
        <f>I2858*(VLOOKUP(B2858,Price_data!A$1:B$190,2,FALSE))</f>
        <v>0</v>
      </c>
      <c r="S2858" s="4" t="str">
        <f>(VLOOKUP(B2858,Price_data!A$1:C$190,3,FALSE))</f>
        <v>EEZ</v>
      </c>
      <c r="T2858" s="2" t="str">
        <f>IF(C2858="Total", (VLOOKUP(B2858,Recommended_fish_intake!A$4:D$122,4,FALSE)), "NA")</f>
        <v>NA</v>
      </c>
      <c r="U2858" s="2" t="str">
        <f t="shared" si="335"/>
        <v>NA</v>
      </c>
    </row>
    <row r="2859" spans="1:21" ht="14.25" customHeight="1">
      <c r="A2859" s="2" t="s">
        <v>91</v>
      </c>
      <c r="B2859" s="2">
        <v>1996</v>
      </c>
      <c r="C2859" s="2" t="s">
        <v>52</v>
      </c>
      <c r="D2859" s="2">
        <v>0</v>
      </c>
      <c r="E2859" s="2">
        <v>0</v>
      </c>
      <c r="P2859" s="3">
        <f>E2859*(VLOOKUP(B2859,Price_data!A$1:B$190,2,FALSE))</f>
        <v>0</v>
      </c>
      <c r="Q2859" s="3">
        <f>G2859*(VLOOKUP(B2859,Price_data!A$1:B$190,2,FALSE))</f>
        <v>0</v>
      </c>
      <c r="R2859" s="3">
        <f>I2859*(VLOOKUP(B2859,Price_data!A$1:B$190,2,FALSE))</f>
        <v>0</v>
      </c>
      <c r="S2859" s="4" t="str">
        <f>(VLOOKUP(B2859,Price_data!A$1:C$190,3,FALSE))</f>
        <v>EEZ</v>
      </c>
      <c r="T2859" s="2" t="str">
        <f>IF(C2859="Total", (VLOOKUP(B2859,Recommended_fish_intake!A$4:D$122,4,FALSE)), "NA")</f>
        <v>NA</v>
      </c>
      <c r="U2859" s="2" t="str">
        <f t="shared" si="335"/>
        <v>NA</v>
      </c>
    </row>
    <row r="2860" spans="1:21" ht="14.25" customHeight="1">
      <c r="A2860" s="2" t="s">
        <v>91</v>
      </c>
      <c r="B2860" s="2">
        <v>1996</v>
      </c>
      <c r="C2860" s="2" t="s">
        <v>30</v>
      </c>
      <c r="D2860" s="2">
        <v>0</v>
      </c>
      <c r="E2860" s="2">
        <v>0</v>
      </c>
      <c r="P2860" s="3">
        <f>E2860*(VLOOKUP(B2860,Price_data!A$1:B$190,2,FALSE))</f>
        <v>0</v>
      </c>
      <c r="Q2860" s="3">
        <f>G2860*(VLOOKUP(B2860,Price_data!A$1:B$190,2,FALSE))</f>
        <v>0</v>
      </c>
      <c r="R2860" s="3">
        <f>I2860*(VLOOKUP(B2860,Price_data!A$1:B$190,2,FALSE))</f>
        <v>0</v>
      </c>
      <c r="S2860" s="4" t="str">
        <f>(VLOOKUP(B2860,Price_data!A$1:C$190,3,FALSE))</f>
        <v>EEZ</v>
      </c>
      <c r="T2860" s="2" t="str">
        <f>IF(C2860="Total", (VLOOKUP(B2860,Recommended_fish_intake!A$4:D$122,4,FALSE)), "NA")</f>
        <v>NA</v>
      </c>
      <c r="U2860" s="2" t="str">
        <f t="shared" si="335"/>
        <v>NA</v>
      </c>
    </row>
    <row r="2861" spans="1:21" ht="14.25" customHeight="1">
      <c r="A2861" s="2" t="s">
        <v>91</v>
      </c>
      <c r="B2861" s="2">
        <v>1996</v>
      </c>
      <c r="C2861" s="2" t="s">
        <v>28</v>
      </c>
      <c r="D2861" s="2">
        <v>0</v>
      </c>
      <c r="E2861" s="2">
        <v>0</v>
      </c>
      <c r="P2861" s="3">
        <f>E2861*(VLOOKUP(B2861,Price_data!A$1:B$190,2,FALSE))</f>
        <v>0</v>
      </c>
      <c r="Q2861" s="3">
        <f>G2861*(VLOOKUP(B2861,Price_data!A$1:B$190,2,FALSE))</f>
        <v>0</v>
      </c>
      <c r="R2861" s="3">
        <f>I2861*(VLOOKUP(B2861,Price_data!A$1:B$190,2,FALSE))</f>
        <v>0</v>
      </c>
      <c r="S2861" s="4" t="str">
        <f>(VLOOKUP(B2861,Price_data!A$1:C$190,3,FALSE))</f>
        <v>EEZ</v>
      </c>
      <c r="T2861" s="2" t="str">
        <f>IF(C2861="Total", (VLOOKUP(B2861,Recommended_fish_intake!A$4:D$122,4,FALSE)), "NA")</f>
        <v>NA</v>
      </c>
      <c r="U2861" s="2">
        <f t="shared" si="335"/>
        <v>0</v>
      </c>
    </row>
    <row r="2862" spans="1:21" ht="14.25" customHeight="1">
      <c r="A2862" s="2" t="s">
        <v>39</v>
      </c>
      <c r="B2862" s="2">
        <v>1996</v>
      </c>
      <c r="C2862" s="2" t="s">
        <v>22</v>
      </c>
      <c r="D2862" s="2">
        <v>42.27</v>
      </c>
      <c r="E2862" s="2">
        <v>38.875</v>
      </c>
      <c r="P2862" s="3">
        <f>E2862*(VLOOKUP(B2862,Price_data!A$1:B$190,2,FALSE))</f>
        <v>43.353627146625001</v>
      </c>
      <c r="Q2862" s="3">
        <f>G2862*(VLOOKUP(B2862,Price_data!A$1:B$190,2,FALSE))</f>
        <v>0</v>
      </c>
      <c r="R2862" s="3">
        <f>I2862*(VLOOKUP(B2862,Price_data!A$1:B$190,2,FALSE))</f>
        <v>0</v>
      </c>
      <c r="S2862" s="4" t="str">
        <f>(VLOOKUP(B2862,Price_data!A$1:C$190,3,FALSE))</f>
        <v>EEZ</v>
      </c>
      <c r="T2862" s="2" t="str">
        <f>IF(C2862="Total", (VLOOKUP(B2862,Recommended_fish_intake!A$4:D$122,4,FALSE)), "NA")</f>
        <v>NA</v>
      </c>
      <c r="U2862" s="2" t="str">
        <f t="shared" si="335"/>
        <v>NA</v>
      </c>
    </row>
    <row r="2863" spans="1:21" ht="14.25" customHeight="1">
      <c r="A2863" s="2" t="s">
        <v>39</v>
      </c>
      <c r="B2863" s="2">
        <v>1996</v>
      </c>
      <c r="C2863" s="2" t="s">
        <v>23</v>
      </c>
      <c r="D2863" s="2">
        <v>82.293999999999997</v>
      </c>
      <c r="E2863" s="2">
        <v>49.837000000000003</v>
      </c>
      <c r="P2863" s="3">
        <f>E2863*(VLOOKUP(B2863,Price_data!A$1:B$190,2,FALSE))</f>
        <v>55.578513597591005</v>
      </c>
      <c r="Q2863" s="3">
        <f>G2863*(VLOOKUP(B2863,Price_data!A$1:B$190,2,FALSE))</f>
        <v>0</v>
      </c>
      <c r="R2863" s="3">
        <f>I2863*(VLOOKUP(B2863,Price_data!A$1:B$190,2,FALSE))</f>
        <v>0</v>
      </c>
      <c r="S2863" s="4" t="str">
        <f>(VLOOKUP(B2863,Price_data!A$1:C$190,3,FALSE))</f>
        <v>EEZ</v>
      </c>
      <c r="T2863" s="2" t="str">
        <f>IF(C2863="Total", (VLOOKUP(B2863,Recommended_fish_intake!A$4:D$122,4,FALSE)), "NA")</f>
        <v>NA</v>
      </c>
      <c r="U2863" s="2" t="str">
        <f t="shared" si="335"/>
        <v>NA</v>
      </c>
    </row>
    <row r="2864" spans="1:21" ht="14.25" customHeight="1">
      <c r="A2864" s="2" t="s">
        <v>39</v>
      </c>
      <c r="B2864" s="2">
        <v>1996</v>
      </c>
      <c r="C2864" s="2" t="s">
        <v>58</v>
      </c>
      <c r="D2864" s="2">
        <v>26.097999999999999</v>
      </c>
      <c r="E2864" s="2">
        <v>44.804000000000002</v>
      </c>
      <c r="P2864" s="3">
        <f>E2864*(VLOOKUP(B2864,Price_data!A$1:B$190,2,FALSE))</f>
        <v>49.965682589772001</v>
      </c>
      <c r="Q2864" s="3">
        <f>G2864*(VLOOKUP(B2864,Price_data!A$1:B$190,2,FALSE))</f>
        <v>0</v>
      </c>
      <c r="R2864" s="3">
        <f>I2864*(VLOOKUP(B2864,Price_data!A$1:B$190,2,FALSE))</f>
        <v>0</v>
      </c>
      <c r="S2864" s="4" t="str">
        <f>(VLOOKUP(B2864,Price_data!A$1:C$190,3,FALSE))</f>
        <v>EEZ</v>
      </c>
      <c r="T2864" s="2" t="str">
        <f>IF(C2864="Total", (VLOOKUP(B2864,Recommended_fish_intake!A$4:D$122,4,FALSE)), "NA")</f>
        <v>NA</v>
      </c>
      <c r="U2864" s="2" t="str">
        <f t="shared" si="335"/>
        <v>NA</v>
      </c>
    </row>
    <row r="2865" spans="1:21" ht="14.25" customHeight="1">
      <c r="A2865" s="2" t="s">
        <v>39</v>
      </c>
      <c r="B2865" s="2">
        <v>1996</v>
      </c>
      <c r="C2865" s="2" t="s">
        <v>24</v>
      </c>
      <c r="D2865" s="2">
        <v>29.670999999999999</v>
      </c>
      <c r="E2865" s="2">
        <v>15.644</v>
      </c>
      <c r="P2865" s="3">
        <f>E2865*(VLOOKUP(B2865,Price_data!A$1:B$190,2,FALSE))</f>
        <v>17.446280207892002</v>
      </c>
      <c r="Q2865" s="3">
        <f>G2865*(VLOOKUP(B2865,Price_data!A$1:B$190,2,FALSE))</f>
        <v>0</v>
      </c>
      <c r="R2865" s="3">
        <f>I2865*(VLOOKUP(B2865,Price_data!A$1:B$190,2,FALSE))</f>
        <v>0</v>
      </c>
      <c r="S2865" s="4" t="str">
        <f>(VLOOKUP(B2865,Price_data!A$1:C$190,3,FALSE))</f>
        <v>EEZ</v>
      </c>
      <c r="T2865" s="2" t="str">
        <f>IF(C2865="Total", (VLOOKUP(B2865,Recommended_fish_intake!A$4:D$122,4,FALSE)), "NA")</f>
        <v>NA</v>
      </c>
      <c r="U2865" s="2" t="str">
        <f t="shared" si="335"/>
        <v>NA</v>
      </c>
    </row>
    <row r="2866" spans="1:21" ht="14.25" customHeight="1">
      <c r="A2866" s="2" t="s">
        <v>39</v>
      </c>
      <c r="B2866" s="2">
        <v>1996</v>
      </c>
      <c r="C2866" s="2" t="s">
        <v>41</v>
      </c>
      <c r="D2866" s="2">
        <v>241.82599999999999</v>
      </c>
      <c r="E2866" s="2">
        <v>197.81800000000001</v>
      </c>
      <c r="P2866" s="3">
        <f>E2866*(VLOOKUP(B2866,Price_data!A$1:B$190,2,FALSE))</f>
        <v>220.60778945057402</v>
      </c>
      <c r="Q2866" s="3">
        <f>G2866*(VLOOKUP(B2866,Price_data!A$1:B$190,2,FALSE))</f>
        <v>0</v>
      </c>
      <c r="R2866" s="3">
        <f>I2866*(VLOOKUP(B2866,Price_data!A$1:B$190,2,FALSE))</f>
        <v>0</v>
      </c>
      <c r="S2866" s="4" t="str">
        <f>(VLOOKUP(B2866,Price_data!A$1:C$190,3,FALSE))</f>
        <v>EEZ</v>
      </c>
      <c r="T2866" s="2" t="str">
        <f>IF(C2866="Total", (VLOOKUP(B2866,Recommended_fish_intake!A$4:D$122,4,FALSE)), "NA")</f>
        <v>NA</v>
      </c>
      <c r="U2866" s="2" t="str">
        <f t="shared" si="335"/>
        <v>NA</v>
      </c>
    </row>
    <row r="2867" spans="1:21" ht="14.25" customHeight="1">
      <c r="A2867" s="2" t="s">
        <v>39</v>
      </c>
      <c r="B2867" s="2">
        <v>1996</v>
      </c>
      <c r="C2867" s="2" t="s">
        <v>19</v>
      </c>
      <c r="D2867" s="2">
        <v>64.117000000000004</v>
      </c>
      <c r="E2867" s="2">
        <v>7.6120000000000001</v>
      </c>
      <c r="P2867" s="3">
        <f>E2867*(VLOOKUP(B2867,Price_data!A$1:B$190,2,FALSE))</f>
        <v>8.4889468769159997</v>
      </c>
      <c r="Q2867" s="3">
        <f>G2867*(VLOOKUP(B2867,Price_data!A$1:B$190,2,FALSE))</f>
        <v>0</v>
      </c>
      <c r="R2867" s="3">
        <f>I2867*(VLOOKUP(B2867,Price_data!A$1:B$190,2,FALSE))</f>
        <v>0</v>
      </c>
      <c r="S2867" s="4" t="str">
        <f>(VLOOKUP(B2867,Price_data!A$1:C$190,3,FALSE))</f>
        <v>EEZ</v>
      </c>
      <c r="T2867" s="2" t="str">
        <f>IF(C2867="Total", (VLOOKUP(B2867,Recommended_fish_intake!A$4:D$122,4,FALSE)), "NA")</f>
        <v>NA</v>
      </c>
      <c r="U2867" s="2" t="str">
        <f t="shared" si="335"/>
        <v>NA</v>
      </c>
    </row>
    <row r="2868" spans="1:21" ht="14.25" customHeight="1">
      <c r="A2868" s="2" t="s">
        <v>39</v>
      </c>
      <c r="B2868" s="2">
        <v>1996</v>
      </c>
      <c r="C2868" s="2" t="s">
        <v>20</v>
      </c>
      <c r="D2868" s="2">
        <v>41.738999999999997</v>
      </c>
      <c r="E2868" s="2">
        <v>11.826000000000001</v>
      </c>
      <c r="P2868" s="3">
        <f>E2868*(VLOOKUP(B2868,Price_data!A$1:B$190,2,FALSE))</f>
        <v>13.188424299318001</v>
      </c>
      <c r="Q2868" s="3">
        <f>G2868*(VLOOKUP(B2868,Price_data!A$1:B$190,2,FALSE))</f>
        <v>0</v>
      </c>
      <c r="R2868" s="3">
        <f>I2868*(VLOOKUP(B2868,Price_data!A$1:B$190,2,FALSE))</f>
        <v>0</v>
      </c>
      <c r="S2868" s="4" t="str">
        <f>(VLOOKUP(B2868,Price_data!A$1:C$190,3,FALSE))</f>
        <v>EEZ</v>
      </c>
      <c r="T2868" s="2" t="str">
        <f>IF(C2868="Total", (VLOOKUP(B2868,Recommended_fish_intake!A$4:D$122,4,FALSE)), "NA")</f>
        <v>NA</v>
      </c>
      <c r="U2868" s="2" t="str">
        <f t="shared" si="335"/>
        <v>NA</v>
      </c>
    </row>
    <row r="2869" spans="1:21" ht="14.25" customHeight="1">
      <c r="A2869" s="2" t="s">
        <v>39</v>
      </c>
      <c r="B2869" s="2">
        <v>1996</v>
      </c>
      <c r="C2869" s="2" t="s">
        <v>42</v>
      </c>
      <c r="D2869" s="2">
        <v>112.89100000000001</v>
      </c>
      <c r="E2869" s="2">
        <v>20.12</v>
      </c>
      <c r="P2869" s="3">
        <f>E2869*(VLOOKUP(B2869,Price_data!A$1:B$190,2,FALSE))</f>
        <v>22.437941561160002</v>
      </c>
      <c r="Q2869" s="3">
        <f>G2869*(VLOOKUP(B2869,Price_data!A$1:B$190,2,FALSE))</f>
        <v>0</v>
      </c>
      <c r="R2869" s="3">
        <f>I2869*(VLOOKUP(B2869,Price_data!A$1:B$190,2,FALSE))</f>
        <v>0</v>
      </c>
      <c r="S2869" s="4" t="str">
        <f>(VLOOKUP(B2869,Price_data!A$1:C$190,3,FALSE))</f>
        <v>EEZ</v>
      </c>
      <c r="T2869" s="2" t="str">
        <f>IF(C2869="Total", (VLOOKUP(B2869,Recommended_fish_intake!A$4:D$122,4,FALSE)), "NA")</f>
        <v>NA</v>
      </c>
      <c r="U2869" s="2" t="str">
        <f t="shared" si="335"/>
        <v>NA</v>
      </c>
    </row>
    <row r="2870" spans="1:21" ht="14.25" customHeight="1">
      <c r="A2870" s="2" t="s">
        <v>39</v>
      </c>
      <c r="B2870" s="2">
        <v>1996</v>
      </c>
      <c r="C2870" s="2" t="s">
        <v>36</v>
      </c>
      <c r="D2870" s="2">
        <v>10.032</v>
      </c>
      <c r="E2870" s="2">
        <v>11.476000000000001</v>
      </c>
      <c r="P2870" s="3">
        <f>E2870*(VLOOKUP(B2870,Price_data!A$1:B$190,2,FALSE))</f>
        <v>12.798102254268001</v>
      </c>
      <c r="Q2870" s="3">
        <f>G2870*(VLOOKUP(B2870,Price_data!A$1:B$190,2,FALSE))</f>
        <v>0</v>
      </c>
      <c r="R2870" s="3">
        <f>I2870*(VLOOKUP(B2870,Price_data!A$1:B$190,2,FALSE))</f>
        <v>0</v>
      </c>
      <c r="S2870" s="4" t="str">
        <f>(VLOOKUP(B2870,Price_data!A$1:C$190,3,FALSE))</f>
        <v>EEZ</v>
      </c>
      <c r="T2870" s="2" t="str">
        <f>IF(C2870="Total", (VLOOKUP(B2870,Recommended_fish_intake!A$4:D$122,4,FALSE)), "NA")</f>
        <v>NA</v>
      </c>
      <c r="U2870" s="2" t="str">
        <f t="shared" si="335"/>
        <v>NA</v>
      </c>
    </row>
    <row r="2871" spans="1:21" ht="14.25" customHeight="1">
      <c r="A2871" s="2" t="s">
        <v>39</v>
      </c>
      <c r="B2871" s="2">
        <v>1996</v>
      </c>
      <c r="C2871" s="2" t="s">
        <v>34</v>
      </c>
      <c r="D2871" s="2">
        <v>0.622</v>
      </c>
      <c r="E2871" s="2">
        <v>5.8319999999999999</v>
      </c>
      <c r="P2871" s="3">
        <f>E2871*(VLOOKUP(B2871,Price_data!A$1:B$190,2,FALSE))</f>
        <v>6.5038804763759996</v>
      </c>
      <c r="Q2871" s="3">
        <f>G2871*(VLOOKUP(B2871,Price_data!A$1:B$190,2,FALSE))</f>
        <v>0</v>
      </c>
      <c r="R2871" s="3">
        <f>I2871*(VLOOKUP(B2871,Price_data!A$1:B$190,2,FALSE))</f>
        <v>0</v>
      </c>
      <c r="S2871" s="4" t="str">
        <f>(VLOOKUP(B2871,Price_data!A$1:C$190,3,FALSE))</f>
        <v>EEZ</v>
      </c>
      <c r="T2871" s="2" t="str">
        <f>IF(C2871="Total", (VLOOKUP(B2871,Recommended_fish_intake!A$4:D$122,4,FALSE)), "NA")</f>
        <v>NA</v>
      </c>
      <c r="U2871" s="2" t="str">
        <f t="shared" si="335"/>
        <v>NA</v>
      </c>
    </row>
    <row r="2872" spans="1:21" ht="14.25" customHeight="1">
      <c r="A2872" s="2" t="s">
        <v>39</v>
      </c>
      <c r="B2872" s="2">
        <v>1996</v>
      </c>
      <c r="C2872" s="2" t="s">
        <v>35</v>
      </c>
      <c r="D2872" s="2">
        <v>20.315000000000001</v>
      </c>
      <c r="E2872" s="2">
        <v>44.040999999999997</v>
      </c>
      <c r="P2872" s="3">
        <f>E2872*(VLOOKUP(B2872,Price_data!A$1:B$190,2,FALSE))</f>
        <v>49.114780531562999</v>
      </c>
      <c r="Q2872" s="3">
        <f>G2872*(VLOOKUP(B2872,Price_data!A$1:B$190,2,FALSE))</f>
        <v>0</v>
      </c>
      <c r="R2872" s="3">
        <f>I2872*(VLOOKUP(B2872,Price_data!A$1:B$190,2,FALSE))</f>
        <v>0</v>
      </c>
      <c r="S2872" s="4" t="str">
        <f>(VLOOKUP(B2872,Price_data!A$1:C$190,3,FALSE))</f>
        <v>EEZ</v>
      </c>
      <c r="T2872" s="2" t="str">
        <f>IF(C2872="Total", (VLOOKUP(B2872,Recommended_fish_intake!A$4:D$122,4,FALSE)), "NA")</f>
        <v>NA</v>
      </c>
      <c r="U2872" s="2" t="str">
        <f t="shared" si="335"/>
        <v>NA</v>
      </c>
    </row>
    <row r="2873" spans="1:21" ht="14.25" customHeight="1">
      <c r="A2873" s="2" t="s">
        <v>39</v>
      </c>
      <c r="B2873" s="2">
        <v>1996</v>
      </c>
      <c r="C2873" s="2" t="s">
        <v>52</v>
      </c>
      <c r="D2873" s="2">
        <v>11.544</v>
      </c>
      <c r="E2873" s="2">
        <v>16.863</v>
      </c>
      <c r="P2873" s="3">
        <f>E2873*(VLOOKUP(B2873,Price_data!A$1:B$190,2,FALSE))</f>
        <v>18.805716130509001</v>
      </c>
      <c r="Q2873" s="3">
        <f>G2873*(VLOOKUP(B2873,Price_data!A$1:B$190,2,FALSE))</f>
        <v>0</v>
      </c>
      <c r="R2873" s="3">
        <f>I2873*(VLOOKUP(B2873,Price_data!A$1:B$190,2,FALSE))</f>
        <v>0</v>
      </c>
      <c r="S2873" s="4" t="str">
        <f>(VLOOKUP(B2873,Price_data!A$1:C$190,3,FALSE))</f>
        <v>EEZ</v>
      </c>
      <c r="T2873" s="2" t="str">
        <f>IF(C2873="Total", (VLOOKUP(B2873,Recommended_fish_intake!A$4:D$122,4,FALSE)), "NA")</f>
        <v>NA</v>
      </c>
      <c r="U2873" s="2" t="str">
        <f t="shared" si="335"/>
        <v>NA</v>
      </c>
    </row>
    <row r="2874" spans="1:21" ht="14.25" customHeight="1">
      <c r="A2874" s="2" t="s">
        <v>39</v>
      </c>
      <c r="B2874" s="2">
        <v>1996</v>
      </c>
      <c r="C2874" s="2" t="s">
        <v>30</v>
      </c>
      <c r="D2874" s="2">
        <v>1.885</v>
      </c>
      <c r="E2874" s="2">
        <v>2.1560000000000001</v>
      </c>
      <c r="P2874" s="3">
        <f>E2874*(VLOOKUP(B2874,Price_data!A$1:B$190,2,FALSE))</f>
        <v>2.4043837975080002</v>
      </c>
      <c r="Q2874" s="3">
        <f>G2874*(VLOOKUP(B2874,Price_data!A$1:B$190,2,FALSE))</f>
        <v>0</v>
      </c>
      <c r="R2874" s="3">
        <f>I2874*(VLOOKUP(B2874,Price_data!A$1:B$190,2,FALSE))</f>
        <v>0</v>
      </c>
      <c r="S2874" s="4" t="str">
        <f>(VLOOKUP(B2874,Price_data!A$1:C$190,3,FALSE))</f>
        <v>EEZ</v>
      </c>
      <c r="T2874" s="2" t="str">
        <f>IF(C2874="Total", (VLOOKUP(B2874,Recommended_fish_intake!A$4:D$122,4,FALSE)), "NA")</f>
        <v>NA</v>
      </c>
      <c r="U2874" s="2" t="str">
        <f t="shared" si="335"/>
        <v>NA</v>
      </c>
    </row>
    <row r="2875" spans="1:21" ht="14.25" customHeight="1">
      <c r="A2875" s="2" t="s">
        <v>39</v>
      </c>
      <c r="B2875" s="2">
        <v>1996</v>
      </c>
      <c r="C2875" s="2" t="s">
        <v>28</v>
      </c>
      <c r="D2875" s="2">
        <v>51.820999999999998</v>
      </c>
      <c r="E2875" s="2">
        <v>85.421000000000006</v>
      </c>
      <c r="P2875" s="3">
        <f>E2875*(VLOOKUP(B2875,Price_data!A$1:B$190,2,FALSE))</f>
        <v>95.261998314903011</v>
      </c>
      <c r="Q2875" s="3">
        <f>G2875*(VLOOKUP(B2875,Price_data!A$1:B$190,2,FALSE))</f>
        <v>0</v>
      </c>
      <c r="R2875" s="3">
        <f>I2875*(VLOOKUP(B2875,Price_data!A$1:B$190,2,FALSE))</f>
        <v>0</v>
      </c>
      <c r="S2875" s="4" t="str">
        <f>(VLOOKUP(B2875,Price_data!A$1:C$190,3,FALSE))</f>
        <v>EEZ</v>
      </c>
      <c r="T2875" s="2" t="str">
        <f>IF(C2875="Total", (VLOOKUP(B2875,Recommended_fish_intake!A$4:D$122,4,FALSE)), "NA")</f>
        <v>NA</v>
      </c>
      <c r="U2875" s="2">
        <f t="shared" si="335"/>
        <v>14.509880000000001</v>
      </c>
    </row>
    <row r="2876" spans="1:21" ht="14.25" customHeight="1">
      <c r="A2876" s="2" t="s">
        <v>40</v>
      </c>
      <c r="B2876" s="2">
        <v>1996</v>
      </c>
      <c r="C2876" s="2" t="s">
        <v>22</v>
      </c>
      <c r="D2876" s="2">
        <v>2.262</v>
      </c>
      <c r="E2876" s="2">
        <v>2.226</v>
      </c>
      <c r="P2876" s="3">
        <f>E2876*(VLOOKUP(B2876,Price_data!A$1:B$190,2,FALSE))</f>
        <v>2.4824482065180002</v>
      </c>
      <c r="Q2876" s="3">
        <f>G2876*(VLOOKUP(B2876,Price_data!A$1:B$190,2,FALSE))</f>
        <v>0</v>
      </c>
      <c r="R2876" s="3">
        <f>I2876*(VLOOKUP(B2876,Price_data!A$1:B$190,2,FALSE))</f>
        <v>0</v>
      </c>
      <c r="S2876" s="4" t="str">
        <f>(VLOOKUP(B2876,Price_data!A$1:C$190,3,FALSE))</f>
        <v>EEZ</v>
      </c>
      <c r="T2876" s="2" t="str">
        <f>IF(C2876="Total", (VLOOKUP(B2876,Recommended_fish_intake!A$4:D$122,4,FALSE)), "NA")</f>
        <v>NA</v>
      </c>
      <c r="U2876" s="2" t="str">
        <f t="shared" si="335"/>
        <v>NA</v>
      </c>
    </row>
    <row r="2877" spans="1:21" ht="14.25" customHeight="1">
      <c r="A2877" s="2" t="s">
        <v>40</v>
      </c>
      <c r="B2877" s="2">
        <v>1996</v>
      </c>
      <c r="C2877" s="2" t="s">
        <v>23</v>
      </c>
      <c r="D2877" s="2">
        <v>0.64900000000000002</v>
      </c>
      <c r="E2877" s="2">
        <v>0.38100000000000001</v>
      </c>
      <c r="P2877" s="3">
        <f>E2877*(VLOOKUP(B2877,Price_data!A$1:B$190,2,FALSE))</f>
        <v>0.42489342618300002</v>
      </c>
      <c r="Q2877" s="3">
        <f>G2877*(VLOOKUP(B2877,Price_data!A$1:B$190,2,FALSE))</f>
        <v>0</v>
      </c>
      <c r="R2877" s="3">
        <f>I2877*(VLOOKUP(B2877,Price_data!A$1:B$190,2,FALSE))</f>
        <v>0</v>
      </c>
      <c r="S2877" s="4" t="str">
        <f>(VLOOKUP(B2877,Price_data!A$1:C$190,3,FALSE))</f>
        <v>EEZ</v>
      </c>
      <c r="T2877" s="2" t="str">
        <f>IF(C2877="Total", (VLOOKUP(B2877,Recommended_fish_intake!A$4:D$122,4,FALSE)), "NA")</f>
        <v>NA</v>
      </c>
      <c r="U2877" s="2" t="str">
        <f t="shared" si="335"/>
        <v>NA</v>
      </c>
    </row>
    <row r="2878" spans="1:21" ht="14.25" customHeight="1">
      <c r="A2878" s="2" t="s">
        <v>40</v>
      </c>
      <c r="B2878" s="2">
        <v>1996</v>
      </c>
      <c r="C2878" s="2" t="s">
        <v>58</v>
      </c>
      <c r="D2878" s="2">
        <v>0.33</v>
      </c>
      <c r="E2878" s="2">
        <v>0.52300000000000002</v>
      </c>
      <c r="P2878" s="3">
        <f>E2878*(VLOOKUP(B2878,Price_data!A$1:B$190,2,FALSE))</f>
        <v>0.58325265588899999</v>
      </c>
      <c r="Q2878" s="3">
        <f>G2878*(VLOOKUP(B2878,Price_data!A$1:B$190,2,FALSE))</f>
        <v>0</v>
      </c>
      <c r="R2878" s="3">
        <f>I2878*(VLOOKUP(B2878,Price_data!A$1:B$190,2,FALSE))</f>
        <v>0</v>
      </c>
      <c r="S2878" s="4" t="str">
        <f>(VLOOKUP(B2878,Price_data!A$1:C$190,3,FALSE))</f>
        <v>EEZ</v>
      </c>
      <c r="T2878" s="2" t="str">
        <f>IF(C2878="Total", (VLOOKUP(B2878,Recommended_fish_intake!A$4:D$122,4,FALSE)), "NA")</f>
        <v>NA</v>
      </c>
      <c r="U2878" s="2" t="str">
        <f t="shared" si="335"/>
        <v>NA</v>
      </c>
    </row>
    <row r="2879" spans="1:21" ht="14.25" customHeight="1">
      <c r="A2879" s="2" t="s">
        <v>40</v>
      </c>
      <c r="B2879" s="2">
        <v>1996</v>
      </c>
      <c r="C2879" s="2" t="s">
        <v>24</v>
      </c>
      <c r="D2879" s="2">
        <v>3.363</v>
      </c>
      <c r="E2879" s="2">
        <v>1.466</v>
      </c>
      <c r="P2879" s="3">
        <f>E2879*(VLOOKUP(B2879,Price_data!A$1:B$190,2,FALSE))</f>
        <v>1.634891765838</v>
      </c>
      <c r="Q2879" s="3">
        <f>G2879*(VLOOKUP(B2879,Price_data!A$1:B$190,2,FALSE))</f>
        <v>0</v>
      </c>
      <c r="R2879" s="3">
        <f>I2879*(VLOOKUP(B2879,Price_data!A$1:B$190,2,FALSE))</f>
        <v>0</v>
      </c>
      <c r="S2879" s="4" t="str">
        <f>(VLOOKUP(B2879,Price_data!A$1:C$190,3,FALSE))</f>
        <v>EEZ</v>
      </c>
      <c r="T2879" s="2" t="str">
        <f>IF(C2879="Total", (VLOOKUP(B2879,Recommended_fish_intake!A$4:D$122,4,FALSE)), "NA")</f>
        <v>NA</v>
      </c>
      <c r="U2879" s="2" t="str">
        <f t="shared" si="335"/>
        <v>NA</v>
      </c>
    </row>
    <row r="2880" spans="1:21" ht="14.25" customHeight="1">
      <c r="A2880" s="2" t="s">
        <v>40</v>
      </c>
      <c r="B2880" s="2">
        <v>1996</v>
      </c>
      <c r="C2880" s="2" t="s">
        <v>41</v>
      </c>
      <c r="D2880" s="2">
        <v>10.01</v>
      </c>
      <c r="E2880" s="2">
        <v>8.3759999999999994</v>
      </c>
      <c r="P2880" s="3">
        <f>E2880*(VLOOKUP(B2880,Price_data!A$1:B$190,2,FALSE))</f>
        <v>9.3409641409679995</v>
      </c>
      <c r="Q2880" s="3">
        <f>G2880*(VLOOKUP(B2880,Price_data!A$1:B$190,2,FALSE))</f>
        <v>0</v>
      </c>
      <c r="R2880" s="3">
        <f>I2880*(VLOOKUP(B2880,Price_data!A$1:B$190,2,FALSE))</f>
        <v>0</v>
      </c>
      <c r="S2880" s="4" t="str">
        <f>(VLOOKUP(B2880,Price_data!A$1:C$190,3,FALSE))</f>
        <v>EEZ</v>
      </c>
      <c r="T2880" s="2" t="str">
        <f>IF(C2880="Total", (VLOOKUP(B2880,Recommended_fish_intake!A$4:D$122,4,FALSE)), "NA")</f>
        <v>NA</v>
      </c>
      <c r="U2880" s="2" t="str">
        <f t="shared" si="335"/>
        <v>NA</v>
      </c>
    </row>
    <row r="2881" spans="1:21" ht="14.25" customHeight="1">
      <c r="A2881" s="2" t="s">
        <v>40</v>
      </c>
      <c r="B2881" s="2">
        <v>1996</v>
      </c>
      <c r="C2881" s="2" t="s">
        <v>19</v>
      </c>
      <c r="D2881" s="2">
        <v>5.4480000000000004</v>
      </c>
      <c r="E2881" s="2">
        <v>0.627</v>
      </c>
      <c r="P2881" s="3">
        <f>E2881*(VLOOKUP(B2881,Price_data!A$1:B$190,2,FALSE))</f>
        <v>0.69923406356100004</v>
      </c>
      <c r="Q2881" s="3">
        <f>G2881*(VLOOKUP(B2881,Price_data!A$1:B$190,2,FALSE))</f>
        <v>0</v>
      </c>
      <c r="R2881" s="3">
        <f>I2881*(VLOOKUP(B2881,Price_data!A$1:B$190,2,FALSE))</f>
        <v>0</v>
      </c>
      <c r="S2881" s="4" t="str">
        <f>(VLOOKUP(B2881,Price_data!A$1:C$190,3,FALSE))</f>
        <v>EEZ</v>
      </c>
      <c r="T2881" s="2" t="str">
        <f>IF(C2881="Total", (VLOOKUP(B2881,Recommended_fish_intake!A$4:D$122,4,FALSE)), "NA")</f>
        <v>NA</v>
      </c>
      <c r="U2881" s="2" t="str">
        <f t="shared" si="335"/>
        <v>NA</v>
      </c>
    </row>
    <row r="2882" spans="1:21" ht="14.25" customHeight="1">
      <c r="A2882" s="2" t="s">
        <v>40</v>
      </c>
      <c r="B2882" s="2">
        <v>1996</v>
      </c>
      <c r="C2882" s="2" t="s">
        <v>20</v>
      </c>
      <c r="D2882" s="2">
        <v>1.2450000000000001</v>
      </c>
      <c r="E2882" s="2">
        <v>0.25</v>
      </c>
      <c r="P2882" s="3">
        <f>E2882*(VLOOKUP(B2882,Price_data!A$1:B$190,2,FALSE))</f>
        <v>0.27880146075000001</v>
      </c>
      <c r="Q2882" s="3">
        <f>G2882*(VLOOKUP(B2882,Price_data!A$1:B$190,2,FALSE))</f>
        <v>0</v>
      </c>
      <c r="R2882" s="3">
        <f>I2882*(VLOOKUP(B2882,Price_data!A$1:B$190,2,FALSE))</f>
        <v>0</v>
      </c>
      <c r="S2882" s="4" t="str">
        <f>(VLOOKUP(B2882,Price_data!A$1:C$190,3,FALSE))</f>
        <v>EEZ</v>
      </c>
      <c r="T2882" s="2" t="str">
        <f>IF(C2882="Total", (VLOOKUP(B2882,Recommended_fish_intake!A$4:D$122,4,FALSE)), "NA")</f>
        <v>NA</v>
      </c>
      <c r="U2882" s="2" t="str">
        <f t="shared" ref="U2882:U2945" si="339">IF(C2882="Wet fish", D2882*0.49, IF(C2882="Shellfish", D2882*0.28, "NA"))</f>
        <v>NA</v>
      </c>
    </row>
    <row r="2883" spans="1:21" ht="14.25" customHeight="1">
      <c r="A2883" s="2" t="s">
        <v>40</v>
      </c>
      <c r="B2883" s="2">
        <v>1996</v>
      </c>
      <c r="C2883" s="2" t="s">
        <v>42</v>
      </c>
      <c r="D2883" s="2">
        <v>9.5969999999999995</v>
      </c>
      <c r="E2883" s="2">
        <v>1.2210000000000001</v>
      </c>
      <c r="P2883" s="3">
        <f>E2883*(VLOOKUP(B2883,Price_data!A$1:B$190,2,FALSE))</f>
        <v>1.3616663343030002</v>
      </c>
      <c r="Q2883" s="3">
        <f>G2883*(VLOOKUP(B2883,Price_data!A$1:B$190,2,FALSE))</f>
        <v>0</v>
      </c>
      <c r="R2883" s="3">
        <f>I2883*(VLOOKUP(B2883,Price_data!A$1:B$190,2,FALSE))</f>
        <v>0</v>
      </c>
      <c r="S2883" s="4" t="str">
        <f>(VLOOKUP(B2883,Price_data!A$1:C$190,3,FALSE))</f>
        <v>EEZ</v>
      </c>
      <c r="T2883" s="2" t="str">
        <f>IF(C2883="Total", (VLOOKUP(B2883,Recommended_fish_intake!A$4:D$122,4,FALSE)), "NA")</f>
        <v>NA</v>
      </c>
      <c r="U2883" s="2" t="str">
        <f t="shared" si="339"/>
        <v>NA</v>
      </c>
    </row>
    <row r="2884" spans="1:21" ht="14.25" customHeight="1">
      <c r="A2884" s="2" t="s">
        <v>40</v>
      </c>
      <c r="B2884" s="2">
        <v>1996</v>
      </c>
      <c r="C2884" s="2" t="s">
        <v>36</v>
      </c>
      <c r="D2884" s="2">
        <v>0.30599999999999999</v>
      </c>
      <c r="E2884" s="2">
        <v>0.23100000000000001</v>
      </c>
      <c r="P2884" s="3">
        <f>E2884*(VLOOKUP(B2884,Price_data!A$1:B$190,2,FALSE))</f>
        <v>0.25761254973300002</v>
      </c>
      <c r="Q2884" s="3">
        <f>G2884*(VLOOKUP(B2884,Price_data!A$1:B$190,2,FALSE))</f>
        <v>0</v>
      </c>
      <c r="R2884" s="3">
        <f>I2884*(VLOOKUP(B2884,Price_data!A$1:B$190,2,FALSE))</f>
        <v>0</v>
      </c>
      <c r="S2884" s="4" t="str">
        <f>(VLOOKUP(B2884,Price_data!A$1:C$190,3,FALSE))</f>
        <v>EEZ</v>
      </c>
      <c r="T2884" s="2" t="str">
        <f>IF(C2884="Total", (VLOOKUP(B2884,Recommended_fish_intake!A$4:D$122,4,FALSE)), "NA")</f>
        <v>NA</v>
      </c>
      <c r="U2884" s="2" t="str">
        <f t="shared" si="339"/>
        <v>NA</v>
      </c>
    </row>
    <row r="2885" spans="1:21" ht="14.25" customHeight="1">
      <c r="A2885" s="2" t="s">
        <v>40</v>
      </c>
      <c r="B2885" s="2">
        <v>1996</v>
      </c>
      <c r="C2885" s="2" t="s">
        <v>34</v>
      </c>
      <c r="D2885" s="2">
        <v>0</v>
      </c>
      <c r="E2885" s="2">
        <v>0.13200000000000001</v>
      </c>
      <c r="P2885" s="3">
        <f>E2885*(VLOOKUP(B2885,Price_data!A$1:B$190,2,FALSE))</f>
        <v>0.147207171276</v>
      </c>
      <c r="Q2885" s="3">
        <f>G2885*(VLOOKUP(B2885,Price_data!A$1:B$190,2,FALSE))</f>
        <v>0</v>
      </c>
      <c r="R2885" s="3">
        <f>I2885*(VLOOKUP(B2885,Price_data!A$1:B$190,2,FALSE))</f>
        <v>0</v>
      </c>
      <c r="S2885" s="4" t="str">
        <f>(VLOOKUP(B2885,Price_data!A$1:C$190,3,FALSE))</f>
        <v>EEZ</v>
      </c>
      <c r="T2885" s="2" t="str">
        <f>IF(C2885="Total", (VLOOKUP(B2885,Recommended_fish_intake!A$4:D$122,4,FALSE)), "NA")</f>
        <v>NA</v>
      </c>
      <c r="U2885" s="2" t="str">
        <f t="shared" si="339"/>
        <v>NA</v>
      </c>
    </row>
    <row r="2886" spans="1:21" ht="14.25" customHeight="1">
      <c r="A2886" s="2" t="s">
        <v>40</v>
      </c>
      <c r="B2886" s="2">
        <v>1996</v>
      </c>
      <c r="C2886" s="2" t="s">
        <v>35</v>
      </c>
      <c r="D2886" s="2">
        <v>5.6870000000000003</v>
      </c>
      <c r="E2886" s="2">
        <v>8.2579999999999991</v>
      </c>
      <c r="P2886" s="3">
        <f>E2886*(VLOOKUP(B2886,Price_data!A$1:B$190,2,FALSE))</f>
        <v>9.2093698514939994</v>
      </c>
      <c r="Q2886" s="3">
        <f>G2886*(VLOOKUP(B2886,Price_data!A$1:B$190,2,FALSE))</f>
        <v>0</v>
      </c>
      <c r="R2886" s="3">
        <f>I2886*(VLOOKUP(B2886,Price_data!A$1:B$190,2,FALSE))</f>
        <v>0</v>
      </c>
      <c r="S2886" s="4" t="str">
        <f>(VLOOKUP(B2886,Price_data!A$1:C$190,3,FALSE))</f>
        <v>EEZ</v>
      </c>
      <c r="T2886" s="2" t="str">
        <f>IF(C2886="Total", (VLOOKUP(B2886,Recommended_fish_intake!A$4:D$122,4,FALSE)), "NA")</f>
        <v>NA</v>
      </c>
      <c r="U2886" s="2" t="str">
        <f t="shared" si="339"/>
        <v>NA</v>
      </c>
    </row>
    <row r="2887" spans="1:21" ht="14.25" customHeight="1">
      <c r="A2887" s="2" t="s">
        <v>40</v>
      </c>
      <c r="B2887" s="2">
        <v>1996</v>
      </c>
      <c r="C2887" s="2" t="s">
        <v>52</v>
      </c>
      <c r="D2887" s="2">
        <v>0.20300000000000001</v>
      </c>
      <c r="E2887" s="2">
        <v>0.188</v>
      </c>
      <c r="P2887" s="3">
        <f>E2887*(VLOOKUP(B2887,Price_data!A$1:B$190,2,FALSE))</f>
        <v>0.20965869848400001</v>
      </c>
      <c r="Q2887" s="3">
        <f>G2887*(VLOOKUP(B2887,Price_data!A$1:B$190,2,FALSE))</f>
        <v>0</v>
      </c>
      <c r="R2887" s="3">
        <f>I2887*(VLOOKUP(B2887,Price_data!A$1:B$190,2,FALSE))</f>
        <v>0</v>
      </c>
      <c r="S2887" s="4" t="str">
        <f>(VLOOKUP(B2887,Price_data!A$1:C$190,3,FALSE))</f>
        <v>EEZ</v>
      </c>
      <c r="T2887" s="2" t="str">
        <f>IF(C2887="Total", (VLOOKUP(B2887,Recommended_fish_intake!A$4:D$122,4,FALSE)), "NA")</f>
        <v>NA</v>
      </c>
      <c r="U2887" s="2" t="str">
        <f t="shared" si="339"/>
        <v>NA</v>
      </c>
    </row>
    <row r="2888" spans="1:21" ht="14.25" customHeight="1">
      <c r="A2888" s="2" t="s">
        <v>40</v>
      </c>
      <c r="B2888" s="2">
        <v>1996</v>
      </c>
      <c r="C2888" s="2" t="s">
        <v>30</v>
      </c>
      <c r="D2888" s="2">
        <v>0</v>
      </c>
      <c r="E2888" s="2">
        <v>0</v>
      </c>
      <c r="P2888" s="3">
        <f>E2888*(VLOOKUP(B2888,Price_data!A$1:B$190,2,FALSE))</f>
        <v>0</v>
      </c>
      <c r="Q2888" s="3">
        <f>G2888*(VLOOKUP(B2888,Price_data!A$1:B$190,2,FALSE))</f>
        <v>0</v>
      </c>
      <c r="R2888" s="3">
        <f>I2888*(VLOOKUP(B2888,Price_data!A$1:B$190,2,FALSE))</f>
        <v>0</v>
      </c>
      <c r="S2888" s="4" t="str">
        <f>(VLOOKUP(B2888,Price_data!A$1:C$190,3,FALSE))</f>
        <v>EEZ</v>
      </c>
      <c r="T2888" s="2" t="str">
        <f>IF(C2888="Total", (VLOOKUP(B2888,Recommended_fish_intake!A$4:D$122,4,FALSE)), "NA")</f>
        <v>NA</v>
      </c>
      <c r="U2888" s="2" t="str">
        <f t="shared" si="339"/>
        <v>NA</v>
      </c>
    </row>
    <row r="2889" spans="1:21" ht="14.25" customHeight="1">
      <c r="A2889" s="2" t="s">
        <v>40</v>
      </c>
      <c r="B2889" s="2">
        <v>1996</v>
      </c>
      <c r="C2889" s="2" t="s">
        <v>28</v>
      </c>
      <c r="D2889" s="2">
        <v>6.88</v>
      </c>
      <c r="E2889" s="2">
        <v>9.5009999999999994</v>
      </c>
      <c r="P2889" s="3">
        <f>E2889*(VLOOKUP(B2889,Price_data!A$1:B$190,2,FALSE))</f>
        <v>10.595570714342999</v>
      </c>
      <c r="Q2889" s="3">
        <f>G2889*(VLOOKUP(B2889,Price_data!A$1:B$190,2,FALSE))</f>
        <v>0</v>
      </c>
      <c r="R2889" s="3">
        <f>I2889*(VLOOKUP(B2889,Price_data!A$1:B$190,2,FALSE))</f>
        <v>0</v>
      </c>
      <c r="S2889" s="4" t="str">
        <f>(VLOOKUP(B2889,Price_data!A$1:C$190,3,FALSE))</f>
        <v>EEZ</v>
      </c>
      <c r="T2889" s="2" t="str">
        <f>IF(C2889="Total", (VLOOKUP(B2889,Recommended_fish_intake!A$4:D$122,4,FALSE)), "NA")</f>
        <v>NA</v>
      </c>
      <c r="U2889" s="2">
        <f t="shared" si="339"/>
        <v>1.9264000000000001</v>
      </c>
    </row>
    <row r="2890" spans="1:21" ht="14.25" customHeight="1">
      <c r="A2890" s="2" t="s">
        <v>40</v>
      </c>
      <c r="B2890" s="2">
        <v>1996</v>
      </c>
      <c r="C2890" s="4" t="s">
        <v>37</v>
      </c>
      <c r="D2890" s="3">
        <f>D2762+D2714</f>
        <v>72.927000000000007</v>
      </c>
      <c r="E2890" s="3">
        <f>E2762+E2714</f>
        <v>35.972999999999999</v>
      </c>
      <c r="P2890" s="3">
        <f>E2890*(VLOOKUP(B2890,Price_data!A$1:B$190,2,FALSE))</f>
        <v>40.117299790239002</v>
      </c>
      <c r="Q2890" s="3">
        <f>G2890*(VLOOKUP(B2890,Price_data!A$1:B$190,2,FALSE))</f>
        <v>0</v>
      </c>
      <c r="R2890" s="3">
        <f>I2890*(VLOOKUP(B2890,Price_data!A$1:B$190,2,FALSE))</f>
        <v>0</v>
      </c>
      <c r="S2890" s="4" t="str">
        <f>(VLOOKUP(B2890,Price_data!A$1:C$190,3,FALSE))</f>
        <v>EEZ</v>
      </c>
      <c r="T2890" s="2" t="str">
        <f>IF(C2890="Total", (VLOOKUP(B2890,Recommended_fish_intake!A$4:D$122,4,FALSE)), "NA")</f>
        <v>NA</v>
      </c>
      <c r="U2890" s="2">
        <f t="shared" si="339"/>
        <v>35.734230000000004</v>
      </c>
    </row>
    <row r="2891" spans="1:21" ht="14.25" customHeight="1">
      <c r="A2891" s="2" t="s">
        <v>39</v>
      </c>
      <c r="B2891" s="2">
        <v>1996</v>
      </c>
      <c r="C2891" s="4" t="s">
        <v>37</v>
      </c>
      <c r="D2891" s="3">
        <f>D2507+D2459</f>
        <v>227.79999999999998</v>
      </c>
      <c r="E2891" s="3">
        <f>E2507+E2459</f>
        <v>26.7</v>
      </c>
      <c r="P2891" s="3">
        <f>E2891*(VLOOKUP(B2891,Price_data!A$1:B$190,2,FALSE))</f>
        <v>29.775996008100002</v>
      </c>
      <c r="Q2891" s="3">
        <f>G2891*(VLOOKUP(B2891,Price_data!A$1:B$190,2,FALSE))</f>
        <v>0</v>
      </c>
      <c r="R2891" s="3">
        <f>I2891*(VLOOKUP(B2891,Price_data!A$1:B$190,2,FALSE))</f>
        <v>0</v>
      </c>
      <c r="S2891" s="4" t="str">
        <f>(VLOOKUP(B2891,Price_data!A$1:C$190,3,FALSE))</f>
        <v>EEZ</v>
      </c>
      <c r="T2891" s="2" t="str">
        <f>IF(C2891="Total", (VLOOKUP(B2891,Recommended_fish_intake!A$4:D$122,4,FALSE)), "NA")</f>
        <v>NA</v>
      </c>
      <c r="U2891" s="2">
        <f t="shared" si="339"/>
        <v>111.62199999999999</v>
      </c>
    </row>
    <row r="2892" spans="1:21" ht="14.25" customHeight="1">
      <c r="A2892" s="2" t="s">
        <v>18</v>
      </c>
      <c r="B2892" s="2">
        <v>1996</v>
      </c>
      <c r="C2892" s="2" t="s">
        <v>22</v>
      </c>
      <c r="D2892" s="3">
        <f t="shared" ref="D2892:E2905" si="340">D2140+D1900</f>
        <v>516.64400000000001</v>
      </c>
      <c r="E2892" s="3">
        <f t="shared" si="340"/>
        <v>188.47399999999999</v>
      </c>
      <c r="P2892" s="3">
        <f>E2892*(VLOOKUP(B2892,Price_data!A$1:B$190,2,FALSE))</f>
        <v>210.18730605358201</v>
      </c>
      <c r="Q2892" s="3">
        <f>G2892*(VLOOKUP(B2892,Price_data!A$1:B$190,2,FALSE))</f>
        <v>0</v>
      </c>
      <c r="R2892" s="3">
        <f>I2892*(VLOOKUP(B2892,Price_data!A$1:B$190,2,FALSE))</f>
        <v>0</v>
      </c>
      <c r="S2892" s="4" t="str">
        <f>(VLOOKUP(B2892,Price_data!A$1:C$190,3,FALSE))</f>
        <v>EEZ</v>
      </c>
      <c r="T2892" s="2" t="str">
        <f>IF(C2892="Total", (VLOOKUP(B2892,Recommended_fish_intake!A$4:D$122,4,FALSE)), "NA")</f>
        <v>NA</v>
      </c>
      <c r="U2892" s="2" t="str">
        <f t="shared" si="339"/>
        <v>NA</v>
      </c>
    </row>
    <row r="2893" spans="1:21" ht="14.25" customHeight="1">
      <c r="A2893" s="2" t="s">
        <v>18</v>
      </c>
      <c r="B2893" s="2">
        <v>1996</v>
      </c>
      <c r="C2893" s="2" t="s">
        <v>23</v>
      </c>
      <c r="D2893" s="3">
        <f t="shared" si="340"/>
        <v>14.442</v>
      </c>
      <c r="E2893" s="3">
        <f t="shared" si="340"/>
        <v>4.6479999999999997</v>
      </c>
      <c r="P2893" s="3">
        <f>E2893*(VLOOKUP(B2893,Price_data!A$1:B$190,2,FALSE))</f>
        <v>5.1834767582639998</v>
      </c>
      <c r="Q2893" s="3">
        <f>G2893*(VLOOKUP(B2893,Price_data!A$1:B$190,2,FALSE))</f>
        <v>0</v>
      </c>
      <c r="R2893" s="3">
        <f>I2893*(VLOOKUP(B2893,Price_data!A$1:B$190,2,FALSE))</f>
        <v>0</v>
      </c>
      <c r="S2893" s="4" t="str">
        <f>(VLOOKUP(B2893,Price_data!A$1:C$190,3,FALSE))</f>
        <v>EEZ</v>
      </c>
      <c r="T2893" s="2" t="str">
        <f>IF(C2893="Total", (VLOOKUP(B2893,Recommended_fish_intake!A$4:D$122,4,FALSE)), "NA")</f>
        <v>NA</v>
      </c>
      <c r="U2893" s="2" t="str">
        <f t="shared" si="339"/>
        <v>NA</v>
      </c>
    </row>
    <row r="2894" spans="1:21" ht="14.25" customHeight="1">
      <c r="A2894" s="2" t="s">
        <v>18</v>
      </c>
      <c r="B2894" s="2">
        <v>1996</v>
      </c>
      <c r="C2894" s="2" t="s">
        <v>58</v>
      </c>
      <c r="D2894" s="3">
        <f t="shared" si="340"/>
        <v>2.8149999999999999</v>
      </c>
      <c r="E2894" s="3">
        <f t="shared" si="340"/>
        <v>4.5410000000000004</v>
      </c>
      <c r="P2894" s="3">
        <f>E2894*(VLOOKUP(B2894,Price_data!A$1:B$190,2,FALSE))</f>
        <v>5.064149733063001</v>
      </c>
      <c r="Q2894" s="3">
        <f>G2894*(VLOOKUP(B2894,Price_data!A$1:B$190,2,FALSE))</f>
        <v>0</v>
      </c>
      <c r="R2894" s="3">
        <f>I2894*(VLOOKUP(B2894,Price_data!A$1:B$190,2,FALSE))</f>
        <v>0</v>
      </c>
      <c r="S2894" s="4" t="str">
        <f>(VLOOKUP(B2894,Price_data!A$1:C$190,3,FALSE))</f>
        <v>EEZ</v>
      </c>
      <c r="T2894" s="2" t="str">
        <f>IF(C2894="Total", (VLOOKUP(B2894,Recommended_fish_intake!A$4:D$122,4,FALSE)), "NA")</f>
        <v>NA</v>
      </c>
      <c r="U2894" s="2" t="str">
        <f t="shared" si="339"/>
        <v>NA</v>
      </c>
    </row>
    <row r="2895" spans="1:21" ht="14.25" customHeight="1">
      <c r="A2895" s="2" t="s">
        <v>18</v>
      </c>
      <c r="B2895" s="2">
        <v>1996</v>
      </c>
      <c r="C2895" s="2" t="s">
        <v>24</v>
      </c>
      <c r="D2895" s="3">
        <f t="shared" si="340"/>
        <v>19.149999999999999</v>
      </c>
      <c r="E2895" s="3">
        <f t="shared" si="340"/>
        <v>29.619999999999997</v>
      </c>
      <c r="P2895" s="3">
        <f>E2895*(VLOOKUP(B2895,Price_data!A$1:B$190,2,FALSE))</f>
        <v>33.03239706966</v>
      </c>
      <c r="Q2895" s="3">
        <f>G2895*(VLOOKUP(B2895,Price_data!A$1:B$190,2,FALSE))</f>
        <v>0</v>
      </c>
      <c r="R2895" s="3">
        <f>I2895*(VLOOKUP(B2895,Price_data!A$1:B$190,2,FALSE))</f>
        <v>0</v>
      </c>
      <c r="S2895" s="4" t="str">
        <f>(VLOOKUP(B2895,Price_data!A$1:C$190,3,FALSE))</f>
        <v>EEZ</v>
      </c>
      <c r="T2895" s="2" t="str">
        <f>IF(C2895="Total", (VLOOKUP(B2895,Recommended_fish_intake!A$4:D$122,4,FALSE)), "NA")</f>
        <v>NA</v>
      </c>
      <c r="U2895" s="2" t="str">
        <f t="shared" si="339"/>
        <v>NA</v>
      </c>
    </row>
    <row r="2896" spans="1:21" ht="14.25" customHeight="1">
      <c r="A2896" s="2" t="s">
        <v>18</v>
      </c>
      <c r="B2896" s="2">
        <v>1996</v>
      </c>
      <c r="C2896" s="2" t="s">
        <v>41</v>
      </c>
      <c r="D2896" s="3">
        <f t="shared" si="340"/>
        <v>3.97</v>
      </c>
      <c r="E2896" s="3">
        <f t="shared" si="340"/>
        <v>5.452</v>
      </c>
      <c r="P2896" s="3">
        <f>E2896*(VLOOKUP(B2896,Price_data!A$1:B$190,2,FALSE))</f>
        <v>6.0801022560360005</v>
      </c>
      <c r="Q2896" s="3">
        <f>G2896*(VLOOKUP(B2896,Price_data!A$1:B$190,2,FALSE))</f>
        <v>0</v>
      </c>
      <c r="R2896" s="3">
        <f>I2896*(VLOOKUP(B2896,Price_data!A$1:B$190,2,FALSE))</f>
        <v>0</v>
      </c>
      <c r="S2896" s="4" t="str">
        <f>(VLOOKUP(B2896,Price_data!A$1:C$190,3,FALSE))</f>
        <v>EEZ</v>
      </c>
      <c r="T2896" s="2" t="str">
        <f>IF(C2896="Total", (VLOOKUP(B2896,Recommended_fish_intake!A$4:D$122,4,FALSE)), "NA")</f>
        <v>NA</v>
      </c>
      <c r="U2896" s="2" t="str">
        <f t="shared" si="339"/>
        <v>NA</v>
      </c>
    </row>
    <row r="2897" spans="1:21" ht="14.25" customHeight="1">
      <c r="A2897" s="2" t="s">
        <v>18</v>
      </c>
      <c r="B2897" s="2">
        <v>1996</v>
      </c>
      <c r="C2897" s="2" t="s">
        <v>19</v>
      </c>
      <c r="D2897" s="3">
        <f t="shared" si="340"/>
        <v>20.337</v>
      </c>
      <c r="E2897" s="3">
        <f t="shared" si="340"/>
        <v>5.0529999999999999</v>
      </c>
      <c r="P2897" s="3">
        <f>E2897*(VLOOKUP(B2897,Price_data!A$1:B$190,2,FALSE))</f>
        <v>5.6351351246790005</v>
      </c>
      <c r="Q2897" s="3">
        <f>G2897*(VLOOKUP(B2897,Price_data!A$1:B$190,2,FALSE))</f>
        <v>0</v>
      </c>
      <c r="R2897" s="3">
        <f>I2897*(VLOOKUP(B2897,Price_data!A$1:B$190,2,FALSE))</f>
        <v>0</v>
      </c>
      <c r="S2897" s="4" t="str">
        <f>(VLOOKUP(B2897,Price_data!A$1:C$190,3,FALSE))</f>
        <v>EEZ</v>
      </c>
      <c r="T2897" s="2" t="str">
        <f>IF(C2897="Total", (VLOOKUP(B2897,Recommended_fish_intake!A$4:D$122,4,FALSE)), "NA")</f>
        <v>NA</v>
      </c>
      <c r="U2897" s="2" t="str">
        <f t="shared" si="339"/>
        <v>NA</v>
      </c>
    </row>
    <row r="2898" spans="1:21" ht="14.25" customHeight="1">
      <c r="A2898" s="2" t="s">
        <v>18</v>
      </c>
      <c r="B2898" s="2">
        <v>1996</v>
      </c>
      <c r="C2898" s="2" t="s">
        <v>20</v>
      </c>
      <c r="D2898" s="3">
        <f t="shared" si="340"/>
        <v>34.800000000000004</v>
      </c>
      <c r="E2898" s="3">
        <f t="shared" si="340"/>
        <v>46.030999999999999</v>
      </c>
      <c r="P2898" s="3">
        <f>E2898*(VLOOKUP(B2898,Price_data!A$1:B$190,2,FALSE))</f>
        <v>51.334040159133004</v>
      </c>
      <c r="Q2898" s="3">
        <f>G2898*(VLOOKUP(B2898,Price_data!A$1:B$190,2,FALSE))</f>
        <v>0</v>
      </c>
      <c r="R2898" s="3">
        <f>I2898*(VLOOKUP(B2898,Price_data!A$1:B$190,2,FALSE))</f>
        <v>0</v>
      </c>
      <c r="S2898" s="4" t="str">
        <f>(VLOOKUP(B2898,Price_data!A$1:C$190,3,FALSE))</f>
        <v>EEZ</v>
      </c>
      <c r="T2898" s="2" t="str">
        <f>IF(C2898="Total", (VLOOKUP(B2898,Recommended_fish_intake!A$4:D$122,4,FALSE)), "NA")</f>
        <v>NA</v>
      </c>
      <c r="U2898" s="2" t="str">
        <f t="shared" si="339"/>
        <v>NA</v>
      </c>
    </row>
    <row r="2899" spans="1:21" ht="14.25" customHeight="1">
      <c r="A2899" s="2" t="s">
        <v>18</v>
      </c>
      <c r="B2899" s="2">
        <v>1996</v>
      </c>
      <c r="C2899" s="2" t="s">
        <v>42</v>
      </c>
      <c r="D2899" s="3">
        <f t="shared" si="340"/>
        <v>2.6080000000000001</v>
      </c>
      <c r="E2899" s="3">
        <f t="shared" si="340"/>
        <v>2.7049999999999996</v>
      </c>
      <c r="P2899" s="3">
        <f>E2899*(VLOOKUP(B2899,Price_data!A$1:B$190,2,FALSE))</f>
        <v>3.0166318053149999</v>
      </c>
      <c r="Q2899" s="3">
        <f>G2899*(VLOOKUP(B2899,Price_data!A$1:B$190,2,FALSE))</f>
        <v>0</v>
      </c>
      <c r="R2899" s="3">
        <f>I2899*(VLOOKUP(B2899,Price_data!A$1:B$190,2,FALSE))</f>
        <v>0</v>
      </c>
      <c r="S2899" s="4" t="str">
        <f>(VLOOKUP(B2899,Price_data!A$1:C$190,3,FALSE))</f>
        <v>EEZ</v>
      </c>
      <c r="T2899" s="2" t="str">
        <f>IF(C2899="Total", (VLOOKUP(B2899,Recommended_fish_intake!A$4:D$122,4,FALSE)), "NA")</f>
        <v>NA</v>
      </c>
      <c r="U2899" s="2" t="str">
        <f t="shared" si="339"/>
        <v>NA</v>
      </c>
    </row>
    <row r="2900" spans="1:21" ht="14.25" customHeight="1">
      <c r="A2900" s="2" t="s">
        <v>18</v>
      </c>
      <c r="B2900" s="2">
        <v>1996</v>
      </c>
      <c r="C2900" s="2" t="s">
        <v>36</v>
      </c>
      <c r="D2900" s="3">
        <f t="shared" si="340"/>
        <v>4.7990000000000004</v>
      </c>
      <c r="E2900" s="3">
        <f t="shared" si="340"/>
        <v>3.8000000000000003</v>
      </c>
      <c r="P2900" s="3">
        <f>E2900*(VLOOKUP(B2900,Price_data!A$1:B$190,2,FALSE))</f>
        <v>4.2377822034000001</v>
      </c>
      <c r="Q2900" s="3">
        <f>G2900*(VLOOKUP(B2900,Price_data!A$1:B$190,2,FALSE))</f>
        <v>0</v>
      </c>
      <c r="R2900" s="3">
        <f>I2900*(VLOOKUP(B2900,Price_data!A$1:B$190,2,FALSE))</f>
        <v>0</v>
      </c>
      <c r="S2900" s="4" t="str">
        <f>(VLOOKUP(B2900,Price_data!A$1:C$190,3,FALSE))</f>
        <v>EEZ</v>
      </c>
      <c r="T2900" s="2" t="str">
        <f>IF(C2900="Total", (VLOOKUP(B2900,Recommended_fish_intake!A$4:D$122,4,FALSE)), "NA")</f>
        <v>NA</v>
      </c>
      <c r="U2900" s="2" t="str">
        <f t="shared" si="339"/>
        <v>NA</v>
      </c>
    </row>
    <row r="2901" spans="1:21" ht="14.25" customHeight="1">
      <c r="A2901" s="2" t="s">
        <v>18</v>
      </c>
      <c r="B2901" s="2">
        <v>1996</v>
      </c>
      <c r="C2901" s="2" t="s">
        <v>34</v>
      </c>
      <c r="D2901" s="3">
        <f t="shared" si="340"/>
        <v>0.219</v>
      </c>
      <c r="E2901" s="3">
        <f t="shared" si="340"/>
        <v>0.27899999999999997</v>
      </c>
      <c r="P2901" s="3">
        <f>E2901*(VLOOKUP(B2901,Price_data!A$1:B$190,2,FALSE))</f>
        <v>0.311142430197</v>
      </c>
      <c r="Q2901" s="3">
        <f>G2901*(VLOOKUP(B2901,Price_data!A$1:B$190,2,FALSE))</f>
        <v>0</v>
      </c>
      <c r="R2901" s="3">
        <f>I2901*(VLOOKUP(B2901,Price_data!A$1:B$190,2,FALSE))</f>
        <v>0</v>
      </c>
      <c r="S2901" s="4" t="str">
        <f>(VLOOKUP(B2901,Price_data!A$1:C$190,3,FALSE))</f>
        <v>EEZ</v>
      </c>
      <c r="T2901" s="2" t="str">
        <f>IF(C2901="Total", (VLOOKUP(B2901,Recommended_fish_intake!A$4:D$122,4,FALSE)), "NA")</f>
        <v>NA</v>
      </c>
      <c r="U2901" s="2" t="str">
        <f t="shared" si="339"/>
        <v>NA</v>
      </c>
    </row>
    <row r="2902" spans="1:21" ht="14.25" customHeight="1">
      <c r="A2902" s="2" t="s">
        <v>18</v>
      </c>
      <c r="B2902" s="2">
        <v>1996</v>
      </c>
      <c r="C2902" s="2" t="s">
        <v>35</v>
      </c>
      <c r="D2902" s="3">
        <f t="shared" si="340"/>
        <v>0.255</v>
      </c>
      <c r="E2902" s="3">
        <f t="shared" si="340"/>
        <v>0.13500000000000001</v>
      </c>
      <c r="P2902" s="3">
        <f>E2902*(VLOOKUP(B2902,Price_data!A$1:B$190,2,FALSE))</f>
        <v>0.150552788805</v>
      </c>
      <c r="Q2902" s="3">
        <f>G2902*(VLOOKUP(B2902,Price_data!A$1:B$190,2,FALSE))</f>
        <v>0</v>
      </c>
      <c r="R2902" s="3">
        <f>I2902*(VLOOKUP(B2902,Price_data!A$1:B$190,2,FALSE))</f>
        <v>0</v>
      </c>
      <c r="S2902" s="4" t="str">
        <f>(VLOOKUP(B2902,Price_data!A$1:C$190,3,FALSE))</f>
        <v>EEZ</v>
      </c>
      <c r="T2902" s="2" t="str">
        <f>IF(C2902="Total", (VLOOKUP(B2902,Recommended_fish_intake!A$4:D$122,4,FALSE)), "NA")</f>
        <v>NA</v>
      </c>
      <c r="U2902" s="2" t="str">
        <f t="shared" si="339"/>
        <v>NA</v>
      </c>
    </row>
    <row r="2903" spans="1:21" ht="14.25" customHeight="1">
      <c r="A2903" s="2" t="s">
        <v>18</v>
      </c>
      <c r="B2903" s="2">
        <v>1996</v>
      </c>
      <c r="C2903" s="2" t="s">
        <v>52</v>
      </c>
      <c r="D2903" s="3">
        <f t="shared" si="340"/>
        <v>9.8949999999999996</v>
      </c>
      <c r="E2903" s="3">
        <f t="shared" si="340"/>
        <v>5.6129999999999995</v>
      </c>
      <c r="P2903" s="3">
        <f>E2903*(VLOOKUP(B2903,Price_data!A$1:B$190,2,FALSE))</f>
        <v>6.2596503967589996</v>
      </c>
      <c r="Q2903" s="3">
        <f>G2903*(VLOOKUP(B2903,Price_data!A$1:B$190,2,FALSE))</f>
        <v>0</v>
      </c>
      <c r="R2903" s="3">
        <f>I2903*(VLOOKUP(B2903,Price_data!A$1:B$190,2,FALSE))</f>
        <v>0</v>
      </c>
      <c r="S2903" s="4" t="str">
        <f>(VLOOKUP(B2903,Price_data!A$1:C$190,3,FALSE))</f>
        <v>EEZ</v>
      </c>
      <c r="T2903" s="2" t="str">
        <f>IF(C2903="Total", (VLOOKUP(B2903,Recommended_fish_intake!A$4:D$122,4,FALSE)), "NA")</f>
        <v>NA</v>
      </c>
      <c r="U2903" s="2" t="str">
        <f t="shared" si="339"/>
        <v>NA</v>
      </c>
    </row>
    <row r="2904" spans="1:21" ht="14.25" customHeight="1">
      <c r="A2904" s="2" t="s">
        <v>18</v>
      </c>
      <c r="B2904" s="2">
        <v>1996</v>
      </c>
      <c r="C2904" s="2" t="s">
        <v>30</v>
      </c>
      <c r="D2904" s="3">
        <f t="shared" si="340"/>
        <v>117.917</v>
      </c>
      <c r="E2904" s="3">
        <f t="shared" si="340"/>
        <v>72.02300000000001</v>
      </c>
      <c r="P2904" s="3">
        <f>E2904*(VLOOKUP(B2904,Price_data!A$1:B$190,2,FALSE))</f>
        <v>80.320470430389008</v>
      </c>
      <c r="Q2904" s="3">
        <f>G2904*(VLOOKUP(B2904,Price_data!A$1:B$190,2,FALSE))</f>
        <v>0</v>
      </c>
      <c r="R2904" s="3">
        <f>I2904*(VLOOKUP(B2904,Price_data!A$1:B$190,2,FALSE))</f>
        <v>0</v>
      </c>
      <c r="S2904" s="4" t="str">
        <f>(VLOOKUP(B2904,Price_data!A$1:C$190,3,FALSE))</f>
        <v>EEZ</v>
      </c>
      <c r="T2904" s="2" t="str">
        <f>IF(C2904="Total", (VLOOKUP(B2904,Recommended_fish_intake!A$4:D$122,4,FALSE)), "NA")</f>
        <v>NA</v>
      </c>
      <c r="U2904" s="2" t="str">
        <f t="shared" si="339"/>
        <v>NA</v>
      </c>
    </row>
    <row r="2905" spans="1:21" ht="14.25" customHeight="1">
      <c r="A2905" s="2" t="s">
        <v>18</v>
      </c>
      <c r="B2905" s="2">
        <v>1996</v>
      </c>
      <c r="C2905" s="2" t="s">
        <v>28</v>
      </c>
      <c r="D2905" s="3">
        <f t="shared" si="340"/>
        <v>129.00800000000001</v>
      </c>
      <c r="E2905" s="3">
        <f t="shared" si="340"/>
        <v>50.313000000000002</v>
      </c>
      <c r="P2905" s="3">
        <f>E2905*(VLOOKUP(B2905,Price_data!A$1:B$190,2,FALSE))</f>
        <v>56.109351578859005</v>
      </c>
      <c r="Q2905" s="3">
        <f>G2905*(VLOOKUP(B2905,Price_data!A$1:B$190,2,FALSE))</f>
        <v>0</v>
      </c>
      <c r="R2905" s="3">
        <f>I2905*(VLOOKUP(B2905,Price_data!A$1:B$190,2,FALSE))</f>
        <v>0</v>
      </c>
      <c r="S2905" s="4" t="str">
        <f>(VLOOKUP(B2905,Price_data!A$1:C$190,3,FALSE))</f>
        <v>EEZ</v>
      </c>
      <c r="T2905" s="2" t="str">
        <f>IF(C2905="Total", (VLOOKUP(B2905,Recommended_fish_intake!A$4:D$122,4,FALSE)), "NA")</f>
        <v>NA</v>
      </c>
      <c r="U2905" s="2">
        <f t="shared" si="339"/>
        <v>36.122240000000005</v>
      </c>
    </row>
    <row r="2906" spans="1:21" ht="14.25" customHeight="1">
      <c r="A2906" s="2" t="s">
        <v>90</v>
      </c>
      <c r="B2906" s="2">
        <v>1996</v>
      </c>
      <c r="C2906" s="2" t="s">
        <v>16</v>
      </c>
      <c r="D2906" s="2">
        <v>202.6</v>
      </c>
      <c r="E2906" s="2">
        <v>168.4</v>
      </c>
      <c r="P2906" s="3">
        <f>E2906*(VLOOKUP(B2906,Price_data!A$1:B$190,2,FALSE))</f>
        <v>187.8006639612</v>
      </c>
      <c r="Q2906" s="3">
        <f>G2906*(VLOOKUP(B2906,Price_data!A$1:B$190,2,FALSE))</f>
        <v>0</v>
      </c>
      <c r="R2906" s="3">
        <f>I2906*(VLOOKUP(B2906,Price_data!A$1:B$190,2,FALSE))</f>
        <v>0</v>
      </c>
      <c r="S2906" s="4" t="str">
        <f>(VLOOKUP(B2906,Price_data!A$1:C$190,3,FALSE))</f>
        <v>EEZ</v>
      </c>
      <c r="T2906" s="2">
        <f>IF(C2906="Total", (VLOOKUP(B2906,Recommended_fish_intake!A$4:D$122,4,FALSE)), "NA")</f>
        <v>766.84383583626004</v>
      </c>
      <c r="U2906" s="2" t="str">
        <f t="shared" si="339"/>
        <v>NA</v>
      </c>
    </row>
    <row r="2907" spans="1:21" ht="14.25" customHeight="1">
      <c r="A2907" s="2" t="s">
        <v>91</v>
      </c>
      <c r="B2907" s="2">
        <v>1996</v>
      </c>
      <c r="C2907" s="2" t="s">
        <v>16</v>
      </c>
      <c r="D2907" s="2">
        <v>0</v>
      </c>
      <c r="E2907" s="2">
        <v>0</v>
      </c>
      <c r="P2907" s="3">
        <f>E2907*(VLOOKUP(B2907,Price_data!A$1:B$190,2,FALSE))</f>
        <v>0</v>
      </c>
      <c r="Q2907" s="3">
        <f>G2907*(VLOOKUP(B2907,Price_data!A$1:B$190,2,FALSE))</f>
        <v>0</v>
      </c>
      <c r="R2907" s="3">
        <f>I2907*(VLOOKUP(B2907,Price_data!A$1:B$190,2,FALSE))</f>
        <v>0</v>
      </c>
      <c r="S2907" s="4" t="str">
        <f>(VLOOKUP(B2907,Price_data!A$1:C$190,3,FALSE))</f>
        <v>EEZ</v>
      </c>
      <c r="T2907" s="2">
        <f>IF(C2907="Total", (VLOOKUP(B2907,Recommended_fish_intake!A$4:D$122,4,FALSE)), "NA")</f>
        <v>766.84383583626004</v>
      </c>
      <c r="U2907" s="2" t="str">
        <f t="shared" si="339"/>
        <v>NA</v>
      </c>
    </row>
    <row r="2908" spans="1:21" ht="14.25" customHeight="1">
      <c r="A2908" s="2" t="s">
        <v>18</v>
      </c>
      <c r="B2908" s="2">
        <v>1996</v>
      </c>
      <c r="C2908" s="2" t="s">
        <v>37</v>
      </c>
      <c r="D2908" s="3">
        <f>D2732+D2780</f>
        <v>7.8659999999999997</v>
      </c>
      <c r="E2908" s="3">
        <f>E2732+E2780</f>
        <v>1.8140000000000001</v>
      </c>
      <c r="P2908" s="3">
        <f>E2908*(VLOOKUP(B2908,Price_data!A$1:B$190,2,FALSE))</f>
        <v>2.0229833992020003</v>
      </c>
      <c r="Q2908" s="3">
        <f>G2908*(VLOOKUP(B2908,Price_data!A$1:B$190,2,FALSE))</f>
        <v>0</v>
      </c>
      <c r="R2908" s="3">
        <f>I2908*(VLOOKUP(B2908,Price_data!A$1:B$190,2,FALSE))</f>
        <v>0</v>
      </c>
      <c r="S2908" s="4" t="str">
        <f>(VLOOKUP(B2908,Price_data!A$1:C$190,3,FALSE))</f>
        <v>EEZ</v>
      </c>
      <c r="T2908" s="2" t="str">
        <f>IF(C2908="Total", (VLOOKUP(B2908,Recommended_fish_intake!A$4:D$122,4,FALSE)), "NA")</f>
        <v>NA</v>
      </c>
      <c r="U2908" s="2">
        <f t="shared" si="339"/>
        <v>3.8543399999999997</v>
      </c>
    </row>
    <row r="2909" spans="1:21" ht="14.25" customHeight="1">
      <c r="A2909" s="2" t="s">
        <v>39</v>
      </c>
      <c r="B2909" s="2">
        <v>1996</v>
      </c>
      <c r="C2909" s="2" t="s">
        <v>16</v>
      </c>
      <c r="D2909" s="2">
        <v>406.53800000000001</v>
      </c>
      <c r="E2909" s="2">
        <v>303.36</v>
      </c>
      <c r="P2909" s="3">
        <f>E2909*(VLOOKUP(B2909,Price_data!A$1:B$190,2,FALSE))</f>
        <v>338.30884453248001</v>
      </c>
      <c r="Q2909" s="3">
        <f>G2909*(VLOOKUP(B2909,Price_data!A$1:B$190,2,FALSE))</f>
        <v>0</v>
      </c>
      <c r="R2909" s="3">
        <f>I2909*(VLOOKUP(B2909,Price_data!A$1:B$190,2,FALSE))</f>
        <v>0</v>
      </c>
      <c r="S2909" s="4" t="str">
        <f>(VLOOKUP(B2909,Price_data!A$1:C$190,3,FALSE))</f>
        <v>EEZ</v>
      </c>
      <c r="T2909" s="2">
        <f>IF(C2909="Total", (VLOOKUP(B2909,Recommended_fish_intake!A$4:D$122,4,FALSE)), "NA")</f>
        <v>766.84383583626004</v>
      </c>
      <c r="U2909" s="2" t="str">
        <f t="shared" si="339"/>
        <v>NA</v>
      </c>
    </row>
    <row r="2910" spans="1:21" ht="14.25" customHeight="1">
      <c r="A2910" s="2" t="s">
        <v>40</v>
      </c>
      <c r="B2910" s="2">
        <v>1996</v>
      </c>
      <c r="C2910" s="2" t="s">
        <v>16</v>
      </c>
      <c r="D2910" s="2">
        <v>26.486999999999998</v>
      </c>
      <c r="E2910" s="2">
        <v>19.097999999999999</v>
      </c>
      <c r="P2910" s="3">
        <f>E2910*(VLOOKUP(B2910,Price_data!A$1:B$190,2,FALSE))</f>
        <v>21.298201189613998</v>
      </c>
      <c r="Q2910" s="3">
        <f>G2910*(VLOOKUP(B2910,Price_data!A$1:B$190,2,FALSE))</f>
        <v>0</v>
      </c>
      <c r="R2910" s="3">
        <f>I2910*(VLOOKUP(B2910,Price_data!A$1:B$190,2,FALSE))</f>
        <v>0</v>
      </c>
      <c r="S2910" s="4" t="str">
        <f>(VLOOKUP(B2910,Price_data!A$1:C$190,3,FALSE))</f>
        <v>EEZ</v>
      </c>
      <c r="T2910" s="2">
        <f>IF(C2910="Total", (VLOOKUP(B2910,Recommended_fish_intake!A$4:D$122,4,FALSE)), "NA")</f>
        <v>766.84383583626004</v>
      </c>
      <c r="U2910" s="2" t="str">
        <f t="shared" si="339"/>
        <v>NA</v>
      </c>
    </row>
    <row r="2911" spans="1:21" ht="14.25" customHeight="1">
      <c r="A2911" s="2" t="s">
        <v>18</v>
      </c>
      <c r="B2911" s="2">
        <v>1996</v>
      </c>
      <c r="C2911" s="2" t="s">
        <v>16</v>
      </c>
      <c r="D2911" s="3">
        <f>D2159+D1919</f>
        <v>709.68799999999999</v>
      </c>
      <c r="E2911" s="3">
        <f>E2159+E1919</f>
        <v>218.12899999999999</v>
      </c>
      <c r="P2911" s="3">
        <f>E2911*(VLOOKUP(B2911,Price_data!A$1:B$190,2,FALSE))</f>
        <v>243.25873532774699</v>
      </c>
      <c r="Q2911" s="3">
        <f>G2911*(VLOOKUP(B2911,Price_data!A$1:B$190,2,FALSE))</f>
        <v>0</v>
      </c>
      <c r="R2911" s="3">
        <f>I2911*(VLOOKUP(B2911,Price_data!A$1:B$190,2,FALSE))</f>
        <v>0</v>
      </c>
      <c r="S2911" s="4" t="str">
        <f>(VLOOKUP(B2911,Price_data!A$1:C$190,3,FALSE))</f>
        <v>EEZ</v>
      </c>
      <c r="T2911" s="2">
        <f>IF(C2911="Total", (VLOOKUP(B2911,Recommended_fish_intake!A$4:D$122,4,FALSE)), "NA")</f>
        <v>766.84383583626004</v>
      </c>
      <c r="U2911" s="2" t="str">
        <f t="shared" si="339"/>
        <v>NA</v>
      </c>
    </row>
    <row r="2912" spans="1:21" ht="14.25" customHeight="1">
      <c r="A2912" s="2" t="s">
        <v>15</v>
      </c>
      <c r="B2912" s="2">
        <v>1996</v>
      </c>
      <c r="C2912" s="2" t="s">
        <v>16</v>
      </c>
      <c r="D2912" s="2">
        <v>635.88</v>
      </c>
      <c r="E2912" s="2">
        <v>491.04500000000002</v>
      </c>
      <c r="F2912" s="3">
        <f>L2912/1000</f>
        <v>310.36500000000001</v>
      </c>
      <c r="G2912" s="3">
        <f>M2912/1000</f>
        <v>700.76400000000001</v>
      </c>
      <c r="H2912" s="3">
        <f>N2912/1000</f>
        <v>533.16899999999998</v>
      </c>
      <c r="I2912" s="3">
        <f>O2912/1000</f>
        <v>1213.355</v>
      </c>
      <c r="L2912" s="2">
        <v>310365</v>
      </c>
      <c r="M2912" s="2">
        <v>700764</v>
      </c>
      <c r="N2912" s="2">
        <v>533169</v>
      </c>
      <c r="O2912" s="2">
        <v>1213355</v>
      </c>
      <c r="P2912" s="3">
        <f>E2912*(VLOOKUP(B2912,Price_data!A$1:B$190,2,FALSE))</f>
        <v>547.61625317593507</v>
      </c>
      <c r="Q2912" s="3">
        <f>G2912*(VLOOKUP(B2912,Price_data!A$1:B$190,2,FALSE))</f>
        <v>781.49610736405202</v>
      </c>
      <c r="R2912" s="3">
        <f>I2912*(VLOOKUP(B2912,Price_data!A$1:B$190,2,FALSE))</f>
        <v>1353.1405856332651</v>
      </c>
      <c r="S2912" s="4" t="str">
        <f>(VLOOKUP(B2912,Price_data!A$1:C$190,3,FALSE))</f>
        <v>EEZ</v>
      </c>
      <c r="T2912" s="2">
        <f>IF(C2912="Total", (VLOOKUP(B2912,Recommended_fish_intake!A$4:D$122,4,FALSE)), "NA")</f>
        <v>766.84383583626004</v>
      </c>
      <c r="U2912" s="2" t="str">
        <f t="shared" si="339"/>
        <v>NA</v>
      </c>
    </row>
    <row r="2913" spans="1:21" ht="14.25" customHeight="1">
      <c r="A2913" s="2" t="s">
        <v>15</v>
      </c>
      <c r="B2913" s="2">
        <v>1996</v>
      </c>
      <c r="C2913" s="2" t="s">
        <v>42</v>
      </c>
      <c r="D2913" s="2">
        <v>172.95699999999999</v>
      </c>
      <c r="E2913" s="2">
        <v>29.858000000000001</v>
      </c>
      <c r="F2913" s="2" t="s">
        <v>92</v>
      </c>
      <c r="G2913" s="2" t="s">
        <v>92</v>
      </c>
      <c r="H2913" s="2" t="s">
        <v>92</v>
      </c>
      <c r="I2913" s="2" t="s">
        <v>92</v>
      </c>
      <c r="P2913" s="3">
        <f>E2913*(VLOOKUP(B2913,Price_data!A$1:B$190,2,FALSE))</f>
        <v>33.297816060294004</v>
      </c>
      <c r="Q2913" s="3" t="e">
        <f>G2913*(VLOOKUP(B2913,Price_data!A$1:B$190,2,FALSE))</f>
        <v>#VALUE!</v>
      </c>
      <c r="R2913" s="3" t="e">
        <f>I2913*(VLOOKUP(B2913,Price_data!A$1:B$190,2,FALSE))</f>
        <v>#VALUE!</v>
      </c>
      <c r="S2913" s="4" t="str">
        <f>(VLOOKUP(B2913,Price_data!A$1:C$190,3,FALSE))</f>
        <v>EEZ</v>
      </c>
      <c r="T2913" s="2" t="str">
        <f>IF(C2913="Total", (VLOOKUP(B2913,Recommended_fish_intake!A$4:D$122,4,FALSE)), "NA")</f>
        <v>NA</v>
      </c>
      <c r="U2913" s="2" t="str">
        <f t="shared" si="339"/>
        <v>NA</v>
      </c>
    </row>
    <row r="2914" spans="1:21" ht="14.25" customHeight="1">
      <c r="A2914" s="2" t="s">
        <v>15</v>
      </c>
      <c r="B2914" s="2">
        <v>1996</v>
      </c>
      <c r="C2914" s="2" t="s">
        <v>36</v>
      </c>
      <c r="D2914" s="2">
        <v>20.289000000000001</v>
      </c>
      <c r="E2914" s="2">
        <v>22.225999999999999</v>
      </c>
      <c r="F2914" s="3">
        <f>L2914/1000</f>
        <v>13.2</v>
      </c>
      <c r="G2914" s="3">
        <f>M2914/1000</f>
        <v>33.520000000000003</v>
      </c>
      <c r="H2914" s="3">
        <f>N2914/1000</f>
        <v>1.528</v>
      </c>
      <c r="I2914" s="3">
        <f>O2914/1000</f>
        <v>14.430999999999999</v>
      </c>
      <c r="L2914" s="2">
        <f>12375+825</f>
        <v>13200</v>
      </c>
      <c r="M2914" s="2">
        <f>25030+8490</f>
        <v>33520</v>
      </c>
      <c r="N2914" s="2">
        <f>303+1225</f>
        <v>1528</v>
      </c>
      <c r="O2914" s="2">
        <f>1297+13134</f>
        <v>14431</v>
      </c>
      <c r="P2914" s="3">
        <f>E2914*(VLOOKUP(B2914,Price_data!A$1:B$190,2,FALSE))</f>
        <v>24.786565066518001</v>
      </c>
      <c r="Q2914" s="3">
        <f>G2914*(VLOOKUP(B2914,Price_data!A$1:B$190,2,FALSE))</f>
        <v>37.381699857360005</v>
      </c>
      <c r="R2914" s="3">
        <f>I2914*(VLOOKUP(B2914,Price_data!A$1:B$190,2,FALSE))</f>
        <v>16.093535520332999</v>
      </c>
      <c r="S2914" s="4" t="str">
        <f>(VLOOKUP(B2914,Price_data!A$1:C$190,3,FALSE))</f>
        <v>EEZ</v>
      </c>
      <c r="T2914" s="2" t="str">
        <f>IF(C2914="Total", (VLOOKUP(B2914,Recommended_fish_intake!A$4:D$122,4,FALSE)), "NA")</f>
        <v>NA</v>
      </c>
      <c r="U2914" s="2" t="str">
        <f t="shared" si="339"/>
        <v>NA</v>
      </c>
    </row>
    <row r="2915" spans="1:21" ht="14.25" customHeight="1">
      <c r="A2915" s="2" t="s">
        <v>15</v>
      </c>
      <c r="B2915" s="2">
        <v>1996</v>
      </c>
      <c r="C2915" s="2" t="s">
        <v>34</v>
      </c>
      <c r="D2915" s="2">
        <v>1.2909999999999999</v>
      </c>
      <c r="E2915" s="2">
        <v>11.888</v>
      </c>
      <c r="F2915" s="2" t="s">
        <v>92</v>
      </c>
      <c r="G2915" s="2" t="s">
        <v>92</v>
      </c>
      <c r="H2915" s="2" t="s">
        <v>92</v>
      </c>
      <c r="I2915" s="2" t="s">
        <v>92</v>
      </c>
      <c r="P2915" s="3">
        <f>E2915*(VLOOKUP(B2915,Price_data!A$1:B$190,2,FALSE))</f>
        <v>13.257567061584</v>
      </c>
      <c r="Q2915" s="3" t="e">
        <f>G2915*(VLOOKUP(B2915,Price_data!A$1:B$190,2,FALSE))</f>
        <v>#VALUE!</v>
      </c>
      <c r="R2915" s="3" t="e">
        <f>I2915*(VLOOKUP(B2915,Price_data!A$1:B$190,2,FALSE))</f>
        <v>#VALUE!</v>
      </c>
      <c r="S2915" s="4" t="str">
        <f>(VLOOKUP(B2915,Price_data!A$1:C$190,3,FALSE))</f>
        <v>EEZ</v>
      </c>
      <c r="T2915" s="2" t="str">
        <f>IF(C2915="Total", (VLOOKUP(B2915,Recommended_fish_intake!A$4:D$122,4,FALSE)), "NA")</f>
        <v>NA</v>
      </c>
      <c r="U2915" s="2" t="str">
        <f t="shared" si="339"/>
        <v>NA</v>
      </c>
    </row>
    <row r="2916" spans="1:21" ht="14.25" customHeight="1">
      <c r="A2916" s="2" t="s">
        <v>15</v>
      </c>
      <c r="B2916" s="2">
        <v>1996</v>
      </c>
      <c r="C2916" s="2" t="s">
        <v>35</v>
      </c>
      <c r="D2916" s="2">
        <v>28.960999999999999</v>
      </c>
      <c r="E2916" s="2">
        <v>57.164000000000001</v>
      </c>
      <c r="F2916" s="2" t="s">
        <v>92</v>
      </c>
      <c r="G2916" s="2" t="s">
        <v>92</v>
      </c>
      <c r="H2916" s="2" t="s">
        <v>92</v>
      </c>
      <c r="I2916" s="2" t="s">
        <v>92</v>
      </c>
      <c r="P2916" s="3">
        <f>E2916*(VLOOKUP(B2916,Price_data!A$1:B$190,2,FALSE))</f>
        <v>63.749626809252007</v>
      </c>
      <c r="Q2916" s="3" t="e">
        <f>G2916*(VLOOKUP(B2916,Price_data!A$1:B$190,2,FALSE))</f>
        <v>#VALUE!</v>
      </c>
      <c r="R2916" s="3" t="e">
        <f>I2916*(VLOOKUP(B2916,Price_data!A$1:B$190,2,FALSE))</f>
        <v>#VALUE!</v>
      </c>
      <c r="S2916" s="4" t="str">
        <f>(VLOOKUP(B2916,Price_data!A$1:C$190,3,FALSE))</f>
        <v>EEZ</v>
      </c>
      <c r="T2916" s="2" t="str">
        <f>IF(C2916="Total", (VLOOKUP(B2916,Recommended_fish_intake!A$4:D$122,4,FALSE)), "NA")</f>
        <v>NA</v>
      </c>
      <c r="U2916" s="2" t="str">
        <f t="shared" si="339"/>
        <v>NA</v>
      </c>
    </row>
    <row r="2917" spans="1:21" ht="14.25" customHeight="1">
      <c r="A2917" s="2" t="s">
        <v>15</v>
      </c>
      <c r="B2917" s="2">
        <v>1996</v>
      </c>
      <c r="C2917" s="2" t="s">
        <v>52</v>
      </c>
      <c r="D2917" s="2">
        <v>19.355</v>
      </c>
      <c r="E2917" s="2">
        <v>28.260999999999999</v>
      </c>
      <c r="F2917" s="2" t="s">
        <v>92</v>
      </c>
      <c r="G2917" s="2" t="s">
        <v>92</v>
      </c>
      <c r="H2917" s="2" t="s">
        <v>92</v>
      </c>
      <c r="I2917" s="2" t="s">
        <v>92</v>
      </c>
      <c r="P2917" s="3">
        <f>E2917*(VLOOKUP(B2917,Price_data!A$1:B$190,2,FALSE))</f>
        <v>31.516832329023</v>
      </c>
      <c r="Q2917" s="3" t="e">
        <f>G2917*(VLOOKUP(B2917,Price_data!A$1:B$190,2,FALSE))</f>
        <v>#VALUE!</v>
      </c>
      <c r="R2917" s="3" t="e">
        <f>I2917*(VLOOKUP(B2917,Price_data!A$1:B$190,2,FALSE))</f>
        <v>#VALUE!</v>
      </c>
      <c r="S2917" s="4" t="str">
        <f>(VLOOKUP(B2917,Price_data!A$1:C$190,3,FALSE))</f>
        <v>EEZ</v>
      </c>
      <c r="T2917" s="2" t="str">
        <f>IF(C2917="Total", (VLOOKUP(B2917,Recommended_fish_intake!A$4:D$122,4,FALSE)), "NA")</f>
        <v>NA</v>
      </c>
      <c r="U2917" s="2" t="str">
        <f t="shared" si="339"/>
        <v>NA</v>
      </c>
    </row>
    <row r="2918" spans="1:21" ht="14.25" customHeight="1">
      <c r="A2918" s="2" t="s">
        <v>15</v>
      </c>
      <c r="B2918" s="2">
        <v>1996</v>
      </c>
      <c r="C2918" s="2" t="s">
        <v>30</v>
      </c>
      <c r="D2918" s="2">
        <v>2.677</v>
      </c>
      <c r="E2918" s="2">
        <v>3.2570000000000001</v>
      </c>
      <c r="F2918" s="3">
        <f t="shared" ref="F2918:I2920" si="341">L2918/1000</f>
        <v>22.021999999999998</v>
      </c>
      <c r="G2918" s="3">
        <f t="shared" si="341"/>
        <v>78.367000000000004</v>
      </c>
      <c r="H2918" s="3">
        <f t="shared" si="341"/>
        <v>61.963999999999999</v>
      </c>
      <c r="I2918" s="3">
        <f t="shared" si="341"/>
        <v>295.59699999999998</v>
      </c>
      <c r="L2918" s="2">
        <f>936+16914+4172</f>
        <v>22022</v>
      </c>
      <c r="M2918" s="2">
        <f>3804+61320+13243</f>
        <v>78367</v>
      </c>
      <c r="N2918" s="2">
        <f>4459+22231+35274</f>
        <v>61964</v>
      </c>
      <c r="O2918" s="2">
        <f>14050+100623+180924</f>
        <v>295597</v>
      </c>
      <c r="P2918" s="3">
        <f>E2918*(VLOOKUP(B2918,Price_data!A$1:B$190,2,FALSE))</f>
        <v>3.6322254306510002</v>
      </c>
      <c r="Q2918" s="3">
        <f>G2918*(VLOOKUP(B2918,Price_data!A$1:B$190,2,FALSE))</f>
        <v>87.395336298381011</v>
      </c>
      <c r="R2918" s="3">
        <f>I2918*(VLOOKUP(B2918,Price_data!A$1:B$190,2,FALSE))</f>
        <v>329.65150157327099</v>
      </c>
      <c r="S2918" s="4" t="str">
        <f>(VLOOKUP(B2918,Price_data!A$1:C$190,3,FALSE))</f>
        <v>EEZ</v>
      </c>
      <c r="T2918" s="2" t="str">
        <f>IF(C2918="Total", (VLOOKUP(B2918,Recommended_fish_intake!A$4:D$122,4,FALSE)), "NA")</f>
        <v>NA</v>
      </c>
      <c r="U2918" s="2" t="str">
        <f t="shared" si="339"/>
        <v>NA</v>
      </c>
    </row>
    <row r="2919" spans="1:21" ht="14.25" customHeight="1">
      <c r="A2919" s="2" t="s">
        <v>15</v>
      </c>
      <c r="B2919" s="2">
        <v>1996</v>
      </c>
      <c r="C2919" s="2" t="s">
        <v>28</v>
      </c>
      <c r="D2919" s="2">
        <v>131.58099999999999</v>
      </c>
      <c r="E2919" s="2">
        <v>148</v>
      </c>
      <c r="F2919" s="3">
        <f t="shared" si="341"/>
        <v>75.332999999999998</v>
      </c>
      <c r="G2919" s="3">
        <f t="shared" si="341"/>
        <v>259.73700000000002</v>
      </c>
      <c r="H2919" s="3">
        <f t="shared" si="341"/>
        <v>74.900000000000006</v>
      </c>
      <c r="I2919" s="3">
        <f t="shared" si="341"/>
        <v>345.68400000000003</v>
      </c>
      <c r="L2919" s="2">
        <v>75333</v>
      </c>
      <c r="M2919" s="2">
        <v>259737</v>
      </c>
      <c r="N2919" s="2">
        <v>74900</v>
      </c>
      <c r="O2919" s="2">
        <v>345684</v>
      </c>
      <c r="P2919" s="3">
        <f>E2919*(VLOOKUP(B2919,Price_data!A$1:B$190,2,FALSE))</f>
        <v>165.050464764</v>
      </c>
      <c r="Q2919" s="3">
        <f>G2919*(VLOOKUP(B2919,Price_data!A$1:B$190,2,FALSE))</f>
        <v>289.66022004329102</v>
      </c>
      <c r="R2919" s="3">
        <f>I2919*(VLOOKUP(B2919,Price_data!A$1:B$190,2,FALSE))</f>
        <v>385.50881663161204</v>
      </c>
      <c r="S2919" s="4" t="str">
        <f>(VLOOKUP(B2919,Price_data!A$1:C$190,3,FALSE))</f>
        <v>EEZ</v>
      </c>
      <c r="T2919" s="2" t="str">
        <f>IF(C2919="Total", (VLOOKUP(B2919,Recommended_fish_intake!A$4:D$122,4,FALSE)), "NA")</f>
        <v>NA</v>
      </c>
      <c r="U2919" s="2">
        <f t="shared" si="339"/>
        <v>36.842680000000001</v>
      </c>
    </row>
    <row r="2920" spans="1:21" ht="14.25" customHeight="1">
      <c r="A2920" s="2" t="s">
        <v>15</v>
      </c>
      <c r="B2920" s="2">
        <v>1996</v>
      </c>
      <c r="C2920" s="2" t="s">
        <v>37</v>
      </c>
      <c r="D2920" s="2">
        <f>D2708+D2960</f>
        <v>51.891000000000005</v>
      </c>
      <c r="E2920" s="2">
        <f>E2708+E2960</f>
        <v>52.953000000000003</v>
      </c>
      <c r="F2920" s="3">
        <f t="shared" si="341"/>
        <v>235.03200000000001</v>
      </c>
      <c r="G2920" s="3">
        <f t="shared" si="341"/>
        <v>441.02699999999999</v>
      </c>
      <c r="H2920" s="3">
        <f t="shared" si="341"/>
        <v>458.26900000000001</v>
      </c>
      <c r="I2920" s="3">
        <f t="shared" si="341"/>
        <v>867.67100000000005</v>
      </c>
      <c r="L2920" s="2">
        <v>235032</v>
      </c>
      <c r="M2920" s="2">
        <v>441027</v>
      </c>
      <c r="N2920" s="2">
        <v>458269</v>
      </c>
      <c r="O2920" s="2">
        <v>867671</v>
      </c>
      <c r="P2920" s="3">
        <f>E2920*(VLOOKUP(B2920,Price_data!A$1:B$190,2,FALSE))</f>
        <v>59.053495004379002</v>
      </c>
      <c r="Q2920" s="3">
        <f>G2920*(VLOOKUP(B2920,Price_data!A$1:B$190,2,FALSE))</f>
        <v>491.835887320761</v>
      </c>
      <c r="R2920" s="3">
        <f>I2920*(VLOOKUP(B2920,Price_data!A$1:B$190,2,FALSE))</f>
        <v>967.63176900165308</v>
      </c>
      <c r="S2920" s="4" t="str">
        <f>(VLOOKUP(B2920,Price_data!A$1:C$190,3,FALSE))</f>
        <v>EEZ</v>
      </c>
      <c r="T2920" s="2" t="str">
        <f>IF(C2920="Total", (VLOOKUP(B2920,Recommended_fish_intake!A$4:D$122,4,FALSE)), "NA")</f>
        <v>NA</v>
      </c>
      <c r="U2920" s="2">
        <f t="shared" si="339"/>
        <v>25.426590000000001</v>
      </c>
    </row>
    <row r="2921" spans="1:21" ht="14.25" customHeight="1">
      <c r="A2921" s="2" t="s">
        <v>15</v>
      </c>
      <c r="B2921" s="2">
        <v>1996</v>
      </c>
      <c r="C2921" s="2" t="s">
        <v>41</v>
      </c>
      <c r="D2921" s="2">
        <v>331.34100000000001</v>
      </c>
      <c r="E2921" s="2">
        <v>313.18599999999998</v>
      </c>
      <c r="F2921" s="2" t="s">
        <v>92</v>
      </c>
      <c r="G2921" s="2" t="s">
        <v>92</v>
      </c>
      <c r="H2921" s="2" t="s">
        <v>92</v>
      </c>
      <c r="I2921" s="2" t="s">
        <v>92</v>
      </c>
      <c r="P2921" s="3">
        <f>E2921*(VLOOKUP(B2921,Price_data!A$1:B$190,2,FALSE))</f>
        <v>349.26685714579799</v>
      </c>
      <c r="Q2921" s="3" t="e">
        <f>G2921*(VLOOKUP(B2921,Price_data!A$1:B$190,2,FALSE))</f>
        <v>#VALUE!</v>
      </c>
      <c r="R2921" s="3" t="e">
        <f>I2921*(VLOOKUP(B2921,Price_data!A$1:B$190,2,FALSE))</f>
        <v>#VALUE!</v>
      </c>
      <c r="S2921" s="4" t="str">
        <f>(VLOOKUP(B2921,Price_data!A$1:C$190,3,FALSE))</f>
        <v>EEZ</v>
      </c>
      <c r="T2921" s="2" t="str">
        <f>IF(C2921="Total", (VLOOKUP(B2921,Recommended_fish_intake!A$4:D$122,4,FALSE)), "NA")</f>
        <v>NA</v>
      </c>
      <c r="U2921" s="2" t="str">
        <f t="shared" si="339"/>
        <v>NA</v>
      </c>
    </row>
    <row r="2922" spans="1:21" ht="14.25" customHeight="1">
      <c r="A2922" s="2" t="s">
        <v>15</v>
      </c>
      <c r="B2922" s="2">
        <v>1996</v>
      </c>
      <c r="C2922" s="2" t="s">
        <v>22</v>
      </c>
      <c r="D2922" s="2">
        <v>75.694999999999993</v>
      </c>
      <c r="E2922" s="2">
        <v>69.751999999999995</v>
      </c>
      <c r="F2922" s="3">
        <f t="shared" ref="F2922:I2927" si="342">L2922/1000</f>
        <v>13.26</v>
      </c>
      <c r="G2922" s="3">
        <f t="shared" si="342"/>
        <v>24.129000000000001</v>
      </c>
      <c r="H2922" s="3">
        <f t="shared" si="342"/>
        <v>111.73699999999999</v>
      </c>
      <c r="I2922" s="3">
        <f t="shared" si="342"/>
        <v>211.36799999999999</v>
      </c>
      <c r="L2922" s="2">
        <f>2538+1030+4619+1620+691+1843+919</f>
        <v>13260</v>
      </c>
      <c r="M2922" s="2">
        <f>4651+2964+5265+4073+476+4032+2668</f>
        <v>24129</v>
      </c>
      <c r="N2922" s="2">
        <f>23885+670+28217+52142+5179+756+888</f>
        <v>111737</v>
      </c>
      <c r="O2922" s="2">
        <f>26751+1904+27542+143218+6141+2975+2837</f>
        <v>211368</v>
      </c>
      <c r="P2922" s="3">
        <f>E2922*(VLOOKUP(B2922,Price_data!A$1:B$190,2,FALSE))</f>
        <v>77.787837960936002</v>
      </c>
      <c r="Q2922" s="3">
        <f>G2922*(VLOOKUP(B2922,Price_data!A$1:B$190,2,FALSE))</f>
        <v>26.908801785747002</v>
      </c>
      <c r="R2922" s="3">
        <f>I2922*(VLOOKUP(B2922,Price_data!A$1:B$190,2,FALSE))</f>
        <v>235.718828623224</v>
      </c>
      <c r="S2922" s="4" t="str">
        <f>(VLOOKUP(B2922,Price_data!A$1:C$190,3,FALSE))</f>
        <v>EEZ</v>
      </c>
      <c r="T2922" s="2" t="str">
        <f>IF(C2922="Total", (VLOOKUP(B2922,Recommended_fish_intake!A$4:D$122,4,FALSE)), "NA")</f>
        <v>NA</v>
      </c>
      <c r="U2922" s="2" t="str">
        <f t="shared" si="339"/>
        <v>NA</v>
      </c>
    </row>
    <row r="2923" spans="1:21" ht="14.25" customHeight="1">
      <c r="A2923" s="2" t="s">
        <v>15</v>
      </c>
      <c r="B2923" s="2">
        <v>1996</v>
      </c>
      <c r="C2923" s="2" t="s">
        <v>23</v>
      </c>
      <c r="D2923" s="2">
        <v>89.105999999999995</v>
      </c>
      <c r="E2923" s="2">
        <v>54.332999999999998</v>
      </c>
      <c r="F2923" s="4">
        <f t="shared" si="342"/>
        <v>1.06</v>
      </c>
      <c r="G2923" s="4">
        <f t="shared" si="342"/>
        <v>2.58</v>
      </c>
      <c r="H2923" s="4">
        <f t="shared" si="342"/>
        <v>50.936999999999998</v>
      </c>
      <c r="I2923" s="4">
        <f t="shared" si="342"/>
        <v>80.028999999999996</v>
      </c>
      <c r="L2923" s="2">
        <f>235+243+444+138</f>
        <v>1060</v>
      </c>
      <c r="M2923" s="2">
        <f>696+307+1287+290</f>
        <v>2580</v>
      </c>
      <c r="N2923" s="2">
        <f>18920+12502+18489+1026</f>
        <v>50937</v>
      </c>
      <c r="O2923" s="2">
        <f>19738+11187+47541+1563</f>
        <v>80029</v>
      </c>
      <c r="P2923" s="3">
        <f>E2923*(VLOOKUP(B2923,Price_data!A$1:B$190,2,FALSE))</f>
        <v>60.592479067718997</v>
      </c>
      <c r="Q2923" s="3">
        <f>G2923*(VLOOKUP(B2923,Price_data!A$1:B$190,2,FALSE))</f>
        <v>2.8772310749400001</v>
      </c>
      <c r="R2923" s="3">
        <f>I2923*(VLOOKUP(B2923,Price_data!A$1:B$190,2,FALSE))</f>
        <v>89.248808409446994</v>
      </c>
      <c r="S2923" s="4" t="str">
        <f>(VLOOKUP(B2923,Price_data!A$1:C$190,3,FALSE))</f>
        <v>EEZ</v>
      </c>
      <c r="T2923" s="2" t="str">
        <f>IF(C2923="Total", (VLOOKUP(B2923,Recommended_fish_intake!A$4:D$122,4,FALSE)), "NA")</f>
        <v>NA</v>
      </c>
      <c r="U2923" s="2" t="str">
        <f t="shared" si="339"/>
        <v>NA</v>
      </c>
    </row>
    <row r="2924" spans="1:21" ht="14.25" customHeight="1">
      <c r="A2924" s="2" t="s">
        <v>15</v>
      </c>
      <c r="B2924" s="2">
        <v>1996</v>
      </c>
      <c r="C2924" s="2" t="s">
        <v>58</v>
      </c>
      <c r="D2924" s="2">
        <v>29.742000000000001</v>
      </c>
      <c r="E2924" s="2">
        <v>51.468000000000004</v>
      </c>
      <c r="F2924" s="4">
        <f t="shared" si="342"/>
        <v>6.17</v>
      </c>
      <c r="G2924" s="4">
        <f t="shared" si="342"/>
        <v>28.024000000000001</v>
      </c>
      <c r="H2924" s="4">
        <f t="shared" si="342"/>
        <v>0.63200000000000001</v>
      </c>
      <c r="I2924" s="4">
        <f t="shared" si="342"/>
        <v>2.141</v>
      </c>
      <c r="L2924" s="2">
        <f>5589+140+441</f>
        <v>6170</v>
      </c>
      <c r="M2924" s="2">
        <f>25488+265+2271</f>
        <v>28024</v>
      </c>
      <c r="N2924" s="2">
        <f>588+2+42</f>
        <v>632</v>
      </c>
      <c r="O2924" s="2">
        <f>1967+11+163</f>
        <v>2141</v>
      </c>
      <c r="P2924" s="3">
        <f>E2924*(VLOOKUP(B2924,Price_data!A$1:B$190,2,FALSE))</f>
        <v>57.397414327524004</v>
      </c>
      <c r="Q2924" s="3">
        <f>G2924*(VLOOKUP(B2924,Price_data!A$1:B$190,2,FALSE))</f>
        <v>31.252528544232003</v>
      </c>
      <c r="R2924" s="3">
        <f>I2924*(VLOOKUP(B2924,Price_data!A$1:B$190,2,FALSE))</f>
        <v>2.387655709863</v>
      </c>
      <c r="S2924" s="4" t="str">
        <f>(VLOOKUP(B2924,Price_data!A$1:C$190,3,FALSE))</f>
        <v>EEZ</v>
      </c>
      <c r="T2924" s="2" t="str">
        <f>IF(C2924="Total", (VLOOKUP(B2924,Recommended_fish_intake!A$4:D$122,4,FALSE)), "NA")</f>
        <v>NA</v>
      </c>
      <c r="U2924" s="2" t="str">
        <f t="shared" si="339"/>
        <v>NA</v>
      </c>
    </row>
    <row r="2925" spans="1:21" ht="14.25" customHeight="1">
      <c r="A2925" s="2" t="s">
        <v>15</v>
      </c>
      <c r="B2925" s="2">
        <v>1996</v>
      </c>
      <c r="C2925" s="2" t="s">
        <v>24</v>
      </c>
      <c r="D2925" s="2">
        <v>37.262999999999998</v>
      </c>
      <c r="E2925" s="2">
        <v>18.962</v>
      </c>
      <c r="F2925" s="4">
        <f t="shared" si="342"/>
        <v>3.839</v>
      </c>
      <c r="G2925" s="4">
        <f t="shared" si="342"/>
        <v>6.6120000000000001</v>
      </c>
      <c r="H2925" s="4">
        <f t="shared" si="342"/>
        <v>0.94399999999999995</v>
      </c>
      <c r="I2925" s="4">
        <f t="shared" si="342"/>
        <v>0.77900000000000003</v>
      </c>
      <c r="L2925" s="2">
        <f>2259+23+1557</f>
        <v>3839</v>
      </c>
      <c r="M2925" s="2">
        <f>2858+44+3710</f>
        <v>6612</v>
      </c>
      <c r="N2925" s="2">
        <f>882+4+58</f>
        <v>944</v>
      </c>
      <c r="O2925" s="2">
        <f>672+3+104</f>
        <v>779</v>
      </c>
      <c r="P2925" s="3">
        <f>E2925*(VLOOKUP(B2925,Price_data!A$1:B$190,2,FALSE))</f>
        <v>21.146533194966</v>
      </c>
      <c r="Q2925" s="3">
        <f>G2925*(VLOOKUP(B2925,Price_data!A$1:B$190,2,FALSE))</f>
        <v>7.3737410339160006</v>
      </c>
      <c r="R2925" s="3">
        <f>I2925*(VLOOKUP(B2925,Price_data!A$1:B$190,2,FALSE))</f>
        <v>0.86874535169700007</v>
      </c>
      <c r="S2925" s="4" t="str">
        <f>(VLOOKUP(B2925,Price_data!A$1:C$190,3,FALSE))</f>
        <v>EEZ</v>
      </c>
      <c r="T2925" s="2" t="str">
        <f>IF(C2925="Total", (VLOOKUP(B2925,Recommended_fish_intake!A$4:D$122,4,FALSE)), "NA")</f>
        <v>NA</v>
      </c>
      <c r="U2925" s="2" t="str">
        <f t="shared" si="339"/>
        <v>NA</v>
      </c>
    </row>
    <row r="2926" spans="1:21" ht="14.25" customHeight="1">
      <c r="A2926" s="2" t="s">
        <v>15</v>
      </c>
      <c r="B2926" s="2">
        <v>1996</v>
      </c>
      <c r="C2926" s="2" t="s">
        <v>19</v>
      </c>
      <c r="D2926" s="2">
        <v>72.325000000000003</v>
      </c>
      <c r="E2926" s="2">
        <v>8.7420000000000009</v>
      </c>
      <c r="F2926" s="4">
        <f t="shared" si="342"/>
        <v>34.569000000000003</v>
      </c>
      <c r="G2926" s="4">
        <f t="shared" si="342"/>
        <v>19.742000000000001</v>
      </c>
      <c r="H2926" s="4">
        <f t="shared" si="342"/>
        <v>9.89</v>
      </c>
      <c r="I2926" s="4">
        <f t="shared" si="342"/>
        <v>7.62</v>
      </c>
      <c r="L2926" s="2">
        <f>2574+6817+15822+4781+1004+2770+801</f>
        <v>34569</v>
      </c>
      <c r="M2926" s="2">
        <f>1256+3766+7956+2677+518+2786+783</f>
        <v>19742</v>
      </c>
      <c r="N2926" s="2">
        <f>1713+38+4238+865+746+622+1668</f>
        <v>9890</v>
      </c>
      <c r="O2926" s="2">
        <f>274+25+1902+580+475+373+3991</f>
        <v>7620</v>
      </c>
      <c r="P2926" s="3">
        <f>E2926*(VLOOKUP(B2926,Price_data!A$1:B$190,2,FALSE))</f>
        <v>9.7491294795060011</v>
      </c>
      <c r="Q2926" s="3">
        <f>G2926*(VLOOKUP(B2926,Price_data!A$1:B$190,2,FALSE))</f>
        <v>22.016393752506001</v>
      </c>
      <c r="R2926" s="3">
        <f>I2926*(VLOOKUP(B2926,Price_data!A$1:B$190,2,FALSE))</f>
        <v>8.4978685236600011</v>
      </c>
      <c r="S2926" s="4" t="str">
        <f>(VLOOKUP(B2926,Price_data!A$1:C$190,3,FALSE))</f>
        <v>EEZ</v>
      </c>
      <c r="T2926" s="2" t="str">
        <f>IF(C2926="Total", (VLOOKUP(B2926,Recommended_fish_intake!A$4:D$122,4,FALSE)), "NA")</f>
        <v>NA</v>
      </c>
      <c r="U2926" s="2" t="str">
        <f t="shared" si="339"/>
        <v>NA</v>
      </c>
    </row>
    <row r="2927" spans="1:21" ht="14.25" customHeight="1">
      <c r="A2927" s="2" t="s">
        <v>15</v>
      </c>
      <c r="B2927" s="2">
        <v>1996</v>
      </c>
      <c r="C2927" s="2" t="s">
        <v>20</v>
      </c>
      <c r="D2927" s="2">
        <v>60.834000000000003</v>
      </c>
      <c r="E2927" s="2">
        <v>15.645</v>
      </c>
      <c r="F2927" s="4">
        <f t="shared" si="342"/>
        <v>55.064999999999998</v>
      </c>
      <c r="G2927" s="4">
        <f t="shared" si="342"/>
        <v>35.585999999999999</v>
      </c>
      <c r="H2927" s="4">
        <f t="shared" si="342"/>
        <v>6.3010000000000002</v>
      </c>
      <c r="I2927" s="4">
        <f t="shared" si="342"/>
        <v>6.9740000000000002</v>
      </c>
      <c r="L2927" s="2">
        <f>8566+41652+2576+793+1478</f>
        <v>55065</v>
      </c>
      <c r="M2927" s="2">
        <f>5214+23561+2260+1325+3226</f>
        <v>35586</v>
      </c>
      <c r="N2927" s="2">
        <f>3163+555+414+1+2168</f>
        <v>6301</v>
      </c>
      <c r="O2927" s="2">
        <f>973+218+375+4+5404</f>
        <v>6974</v>
      </c>
      <c r="P2927" s="3">
        <f>E2927*(VLOOKUP(B2927,Price_data!A$1:B$190,2,FALSE))</f>
        <v>17.447395413734998</v>
      </c>
      <c r="Q2927" s="3">
        <f>G2927*(VLOOKUP(B2927,Price_data!A$1:B$190,2,FALSE))</f>
        <v>39.685715128997998</v>
      </c>
      <c r="R2927" s="3">
        <f>I2927*(VLOOKUP(B2927,Price_data!A$1:B$190,2,FALSE))</f>
        <v>7.7774455490820005</v>
      </c>
      <c r="S2927" s="4" t="str">
        <f>(VLOOKUP(B2927,Price_data!A$1:C$190,3,FALSE))</f>
        <v>EEZ</v>
      </c>
      <c r="T2927" s="2" t="str">
        <f>IF(C2927="Total", (VLOOKUP(B2927,Recommended_fish_intake!A$4:D$122,4,FALSE)), "NA")</f>
        <v>NA</v>
      </c>
      <c r="U2927" s="2" t="str">
        <f t="shared" si="339"/>
        <v>NA</v>
      </c>
    </row>
    <row r="2928" spans="1:21" ht="14.25" customHeight="1">
      <c r="A2928" s="2" t="s">
        <v>15</v>
      </c>
      <c r="B2928" s="2">
        <v>1996</v>
      </c>
      <c r="C2928" s="2" t="s">
        <v>21</v>
      </c>
      <c r="D2928" s="3">
        <v>7.2</v>
      </c>
      <c r="E2928" s="3">
        <v>1.2</v>
      </c>
      <c r="F2928" s="2" t="s">
        <v>92</v>
      </c>
      <c r="G2928" s="2" t="s">
        <v>92</v>
      </c>
      <c r="H2928" s="2" t="s">
        <v>92</v>
      </c>
      <c r="I2928" s="2" t="s">
        <v>92</v>
      </c>
      <c r="P2928" s="3">
        <f>E2928*(VLOOKUP(B2928,Price_data!A$1:B$190,2,FALSE))</f>
        <v>1.3382470116</v>
      </c>
      <c r="Q2928" s="3" t="e">
        <f>G2928*(VLOOKUP(B2928,Price_data!A$1:B$190,2,FALSE))</f>
        <v>#VALUE!</v>
      </c>
      <c r="R2928" s="3" t="e">
        <f>I2928*(VLOOKUP(B2928,Price_data!A$1:B$190,2,FALSE))</f>
        <v>#VALUE!</v>
      </c>
      <c r="S2928" s="4" t="str">
        <f>(VLOOKUP(B2928,Price_data!A$1:C$190,3,FALSE))</f>
        <v>EEZ</v>
      </c>
      <c r="T2928" s="2" t="str">
        <f>IF(C2928="Total", (VLOOKUP(B2928,Recommended_fish_intake!A$4:D$122,4,FALSE)), "NA")</f>
        <v>NA</v>
      </c>
      <c r="U2928" s="2" t="str">
        <f t="shared" si="339"/>
        <v>NA</v>
      </c>
    </row>
    <row r="2929" spans="1:21" ht="14.25" customHeight="1">
      <c r="A2929" s="2" t="s">
        <v>15</v>
      </c>
      <c r="B2929" s="2">
        <v>1996</v>
      </c>
      <c r="C2929" s="2" t="s">
        <v>25</v>
      </c>
      <c r="D2929" s="2">
        <v>12.5</v>
      </c>
      <c r="E2929" s="2">
        <v>16</v>
      </c>
      <c r="F2929" s="3">
        <f t="shared" ref="F2929:I2931" si="343">IF(L2929="", NA(), L2929/1000)</f>
        <v>2.4620000000000002</v>
      </c>
      <c r="G2929" s="3">
        <f t="shared" si="343"/>
        <v>4.0350000000000001</v>
      </c>
      <c r="H2929" s="3">
        <f t="shared" si="343"/>
        <v>9.7799999999999994</v>
      </c>
      <c r="I2929" s="3">
        <f t="shared" si="343"/>
        <v>25.888000000000002</v>
      </c>
      <c r="L2929" s="2">
        <f>2005+74+383</f>
        <v>2462</v>
      </c>
      <c r="M2929" s="2">
        <f>2624+91+1320</f>
        <v>4035</v>
      </c>
      <c r="N2929" s="2">
        <f>5333+444+4003</f>
        <v>9780</v>
      </c>
      <c r="O2929" s="2">
        <f>8646+835+16407</f>
        <v>25888</v>
      </c>
      <c r="P2929" s="3">
        <f>E2929*(VLOOKUP(B2929,Price_data!A$1:B$190,2,FALSE))</f>
        <v>17.843293488</v>
      </c>
      <c r="Q2929" s="3">
        <f>G2929*(VLOOKUP(B2929,Price_data!A$1:B$190,2,FALSE))</f>
        <v>4.4998555765050003</v>
      </c>
      <c r="R2929" s="3">
        <f>I2929*(VLOOKUP(B2929,Price_data!A$1:B$190,2,FALSE))</f>
        <v>28.870448863584002</v>
      </c>
      <c r="S2929" s="4" t="str">
        <f>(VLOOKUP(B2929,Price_data!A$1:C$190,3,FALSE))</f>
        <v>EEZ</v>
      </c>
      <c r="T2929" s="2" t="str">
        <f>IF(C2929="Total", (VLOOKUP(B2929,Recommended_fish_intake!A$4:D$122,4,FALSE)), "NA")</f>
        <v>NA</v>
      </c>
      <c r="U2929" s="2" t="str">
        <f t="shared" si="339"/>
        <v>NA</v>
      </c>
    </row>
    <row r="2930" spans="1:21" ht="14.25" customHeight="1">
      <c r="A2930" s="2" t="s">
        <v>15</v>
      </c>
      <c r="B2930" s="2">
        <v>1996</v>
      </c>
      <c r="C2930" s="2" t="s">
        <v>43</v>
      </c>
      <c r="D2930" s="3" t="e">
        <v>#N/A</v>
      </c>
      <c r="E2930" s="3" t="e">
        <v>#N/A</v>
      </c>
      <c r="F2930" s="3">
        <f t="shared" si="343"/>
        <v>2.92</v>
      </c>
      <c r="G2930" s="3">
        <f t="shared" si="343"/>
        <v>6.3369999999999997</v>
      </c>
      <c r="H2930" s="3">
        <f t="shared" si="343"/>
        <v>91.659000000000006</v>
      </c>
      <c r="I2930" s="3">
        <f t="shared" si="343"/>
        <v>164.077</v>
      </c>
      <c r="L2930" s="2">
        <f>125+31+2764</f>
        <v>2920</v>
      </c>
      <c r="M2930" s="2">
        <f>465+33+5839</f>
        <v>6337</v>
      </c>
      <c r="N2930" s="2">
        <f>343+702+90614</f>
        <v>91659</v>
      </c>
      <c r="O2930" s="2">
        <f>2104+989+160984</f>
        <v>164077</v>
      </c>
      <c r="P2930" s="3" t="e">
        <f>E2930*(VLOOKUP(B2930,Price_data!A$1:B$190,2,FALSE))</f>
        <v>#N/A</v>
      </c>
      <c r="Q2930" s="3">
        <f>G2930*(VLOOKUP(B2930,Price_data!A$1:B$190,2,FALSE))</f>
        <v>7.0670594270910003</v>
      </c>
      <c r="R2930" s="3">
        <f>I2930*(VLOOKUP(B2930,Price_data!A$1:B$190,2,FALSE))</f>
        <v>182.979629101911</v>
      </c>
      <c r="S2930" s="4" t="str">
        <f>(VLOOKUP(B2930,Price_data!A$1:C$190,3,FALSE))</f>
        <v>EEZ</v>
      </c>
      <c r="T2930" s="2" t="str">
        <f>IF(C2930="Total", (VLOOKUP(B2930,Recommended_fish_intake!A$4:D$122,4,FALSE)), "NA")</f>
        <v>NA</v>
      </c>
      <c r="U2930" s="2" t="str">
        <f t="shared" si="339"/>
        <v>NA</v>
      </c>
    </row>
    <row r="2931" spans="1:21" ht="14.25" customHeight="1">
      <c r="A2931" s="2" t="s">
        <v>15</v>
      </c>
      <c r="B2931" s="2">
        <v>1996</v>
      </c>
      <c r="C2931" s="2" t="s">
        <v>29</v>
      </c>
      <c r="D2931" s="3" t="e">
        <v>#N/A</v>
      </c>
      <c r="E2931" s="3" t="e">
        <v>#N/A</v>
      </c>
      <c r="F2931" s="3">
        <f t="shared" si="343"/>
        <v>31.882000000000001</v>
      </c>
      <c r="G2931" s="3">
        <f t="shared" si="343"/>
        <v>113.411</v>
      </c>
      <c r="H2931" s="3">
        <f t="shared" si="343"/>
        <v>46.93</v>
      </c>
      <c r="I2931" s="3">
        <f t="shared" si="343"/>
        <v>140.92099999999999</v>
      </c>
      <c r="L2931" s="2">
        <f>25+23272+1518+2385+117+2973+1592</f>
        <v>31882</v>
      </c>
      <c r="M2931" s="2">
        <f>211+66698+5831+6620+630+28794+4627</f>
        <v>113411</v>
      </c>
      <c r="N2931" s="2">
        <f>25+10739+609+2210+1024+174+32149</f>
        <v>46930</v>
      </c>
      <c r="O2931" s="2">
        <f>95+29451+2286+2894+3239+1178+101778</f>
        <v>140921</v>
      </c>
      <c r="P2931" s="3" t="e">
        <f>E2931*(VLOOKUP(B2931,Price_data!A$1:B$190,2,FALSE))</f>
        <v>#N/A</v>
      </c>
      <c r="Q2931" s="3">
        <f>G2931*(VLOOKUP(B2931,Price_data!A$1:B$190,2,FALSE))</f>
        <v>126.476609860473</v>
      </c>
      <c r="R2931" s="3">
        <f>I2931*(VLOOKUP(B2931,Price_data!A$1:B$190,2,FALSE))</f>
        <v>157.15592260140301</v>
      </c>
      <c r="S2931" s="4" t="str">
        <f>(VLOOKUP(B2931,Price_data!A$1:C$190,3,FALSE))</f>
        <v>EEZ</v>
      </c>
      <c r="T2931" s="2" t="str">
        <f>IF(C2931="Total", (VLOOKUP(B2931,Recommended_fish_intake!A$4:D$122,4,FALSE)), "NA")</f>
        <v>NA</v>
      </c>
      <c r="U2931" s="2" t="str">
        <f t="shared" si="339"/>
        <v>NA</v>
      </c>
    </row>
    <row r="2932" spans="1:21" ht="14.25" customHeight="1">
      <c r="A2932" s="2" t="s">
        <v>90</v>
      </c>
      <c r="B2932" s="2">
        <v>1997</v>
      </c>
      <c r="C2932" s="2" t="s">
        <v>22</v>
      </c>
      <c r="D2932" s="2">
        <v>31.1</v>
      </c>
      <c r="E2932" s="2">
        <v>28.9</v>
      </c>
      <c r="P2932" s="3">
        <f>E2932*(VLOOKUP(B2932,Price_data!A$1:B$190,2,FALSE))</f>
        <v>31.249026246499998</v>
      </c>
      <c r="Q2932" s="3">
        <f>G2932*(VLOOKUP(B2932,Price_data!A$1:B$190,2,FALSE))</f>
        <v>0</v>
      </c>
      <c r="R2932" s="3">
        <f>I2932*(VLOOKUP(B2932,Price_data!A$1:B$190,2,FALSE))</f>
        <v>0</v>
      </c>
      <c r="S2932" s="4" t="str">
        <f>(VLOOKUP(B2932,Price_data!A$1:C$190,3,FALSE))</f>
        <v>EEZ</v>
      </c>
      <c r="T2932" s="2" t="str">
        <f>IF(C2932="Total", (VLOOKUP(B2932,Recommended_fish_intake!A$4:D$122,4,FALSE)), "NA")</f>
        <v>NA</v>
      </c>
      <c r="U2932" s="2" t="str">
        <f t="shared" si="339"/>
        <v>NA</v>
      </c>
    </row>
    <row r="2933" spans="1:21" ht="14.25" customHeight="1">
      <c r="A2933" s="2" t="s">
        <v>90</v>
      </c>
      <c r="B2933" s="2">
        <v>1997</v>
      </c>
      <c r="C2933" s="2" t="s">
        <v>23</v>
      </c>
      <c r="D2933" s="2">
        <v>6.1</v>
      </c>
      <c r="E2933" s="2">
        <v>4</v>
      </c>
      <c r="P2933" s="3">
        <f>E2933*(VLOOKUP(B2933,Price_data!A$1:B$190,2,FALSE))</f>
        <v>4.3251247399999997</v>
      </c>
      <c r="Q2933" s="3">
        <f>G2933*(VLOOKUP(B2933,Price_data!A$1:B$190,2,FALSE))</f>
        <v>0</v>
      </c>
      <c r="R2933" s="3">
        <f>I2933*(VLOOKUP(B2933,Price_data!A$1:B$190,2,FALSE))</f>
        <v>0</v>
      </c>
      <c r="S2933" s="4" t="str">
        <f>(VLOOKUP(B2933,Price_data!A$1:C$190,3,FALSE))</f>
        <v>EEZ</v>
      </c>
      <c r="T2933" s="2" t="str">
        <f>IF(C2933="Total", (VLOOKUP(B2933,Recommended_fish_intake!A$4:D$122,4,FALSE)), "NA")</f>
        <v>NA</v>
      </c>
      <c r="U2933" s="2" t="str">
        <f t="shared" si="339"/>
        <v>NA</v>
      </c>
    </row>
    <row r="2934" spans="1:21" ht="14.25" customHeight="1">
      <c r="A2934" s="2" t="s">
        <v>90</v>
      </c>
      <c r="B2934" s="2">
        <v>1997</v>
      </c>
      <c r="C2934" s="2" t="s">
        <v>58</v>
      </c>
      <c r="D2934" s="2">
        <v>3.9</v>
      </c>
      <c r="E2934" s="2">
        <v>7.4</v>
      </c>
      <c r="P2934" s="3">
        <f>E2934*(VLOOKUP(B2934,Price_data!A$1:B$190,2,FALSE))</f>
        <v>8.0014807690000005</v>
      </c>
      <c r="Q2934" s="3">
        <f>G2934*(VLOOKUP(B2934,Price_data!A$1:B$190,2,FALSE))</f>
        <v>0</v>
      </c>
      <c r="R2934" s="3">
        <f>I2934*(VLOOKUP(B2934,Price_data!A$1:B$190,2,FALSE))</f>
        <v>0</v>
      </c>
      <c r="S2934" s="4" t="str">
        <f>(VLOOKUP(B2934,Price_data!A$1:C$190,3,FALSE))</f>
        <v>EEZ</v>
      </c>
      <c r="T2934" s="2" t="str">
        <f>IF(C2934="Total", (VLOOKUP(B2934,Recommended_fish_intake!A$4:D$122,4,FALSE)), "NA")</f>
        <v>NA</v>
      </c>
      <c r="U2934" s="2" t="str">
        <f t="shared" si="339"/>
        <v>NA</v>
      </c>
    </row>
    <row r="2935" spans="1:21" ht="14.25" customHeight="1">
      <c r="A2935" s="2" t="s">
        <v>90</v>
      </c>
      <c r="B2935" s="2">
        <v>1997</v>
      </c>
      <c r="C2935" s="2" t="s">
        <v>24</v>
      </c>
      <c r="D2935" s="2">
        <v>4.5999999999999996</v>
      </c>
      <c r="E2935" s="2">
        <v>1.9</v>
      </c>
      <c r="P2935" s="3">
        <f>E2935*(VLOOKUP(B2935,Price_data!A$1:B$190,2,FALSE))</f>
        <v>2.0544342514999996</v>
      </c>
      <c r="Q2935" s="3">
        <f>G2935*(VLOOKUP(B2935,Price_data!A$1:B$190,2,FALSE))</f>
        <v>0</v>
      </c>
      <c r="R2935" s="3">
        <f>I2935*(VLOOKUP(B2935,Price_data!A$1:B$190,2,FALSE))</f>
        <v>0</v>
      </c>
      <c r="S2935" s="4" t="str">
        <f>(VLOOKUP(B2935,Price_data!A$1:C$190,3,FALSE))</f>
        <v>EEZ</v>
      </c>
      <c r="T2935" s="2" t="str">
        <f>IF(C2935="Total", (VLOOKUP(B2935,Recommended_fish_intake!A$4:D$122,4,FALSE)), "NA")</f>
        <v>NA</v>
      </c>
      <c r="U2935" s="2" t="str">
        <f t="shared" si="339"/>
        <v>NA</v>
      </c>
    </row>
    <row r="2936" spans="1:21" ht="14.25" customHeight="1">
      <c r="A2936" s="2" t="s">
        <v>90</v>
      </c>
      <c r="B2936" s="2">
        <v>1997</v>
      </c>
      <c r="C2936" s="2" t="s">
        <v>41</v>
      </c>
      <c r="D2936" s="2">
        <v>80.5</v>
      </c>
      <c r="E2936" s="2">
        <v>107.6</v>
      </c>
      <c r="P2936" s="3">
        <f>E2936*(VLOOKUP(B2936,Price_data!A$1:B$190,2,FALSE))</f>
        <v>116.34585550599999</v>
      </c>
      <c r="Q2936" s="3">
        <f>G2936*(VLOOKUP(B2936,Price_data!A$1:B$190,2,FALSE))</f>
        <v>0</v>
      </c>
      <c r="R2936" s="3">
        <f>I2936*(VLOOKUP(B2936,Price_data!A$1:B$190,2,FALSE))</f>
        <v>0</v>
      </c>
      <c r="S2936" s="4" t="str">
        <f>(VLOOKUP(B2936,Price_data!A$1:C$190,3,FALSE))</f>
        <v>EEZ</v>
      </c>
      <c r="T2936" s="2" t="str">
        <f>IF(C2936="Total", (VLOOKUP(B2936,Recommended_fish_intake!A$4:D$122,4,FALSE)), "NA")</f>
        <v>NA</v>
      </c>
      <c r="U2936" s="2" t="str">
        <f t="shared" si="339"/>
        <v>NA</v>
      </c>
    </row>
    <row r="2937" spans="1:21" ht="14.25" customHeight="1">
      <c r="A2937" s="2" t="s">
        <v>90</v>
      </c>
      <c r="B2937" s="2">
        <v>1997</v>
      </c>
      <c r="C2937" s="2" t="s">
        <v>19</v>
      </c>
      <c r="D2937" s="2">
        <v>0.8</v>
      </c>
      <c r="E2937" s="2">
        <v>0.3</v>
      </c>
      <c r="P2937" s="3">
        <f>E2937*(VLOOKUP(B2937,Price_data!A$1:B$190,2,FALSE))</f>
        <v>0.32438435549999994</v>
      </c>
      <c r="Q2937" s="3">
        <f>G2937*(VLOOKUP(B2937,Price_data!A$1:B$190,2,FALSE))</f>
        <v>0</v>
      </c>
      <c r="R2937" s="3">
        <f>I2937*(VLOOKUP(B2937,Price_data!A$1:B$190,2,FALSE))</f>
        <v>0</v>
      </c>
      <c r="S2937" s="4" t="str">
        <f>(VLOOKUP(B2937,Price_data!A$1:C$190,3,FALSE))</f>
        <v>EEZ</v>
      </c>
      <c r="T2937" s="2" t="str">
        <f>IF(C2937="Total", (VLOOKUP(B2937,Recommended_fish_intake!A$4:D$122,4,FALSE)), "NA")</f>
        <v>NA</v>
      </c>
      <c r="U2937" s="2" t="str">
        <f t="shared" si="339"/>
        <v>NA</v>
      </c>
    </row>
    <row r="2938" spans="1:21" ht="14.25" customHeight="1">
      <c r="A2938" s="2" t="s">
        <v>90</v>
      </c>
      <c r="B2938" s="2">
        <v>1997</v>
      </c>
      <c r="C2938" s="2" t="s">
        <v>20</v>
      </c>
      <c r="D2938" s="2">
        <v>24.2</v>
      </c>
      <c r="E2938" s="2">
        <v>5.2</v>
      </c>
      <c r="P2938" s="3">
        <f>E2938*(VLOOKUP(B2938,Price_data!A$1:B$190,2,FALSE))</f>
        <v>5.6226621620000001</v>
      </c>
      <c r="Q2938" s="3">
        <f>G2938*(VLOOKUP(B2938,Price_data!A$1:B$190,2,FALSE))</f>
        <v>0</v>
      </c>
      <c r="R2938" s="3">
        <f>I2938*(VLOOKUP(B2938,Price_data!A$1:B$190,2,FALSE))</f>
        <v>0</v>
      </c>
      <c r="S2938" s="4" t="str">
        <f>(VLOOKUP(B2938,Price_data!A$1:C$190,3,FALSE))</f>
        <v>EEZ</v>
      </c>
      <c r="T2938" s="2" t="str">
        <f>IF(C2938="Total", (VLOOKUP(B2938,Recommended_fish_intake!A$4:D$122,4,FALSE)), "NA")</f>
        <v>NA</v>
      </c>
      <c r="U2938" s="2" t="str">
        <f t="shared" si="339"/>
        <v>NA</v>
      </c>
    </row>
    <row r="2939" spans="1:21" ht="14.25" customHeight="1">
      <c r="A2939" s="2" t="s">
        <v>90</v>
      </c>
      <c r="B2939" s="2">
        <v>1997</v>
      </c>
      <c r="C2939" s="2" t="s">
        <v>42</v>
      </c>
      <c r="D2939" s="2">
        <v>35.1</v>
      </c>
      <c r="E2939" s="2">
        <v>7.4</v>
      </c>
      <c r="P2939" s="3">
        <f>E2939*(VLOOKUP(B2939,Price_data!A$1:B$190,2,FALSE))</f>
        <v>8.0014807690000005</v>
      </c>
      <c r="Q2939" s="3">
        <f>G2939*(VLOOKUP(B2939,Price_data!A$1:B$190,2,FALSE))</f>
        <v>0</v>
      </c>
      <c r="R2939" s="3">
        <f>I2939*(VLOOKUP(B2939,Price_data!A$1:B$190,2,FALSE))</f>
        <v>0</v>
      </c>
      <c r="S2939" s="4" t="str">
        <f>(VLOOKUP(B2939,Price_data!A$1:C$190,3,FALSE))</f>
        <v>EEZ</v>
      </c>
      <c r="T2939" s="2" t="str">
        <f>IF(C2939="Total", (VLOOKUP(B2939,Recommended_fish_intake!A$4:D$122,4,FALSE)), "NA")</f>
        <v>NA</v>
      </c>
      <c r="U2939" s="2" t="str">
        <f t="shared" si="339"/>
        <v>NA</v>
      </c>
    </row>
    <row r="2940" spans="1:21" ht="14.25" customHeight="1">
      <c r="A2940" s="2" t="s">
        <v>90</v>
      </c>
      <c r="B2940" s="2">
        <v>1997</v>
      </c>
      <c r="C2940" s="2" t="s">
        <v>36</v>
      </c>
      <c r="D2940" s="2">
        <v>11.8</v>
      </c>
      <c r="E2940" s="2">
        <v>12.9</v>
      </c>
      <c r="P2940" s="3">
        <f>E2940*(VLOOKUP(B2940,Price_data!A$1:B$190,2,FALSE))</f>
        <v>13.948527286499999</v>
      </c>
      <c r="Q2940" s="3">
        <f>G2940*(VLOOKUP(B2940,Price_data!A$1:B$190,2,FALSE))</f>
        <v>0</v>
      </c>
      <c r="R2940" s="3">
        <f>I2940*(VLOOKUP(B2940,Price_data!A$1:B$190,2,FALSE))</f>
        <v>0</v>
      </c>
      <c r="S2940" s="4" t="str">
        <f>(VLOOKUP(B2940,Price_data!A$1:C$190,3,FALSE))</f>
        <v>EEZ</v>
      </c>
      <c r="T2940" s="2" t="str">
        <f>IF(C2940="Total", (VLOOKUP(B2940,Recommended_fish_intake!A$4:D$122,4,FALSE)), "NA")</f>
        <v>NA</v>
      </c>
      <c r="U2940" s="2" t="str">
        <f t="shared" si="339"/>
        <v>NA</v>
      </c>
    </row>
    <row r="2941" spans="1:21" ht="14.25" customHeight="1">
      <c r="A2941" s="2" t="s">
        <v>90</v>
      </c>
      <c r="B2941" s="2">
        <v>1997</v>
      </c>
      <c r="C2941" s="2" t="s">
        <v>34</v>
      </c>
      <c r="D2941" s="2">
        <v>0.8</v>
      </c>
      <c r="E2941" s="2">
        <v>7.2</v>
      </c>
      <c r="P2941" s="3">
        <f>E2941*(VLOOKUP(B2941,Price_data!A$1:B$190,2,FALSE))</f>
        <v>7.785224532</v>
      </c>
      <c r="Q2941" s="3">
        <f>G2941*(VLOOKUP(B2941,Price_data!A$1:B$190,2,FALSE))</f>
        <v>0</v>
      </c>
      <c r="R2941" s="3">
        <f>I2941*(VLOOKUP(B2941,Price_data!A$1:B$190,2,FALSE))</f>
        <v>0</v>
      </c>
      <c r="S2941" s="4" t="str">
        <f>(VLOOKUP(B2941,Price_data!A$1:C$190,3,FALSE))</f>
        <v>EEZ</v>
      </c>
      <c r="T2941" s="2" t="str">
        <f>IF(C2941="Total", (VLOOKUP(B2941,Recommended_fish_intake!A$4:D$122,4,FALSE)), "NA")</f>
        <v>NA</v>
      </c>
      <c r="U2941" s="2" t="str">
        <f t="shared" si="339"/>
        <v>NA</v>
      </c>
    </row>
    <row r="2942" spans="1:21" ht="14.25" customHeight="1">
      <c r="A2942" s="2" t="s">
        <v>90</v>
      </c>
      <c r="B2942" s="2">
        <v>1997</v>
      </c>
      <c r="C2942" s="2" t="s">
        <v>35</v>
      </c>
      <c r="D2942" s="2">
        <v>2.9</v>
      </c>
      <c r="E2942" s="2">
        <v>4.7</v>
      </c>
      <c r="P2942" s="3">
        <f>E2942*(VLOOKUP(B2942,Price_data!A$1:B$190,2,FALSE))</f>
        <v>5.0820215695000002</v>
      </c>
      <c r="Q2942" s="3">
        <f>G2942*(VLOOKUP(B2942,Price_data!A$1:B$190,2,FALSE))</f>
        <v>0</v>
      </c>
      <c r="R2942" s="3">
        <f>I2942*(VLOOKUP(B2942,Price_data!A$1:B$190,2,FALSE))</f>
        <v>0</v>
      </c>
      <c r="S2942" s="4" t="str">
        <f>(VLOOKUP(B2942,Price_data!A$1:C$190,3,FALSE))</f>
        <v>EEZ</v>
      </c>
      <c r="T2942" s="2" t="str">
        <f>IF(C2942="Total", (VLOOKUP(B2942,Recommended_fish_intake!A$4:D$122,4,FALSE)), "NA")</f>
        <v>NA</v>
      </c>
      <c r="U2942" s="2" t="str">
        <f t="shared" si="339"/>
        <v>NA</v>
      </c>
    </row>
    <row r="2943" spans="1:21" ht="14.25" customHeight="1">
      <c r="A2943" s="2" t="s">
        <v>90</v>
      </c>
      <c r="B2943" s="2">
        <v>1997</v>
      </c>
      <c r="C2943" s="2" t="s">
        <v>52</v>
      </c>
      <c r="D2943" s="2">
        <v>8.6999999999999993</v>
      </c>
      <c r="E2943" s="2">
        <v>11.5</v>
      </c>
      <c r="P2943" s="3">
        <f>E2943*(VLOOKUP(B2943,Price_data!A$1:B$190,2,FALSE))</f>
        <v>12.434733627499998</v>
      </c>
      <c r="Q2943" s="3">
        <f>G2943*(VLOOKUP(B2943,Price_data!A$1:B$190,2,FALSE))</f>
        <v>0</v>
      </c>
      <c r="R2943" s="3">
        <f>I2943*(VLOOKUP(B2943,Price_data!A$1:B$190,2,FALSE))</f>
        <v>0</v>
      </c>
      <c r="S2943" s="4" t="str">
        <f>(VLOOKUP(B2943,Price_data!A$1:C$190,3,FALSE))</f>
        <v>EEZ</v>
      </c>
      <c r="T2943" s="2" t="str">
        <f>IF(C2943="Total", (VLOOKUP(B2943,Recommended_fish_intake!A$4:D$122,4,FALSE)), "NA")</f>
        <v>NA</v>
      </c>
      <c r="U2943" s="2" t="str">
        <f t="shared" si="339"/>
        <v>NA</v>
      </c>
    </row>
    <row r="2944" spans="1:21" ht="14.25" customHeight="1">
      <c r="A2944" s="2" t="s">
        <v>90</v>
      </c>
      <c r="B2944" s="2">
        <v>1997</v>
      </c>
      <c r="C2944" s="2" t="s">
        <v>30</v>
      </c>
      <c r="D2944" s="2">
        <v>0.6</v>
      </c>
      <c r="E2944" s="2">
        <v>0.6</v>
      </c>
      <c r="P2944" s="3">
        <f>E2944*(VLOOKUP(B2944,Price_data!A$1:B$190,2,FALSE))</f>
        <v>0.64876871099999989</v>
      </c>
      <c r="Q2944" s="3">
        <f>G2944*(VLOOKUP(B2944,Price_data!A$1:B$190,2,FALSE))</f>
        <v>0</v>
      </c>
      <c r="R2944" s="3">
        <f>I2944*(VLOOKUP(B2944,Price_data!A$1:B$190,2,FALSE))</f>
        <v>0</v>
      </c>
      <c r="S2944" s="4" t="str">
        <f>(VLOOKUP(B2944,Price_data!A$1:C$190,3,FALSE))</f>
        <v>EEZ</v>
      </c>
      <c r="T2944" s="2" t="str">
        <f>IF(C2944="Total", (VLOOKUP(B2944,Recommended_fish_intake!A$4:D$122,4,FALSE)), "NA")</f>
        <v>NA</v>
      </c>
      <c r="U2944" s="2" t="str">
        <f t="shared" si="339"/>
        <v>NA</v>
      </c>
    </row>
    <row r="2945" spans="1:21" ht="14.25" customHeight="1">
      <c r="A2945" s="2" t="s">
        <v>90</v>
      </c>
      <c r="B2945" s="2">
        <v>1997</v>
      </c>
      <c r="C2945" s="2" t="s">
        <v>28</v>
      </c>
      <c r="D2945" s="2">
        <v>64</v>
      </c>
      <c r="E2945" s="2">
        <v>52.2</v>
      </c>
      <c r="P2945" s="3">
        <f>E2945*(VLOOKUP(B2945,Price_data!A$1:B$190,2,FALSE))</f>
        <v>56.442877856999999</v>
      </c>
      <c r="Q2945" s="3">
        <f>G2945*(VLOOKUP(B2945,Price_data!A$1:B$190,2,FALSE))</f>
        <v>0</v>
      </c>
      <c r="R2945" s="3">
        <f>I2945*(VLOOKUP(B2945,Price_data!A$1:B$190,2,FALSE))</f>
        <v>0</v>
      </c>
      <c r="S2945" s="4" t="str">
        <f>(VLOOKUP(B2945,Price_data!A$1:C$190,3,FALSE))</f>
        <v>EEZ</v>
      </c>
      <c r="T2945" s="2" t="str">
        <f>IF(C2945="Total", (VLOOKUP(B2945,Recommended_fish_intake!A$4:D$122,4,FALSE)), "NA")</f>
        <v>NA</v>
      </c>
      <c r="U2945" s="2">
        <f t="shared" si="339"/>
        <v>17.920000000000002</v>
      </c>
    </row>
    <row r="2946" spans="1:21" ht="14.25" customHeight="1">
      <c r="A2946" s="2" t="s">
        <v>91</v>
      </c>
      <c r="B2946" s="2">
        <v>1997</v>
      </c>
      <c r="C2946" s="2" t="s">
        <v>22</v>
      </c>
      <c r="D2946" s="2">
        <v>0</v>
      </c>
      <c r="E2946" s="2">
        <v>0</v>
      </c>
      <c r="P2946" s="3">
        <f>E2946*(VLOOKUP(B2946,Price_data!A$1:B$190,2,FALSE))</f>
        <v>0</v>
      </c>
      <c r="Q2946" s="3">
        <f>G2946*(VLOOKUP(B2946,Price_data!A$1:B$190,2,FALSE))</f>
        <v>0</v>
      </c>
      <c r="R2946" s="3">
        <f>I2946*(VLOOKUP(B2946,Price_data!A$1:B$190,2,FALSE))</f>
        <v>0</v>
      </c>
      <c r="S2946" s="4" t="str">
        <f>(VLOOKUP(B2946,Price_data!A$1:C$190,3,FALSE))</f>
        <v>EEZ</v>
      </c>
      <c r="T2946" s="2" t="str">
        <f>IF(C2946="Total", (VLOOKUP(B2946,Recommended_fish_intake!A$4:D$122,4,FALSE)), "NA")</f>
        <v>NA</v>
      </c>
      <c r="U2946" s="2" t="str">
        <f t="shared" ref="U2946:U3009" si="344">IF(C2946="Wet fish", D2946*0.49, IF(C2946="Shellfish", D2946*0.28, "NA"))</f>
        <v>NA</v>
      </c>
    </row>
    <row r="2947" spans="1:21" ht="14.25" customHeight="1">
      <c r="A2947" s="2" t="s">
        <v>91</v>
      </c>
      <c r="B2947" s="2">
        <v>1997</v>
      </c>
      <c r="C2947" s="2" t="s">
        <v>23</v>
      </c>
      <c r="D2947" s="2">
        <v>0</v>
      </c>
      <c r="E2947" s="2">
        <v>0</v>
      </c>
      <c r="P2947" s="3">
        <f>E2947*(VLOOKUP(B2947,Price_data!A$1:B$190,2,FALSE))</f>
        <v>0</v>
      </c>
      <c r="Q2947" s="3">
        <f>G2947*(VLOOKUP(B2947,Price_data!A$1:B$190,2,FALSE))</f>
        <v>0</v>
      </c>
      <c r="R2947" s="3">
        <f>I2947*(VLOOKUP(B2947,Price_data!A$1:B$190,2,FALSE))</f>
        <v>0</v>
      </c>
      <c r="S2947" s="4" t="str">
        <f>(VLOOKUP(B2947,Price_data!A$1:C$190,3,FALSE))</f>
        <v>EEZ</v>
      </c>
      <c r="T2947" s="2" t="str">
        <f>IF(C2947="Total", (VLOOKUP(B2947,Recommended_fish_intake!A$4:D$122,4,FALSE)), "NA")</f>
        <v>NA</v>
      </c>
      <c r="U2947" s="2" t="str">
        <f t="shared" si="344"/>
        <v>NA</v>
      </c>
    </row>
    <row r="2948" spans="1:21" ht="14.25" customHeight="1">
      <c r="A2948" s="2" t="s">
        <v>91</v>
      </c>
      <c r="B2948" s="2">
        <v>1997</v>
      </c>
      <c r="C2948" s="2" t="s">
        <v>58</v>
      </c>
      <c r="D2948" s="2">
        <v>0</v>
      </c>
      <c r="E2948" s="2">
        <v>0</v>
      </c>
      <c r="P2948" s="3">
        <f>E2948*(VLOOKUP(B2948,Price_data!A$1:B$190,2,FALSE))</f>
        <v>0</v>
      </c>
      <c r="Q2948" s="3">
        <f>G2948*(VLOOKUP(B2948,Price_data!A$1:B$190,2,FALSE))</f>
        <v>0</v>
      </c>
      <c r="R2948" s="3">
        <f>I2948*(VLOOKUP(B2948,Price_data!A$1:B$190,2,FALSE))</f>
        <v>0</v>
      </c>
      <c r="S2948" s="4" t="str">
        <f>(VLOOKUP(B2948,Price_data!A$1:C$190,3,FALSE))</f>
        <v>EEZ</v>
      </c>
      <c r="T2948" s="2" t="str">
        <f>IF(C2948="Total", (VLOOKUP(B2948,Recommended_fish_intake!A$4:D$122,4,FALSE)), "NA")</f>
        <v>NA</v>
      </c>
      <c r="U2948" s="2" t="str">
        <f t="shared" si="344"/>
        <v>NA</v>
      </c>
    </row>
    <row r="2949" spans="1:21" ht="14.25" customHeight="1">
      <c r="A2949" s="2" t="s">
        <v>91</v>
      </c>
      <c r="B2949" s="2">
        <v>1997</v>
      </c>
      <c r="C2949" s="2" t="s">
        <v>24</v>
      </c>
      <c r="D2949" s="2">
        <v>0</v>
      </c>
      <c r="E2949" s="2">
        <v>0</v>
      </c>
      <c r="P2949" s="3">
        <f>E2949*(VLOOKUP(B2949,Price_data!A$1:B$190,2,FALSE))</f>
        <v>0</v>
      </c>
      <c r="Q2949" s="3">
        <f>G2949*(VLOOKUP(B2949,Price_data!A$1:B$190,2,FALSE))</f>
        <v>0</v>
      </c>
      <c r="R2949" s="3">
        <f>I2949*(VLOOKUP(B2949,Price_data!A$1:B$190,2,FALSE))</f>
        <v>0</v>
      </c>
      <c r="S2949" s="4" t="str">
        <f>(VLOOKUP(B2949,Price_data!A$1:C$190,3,FALSE))</f>
        <v>EEZ</v>
      </c>
      <c r="T2949" s="2" t="str">
        <f>IF(C2949="Total", (VLOOKUP(B2949,Recommended_fish_intake!A$4:D$122,4,FALSE)), "NA")</f>
        <v>NA</v>
      </c>
      <c r="U2949" s="2" t="str">
        <f t="shared" si="344"/>
        <v>NA</v>
      </c>
    </row>
    <row r="2950" spans="1:21" ht="14.25" customHeight="1">
      <c r="A2950" s="2" t="s">
        <v>91</v>
      </c>
      <c r="B2950" s="2">
        <v>1997</v>
      </c>
      <c r="C2950" s="2" t="s">
        <v>41</v>
      </c>
      <c r="D2950" s="2">
        <v>0</v>
      </c>
      <c r="E2950" s="2">
        <v>0</v>
      </c>
      <c r="P2950" s="3">
        <f>E2950*(VLOOKUP(B2950,Price_data!A$1:B$190,2,FALSE))</f>
        <v>0</v>
      </c>
      <c r="Q2950" s="3">
        <f>G2950*(VLOOKUP(B2950,Price_data!A$1:B$190,2,FALSE))</f>
        <v>0</v>
      </c>
      <c r="R2950" s="3">
        <f>I2950*(VLOOKUP(B2950,Price_data!A$1:B$190,2,FALSE))</f>
        <v>0</v>
      </c>
      <c r="S2950" s="4" t="str">
        <f>(VLOOKUP(B2950,Price_data!A$1:C$190,3,FALSE))</f>
        <v>EEZ</v>
      </c>
      <c r="T2950" s="2" t="str">
        <f>IF(C2950="Total", (VLOOKUP(B2950,Recommended_fish_intake!A$4:D$122,4,FALSE)), "NA")</f>
        <v>NA</v>
      </c>
      <c r="U2950" s="2" t="str">
        <f t="shared" si="344"/>
        <v>NA</v>
      </c>
    </row>
    <row r="2951" spans="1:21" ht="14.25" customHeight="1">
      <c r="A2951" s="2" t="s">
        <v>91</v>
      </c>
      <c r="B2951" s="2">
        <v>1997</v>
      </c>
      <c r="C2951" s="2" t="s">
        <v>19</v>
      </c>
      <c r="D2951" s="2">
        <v>0</v>
      </c>
      <c r="E2951" s="2">
        <v>0</v>
      </c>
      <c r="P2951" s="3">
        <f>E2951*(VLOOKUP(B2951,Price_data!A$1:B$190,2,FALSE))</f>
        <v>0</v>
      </c>
      <c r="Q2951" s="3">
        <f>G2951*(VLOOKUP(B2951,Price_data!A$1:B$190,2,FALSE))</f>
        <v>0</v>
      </c>
      <c r="R2951" s="3">
        <f>I2951*(VLOOKUP(B2951,Price_data!A$1:B$190,2,FALSE))</f>
        <v>0</v>
      </c>
      <c r="S2951" s="4" t="str">
        <f>(VLOOKUP(B2951,Price_data!A$1:C$190,3,FALSE))</f>
        <v>EEZ</v>
      </c>
      <c r="T2951" s="2" t="str">
        <f>IF(C2951="Total", (VLOOKUP(B2951,Recommended_fish_intake!A$4:D$122,4,FALSE)), "NA")</f>
        <v>NA</v>
      </c>
      <c r="U2951" s="2" t="str">
        <f t="shared" si="344"/>
        <v>NA</v>
      </c>
    </row>
    <row r="2952" spans="1:21" ht="14.25" customHeight="1">
      <c r="A2952" s="2" t="s">
        <v>91</v>
      </c>
      <c r="B2952" s="2">
        <v>1997</v>
      </c>
      <c r="C2952" s="2" t="s">
        <v>20</v>
      </c>
      <c r="D2952" s="2">
        <v>0</v>
      </c>
      <c r="E2952" s="2">
        <v>0</v>
      </c>
      <c r="P2952" s="3">
        <f>E2952*(VLOOKUP(B2952,Price_data!A$1:B$190,2,FALSE))</f>
        <v>0</v>
      </c>
      <c r="Q2952" s="3">
        <f>G2952*(VLOOKUP(B2952,Price_data!A$1:B$190,2,FALSE))</f>
        <v>0</v>
      </c>
      <c r="R2952" s="3">
        <f>I2952*(VLOOKUP(B2952,Price_data!A$1:B$190,2,FALSE))</f>
        <v>0</v>
      </c>
      <c r="S2952" s="4" t="str">
        <f>(VLOOKUP(B2952,Price_data!A$1:C$190,3,FALSE))</f>
        <v>EEZ</v>
      </c>
      <c r="T2952" s="2" t="str">
        <f>IF(C2952="Total", (VLOOKUP(B2952,Recommended_fish_intake!A$4:D$122,4,FALSE)), "NA")</f>
        <v>NA</v>
      </c>
      <c r="U2952" s="2" t="str">
        <f t="shared" si="344"/>
        <v>NA</v>
      </c>
    </row>
    <row r="2953" spans="1:21" ht="14.25" customHeight="1">
      <c r="A2953" s="2" t="s">
        <v>91</v>
      </c>
      <c r="B2953" s="2">
        <v>1997</v>
      </c>
      <c r="C2953" s="2" t="s">
        <v>42</v>
      </c>
      <c r="D2953" s="2">
        <v>0</v>
      </c>
      <c r="E2953" s="2">
        <v>0</v>
      </c>
      <c r="P2953" s="3">
        <f>E2953*(VLOOKUP(B2953,Price_data!A$1:B$190,2,FALSE))</f>
        <v>0</v>
      </c>
      <c r="Q2953" s="3">
        <f>G2953*(VLOOKUP(B2953,Price_data!A$1:B$190,2,FALSE))</f>
        <v>0</v>
      </c>
      <c r="R2953" s="3">
        <f>I2953*(VLOOKUP(B2953,Price_data!A$1:B$190,2,FALSE))</f>
        <v>0</v>
      </c>
      <c r="S2953" s="4" t="str">
        <f>(VLOOKUP(B2953,Price_data!A$1:C$190,3,FALSE))</f>
        <v>EEZ</v>
      </c>
      <c r="T2953" s="2" t="str">
        <f>IF(C2953="Total", (VLOOKUP(B2953,Recommended_fish_intake!A$4:D$122,4,FALSE)), "NA")</f>
        <v>NA</v>
      </c>
      <c r="U2953" s="2" t="str">
        <f t="shared" si="344"/>
        <v>NA</v>
      </c>
    </row>
    <row r="2954" spans="1:21" ht="14.25" customHeight="1">
      <c r="A2954" s="2" t="s">
        <v>91</v>
      </c>
      <c r="B2954" s="2">
        <v>1997</v>
      </c>
      <c r="C2954" s="2" t="s">
        <v>36</v>
      </c>
      <c r="D2954" s="2">
        <v>0</v>
      </c>
      <c r="E2954" s="2">
        <v>0</v>
      </c>
      <c r="P2954" s="3">
        <f>E2954*(VLOOKUP(B2954,Price_data!A$1:B$190,2,FALSE))</f>
        <v>0</v>
      </c>
      <c r="Q2954" s="3">
        <f>G2954*(VLOOKUP(B2954,Price_data!A$1:B$190,2,FALSE))</f>
        <v>0</v>
      </c>
      <c r="R2954" s="3">
        <f>I2954*(VLOOKUP(B2954,Price_data!A$1:B$190,2,FALSE))</f>
        <v>0</v>
      </c>
      <c r="S2954" s="4" t="str">
        <f>(VLOOKUP(B2954,Price_data!A$1:C$190,3,FALSE))</f>
        <v>EEZ</v>
      </c>
      <c r="T2954" s="2" t="str">
        <f>IF(C2954="Total", (VLOOKUP(B2954,Recommended_fish_intake!A$4:D$122,4,FALSE)), "NA")</f>
        <v>NA</v>
      </c>
      <c r="U2954" s="2" t="str">
        <f t="shared" si="344"/>
        <v>NA</v>
      </c>
    </row>
    <row r="2955" spans="1:21" ht="14.25" customHeight="1">
      <c r="A2955" s="2" t="s">
        <v>91</v>
      </c>
      <c r="B2955" s="2">
        <v>1997</v>
      </c>
      <c r="C2955" s="2" t="s">
        <v>34</v>
      </c>
      <c r="D2955" s="2">
        <v>0</v>
      </c>
      <c r="E2955" s="2">
        <v>0</v>
      </c>
      <c r="P2955" s="3">
        <f>E2955*(VLOOKUP(B2955,Price_data!A$1:B$190,2,FALSE))</f>
        <v>0</v>
      </c>
      <c r="Q2955" s="3">
        <f>G2955*(VLOOKUP(B2955,Price_data!A$1:B$190,2,FALSE))</f>
        <v>0</v>
      </c>
      <c r="R2955" s="3">
        <f>I2955*(VLOOKUP(B2955,Price_data!A$1:B$190,2,FALSE))</f>
        <v>0</v>
      </c>
      <c r="S2955" s="4" t="str">
        <f>(VLOOKUP(B2955,Price_data!A$1:C$190,3,FALSE))</f>
        <v>EEZ</v>
      </c>
      <c r="T2955" s="2" t="str">
        <f>IF(C2955="Total", (VLOOKUP(B2955,Recommended_fish_intake!A$4:D$122,4,FALSE)), "NA")</f>
        <v>NA</v>
      </c>
      <c r="U2955" s="2" t="str">
        <f t="shared" si="344"/>
        <v>NA</v>
      </c>
    </row>
    <row r="2956" spans="1:21" ht="14.25" customHeight="1">
      <c r="A2956" s="2" t="s">
        <v>91</v>
      </c>
      <c r="B2956" s="2">
        <v>1997</v>
      </c>
      <c r="C2956" s="2" t="s">
        <v>35</v>
      </c>
      <c r="D2956" s="2">
        <v>0</v>
      </c>
      <c r="E2956" s="2">
        <v>0</v>
      </c>
      <c r="P2956" s="3">
        <f>E2956*(VLOOKUP(B2956,Price_data!A$1:B$190,2,FALSE))</f>
        <v>0</v>
      </c>
      <c r="Q2956" s="3">
        <f>G2956*(VLOOKUP(B2956,Price_data!A$1:B$190,2,FALSE))</f>
        <v>0</v>
      </c>
      <c r="R2956" s="3">
        <f>I2956*(VLOOKUP(B2956,Price_data!A$1:B$190,2,FALSE))</f>
        <v>0</v>
      </c>
      <c r="S2956" s="4" t="str">
        <f>(VLOOKUP(B2956,Price_data!A$1:C$190,3,FALSE))</f>
        <v>EEZ</v>
      </c>
      <c r="T2956" s="2" t="str">
        <f>IF(C2956="Total", (VLOOKUP(B2956,Recommended_fish_intake!A$4:D$122,4,FALSE)), "NA")</f>
        <v>NA</v>
      </c>
      <c r="U2956" s="2" t="str">
        <f t="shared" si="344"/>
        <v>NA</v>
      </c>
    </row>
    <row r="2957" spans="1:21" ht="14.25" customHeight="1">
      <c r="A2957" s="2" t="s">
        <v>91</v>
      </c>
      <c r="B2957" s="2">
        <v>1997</v>
      </c>
      <c r="C2957" s="2" t="s">
        <v>52</v>
      </c>
      <c r="D2957" s="2">
        <v>0</v>
      </c>
      <c r="E2957" s="2">
        <v>0</v>
      </c>
      <c r="P2957" s="3">
        <f>E2957*(VLOOKUP(B2957,Price_data!A$1:B$190,2,FALSE))</f>
        <v>0</v>
      </c>
      <c r="Q2957" s="3">
        <f>G2957*(VLOOKUP(B2957,Price_data!A$1:B$190,2,FALSE))</f>
        <v>0</v>
      </c>
      <c r="R2957" s="3">
        <f>I2957*(VLOOKUP(B2957,Price_data!A$1:B$190,2,FALSE))</f>
        <v>0</v>
      </c>
      <c r="S2957" s="4" t="str">
        <f>(VLOOKUP(B2957,Price_data!A$1:C$190,3,FALSE))</f>
        <v>EEZ</v>
      </c>
      <c r="T2957" s="2" t="str">
        <f>IF(C2957="Total", (VLOOKUP(B2957,Recommended_fish_intake!A$4:D$122,4,FALSE)), "NA")</f>
        <v>NA</v>
      </c>
      <c r="U2957" s="2" t="str">
        <f t="shared" si="344"/>
        <v>NA</v>
      </c>
    </row>
    <row r="2958" spans="1:21" ht="14.25" customHeight="1">
      <c r="A2958" s="2" t="s">
        <v>91</v>
      </c>
      <c r="B2958" s="2">
        <v>1997</v>
      </c>
      <c r="C2958" s="2" t="s">
        <v>30</v>
      </c>
      <c r="D2958" s="2">
        <v>0</v>
      </c>
      <c r="E2958" s="2">
        <v>0</v>
      </c>
      <c r="P2958" s="3">
        <f>E2958*(VLOOKUP(B2958,Price_data!A$1:B$190,2,FALSE))</f>
        <v>0</v>
      </c>
      <c r="Q2958" s="3">
        <f>G2958*(VLOOKUP(B2958,Price_data!A$1:B$190,2,FALSE))</f>
        <v>0</v>
      </c>
      <c r="R2958" s="3">
        <f>I2958*(VLOOKUP(B2958,Price_data!A$1:B$190,2,FALSE))</f>
        <v>0</v>
      </c>
      <c r="S2958" s="4" t="str">
        <f>(VLOOKUP(B2958,Price_data!A$1:C$190,3,FALSE))</f>
        <v>EEZ</v>
      </c>
      <c r="T2958" s="2" t="str">
        <f>IF(C2958="Total", (VLOOKUP(B2958,Recommended_fish_intake!A$4:D$122,4,FALSE)), "NA")</f>
        <v>NA</v>
      </c>
      <c r="U2958" s="2" t="str">
        <f t="shared" si="344"/>
        <v>NA</v>
      </c>
    </row>
    <row r="2959" spans="1:21" ht="14.25" customHeight="1">
      <c r="A2959" s="2" t="s">
        <v>91</v>
      </c>
      <c r="B2959" s="2">
        <v>1997</v>
      </c>
      <c r="C2959" s="2" t="s">
        <v>28</v>
      </c>
      <c r="D2959" s="2">
        <v>0</v>
      </c>
      <c r="E2959" s="2">
        <v>0</v>
      </c>
      <c r="P2959" s="3">
        <f>E2959*(VLOOKUP(B2959,Price_data!A$1:B$190,2,FALSE))</f>
        <v>0</v>
      </c>
      <c r="Q2959" s="3">
        <f>G2959*(VLOOKUP(B2959,Price_data!A$1:B$190,2,FALSE))</f>
        <v>0</v>
      </c>
      <c r="R2959" s="3">
        <f>I2959*(VLOOKUP(B2959,Price_data!A$1:B$190,2,FALSE))</f>
        <v>0</v>
      </c>
      <c r="S2959" s="4" t="str">
        <f>(VLOOKUP(B2959,Price_data!A$1:C$190,3,FALSE))</f>
        <v>EEZ</v>
      </c>
      <c r="T2959" s="2" t="str">
        <f>IF(C2959="Total", (VLOOKUP(B2959,Recommended_fish_intake!A$4:D$122,4,FALSE)), "NA")</f>
        <v>NA</v>
      </c>
      <c r="U2959" s="2">
        <f t="shared" si="344"/>
        <v>0</v>
      </c>
    </row>
    <row r="2960" spans="1:21" ht="14.25" customHeight="1">
      <c r="A2960" s="2" t="s">
        <v>39</v>
      </c>
      <c r="B2960" s="2">
        <v>1997</v>
      </c>
      <c r="C2960" s="2" t="s">
        <v>22</v>
      </c>
      <c r="D2960" s="2">
        <v>37.636000000000003</v>
      </c>
      <c r="E2960" s="2">
        <v>36.075000000000003</v>
      </c>
      <c r="P2960" s="3">
        <f>E2960*(VLOOKUP(B2960,Price_data!A$1:B$190,2,FALSE))</f>
        <v>39.007218748874998</v>
      </c>
      <c r="Q2960" s="3">
        <f>G2960*(VLOOKUP(B2960,Price_data!A$1:B$190,2,FALSE))</f>
        <v>0</v>
      </c>
      <c r="R2960" s="3">
        <f>I2960*(VLOOKUP(B2960,Price_data!A$1:B$190,2,FALSE))</f>
        <v>0</v>
      </c>
      <c r="S2960" s="4" t="str">
        <f>(VLOOKUP(B2960,Price_data!A$1:C$190,3,FALSE))</f>
        <v>EEZ</v>
      </c>
      <c r="T2960" s="2" t="str">
        <f>IF(C2960="Total", (VLOOKUP(B2960,Recommended_fish_intake!A$4:D$122,4,FALSE)), "NA")</f>
        <v>NA</v>
      </c>
      <c r="U2960" s="2" t="str">
        <f t="shared" si="344"/>
        <v>NA</v>
      </c>
    </row>
    <row r="2961" spans="1:21" ht="14.25" customHeight="1">
      <c r="A2961" s="2" t="s">
        <v>39</v>
      </c>
      <c r="B2961" s="2">
        <v>1997</v>
      </c>
      <c r="C2961" s="2" t="s">
        <v>23</v>
      </c>
      <c r="D2961" s="2">
        <v>75.613</v>
      </c>
      <c r="E2961" s="2">
        <v>40.097000000000001</v>
      </c>
      <c r="P2961" s="3">
        <f>E2961*(VLOOKUP(B2961,Price_data!A$1:B$190,2,FALSE))</f>
        <v>43.356131674944997</v>
      </c>
      <c r="Q2961" s="3">
        <f>G2961*(VLOOKUP(B2961,Price_data!A$1:B$190,2,FALSE))</f>
        <v>0</v>
      </c>
      <c r="R2961" s="3">
        <f>I2961*(VLOOKUP(B2961,Price_data!A$1:B$190,2,FALSE))</f>
        <v>0</v>
      </c>
      <c r="S2961" s="4" t="str">
        <f>(VLOOKUP(B2961,Price_data!A$1:C$190,3,FALSE))</f>
        <v>EEZ</v>
      </c>
      <c r="T2961" s="2" t="str">
        <f>IF(C2961="Total", (VLOOKUP(B2961,Recommended_fish_intake!A$4:D$122,4,FALSE)), "NA")</f>
        <v>NA</v>
      </c>
      <c r="U2961" s="2" t="str">
        <f t="shared" si="344"/>
        <v>NA</v>
      </c>
    </row>
    <row r="2962" spans="1:21" ht="14.25" customHeight="1">
      <c r="A2962" s="2" t="s">
        <v>39</v>
      </c>
      <c r="B2962" s="2">
        <v>1997</v>
      </c>
      <c r="C2962" s="2" t="s">
        <v>58</v>
      </c>
      <c r="D2962" s="2">
        <v>21.443999999999999</v>
      </c>
      <c r="E2962" s="2">
        <v>38.110999999999997</v>
      </c>
      <c r="P2962" s="3">
        <f>E2962*(VLOOKUP(B2962,Price_data!A$1:B$190,2,FALSE))</f>
        <v>41.208707241534995</v>
      </c>
      <c r="Q2962" s="3">
        <f>G2962*(VLOOKUP(B2962,Price_data!A$1:B$190,2,FALSE))</f>
        <v>0</v>
      </c>
      <c r="R2962" s="3">
        <f>I2962*(VLOOKUP(B2962,Price_data!A$1:B$190,2,FALSE))</f>
        <v>0</v>
      </c>
      <c r="S2962" s="4" t="str">
        <f>(VLOOKUP(B2962,Price_data!A$1:C$190,3,FALSE))</f>
        <v>EEZ</v>
      </c>
      <c r="T2962" s="2" t="str">
        <f>IF(C2962="Total", (VLOOKUP(B2962,Recommended_fish_intake!A$4:D$122,4,FALSE)), "NA")</f>
        <v>NA</v>
      </c>
      <c r="U2962" s="2" t="str">
        <f t="shared" si="344"/>
        <v>NA</v>
      </c>
    </row>
    <row r="2963" spans="1:21" ht="14.25" customHeight="1">
      <c r="A2963" s="2" t="s">
        <v>39</v>
      </c>
      <c r="B2963" s="2">
        <v>1997</v>
      </c>
      <c r="C2963" s="2" t="s">
        <v>24</v>
      </c>
      <c r="D2963" s="2">
        <v>26.798999999999999</v>
      </c>
      <c r="E2963" s="2">
        <v>12.651999999999999</v>
      </c>
      <c r="P2963" s="3">
        <f>E2963*(VLOOKUP(B2963,Price_data!A$1:B$190,2,FALSE))</f>
        <v>13.680369552619998</v>
      </c>
      <c r="Q2963" s="3">
        <f>G2963*(VLOOKUP(B2963,Price_data!A$1:B$190,2,FALSE))</f>
        <v>0</v>
      </c>
      <c r="R2963" s="3">
        <f>I2963*(VLOOKUP(B2963,Price_data!A$1:B$190,2,FALSE))</f>
        <v>0</v>
      </c>
      <c r="S2963" s="4" t="str">
        <f>(VLOOKUP(B2963,Price_data!A$1:C$190,3,FALSE))</f>
        <v>EEZ</v>
      </c>
      <c r="T2963" s="2" t="str">
        <f>IF(C2963="Total", (VLOOKUP(B2963,Recommended_fish_intake!A$4:D$122,4,FALSE)), "NA")</f>
        <v>NA</v>
      </c>
      <c r="U2963" s="2" t="str">
        <f t="shared" si="344"/>
        <v>NA</v>
      </c>
    </row>
    <row r="2964" spans="1:21" ht="14.25" customHeight="1">
      <c r="A2964" s="2" t="s">
        <v>39</v>
      </c>
      <c r="B2964" s="2">
        <v>1997</v>
      </c>
      <c r="C2964" s="2" t="s">
        <v>41</v>
      </c>
      <c r="D2964" s="2">
        <v>225.08</v>
      </c>
      <c r="E2964" s="2">
        <v>168.30500000000001</v>
      </c>
      <c r="P2964" s="3">
        <f>E2964*(VLOOKUP(B2964,Price_data!A$1:B$190,2,FALSE))</f>
        <v>181.98502984142499</v>
      </c>
      <c r="Q2964" s="3">
        <f>G2964*(VLOOKUP(B2964,Price_data!A$1:B$190,2,FALSE))</f>
        <v>0</v>
      </c>
      <c r="R2964" s="3">
        <f>I2964*(VLOOKUP(B2964,Price_data!A$1:B$190,2,FALSE))</f>
        <v>0</v>
      </c>
      <c r="S2964" s="4" t="str">
        <f>(VLOOKUP(B2964,Price_data!A$1:C$190,3,FALSE))</f>
        <v>EEZ</v>
      </c>
      <c r="T2964" s="2" t="str">
        <f>IF(C2964="Total", (VLOOKUP(B2964,Recommended_fish_intake!A$4:D$122,4,FALSE)), "NA")</f>
        <v>NA</v>
      </c>
      <c r="U2964" s="2" t="str">
        <f t="shared" si="344"/>
        <v>NA</v>
      </c>
    </row>
    <row r="2965" spans="1:21" ht="14.25" customHeight="1">
      <c r="A2965" s="2" t="s">
        <v>39</v>
      </c>
      <c r="B2965" s="2">
        <v>1997</v>
      </c>
      <c r="C2965" s="2" t="s">
        <v>19</v>
      </c>
      <c r="D2965" s="2">
        <v>49.637</v>
      </c>
      <c r="E2965" s="2">
        <v>5.4050000000000002</v>
      </c>
      <c r="P2965" s="3">
        <f>E2965*(VLOOKUP(B2965,Price_data!A$1:B$190,2,FALSE))</f>
        <v>5.8443248049249998</v>
      </c>
      <c r="Q2965" s="3">
        <f>G2965*(VLOOKUP(B2965,Price_data!A$1:B$190,2,FALSE))</f>
        <v>0</v>
      </c>
      <c r="R2965" s="3">
        <f>I2965*(VLOOKUP(B2965,Price_data!A$1:B$190,2,FALSE))</f>
        <v>0</v>
      </c>
      <c r="S2965" s="4" t="str">
        <f>(VLOOKUP(B2965,Price_data!A$1:C$190,3,FALSE))</f>
        <v>EEZ</v>
      </c>
      <c r="T2965" s="2" t="str">
        <f>IF(C2965="Total", (VLOOKUP(B2965,Recommended_fish_intake!A$4:D$122,4,FALSE)), "NA")</f>
        <v>NA</v>
      </c>
      <c r="U2965" s="2" t="str">
        <f t="shared" si="344"/>
        <v>NA</v>
      </c>
    </row>
    <row r="2966" spans="1:21" ht="14.25" customHeight="1">
      <c r="A2966" s="2" t="s">
        <v>39</v>
      </c>
      <c r="B2966" s="2">
        <v>1997</v>
      </c>
      <c r="C2966" s="2" t="s">
        <v>20</v>
      </c>
      <c r="D2966" s="2">
        <v>38.149000000000001</v>
      </c>
      <c r="E2966" s="2">
        <v>14.472</v>
      </c>
      <c r="P2966" s="3">
        <f>E2966*(VLOOKUP(B2966,Price_data!A$1:B$190,2,FALSE))</f>
        <v>15.648301309319999</v>
      </c>
      <c r="Q2966" s="3">
        <f>G2966*(VLOOKUP(B2966,Price_data!A$1:B$190,2,FALSE))</f>
        <v>0</v>
      </c>
      <c r="R2966" s="3">
        <f>I2966*(VLOOKUP(B2966,Price_data!A$1:B$190,2,FALSE))</f>
        <v>0</v>
      </c>
      <c r="S2966" s="4" t="str">
        <f>(VLOOKUP(B2966,Price_data!A$1:C$190,3,FALSE))</f>
        <v>EEZ</v>
      </c>
      <c r="T2966" s="2" t="str">
        <f>IF(C2966="Total", (VLOOKUP(B2966,Recommended_fish_intake!A$4:D$122,4,FALSE)), "NA")</f>
        <v>NA</v>
      </c>
      <c r="U2966" s="2" t="str">
        <f t="shared" si="344"/>
        <v>NA</v>
      </c>
    </row>
    <row r="2967" spans="1:21" ht="14.25" customHeight="1">
      <c r="A2967" s="2" t="s">
        <v>39</v>
      </c>
      <c r="B2967" s="2">
        <v>1997</v>
      </c>
      <c r="C2967" s="2" t="s">
        <v>42</v>
      </c>
      <c r="D2967" s="2">
        <v>107.01300000000001</v>
      </c>
      <c r="E2967" s="2">
        <v>21.428000000000001</v>
      </c>
      <c r="P2967" s="3">
        <f>E2967*(VLOOKUP(B2967,Price_data!A$1:B$190,2,FALSE))</f>
        <v>23.169693232179998</v>
      </c>
      <c r="Q2967" s="3">
        <f>G2967*(VLOOKUP(B2967,Price_data!A$1:B$190,2,FALSE))</f>
        <v>0</v>
      </c>
      <c r="R2967" s="3">
        <f>I2967*(VLOOKUP(B2967,Price_data!A$1:B$190,2,FALSE))</f>
        <v>0</v>
      </c>
      <c r="S2967" s="4" t="str">
        <f>(VLOOKUP(B2967,Price_data!A$1:C$190,3,FALSE))</f>
        <v>EEZ</v>
      </c>
      <c r="T2967" s="2" t="str">
        <f>IF(C2967="Total", (VLOOKUP(B2967,Recommended_fish_intake!A$4:D$122,4,FALSE)), "NA")</f>
        <v>NA</v>
      </c>
      <c r="U2967" s="2" t="str">
        <f t="shared" si="344"/>
        <v>NA</v>
      </c>
    </row>
    <row r="2968" spans="1:21" ht="14.25" customHeight="1">
      <c r="A2968" s="2" t="s">
        <v>39</v>
      </c>
      <c r="B2968" s="2">
        <v>1997</v>
      </c>
      <c r="C2968" s="2" t="s">
        <v>36</v>
      </c>
      <c r="D2968" s="2">
        <v>10.491</v>
      </c>
      <c r="E2968" s="2">
        <v>11.222</v>
      </c>
      <c r="P2968" s="3">
        <f>E2968*(VLOOKUP(B2968,Price_data!A$1:B$190,2,FALSE))</f>
        <v>12.134137458069999</v>
      </c>
      <c r="Q2968" s="3">
        <f>G2968*(VLOOKUP(B2968,Price_data!A$1:B$190,2,FALSE))</f>
        <v>0</v>
      </c>
      <c r="R2968" s="3">
        <f>I2968*(VLOOKUP(B2968,Price_data!A$1:B$190,2,FALSE))</f>
        <v>0</v>
      </c>
      <c r="S2968" s="4" t="str">
        <f>(VLOOKUP(B2968,Price_data!A$1:C$190,3,FALSE))</f>
        <v>EEZ</v>
      </c>
      <c r="T2968" s="2" t="str">
        <f>IF(C2968="Total", (VLOOKUP(B2968,Recommended_fish_intake!A$4:D$122,4,FALSE)), "NA")</f>
        <v>NA</v>
      </c>
      <c r="U2968" s="2" t="str">
        <f t="shared" si="344"/>
        <v>NA</v>
      </c>
    </row>
    <row r="2969" spans="1:21" ht="14.25" customHeight="1">
      <c r="A2969" s="2" t="s">
        <v>39</v>
      </c>
      <c r="B2969" s="2">
        <v>1997</v>
      </c>
      <c r="C2969" s="2" t="s">
        <v>34</v>
      </c>
      <c r="D2969" s="2">
        <v>0.66300000000000003</v>
      </c>
      <c r="E2969" s="2">
        <v>5.7889999999999997</v>
      </c>
      <c r="P2969" s="3">
        <f>E2969*(VLOOKUP(B2969,Price_data!A$1:B$190,2,FALSE))</f>
        <v>6.259536779964999</v>
      </c>
      <c r="Q2969" s="3">
        <f>G2969*(VLOOKUP(B2969,Price_data!A$1:B$190,2,FALSE))</f>
        <v>0</v>
      </c>
      <c r="R2969" s="3">
        <f>I2969*(VLOOKUP(B2969,Price_data!A$1:B$190,2,FALSE))</f>
        <v>0</v>
      </c>
      <c r="S2969" s="4" t="str">
        <f>(VLOOKUP(B2969,Price_data!A$1:C$190,3,FALSE))</f>
        <v>EEZ</v>
      </c>
      <c r="T2969" s="2" t="str">
        <f>IF(C2969="Total", (VLOOKUP(B2969,Recommended_fish_intake!A$4:D$122,4,FALSE)), "NA")</f>
        <v>NA</v>
      </c>
      <c r="U2969" s="2" t="str">
        <f t="shared" si="344"/>
        <v>NA</v>
      </c>
    </row>
    <row r="2970" spans="1:21" ht="14.25" customHeight="1">
      <c r="A2970" s="2" t="s">
        <v>39</v>
      </c>
      <c r="B2970" s="2">
        <v>1997</v>
      </c>
      <c r="C2970" s="2" t="s">
        <v>35</v>
      </c>
      <c r="D2970" s="2">
        <v>21.571999999999999</v>
      </c>
      <c r="E2970" s="2">
        <v>48.222000000000001</v>
      </c>
      <c r="P2970" s="3">
        <f>E2970*(VLOOKUP(B2970,Price_data!A$1:B$190,2,FALSE))</f>
        <v>52.141541303069999</v>
      </c>
      <c r="Q2970" s="3">
        <f>G2970*(VLOOKUP(B2970,Price_data!A$1:B$190,2,FALSE))</f>
        <v>0</v>
      </c>
      <c r="R2970" s="3">
        <f>I2970*(VLOOKUP(B2970,Price_data!A$1:B$190,2,FALSE))</f>
        <v>0</v>
      </c>
      <c r="S2970" s="4" t="str">
        <f>(VLOOKUP(B2970,Price_data!A$1:C$190,3,FALSE))</f>
        <v>EEZ</v>
      </c>
      <c r="T2970" s="2" t="str">
        <f>IF(C2970="Total", (VLOOKUP(B2970,Recommended_fish_intake!A$4:D$122,4,FALSE)), "NA")</f>
        <v>NA</v>
      </c>
      <c r="U2970" s="2" t="str">
        <f t="shared" si="344"/>
        <v>NA</v>
      </c>
    </row>
    <row r="2971" spans="1:21" ht="14.25" customHeight="1">
      <c r="A2971" s="2" t="s">
        <v>39</v>
      </c>
      <c r="B2971" s="2">
        <v>1997</v>
      </c>
      <c r="C2971" s="2" t="s">
        <v>52</v>
      </c>
      <c r="D2971" s="2">
        <v>14.936</v>
      </c>
      <c r="E2971" s="2">
        <v>17.640999999999998</v>
      </c>
      <c r="P2971" s="3">
        <f>E2971*(VLOOKUP(B2971,Price_data!A$1:B$190,2,FALSE))</f>
        <v>19.074881384584998</v>
      </c>
      <c r="Q2971" s="3">
        <f>G2971*(VLOOKUP(B2971,Price_data!A$1:B$190,2,FALSE))</f>
        <v>0</v>
      </c>
      <c r="R2971" s="3">
        <f>I2971*(VLOOKUP(B2971,Price_data!A$1:B$190,2,FALSE))</f>
        <v>0</v>
      </c>
      <c r="S2971" s="4" t="str">
        <f>(VLOOKUP(B2971,Price_data!A$1:C$190,3,FALSE))</f>
        <v>EEZ</v>
      </c>
      <c r="T2971" s="2" t="str">
        <f>IF(C2971="Total", (VLOOKUP(B2971,Recommended_fish_intake!A$4:D$122,4,FALSE)), "NA")</f>
        <v>NA</v>
      </c>
      <c r="U2971" s="2" t="str">
        <f t="shared" si="344"/>
        <v>NA</v>
      </c>
    </row>
    <row r="2972" spans="1:21" ht="14.25" customHeight="1">
      <c r="A2972" s="2" t="s">
        <v>39</v>
      </c>
      <c r="B2972" s="2">
        <v>1997</v>
      </c>
      <c r="C2972" s="2" t="s">
        <v>30</v>
      </c>
      <c r="D2972" s="2">
        <v>0.36599999999999999</v>
      </c>
      <c r="E2972" s="2">
        <v>0.32900000000000001</v>
      </c>
      <c r="P2972" s="3">
        <f>E2972*(VLOOKUP(B2972,Price_data!A$1:B$190,2,FALSE))</f>
        <v>0.35574150986499997</v>
      </c>
      <c r="Q2972" s="3">
        <f>G2972*(VLOOKUP(B2972,Price_data!A$1:B$190,2,FALSE))</f>
        <v>0</v>
      </c>
      <c r="R2972" s="3">
        <f>I2972*(VLOOKUP(B2972,Price_data!A$1:B$190,2,FALSE))</f>
        <v>0</v>
      </c>
      <c r="S2972" s="4" t="str">
        <f>(VLOOKUP(B2972,Price_data!A$1:C$190,3,FALSE))</f>
        <v>EEZ</v>
      </c>
      <c r="T2972" s="2" t="str">
        <f>IF(C2972="Total", (VLOOKUP(B2972,Recommended_fish_intake!A$4:D$122,4,FALSE)), "NA")</f>
        <v>NA</v>
      </c>
      <c r="U2972" s="2" t="str">
        <f t="shared" si="344"/>
        <v>NA</v>
      </c>
    </row>
    <row r="2973" spans="1:21" ht="14.25" customHeight="1">
      <c r="A2973" s="2" t="s">
        <v>39</v>
      </c>
      <c r="B2973" s="2">
        <v>1997</v>
      </c>
      <c r="C2973" s="2" t="s">
        <v>28</v>
      </c>
      <c r="D2973" s="2">
        <v>54.265000000000001</v>
      </c>
      <c r="E2973" s="2">
        <v>88.900999999999996</v>
      </c>
      <c r="P2973" s="3">
        <f>E2973*(VLOOKUP(B2973,Price_data!A$1:B$190,2,FALSE))</f>
        <v>96.126978627684991</v>
      </c>
      <c r="Q2973" s="3">
        <f>G2973*(VLOOKUP(B2973,Price_data!A$1:B$190,2,FALSE))</f>
        <v>0</v>
      </c>
      <c r="R2973" s="3">
        <f>I2973*(VLOOKUP(B2973,Price_data!A$1:B$190,2,FALSE))</f>
        <v>0</v>
      </c>
      <c r="S2973" s="4" t="str">
        <f>(VLOOKUP(B2973,Price_data!A$1:C$190,3,FALSE))</f>
        <v>EEZ</v>
      </c>
      <c r="T2973" s="2" t="str">
        <f>IF(C2973="Total", (VLOOKUP(B2973,Recommended_fish_intake!A$4:D$122,4,FALSE)), "NA")</f>
        <v>NA</v>
      </c>
      <c r="U2973" s="2">
        <f t="shared" si="344"/>
        <v>15.194200000000002</v>
      </c>
    </row>
    <row r="2974" spans="1:21" ht="14.25" customHeight="1">
      <c r="A2974" s="2" t="s">
        <v>40</v>
      </c>
      <c r="B2974" s="2">
        <v>1997</v>
      </c>
      <c r="C2974" s="2" t="s">
        <v>22</v>
      </c>
      <c r="D2974" s="2">
        <v>2.3029999999999999</v>
      </c>
      <c r="E2974" s="2">
        <v>2.653</v>
      </c>
      <c r="P2974" s="3">
        <f>E2974*(VLOOKUP(B2974,Price_data!A$1:B$190,2,FALSE))</f>
        <v>2.8686389838049999</v>
      </c>
      <c r="Q2974" s="3">
        <f>G2974*(VLOOKUP(B2974,Price_data!A$1:B$190,2,FALSE))</f>
        <v>0</v>
      </c>
      <c r="R2974" s="3">
        <f>I2974*(VLOOKUP(B2974,Price_data!A$1:B$190,2,FALSE))</f>
        <v>0</v>
      </c>
      <c r="S2974" s="4" t="str">
        <f>(VLOOKUP(B2974,Price_data!A$1:C$190,3,FALSE))</f>
        <v>EEZ</v>
      </c>
      <c r="T2974" s="2" t="str">
        <f>IF(C2974="Total", (VLOOKUP(B2974,Recommended_fish_intake!A$4:D$122,4,FALSE)), "NA")</f>
        <v>NA</v>
      </c>
      <c r="U2974" s="2" t="str">
        <f t="shared" si="344"/>
        <v>NA</v>
      </c>
    </row>
    <row r="2975" spans="1:21" ht="14.25" customHeight="1">
      <c r="A2975" s="2" t="s">
        <v>40</v>
      </c>
      <c r="B2975" s="2">
        <v>1997</v>
      </c>
      <c r="C2975" s="2" t="s">
        <v>23</v>
      </c>
      <c r="D2975" s="2">
        <v>0.89400000000000002</v>
      </c>
      <c r="E2975" s="2">
        <v>0.66700000000000004</v>
      </c>
      <c r="P2975" s="3">
        <f>E2975*(VLOOKUP(B2975,Price_data!A$1:B$190,2,FALSE))</f>
        <v>0.72121455039500004</v>
      </c>
      <c r="Q2975" s="3">
        <f>G2975*(VLOOKUP(B2975,Price_data!A$1:B$190,2,FALSE))</f>
        <v>0</v>
      </c>
      <c r="R2975" s="3">
        <f>I2975*(VLOOKUP(B2975,Price_data!A$1:B$190,2,FALSE))</f>
        <v>0</v>
      </c>
      <c r="S2975" s="4" t="str">
        <f>(VLOOKUP(B2975,Price_data!A$1:C$190,3,FALSE))</f>
        <v>EEZ</v>
      </c>
      <c r="T2975" s="2" t="str">
        <f>IF(C2975="Total", (VLOOKUP(B2975,Recommended_fish_intake!A$4:D$122,4,FALSE)), "NA")</f>
        <v>NA</v>
      </c>
      <c r="U2975" s="2" t="str">
        <f t="shared" si="344"/>
        <v>NA</v>
      </c>
    </row>
    <row r="2976" spans="1:21" ht="14.25" customHeight="1">
      <c r="A2976" s="2" t="s">
        <v>40</v>
      </c>
      <c r="B2976" s="2">
        <v>1997</v>
      </c>
      <c r="C2976" s="2" t="s">
        <v>58</v>
      </c>
      <c r="D2976" s="2">
        <v>0.314</v>
      </c>
      <c r="E2976" s="2">
        <v>0.441</v>
      </c>
      <c r="P2976" s="3">
        <f>E2976*(VLOOKUP(B2976,Price_data!A$1:B$190,2,FALSE))</f>
        <v>0.47684500258499996</v>
      </c>
      <c r="Q2976" s="3">
        <f>G2976*(VLOOKUP(B2976,Price_data!A$1:B$190,2,FALSE))</f>
        <v>0</v>
      </c>
      <c r="R2976" s="3">
        <f>I2976*(VLOOKUP(B2976,Price_data!A$1:B$190,2,FALSE))</f>
        <v>0</v>
      </c>
      <c r="S2976" s="4" t="str">
        <f>(VLOOKUP(B2976,Price_data!A$1:C$190,3,FALSE))</f>
        <v>EEZ</v>
      </c>
      <c r="T2976" s="2" t="str">
        <f>IF(C2976="Total", (VLOOKUP(B2976,Recommended_fish_intake!A$4:D$122,4,FALSE)), "NA")</f>
        <v>NA</v>
      </c>
      <c r="U2976" s="2" t="str">
        <f t="shared" si="344"/>
        <v>NA</v>
      </c>
    </row>
    <row r="2977" spans="1:21" ht="14.25" customHeight="1">
      <c r="A2977" s="2" t="s">
        <v>40</v>
      </c>
      <c r="B2977" s="2">
        <v>1997</v>
      </c>
      <c r="C2977" s="2" t="s">
        <v>24</v>
      </c>
      <c r="D2977" s="2">
        <v>3.1190000000000002</v>
      </c>
      <c r="E2977" s="2">
        <v>1.403</v>
      </c>
      <c r="P2977" s="3">
        <f>E2977*(VLOOKUP(B2977,Price_data!A$1:B$190,2,FALSE))</f>
        <v>1.517037502555</v>
      </c>
      <c r="Q2977" s="3">
        <f>G2977*(VLOOKUP(B2977,Price_data!A$1:B$190,2,FALSE))</f>
        <v>0</v>
      </c>
      <c r="R2977" s="3">
        <f>I2977*(VLOOKUP(B2977,Price_data!A$1:B$190,2,FALSE))</f>
        <v>0</v>
      </c>
      <c r="S2977" s="4" t="str">
        <f>(VLOOKUP(B2977,Price_data!A$1:C$190,3,FALSE))</f>
        <v>EEZ</v>
      </c>
      <c r="T2977" s="2" t="str">
        <f>IF(C2977="Total", (VLOOKUP(B2977,Recommended_fish_intake!A$4:D$122,4,FALSE)), "NA")</f>
        <v>NA</v>
      </c>
      <c r="U2977" s="2" t="str">
        <f t="shared" si="344"/>
        <v>NA</v>
      </c>
    </row>
    <row r="2978" spans="1:21" ht="14.25" customHeight="1">
      <c r="A2978" s="2" t="s">
        <v>40</v>
      </c>
      <c r="B2978" s="2">
        <v>1997</v>
      </c>
      <c r="C2978" s="2" t="s">
        <v>41</v>
      </c>
      <c r="D2978" s="2">
        <v>9.8019999999999996</v>
      </c>
      <c r="E2978" s="2">
        <v>8.6579999999999995</v>
      </c>
      <c r="P2978" s="3">
        <f>E2978*(VLOOKUP(B2978,Price_data!A$1:B$190,2,FALSE))</f>
        <v>9.3617324997299995</v>
      </c>
      <c r="Q2978" s="3">
        <f>G2978*(VLOOKUP(B2978,Price_data!A$1:B$190,2,FALSE))</f>
        <v>0</v>
      </c>
      <c r="R2978" s="3">
        <f>I2978*(VLOOKUP(B2978,Price_data!A$1:B$190,2,FALSE))</f>
        <v>0</v>
      </c>
      <c r="S2978" s="4" t="str">
        <f>(VLOOKUP(B2978,Price_data!A$1:C$190,3,FALSE))</f>
        <v>EEZ</v>
      </c>
      <c r="T2978" s="2" t="str">
        <f>IF(C2978="Total", (VLOOKUP(B2978,Recommended_fish_intake!A$4:D$122,4,FALSE)), "NA")</f>
        <v>NA</v>
      </c>
      <c r="U2978" s="2" t="str">
        <f t="shared" si="344"/>
        <v>NA</v>
      </c>
    </row>
    <row r="2979" spans="1:21" ht="14.25" customHeight="1">
      <c r="A2979" s="2" t="s">
        <v>40</v>
      </c>
      <c r="B2979" s="2">
        <v>1997</v>
      </c>
      <c r="C2979" s="2" t="s">
        <v>19</v>
      </c>
      <c r="D2979" s="2">
        <v>6.9779999999999998</v>
      </c>
      <c r="E2979" s="2">
        <v>0.71799999999999997</v>
      </c>
      <c r="P2979" s="3">
        <f>E2979*(VLOOKUP(B2979,Price_data!A$1:B$190,2,FALSE))</f>
        <v>0.7763598908299999</v>
      </c>
      <c r="Q2979" s="3">
        <f>G2979*(VLOOKUP(B2979,Price_data!A$1:B$190,2,FALSE))</f>
        <v>0</v>
      </c>
      <c r="R2979" s="3">
        <f>I2979*(VLOOKUP(B2979,Price_data!A$1:B$190,2,FALSE))</f>
        <v>0</v>
      </c>
      <c r="S2979" s="4" t="str">
        <f>(VLOOKUP(B2979,Price_data!A$1:C$190,3,FALSE))</f>
        <v>EEZ</v>
      </c>
      <c r="T2979" s="2" t="str">
        <f>IF(C2979="Total", (VLOOKUP(B2979,Recommended_fish_intake!A$4:D$122,4,FALSE)), "NA")</f>
        <v>NA</v>
      </c>
      <c r="U2979" s="2" t="str">
        <f t="shared" si="344"/>
        <v>NA</v>
      </c>
    </row>
    <row r="2980" spans="1:21" ht="14.25" customHeight="1">
      <c r="A2980" s="2" t="s">
        <v>40</v>
      </c>
      <c r="B2980" s="2">
        <v>1997</v>
      </c>
      <c r="C2980" s="2" t="s">
        <v>20</v>
      </c>
      <c r="D2980" s="2">
        <v>0.86499999999999999</v>
      </c>
      <c r="E2980" s="2">
        <v>0.157</v>
      </c>
      <c r="P2980" s="3">
        <f>E2980*(VLOOKUP(B2980,Price_data!A$1:B$190,2,FALSE))</f>
        <v>0.16976114604499998</v>
      </c>
      <c r="Q2980" s="3">
        <f>G2980*(VLOOKUP(B2980,Price_data!A$1:B$190,2,FALSE))</f>
        <v>0</v>
      </c>
      <c r="R2980" s="3">
        <f>I2980*(VLOOKUP(B2980,Price_data!A$1:B$190,2,FALSE))</f>
        <v>0</v>
      </c>
      <c r="S2980" s="4" t="str">
        <f>(VLOOKUP(B2980,Price_data!A$1:C$190,3,FALSE))</f>
        <v>EEZ</v>
      </c>
      <c r="T2980" s="2" t="str">
        <f>IF(C2980="Total", (VLOOKUP(B2980,Recommended_fish_intake!A$4:D$122,4,FALSE)), "NA")</f>
        <v>NA</v>
      </c>
      <c r="U2980" s="2" t="str">
        <f t="shared" si="344"/>
        <v>NA</v>
      </c>
    </row>
    <row r="2981" spans="1:21" ht="14.25" customHeight="1">
      <c r="A2981" s="2" t="s">
        <v>40</v>
      </c>
      <c r="B2981" s="2">
        <v>1997</v>
      </c>
      <c r="C2981" s="2" t="s">
        <v>42</v>
      </c>
      <c r="D2981" s="2">
        <v>9.4960000000000004</v>
      </c>
      <c r="E2981" s="2">
        <v>1.095</v>
      </c>
      <c r="P2981" s="3">
        <f>E2981*(VLOOKUP(B2981,Price_data!A$1:B$190,2,FALSE))</f>
        <v>1.1840028975749999</v>
      </c>
      <c r="Q2981" s="3">
        <f>G2981*(VLOOKUP(B2981,Price_data!A$1:B$190,2,FALSE))</f>
        <v>0</v>
      </c>
      <c r="R2981" s="3">
        <f>I2981*(VLOOKUP(B2981,Price_data!A$1:B$190,2,FALSE))</f>
        <v>0</v>
      </c>
      <c r="S2981" s="4" t="str">
        <f>(VLOOKUP(B2981,Price_data!A$1:C$190,3,FALSE))</f>
        <v>EEZ</v>
      </c>
      <c r="T2981" s="2" t="str">
        <f>IF(C2981="Total", (VLOOKUP(B2981,Recommended_fish_intake!A$4:D$122,4,FALSE)), "NA")</f>
        <v>NA</v>
      </c>
      <c r="U2981" s="2" t="str">
        <f t="shared" si="344"/>
        <v>NA</v>
      </c>
    </row>
    <row r="2982" spans="1:21" ht="14.25" customHeight="1">
      <c r="A2982" s="2" t="s">
        <v>40</v>
      </c>
      <c r="B2982" s="2">
        <v>1997</v>
      </c>
      <c r="C2982" s="2" t="s">
        <v>36</v>
      </c>
      <c r="D2982" s="2">
        <v>0.22700000000000001</v>
      </c>
      <c r="E2982" s="2">
        <v>0.185</v>
      </c>
      <c r="P2982" s="3">
        <f>E2982*(VLOOKUP(B2982,Price_data!A$1:B$190,2,FALSE))</f>
        <v>0.20003701922499997</v>
      </c>
      <c r="Q2982" s="3">
        <f>G2982*(VLOOKUP(B2982,Price_data!A$1:B$190,2,FALSE))</f>
        <v>0</v>
      </c>
      <c r="R2982" s="3">
        <f>I2982*(VLOOKUP(B2982,Price_data!A$1:B$190,2,FALSE))</f>
        <v>0</v>
      </c>
      <c r="S2982" s="4" t="str">
        <f>(VLOOKUP(B2982,Price_data!A$1:C$190,3,FALSE))</f>
        <v>EEZ</v>
      </c>
      <c r="T2982" s="2" t="str">
        <f>IF(C2982="Total", (VLOOKUP(B2982,Recommended_fish_intake!A$4:D$122,4,FALSE)), "NA")</f>
        <v>NA</v>
      </c>
      <c r="U2982" s="2" t="str">
        <f t="shared" si="344"/>
        <v>NA</v>
      </c>
    </row>
    <row r="2983" spans="1:21" ht="14.25" customHeight="1">
      <c r="A2983" s="2" t="s">
        <v>40</v>
      </c>
      <c r="B2983" s="2">
        <v>1997</v>
      </c>
      <c r="C2983" s="2" t="s">
        <v>34</v>
      </c>
      <c r="D2983" s="2">
        <v>0</v>
      </c>
      <c r="E2983" s="2">
        <v>9.7000000000000003E-2</v>
      </c>
      <c r="P2983" s="3">
        <f>E2983*(VLOOKUP(B2983,Price_data!A$1:B$190,2,FALSE))</f>
        <v>0.10488427494499999</v>
      </c>
      <c r="Q2983" s="3">
        <f>G2983*(VLOOKUP(B2983,Price_data!A$1:B$190,2,FALSE))</f>
        <v>0</v>
      </c>
      <c r="R2983" s="3">
        <f>I2983*(VLOOKUP(B2983,Price_data!A$1:B$190,2,FALSE))</f>
        <v>0</v>
      </c>
      <c r="S2983" s="4" t="str">
        <f>(VLOOKUP(B2983,Price_data!A$1:C$190,3,FALSE))</f>
        <v>EEZ</v>
      </c>
      <c r="T2983" s="2" t="str">
        <f>IF(C2983="Total", (VLOOKUP(B2983,Recommended_fish_intake!A$4:D$122,4,FALSE)), "NA")</f>
        <v>NA</v>
      </c>
      <c r="U2983" s="2" t="str">
        <f t="shared" si="344"/>
        <v>NA</v>
      </c>
    </row>
    <row r="2984" spans="1:21" ht="14.25" customHeight="1">
      <c r="A2984" s="2" t="s">
        <v>40</v>
      </c>
      <c r="B2984" s="2">
        <v>1997</v>
      </c>
      <c r="C2984" s="2" t="s">
        <v>35</v>
      </c>
      <c r="D2984" s="2">
        <v>6.6280000000000001</v>
      </c>
      <c r="E2984" s="2">
        <v>10.558</v>
      </c>
      <c r="P2984" s="3">
        <f>E2984*(VLOOKUP(B2984,Price_data!A$1:B$190,2,FALSE))</f>
        <v>11.41616675123</v>
      </c>
      <c r="Q2984" s="3">
        <f>G2984*(VLOOKUP(B2984,Price_data!A$1:B$190,2,FALSE))</f>
        <v>0</v>
      </c>
      <c r="R2984" s="3">
        <f>I2984*(VLOOKUP(B2984,Price_data!A$1:B$190,2,FALSE))</f>
        <v>0</v>
      </c>
      <c r="S2984" s="4" t="str">
        <f>(VLOOKUP(B2984,Price_data!A$1:C$190,3,FALSE))</f>
        <v>EEZ</v>
      </c>
      <c r="T2984" s="2" t="str">
        <f>IF(C2984="Total", (VLOOKUP(B2984,Recommended_fish_intake!A$4:D$122,4,FALSE)), "NA")</f>
        <v>NA</v>
      </c>
      <c r="U2984" s="2" t="str">
        <f t="shared" si="344"/>
        <v>NA</v>
      </c>
    </row>
    <row r="2985" spans="1:21" ht="14.25" customHeight="1">
      <c r="A2985" s="2" t="s">
        <v>40</v>
      </c>
      <c r="B2985" s="2">
        <v>1997</v>
      </c>
      <c r="C2985" s="2" t="s">
        <v>52</v>
      </c>
      <c r="D2985" s="2">
        <v>0.56399999999999995</v>
      </c>
      <c r="E2985" s="2">
        <v>0.40500000000000003</v>
      </c>
      <c r="P2985" s="3">
        <f>E2985*(VLOOKUP(B2985,Price_data!A$1:B$190,2,FALSE))</f>
        <v>0.437918879925</v>
      </c>
      <c r="Q2985" s="3">
        <f>G2985*(VLOOKUP(B2985,Price_data!A$1:B$190,2,FALSE))</f>
        <v>0</v>
      </c>
      <c r="R2985" s="3">
        <f>I2985*(VLOOKUP(B2985,Price_data!A$1:B$190,2,FALSE))</f>
        <v>0</v>
      </c>
      <c r="S2985" s="4" t="str">
        <f>(VLOOKUP(B2985,Price_data!A$1:C$190,3,FALSE))</f>
        <v>EEZ</v>
      </c>
      <c r="T2985" s="2" t="str">
        <f>IF(C2985="Total", (VLOOKUP(B2985,Recommended_fish_intake!A$4:D$122,4,FALSE)), "NA")</f>
        <v>NA</v>
      </c>
      <c r="U2985" s="2" t="str">
        <f t="shared" si="344"/>
        <v>NA</v>
      </c>
    </row>
    <row r="2986" spans="1:21" ht="14.25" customHeight="1">
      <c r="A2986" s="2" t="s">
        <v>40</v>
      </c>
      <c r="B2986" s="2">
        <v>1997</v>
      </c>
      <c r="C2986" s="2" t="s">
        <v>30</v>
      </c>
      <c r="D2986" s="2">
        <v>0</v>
      </c>
      <c r="E2986" s="2">
        <v>0</v>
      </c>
      <c r="P2986" s="3">
        <f>E2986*(VLOOKUP(B2986,Price_data!A$1:B$190,2,FALSE))</f>
        <v>0</v>
      </c>
      <c r="Q2986" s="3">
        <f>G2986*(VLOOKUP(B2986,Price_data!A$1:B$190,2,FALSE))</f>
        <v>0</v>
      </c>
      <c r="R2986" s="3">
        <f>I2986*(VLOOKUP(B2986,Price_data!A$1:B$190,2,FALSE))</f>
        <v>0</v>
      </c>
      <c r="S2986" s="4" t="str">
        <f>(VLOOKUP(B2986,Price_data!A$1:C$190,3,FALSE))</f>
        <v>EEZ</v>
      </c>
      <c r="T2986" s="2" t="str">
        <f>IF(C2986="Total", (VLOOKUP(B2986,Recommended_fish_intake!A$4:D$122,4,FALSE)), "NA")</f>
        <v>NA</v>
      </c>
      <c r="U2986" s="2" t="str">
        <f t="shared" si="344"/>
        <v>NA</v>
      </c>
    </row>
    <row r="2987" spans="1:21" ht="14.25" customHeight="1">
      <c r="A2987" s="2" t="s">
        <v>40</v>
      </c>
      <c r="B2987" s="2">
        <v>1997</v>
      </c>
      <c r="C2987" s="2" t="s">
        <v>28</v>
      </c>
      <c r="D2987" s="2">
        <v>7.7809999999999997</v>
      </c>
      <c r="E2987" s="2">
        <v>11.845000000000001</v>
      </c>
      <c r="P2987" s="3">
        <f>E2987*(VLOOKUP(B2987,Price_data!A$1:B$190,2,FALSE))</f>
        <v>12.807775636324999</v>
      </c>
      <c r="Q2987" s="3">
        <f>G2987*(VLOOKUP(B2987,Price_data!A$1:B$190,2,FALSE))</f>
        <v>0</v>
      </c>
      <c r="R2987" s="3">
        <f>I2987*(VLOOKUP(B2987,Price_data!A$1:B$190,2,FALSE))</f>
        <v>0</v>
      </c>
      <c r="S2987" s="4" t="str">
        <f>(VLOOKUP(B2987,Price_data!A$1:C$190,3,FALSE))</f>
        <v>EEZ</v>
      </c>
      <c r="T2987" s="2" t="str">
        <f>IF(C2987="Total", (VLOOKUP(B2987,Recommended_fish_intake!A$4:D$122,4,FALSE)), "NA")</f>
        <v>NA</v>
      </c>
      <c r="U2987" s="2">
        <f t="shared" si="344"/>
        <v>2.1786799999999999</v>
      </c>
    </row>
    <row r="2988" spans="1:21" ht="14.25" customHeight="1">
      <c r="A2988" s="2" t="s">
        <v>40</v>
      </c>
      <c r="B2988" s="2">
        <v>1997</v>
      </c>
      <c r="C2988" s="4" t="s">
        <v>37</v>
      </c>
      <c r="D2988" s="3">
        <f>D2860+D2812</f>
        <v>7.4889999999999999</v>
      </c>
      <c r="E2988" s="3">
        <f>E2860+E2812</f>
        <v>2.798</v>
      </c>
      <c r="P2988" s="3">
        <f>E2988*(VLOOKUP(B2988,Price_data!A$1:B$190,2,FALSE))</f>
        <v>3.02542475563</v>
      </c>
      <c r="Q2988" s="3">
        <f>G2988*(VLOOKUP(B2988,Price_data!A$1:B$190,2,FALSE))</f>
        <v>0</v>
      </c>
      <c r="R2988" s="3">
        <f>I2988*(VLOOKUP(B2988,Price_data!A$1:B$190,2,FALSE))</f>
        <v>0</v>
      </c>
      <c r="S2988" s="4" t="str">
        <f>(VLOOKUP(B2988,Price_data!A$1:C$190,3,FALSE))</f>
        <v>EEZ</v>
      </c>
      <c r="T2988" s="2" t="str">
        <f>IF(C2988="Total", (VLOOKUP(B2988,Recommended_fish_intake!A$4:D$122,4,FALSE)), "NA")</f>
        <v>NA</v>
      </c>
      <c r="U2988" s="2">
        <f t="shared" si="344"/>
        <v>3.66961</v>
      </c>
    </row>
    <row r="2989" spans="1:21" ht="14.25" customHeight="1">
      <c r="A2989" s="2" t="s">
        <v>39</v>
      </c>
      <c r="B2989" s="2">
        <v>1997</v>
      </c>
      <c r="C2989" s="4" t="s">
        <v>37</v>
      </c>
      <c r="D2989" s="3">
        <f>D2605+D2557</f>
        <v>512.84899999999993</v>
      </c>
      <c r="E2989" s="3">
        <f>E2605+E2557</f>
        <v>247.774</v>
      </c>
      <c r="P2989" s="3">
        <f>E2989*(VLOOKUP(B2989,Price_data!A$1:B$190,2,FALSE))</f>
        <v>267.91336433218999</v>
      </c>
      <c r="Q2989" s="3">
        <f>G2989*(VLOOKUP(B2989,Price_data!A$1:B$190,2,FALSE))</f>
        <v>0</v>
      </c>
      <c r="R2989" s="3">
        <f>I2989*(VLOOKUP(B2989,Price_data!A$1:B$190,2,FALSE))</f>
        <v>0</v>
      </c>
      <c r="S2989" s="4" t="str">
        <f>(VLOOKUP(B2989,Price_data!A$1:C$190,3,FALSE))</f>
        <v>EEZ</v>
      </c>
      <c r="T2989" s="2" t="str">
        <f>IF(C2989="Total", (VLOOKUP(B2989,Recommended_fish_intake!A$4:D$122,4,FALSE)), "NA")</f>
        <v>NA</v>
      </c>
      <c r="U2989" s="2">
        <f t="shared" si="344"/>
        <v>251.29600999999997</v>
      </c>
    </row>
    <row r="2990" spans="1:21" ht="14.25" customHeight="1">
      <c r="A2990" s="2" t="s">
        <v>18</v>
      </c>
      <c r="B2990" s="2">
        <v>1997</v>
      </c>
      <c r="C2990" s="2" t="s">
        <v>22</v>
      </c>
      <c r="D2990" s="3">
        <f t="shared" ref="D2990:E3003" si="345">D2238+D1998</f>
        <v>196.94300000000001</v>
      </c>
      <c r="E2990" s="3">
        <f t="shared" si="345"/>
        <v>146.83999999999997</v>
      </c>
      <c r="P2990" s="3">
        <f>E2990*(VLOOKUP(B2990,Price_data!A$1:B$190,2,FALSE))</f>
        <v>158.77532920539997</v>
      </c>
      <c r="Q2990" s="3">
        <f>G2990*(VLOOKUP(B2990,Price_data!A$1:B$190,2,FALSE))</f>
        <v>0</v>
      </c>
      <c r="R2990" s="3">
        <f>I2990*(VLOOKUP(B2990,Price_data!A$1:B$190,2,FALSE))</f>
        <v>0</v>
      </c>
      <c r="S2990" s="4" t="str">
        <f>(VLOOKUP(B2990,Price_data!A$1:C$190,3,FALSE))</f>
        <v>EEZ</v>
      </c>
      <c r="T2990" s="2" t="str">
        <f>IF(C2990="Total", (VLOOKUP(B2990,Recommended_fish_intake!A$4:D$122,4,FALSE)), "NA")</f>
        <v>NA</v>
      </c>
      <c r="U2990" s="2" t="str">
        <f t="shared" si="344"/>
        <v>NA</v>
      </c>
    </row>
    <row r="2991" spans="1:21" ht="14.25" customHeight="1">
      <c r="A2991" s="2" t="s">
        <v>18</v>
      </c>
      <c r="B2991" s="2">
        <v>1997</v>
      </c>
      <c r="C2991" s="2" t="s">
        <v>23</v>
      </c>
      <c r="D2991" s="3">
        <f t="shared" si="345"/>
        <v>605.05899999999997</v>
      </c>
      <c r="E2991" s="3">
        <f t="shared" si="345"/>
        <v>276.64499999999998</v>
      </c>
      <c r="P2991" s="3">
        <f>E2991*(VLOOKUP(B2991,Price_data!A$1:B$190,2,FALSE))</f>
        <v>299.13103342432498</v>
      </c>
      <c r="Q2991" s="3">
        <f>G2991*(VLOOKUP(B2991,Price_data!A$1:B$190,2,FALSE))</f>
        <v>0</v>
      </c>
      <c r="R2991" s="3">
        <f>I2991*(VLOOKUP(B2991,Price_data!A$1:B$190,2,FALSE))</f>
        <v>0</v>
      </c>
      <c r="S2991" s="4" t="str">
        <f>(VLOOKUP(B2991,Price_data!A$1:C$190,3,FALSE))</f>
        <v>EEZ</v>
      </c>
      <c r="T2991" s="2" t="str">
        <f>IF(C2991="Total", (VLOOKUP(B2991,Recommended_fish_intake!A$4:D$122,4,FALSE)), "NA")</f>
        <v>NA</v>
      </c>
      <c r="U2991" s="2" t="str">
        <f t="shared" si="344"/>
        <v>NA</v>
      </c>
    </row>
    <row r="2992" spans="1:21" ht="14.25" customHeight="1">
      <c r="A2992" s="2" t="s">
        <v>18</v>
      </c>
      <c r="B2992" s="2">
        <v>1997</v>
      </c>
      <c r="C2992" s="2" t="s">
        <v>58</v>
      </c>
      <c r="D2992" s="3">
        <f t="shared" si="345"/>
        <v>23.748000000000001</v>
      </c>
      <c r="E2992" s="3">
        <f t="shared" si="345"/>
        <v>15.446999999999999</v>
      </c>
      <c r="P2992" s="3">
        <f>E2992*(VLOOKUP(B2992,Price_data!A$1:B$190,2,FALSE))</f>
        <v>16.702550464694998</v>
      </c>
      <c r="Q2992" s="3">
        <f>G2992*(VLOOKUP(B2992,Price_data!A$1:B$190,2,FALSE))</f>
        <v>0</v>
      </c>
      <c r="R2992" s="3">
        <f>I2992*(VLOOKUP(B2992,Price_data!A$1:B$190,2,FALSE))</f>
        <v>0</v>
      </c>
      <c r="S2992" s="4" t="str">
        <f>(VLOOKUP(B2992,Price_data!A$1:C$190,3,FALSE))</f>
        <v>EEZ</v>
      </c>
      <c r="T2992" s="2" t="str">
        <f>IF(C2992="Total", (VLOOKUP(B2992,Recommended_fish_intake!A$4:D$122,4,FALSE)), "NA")</f>
        <v>NA</v>
      </c>
      <c r="U2992" s="2" t="str">
        <f t="shared" si="344"/>
        <v>NA</v>
      </c>
    </row>
    <row r="2993" spans="1:21" ht="14.25" customHeight="1">
      <c r="A2993" s="2" t="s">
        <v>18</v>
      </c>
      <c r="B2993" s="2">
        <v>1997</v>
      </c>
      <c r="C2993" s="2" t="s">
        <v>24</v>
      </c>
      <c r="D2993" s="3">
        <f t="shared" si="345"/>
        <v>928.553</v>
      </c>
      <c r="E2993" s="3">
        <f t="shared" si="345"/>
        <v>511.05399999999997</v>
      </c>
      <c r="P2993" s="3">
        <f>E2993*(VLOOKUP(B2993,Price_data!A$1:B$190,2,FALSE))</f>
        <v>552.5930747189899</v>
      </c>
      <c r="Q2993" s="3">
        <f>G2993*(VLOOKUP(B2993,Price_data!A$1:B$190,2,FALSE))</f>
        <v>0</v>
      </c>
      <c r="R2993" s="3">
        <f>I2993*(VLOOKUP(B2993,Price_data!A$1:B$190,2,FALSE))</f>
        <v>0</v>
      </c>
      <c r="S2993" s="4" t="str">
        <f>(VLOOKUP(B2993,Price_data!A$1:C$190,3,FALSE))</f>
        <v>EEZ</v>
      </c>
      <c r="T2993" s="2" t="str">
        <f>IF(C2993="Total", (VLOOKUP(B2993,Recommended_fish_intake!A$4:D$122,4,FALSE)), "NA")</f>
        <v>NA</v>
      </c>
      <c r="U2993" s="2" t="str">
        <f t="shared" si="344"/>
        <v>NA</v>
      </c>
    </row>
    <row r="2994" spans="1:21" ht="14.25" customHeight="1">
      <c r="A2994" s="2" t="s">
        <v>18</v>
      </c>
      <c r="B2994" s="2">
        <v>1997</v>
      </c>
      <c r="C2994" s="2" t="s">
        <v>41</v>
      </c>
      <c r="D2994" s="3">
        <f t="shared" si="345"/>
        <v>12.903</v>
      </c>
      <c r="E2994" s="3">
        <f t="shared" si="345"/>
        <v>7.0299999999999994</v>
      </c>
      <c r="P2994" s="3">
        <f>E2994*(VLOOKUP(B2994,Price_data!A$1:B$190,2,FALSE))</f>
        <v>7.601406730549999</v>
      </c>
      <c r="Q2994" s="3">
        <f>G2994*(VLOOKUP(B2994,Price_data!A$1:B$190,2,FALSE))</f>
        <v>0</v>
      </c>
      <c r="R2994" s="3">
        <f>I2994*(VLOOKUP(B2994,Price_data!A$1:B$190,2,FALSE))</f>
        <v>0</v>
      </c>
      <c r="S2994" s="4" t="str">
        <f>(VLOOKUP(B2994,Price_data!A$1:C$190,3,FALSE))</f>
        <v>EEZ</v>
      </c>
      <c r="T2994" s="2" t="str">
        <f>IF(C2994="Total", (VLOOKUP(B2994,Recommended_fish_intake!A$4:D$122,4,FALSE)), "NA")</f>
        <v>NA</v>
      </c>
      <c r="U2994" s="2" t="str">
        <f t="shared" si="344"/>
        <v>NA</v>
      </c>
    </row>
    <row r="2995" spans="1:21" ht="14.25" customHeight="1">
      <c r="A2995" s="2" t="s">
        <v>18</v>
      </c>
      <c r="B2995" s="2">
        <v>1997</v>
      </c>
      <c r="C2995" s="2" t="s">
        <v>19</v>
      </c>
      <c r="D2995" s="3" t="e">
        <f t="shared" si="345"/>
        <v>#N/A</v>
      </c>
      <c r="E2995" s="3" t="e">
        <f t="shared" si="345"/>
        <v>#N/A</v>
      </c>
      <c r="P2995" s="3" t="e">
        <f>E2995*(VLOOKUP(B2995,Price_data!A$1:B$190,2,FALSE))</f>
        <v>#N/A</v>
      </c>
      <c r="Q2995" s="3">
        <f>G2995*(VLOOKUP(B2995,Price_data!A$1:B$190,2,FALSE))</f>
        <v>0</v>
      </c>
      <c r="R2995" s="3">
        <f>I2995*(VLOOKUP(B2995,Price_data!A$1:B$190,2,FALSE))</f>
        <v>0</v>
      </c>
      <c r="S2995" s="4" t="str">
        <f>(VLOOKUP(B2995,Price_data!A$1:C$190,3,FALSE))</f>
        <v>EEZ</v>
      </c>
      <c r="T2995" s="2" t="str">
        <f>IF(C2995="Total", (VLOOKUP(B2995,Recommended_fish_intake!A$4:D$122,4,FALSE)), "NA")</f>
        <v>NA</v>
      </c>
      <c r="U2995" s="2" t="str">
        <f t="shared" si="344"/>
        <v>NA</v>
      </c>
    </row>
    <row r="2996" spans="1:21" ht="14.25" customHeight="1">
      <c r="A2996" s="2" t="s">
        <v>18</v>
      </c>
      <c r="B2996" s="2">
        <v>1997</v>
      </c>
      <c r="C2996" s="2" t="s">
        <v>20</v>
      </c>
      <c r="D2996" s="3" t="e">
        <f t="shared" si="345"/>
        <v>#N/A</v>
      </c>
      <c r="E2996" s="3" t="e">
        <f t="shared" si="345"/>
        <v>#N/A</v>
      </c>
      <c r="P2996" s="3" t="e">
        <f>E2996*(VLOOKUP(B2996,Price_data!A$1:B$190,2,FALSE))</f>
        <v>#N/A</v>
      </c>
      <c r="Q2996" s="3">
        <f>G2996*(VLOOKUP(B2996,Price_data!A$1:B$190,2,FALSE))</f>
        <v>0</v>
      </c>
      <c r="R2996" s="3">
        <f>I2996*(VLOOKUP(B2996,Price_data!A$1:B$190,2,FALSE))</f>
        <v>0</v>
      </c>
      <c r="S2996" s="4" t="str">
        <f>(VLOOKUP(B2996,Price_data!A$1:C$190,3,FALSE))</f>
        <v>EEZ</v>
      </c>
      <c r="T2996" s="2" t="str">
        <f>IF(C2996="Total", (VLOOKUP(B2996,Recommended_fish_intake!A$4:D$122,4,FALSE)), "NA")</f>
        <v>NA</v>
      </c>
      <c r="U2996" s="2" t="str">
        <f t="shared" si="344"/>
        <v>NA</v>
      </c>
    </row>
    <row r="2997" spans="1:21" ht="14.25" customHeight="1">
      <c r="A2997" s="2" t="s">
        <v>18</v>
      </c>
      <c r="B2997" s="2">
        <v>1997</v>
      </c>
      <c r="C2997" s="2" t="s">
        <v>42</v>
      </c>
      <c r="D2997" s="3">
        <f t="shared" si="345"/>
        <v>34.801000000000002</v>
      </c>
      <c r="E2997" s="3">
        <f t="shared" si="345"/>
        <v>33.591999999999999</v>
      </c>
      <c r="P2997" s="3">
        <f>E2997*(VLOOKUP(B2997,Price_data!A$1:B$190,2,FALSE))</f>
        <v>36.322397566519996</v>
      </c>
      <c r="Q2997" s="3">
        <f>G2997*(VLOOKUP(B2997,Price_data!A$1:B$190,2,FALSE))</f>
        <v>0</v>
      </c>
      <c r="R2997" s="3">
        <f>I2997*(VLOOKUP(B2997,Price_data!A$1:B$190,2,FALSE))</f>
        <v>0</v>
      </c>
      <c r="S2997" s="4" t="str">
        <f>(VLOOKUP(B2997,Price_data!A$1:C$190,3,FALSE))</f>
        <v>EEZ</v>
      </c>
      <c r="T2997" s="2" t="str">
        <f>IF(C2997="Total", (VLOOKUP(B2997,Recommended_fish_intake!A$4:D$122,4,FALSE)), "NA")</f>
        <v>NA</v>
      </c>
      <c r="U2997" s="2" t="str">
        <f t="shared" si="344"/>
        <v>NA</v>
      </c>
    </row>
    <row r="2998" spans="1:21" ht="14.25" customHeight="1">
      <c r="A2998" s="2" t="s">
        <v>18</v>
      </c>
      <c r="B2998" s="2">
        <v>1997</v>
      </c>
      <c r="C2998" s="2" t="s">
        <v>36</v>
      </c>
      <c r="D2998" s="3">
        <f t="shared" si="345"/>
        <v>6.8880000000000008</v>
      </c>
      <c r="E2998" s="3">
        <f t="shared" si="345"/>
        <v>5.4539999999999997</v>
      </c>
      <c r="P2998" s="3">
        <f>E2998*(VLOOKUP(B2998,Price_data!A$1:B$190,2,FALSE))</f>
        <v>5.897307582989999</v>
      </c>
      <c r="Q2998" s="3">
        <f>G2998*(VLOOKUP(B2998,Price_data!A$1:B$190,2,FALSE))</f>
        <v>0</v>
      </c>
      <c r="R2998" s="3">
        <f>I2998*(VLOOKUP(B2998,Price_data!A$1:B$190,2,FALSE))</f>
        <v>0</v>
      </c>
      <c r="S2998" s="4" t="str">
        <f>(VLOOKUP(B2998,Price_data!A$1:C$190,3,FALSE))</f>
        <v>EEZ</v>
      </c>
      <c r="T2998" s="2" t="str">
        <f>IF(C2998="Total", (VLOOKUP(B2998,Recommended_fish_intake!A$4:D$122,4,FALSE)), "NA")</f>
        <v>NA</v>
      </c>
      <c r="U2998" s="2" t="str">
        <f t="shared" si="344"/>
        <v>NA</v>
      </c>
    </row>
    <row r="2999" spans="1:21" ht="14.25" customHeight="1">
      <c r="A2999" s="2" t="s">
        <v>18</v>
      </c>
      <c r="B2999" s="2">
        <v>1997</v>
      </c>
      <c r="C2999" s="2" t="s">
        <v>34</v>
      </c>
      <c r="D2999" s="3">
        <f t="shared" si="345"/>
        <v>37.046999999999997</v>
      </c>
      <c r="E2999" s="3">
        <f t="shared" si="345"/>
        <v>26.712</v>
      </c>
      <c r="P2999" s="3">
        <f>E2999*(VLOOKUP(B2999,Price_data!A$1:B$190,2,FALSE))</f>
        <v>28.883183013719997</v>
      </c>
      <c r="Q2999" s="3">
        <f>G2999*(VLOOKUP(B2999,Price_data!A$1:B$190,2,FALSE))</f>
        <v>0</v>
      </c>
      <c r="R2999" s="3">
        <f>I2999*(VLOOKUP(B2999,Price_data!A$1:B$190,2,FALSE))</f>
        <v>0</v>
      </c>
      <c r="S2999" s="4" t="str">
        <f>(VLOOKUP(B2999,Price_data!A$1:C$190,3,FALSE))</f>
        <v>EEZ</v>
      </c>
      <c r="T2999" s="2" t="str">
        <f>IF(C2999="Total", (VLOOKUP(B2999,Recommended_fish_intake!A$4:D$122,4,FALSE)), "NA")</f>
        <v>NA</v>
      </c>
      <c r="U2999" s="2" t="str">
        <f t="shared" si="344"/>
        <v>NA</v>
      </c>
    </row>
    <row r="3000" spans="1:21" ht="14.25" customHeight="1">
      <c r="A3000" s="2" t="s">
        <v>18</v>
      </c>
      <c r="B3000" s="2">
        <v>1997</v>
      </c>
      <c r="C3000" s="2" t="s">
        <v>35</v>
      </c>
      <c r="D3000" s="3">
        <f t="shared" si="345"/>
        <v>74.123000000000005</v>
      </c>
      <c r="E3000" s="3">
        <f t="shared" si="345"/>
        <v>55.412999999999997</v>
      </c>
      <c r="P3000" s="3">
        <f>E3000*(VLOOKUP(B3000,Price_data!A$1:B$190,2,FALSE))</f>
        <v>59.917034304404993</v>
      </c>
      <c r="Q3000" s="3">
        <f>G3000*(VLOOKUP(B3000,Price_data!A$1:B$190,2,FALSE))</f>
        <v>0</v>
      </c>
      <c r="R3000" s="3">
        <f>I3000*(VLOOKUP(B3000,Price_data!A$1:B$190,2,FALSE))</f>
        <v>0</v>
      </c>
      <c r="S3000" s="4" t="str">
        <f>(VLOOKUP(B3000,Price_data!A$1:C$190,3,FALSE))</f>
        <v>EEZ</v>
      </c>
      <c r="T3000" s="2" t="str">
        <f>IF(C3000="Total", (VLOOKUP(B3000,Recommended_fish_intake!A$4:D$122,4,FALSE)), "NA")</f>
        <v>NA</v>
      </c>
      <c r="U3000" s="2" t="str">
        <f t="shared" si="344"/>
        <v>NA</v>
      </c>
    </row>
    <row r="3001" spans="1:21" ht="14.25" customHeight="1">
      <c r="A3001" s="2" t="s">
        <v>18</v>
      </c>
      <c r="B3001" s="2">
        <v>1997</v>
      </c>
      <c r="C3001" s="2" t="s">
        <v>52</v>
      </c>
      <c r="D3001" s="3">
        <f t="shared" si="345"/>
        <v>101.77500000000001</v>
      </c>
      <c r="E3001" s="3">
        <f t="shared" si="345"/>
        <v>60.093000000000004</v>
      </c>
      <c r="P3001" s="3">
        <f>E3001*(VLOOKUP(B3001,Price_data!A$1:B$190,2,FALSE))</f>
        <v>64.977430250205003</v>
      </c>
      <c r="Q3001" s="3">
        <f>G3001*(VLOOKUP(B3001,Price_data!A$1:B$190,2,FALSE))</f>
        <v>0</v>
      </c>
      <c r="R3001" s="3">
        <f>I3001*(VLOOKUP(B3001,Price_data!A$1:B$190,2,FALSE))</f>
        <v>0</v>
      </c>
      <c r="S3001" s="4" t="str">
        <f>(VLOOKUP(B3001,Price_data!A$1:C$190,3,FALSE))</f>
        <v>EEZ</v>
      </c>
      <c r="T3001" s="2" t="str">
        <f>IF(C3001="Total", (VLOOKUP(B3001,Recommended_fish_intake!A$4:D$122,4,FALSE)), "NA")</f>
        <v>NA</v>
      </c>
      <c r="U3001" s="2" t="str">
        <f t="shared" si="344"/>
        <v>NA</v>
      </c>
    </row>
    <row r="3002" spans="1:21" ht="14.25" customHeight="1">
      <c r="A3002" s="2" t="s">
        <v>18</v>
      </c>
      <c r="B3002" s="2">
        <v>1997</v>
      </c>
      <c r="C3002" s="2" t="s">
        <v>30</v>
      </c>
      <c r="D3002" s="3">
        <f t="shared" si="345"/>
        <v>6.1099999999999994</v>
      </c>
      <c r="E3002" s="3">
        <f t="shared" si="345"/>
        <v>3.3330000000000002</v>
      </c>
      <c r="P3002" s="3">
        <f>E3002*(VLOOKUP(B3002,Price_data!A$1:B$190,2,FALSE))</f>
        <v>3.6039101896050001</v>
      </c>
      <c r="Q3002" s="3">
        <f>G3002*(VLOOKUP(B3002,Price_data!A$1:B$190,2,FALSE))</f>
        <v>0</v>
      </c>
      <c r="R3002" s="3">
        <f>I3002*(VLOOKUP(B3002,Price_data!A$1:B$190,2,FALSE))</f>
        <v>0</v>
      </c>
      <c r="S3002" s="4" t="str">
        <f>(VLOOKUP(B3002,Price_data!A$1:C$190,3,FALSE))</f>
        <v>EEZ</v>
      </c>
      <c r="T3002" s="2" t="str">
        <f>IF(C3002="Total", (VLOOKUP(B3002,Recommended_fish_intake!A$4:D$122,4,FALSE)), "NA")</f>
        <v>NA</v>
      </c>
      <c r="U3002" s="2" t="str">
        <f t="shared" si="344"/>
        <v>NA</v>
      </c>
    </row>
    <row r="3003" spans="1:21" ht="14.25" customHeight="1">
      <c r="A3003" s="2" t="s">
        <v>18</v>
      </c>
      <c r="B3003" s="2">
        <v>1997</v>
      </c>
      <c r="C3003" s="2" t="s">
        <v>28</v>
      </c>
      <c r="D3003" s="3">
        <f t="shared" si="345"/>
        <v>63.048000000000002</v>
      </c>
      <c r="E3003" s="3">
        <f t="shared" si="345"/>
        <v>21.349</v>
      </c>
      <c r="P3003" s="3">
        <f>E3003*(VLOOKUP(B3003,Price_data!A$1:B$190,2,FALSE))</f>
        <v>23.084272018564999</v>
      </c>
      <c r="Q3003" s="3">
        <f>G3003*(VLOOKUP(B3003,Price_data!A$1:B$190,2,FALSE))</f>
        <v>0</v>
      </c>
      <c r="R3003" s="3">
        <f>I3003*(VLOOKUP(B3003,Price_data!A$1:B$190,2,FALSE))</f>
        <v>0</v>
      </c>
      <c r="S3003" s="4" t="str">
        <f>(VLOOKUP(B3003,Price_data!A$1:C$190,3,FALSE))</f>
        <v>EEZ</v>
      </c>
      <c r="T3003" s="2" t="str">
        <f>IF(C3003="Total", (VLOOKUP(B3003,Recommended_fish_intake!A$4:D$122,4,FALSE)), "NA")</f>
        <v>NA</v>
      </c>
      <c r="U3003" s="2">
        <f t="shared" si="344"/>
        <v>17.653440000000003</v>
      </c>
    </row>
    <row r="3004" spans="1:21" ht="14.25" customHeight="1">
      <c r="A3004" s="2" t="s">
        <v>18</v>
      </c>
      <c r="B3004" s="2">
        <v>1997</v>
      </c>
      <c r="C3004" s="2" t="s">
        <v>37</v>
      </c>
      <c r="D3004" s="3">
        <f>D2828+D2876</f>
        <v>98.138999999999996</v>
      </c>
      <c r="E3004" s="3">
        <f>E2828+E2876</f>
        <v>13.331</v>
      </c>
      <c r="P3004" s="3">
        <f>E3004*(VLOOKUP(B3004,Price_data!A$1:B$190,2,FALSE))</f>
        <v>14.414559477234999</v>
      </c>
      <c r="Q3004" s="3">
        <f>G3004*(VLOOKUP(B3004,Price_data!A$1:B$190,2,FALSE))</f>
        <v>0</v>
      </c>
      <c r="R3004" s="3">
        <f>I3004*(VLOOKUP(B3004,Price_data!A$1:B$190,2,FALSE))</f>
        <v>0</v>
      </c>
      <c r="S3004" s="4" t="str">
        <f>(VLOOKUP(B3004,Price_data!A$1:C$190,3,FALSE))</f>
        <v>EEZ</v>
      </c>
      <c r="T3004" s="2" t="str">
        <f>IF(C3004="Total", (VLOOKUP(B3004,Recommended_fish_intake!A$4:D$122,4,FALSE)), "NA")</f>
        <v>NA</v>
      </c>
      <c r="U3004" s="2">
        <f t="shared" si="344"/>
        <v>48.08811</v>
      </c>
    </row>
    <row r="3005" spans="1:21" ht="14.25" customHeight="1">
      <c r="A3005" s="2" t="s">
        <v>90</v>
      </c>
      <c r="B3005" s="2">
        <v>1997</v>
      </c>
      <c r="C3005" s="2" t="s">
        <v>16</v>
      </c>
      <c r="D3005" s="2">
        <v>179.6</v>
      </c>
      <c r="E3005" s="2">
        <v>167.2</v>
      </c>
      <c r="P3005" s="3">
        <f>E3005*(VLOOKUP(B3005,Price_data!A$1:B$190,2,FALSE))</f>
        <v>180.79021413199999</v>
      </c>
      <c r="Q3005" s="3">
        <f>G3005*(VLOOKUP(B3005,Price_data!A$1:B$190,2,FALSE))</f>
        <v>0</v>
      </c>
      <c r="R3005" s="3">
        <f>I3005*(VLOOKUP(B3005,Price_data!A$1:B$190,2,FALSE))</f>
        <v>0</v>
      </c>
      <c r="S3005" s="4" t="str">
        <f>(VLOOKUP(B3005,Price_data!A$1:C$190,3,FALSE))</f>
        <v>EEZ</v>
      </c>
      <c r="T3005" s="2">
        <f>IF(C3005="Total", (VLOOKUP(B3005,Recommended_fish_intake!A$4:D$122,4,FALSE)), "NA")</f>
        <v>768.93800717370004</v>
      </c>
      <c r="U3005" s="2" t="str">
        <f t="shared" si="344"/>
        <v>NA</v>
      </c>
    </row>
    <row r="3006" spans="1:21" ht="14.25" customHeight="1">
      <c r="A3006" s="2" t="s">
        <v>91</v>
      </c>
      <c r="B3006" s="2">
        <v>1997</v>
      </c>
      <c r="C3006" s="2" t="s">
        <v>16</v>
      </c>
      <c r="D3006" s="2">
        <v>0</v>
      </c>
      <c r="E3006" s="2">
        <v>0</v>
      </c>
      <c r="P3006" s="3">
        <f>E3006*(VLOOKUP(B3006,Price_data!A$1:B$190,2,FALSE))</f>
        <v>0</v>
      </c>
      <c r="Q3006" s="3">
        <f>G3006*(VLOOKUP(B3006,Price_data!A$1:B$190,2,FALSE))</f>
        <v>0</v>
      </c>
      <c r="R3006" s="3">
        <f>I3006*(VLOOKUP(B3006,Price_data!A$1:B$190,2,FALSE))</f>
        <v>0</v>
      </c>
      <c r="S3006" s="4" t="str">
        <f>(VLOOKUP(B3006,Price_data!A$1:C$190,3,FALSE))</f>
        <v>EEZ</v>
      </c>
      <c r="T3006" s="2">
        <f>IF(C3006="Total", (VLOOKUP(B3006,Recommended_fish_intake!A$4:D$122,4,FALSE)), "NA")</f>
        <v>768.93800717370004</v>
      </c>
      <c r="U3006" s="2" t="str">
        <f t="shared" si="344"/>
        <v>NA</v>
      </c>
    </row>
    <row r="3007" spans="1:21" ht="14.25" customHeight="1">
      <c r="A3007" s="2" t="s">
        <v>39</v>
      </c>
      <c r="B3007" s="2">
        <v>1997</v>
      </c>
      <c r="C3007" s="2" t="s">
        <v>16</v>
      </c>
      <c r="D3007" s="2">
        <v>386.358</v>
      </c>
      <c r="E3007" s="2">
        <v>278.63400000000001</v>
      </c>
      <c r="P3007" s="3">
        <f>E3007*(VLOOKUP(B3007,Price_data!A$1:B$190,2,FALSE))</f>
        <v>301.28170170128999</v>
      </c>
      <c r="Q3007" s="3">
        <f>G3007*(VLOOKUP(B3007,Price_data!A$1:B$190,2,FALSE))</f>
        <v>0</v>
      </c>
      <c r="R3007" s="3">
        <f>I3007*(VLOOKUP(B3007,Price_data!A$1:B$190,2,FALSE))</f>
        <v>0</v>
      </c>
      <c r="S3007" s="4" t="str">
        <f>(VLOOKUP(B3007,Price_data!A$1:C$190,3,FALSE))</f>
        <v>EEZ</v>
      </c>
      <c r="T3007" s="2">
        <f>IF(C3007="Total", (VLOOKUP(B3007,Recommended_fish_intake!A$4:D$122,4,FALSE)), "NA")</f>
        <v>768.93800717370004</v>
      </c>
      <c r="U3007" s="2" t="str">
        <f t="shared" si="344"/>
        <v>NA</v>
      </c>
    </row>
    <row r="3008" spans="1:21" ht="14.25" customHeight="1">
      <c r="A3008" s="2" t="s">
        <v>40</v>
      </c>
      <c r="B3008" s="2">
        <v>1997</v>
      </c>
      <c r="C3008" s="2" t="s">
        <v>16</v>
      </c>
      <c r="D3008" s="2">
        <v>27.079000000000001</v>
      </c>
      <c r="E3008" s="2">
        <v>21.597000000000001</v>
      </c>
      <c r="P3008" s="3">
        <f>E3008*(VLOOKUP(B3008,Price_data!A$1:B$190,2,FALSE))</f>
        <v>23.352429752445001</v>
      </c>
      <c r="Q3008" s="3">
        <f>G3008*(VLOOKUP(B3008,Price_data!A$1:B$190,2,FALSE))</f>
        <v>0</v>
      </c>
      <c r="R3008" s="3">
        <f>I3008*(VLOOKUP(B3008,Price_data!A$1:B$190,2,FALSE))</f>
        <v>0</v>
      </c>
      <c r="S3008" s="4" t="str">
        <f>(VLOOKUP(B3008,Price_data!A$1:C$190,3,FALSE))</f>
        <v>EEZ</v>
      </c>
      <c r="T3008" s="2">
        <f>IF(C3008="Total", (VLOOKUP(B3008,Recommended_fish_intake!A$4:D$122,4,FALSE)), "NA")</f>
        <v>768.93800717370004</v>
      </c>
      <c r="U3008" s="2" t="str">
        <f t="shared" si="344"/>
        <v>NA</v>
      </c>
    </row>
    <row r="3009" spans="1:21" ht="14.25" customHeight="1">
      <c r="A3009" s="2" t="s">
        <v>18</v>
      </c>
      <c r="B3009" s="2">
        <v>1997</v>
      </c>
      <c r="C3009" s="2" t="s">
        <v>16</v>
      </c>
      <c r="D3009" s="3">
        <f>D2257+D2017</f>
        <v>2.169</v>
      </c>
      <c r="E3009" s="3">
        <f>E2257+E2017</f>
        <v>5.5839999999999996</v>
      </c>
      <c r="P3009" s="3">
        <f>E3009*(VLOOKUP(B3009,Price_data!A$1:B$190,2,FALSE))</f>
        <v>6.0378741370399993</v>
      </c>
      <c r="Q3009" s="3">
        <f>G3009*(VLOOKUP(B3009,Price_data!A$1:B$190,2,FALSE))</f>
        <v>0</v>
      </c>
      <c r="R3009" s="3">
        <f>I3009*(VLOOKUP(B3009,Price_data!A$1:B$190,2,FALSE))</f>
        <v>0</v>
      </c>
      <c r="S3009" s="4" t="str">
        <f>(VLOOKUP(B3009,Price_data!A$1:C$190,3,FALSE))</f>
        <v>EEZ</v>
      </c>
      <c r="T3009" s="2">
        <f>IF(C3009="Total", (VLOOKUP(B3009,Recommended_fish_intake!A$4:D$122,4,FALSE)), "NA")</f>
        <v>768.93800717370004</v>
      </c>
      <c r="U3009" s="2" t="str">
        <f t="shared" si="344"/>
        <v>NA</v>
      </c>
    </row>
    <row r="3010" spans="1:21" ht="14.25" customHeight="1">
      <c r="A3010" s="2" t="s">
        <v>15</v>
      </c>
      <c r="B3010" s="2">
        <v>1997</v>
      </c>
      <c r="C3010" s="2" t="s">
        <v>16</v>
      </c>
      <c r="D3010" s="2">
        <v>593.26700000000005</v>
      </c>
      <c r="E3010" s="2">
        <v>467.64800000000002</v>
      </c>
      <c r="F3010" s="3">
        <f>L3010/1000</f>
        <v>299.779</v>
      </c>
      <c r="G3010" s="3">
        <f>M3010/1000</f>
        <v>605.19299999999998</v>
      </c>
      <c r="H3010" s="3">
        <f>N3010/1000</f>
        <v>503.17099999999999</v>
      </c>
      <c r="I3010" s="3">
        <f>O3010/1000</f>
        <v>1055.1759999999999</v>
      </c>
      <c r="L3010" s="2">
        <v>299779</v>
      </c>
      <c r="M3010" s="2">
        <v>605193</v>
      </c>
      <c r="N3010" s="2">
        <v>503171</v>
      </c>
      <c r="O3010" s="2">
        <v>1055176</v>
      </c>
      <c r="P3010" s="3">
        <f>E3010*(VLOOKUP(B3010,Price_data!A$1:B$190,2,FALSE))</f>
        <v>505.65898360287997</v>
      </c>
      <c r="Q3010" s="3">
        <f>G3010*(VLOOKUP(B3010,Price_data!A$1:B$190,2,FALSE))</f>
        <v>654.38380419370492</v>
      </c>
      <c r="R3010" s="3">
        <f>I3010*(VLOOKUP(B3010,Price_data!A$1:B$190,2,FALSE))</f>
        <v>1140.9419556635598</v>
      </c>
      <c r="S3010" s="4" t="str">
        <f>(VLOOKUP(B3010,Price_data!A$1:C$190,3,FALSE))</f>
        <v>EEZ</v>
      </c>
      <c r="T3010" s="2">
        <f>IF(C3010="Total", (VLOOKUP(B3010,Recommended_fish_intake!A$4:D$122,4,FALSE)), "NA")</f>
        <v>768.93800717370004</v>
      </c>
      <c r="U3010" s="2" t="str">
        <f t="shared" ref="U3010:U3073" si="346">IF(C3010="Wet fish", D3010*0.49, IF(C3010="Shellfish", D3010*0.28, "NA"))</f>
        <v>NA</v>
      </c>
    </row>
    <row r="3011" spans="1:21" ht="14.25" customHeight="1">
      <c r="A3011" s="2" t="s">
        <v>15</v>
      </c>
      <c r="B3011" s="2">
        <v>1997</v>
      </c>
      <c r="C3011" s="2" t="s">
        <v>42</v>
      </c>
      <c r="D3011" s="2">
        <v>151.637</v>
      </c>
      <c r="E3011" s="2">
        <v>29.956</v>
      </c>
      <c r="F3011" s="2" t="s">
        <v>92</v>
      </c>
      <c r="G3011" s="2" t="s">
        <v>92</v>
      </c>
      <c r="H3011" s="2" t="s">
        <v>92</v>
      </c>
      <c r="I3011" s="2" t="s">
        <v>92</v>
      </c>
      <c r="P3011" s="3">
        <f>E3011*(VLOOKUP(B3011,Price_data!A$1:B$190,2,FALSE))</f>
        <v>32.390859177859994</v>
      </c>
      <c r="Q3011" s="3" t="e">
        <f>G3011*(VLOOKUP(B3011,Price_data!A$1:B$190,2,FALSE))</f>
        <v>#VALUE!</v>
      </c>
      <c r="R3011" s="3" t="e">
        <f>I3011*(VLOOKUP(B3011,Price_data!A$1:B$190,2,FALSE))</f>
        <v>#VALUE!</v>
      </c>
      <c r="S3011" s="4" t="str">
        <f>(VLOOKUP(B3011,Price_data!A$1:C$190,3,FALSE))</f>
        <v>EEZ</v>
      </c>
      <c r="T3011" s="2" t="str">
        <f>IF(C3011="Total", (VLOOKUP(B3011,Recommended_fish_intake!A$4:D$122,4,FALSE)), "NA")</f>
        <v>NA</v>
      </c>
      <c r="U3011" s="2" t="str">
        <f t="shared" si="346"/>
        <v>NA</v>
      </c>
    </row>
    <row r="3012" spans="1:21" ht="14.25" customHeight="1">
      <c r="A3012" s="2" t="s">
        <v>15</v>
      </c>
      <c r="B3012" s="2">
        <v>1997</v>
      </c>
      <c r="C3012" s="2" t="s">
        <v>36</v>
      </c>
      <c r="D3012" s="2">
        <v>22.483000000000001</v>
      </c>
      <c r="E3012" s="2">
        <v>24.263999999999999</v>
      </c>
      <c r="F3012" s="3">
        <f>L3012/1000</f>
        <v>14.182</v>
      </c>
      <c r="G3012" s="3">
        <f>M3012/1000</f>
        <v>29.274999999999999</v>
      </c>
      <c r="H3012" s="3">
        <f>N3012/1000</f>
        <v>1.615</v>
      </c>
      <c r="I3012" s="3">
        <f>O3012/1000</f>
        <v>10.821999999999999</v>
      </c>
      <c r="L3012" s="2">
        <f>13572+610</f>
        <v>14182</v>
      </c>
      <c r="M3012" s="2">
        <f>24514+4761</f>
        <v>29275</v>
      </c>
      <c r="N3012" s="2">
        <f>314+1301</f>
        <v>1615</v>
      </c>
      <c r="O3012" s="2">
        <f>1152+9670</f>
        <v>10822</v>
      </c>
      <c r="P3012" s="3">
        <f>E3012*(VLOOKUP(B3012,Price_data!A$1:B$190,2,FALSE))</f>
        <v>26.236206672839998</v>
      </c>
      <c r="Q3012" s="3">
        <f>G3012*(VLOOKUP(B3012,Price_data!A$1:B$190,2,FALSE))</f>
        <v>31.654506690874996</v>
      </c>
      <c r="R3012" s="3">
        <f>I3012*(VLOOKUP(B3012,Price_data!A$1:B$190,2,FALSE))</f>
        <v>11.701624984069998</v>
      </c>
      <c r="S3012" s="4" t="str">
        <f>(VLOOKUP(B3012,Price_data!A$1:C$190,3,FALSE))</f>
        <v>EEZ</v>
      </c>
      <c r="T3012" s="2" t="str">
        <f>IF(C3012="Total", (VLOOKUP(B3012,Recommended_fish_intake!A$4:D$122,4,FALSE)), "NA")</f>
        <v>NA</v>
      </c>
      <c r="U3012" s="2" t="str">
        <f t="shared" si="346"/>
        <v>NA</v>
      </c>
    </row>
    <row r="3013" spans="1:21" ht="14.25" customHeight="1">
      <c r="A3013" s="2" t="s">
        <v>15</v>
      </c>
      <c r="B3013" s="2">
        <v>1997</v>
      </c>
      <c r="C3013" s="2" t="s">
        <v>34</v>
      </c>
      <c r="D3013" s="2">
        <v>1.512</v>
      </c>
      <c r="E3013" s="2">
        <v>13.06</v>
      </c>
      <c r="F3013" s="2" t="s">
        <v>92</v>
      </c>
      <c r="G3013" s="2" t="s">
        <v>92</v>
      </c>
      <c r="H3013" s="2" t="s">
        <v>92</v>
      </c>
      <c r="I3013" s="2" t="s">
        <v>92</v>
      </c>
      <c r="P3013" s="3">
        <f>E3013*(VLOOKUP(B3013,Price_data!A$1:B$190,2,FALSE))</f>
        <v>14.1215322761</v>
      </c>
      <c r="Q3013" s="3" t="e">
        <f>G3013*(VLOOKUP(B3013,Price_data!A$1:B$190,2,FALSE))</f>
        <v>#VALUE!</v>
      </c>
      <c r="R3013" s="3" t="e">
        <f>I3013*(VLOOKUP(B3013,Price_data!A$1:B$190,2,FALSE))</f>
        <v>#VALUE!</v>
      </c>
      <c r="S3013" s="4" t="str">
        <f>(VLOOKUP(B3013,Price_data!A$1:C$190,3,FALSE))</f>
        <v>EEZ</v>
      </c>
      <c r="T3013" s="2" t="str">
        <f>IF(C3013="Total", (VLOOKUP(B3013,Recommended_fish_intake!A$4:D$122,4,FALSE)), "NA")</f>
        <v>NA</v>
      </c>
      <c r="U3013" s="2" t="str">
        <f t="shared" si="346"/>
        <v>NA</v>
      </c>
    </row>
    <row r="3014" spans="1:21" ht="14.25" customHeight="1">
      <c r="A3014" s="2" t="s">
        <v>15</v>
      </c>
      <c r="B3014" s="2">
        <v>1997</v>
      </c>
      <c r="C3014" s="2" t="s">
        <v>35</v>
      </c>
      <c r="D3014" s="2">
        <v>31.07</v>
      </c>
      <c r="E3014" s="2">
        <v>63.48</v>
      </c>
      <c r="F3014" s="2" t="s">
        <v>92</v>
      </c>
      <c r="G3014" s="2" t="s">
        <v>92</v>
      </c>
      <c r="H3014" s="2" t="s">
        <v>92</v>
      </c>
      <c r="I3014" s="2" t="s">
        <v>92</v>
      </c>
      <c r="P3014" s="3">
        <f>E3014*(VLOOKUP(B3014,Price_data!A$1:B$190,2,FALSE))</f>
        <v>68.639729623799994</v>
      </c>
      <c r="Q3014" s="3" t="e">
        <f>G3014*(VLOOKUP(B3014,Price_data!A$1:B$190,2,FALSE))</f>
        <v>#VALUE!</v>
      </c>
      <c r="R3014" s="3" t="e">
        <f>I3014*(VLOOKUP(B3014,Price_data!A$1:B$190,2,FALSE))</f>
        <v>#VALUE!</v>
      </c>
      <c r="S3014" s="4" t="str">
        <f>(VLOOKUP(B3014,Price_data!A$1:C$190,3,FALSE))</f>
        <v>EEZ</v>
      </c>
      <c r="T3014" s="2" t="str">
        <f>IF(C3014="Total", (VLOOKUP(B3014,Recommended_fish_intake!A$4:D$122,4,FALSE)), "NA")</f>
        <v>NA</v>
      </c>
      <c r="U3014" s="2" t="str">
        <f t="shared" si="346"/>
        <v>NA</v>
      </c>
    </row>
    <row r="3015" spans="1:21" ht="14.25" customHeight="1">
      <c r="A3015" s="2" t="s">
        <v>15</v>
      </c>
      <c r="B3015" s="2">
        <v>1997</v>
      </c>
      <c r="C3015" s="2" t="s">
        <v>52</v>
      </c>
      <c r="D3015" s="2">
        <v>24.175000000000001</v>
      </c>
      <c r="E3015" s="2">
        <v>29.53</v>
      </c>
      <c r="F3015" s="2" t="s">
        <v>92</v>
      </c>
      <c r="G3015" s="2" t="s">
        <v>92</v>
      </c>
      <c r="H3015" s="2" t="s">
        <v>92</v>
      </c>
      <c r="I3015" s="2" t="s">
        <v>92</v>
      </c>
      <c r="P3015" s="3">
        <f>E3015*(VLOOKUP(B3015,Price_data!A$1:B$190,2,FALSE))</f>
        <v>31.930233393049999</v>
      </c>
      <c r="Q3015" s="3" t="e">
        <f>G3015*(VLOOKUP(B3015,Price_data!A$1:B$190,2,FALSE))</f>
        <v>#VALUE!</v>
      </c>
      <c r="R3015" s="3" t="e">
        <f>I3015*(VLOOKUP(B3015,Price_data!A$1:B$190,2,FALSE))</f>
        <v>#VALUE!</v>
      </c>
      <c r="S3015" s="4" t="str">
        <f>(VLOOKUP(B3015,Price_data!A$1:C$190,3,FALSE))</f>
        <v>EEZ</v>
      </c>
      <c r="T3015" s="2" t="str">
        <f>IF(C3015="Total", (VLOOKUP(B3015,Recommended_fish_intake!A$4:D$122,4,FALSE)), "NA")</f>
        <v>NA</v>
      </c>
      <c r="U3015" s="2" t="str">
        <f t="shared" si="346"/>
        <v>NA</v>
      </c>
    </row>
    <row r="3016" spans="1:21" ht="14.25" customHeight="1">
      <c r="A3016" s="2" t="s">
        <v>15</v>
      </c>
      <c r="B3016" s="2">
        <v>1997</v>
      </c>
      <c r="C3016" s="2" t="s">
        <v>30</v>
      </c>
      <c r="D3016" s="2">
        <v>1.0149999999999999</v>
      </c>
      <c r="E3016" s="2">
        <v>0.96</v>
      </c>
      <c r="F3016" s="3">
        <f t="shared" ref="F3016:I3018" si="347">L3016/1000</f>
        <v>8.5820000000000007</v>
      </c>
      <c r="G3016" s="3">
        <f t="shared" si="347"/>
        <v>23.431000000000001</v>
      </c>
      <c r="H3016" s="3">
        <f t="shared" si="347"/>
        <v>39.450000000000003</v>
      </c>
      <c r="I3016" s="3">
        <f t="shared" si="347"/>
        <v>172.05199999999999</v>
      </c>
      <c r="L3016" s="2">
        <f>2755+1087+4740</f>
        <v>8582</v>
      </c>
      <c r="M3016" s="2">
        <f>7030+3020+13381</f>
        <v>23431</v>
      </c>
      <c r="N3016" s="2">
        <f>4413+206+34831</f>
        <v>39450</v>
      </c>
      <c r="O3016" s="2">
        <f>14088+1803+156161</f>
        <v>172052</v>
      </c>
      <c r="P3016" s="3">
        <f>E3016*(VLOOKUP(B3016,Price_data!A$1:B$190,2,FALSE))</f>
        <v>1.0380299376</v>
      </c>
      <c r="Q3016" s="3">
        <f>G3016*(VLOOKUP(B3016,Price_data!A$1:B$190,2,FALSE))</f>
        <v>25.335499445735</v>
      </c>
      <c r="R3016" s="3">
        <f>I3016*(VLOOKUP(B3016,Price_data!A$1:B$190,2,FALSE))</f>
        <v>186.03659044161998</v>
      </c>
      <c r="S3016" s="4" t="str">
        <f>(VLOOKUP(B3016,Price_data!A$1:C$190,3,FALSE))</f>
        <v>EEZ</v>
      </c>
      <c r="T3016" s="2" t="str">
        <f>IF(C3016="Total", (VLOOKUP(B3016,Recommended_fish_intake!A$4:D$122,4,FALSE)), "NA")</f>
        <v>NA</v>
      </c>
      <c r="U3016" s="2" t="str">
        <f t="shared" si="346"/>
        <v>NA</v>
      </c>
    </row>
    <row r="3017" spans="1:21" ht="14.25" customHeight="1">
      <c r="A3017" s="2" t="s">
        <v>15</v>
      </c>
      <c r="B3017" s="2">
        <v>1997</v>
      </c>
      <c r="C3017" s="2" t="s">
        <v>28</v>
      </c>
      <c r="D3017" s="2">
        <v>126.07299999999999</v>
      </c>
      <c r="E3017" s="2">
        <v>152.983</v>
      </c>
      <c r="F3017" s="3">
        <f t="shared" si="347"/>
        <v>65.561000000000007</v>
      </c>
      <c r="G3017" s="3">
        <f t="shared" si="347"/>
        <v>192.05699999999999</v>
      </c>
      <c r="H3017" s="3">
        <f t="shared" si="347"/>
        <v>54.341000000000001</v>
      </c>
      <c r="I3017" s="3">
        <f t="shared" si="347"/>
        <v>221.18899999999999</v>
      </c>
      <c r="L3017" s="2">
        <v>65561</v>
      </c>
      <c r="M3017" s="2">
        <v>192057</v>
      </c>
      <c r="N3017" s="2">
        <v>54341</v>
      </c>
      <c r="O3017" s="2">
        <v>221189</v>
      </c>
      <c r="P3017" s="3">
        <f>E3017*(VLOOKUP(B3017,Price_data!A$1:B$190,2,FALSE))</f>
        <v>165.41763952485499</v>
      </c>
      <c r="Q3017" s="3">
        <f>G3017*(VLOOKUP(B3017,Price_data!A$1:B$190,2,FALSE))</f>
        <v>207.66762054754497</v>
      </c>
      <c r="R3017" s="3">
        <f>I3017*(VLOOKUP(B3017,Price_data!A$1:B$190,2,FALSE))</f>
        <v>239.16750402896497</v>
      </c>
      <c r="S3017" s="4" t="str">
        <f>(VLOOKUP(B3017,Price_data!A$1:C$190,3,FALSE))</f>
        <v>EEZ</v>
      </c>
      <c r="T3017" s="2" t="str">
        <f>IF(C3017="Total", (VLOOKUP(B3017,Recommended_fish_intake!A$4:D$122,4,FALSE)), "NA")</f>
        <v>NA</v>
      </c>
      <c r="U3017" s="2">
        <f t="shared" si="346"/>
        <v>35.300440000000002</v>
      </c>
    </row>
    <row r="3018" spans="1:21" ht="14.25" customHeight="1">
      <c r="A3018" s="2" t="s">
        <v>15</v>
      </c>
      <c r="B3018" s="2">
        <v>1997</v>
      </c>
      <c r="C3018" s="2" t="s">
        <v>37</v>
      </c>
      <c r="D3018" s="2" t="e">
        <f>D2806+D3058</f>
        <v>#N/A</v>
      </c>
      <c r="E3018" s="2" t="e">
        <f>E2806+E3058</f>
        <v>#N/A</v>
      </c>
      <c r="F3018" s="3">
        <f t="shared" si="347"/>
        <v>234.21799999999999</v>
      </c>
      <c r="G3018" s="3">
        <f t="shared" si="347"/>
        <v>413.13499999999999</v>
      </c>
      <c r="H3018" s="3">
        <f t="shared" si="347"/>
        <v>448.83</v>
      </c>
      <c r="I3018" s="3">
        <f t="shared" si="347"/>
        <v>833.98699999999997</v>
      </c>
      <c r="L3018" s="2">
        <v>234218</v>
      </c>
      <c r="M3018" s="2">
        <v>413135</v>
      </c>
      <c r="N3018" s="2">
        <v>448830</v>
      </c>
      <c r="O3018" s="2">
        <v>833987</v>
      </c>
      <c r="P3018" s="3" t="e">
        <f>E3018*(VLOOKUP(B3018,Price_data!A$1:B$190,2,FALSE))</f>
        <v>#N/A</v>
      </c>
      <c r="Q3018" s="3">
        <f>G3018*(VLOOKUP(B3018,Price_data!A$1:B$190,2,FALSE))</f>
        <v>446.71510236497494</v>
      </c>
      <c r="R3018" s="3">
        <f>I3018*(VLOOKUP(B3018,Price_data!A$1:B$190,2,FALSE))</f>
        <v>901.77445163459493</v>
      </c>
      <c r="S3018" s="4" t="str">
        <f>(VLOOKUP(B3018,Price_data!A$1:C$190,3,FALSE))</f>
        <v>EEZ</v>
      </c>
      <c r="T3018" s="2" t="str">
        <f>IF(C3018="Total", (VLOOKUP(B3018,Recommended_fish_intake!A$4:D$122,4,FALSE)), "NA")</f>
        <v>NA</v>
      </c>
      <c r="U3018" s="2" t="e">
        <f t="shared" si="346"/>
        <v>#N/A</v>
      </c>
    </row>
    <row r="3019" spans="1:21" ht="14.25" customHeight="1">
      <c r="A3019" s="2" t="s">
        <v>15</v>
      </c>
      <c r="B3019" s="2">
        <v>1997</v>
      </c>
      <c r="C3019" s="2" t="s">
        <v>41</v>
      </c>
      <c r="D3019" s="2">
        <v>315.55700000000002</v>
      </c>
      <c r="E3019" s="2">
        <v>284.70999999999998</v>
      </c>
      <c r="F3019" s="2" t="s">
        <v>92</v>
      </c>
      <c r="G3019" s="2" t="s">
        <v>92</v>
      </c>
      <c r="H3019" s="2" t="s">
        <v>92</v>
      </c>
      <c r="I3019" s="2" t="s">
        <v>92</v>
      </c>
      <c r="P3019" s="3">
        <f>E3019*(VLOOKUP(B3019,Price_data!A$1:B$190,2,FALSE))</f>
        <v>307.85156618134994</v>
      </c>
      <c r="Q3019" s="3" t="e">
        <f>G3019*(VLOOKUP(B3019,Price_data!A$1:B$190,2,FALSE))</f>
        <v>#VALUE!</v>
      </c>
      <c r="R3019" s="3" t="e">
        <f>I3019*(VLOOKUP(B3019,Price_data!A$1:B$190,2,FALSE))</f>
        <v>#VALUE!</v>
      </c>
      <c r="S3019" s="4" t="str">
        <f>(VLOOKUP(B3019,Price_data!A$1:C$190,3,FALSE))</f>
        <v>EEZ</v>
      </c>
      <c r="T3019" s="2" t="str">
        <f>IF(C3019="Total", (VLOOKUP(B3019,Recommended_fish_intake!A$4:D$122,4,FALSE)), "NA")</f>
        <v>NA</v>
      </c>
      <c r="U3019" s="2" t="str">
        <f t="shared" si="346"/>
        <v>NA</v>
      </c>
    </row>
    <row r="3020" spans="1:21" ht="14.25" customHeight="1">
      <c r="A3020" s="2" t="s">
        <v>15</v>
      </c>
      <c r="B3020" s="2">
        <v>1997</v>
      </c>
      <c r="C3020" s="2" t="s">
        <v>22</v>
      </c>
      <c r="D3020" s="2">
        <v>71.016000000000005</v>
      </c>
      <c r="E3020" s="2">
        <v>67.641000000000005</v>
      </c>
      <c r="F3020" s="3">
        <f t="shared" ref="F3020:I3025" si="348">L3020/1000</f>
        <v>9.75</v>
      </c>
      <c r="G3020" s="3">
        <f t="shared" si="348"/>
        <v>19.18</v>
      </c>
      <c r="H3020" s="3">
        <f t="shared" si="348"/>
        <v>111.398</v>
      </c>
      <c r="I3020" s="3">
        <f t="shared" si="348"/>
        <v>210.66200000000001</v>
      </c>
      <c r="L3020" s="2">
        <f>1894+608+2066+3362+395+646+779</f>
        <v>9750</v>
      </c>
      <c r="M3020" s="2">
        <f>3762+1552+2529+7412+309+1520+2096</f>
        <v>19180</v>
      </c>
      <c r="N3020" s="2">
        <f>25527+985+23326+55023+4212+871+1454</f>
        <v>111398</v>
      </c>
      <c r="O3020" s="2">
        <f>27251+3211+22847+146314+5030+2777+3232</f>
        <v>210662</v>
      </c>
      <c r="P3020" s="3">
        <f>E3020*(VLOOKUP(B3020,Price_data!A$1:B$190,2,FALSE))</f>
        <v>73.138940634584998</v>
      </c>
      <c r="Q3020" s="3">
        <f>G3020*(VLOOKUP(B3020,Price_data!A$1:B$190,2,FALSE))</f>
        <v>20.7389731283</v>
      </c>
      <c r="R3020" s="3">
        <f>I3020*(VLOOKUP(B3020,Price_data!A$1:B$190,2,FALSE))</f>
        <v>227.78485699446998</v>
      </c>
      <c r="S3020" s="4" t="str">
        <f>(VLOOKUP(B3020,Price_data!A$1:C$190,3,FALSE))</f>
        <v>EEZ</v>
      </c>
      <c r="T3020" s="2" t="str">
        <f>IF(C3020="Total", (VLOOKUP(B3020,Recommended_fish_intake!A$4:D$122,4,FALSE)), "NA")</f>
        <v>NA</v>
      </c>
      <c r="U3020" s="2" t="str">
        <f t="shared" si="346"/>
        <v>NA</v>
      </c>
    </row>
    <row r="3021" spans="1:21" ht="14.25" customHeight="1">
      <c r="A3021" s="2" t="s">
        <v>15</v>
      </c>
      <c r="B3021" s="2">
        <v>1997</v>
      </c>
      <c r="C3021" s="2" t="s">
        <v>23</v>
      </c>
      <c r="D3021" s="2">
        <v>82.623999999999995</v>
      </c>
      <c r="E3021" s="2">
        <v>44.777999999999999</v>
      </c>
      <c r="F3021" s="4">
        <f t="shared" si="348"/>
        <v>1.127</v>
      </c>
      <c r="G3021" s="4">
        <f t="shared" si="348"/>
        <v>2.6619999999999999</v>
      </c>
      <c r="H3021" s="4">
        <f t="shared" si="348"/>
        <v>47.244</v>
      </c>
      <c r="I3021" s="4">
        <f t="shared" si="348"/>
        <v>70.75</v>
      </c>
      <c r="L3021" s="2">
        <f>340+223+545+19</f>
        <v>1127</v>
      </c>
      <c r="M3021" s="2">
        <f>760+316+1557+29</f>
        <v>2662</v>
      </c>
      <c r="N3021" s="2">
        <f>20033+8397+18210+604</f>
        <v>47244</v>
      </c>
      <c r="O3021" s="2">
        <f>18696+8191+43099+764</f>
        <v>70750</v>
      </c>
      <c r="P3021" s="3">
        <f>E3021*(VLOOKUP(B3021,Price_data!A$1:B$190,2,FALSE))</f>
        <v>48.417608901929995</v>
      </c>
      <c r="Q3021" s="3">
        <f>G3021*(VLOOKUP(B3021,Price_data!A$1:B$190,2,FALSE))</f>
        <v>2.8783705144699998</v>
      </c>
      <c r="R3021" s="3">
        <f>I3021*(VLOOKUP(B3021,Price_data!A$1:B$190,2,FALSE))</f>
        <v>76.500643838749994</v>
      </c>
      <c r="S3021" s="4" t="str">
        <f>(VLOOKUP(B3021,Price_data!A$1:C$190,3,FALSE))</f>
        <v>EEZ</v>
      </c>
      <c r="T3021" s="2" t="str">
        <f>IF(C3021="Total", (VLOOKUP(B3021,Recommended_fish_intake!A$4:D$122,4,FALSE)), "NA")</f>
        <v>NA</v>
      </c>
      <c r="U3021" s="2" t="str">
        <f t="shared" si="346"/>
        <v>NA</v>
      </c>
    </row>
    <row r="3022" spans="1:21" ht="14.25" customHeight="1">
      <c r="A3022" s="2" t="s">
        <v>15</v>
      </c>
      <c r="B3022" s="2">
        <v>1997</v>
      </c>
      <c r="C3022" s="2" t="s">
        <v>58</v>
      </c>
      <c r="D3022" s="2">
        <v>25.638999999999999</v>
      </c>
      <c r="E3022" s="2">
        <v>45.947000000000003</v>
      </c>
      <c r="F3022" s="4">
        <f t="shared" si="348"/>
        <v>4.649</v>
      </c>
      <c r="G3022" s="4">
        <f t="shared" si="348"/>
        <v>19.475000000000001</v>
      </c>
      <c r="H3022" s="4">
        <f t="shared" si="348"/>
        <v>0.92400000000000004</v>
      </c>
      <c r="I3022" s="4">
        <f t="shared" si="348"/>
        <v>3.0430000000000001</v>
      </c>
      <c r="L3022" s="2">
        <f>4455+40+154</f>
        <v>4649</v>
      </c>
      <c r="M3022" s="2">
        <f>18772+60+643</f>
        <v>19475</v>
      </c>
      <c r="N3022" s="2">
        <f>882+2+40</f>
        <v>924</v>
      </c>
      <c r="O3022" s="2">
        <f>2860+6+177</f>
        <v>3043</v>
      </c>
      <c r="P3022" s="3">
        <f>E3022*(VLOOKUP(B3022,Price_data!A$1:B$190,2,FALSE))</f>
        <v>49.681626607195</v>
      </c>
      <c r="Q3022" s="3">
        <f>G3022*(VLOOKUP(B3022,Price_data!A$1:B$190,2,FALSE))</f>
        <v>21.057951077875</v>
      </c>
      <c r="R3022" s="3">
        <f>I3022*(VLOOKUP(B3022,Price_data!A$1:B$190,2,FALSE))</f>
        <v>3.2903386459549999</v>
      </c>
      <c r="S3022" s="4" t="str">
        <f>(VLOOKUP(B3022,Price_data!A$1:C$190,3,FALSE))</f>
        <v>EEZ</v>
      </c>
      <c r="T3022" s="2" t="str">
        <f>IF(C3022="Total", (VLOOKUP(B3022,Recommended_fish_intake!A$4:D$122,4,FALSE)), "NA")</f>
        <v>NA</v>
      </c>
      <c r="U3022" s="2" t="str">
        <f t="shared" si="346"/>
        <v>NA</v>
      </c>
    </row>
    <row r="3023" spans="1:21" ht="14.25" customHeight="1">
      <c r="A3023" s="2" t="s">
        <v>15</v>
      </c>
      <c r="B3023" s="2">
        <v>1997</v>
      </c>
      <c r="C3023" s="2" t="s">
        <v>24</v>
      </c>
      <c r="D3023" s="2">
        <v>34.505000000000003</v>
      </c>
      <c r="E3023" s="2">
        <v>15.939</v>
      </c>
      <c r="F3023" s="4">
        <f t="shared" si="348"/>
        <v>4.1520000000000001</v>
      </c>
      <c r="G3023" s="4">
        <f t="shared" si="348"/>
        <v>7.3970000000000002</v>
      </c>
      <c r="H3023" s="4">
        <f t="shared" si="348"/>
        <v>0.80500000000000005</v>
      </c>
      <c r="I3023" s="4">
        <f t="shared" si="348"/>
        <v>0.67400000000000004</v>
      </c>
      <c r="L3023" s="2">
        <f>2875+6+1271</f>
        <v>4152</v>
      </c>
      <c r="M3023" s="2">
        <f>4030+7+3360</f>
        <v>7397</v>
      </c>
      <c r="N3023" s="2">
        <f>706+0+99</f>
        <v>805</v>
      </c>
      <c r="O3023" s="2">
        <f>521+0+153</f>
        <v>674</v>
      </c>
      <c r="P3023" s="3">
        <f>E3023*(VLOOKUP(B3023,Price_data!A$1:B$190,2,FALSE))</f>
        <v>17.234540807715</v>
      </c>
      <c r="Q3023" s="3">
        <f>G3023*(VLOOKUP(B3023,Price_data!A$1:B$190,2,FALSE))</f>
        <v>7.9982369254450001</v>
      </c>
      <c r="R3023" s="3">
        <f>I3023*(VLOOKUP(B3023,Price_data!A$1:B$190,2,FALSE))</f>
        <v>0.72878351869000002</v>
      </c>
      <c r="S3023" s="4" t="str">
        <f>(VLOOKUP(B3023,Price_data!A$1:C$190,3,FALSE))</f>
        <v>EEZ</v>
      </c>
      <c r="T3023" s="2" t="str">
        <f>IF(C3023="Total", (VLOOKUP(B3023,Recommended_fish_intake!A$4:D$122,4,FALSE)), "NA")</f>
        <v>NA</v>
      </c>
      <c r="U3023" s="2" t="str">
        <f t="shared" si="346"/>
        <v>NA</v>
      </c>
    </row>
    <row r="3024" spans="1:21" ht="14.25" customHeight="1">
      <c r="A3024" s="2" t="s">
        <v>15</v>
      </c>
      <c r="B3024" s="2">
        <v>1997</v>
      </c>
      <c r="C3024" s="2" t="s">
        <v>19</v>
      </c>
      <c r="D3024" s="2">
        <v>57.406999999999996</v>
      </c>
      <c r="E3024" s="2">
        <v>6.43</v>
      </c>
      <c r="F3024" s="4">
        <f t="shared" si="348"/>
        <v>35.793999999999997</v>
      </c>
      <c r="G3024" s="4">
        <f t="shared" si="348"/>
        <v>12.363</v>
      </c>
      <c r="H3024" s="4">
        <f t="shared" si="348"/>
        <v>6.2220000000000004</v>
      </c>
      <c r="I3024" s="4">
        <f t="shared" si="348"/>
        <v>5.6589999999999998</v>
      </c>
      <c r="L3024" s="2">
        <f>6232+5248+16899+3673+266+2659+817</f>
        <v>35794</v>
      </c>
      <c r="M3024" s="2">
        <f>2364+1388+3727+1245+107+2525+1007</f>
        <v>12363</v>
      </c>
      <c r="N3024" s="2">
        <f>1078+0+1802+523+490+756+1573</f>
        <v>6222</v>
      </c>
      <c r="O3024" s="2">
        <f>173+0+752+378+329+593+3434</f>
        <v>5659</v>
      </c>
      <c r="P3024" s="3">
        <f>E3024*(VLOOKUP(B3024,Price_data!A$1:B$190,2,FALSE))</f>
        <v>6.9526380195499993</v>
      </c>
      <c r="Q3024" s="3">
        <f>G3024*(VLOOKUP(B3024,Price_data!A$1:B$190,2,FALSE))</f>
        <v>13.367879290154999</v>
      </c>
      <c r="R3024" s="3">
        <f>I3024*(VLOOKUP(B3024,Price_data!A$1:B$190,2,FALSE))</f>
        <v>6.1189702259149996</v>
      </c>
      <c r="S3024" s="4" t="str">
        <f>(VLOOKUP(B3024,Price_data!A$1:C$190,3,FALSE))</f>
        <v>EEZ</v>
      </c>
      <c r="T3024" s="2" t="str">
        <f>IF(C3024="Total", (VLOOKUP(B3024,Recommended_fish_intake!A$4:D$122,4,FALSE)), "NA")</f>
        <v>NA</v>
      </c>
      <c r="U3024" s="2" t="str">
        <f t="shared" si="346"/>
        <v>NA</v>
      </c>
    </row>
    <row r="3025" spans="1:21" ht="14.25" customHeight="1">
      <c r="A3025" s="2" t="s">
        <v>15</v>
      </c>
      <c r="B3025" s="2">
        <v>1997</v>
      </c>
      <c r="C3025" s="2" t="s">
        <v>20</v>
      </c>
      <c r="D3025" s="2">
        <v>63.176000000000002</v>
      </c>
      <c r="E3025" s="2">
        <v>19.821999999999999</v>
      </c>
      <c r="F3025" s="4">
        <f t="shared" si="348"/>
        <v>56.015000000000001</v>
      </c>
      <c r="G3025" s="4">
        <f t="shared" si="348"/>
        <v>35.305999999999997</v>
      </c>
      <c r="H3025" s="4">
        <f t="shared" si="348"/>
        <v>6.2110000000000003</v>
      </c>
      <c r="I3025" s="4">
        <f t="shared" si="348"/>
        <v>8.3219999999999992</v>
      </c>
      <c r="L3025" s="2">
        <f>6551+43767+3619+387+1691</f>
        <v>56015</v>
      </c>
      <c r="M3025" s="2">
        <f>3488+24928+3043+967+2880</f>
        <v>35306</v>
      </c>
      <c r="N3025" s="2">
        <f>1072+1379+365+262+3133</f>
        <v>6211</v>
      </c>
      <c r="O3025" s="2">
        <f>326+823+357+264+6552</f>
        <v>8322</v>
      </c>
      <c r="P3025" s="3">
        <f>E3025*(VLOOKUP(B3025,Price_data!A$1:B$190,2,FALSE))</f>
        <v>21.433155649069999</v>
      </c>
      <c r="Q3025" s="3">
        <f>G3025*(VLOOKUP(B3025,Price_data!A$1:B$190,2,FALSE))</f>
        <v>38.175713517609992</v>
      </c>
      <c r="R3025" s="3">
        <f>I3025*(VLOOKUP(B3025,Price_data!A$1:B$190,2,FALSE))</f>
        <v>8.9984220215699988</v>
      </c>
      <c r="S3025" s="4" t="str">
        <f>(VLOOKUP(B3025,Price_data!A$1:C$190,3,FALSE))</f>
        <v>EEZ</v>
      </c>
      <c r="T3025" s="2" t="str">
        <f>IF(C3025="Total", (VLOOKUP(B3025,Recommended_fish_intake!A$4:D$122,4,FALSE)), "NA")</f>
        <v>NA</v>
      </c>
      <c r="U3025" s="2" t="str">
        <f t="shared" si="346"/>
        <v>NA</v>
      </c>
    </row>
    <row r="3026" spans="1:21" ht="14.25" customHeight="1">
      <c r="A3026" s="2" t="s">
        <v>15</v>
      </c>
      <c r="B3026" s="2">
        <v>1997</v>
      </c>
      <c r="C3026" s="2" t="s">
        <v>21</v>
      </c>
      <c r="D3026" s="3">
        <v>8.3000000000000007</v>
      </c>
      <c r="E3026" s="3">
        <v>1.4</v>
      </c>
      <c r="F3026" s="2" t="s">
        <v>92</v>
      </c>
      <c r="G3026" s="2" t="s">
        <v>92</v>
      </c>
      <c r="H3026" s="2" t="s">
        <v>92</v>
      </c>
      <c r="I3026" s="2" t="s">
        <v>92</v>
      </c>
      <c r="P3026" s="3">
        <f>E3026*(VLOOKUP(B3026,Price_data!A$1:B$190,2,FALSE))</f>
        <v>1.5137936589999998</v>
      </c>
      <c r="Q3026" s="3" t="e">
        <f>G3026*(VLOOKUP(B3026,Price_data!A$1:B$190,2,FALSE))</f>
        <v>#VALUE!</v>
      </c>
      <c r="R3026" s="3" t="e">
        <f>I3026*(VLOOKUP(B3026,Price_data!A$1:B$190,2,FALSE))</f>
        <v>#VALUE!</v>
      </c>
      <c r="S3026" s="4" t="str">
        <f>(VLOOKUP(B3026,Price_data!A$1:C$190,3,FALSE))</f>
        <v>EEZ</v>
      </c>
      <c r="T3026" s="2" t="str">
        <f>IF(C3026="Total", (VLOOKUP(B3026,Recommended_fish_intake!A$4:D$122,4,FALSE)), "NA")</f>
        <v>NA</v>
      </c>
      <c r="U3026" s="2" t="str">
        <f t="shared" si="346"/>
        <v>NA</v>
      </c>
    </row>
    <row r="3027" spans="1:21" ht="14.25" customHeight="1">
      <c r="A3027" s="2" t="s">
        <v>15</v>
      </c>
      <c r="B3027" s="2">
        <v>1997</v>
      </c>
      <c r="C3027" s="2" t="s">
        <v>25</v>
      </c>
      <c r="D3027" s="2">
        <v>12.9</v>
      </c>
      <c r="E3027" s="2">
        <v>15.5</v>
      </c>
      <c r="F3027" s="3">
        <f t="shared" ref="F3027:I3029" si="349">IF(L3027="", NA(), L3027/1000)</f>
        <v>3.11</v>
      </c>
      <c r="G3027" s="3">
        <f t="shared" si="349"/>
        <v>5.3890000000000002</v>
      </c>
      <c r="H3027" s="3">
        <f t="shared" si="349"/>
        <v>8.5709999999999997</v>
      </c>
      <c r="I3027" s="3">
        <f t="shared" si="349"/>
        <v>20.556000000000001</v>
      </c>
      <c r="L3027" s="2">
        <f>2483+4+623</f>
        <v>3110</v>
      </c>
      <c r="M3027" s="2">
        <f>3108+13+2268</f>
        <v>5389</v>
      </c>
      <c r="N3027" s="2">
        <f>5171+322+3078</f>
        <v>8571</v>
      </c>
      <c r="O3027" s="2">
        <f>7635+438+12483</f>
        <v>20556</v>
      </c>
      <c r="P3027" s="3">
        <f>E3027*(VLOOKUP(B3027,Price_data!A$1:B$190,2,FALSE))</f>
        <v>16.759858367499998</v>
      </c>
      <c r="Q3027" s="3">
        <f>G3027*(VLOOKUP(B3027,Price_data!A$1:B$190,2,FALSE))</f>
        <v>5.8270243059649998</v>
      </c>
      <c r="R3027" s="3">
        <f>I3027*(VLOOKUP(B3027,Price_data!A$1:B$190,2,FALSE))</f>
        <v>22.226816038860001</v>
      </c>
      <c r="S3027" s="4" t="str">
        <f>(VLOOKUP(B3027,Price_data!A$1:C$190,3,FALSE))</f>
        <v>EEZ</v>
      </c>
      <c r="T3027" s="2" t="str">
        <f>IF(C3027="Total", (VLOOKUP(B3027,Recommended_fish_intake!A$4:D$122,4,FALSE)), "NA")</f>
        <v>NA</v>
      </c>
      <c r="U3027" s="2" t="str">
        <f t="shared" si="346"/>
        <v>NA</v>
      </c>
    </row>
    <row r="3028" spans="1:21" ht="14.25" customHeight="1">
      <c r="A3028" s="2" t="s">
        <v>15</v>
      </c>
      <c r="B3028" s="2">
        <v>1997</v>
      </c>
      <c r="C3028" s="2" t="s">
        <v>43</v>
      </c>
      <c r="D3028" s="3" t="e">
        <v>#N/A</v>
      </c>
      <c r="E3028" s="3" t="e">
        <v>#N/A</v>
      </c>
      <c r="F3028" s="3">
        <f t="shared" si="349"/>
        <v>2.403</v>
      </c>
      <c r="G3028" s="3">
        <f t="shared" si="349"/>
        <v>4.67</v>
      </c>
      <c r="H3028" s="3">
        <f t="shared" si="349"/>
        <v>74.918000000000006</v>
      </c>
      <c r="I3028" s="3">
        <f t="shared" si="349"/>
        <v>134.77099999999999</v>
      </c>
      <c r="L3028" s="2">
        <f>94+75+2234</f>
        <v>2403</v>
      </c>
      <c r="M3028" s="2">
        <f>357+50+4263</f>
        <v>4670</v>
      </c>
      <c r="N3028" s="2">
        <f>651+664+73603</f>
        <v>74918</v>
      </c>
      <c r="O3028" s="2">
        <f>2115+964+131692</f>
        <v>134771</v>
      </c>
      <c r="P3028" s="3" t="e">
        <f>E3028*(VLOOKUP(B3028,Price_data!A$1:B$190,2,FALSE))</f>
        <v>#N/A</v>
      </c>
      <c r="Q3028" s="3">
        <f>G3028*(VLOOKUP(B3028,Price_data!A$1:B$190,2,FALSE))</f>
        <v>5.0495831339499997</v>
      </c>
      <c r="R3028" s="3">
        <f>I3028*(VLOOKUP(B3028,Price_data!A$1:B$190,2,FALSE))</f>
        <v>145.72534658363497</v>
      </c>
      <c r="S3028" s="4" t="str">
        <f>(VLOOKUP(B3028,Price_data!A$1:C$190,3,FALSE))</f>
        <v>EEZ</v>
      </c>
      <c r="T3028" s="2" t="str">
        <f>IF(C3028="Total", (VLOOKUP(B3028,Recommended_fish_intake!A$4:D$122,4,FALSE)), "NA")</f>
        <v>NA</v>
      </c>
      <c r="U3028" s="2" t="str">
        <f t="shared" si="346"/>
        <v>NA</v>
      </c>
    </row>
    <row r="3029" spans="1:21" ht="14.25" customHeight="1">
      <c r="A3029" s="2" t="s">
        <v>15</v>
      </c>
      <c r="B3029" s="2">
        <v>1997</v>
      </c>
      <c r="C3029" s="2" t="s">
        <v>29</v>
      </c>
      <c r="D3029" s="3" t="e">
        <v>#N/A</v>
      </c>
      <c r="E3029" s="3" t="e">
        <v>#N/A</v>
      </c>
      <c r="F3029" s="3">
        <f t="shared" si="349"/>
        <v>44.569000000000003</v>
      </c>
      <c r="G3029" s="3">
        <f t="shared" si="349"/>
        <v>131.017</v>
      </c>
      <c r="H3029" s="3">
        <f t="shared" si="349"/>
        <v>45.944000000000003</v>
      </c>
      <c r="I3029" s="3">
        <f t="shared" si="349"/>
        <v>120.82</v>
      </c>
      <c r="L3029" s="2">
        <f>52+34568+3105+1129+247+3840+1628</f>
        <v>44569</v>
      </c>
      <c r="M3029" s="2">
        <f>134+76680+11141+2738+1051+34493+4780</f>
        <v>131017</v>
      </c>
      <c r="N3029" s="2">
        <f>40+17344+147+1878+1451+151+24933</f>
        <v>45944</v>
      </c>
      <c r="O3029" s="2">
        <f>278+30705+604+2393+5204+799+80837</f>
        <v>120820</v>
      </c>
      <c r="P3029" s="3" t="e">
        <f>E3029*(VLOOKUP(B3029,Price_data!A$1:B$190,2,FALSE))</f>
        <v>#N/A</v>
      </c>
      <c r="Q3029" s="3">
        <f>G3029*(VLOOKUP(B3029,Price_data!A$1:B$190,2,FALSE))</f>
        <v>141.66621701514498</v>
      </c>
      <c r="R3029" s="3">
        <f>I3029*(VLOOKUP(B3029,Price_data!A$1:B$190,2,FALSE))</f>
        <v>130.64039277169999</v>
      </c>
      <c r="S3029" s="4" t="str">
        <f>(VLOOKUP(B3029,Price_data!A$1:C$190,3,FALSE))</f>
        <v>EEZ</v>
      </c>
      <c r="T3029" s="2" t="str">
        <f>IF(C3029="Total", (VLOOKUP(B3029,Recommended_fish_intake!A$4:D$122,4,FALSE)), "NA")</f>
        <v>NA</v>
      </c>
      <c r="U3029" s="2" t="str">
        <f t="shared" si="346"/>
        <v>NA</v>
      </c>
    </row>
    <row r="3030" spans="1:21" ht="14.25" customHeight="1">
      <c r="A3030" s="2" t="s">
        <v>90</v>
      </c>
      <c r="B3030" s="2">
        <v>1998</v>
      </c>
      <c r="C3030" s="2" t="s">
        <v>22</v>
      </c>
      <c r="D3030" s="2">
        <v>30.7</v>
      </c>
      <c r="E3030" s="2">
        <v>32.4</v>
      </c>
      <c r="P3030" s="3">
        <f>E3030*(VLOOKUP(B3030,Price_data!A$1:B$190,2,FALSE))</f>
        <v>33.872268895200001</v>
      </c>
      <c r="Q3030" s="3">
        <f>G3030*(VLOOKUP(B3030,Price_data!A$1:B$190,2,FALSE))</f>
        <v>0</v>
      </c>
      <c r="R3030" s="3">
        <f>I3030*(VLOOKUP(B3030,Price_data!A$1:B$190,2,FALSE))</f>
        <v>0</v>
      </c>
      <c r="S3030" s="4" t="str">
        <f>(VLOOKUP(B3030,Price_data!A$1:C$190,3,FALSE))</f>
        <v>EEZ</v>
      </c>
      <c r="T3030" s="2" t="str">
        <f>IF(C3030="Total", (VLOOKUP(B3030,Recommended_fish_intake!A$4:D$122,4,FALSE)), "NA")</f>
        <v>NA</v>
      </c>
      <c r="U3030" s="2" t="str">
        <f t="shared" si="346"/>
        <v>NA</v>
      </c>
    </row>
    <row r="3031" spans="1:21" ht="14.25" customHeight="1">
      <c r="A3031" s="2" t="s">
        <v>90</v>
      </c>
      <c r="B3031" s="2">
        <v>1998</v>
      </c>
      <c r="C3031" s="2" t="s">
        <v>23</v>
      </c>
      <c r="D3031" s="2">
        <v>5.4</v>
      </c>
      <c r="E3031" s="2">
        <v>4.5</v>
      </c>
      <c r="P3031" s="3">
        <f>E3031*(VLOOKUP(B3031,Price_data!A$1:B$190,2,FALSE))</f>
        <v>4.7044817910000001</v>
      </c>
      <c r="Q3031" s="3">
        <f>G3031*(VLOOKUP(B3031,Price_data!A$1:B$190,2,FALSE))</f>
        <v>0</v>
      </c>
      <c r="R3031" s="3">
        <f>I3031*(VLOOKUP(B3031,Price_data!A$1:B$190,2,FALSE))</f>
        <v>0</v>
      </c>
      <c r="S3031" s="4" t="str">
        <f>(VLOOKUP(B3031,Price_data!A$1:C$190,3,FALSE))</f>
        <v>EEZ</v>
      </c>
      <c r="T3031" s="2" t="str">
        <f>IF(C3031="Total", (VLOOKUP(B3031,Recommended_fish_intake!A$4:D$122,4,FALSE)), "NA")</f>
        <v>NA</v>
      </c>
      <c r="U3031" s="2" t="str">
        <f t="shared" si="346"/>
        <v>NA</v>
      </c>
    </row>
    <row r="3032" spans="1:21" ht="14.25" customHeight="1">
      <c r="A3032" s="2" t="s">
        <v>90</v>
      </c>
      <c r="B3032" s="2">
        <v>1998</v>
      </c>
      <c r="C3032" s="2" t="s">
        <v>58</v>
      </c>
      <c r="D3032" s="2">
        <v>2.8</v>
      </c>
      <c r="E3032" s="2">
        <v>5.9</v>
      </c>
      <c r="P3032" s="3">
        <f>E3032*(VLOOKUP(B3032,Price_data!A$1:B$190,2,FALSE))</f>
        <v>6.1680983482</v>
      </c>
      <c r="Q3032" s="3">
        <f>G3032*(VLOOKUP(B3032,Price_data!A$1:B$190,2,FALSE))</f>
        <v>0</v>
      </c>
      <c r="R3032" s="3">
        <f>I3032*(VLOOKUP(B3032,Price_data!A$1:B$190,2,FALSE))</f>
        <v>0</v>
      </c>
      <c r="S3032" s="4" t="str">
        <f>(VLOOKUP(B3032,Price_data!A$1:C$190,3,FALSE))</f>
        <v>EEZ</v>
      </c>
      <c r="T3032" s="2" t="str">
        <f>IF(C3032="Total", (VLOOKUP(B3032,Recommended_fish_intake!A$4:D$122,4,FALSE)), "NA")</f>
        <v>NA</v>
      </c>
      <c r="U3032" s="2" t="str">
        <f t="shared" si="346"/>
        <v>NA</v>
      </c>
    </row>
    <row r="3033" spans="1:21" ht="14.25" customHeight="1">
      <c r="A3033" s="2" t="s">
        <v>90</v>
      </c>
      <c r="B3033" s="2">
        <v>1998</v>
      </c>
      <c r="C3033" s="2" t="s">
        <v>24</v>
      </c>
      <c r="D3033" s="2">
        <v>4.9000000000000004</v>
      </c>
      <c r="E3033" s="2">
        <v>2.2000000000000002</v>
      </c>
      <c r="P3033" s="3">
        <f>E3033*(VLOOKUP(B3033,Price_data!A$1:B$190,2,FALSE))</f>
        <v>2.2999688756000003</v>
      </c>
      <c r="Q3033" s="3">
        <f>G3033*(VLOOKUP(B3033,Price_data!A$1:B$190,2,FALSE))</f>
        <v>0</v>
      </c>
      <c r="R3033" s="3">
        <f>I3033*(VLOOKUP(B3033,Price_data!A$1:B$190,2,FALSE))</f>
        <v>0</v>
      </c>
      <c r="S3033" s="4" t="str">
        <f>(VLOOKUP(B3033,Price_data!A$1:C$190,3,FALSE))</f>
        <v>EEZ</v>
      </c>
      <c r="T3033" s="2" t="str">
        <f>IF(C3033="Total", (VLOOKUP(B3033,Recommended_fish_intake!A$4:D$122,4,FALSE)), "NA")</f>
        <v>NA</v>
      </c>
      <c r="U3033" s="2" t="str">
        <f t="shared" si="346"/>
        <v>NA</v>
      </c>
    </row>
    <row r="3034" spans="1:21" ht="14.25" customHeight="1">
      <c r="A3034" s="2" t="s">
        <v>90</v>
      </c>
      <c r="B3034" s="2">
        <v>1998</v>
      </c>
      <c r="C3034" s="2" t="s">
        <v>41</v>
      </c>
      <c r="D3034" s="2">
        <v>74.3</v>
      </c>
      <c r="E3034" s="2">
        <v>101.7</v>
      </c>
      <c r="P3034" s="3">
        <f>E3034*(VLOOKUP(B3034,Price_data!A$1:B$190,2,FALSE))</f>
        <v>106.3212884766</v>
      </c>
      <c r="Q3034" s="3">
        <f>G3034*(VLOOKUP(B3034,Price_data!A$1:B$190,2,FALSE))</f>
        <v>0</v>
      </c>
      <c r="R3034" s="3">
        <f>I3034*(VLOOKUP(B3034,Price_data!A$1:B$190,2,FALSE))</f>
        <v>0</v>
      </c>
      <c r="S3034" s="4" t="str">
        <f>(VLOOKUP(B3034,Price_data!A$1:C$190,3,FALSE))</f>
        <v>EEZ</v>
      </c>
      <c r="T3034" s="2" t="str">
        <f>IF(C3034="Total", (VLOOKUP(B3034,Recommended_fish_intake!A$4:D$122,4,FALSE)), "NA")</f>
        <v>NA</v>
      </c>
      <c r="U3034" s="2" t="str">
        <f t="shared" si="346"/>
        <v>NA</v>
      </c>
    </row>
    <row r="3035" spans="1:21" ht="14.25" customHeight="1">
      <c r="A3035" s="2" t="s">
        <v>90</v>
      </c>
      <c r="B3035" s="2">
        <v>1998</v>
      </c>
      <c r="C3035" s="2" t="s">
        <v>19</v>
      </c>
      <c r="D3035" s="2">
        <v>1.2</v>
      </c>
      <c r="E3035" s="2">
        <v>0.3</v>
      </c>
      <c r="P3035" s="3">
        <f>E3035*(VLOOKUP(B3035,Price_data!A$1:B$190,2,FALSE))</f>
        <v>0.31363211939999996</v>
      </c>
      <c r="Q3035" s="3">
        <f>G3035*(VLOOKUP(B3035,Price_data!A$1:B$190,2,FALSE))</f>
        <v>0</v>
      </c>
      <c r="R3035" s="3">
        <f>I3035*(VLOOKUP(B3035,Price_data!A$1:B$190,2,FALSE))</f>
        <v>0</v>
      </c>
      <c r="S3035" s="4" t="str">
        <f>(VLOOKUP(B3035,Price_data!A$1:C$190,3,FALSE))</f>
        <v>EEZ</v>
      </c>
      <c r="T3035" s="2" t="str">
        <f>IF(C3035="Total", (VLOOKUP(B3035,Recommended_fish_intake!A$4:D$122,4,FALSE)), "NA")</f>
        <v>NA</v>
      </c>
      <c r="U3035" s="2" t="str">
        <f t="shared" si="346"/>
        <v>NA</v>
      </c>
    </row>
    <row r="3036" spans="1:21" ht="14.25" customHeight="1">
      <c r="A3036" s="2" t="s">
        <v>90</v>
      </c>
      <c r="B3036" s="2">
        <v>1998</v>
      </c>
      <c r="C3036" s="2" t="s">
        <v>20</v>
      </c>
      <c r="D3036" s="2">
        <v>10.9</v>
      </c>
      <c r="E3036" s="2">
        <v>3.2</v>
      </c>
      <c r="P3036" s="3">
        <f>E3036*(VLOOKUP(B3036,Price_data!A$1:B$190,2,FALSE))</f>
        <v>3.3454092736000001</v>
      </c>
      <c r="Q3036" s="3">
        <f>G3036*(VLOOKUP(B3036,Price_data!A$1:B$190,2,FALSE))</f>
        <v>0</v>
      </c>
      <c r="R3036" s="3">
        <f>I3036*(VLOOKUP(B3036,Price_data!A$1:B$190,2,FALSE))</f>
        <v>0</v>
      </c>
      <c r="S3036" s="4" t="str">
        <f>(VLOOKUP(B3036,Price_data!A$1:C$190,3,FALSE))</f>
        <v>EEZ</v>
      </c>
      <c r="T3036" s="2" t="str">
        <f>IF(C3036="Total", (VLOOKUP(B3036,Recommended_fish_intake!A$4:D$122,4,FALSE)), "NA")</f>
        <v>NA</v>
      </c>
      <c r="U3036" s="2" t="str">
        <f t="shared" si="346"/>
        <v>NA</v>
      </c>
    </row>
    <row r="3037" spans="1:21" ht="14.25" customHeight="1">
      <c r="A3037" s="2" t="s">
        <v>90</v>
      </c>
      <c r="B3037" s="2">
        <v>1998</v>
      </c>
      <c r="C3037" s="2" t="s">
        <v>42</v>
      </c>
      <c r="D3037" s="2">
        <v>21.2</v>
      </c>
      <c r="E3037" s="2">
        <v>5.5</v>
      </c>
      <c r="P3037" s="3">
        <f>E3037*(VLOOKUP(B3037,Price_data!A$1:B$190,2,FALSE))</f>
        <v>5.7499221890000003</v>
      </c>
      <c r="Q3037" s="3">
        <f>G3037*(VLOOKUP(B3037,Price_data!A$1:B$190,2,FALSE))</f>
        <v>0</v>
      </c>
      <c r="R3037" s="3">
        <f>I3037*(VLOOKUP(B3037,Price_data!A$1:B$190,2,FALSE))</f>
        <v>0</v>
      </c>
      <c r="S3037" s="4" t="str">
        <f>(VLOOKUP(B3037,Price_data!A$1:C$190,3,FALSE))</f>
        <v>EEZ</v>
      </c>
      <c r="T3037" s="2" t="str">
        <f>IF(C3037="Total", (VLOOKUP(B3037,Recommended_fish_intake!A$4:D$122,4,FALSE)), "NA")</f>
        <v>NA</v>
      </c>
      <c r="U3037" s="2" t="str">
        <f t="shared" si="346"/>
        <v>NA</v>
      </c>
    </row>
    <row r="3038" spans="1:21" ht="14.25" customHeight="1">
      <c r="A3038" s="2" t="s">
        <v>90</v>
      </c>
      <c r="B3038" s="2">
        <v>1998</v>
      </c>
      <c r="C3038" s="2" t="s">
        <v>36</v>
      </c>
      <c r="D3038" s="2">
        <v>16.100000000000001</v>
      </c>
      <c r="E3038" s="2">
        <v>20.399999999999999</v>
      </c>
      <c r="P3038" s="3">
        <f>E3038*(VLOOKUP(B3038,Price_data!A$1:B$190,2,FALSE))</f>
        <v>21.326984119199999</v>
      </c>
      <c r="Q3038" s="3">
        <f>G3038*(VLOOKUP(B3038,Price_data!A$1:B$190,2,FALSE))</f>
        <v>0</v>
      </c>
      <c r="R3038" s="3">
        <f>I3038*(VLOOKUP(B3038,Price_data!A$1:B$190,2,FALSE))</f>
        <v>0</v>
      </c>
      <c r="S3038" s="4" t="str">
        <f>(VLOOKUP(B3038,Price_data!A$1:C$190,3,FALSE))</f>
        <v>EEZ</v>
      </c>
      <c r="T3038" s="2" t="str">
        <f>IF(C3038="Total", (VLOOKUP(B3038,Recommended_fish_intake!A$4:D$122,4,FALSE)), "NA")</f>
        <v>NA</v>
      </c>
      <c r="U3038" s="2" t="str">
        <f t="shared" si="346"/>
        <v>NA</v>
      </c>
    </row>
    <row r="3039" spans="1:21" ht="14.25" customHeight="1">
      <c r="A3039" s="2" t="s">
        <v>90</v>
      </c>
      <c r="B3039" s="2">
        <v>1998</v>
      </c>
      <c r="C3039" s="2" t="s">
        <v>34</v>
      </c>
      <c r="D3039" s="2">
        <v>0.9</v>
      </c>
      <c r="E3039" s="2">
        <v>8.1</v>
      </c>
      <c r="P3039" s="3">
        <f>E3039*(VLOOKUP(B3039,Price_data!A$1:B$190,2,FALSE))</f>
        <v>8.4680672238000003</v>
      </c>
      <c r="Q3039" s="3">
        <f>G3039*(VLOOKUP(B3039,Price_data!A$1:B$190,2,FALSE))</f>
        <v>0</v>
      </c>
      <c r="R3039" s="3">
        <f>I3039*(VLOOKUP(B3039,Price_data!A$1:B$190,2,FALSE))</f>
        <v>0</v>
      </c>
      <c r="S3039" s="4" t="str">
        <f>(VLOOKUP(B3039,Price_data!A$1:C$190,3,FALSE))</f>
        <v>EEZ</v>
      </c>
      <c r="T3039" s="2" t="str">
        <f>IF(C3039="Total", (VLOOKUP(B3039,Recommended_fish_intake!A$4:D$122,4,FALSE)), "NA")</f>
        <v>NA</v>
      </c>
      <c r="U3039" s="2" t="str">
        <f t="shared" si="346"/>
        <v>NA</v>
      </c>
    </row>
    <row r="3040" spans="1:21" ht="14.25" customHeight="1">
      <c r="A3040" s="2" t="s">
        <v>90</v>
      </c>
      <c r="B3040" s="2">
        <v>1998</v>
      </c>
      <c r="C3040" s="2" t="s">
        <v>35</v>
      </c>
      <c r="D3040" s="2">
        <v>2.5</v>
      </c>
      <c r="E3040" s="2">
        <v>4.4000000000000004</v>
      </c>
      <c r="P3040" s="3">
        <f>E3040*(VLOOKUP(B3040,Price_data!A$1:B$190,2,FALSE))</f>
        <v>4.5999377512000006</v>
      </c>
      <c r="Q3040" s="3">
        <f>G3040*(VLOOKUP(B3040,Price_data!A$1:B$190,2,FALSE))</f>
        <v>0</v>
      </c>
      <c r="R3040" s="3">
        <f>I3040*(VLOOKUP(B3040,Price_data!A$1:B$190,2,FALSE))</f>
        <v>0</v>
      </c>
      <c r="S3040" s="4" t="str">
        <f>(VLOOKUP(B3040,Price_data!A$1:C$190,3,FALSE))</f>
        <v>EEZ</v>
      </c>
      <c r="T3040" s="2" t="str">
        <f>IF(C3040="Total", (VLOOKUP(B3040,Recommended_fish_intake!A$4:D$122,4,FALSE)), "NA")</f>
        <v>NA</v>
      </c>
      <c r="U3040" s="2" t="str">
        <f t="shared" si="346"/>
        <v>NA</v>
      </c>
    </row>
    <row r="3041" spans="1:21" ht="14.25" customHeight="1">
      <c r="A3041" s="2" t="s">
        <v>90</v>
      </c>
      <c r="B3041" s="2">
        <v>1998</v>
      </c>
      <c r="C3041" s="2" t="s">
        <v>52</v>
      </c>
      <c r="D3041" s="2">
        <v>10.8</v>
      </c>
      <c r="E3041" s="2">
        <v>14.3</v>
      </c>
      <c r="P3041" s="3">
        <f>E3041*(VLOOKUP(B3041,Price_data!A$1:B$190,2,FALSE))</f>
        <v>14.949797691400001</v>
      </c>
      <c r="Q3041" s="3">
        <f>G3041*(VLOOKUP(B3041,Price_data!A$1:B$190,2,FALSE))</f>
        <v>0</v>
      </c>
      <c r="R3041" s="3">
        <f>I3041*(VLOOKUP(B3041,Price_data!A$1:B$190,2,FALSE))</f>
        <v>0</v>
      </c>
      <c r="S3041" s="4" t="str">
        <f>(VLOOKUP(B3041,Price_data!A$1:C$190,3,FALSE))</f>
        <v>EEZ</v>
      </c>
      <c r="T3041" s="2" t="str">
        <f>IF(C3041="Total", (VLOOKUP(B3041,Recommended_fish_intake!A$4:D$122,4,FALSE)), "NA")</f>
        <v>NA</v>
      </c>
      <c r="U3041" s="2" t="str">
        <f t="shared" si="346"/>
        <v>NA</v>
      </c>
    </row>
    <row r="3042" spans="1:21" ht="14.25" customHeight="1">
      <c r="A3042" s="2" t="s">
        <v>90</v>
      </c>
      <c r="B3042" s="2">
        <v>1998</v>
      </c>
      <c r="C3042" s="2" t="s">
        <v>30</v>
      </c>
      <c r="D3042" s="2">
        <v>0.8</v>
      </c>
      <c r="E3042" s="2">
        <v>1.2</v>
      </c>
      <c r="P3042" s="3">
        <f>E3042*(VLOOKUP(B3042,Price_data!A$1:B$190,2,FALSE))</f>
        <v>1.2545284775999999</v>
      </c>
      <c r="Q3042" s="3">
        <f>G3042*(VLOOKUP(B3042,Price_data!A$1:B$190,2,FALSE))</f>
        <v>0</v>
      </c>
      <c r="R3042" s="3">
        <f>I3042*(VLOOKUP(B3042,Price_data!A$1:B$190,2,FALSE))</f>
        <v>0</v>
      </c>
      <c r="S3042" s="4" t="str">
        <f>(VLOOKUP(B3042,Price_data!A$1:C$190,3,FALSE))</f>
        <v>EEZ</v>
      </c>
      <c r="T3042" s="2" t="str">
        <f>IF(C3042="Total", (VLOOKUP(B3042,Recommended_fish_intake!A$4:D$122,4,FALSE)), "NA")</f>
        <v>NA</v>
      </c>
      <c r="U3042" s="2" t="str">
        <f t="shared" si="346"/>
        <v>NA</v>
      </c>
    </row>
    <row r="3043" spans="1:21" ht="14.25" customHeight="1">
      <c r="A3043" s="2" t="s">
        <v>90</v>
      </c>
      <c r="B3043" s="2">
        <v>1998</v>
      </c>
      <c r="C3043" s="2" t="s">
        <v>28</v>
      </c>
      <c r="D3043" s="2">
        <v>62.6</v>
      </c>
      <c r="E3043" s="2">
        <v>64.7</v>
      </c>
      <c r="P3043" s="3">
        <f>E3043*(VLOOKUP(B3043,Price_data!A$1:B$190,2,FALSE))</f>
        <v>67.639993750599999</v>
      </c>
      <c r="Q3043" s="3">
        <f>G3043*(VLOOKUP(B3043,Price_data!A$1:B$190,2,FALSE))</f>
        <v>0</v>
      </c>
      <c r="R3043" s="3">
        <f>I3043*(VLOOKUP(B3043,Price_data!A$1:B$190,2,FALSE))</f>
        <v>0</v>
      </c>
      <c r="S3043" s="4" t="str">
        <f>(VLOOKUP(B3043,Price_data!A$1:C$190,3,FALSE))</f>
        <v>EEZ</v>
      </c>
      <c r="T3043" s="2" t="str">
        <f>IF(C3043="Total", (VLOOKUP(B3043,Recommended_fish_intake!A$4:D$122,4,FALSE)), "NA")</f>
        <v>NA</v>
      </c>
      <c r="U3043" s="2">
        <f t="shared" si="346"/>
        <v>17.528000000000002</v>
      </c>
    </row>
    <row r="3044" spans="1:21" ht="14.25" customHeight="1">
      <c r="A3044" s="2" t="s">
        <v>91</v>
      </c>
      <c r="B3044" s="2">
        <v>1998</v>
      </c>
      <c r="C3044" s="2" t="s">
        <v>22</v>
      </c>
      <c r="D3044" s="2">
        <v>0</v>
      </c>
      <c r="E3044" s="2">
        <v>0</v>
      </c>
      <c r="P3044" s="3">
        <f>E3044*(VLOOKUP(B3044,Price_data!A$1:B$190,2,FALSE))</f>
        <v>0</v>
      </c>
      <c r="Q3044" s="3">
        <f>G3044*(VLOOKUP(B3044,Price_data!A$1:B$190,2,FALSE))</f>
        <v>0</v>
      </c>
      <c r="R3044" s="3">
        <f>I3044*(VLOOKUP(B3044,Price_data!A$1:B$190,2,FALSE))</f>
        <v>0</v>
      </c>
      <c r="S3044" s="4" t="str">
        <f>(VLOOKUP(B3044,Price_data!A$1:C$190,3,FALSE))</f>
        <v>EEZ</v>
      </c>
      <c r="T3044" s="2" t="str">
        <f>IF(C3044="Total", (VLOOKUP(B3044,Recommended_fish_intake!A$4:D$122,4,FALSE)), "NA")</f>
        <v>NA</v>
      </c>
      <c r="U3044" s="2" t="str">
        <f t="shared" si="346"/>
        <v>NA</v>
      </c>
    </row>
    <row r="3045" spans="1:21" ht="14.25" customHeight="1">
      <c r="A3045" s="2" t="s">
        <v>91</v>
      </c>
      <c r="B3045" s="2">
        <v>1998</v>
      </c>
      <c r="C3045" s="2" t="s">
        <v>23</v>
      </c>
      <c r="D3045" s="2">
        <v>0</v>
      </c>
      <c r="E3045" s="2">
        <v>0</v>
      </c>
      <c r="P3045" s="3">
        <f>E3045*(VLOOKUP(B3045,Price_data!A$1:B$190,2,FALSE))</f>
        <v>0</v>
      </c>
      <c r="Q3045" s="3">
        <f>G3045*(VLOOKUP(B3045,Price_data!A$1:B$190,2,FALSE))</f>
        <v>0</v>
      </c>
      <c r="R3045" s="3">
        <f>I3045*(VLOOKUP(B3045,Price_data!A$1:B$190,2,FALSE))</f>
        <v>0</v>
      </c>
      <c r="S3045" s="4" t="str">
        <f>(VLOOKUP(B3045,Price_data!A$1:C$190,3,FALSE))</f>
        <v>EEZ</v>
      </c>
      <c r="T3045" s="2" t="str">
        <f>IF(C3045="Total", (VLOOKUP(B3045,Recommended_fish_intake!A$4:D$122,4,FALSE)), "NA")</f>
        <v>NA</v>
      </c>
      <c r="U3045" s="2" t="str">
        <f t="shared" si="346"/>
        <v>NA</v>
      </c>
    </row>
    <row r="3046" spans="1:21" ht="14.25" customHeight="1">
      <c r="A3046" s="2" t="s">
        <v>91</v>
      </c>
      <c r="B3046" s="2">
        <v>1998</v>
      </c>
      <c r="C3046" s="2" t="s">
        <v>58</v>
      </c>
      <c r="D3046" s="2">
        <v>0</v>
      </c>
      <c r="E3046" s="2">
        <v>0</v>
      </c>
      <c r="P3046" s="3">
        <f>E3046*(VLOOKUP(B3046,Price_data!A$1:B$190,2,FALSE))</f>
        <v>0</v>
      </c>
      <c r="Q3046" s="3">
        <f>G3046*(VLOOKUP(B3046,Price_data!A$1:B$190,2,FALSE))</f>
        <v>0</v>
      </c>
      <c r="R3046" s="3">
        <f>I3046*(VLOOKUP(B3046,Price_data!A$1:B$190,2,FALSE))</f>
        <v>0</v>
      </c>
      <c r="S3046" s="4" t="str">
        <f>(VLOOKUP(B3046,Price_data!A$1:C$190,3,FALSE))</f>
        <v>EEZ</v>
      </c>
      <c r="T3046" s="2" t="str">
        <f>IF(C3046="Total", (VLOOKUP(B3046,Recommended_fish_intake!A$4:D$122,4,FALSE)), "NA")</f>
        <v>NA</v>
      </c>
      <c r="U3046" s="2" t="str">
        <f t="shared" si="346"/>
        <v>NA</v>
      </c>
    </row>
    <row r="3047" spans="1:21" ht="14.25" customHeight="1">
      <c r="A3047" s="2" t="s">
        <v>91</v>
      </c>
      <c r="B3047" s="2">
        <v>1998</v>
      </c>
      <c r="C3047" s="2" t="s">
        <v>24</v>
      </c>
      <c r="D3047" s="2">
        <v>0</v>
      </c>
      <c r="E3047" s="2">
        <v>0</v>
      </c>
      <c r="P3047" s="3">
        <f>E3047*(VLOOKUP(B3047,Price_data!A$1:B$190,2,FALSE))</f>
        <v>0</v>
      </c>
      <c r="Q3047" s="3">
        <f>G3047*(VLOOKUP(B3047,Price_data!A$1:B$190,2,FALSE))</f>
        <v>0</v>
      </c>
      <c r="R3047" s="3">
        <f>I3047*(VLOOKUP(B3047,Price_data!A$1:B$190,2,FALSE))</f>
        <v>0</v>
      </c>
      <c r="S3047" s="4" t="str">
        <f>(VLOOKUP(B3047,Price_data!A$1:C$190,3,FALSE))</f>
        <v>EEZ</v>
      </c>
      <c r="T3047" s="2" t="str">
        <f>IF(C3047="Total", (VLOOKUP(B3047,Recommended_fish_intake!A$4:D$122,4,FALSE)), "NA")</f>
        <v>NA</v>
      </c>
      <c r="U3047" s="2" t="str">
        <f t="shared" si="346"/>
        <v>NA</v>
      </c>
    </row>
    <row r="3048" spans="1:21" ht="14.25" customHeight="1">
      <c r="A3048" s="2" t="s">
        <v>91</v>
      </c>
      <c r="B3048" s="2">
        <v>1998</v>
      </c>
      <c r="C3048" s="2" t="s">
        <v>41</v>
      </c>
      <c r="D3048" s="2">
        <v>0</v>
      </c>
      <c r="E3048" s="2">
        <v>0</v>
      </c>
      <c r="P3048" s="3">
        <f>E3048*(VLOOKUP(B3048,Price_data!A$1:B$190,2,FALSE))</f>
        <v>0</v>
      </c>
      <c r="Q3048" s="3">
        <f>G3048*(VLOOKUP(B3048,Price_data!A$1:B$190,2,FALSE))</f>
        <v>0</v>
      </c>
      <c r="R3048" s="3">
        <f>I3048*(VLOOKUP(B3048,Price_data!A$1:B$190,2,FALSE))</f>
        <v>0</v>
      </c>
      <c r="S3048" s="4" t="str">
        <f>(VLOOKUP(B3048,Price_data!A$1:C$190,3,FALSE))</f>
        <v>EEZ</v>
      </c>
      <c r="T3048" s="2" t="str">
        <f>IF(C3048="Total", (VLOOKUP(B3048,Recommended_fish_intake!A$4:D$122,4,FALSE)), "NA")</f>
        <v>NA</v>
      </c>
      <c r="U3048" s="2" t="str">
        <f t="shared" si="346"/>
        <v>NA</v>
      </c>
    </row>
    <row r="3049" spans="1:21" ht="14.25" customHeight="1">
      <c r="A3049" s="2" t="s">
        <v>91</v>
      </c>
      <c r="B3049" s="2">
        <v>1998</v>
      </c>
      <c r="C3049" s="2" t="s">
        <v>19</v>
      </c>
      <c r="D3049" s="2">
        <v>0</v>
      </c>
      <c r="E3049" s="2">
        <v>0</v>
      </c>
      <c r="P3049" s="3">
        <f>E3049*(VLOOKUP(B3049,Price_data!A$1:B$190,2,FALSE))</f>
        <v>0</v>
      </c>
      <c r="Q3049" s="3">
        <f>G3049*(VLOOKUP(B3049,Price_data!A$1:B$190,2,FALSE))</f>
        <v>0</v>
      </c>
      <c r="R3049" s="3">
        <f>I3049*(VLOOKUP(B3049,Price_data!A$1:B$190,2,FALSE))</f>
        <v>0</v>
      </c>
      <c r="S3049" s="4" t="str">
        <f>(VLOOKUP(B3049,Price_data!A$1:C$190,3,FALSE))</f>
        <v>EEZ</v>
      </c>
      <c r="T3049" s="2" t="str">
        <f>IF(C3049="Total", (VLOOKUP(B3049,Recommended_fish_intake!A$4:D$122,4,FALSE)), "NA")</f>
        <v>NA</v>
      </c>
      <c r="U3049" s="2" t="str">
        <f t="shared" si="346"/>
        <v>NA</v>
      </c>
    </row>
    <row r="3050" spans="1:21" ht="14.25" customHeight="1">
      <c r="A3050" s="2" t="s">
        <v>91</v>
      </c>
      <c r="B3050" s="2">
        <v>1998</v>
      </c>
      <c r="C3050" s="2" t="s">
        <v>20</v>
      </c>
      <c r="D3050" s="2">
        <v>0</v>
      </c>
      <c r="E3050" s="2">
        <v>0</v>
      </c>
      <c r="P3050" s="3">
        <f>E3050*(VLOOKUP(B3050,Price_data!A$1:B$190,2,FALSE))</f>
        <v>0</v>
      </c>
      <c r="Q3050" s="3">
        <f>G3050*(VLOOKUP(B3050,Price_data!A$1:B$190,2,FALSE))</f>
        <v>0</v>
      </c>
      <c r="R3050" s="3">
        <f>I3050*(VLOOKUP(B3050,Price_data!A$1:B$190,2,FALSE))</f>
        <v>0</v>
      </c>
      <c r="S3050" s="4" t="str">
        <f>(VLOOKUP(B3050,Price_data!A$1:C$190,3,FALSE))</f>
        <v>EEZ</v>
      </c>
      <c r="T3050" s="2" t="str">
        <f>IF(C3050="Total", (VLOOKUP(B3050,Recommended_fish_intake!A$4:D$122,4,FALSE)), "NA")</f>
        <v>NA</v>
      </c>
      <c r="U3050" s="2" t="str">
        <f t="shared" si="346"/>
        <v>NA</v>
      </c>
    </row>
    <row r="3051" spans="1:21" ht="14.25" customHeight="1">
      <c r="A3051" s="2" t="s">
        <v>91</v>
      </c>
      <c r="B3051" s="2">
        <v>1998</v>
      </c>
      <c r="C3051" s="2" t="s">
        <v>42</v>
      </c>
      <c r="D3051" s="2">
        <v>0</v>
      </c>
      <c r="E3051" s="2">
        <v>0</v>
      </c>
      <c r="P3051" s="3">
        <f>E3051*(VLOOKUP(B3051,Price_data!A$1:B$190,2,FALSE))</f>
        <v>0</v>
      </c>
      <c r="Q3051" s="3">
        <f>G3051*(VLOOKUP(B3051,Price_data!A$1:B$190,2,FALSE))</f>
        <v>0</v>
      </c>
      <c r="R3051" s="3">
        <f>I3051*(VLOOKUP(B3051,Price_data!A$1:B$190,2,FALSE))</f>
        <v>0</v>
      </c>
      <c r="S3051" s="4" t="str">
        <f>(VLOOKUP(B3051,Price_data!A$1:C$190,3,FALSE))</f>
        <v>EEZ</v>
      </c>
      <c r="T3051" s="2" t="str">
        <f>IF(C3051="Total", (VLOOKUP(B3051,Recommended_fish_intake!A$4:D$122,4,FALSE)), "NA")</f>
        <v>NA</v>
      </c>
      <c r="U3051" s="2" t="str">
        <f t="shared" si="346"/>
        <v>NA</v>
      </c>
    </row>
    <row r="3052" spans="1:21" ht="14.25" customHeight="1">
      <c r="A3052" s="2" t="s">
        <v>91</v>
      </c>
      <c r="B3052" s="2">
        <v>1998</v>
      </c>
      <c r="C3052" s="2" t="s">
        <v>36</v>
      </c>
      <c r="D3052" s="2">
        <v>0</v>
      </c>
      <c r="E3052" s="2">
        <v>0</v>
      </c>
      <c r="P3052" s="3">
        <f>E3052*(VLOOKUP(B3052,Price_data!A$1:B$190,2,FALSE))</f>
        <v>0</v>
      </c>
      <c r="Q3052" s="3">
        <f>G3052*(VLOOKUP(B3052,Price_data!A$1:B$190,2,FALSE))</f>
        <v>0</v>
      </c>
      <c r="R3052" s="3">
        <f>I3052*(VLOOKUP(B3052,Price_data!A$1:B$190,2,FALSE))</f>
        <v>0</v>
      </c>
      <c r="S3052" s="4" t="str">
        <f>(VLOOKUP(B3052,Price_data!A$1:C$190,3,FALSE))</f>
        <v>EEZ</v>
      </c>
      <c r="T3052" s="2" t="str">
        <f>IF(C3052="Total", (VLOOKUP(B3052,Recommended_fish_intake!A$4:D$122,4,FALSE)), "NA")</f>
        <v>NA</v>
      </c>
      <c r="U3052" s="2" t="str">
        <f t="shared" si="346"/>
        <v>NA</v>
      </c>
    </row>
    <row r="3053" spans="1:21" ht="14.25" customHeight="1">
      <c r="A3053" s="2" t="s">
        <v>91</v>
      </c>
      <c r="B3053" s="2">
        <v>1998</v>
      </c>
      <c r="C3053" s="2" t="s">
        <v>34</v>
      </c>
      <c r="D3053" s="2">
        <v>0</v>
      </c>
      <c r="E3053" s="2">
        <v>0</v>
      </c>
      <c r="P3053" s="3">
        <f>E3053*(VLOOKUP(B3053,Price_data!A$1:B$190,2,FALSE))</f>
        <v>0</v>
      </c>
      <c r="Q3053" s="3">
        <f>G3053*(VLOOKUP(B3053,Price_data!A$1:B$190,2,FALSE))</f>
        <v>0</v>
      </c>
      <c r="R3053" s="3">
        <f>I3053*(VLOOKUP(B3053,Price_data!A$1:B$190,2,FALSE))</f>
        <v>0</v>
      </c>
      <c r="S3053" s="4" t="str">
        <f>(VLOOKUP(B3053,Price_data!A$1:C$190,3,FALSE))</f>
        <v>EEZ</v>
      </c>
      <c r="T3053" s="2" t="str">
        <f>IF(C3053="Total", (VLOOKUP(B3053,Recommended_fish_intake!A$4:D$122,4,FALSE)), "NA")</f>
        <v>NA</v>
      </c>
      <c r="U3053" s="2" t="str">
        <f t="shared" si="346"/>
        <v>NA</v>
      </c>
    </row>
    <row r="3054" spans="1:21" ht="14.25" customHeight="1">
      <c r="A3054" s="2" t="s">
        <v>91</v>
      </c>
      <c r="B3054" s="2">
        <v>1998</v>
      </c>
      <c r="C3054" s="2" t="s">
        <v>35</v>
      </c>
      <c r="D3054" s="2">
        <v>0</v>
      </c>
      <c r="E3054" s="2">
        <v>0</v>
      </c>
      <c r="P3054" s="3">
        <f>E3054*(VLOOKUP(B3054,Price_data!A$1:B$190,2,FALSE))</f>
        <v>0</v>
      </c>
      <c r="Q3054" s="3">
        <f>G3054*(VLOOKUP(B3054,Price_data!A$1:B$190,2,FALSE))</f>
        <v>0</v>
      </c>
      <c r="R3054" s="3">
        <f>I3054*(VLOOKUP(B3054,Price_data!A$1:B$190,2,FALSE))</f>
        <v>0</v>
      </c>
      <c r="S3054" s="4" t="str">
        <f>(VLOOKUP(B3054,Price_data!A$1:C$190,3,FALSE))</f>
        <v>EEZ</v>
      </c>
      <c r="T3054" s="2" t="str">
        <f>IF(C3054="Total", (VLOOKUP(B3054,Recommended_fish_intake!A$4:D$122,4,FALSE)), "NA")</f>
        <v>NA</v>
      </c>
      <c r="U3054" s="2" t="str">
        <f t="shared" si="346"/>
        <v>NA</v>
      </c>
    </row>
    <row r="3055" spans="1:21" ht="14.25" customHeight="1">
      <c r="A3055" s="2" t="s">
        <v>91</v>
      </c>
      <c r="B3055" s="2">
        <v>1998</v>
      </c>
      <c r="C3055" s="2" t="s">
        <v>52</v>
      </c>
      <c r="D3055" s="2">
        <v>0</v>
      </c>
      <c r="E3055" s="2">
        <v>0</v>
      </c>
      <c r="P3055" s="3">
        <f>E3055*(VLOOKUP(B3055,Price_data!A$1:B$190,2,FALSE))</f>
        <v>0</v>
      </c>
      <c r="Q3055" s="3">
        <f>G3055*(VLOOKUP(B3055,Price_data!A$1:B$190,2,FALSE))</f>
        <v>0</v>
      </c>
      <c r="R3055" s="3">
        <f>I3055*(VLOOKUP(B3055,Price_data!A$1:B$190,2,FALSE))</f>
        <v>0</v>
      </c>
      <c r="S3055" s="4" t="str">
        <f>(VLOOKUP(B3055,Price_data!A$1:C$190,3,FALSE))</f>
        <v>EEZ</v>
      </c>
      <c r="T3055" s="2" t="str">
        <f>IF(C3055="Total", (VLOOKUP(B3055,Recommended_fish_intake!A$4:D$122,4,FALSE)), "NA")</f>
        <v>NA</v>
      </c>
      <c r="U3055" s="2" t="str">
        <f t="shared" si="346"/>
        <v>NA</v>
      </c>
    </row>
    <row r="3056" spans="1:21" ht="14.25" customHeight="1">
      <c r="A3056" s="2" t="s">
        <v>91</v>
      </c>
      <c r="B3056" s="2">
        <v>1998</v>
      </c>
      <c r="C3056" s="2" t="s">
        <v>30</v>
      </c>
      <c r="D3056" s="2">
        <v>0</v>
      </c>
      <c r="E3056" s="2">
        <v>0</v>
      </c>
      <c r="P3056" s="3">
        <f>E3056*(VLOOKUP(B3056,Price_data!A$1:B$190,2,FALSE))</f>
        <v>0</v>
      </c>
      <c r="Q3056" s="3">
        <f>G3056*(VLOOKUP(B3056,Price_data!A$1:B$190,2,FALSE))</f>
        <v>0</v>
      </c>
      <c r="R3056" s="3">
        <f>I3056*(VLOOKUP(B3056,Price_data!A$1:B$190,2,FALSE))</f>
        <v>0</v>
      </c>
      <c r="S3056" s="4" t="str">
        <f>(VLOOKUP(B3056,Price_data!A$1:C$190,3,FALSE))</f>
        <v>EEZ</v>
      </c>
      <c r="T3056" s="2" t="str">
        <f>IF(C3056="Total", (VLOOKUP(B3056,Recommended_fish_intake!A$4:D$122,4,FALSE)), "NA")</f>
        <v>NA</v>
      </c>
      <c r="U3056" s="2" t="str">
        <f t="shared" si="346"/>
        <v>NA</v>
      </c>
    </row>
    <row r="3057" spans="1:21" ht="14.25" customHeight="1">
      <c r="A3057" s="2" t="s">
        <v>91</v>
      </c>
      <c r="B3057" s="2">
        <v>1998</v>
      </c>
      <c r="C3057" s="2" t="s">
        <v>28</v>
      </c>
      <c r="D3057" s="2">
        <v>0</v>
      </c>
      <c r="E3057" s="2">
        <v>0</v>
      </c>
      <c r="P3057" s="3">
        <f>E3057*(VLOOKUP(B3057,Price_data!A$1:B$190,2,FALSE))</f>
        <v>0</v>
      </c>
      <c r="Q3057" s="3">
        <f>G3057*(VLOOKUP(B3057,Price_data!A$1:B$190,2,FALSE))</f>
        <v>0</v>
      </c>
      <c r="R3057" s="3">
        <f>I3057*(VLOOKUP(B3057,Price_data!A$1:B$190,2,FALSE))</f>
        <v>0</v>
      </c>
      <c r="S3057" s="4" t="str">
        <f>(VLOOKUP(B3057,Price_data!A$1:C$190,3,FALSE))</f>
        <v>EEZ</v>
      </c>
      <c r="T3057" s="2" t="str">
        <f>IF(C3057="Total", (VLOOKUP(B3057,Recommended_fish_intake!A$4:D$122,4,FALSE)), "NA")</f>
        <v>NA</v>
      </c>
      <c r="U3057" s="2">
        <f t="shared" si="346"/>
        <v>0</v>
      </c>
    </row>
    <row r="3058" spans="1:21" ht="14.25" customHeight="1">
      <c r="A3058" s="2" t="s">
        <v>39</v>
      </c>
      <c r="B3058" s="2">
        <v>1998</v>
      </c>
      <c r="C3058" s="2" t="s">
        <v>22</v>
      </c>
      <c r="D3058" s="2">
        <v>39.805999999999997</v>
      </c>
      <c r="E3058" s="2">
        <v>44.246000000000002</v>
      </c>
      <c r="P3058" s="3">
        <f>E3058*(VLOOKUP(B3058,Price_data!A$1:B$190,2,FALSE))</f>
        <v>46.256555849908004</v>
      </c>
      <c r="Q3058" s="3">
        <f>G3058*(VLOOKUP(B3058,Price_data!A$1:B$190,2,FALSE))</f>
        <v>0</v>
      </c>
      <c r="R3058" s="3">
        <f>I3058*(VLOOKUP(B3058,Price_data!A$1:B$190,2,FALSE))</f>
        <v>0</v>
      </c>
      <c r="S3058" s="4" t="str">
        <f>(VLOOKUP(B3058,Price_data!A$1:C$190,3,FALSE))</f>
        <v>EEZ</v>
      </c>
      <c r="T3058" s="2" t="str">
        <f>IF(C3058="Total", (VLOOKUP(B3058,Recommended_fish_intake!A$4:D$122,4,FALSE)), "NA")</f>
        <v>NA</v>
      </c>
      <c r="U3058" s="2" t="str">
        <f t="shared" si="346"/>
        <v>NA</v>
      </c>
    </row>
    <row r="3059" spans="1:21" ht="14.25" customHeight="1">
      <c r="A3059" s="2" t="s">
        <v>39</v>
      </c>
      <c r="B3059" s="2">
        <v>1998</v>
      </c>
      <c r="C3059" s="2" t="s">
        <v>23</v>
      </c>
      <c r="D3059" s="2">
        <v>76.340999999999994</v>
      </c>
      <c r="E3059" s="2">
        <v>51.878999999999998</v>
      </c>
      <c r="P3059" s="3">
        <f>E3059*(VLOOKUP(B3059,Price_data!A$1:B$190,2,FALSE))</f>
        <v>54.236402407842</v>
      </c>
      <c r="Q3059" s="3">
        <f>G3059*(VLOOKUP(B3059,Price_data!A$1:B$190,2,FALSE))</f>
        <v>0</v>
      </c>
      <c r="R3059" s="3">
        <f>I3059*(VLOOKUP(B3059,Price_data!A$1:B$190,2,FALSE))</f>
        <v>0</v>
      </c>
      <c r="S3059" s="4" t="str">
        <f>(VLOOKUP(B3059,Price_data!A$1:C$190,3,FALSE))</f>
        <v>EEZ</v>
      </c>
      <c r="T3059" s="2" t="str">
        <f>IF(C3059="Total", (VLOOKUP(B3059,Recommended_fish_intake!A$4:D$122,4,FALSE)), "NA")</f>
        <v>NA</v>
      </c>
      <c r="U3059" s="2" t="str">
        <f t="shared" si="346"/>
        <v>NA</v>
      </c>
    </row>
    <row r="3060" spans="1:21" ht="14.25" customHeight="1">
      <c r="A3060" s="2" t="s">
        <v>39</v>
      </c>
      <c r="B3060" s="2">
        <v>1998</v>
      </c>
      <c r="C3060" s="2" t="s">
        <v>58</v>
      </c>
      <c r="D3060" s="2">
        <v>15.385</v>
      </c>
      <c r="E3060" s="2">
        <v>32.234000000000002</v>
      </c>
      <c r="P3060" s="3">
        <f>E3060*(VLOOKUP(B3060,Price_data!A$1:B$190,2,FALSE))</f>
        <v>33.698725789131998</v>
      </c>
      <c r="Q3060" s="3">
        <f>G3060*(VLOOKUP(B3060,Price_data!A$1:B$190,2,FALSE))</f>
        <v>0</v>
      </c>
      <c r="R3060" s="3">
        <f>I3060*(VLOOKUP(B3060,Price_data!A$1:B$190,2,FALSE))</f>
        <v>0</v>
      </c>
      <c r="S3060" s="4" t="str">
        <f>(VLOOKUP(B3060,Price_data!A$1:C$190,3,FALSE))</f>
        <v>EEZ</v>
      </c>
      <c r="T3060" s="2" t="str">
        <f>IF(C3060="Total", (VLOOKUP(B3060,Recommended_fish_intake!A$4:D$122,4,FALSE)), "NA")</f>
        <v>NA</v>
      </c>
      <c r="U3060" s="2" t="str">
        <f t="shared" si="346"/>
        <v>NA</v>
      </c>
    </row>
    <row r="3061" spans="1:21" ht="14.25" customHeight="1">
      <c r="A3061" s="2" t="s">
        <v>39</v>
      </c>
      <c r="B3061" s="2">
        <v>1998</v>
      </c>
      <c r="C3061" s="2" t="s">
        <v>24</v>
      </c>
      <c r="D3061" s="2">
        <v>20.076000000000001</v>
      </c>
      <c r="E3061" s="2">
        <v>10.382</v>
      </c>
      <c r="P3061" s="3">
        <f>E3061*(VLOOKUP(B3061,Price_data!A$1:B$190,2,FALSE))</f>
        <v>10.853762212035999</v>
      </c>
      <c r="Q3061" s="3">
        <f>G3061*(VLOOKUP(B3061,Price_data!A$1:B$190,2,FALSE))</f>
        <v>0</v>
      </c>
      <c r="R3061" s="3">
        <f>I3061*(VLOOKUP(B3061,Price_data!A$1:B$190,2,FALSE))</f>
        <v>0</v>
      </c>
      <c r="S3061" s="4" t="str">
        <f>(VLOOKUP(B3061,Price_data!A$1:C$190,3,FALSE))</f>
        <v>EEZ</v>
      </c>
      <c r="T3061" s="2" t="str">
        <f>IF(C3061="Total", (VLOOKUP(B3061,Recommended_fish_intake!A$4:D$122,4,FALSE)), "NA")</f>
        <v>NA</v>
      </c>
      <c r="U3061" s="2" t="str">
        <f t="shared" si="346"/>
        <v>NA</v>
      </c>
    </row>
    <row r="3062" spans="1:21" ht="14.25" customHeight="1">
      <c r="A3062" s="2" t="s">
        <v>39</v>
      </c>
      <c r="B3062" s="2">
        <v>1998</v>
      </c>
      <c r="C3062" s="2" t="s">
        <v>41</v>
      </c>
      <c r="D3062" s="2">
        <v>208.72200000000001</v>
      </c>
      <c r="E3062" s="2">
        <v>181.96799999999999</v>
      </c>
      <c r="P3062" s="3">
        <f>E3062*(VLOOKUP(B3062,Price_data!A$1:B$190,2,FALSE))</f>
        <v>190.23669834326398</v>
      </c>
      <c r="Q3062" s="3">
        <f>G3062*(VLOOKUP(B3062,Price_data!A$1:B$190,2,FALSE))</f>
        <v>0</v>
      </c>
      <c r="R3062" s="3">
        <f>I3062*(VLOOKUP(B3062,Price_data!A$1:B$190,2,FALSE))</f>
        <v>0</v>
      </c>
      <c r="S3062" s="4" t="str">
        <f>(VLOOKUP(B3062,Price_data!A$1:C$190,3,FALSE))</f>
        <v>EEZ</v>
      </c>
      <c r="T3062" s="2" t="str">
        <f>IF(C3062="Total", (VLOOKUP(B3062,Recommended_fish_intake!A$4:D$122,4,FALSE)), "NA")</f>
        <v>NA</v>
      </c>
      <c r="U3062" s="2" t="str">
        <f t="shared" si="346"/>
        <v>NA</v>
      </c>
    </row>
    <row r="3063" spans="1:21" ht="14.25" customHeight="1">
      <c r="A3063" s="2" t="s">
        <v>39</v>
      </c>
      <c r="B3063" s="2">
        <v>1998</v>
      </c>
      <c r="C3063" s="2" t="s">
        <v>19</v>
      </c>
      <c r="D3063" s="2">
        <v>33.659999999999997</v>
      </c>
      <c r="E3063" s="2">
        <v>4.0389999999999997</v>
      </c>
      <c r="P3063" s="3">
        <f>E3063*(VLOOKUP(B3063,Price_data!A$1:B$190,2,FALSE))</f>
        <v>4.222533767522</v>
      </c>
      <c r="Q3063" s="3">
        <f>G3063*(VLOOKUP(B3063,Price_data!A$1:B$190,2,FALSE))</f>
        <v>0</v>
      </c>
      <c r="R3063" s="3">
        <f>I3063*(VLOOKUP(B3063,Price_data!A$1:B$190,2,FALSE))</f>
        <v>0</v>
      </c>
      <c r="S3063" s="4" t="str">
        <f>(VLOOKUP(B3063,Price_data!A$1:C$190,3,FALSE))</f>
        <v>EEZ</v>
      </c>
      <c r="T3063" s="2" t="str">
        <f>IF(C3063="Total", (VLOOKUP(B3063,Recommended_fish_intake!A$4:D$122,4,FALSE)), "NA")</f>
        <v>NA</v>
      </c>
      <c r="U3063" s="2" t="str">
        <f t="shared" si="346"/>
        <v>NA</v>
      </c>
    </row>
    <row r="3064" spans="1:21" ht="14.25" customHeight="1">
      <c r="A3064" s="2" t="s">
        <v>39</v>
      </c>
      <c r="B3064" s="2">
        <v>1998</v>
      </c>
      <c r="C3064" s="2" t="s">
        <v>20</v>
      </c>
      <c r="D3064" s="2">
        <v>40.213000000000001</v>
      </c>
      <c r="E3064" s="2">
        <v>17.829000000000001</v>
      </c>
      <c r="P3064" s="3">
        <f>E3064*(VLOOKUP(B3064,Price_data!A$1:B$190,2,FALSE))</f>
        <v>18.639156855942002</v>
      </c>
      <c r="Q3064" s="3">
        <f>G3064*(VLOOKUP(B3064,Price_data!A$1:B$190,2,FALSE))</f>
        <v>0</v>
      </c>
      <c r="R3064" s="3">
        <f>I3064*(VLOOKUP(B3064,Price_data!A$1:B$190,2,FALSE))</f>
        <v>0</v>
      </c>
      <c r="S3064" s="4" t="str">
        <f>(VLOOKUP(B3064,Price_data!A$1:C$190,3,FALSE))</f>
        <v>EEZ</v>
      </c>
      <c r="T3064" s="2" t="str">
        <f>IF(C3064="Total", (VLOOKUP(B3064,Recommended_fish_intake!A$4:D$122,4,FALSE)), "NA")</f>
        <v>NA</v>
      </c>
      <c r="U3064" s="2" t="str">
        <f t="shared" si="346"/>
        <v>NA</v>
      </c>
    </row>
    <row r="3065" spans="1:21" ht="14.25" customHeight="1">
      <c r="A3065" s="2" t="s">
        <v>39</v>
      </c>
      <c r="B3065" s="2">
        <v>1998</v>
      </c>
      <c r="C3065" s="2" t="s">
        <v>42</v>
      </c>
      <c r="D3065" s="2">
        <v>106.697</v>
      </c>
      <c r="E3065" s="2">
        <v>24.504999999999999</v>
      </c>
      <c r="P3065" s="3">
        <f>E3065*(VLOOKUP(B3065,Price_data!A$1:B$190,2,FALSE))</f>
        <v>25.618516952989999</v>
      </c>
      <c r="Q3065" s="3">
        <f>G3065*(VLOOKUP(B3065,Price_data!A$1:B$190,2,FALSE))</f>
        <v>0</v>
      </c>
      <c r="R3065" s="3">
        <f>I3065*(VLOOKUP(B3065,Price_data!A$1:B$190,2,FALSE))</f>
        <v>0</v>
      </c>
      <c r="S3065" s="4" t="str">
        <f>(VLOOKUP(B3065,Price_data!A$1:C$190,3,FALSE))</f>
        <v>EEZ</v>
      </c>
      <c r="T3065" s="2" t="str">
        <f>IF(C3065="Total", (VLOOKUP(B3065,Recommended_fish_intake!A$4:D$122,4,FALSE)), "NA")</f>
        <v>NA</v>
      </c>
      <c r="U3065" s="2" t="str">
        <f t="shared" si="346"/>
        <v>NA</v>
      </c>
    </row>
    <row r="3066" spans="1:21" ht="14.25" customHeight="1">
      <c r="A3066" s="2" t="s">
        <v>39</v>
      </c>
      <c r="B3066" s="2">
        <v>1998</v>
      </c>
      <c r="C3066" s="2" t="s">
        <v>36</v>
      </c>
      <c r="D3066" s="2">
        <v>10.914</v>
      </c>
      <c r="E3066" s="2">
        <v>11.747</v>
      </c>
      <c r="P3066" s="3">
        <f>E3066*(VLOOKUP(B3066,Price_data!A$1:B$190,2,FALSE))</f>
        <v>12.280788355305999</v>
      </c>
      <c r="Q3066" s="3">
        <f>G3066*(VLOOKUP(B3066,Price_data!A$1:B$190,2,FALSE))</f>
        <v>0</v>
      </c>
      <c r="R3066" s="3">
        <f>I3066*(VLOOKUP(B3066,Price_data!A$1:B$190,2,FALSE))</f>
        <v>0</v>
      </c>
      <c r="S3066" s="4" t="str">
        <f>(VLOOKUP(B3066,Price_data!A$1:C$190,3,FALSE))</f>
        <v>EEZ</v>
      </c>
      <c r="T3066" s="2" t="str">
        <f>IF(C3066="Total", (VLOOKUP(B3066,Recommended_fish_intake!A$4:D$122,4,FALSE)), "NA")</f>
        <v>NA</v>
      </c>
      <c r="U3066" s="2" t="str">
        <f t="shared" si="346"/>
        <v>NA</v>
      </c>
    </row>
    <row r="3067" spans="1:21" ht="14.25" customHeight="1">
      <c r="A3067" s="2" t="s">
        <v>39</v>
      </c>
      <c r="B3067" s="2">
        <v>1998</v>
      </c>
      <c r="C3067" s="2" t="s">
        <v>34</v>
      </c>
      <c r="D3067" s="2">
        <v>0.66100000000000003</v>
      </c>
      <c r="E3067" s="2">
        <v>6.3129999999999997</v>
      </c>
      <c r="P3067" s="3">
        <f>E3067*(VLOOKUP(B3067,Price_data!A$1:B$190,2,FALSE))</f>
        <v>6.5998652325739995</v>
      </c>
      <c r="Q3067" s="3">
        <f>G3067*(VLOOKUP(B3067,Price_data!A$1:B$190,2,FALSE))</f>
        <v>0</v>
      </c>
      <c r="R3067" s="3">
        <f>I3067*(VLOOKUP(B3067,Price_data!A$1:B$190,2,FALSE))</f>
        <v>0</v>
      </c>
      <c r="S3067" s="4" t="str">
        <f>(VLOOKUP(B3067,Price_data!A$1:C$190,3,FALSE))</f>
        <v>EEZ</v>
      </c>
      <c r="T3067" s="2" t="str">
        <f>IF(C3067="Total", (VLOOKUP(B3067,Recommended_fish_intake!A$4:D$122,4,FALSE)), "NA")</f>
        <v>NA</v>
      </c>
      <c r="U3067" s="2" t="str">
        <f t="shared" si="346"/>
        <v>NA</v>
      </c>
    </row>
    <row r="3068" spans="1:21" ht="14.25" customHeight="1">
      <c r="A3068" s="2" t="s">
        <v>39</v>
      </c>
      <c r="B3068" s="2">
        <v>1998</v>
      </c>
      <c r="C3068" s="2" t="s">
        <v>35</v>
      </c>
      <c r="D3068" s="2">
        <v>19.984000000000002</v>
      </c>
      <c r="E3068" s="2">
        <v>43.185000000000002</v>
      </c>
      <c r="P3068" s="3">
        <f>E3068*(VLOOKUP(B3068,Price_data!A$1:B$190,2,FALSE))</f>
        <v>45.147343587630004</v>
      </c>
      <c r="Q3068" s="3">
        <f>G3068*(VLOOKUP(B3068,Price_data!A$1:B$190,2,FALSE))</f>
        <v>0</v>
      </c>
      <c r="R3068" s="3">
        <f>I3068*(VLOOKUP(B3068,Price_data!A$1:B$190,2,FALSE))</f>
        <v>0</v>
      </c>
      <c r="S3068" s="4" t="str">
        <f>(VLOOKUP(B3068,Price_data!A$1:C$190,3,FALSE))</f>
        <v>EEZ</v>
      </c>
      <c r="T3068" s="2" t="str">
        <f>IF(C3068="Total", (VLOOKUP(B3068,Recommended_fish_intake!A$4:D$122,4,FALSE)), "NA")</f>
        <v>NA</v>
      </c>
      <c r="U3068" s="2" t="str">
        <f t="shared" si="346"/>
        <v>NA</v>
      </c>
    </row>
    <row r="3069" spans="1:21" ht="14.25" customHeight="1">
      <c r="A3069" s="2" t="s">
        <v>39</v>
      </c>
      <c r="B3069" s="2">
        <v>1998</v>
      </c>
      <c r="C3069" s="2" t="s">
        <v>52</v>
      </c>
      <c r="D3069" s="2">
        <v>16.619</v>
      </c>
      <c r="E3069" s="2">
        <v>17.968</v>
      </c>
      <c r="P3069" s="3">
        <f>E3069*(VLOOKUP(B3069,Price_data!A$1:B$190,2,FALSE))</f>
        <v>18.784473071263999</v>
      </c>
      <c r="Q3069" s="3">
        <f>G3069*(VLOOKUP(B3069,Price_data!A$1:B$190,2,FALSE))</f>
        <v>0</v>
      </c>
      <c r="R3069" s="3">
        <f>I3069*(VLOOKUP(B3069,Price_data!A$1:B$190,2,FALSE))</f>
        <v>0</v>
      </c>
      <c r="S3069" s="4" t="str">
        <f>(VLOOKUP(B3069,Price_data!A$1:C$190,3,FALSE))</f>
        <v>EEZ</v>
      </c>
      <c r="T3069" s="2" t="str">
        <f>IF(C3069="Total", (VLOOKUP(B3069,Recommended_fish_intake!A$4:D$122,4,FALSE)), "NA")</f>
        <v>NA</v>
      </c>
      <c r="U3069" s="2" t="str">
        <f t="shared" si="346"/>
        <v>NA</v>
      </c>
    </row>
    <row r="3070" spans="1:21" ht="14.25" customHeight="1">
      <c r="A3070" s="2" t="s">
        <v>39</v>
      </c>
      <c r="B3070" s="2">
        <v>1998</v>
      </c>
      <c r="C3070" s="2" t="s">
        <v>30</v>
      </c>
      <c r="D3070" s="2">
        <v>1.3660000000000001</v>
      </c>
      <c r="E3070" s="2">
        <v>1.431</v>
      </c>
      <c r="P3070" s="3">
        <f>E3070*(VLOOKUP(B3070,Price_data!A$1:B$190,2,FALSE))</f>
        <v>1.496025209538</v>
      </c>
      <c r="Q3070" s="3">
        <f>G3070*(VLOOKUP(B3070,Price_data!A$1:B$190,2,FALSE))</f>
        <v>0</v>
      </c>
      <c r="R3070" s="3">
        <f>I3070*(VLOOKUP(B3070,Price_data!A$1:B$190,2,FALSE))</f>
        <v>0</v>
      </c>
      <c r="S3070" s="4" t="str">
        <f>(VLOOKUP(B3070,Price_data!A$1:C$190,3,FALSE))</f>
        <v>EEZ</v>
      </c>
      <c r="T3070" s="2" t="str">
        <f>IF(C3070="Total", (VLOOKUP(B3070,Recommended_fish_intake!A$4:D$122,4,FALSE)), "NA")</f>
        <v>NA</v>
      </c>
      <c r="U3070" s="2" t="str">
        <f t="shared" si="346"/>
        <v>NA</v>
      </c>
    </row>
    <row r="3071" spans="1:21" ht="14.25" customHeight="1">
      <c r="A3071" s="2" t="s">
        <v>39</v>
      </c>
      <c r="B3071" s="2">
        <v>1998</v>
      </c>
      <c r="C3071" s="2" t="s">
        <v>28</v>
      </c>
      <c r="D3071" s="2">
        <v>54.427</v>
      </c>
      <c r="E3071" s="2">
        <v>85.510999999999996</v>
      </c>
      <c r="P3071" s="3">
        <f>E3071*(VLOOKUP(B3071,Price_data!A$1:B$190,2,FALSE))</f>
        <v>89.396653873378</v>
      </c>
      <c r="Q3071" s="3">
        <f>G3071*(VLOOKUP(B3071,Price_data!A$1:B$190,2,FALSE))</f>
        <v>0</v>
      </c>
      <c r="R3071" s="3">
        <f>I3071*(VLOOKUP(B3071,Price_data!A$1:B$190,2,FALSE))</f>
        <v>0</v>
      </c>
      <c r="S3071" s="4" t="str">
        <f>(VLOOKUP(B3071,Price_data!A$1:C$190,3,FALSE))</f>
        <v>EEZ</v>
      </c>
      <c r="T3071" s="2" t="str">
        <f>IF(C3071="Total", (VLOOKUP(B3071,Recommended_fish_intake!A$4:D$122,4,FALSE)), "NA")</f>
        <v>NA</v>
      </c>
      <c r="U3071" s="2">
        <f t="shared" si="346"/>
        <v>15.239560000000001</v>
      </c>
    </row>
    <row r="3072" spans="1:21" ht="14.25" customHeight="1">
      <c r="A3072" s="2" t="s">
        <v>40</v>
      </c>
      <c r="B3072" s="2">
        <v>1998</v>
      </c>
      <c r="C3072" s="2" t="s">
        <v>22</v>
      </c>
      <c r="D3072" s="2">
        <v>2.1960000000000002</v>
      </c>
      <c r="E3072" s="2">
        <v>2.77</v>
      </c>
      <c r="P3072" s="3">
        <f>E3072*(VLOOKUP(B3072,Price_data!A$1:B$190,2,FALSE))</f>
        <v>2.8958699024599999</v>
      </c>
      <c r="Q3072" s="3">
        <f>G3072*(VLOOKUP(B3072,Price_data!A$1:B$190,2,FALSE))</f>
        <v>0</v>
      </c>
      <c r="R3072" s="3">
        <f>I3072*(VLOOKUP(B3072,Price_data!A$1:B$190,2,FALSE))</f>
        <v>0</v>
      </c>
      <c r="S3072" s="4" t="str">
        <f>(VLOOKUP(B3072,Price_data!A$1:C$190,3,FALSE))</f>
        <v>EEZ</v>
      </c>
      <c r="T3072" s="2" t="str">
        <f>IF(C3072="Total", (VLOOKUP(B3072,Recommended_fish_intake!A$4:D$122,4,FALSE)), "NA")</f>
        <v>NA</v>
      </c>
      <c r="U3072" s="2" t="str">
        <f t="shared" si="346"/>
        <v>NA</v>
      </c>
    </row>
    <row r="3073" spans="1:21" ht="14.25" customHeight="1">
      <c r="A3073" s="2" t="s">
        <v>40</v>
      </c>
      <c r="B3073" s="2">
        <v>1998</v>
      </c>
      <c r="C3073" s="2" t="s">
        <v>23</v>
      </c>
      <c r="D3073" s="2">
        <v>1.1200000000000001</v>
      </c>
      <c r="E3073" s="2">
        <v>0.74299999999999999</v>
      </c>
      <c r="P3073" s="3">
        <f>E3073*(VLOOKUP(B3073,Price_data!A$1:B$190,2,FALSE))</f>
        <v>0.77676221571399995</v>
      </c>
      <c r="Q3073" s="3">
        <f>G3073*(VLOOKUP(B3073,Price_data!A$1:B$190,2,FALSE))</f>
        <v>0</v>
      </c>
      <c r="R3073" s="3">
        <f>I3073*(VLOOKUP(B3073,Price_data!A$1:B$190,2,FALSE))</f>
        <v>0</v>
      </c>
      <c r="S3073" s="4" t="str">
        <f>(VLOOKUP(B3073,Price_data!A$1:C$190,3,FALSE))</f>
        <v>EEZ</v>
      </c>
      <c r="T3073" s="2" t="str">
        <f>IF(C3073="Total", (VLOOKUP(B3073,Recommended_fish_intake!A$4:D$122,4,FALSE)), "NA")</f>
        <v>NA</v>
      </c>
      <c r="U3073" s="2" t="str">
        <f t="shared" si="346"/>
        <v>NA</v>
      </c>
    </row>
    <row r="3074" spans="1:21" ht="14.25" customHeight="1">
      <c r="A3074" s="2" t="s">
        <v>40</v>
      </c>
      <c r="B3074" s="2">
        <v>1998</v>
      </c>
      <c r="C3074" s="2" t="s">
        <v>58</v>
      </c>
      <c r="D3074" s="2">
        <v>0.27600000000000002</v>
      </c>
      <c r="E3074" s="2">
        <v>0.40500000000000003</v>
      </c>
      <c r="P3074" s="3">
        <f>E3074*(VLOOKUP(B3074,Price_data!A$1:B$190,2,FALSE))</f>
        <v>0.42340336119000005</v>
      </c>
      <c r="Q3074" s="3">
        <f>G3074*(VLOOKUP(B3074,Price_data!A$1:B$190,2,FALSE))</f>
        <v>0</v>
      </c>
      <c r="R3074" s="3">
        <f>I3074*(VLOOKUP(B3074,Price_data!A$1:B$190,2,FALSE))</f>
        <v>0</v>
      </c>
      <c r="S3074" s="4" t="str">
        <f>(VLOOKUP(B3074,Price_data!A$1:C$190,3,FALSE))</f>
        <v>EEZ</v>
      </c>
      <c r="T3074" s="2" t="str">
        <f>IF(C3074="Total", (VLOOKUP(B3074,Recommended_fish_intake!A$4:D$122,4,FALSE)), "NA")</f>
        <v>NA</v>
      </c>
      <c r="U3074" s="2" t="str">
        <f t="shared" ref="U3074:U3137" si="350">IF(C3074="Wet fish", D3074*0.49, IF(C3074="Shellfish", D3074*0.28, "NA"))</f>
        <v>NA</v>
      </c>
    </row>
    <row r="3075" spans="1:21" ht="14.25" customHeight="1">
      <c r="A3075" s="2" t="s">
        <v>40</v>
      </c>
      <c r="B3075" s="2">
        <v>1998</v>
      </c>
      <c r="C3075" s="2" t="s">
        <v>24</v>
      </c>
      <c r="D3075" s="2">
        <v>1.712</v>
      </c>
      <c r="E3075" s="2">
        <v>0.83499999999999996</v>
      </c>
      <c r="P3075" s="3">
        <f>E3075*(VLOOKUP(B3075,Price_data!A$1:B$190,2,FALSE))</f>
        <v>0.87294273232999997</v>
      </c>
      <c r="Q3075" s="3">
        <f>G3075*(VLOOKUP(B3075,Price_data!A$1:B$190,2,FALSE))</f>
        <v>0</v>
      </c>
      <c r="R3075" s="3">
        <f>I3075*(VLOOKUP(B3075,Price_data!A$1:B$190,2,FALSE))</f>
        <v>0</v>
      </c>
      <c r="S3075" s="4" t="str">
        <f>(VLOOKUP(B3075,Price_data!A$1:C$190,3,FALSE))</f>
        <v>EEZ</v>
      </c>
      <c r="T3075" s="2" t="str">
        <f>IF(C3075="Total", (VLOOKUP(B3075,Recommended_fish_intake!A$4:D$122,4,FALSE)), "NA")</f>
        <v>NA</v>
      </c>
      <c r="U3075" s="2" t="str">
        <f t="shared" si="350"/>
        <v>NA</v>
      </c>
    </row>
    <row r="3076" spans="1:21" ht="14.25" customHeight="1">
      <c r="A3076" s="2" t="s">
        <v>40</v>
      </c>
      <c r="B3076" s="2">
        <v>1998</v>
      </c>
      <c r="C3076" s="2" t="s">
        <v>41</v>
      </c>
      <c r="D3076" s="2">
        <v>8.3070000000000004</v>
      </c>
      <c r="E3076" s="2">
        <v>8.1020000000000003</v>
      </c>
      <c r="P3076" s="3">
        <f>E3076*(VLOOKUP(B3076,Price_data!A$1:B$190,2,FALSE))</f>
        <v>8.4701581045960008</v>
      </c>
      <c r="Q3076" s="3">
        <f>G3076*(VLOOKUP(B3076,Price_data!A$1:B$190,2,FALSE))</f>
        <v>0</v>
      </c>
      <c r="R3076" s="3">
        <f>I3076*(VLOOKUP(B3076,Price_data!A$1:B$190,2,FALSE))</f>
        <v>0</v>
      </c>
      <c r="S3076" s="4" t="str">
        <f>(VLOOKUP(B3076,Price_data!A$1:C$190,3,FALSE))</f>
        <v>EEZ</v>
      </c>
      <c r="T3076" s="2" t="str">
        <f>IF(C3076="Total", (VLOOKUP(B3076,Recommended_fish_intake!A$4:D$122,4,FALSE)), "NA")</f>
        <v>NA</v>
      </c>
      <c r="U3076" s="2" t="str">
        <f t="shared" si="350"/>
        <v>NA</v>
      </c>
    </row>
    <row r="3077" spans="1:21" ht="14.25" customHeight="1">
      <c r="A3077" s="2" t="s">
        <v>40</v>
      </c>
      <c r="B3077" s="2">
        <v>1998</v>
      </c>
      <c r="C3077" s="2" t="s">
        <v>19</v>
      </c>
      <c r="D3077" s="2">
        <v>4.657</v>
      </c>
      <c r="E3077" s="2">
        <v>0.52500000000000002</v>
      </c>
      <c r="P3077" s="3">
        <f>E3077*(VLOOKUP(B3077,Price_data!A$1:B$190,2,FALSE))</f>
        <v>0.54885620894999998</v>
      </c>
      <c r="Q3077" s="3">
        <f>G3077*(VLOOKUP(B3077,Price_data!A$1:B$190,2,FALSE))</f>
        <v>0</v>
      </c>
      <c r="R3077" s="3">
        <f>I3077*(VLOOKUP(B3077,Price_data!A$1:B$190,2,FALSE))</f>
        <v>0</v>
      </c>
      <c r="S3077" s="4" t="str">
        <f>(VLOOKUP(B3077,Price_data!A$1:C$190,3,FALSE))</f>
        <v>EEZ</v>
      </c>
      <c r="T3077" s="2" t="str">
        <f>IF(C3077="Total", (VLOOKUP(B3077,Recommended_fish_intake!A$4:D$122,4,FALSE)), "NA")</f>
        <v>NA</v>
      </c>
      <c r="U3077" s="2" t="str">
        <f t="shared" si="350"/>
        <v>NA</v>
      </c>
    </row>
    <row r="3078" spans="1:21" ht="14.25" customHeight="1">
      <c r="A3078" s="2" t="s">
        <v>40</v>
      </c>
      <c r="B3078" s="2">
        <v>1998</v>
      </c>
      <c r="C3078" s="2" t="s">
        <v>20</v>
      </c>
      <c r="D3078" s="2">
        <v>3.3130000000000002</v>
      </c>
      <c r="E3078" s="2">
        <v>0.746</v>
      </c>
      <c r="P3078" s="3">
        <f>E3078*(VLOOKUP(B3078,Price_data!A$1:B$190,2,FALSE))</f>
        <v>0.77989853690800004</v>
      </c>
      <c r="Q3078" s="3">
        <f>G3078*(VLOOKUP(B3078,Price_data!A$1:B$190,2,FALSE))</f>
        <v>0</v>
      </c>
      <c r="R3078" s="3">
        <f>I3078*(VLOOKUP(B3078,Price_data!A$1:B$190,2,FALSE))</f>
        <v>0</v>
      </c>
      <c r="S3078" s="4" t="str">
        <f>(VLOOKUP(B3078,Price_data!A$1:C$190,3,FALSE))</f>
        <v>EEZ</v>
      </c>
      <c r="T3078" s="2" t="str">
        <f>IF(C3078="Total", (VLOOKUP(B3078,Recommended_fish_intake!A$4:D$122,4,FALSE)), "NA")</f>
        <v>NA</v>
      </c>
      <c r="U3078" s="2" t="str">
        <f t="shared" si="350"/>
        <v>NA</v>
      </c>
    </row>
    <row r="3079" spans="1:21" ht="14.25" customHeight="1">
      <c r="A3079" s="2" t="s">
        <v>40</v>
      </c>
      <c r="B3079" s="2">
        <v>1998</v>
      </c>
      <c r="C3079" s="2" t="s">
        <v>42</v>
      </c>
      <c r="D3079" s="2">
        <v>8.6430000000000007</v>
      </c>
      <c r="E3079" s="2">
        <v>1.349</v>
      </c>
      <c r="P3079" s="3">
        <f>E3079*(VLOOKUP(B3079,Price_data!A$1:B$190,2,FALSE))</f>
        <v>1.4102990969019999</v>
      </c>
      <c r="Q3079" s="3">
        <f>G3079*(VLOOKUP(B3079,Price_data!A$1:B$190,2,FALSE))</f>
        <v>0</v>
      </c>
      <c r="R3079" s="3">
        <f>I3079*(VLOOKUP(B3079,Price_data!A$1:B$190,2,FALSE))</f>
        <v>0</v>
      </c>
      <c r="S3079" s="4" t="str">
        <f>(VLOOKUP(B3079,Price_data!A$1:C$190,3,FALSE))</f>
        <v>EEZ</v>
      </c>
      <c r="T3079" s="2" t="str">
        <f>IF(C3079="Total", (VLOOKUP(B3079,Recommended_fish_intake!A$4:D$122,4,FALSE)), "NA")</f>
        <v>NA</v>
      </c>
      <c r="U3079" s="2" t="str">
        <f t="shared" si="350"/>
        <v>NA</v>
      </c>
    </row>
    <row r="3080" spans="1:21" ht="14.25" customHeight="1">
      <c r="A3080" s="2" t="s">
        <v>40</v>
      </c>
      <c r="B3080" s="2">
        <v>1998</v>
      </c>
      <c r="C3080" s="2" t="s">
        <v>36</v>
      </c>
      <c r="D3080" s="2">
        <v>0.20300000000000001</v>
      </c>
      <c r="E3080" s="2">
        <v>0.16600000000000001</v>
      </c>
      <c r="P3080" s="3">
        <f>E3080*(VLOOKUP(B3080,Price_data!A$1:B$190,2,FALSE))</f>
        <v>0.173543106068</v>
      </c>
      <c r="Q3080" s="3">
        <f>G3080*(VLOOKUP(B3080,Price_data!A$1:B$190,2,FALSE))</f>
        <v>0</v>
      </c>
      <c r="R3080" s="3">
        <f>I3080*(VLOOKUP(B3080,Price_data!A$1:B$190,2,FALSE))</f>
        <v>0</v>
      </c>
      <c r="S3080" s="4" t="str">
        <f>(VLOOKUP(B3080,Price_data!A$1:C$190,3,FALSE))</f>
        <v>EEZ</v>
      </c>
      <c r="T3080" s="2" t="str">
        <f>IF(C3080="Total", (VLOOKUP(B3080,Recommended_fish_intake!A$4:D$122,4,FALSE)), "NA")</f>
        <v>NA</v>
      </c>
      <c r="U3080" s="2" t="str">
        <f t="shared" si="350"/>
        <v>NA</v>
      </c>
    </row>
    <row r="3081" spans="1:21" ht="14.25" customHeight="1">
      <c r="A3081" s="2" t="s">
        <v>40</v>
      </c>
      <c r="B3081" s="2">
        <v>1998</v>
      </c>
      <c r="C3081" s="2" t="s">
        <v>34</v>
      </c>
      <c r="D3081" s="2">
        <v>0</v>
      </c>
      <c r="E3081" s="2">
        <v>6.9000000000000006E-2</v>
      </c>
      <c r="P3081" s="3">
        <f>E3081*(VLOOKUP(B3081,Price_data!A$1:B$190,2,FALSE))</f>
        <v>7.2135387462000003E-2</v>
      </c>
      <c r="Q3081" s="3">
        <f>G3081*(VLOOKUP(B3081,Price_data!A$1:B$190,2,FALSE))</f>
        <v>0</v>
      </c>
      <c r="R3081" s="3">
        <f>I3081*(VLOOKUP(B3081,Price_data!A$1:B$190,2,FALSE))</f>
        <v>0</v>
      </c>
      <c r="S3081" s="4" t="str">
        <f>(VLOOKUP(B3081,Price_data!A$1:C$190,3,FALSE))</f>
        <v>EEZ</v>
      </c>
      <c r="T3081" s="2" t="str">
        <f>IF(C3081="Total", (VLOOKUP(B3081,Recommended_fish_intake!A$4:D$122,4,FALSE)), "NA")</f>
        <v>NA</v>
      </c>
      <c r="U3081" s="2" t="str">
        <f t="shared" si="350"/>
        <v>NA</v>
      </c>
    </row>
    <row r="3082" spans="1:21" ht="14.25" customHeight="1">
      <c r="A3082" s="2" t="s">
        <v>40</v>
      </c>
      <c r="B3082" s="2">
        <v>1998</v>
      </c>
      <c r="C3082" s="2" t="s">
        <v>35</v>
      </c>
      <c r="D3082" s="2">
        <v>6.125</v>
      </c>
      <c r="E3082" s="2">
        <v>9.2210000000000001</v>
      </c>
      <c r="P3082" s="3">
        <f>E3082*(VLOOKUP(B3082,Price_data!A$1:B$190,2,FALSE))</f>
        <v>9.6400059099580009</v>
      </c>
      <c r="Q3082" s="3">
        <f>G3082*(VLOOKUP(B3082,Price_data!A$1:B$190,2,FALSE))</f>
        <v>0</v>
      </c>
      <c r="R3082" s="3">
        <f>I3082*(VLOOKUP(B3082,Price_data!A$1:B$190,2,FALSE))</f>
        <v>0</v>
      </c>
      <c r="S3082" s="4" t="str">
        <f>(VLOOKUP(B3082,Price_data!A$1:C$190,3,FALSE))</f>
        <v>EEZ</v>
      </c>
      <c r="T3082" s="2" t="str">
        <f>IF(C3082="Total", (VLOOKUP(B3082,Recommended_fish_intake!A$4:D$122,4,FALSE)), "NA")</f>
        <v>NA</v>
      </c>
      <c r="U3082" s="2" t="str">
        <f t="shared" si="350"/>
        <v>NA</v>
      </c>
    </row>
    <row r="3083" spans="1:21" ht="14.25" customHeight="1">
      <c r="A3083" s="2" t="s">
        <v>40</v>
      </c>
      <c r="B3083" s="2">
        <v>1998</v>
      </c>
      <c r="C3083" s="2" t="s">
        <v>52</v>
      </c>
      <c r="D3083" s="2">
        <v>0.70599999999999996</v>
      </c>
      <c r="E3083" s="2">
        <v>0.68</v>
      </c>
      <c r="P3083" s="3">
        <f>E3083*(VLOOKUP(B3083,Price_data!A$1:B$190,2,FALSE))</f>
        <v>0.71089947064000003</v>
      </c>
      <c r="Q3083" s="3">
        <f>G3083*(VLOOKUP(B3083,Price_data!A$1:B$190,2,FALSE))</f>
        <v>0</v>
      </c>
      <c r="R3083" s="3">
        <f>I3083*(VLOOKUP(B3083,Price_data!A$1:B$190,2,FALSE))</f>
        <v>0</v>
      </c>
      <c r="S3083" s="4" t="str">
        <f>(VLOOKUP(B3083,Price_data!A$1:C$190,3,FALSE))</f>
        <v>EEZ</v>
      </c>
      <c r="T3083" s="2" t="str">
        <f>IF(C3083="Total", (VLOOKUP(B3083,Recommended_fish_intake!A$4:D$122,4,FALSE)), "NA")</f>
        <v>NA</v>
      </c>
      <c r="U3083" s="2" t="str">
        <f t="shared" si="350"/>
        <v>NA</v>
      </c>
    </row>
    <row r="3084" spans="1:21" ht="14.25" customHeight="1">
      <c r="A3084" s="2" t="s">
        <v>40</v>
      </c>
      <c r="B3084" s="2">
        <v>1998</v>
      </c>
      <c r="C3084" s="2" t="s">
        <v>30</v>
      </c>
      <c r="D3084" s="2">
        <v>0</v>
      </c>
      <c r="E3084" s="2">
        <v>0</v>
      </c>
      <c r="P3084" s="3">
        <f>E3084*(VLOOKUP(B3084,Price_data!A$1:B$190,2,FALSE))</f>
        <v>0</v>
      </c>
      <c r="Q3084" s="3">
        <f>G3084*(VLOOKUP(B3084,Price_data!A$1:B$190,2,FALSE))</f>
        <v>0</v>
      </c>
      <c r="R3084" s="3">
        <f>I3084*(VLOOKUP(B3084,Price_data!A$1:B$190,2,FALSE))</f>
        <v>0</v>
      </c>
      <c r="S3084" s="4" t="str">
        <f>(VLOOKUP(B3084,Price_data!A$1:C$190,3,FALSE))</f>
        <v>EEZ</v>
      </c>
      <c r="T3084" s="2" t="str">
        <f>IF(C3084="Total", (VLOOKUP(B3084,Recommended_fish_intake!A$4:D$122,4,FALSE)), "NA")</f>
        <v>NA</v>
      </c>
      <c r="U3084" s="2" t="str">
        <f t="shared" si="350"/>
        <v>NA</v>
      </c>
    </row>
    <row r="3085" spans="1:21" ht="14.25" customHeight="1">
      <c r="A3085" s="2" t="s">
        <v>40</v>
      </c>
      <c r="B3085" s="2">
        <v>1998</v>
      </c>
      <c r="C3085" s="2" t="s">
        <v>28</v>
      </c>
      <c r="D3085" s="2">
        <v>7.1630000000000003</v>
      </c>
      <c r="E3085" s="2">
        <v>10.395</v>
      </c>
      <c r="P3085" s="3">
        <f>E3085*(VLOOKUP(B3085,Price_data!A$1:B$190,2,FALSE))</f>
        <v>10.867352937209999</v>
      </c>
      <c r="Q3085" s="3">
        <f>G3085*(VLOOKUP(B3085,Price_data!A$1:B$190,2,FALSE))</f>
        <v>0</v>
      </c>
      <c r="R3085" s="3">
        <f>I3085*(VLOOKUP(B3085,Price_data!A$1:B$190,2,FALSE))</f>
        <v>0</v>
      </c>
      <c r="S3085" s="4" t="str">
        <f>(VLOOKUP(B3085,Price_data!A$1:C$190,3,FALSE))</f>
        <v>EEZ</v>
      </c>
      <c r="T3085" s="2" t="str">
        <f>IF(C3085="Total", (VLOOKUP(B3085,Recommended_fish_intake!A$4:D$122,4,FALSE)), "NA")</f>
        <v>NA</v>
      </c>
      <c r="U3085" s="2">
        <f t="shared" si="350"/>
        <v>2.0056400000000001</v>
      </c>
    </row>
    <row r="3086" spans="1:21" ht="14.25" customHeight="1">
      <c r="A3086" s="2" t="s">
        <v>40</v>
      </c>
      <c r="B3086" s="2">
        <v>1998</v>
      </c>
      <c r="C3086" s="4" t="s">
        <v>37</v>
      </c>
      <c r="D3086" s="3">
        <f>D2958+D2910</f>
        <v>26.486999999999998</v>
      </c>
      <c r="E3086" s="3">
        <f>E2958+E2910</f>
        <v>19.097999999999999</v>
      </c>
      <c r="P3086" s="3">
        <f>E3086*(VLOOKUP(B3086,Price_data!A$1:B$190,2,FALSE))</f>
        <v>19.965820721004</v>
      </c>
      <c r="Q3086" s="3">
        <f>G3086*(VLOOKUP(B3086,Price_data!A$1:B$190,2,FALSE))</f>
        <v>0</v>
      </c>
      <c r="R3086" s="3">
        <f>I3086*(VLOOKUP(B3086,Price_data!A$1:B$190,2,FALSE))</f>
        <v>0</v>
      </c>
      <c r="S3086" s="4" t="str">
        <f>(VLOOKUP(B3086,Price_data!A$1:C$190,3,FALSE))</f>
        <v>EEZ</v>
      </c>
      <c r="T3086" s="2" t="str">
        <f>IF(C3086="Total", (VLOOKUP(B3086,Recommended_fish_intake!A$4:D$122,4,FALSE)), "NA")</f>
        <v>NA</v>
      </c>
      <c r="U3086" s="2">
        <f t="shared" si="350"/>
        <v>12.978629999999999</v>
      </c>
    </row>
    <row r="3087" spans="1:21" ht="14.25" customHeight="1">
      <c r="A3087" s="2" t="s">
        <v>39</v>
      </c>
      <c r="B3087" s="2">
        <v>1998</v>
      </c>
      <c r="C3087" s="4" t="s">
        <v>37</v>
      </c>
      <c r="D3087" s="3">
        <f>D2703+D2655</f>
        <v>121.73699999999999</v>
      </c>
      <c r="E3087" s="3">
        <f>E2703+E2655</f>
        <v>13.723000000000001</v>
      </c>
      <c r="P3087" s="3">
        <f>E3087*(VLOOKUP(B3087,Price_data!A$1:B$190,2,FALSE))</f>
        <v>14.346578581754001</v>
      </c>
      <c r="Q3087" s="3">
        <f>G3087*(VLOOKUP(B3087,Price_data!A$1:B$190,2,FALSE))</f>
        <v>0</v>
      </c>
      <c r="R3087" s="3">
        <f>I3087*(VLOOKUP(B3087,Price_data!A$1:B$190,2,FALSE))</f>
        <v>0</v>
      </c>
      <c r="S3087" s="4" t="str">
        <f>(VLOOKUP(B3087,Price_data!A$1:C$190,3,FALSE))</f>
        <v>EEZ</v>
      </c>
      <c r="T3087" s="2" t="str">
        <f>IF(C3087="Total", (VLOOKUP(B3087,Recommended_fish_intake!A$4:D$122,4,FALSE)), "NA")</f>
        <v>NA</v>
      </c>
      <c r="U3087" s="2">
        <f t="shared" si="350"/>
        <v>59.651129999999995</v>
      </c>
    </row>
    <row r="3088" spans="1:21" ht="14.25" customHeight="1">
      <c r="A3088" s="2" t="s">
        <v>18</v>
      </c>
      <c r="B3088" s="2">
        <v>1998</v>
      </c>
      <c r="C3088" s="2" t="s">
        <v>22</v>
      </c>
      <c r="D3088" s="3">
        <f t="shared" ref="D3088:E3101" si="351">D2336+D2096</f>
        <v>3.0209999999999999</v>
      </c>
      <c r="E3088" s="3">
        <f t="shared" si="351"/>
        <v>3.306</v>
      </c>
      <c r="P3088" s="3">
        <f>E3088*(VLOOKUP(B3088,Price_data!A$1:B$190,2,FALSE))</f>
        <v>3.4562259557880002</v>
      </c>
      <c r="Q3088" s="3">
        <f>G3088*(VLOOKUP(B3088,Price_data!A$1:B$190,2,FALSE))</f>
        <v>0</v>
      </c>
      <c r="R3088" s="3">
        <f>I3088*(VLOOKUP(B3088,Price_data!A$1:B$190,2,FALSE))</f>
        <v>0</v>
      </c>
      <c r="S3088" s="4" t="str">
        <f>(VLOOKUP(B3088,Price_data!A$1:C$190,3,FALSE))</f>
        <v>EEZ</v>
      </c>
      <c r="T3088" s="2" t="str">
        <f>IF(C3088="Total", (VLOOKUP(B3088,Recommended_fish_intake!A$4:D$122,4,FALSE)), "NA")</f>
        <v>NA</v>
      </c>
      <c r="U3088" s="2" t="str">
        <f t="shared" si="350"/>
        <v>NA</v>
      </c>
    </row>
    <row r="3089" spans="1:21" ht="14.25" customHeight="1">
      <c r="A3089" s="2" t="s">
        <v>18</v>
      </c>
      <c r="B3089" s="2">
        <v>1998</v>
      </c>
      <c r="C3089" s="2" t="s">
        <v>23</v>
      </c>
      <c r="D3089" s="3">
        <f t="shared" si="351"/>
        <v>4.8620000000000001</v>
      </c>
      <c r="E3089" s="3">
        <f t="shared" si="351"/>
        <v>4.6319999999999997</v>
      </c>
      <c r="P3089" s="3">
        <f>E3089*(VLOOKUP(B3089,Price_data!A$1:B$190,2,FALSE))</f>
        <v>4.8424799235359997</v>
      </c>
      <c r="Q3089" s="3">
        <f>G3089*(VLOOKUP(B3089,Price_data!A$1:B$190,2,FALSE))</f>
        <v>0</v>
      </c>
      <c r="R3089" s="3">
        <f>I3089*(VLOOKUP(B3089,Price_data!A$1:B$190,2,FALSE))</f>
        <v>0</v>
      </c>
      <c r="S3089" s="4" t="str">
        <f>(VLOOKUP(B3089,Price_data!A$1:C$190,3,FALSE))</f>
        <v>EEZ</v>
      </c>
      <c r="T3089" s="2" t="str">
        <f>IF(C3089="Total", (VLOOKUP(B3089,Recommended_fish_intake!A$4:D$122,4,FALSE)), "NA")</f>
        <v>NA</v>
      </c>
      <c r="U3089" s="2" t="str">
        <f t="shared" si="350"/>
        <v>NA</v>
      </c>
    </row>
    <row r="3090" spans="1:21" ht="14.25" customHeight="1">
      <c r="A3090" s="2" t="s">
        <v>18</v>
      </c>
      <c r="B3090" s="2">
        <v>1998</v>
      </c>
      <c r="C3090" s="2" t="s">
        <v>58</v>
      </c>
      <c r="D3090" s="3">
        <f t="shared" si="351"/>
        <v>90.531000000000006</v>
      </c>
      <c r="E3090" s="3">
        <f t="shared" si="351"/>
        <v>70.534999999999997</v>
      </c>
      <c r="P3090" s="3">
        <f>E3090*(VLOOKUP(B3090,Price_data!A$1:B$190,2,FALSE))</f>
        <v>73.740138472929999</v>
      </c>
      <c r="Q3090" s="3">
        <f>G3090*(VLOOKUP(B3090,Price_data!A$1:B$190,2,FALSE))</f>
        <v>0</v>
      </c>
      <c r="R3090" s="3">
        <f>I3090*(VLOOKUP(B3090,Price_data!A$1:B$190,2,FALSE))</f>
        <v>0</v>
      </c>
      <c r="S3090" s="4" t="str">
        <f>(VLOOKUP(B3090,Price_data!A$1:C$190,3,FALSE))</f>
        <v>EEZ</v>
      </c>
      <c r="T3090" s="2" t="str">
        <f>IF(C3090="Total", (VLOOKUP(B3090,Recommended_fish_intake!A$4:D$122,4,FALSE)), "NA")</f>
        <v>NA</v>
      </c>
      <c r="U3090" s="2" t="str">
        <f t="shared" si="350"/>
        <v>NA</v>
      </c>
    </row>
    <row r="3091" spans="1:21" ht="14.25" customHeight="1">
      <c r="A3091" s="2" t="s">
        <v>18</v>
      </c>
      <c r="B3091" s="2">
        <v>1998</v>
      </c>
      <c r="C3091" s="2" t="s">
        <v>24</v>
      </c>
      <c r="D3091" s="3">
        <f t="shared" si="351"/>
        <v>132.44800000000001</v>
      </c>
      <c r="E3091" s="3">
        <f t="shared" si="351"/>
        <v>67.88300000000001</v>
      </c>
      <c r="P3091" s="3">
        <f>E3091*(VLOOKUP(B3091,Price_data!A$1:B$190,2,FALSE))</f>
        <v>70.967630537434005</v>
      </c>
      <c r="Q3091" s="3">
        <f>G3091*(VLOOKUP(B3091,Price_data!A$1:B$190,2,FALSE))</f>
        <v>0</v>
      </c>
      <c r="R3091" s="3">
        <f>I3091*(VLOOKUP(B3091,Price_data!A$1:B$190,2,FALSE))</f>
        <v>0</v>
      </c>
      <c r="S3091" s="4" t="str">
        <f>(VLOOKUP(B3091,Price_data!A$1:C$190,3,FALSE))</f>
        <v>EEZ</v>
      </c>
      <c r="T3091" s="2" t="str">
        <f>IF(C3091="Total", (VLOOKUP(B3091,Recommended_fish_intake!A$4:D$122,4,FALSE)), "NA")</f>
        <v>NA</v>
      </c>
      <c r="U3091" s="2" t="str">
        <f t="shared" si="350"/>
        <v>NA</v>
      </c>
    </row>
    <row r="3092" spans="1:21" ht="14.25" customHeight="1">
      <c r="A3092" s="2" t="s">
        <v>18</v>
      </c>
      <c r="B3092" s="2">
        <v>1998</v>
      </c>
      <c r="C3092" s="2" t="s">
        <v>41</v>
      </c>
      <c r="D3092" s="3">
        <f t="shared" si="351"/>
        <v>14.39</v>
      </c>
      <c r="E3092" s="3">
        <f t="shared" si="351"/>
        <v>12.620000000000001</v>
      </c>
      <c r="P3092" s="3">
        <f>E3092*(VLOOKUP(B3092,Price_data!A$1:B$190,2,FALSE))</f>
        <v>13.193457822760001</v>
      </c>
      <c r="Q3092" s="3">
        <f>G3092*(VLOOKUP(B3092,Price_data!A$1:B$190,2,FALSE))</f>
        <v>0</v>
      </c>
      <c r="R3092" s="3">
        <f>I3092*(VLOOKUP(B3092,Price_data!A$1:B$190,2,FALSE))</f>
        <v>0</v>
      </c>
      <c r="S3092" s="4" t="str">
        <f>(VLOOKUP(B3092,Price_data!A$1:C$190,3,FALSE))</f>
        <v>EEZ</v>
      </c>
      <c r="T3092" s="2" t="str">
        <f>IF(C3092="Total", (VLOOKUP(B3092,Recommended_fish_intake!A$4:D$122,4,FALSE)), "NA")</f>
        <v>NA</v>
      </c>
      <c r="U3092" s="2" t="str">
        <f t="shared" si="350"/>
        <v>NA</v>
      </c>
    </row>
    <row r="3093" spans="1:21" ht="14.25" customHeight="1">
      <c r="A3093" s="2" t="s">
        <v>18</v>
      </c>
      <c r="B3093" s="2">
        <v>1998</v>
      </c>
      <c r="C3093" s="2" t="s">
        <v>19</v>
      </c>
      <c r="D3093" s="3">
        <f t="shared" si="351"/>
        <v>23.403000000000002</v>
      </c>
      <c r="E3093" s="3">
        <f t="shared" si="351"/>
        <v>14.093</v>
      </c>
      <c r="P3093" s="3">
        <f>E3093*(VLOOKUP(B3093,Price_data!A$1:B$190,2,FALSE))</f>
        <v>14.733391529014</v>
      </c>
      <c r="Q3093" s="3">
        <f>G3093*(VLOOKUP(B3093,Price_data!A$1:B$190,2,FALSE))</f>
        <v>0</v>
      </c>
      <c r="R3093" s="3">
        <f>I3093*(VLOOKUP(B3093,Price_data!A$1:B$190,2,FALSE))</f>
        <v>0</v>
      </c>
      <c r="S3093" s="4" t="str">
        <f>(VLOOKUP(B3093,Price_data!A$1:C$190,3,FALSE))</f>
        <v>EEZ</v>
      </c>
      <c r="T3093" s="2" t="str">
        <f>IF(C3093="Total", (VLOOKUP(B3093,Recommended_fish_intake!A$4:D$122,4,FALSE)), "NA")</f>
        <v>NA</v>
      </c>
      <c r="U3093" s="2" t="str">
        <f t="shared" si="350"/>
        <v>NA</v>
      </c>
    </row>
    <row r="3094" spans="1:21" ht="14.25" customHeight="1">
      <c r="A3094" s="2" t="s">
        <v>18</v>
      </c>
      <c r="B3094" s="2">
        <v>1998</v>
      </c>
      <c r="C3094" s="2" t="s">
        <v>20</v>
      </c>
      <c r="D3094" s="3">
        <f t="shared" si="351"/>
        <v>50.517000000000003</v>
      </c>
      <c r="E3094" s="3">
        <f t="shared" si="351"/>
        <v>19.039000000000001</v>
      </c>
      <c r="P3094" s="3">
        <f>E3094*(VLOOKUP(B3094,Price_data!A$1:B$190,2,FALSE))</f>
        <v>19.904139737522001</v>
      </c>
      <c r="Q3094" s="3">
        <f>G3094*(VLOOKUP(B3094,Price_data!A$1:B$190,2,FALSE))</f>
        <v>0</v>
      </c>
      <c r="R3094" s="3">
        <f>I3094*(VLOOKUP(B3094,Price_data!A$1:B$190,2,FALSE))</f>
        <v>0</v>
      </c>
      <c r="S3094" s="4" t="str">
        <f>(VLOOKUP(B3094,Price_data!A$1:C$190,3,FALSE))</f>
        <v>EEZ</v>
      </c>
      <c r="T3094" s="2" t="str">
        <f>IF(C3094="Total", (VLOOKUP(B3094,Recommended_fish_intake!A$4:D$122,4,FALSE)), "NA")</f>
        <v>NA</v>
      </c>
      <c r="U3094" s="2" t="str">
        <f t="shared" si="350"/>
        <v>NA</v>
      </c>
    </row>
    <row r="3095" spans="1:21" ht="14.25" customHeight="1">
      <c r="A3095" s="2" t="s">
        <v>18</v>
      </c>
      <c r="B3095" s="2">
        <v>1998</v>
      </c>
      <c r="C3095" s="2" t="s">
        <v>42</v>
      </c>
      <c r="D3095" s="3">
        <f t="shared" si="351"/>
        <v>110.962</v>
      </c>
      <c r="E3095" s="3">
        <f t="shared" si="351"/>
        <v>21.134</v>
      </c>
      <c r="P3095" s="3">
        <f>E3095*(VLOOKUP(B3095,Price_data!A$1:B$190,2,FALSE))</f>
        <v>22.094337371331999</v>
      </c>
      <c r="Q3095" s="3">
        <f>G3095*(VLOOKUP(B3095,Price_data!A$1:B$190,2,FALSE))</f>
        <v>0</v>
      </c>
      <c r="R3095" s="3">
        <f>I3095*(VLOOKUP(B3095,Price_data!A$1:B$190,2,FALSE))</f>
        <v>0</v>
      </c>
      <c r="S3095" s="4" t="str">
        <f>(VLOOKUP(B3095,Price_data!A$1:C$190,3,FALSE))</f>
        <v>EEZ</v>
      </c>
      <c r="T3095" s="2" t="str">
        <f>IF(C3095="Total", (VLOOKUP(B3095,Recommended_fish_intake!A$4:D$122,4,FALSE)), "NA")</f>
        <v>NA</v>
      </c>
      <c r="U3095" s="2" t="str">
        <f t="shared" si="350"/>
        <v>NA</v>
      </c>
    </row>
    <row r="3096" spans="1:21" ht="14.25" customHeight="1">
      <c r="A3096" s="2" t="s">
        <v>18</v>
      </c>
      <c r="B3096" s="2">
        <v>1998</v>
      </c>
      <c r="C3096" s="2" t="s">
        <v>36</v>
      </c>
      <c r="D3096" s="3">
        <f t="shared" si="351"/>
        <v>174.322</v>
      </c>
      <c r="E3096" s="3">
        <f t="shared" si="351"/>
        <v>18.748999999999999</v>
      </c>
      <c r="P3096" s="3">
        <f>E3096*(VLOOKUP(B3096,Price_data!A$1:B$190,2,FALSE))</f>
        <v>19.600962022101999</v>
      </c>
      <c r="Q3096" s="3">
        <f>G3096*(VLOOKUP(B3096,Price_data!A$1:B$190,2,FALSE))</f>
        <v>0</v>
      </c>
      <c r="R3096" s="3">
        <f>I3096*(VLOOKUP(B3096,Price_data!A$1:B$190,2,FALSE))</f>
        <v>0</v>
      </c>
      <c r="S3096" s="4" t="str">
        <f>(VLOOKUP(B3096,Price_data!A$1:C$190,3,FALSE))</f>
        <v>EEZ</v>
      </c>
      <c r="T3096" s="2" t="str">
        <f>IF(C3096="Total", (VLOOKUP(B3096,Recommended_fish_intake!A$4:D$122,4,FALSE)), "NA")</f>
        <v>NA</v>
      </c>
      <c r="U3096" s="2" t="str">
        <f t="shared" si="350"/>
        <v>NA</v>
      </c>
    </row>
    <row r="3097" spans="1:21" ht="14.25" customHeight="1">
      <c r="A3097" s="2" t="s">
        <v>18</v>
      </c>
      <c r="B3097" s="2">
        <v>1998</v>
      </c>
      <c r="C3097" s="2" t="s">
        <v>34</v>
      </c>
      <c r="D3097" s="3">
        <f t="shared" si="351"/>
        <v>687.23699999999997</v>
      </c>
      <c r="E3097" s="3">
        <f t="shared" si="351"/>
        <v>258.99399999999997</v>
      </c>
      <c r="P3097" s="3">
        <f>E3097*(VLOOKUP(B3097,Price_data!A$1:B$190,2,FALSE))</f>
        <v>270.76279043961199</v>
      </c>
      <c r="Q3097" s="3">
        <f>G3097*(VLOOKUP(B3097,Price_data!A$1:B$190,2,FALSE))</f>
        <v>0</v>
      </c>
      <c r="R3097" s="3">
        <f>I3097*(VLOOKUP(B3097,Price_data!A$1:B$190,2,FALSE))</f>
        <v>0</v>
      </c>
      <c r="S3097" s="4" t="str">
        <f>(VLOOKUP(B3097,Price_data!A$1:C$190,3,FALSE))</f>
        <v>EEZ</v>
      </c>
      <c r="T3097" s="2" t="str">
        <f>IF(C3097="Total", (VLOOKUP(B3097,Recommended_fish_intake!A$4:D$122,4,FALSE)), "NA")</f>
        <v>NA</v>
      </c>
      <c r="U3097" s="2" t="str">
        <f t="shared" si="350"/>
        <v>NA</v>
      </c>
    </row>
    <row r="3098" spans="1:21" ht="14.25" customHeight="1">
      <c r="A3098" s="2" t="s">
        <v>18</v>
      </c>
      <c r="B3098" s="2">
        <v>1998</v>
      </c>
      <c r="C3098" s="2" t="s">
        <v>35</v>
      </c>
      <c r="D3098" s="3">
        <f t="shared" si="351"/>
        <v>19.076000000000001</v>
      </c>
      <c r="E3098" s="3">
        <f t="shared" si="351"/>
        <v>14.879000000000001</v>
      </c>
      <c r="P3098" s="3">
        <f>E3098*(VLOOKUP(B3098,Price_data!A$1:B$190,2,FALSE))</f>
        <v>15.555107681842001</v>
      </c>
      <c r="Q3098" s="3">
        <f>G3098*(VLOOKUP(B3098,Price_data!A$1:B$190,2,FALSE))</f>
        <v>0</v>
      </c>
      <c r="R3098" s="3">
        <f>I3098*(VLOOKUP(B3098,Price_data!A$1:B$190,2,FALSE))</f>
        <v>0</v>
      </c>
      <c r="S3098" s="4" t="str">
        <f>(VLOOKUP(B3098,Price_data!A$1:C$190,3,FALSE))</f>
        <v>EEZ</v>
      </c>
      <c r="T3098" s="2" t="str">
        <f>IF(C3098="Total", (VLOOKUP(B3098,Recommended_fish_intake!A$4:D$122,4,FALSE)), "NA")</f>
        <v>NA</v>
      </c>
      <c r="U3098" s="2" t="str">
        <f t="shared" si="350"/>
        <v>NA</v>
      </c>
    </row>
    <row r="3099" spans="1:21" ht="14.25" customHeight="1">
      <c r="A3099" s="2" t="s">
        <v>18</v>
      </c>
      <c r="B3099" s="2">
        <v>1998</v>
      </c>
      <c r="C3099" s="2" t="s">
        <v>52</v>
      </c>
      <c r="D3099" s="3">
        <f t="shared" si="351"/>
        <v>1.4500000000000002</v>
      </c>
      <c r="E3099" s="3">
        <f t="shared" si="351"/>
        <v>8.5519999999999996</v>
      </c>
      <c r="P3099" s="3">
        <f>E3099*(VLOOKUP(B3099,Price_data!A$1:B$190,2,FALSE))</f>
        <v>8.940606283695999</v>
      </c>
      <c r="Q3099" s="3">
        <f>G3099*(VLOOKUP(B3099,Price_data!A$1:B$190,2,FALSE))</f>
        <v>0</v>
      </c>
      <c r="R3099" s="3">
        <f>I3099*(VLOOKUP(B3099,Price_data!A$1:B$190,2,FALSE))</f>
        <v>0</v>
      </c>
      <c r="S3099" s="4" t="str">
        <f>(VLOOKUP(B3099,Price_data!A$1:C$190,3,FALSE))</f>
        <v>EEZ</v>
      </c>
      <c r="T3099" s="2" t="str">
        <f>IF(C3099="Total", (VLOOKUP(B3099,Recommended_fish_intake!A$4:D$122,4,FALSE)), "NA")</f>
        <v>NA</v>
      </c>
      <c r="U3099" s="2" t="str">
        <f t="shared" si="350"/>
        <v>NA</v>
      </c>
    </row>
    <row r="3100" spans="1:21" ht="14.25" customHeight="1">
      <c r="A3100" s="2" t="s">
        <v>18</v>
      </c>
      <c r="B3100" s="2">
        <v>1998</v>
      </c>
      <c r="C3100" s="2" t="s">
        <v>30</v>
      </c>
      <c r="D3100" s="3">
        <f t="shared" si="351"/>
        <v>24.786000000000001</v>
      </c>
      <c r="E3100" s="3">
        <f t="shared" si="351"/>
        <v>31.547999999999998</v>
      </c>
      <c r="P3100" s="3">
        <f>E3100*(VLOOKUP(B3100,Price_data!A$1:B$190,2,FALSE))</f>
        <v>32.981553676103999</v>
      </c>
      <c r="Q3100" s="3">
        <f>G3100*(VLOOKUP(B3100,Price_data!A$1:B$190,2,FALSE))</f>
        <v>0</v>
      </c>
      <c r="R3100" s="3">
        <f>I3100*(VLOOKUP(B3100,Price_data!A$1:B$190,2,FALSE))</f>
        <v>0</v>
      </c>
      <c r="S3100" s="4" t="str">
        <f>(VLOOKUP(B3100,Price_data!A$1:C$190,3,FALSE))</f>
        <v>EEZ</v>
      </c>
      <c r="T3100" s="2" t="str">
        <f>IF(C3100="Total", (VLOOKUP(B3100,Recommended_fish_intake!A$4:D$122,4,FALSE)), "NA")</f>
        <v>NA</v>
      </c>
      <c r="U3100" s="2" t="str">
        <f t="shared" si="350"/>
        <v>NA</v>
      </c>
    </row>
    <row r="3101" spans="1:21" ht="14.25" customHeight="1">
      <c r="A3101" s="2" t="s">
        <v>18</v>
      </c>
      <c r="B3101" s="2">
        <v>1998</v>
      </c>
      <c r="C3101" s="2" t="s">
        <v>28</v>
      </c>
      <c r="D3101" s="3">
        <f t="shared" si="351"/>
        <v>13.844000000000001</v>
      </c>
      <c r="E3101" s="3">
        <f t="shared" si="351"/>
        <v>15.193</v>
      </c>
      <c r="P3101" s="3">
        <f>E3101*(VLOOKUP(B3101,Price_data!A$1:B$190,2,FALSE))</f>
        <v>15.883375966813999</v>
      </c>
      <c r="Q3101" s="3">
        <f>G3101*(VLOOKUP(B3101,Price_data!A$1:B$190,2,FALSE))</f>
        <v>0</v>
      </c>
      <c r="R3101" s="3">
        <f>I3101*(VLOOKUP(B3101,Price_data!A$1:B$190,2,FALSE))</f>
        <v>0</v>
      </c>
      <c r="S3101" s="4" t="str">
        <f>(VLOOKUP(B3101,Price_data!A$1:C$190,3,FALSE))</f>
        <v>EEZ</v>
      </c>
      <c r="T3101" s="2" t="str">
        <f>IF(C3101="Total", (VLOOKUP(B3101,Recommended_fish_intake!A$4:D$122,4,FALSE)), "NA")</f>
        <v>NA</v>
      </c>
      <c r="U3101" s="2">
        <f t="shared" si="350"/>
        <v>3.8763200000000007</v>
      </c>
    </row>
    <row r="3102" spans="1:21" ht="14.25" customHeight="1">
      <c r="A3102" s="2" t="s">
        <v>18</v>
      </c>
      <c r="B3102" s="2">
        <v>1998</v>
      </c>
      <c r="C3102" s="2" t="s">
        <v>37</v>
      </c>
      <c r="D3102" s="3">
        <f>D2926+D2974</f>
        <v>74.628</v>
      </c>
      <c r="E3102" s="3">
        <f>E2926+E2974</f>
        <v>11.395000000000001</v>
      </c>
      <c r="P3102" s="3">
        <f>E3102*(VLOOKUP(B3102,Price_data!A$1:B$190,2,FALSE))</f>
        <v>11.912793335210001</v>
      </c>
      <c r="Q3102" s="3">
        <f>G3102*(VLOOKUP(B3102,Price_data!A$1:B$190,2,FALSE))</f>
        <v>0</v>
      </c>
      <c r="R3102" s="3">
        <f>I3102*(VLOOKUP(B3102,Price_data!A$1:B$190,2,FALSE))</f>
        <v>0</v>
      </c>
      <c r="S3102" s="4" t="str">
        <f>(VLOOKUP(B3102,Price_data!A$1:C$190,3,FALSE))</f>
        <v>EEZ</v>
      </c>
      <c r="T3102" s="2" t="str">
        <f>IF(C3102="Total", (VLOOKUP(B3102,Recommended_fish_intake!A$4:D$122,4,FALSE)), "NA")</f>
        <v>NA</v>
      </c>
      <c r="U3102" s="2">
        <f t="shared" si="350"/>
        <v>36.567720000000001</v>
      </c>
    </row>
    <row r="3103" spans="1:21" ht="14.25" customHeight="1">
      <c r="A3103" s="2" t="s">
        <v>90</v>
      </c>
      <c r="B3103" s="2">
        <v>1998</v>
      </c>
      <c r="C3103" s="2" t="s">
        <v>16</v>
      </c>
      <c r="D3103" s="2">
        <v>158.1</v>
      </c>
      <c r="E3103" s="2">
        <v>171.9</v>
      </c>
      <c r="P3103" s="3">
        <f>E3103*(VLOOKUP(B3103,Price_data!A$1:B$190,2,FALSE))</f>
        <v>179.71120441620002</v>
      </c>
      <c r="Q3103" s="3">
        <f>G3103*(VLOOKUP(B3103,Price_data!A$1:B$190,2,FALSE))</f>
        <v>0</v>
      </c>
      <c r="R3103" s="3">
        <f>I3103*(VLOOKUP(B3103,Price_data!A$1:B$190,2,FALSE))</f>
        <v>0</v>
      </c>
      <c r="S3103" s="4" t="str">
        <f>(VLOOKUP(B3103,Price_data!A$1:C$190,3,FALSE))</f>
        <v>EEZ</v>
      </c>
      <c r="T3103" s="2">
        <f>IF(C3103="Total", (VLOOKUP(B3103,Recommended_fish_intake!A$4:D$122,4,FALSE)), "NA")</f>
        <v>771.31081297451999</v>
      </c>
      <c r="U3103" s="2" t="str">
        <f t="shared" si="350"/>
        <v>NA</v>
      </c>
    </row>
    <row r="3104" spans="1:21" ht="14.25" customHeight="1">
      <c r="A3104" s="2" t="s">
        <v>91</v>
      </c>
      <c r="B3104" s="2">
        <v>1998</v>
      </c>
      <c r="C3104" s="2" t="s">
        <v>16</v>
      </c>
      <c r="D3104" s="2">
        <v>0</v>
      </c>
      <c r="E3104" s="2">
        <v>0</v>
      </c>
      <c r="P3104" s="3">
        <f>E3104*(VLOOKUP(B3104,Price_data!A$1:B$190,2,FALSE))</f>
        <v>0</v>
      </c>
      <c r="Q3104" s="3">
        <f>G3104*(VLOOKUP(B3104,Price_data!A$1:B$190,2,FALSE))</f>
        <v>0</v>
      </c>
      <c r="R3104" s="3">
        <f>I3104*(VLOOKUP(B3104,Price_data!A$1:B$190,2,FALSE))</f>
        <v>0</v>
      </c>
      <c r="S3104" s="4" t="str">
        <f>(VLOOKUP(B3104,Price_data!A$1:C$190,3,FALSE))</f>
        <v>EEZ</v>
      </c>
      <c r="T3104" s="2">
        <f>IF(C3104="Total", (VLOOKUP(B3104,Recommended_fish_intake!A$4:D$122,4,FALSE)), "NA")</f>
        <v>771.31081297451999</v>
      </c>
      <c r="U3104" s="2" t="str">
        <f t="shared" si="350"/>
        <v>NA</v>
      </c>
    </row>
    <row r="3105" spans="1:21" ht="14.25" customHeight="1">
      <c r="A3105" s="2" t="s">
        <v>39</v>
      </c>
      <c r="B3105" s="2">
        <v>1998</v>
      </c>
      <c r="C3105" s="2" t="s">
        <v>16</v>
      </c>
      <c r="D3105" s="2">
        <v>369.846</v>
      </c>
      <c r="E3105" s="2">
        <v>291.98399999999998</v>
      </c>
      <c r="P3105" s="3">
        <f>E3105*(VLOOKUP(B3105,Price_data!A$1:B$190,2,FALSE))</f>
        <v>305.25186916963196</v>
      </c>
      <c r="Q3105" s="3">
        <f>G3105*(VLOOKUP(B3105,Price_data!A$1:B$190,2,FALSE))</f>
        <v>0</v>
      </c>
      <c r="R3105" s="3">
        <f>I3105*(VLOOKUP(B3105,Price_data!A$1:B$190,2,FALSE))</f>
        <v>0</v>
      </c>
      <c r="S3105" s="4" t="str">
        <f>(VLOOKUP(B3105,Price_data!A$1:C$190,3,FALSE))</f>
        <v>EEZ</v>
      </c>
      <c r="T3105" s="2">
        <f>IF(C3105="Total", (VLOOKUP(B3105,Recommended_fish_intake!A$4:D$122,4,FALSE)), "NA")</f>
        <v>771.31081297451999</v>
      </c>
      <c r="U3105" s="2" t="str">
        <f t="shared" si="350"/>
        <v>NA</v>
      </c>
    </row>
    <row r="3106" spans="1:21" ht="14.25" customHeight="1">
      <c r="A3106" s="2" t="s">
        <v>40</v>
      </c>
      <c r="B3106" s="2">
        <v>1998</v>
      </c>
      <c r="C3106" s="2" t="s">
        <v>16</v>
      </c>
      <c r="D3106" s="2">
        <v>24.113</v>
      </c>
      <c r="E3106" s="2">
        <v>19.846</v>
      </c>
      <c r="P3106" s="3">
        <f>E3106*(VLOOKUP(B3106,Price_data!A$1:B$190,2,FALSE))</f>
        <v>20.747810138708001</v>
      </c>
      <c r="Q3106" s="3">
        <f>G3106*(VLOOKUP(B3106,Price_data!A$1:B$190,2,FALSE))</f>
        <v>0</v>
      </c>
      <c r="R3106" s="3">
        <f>I3106*(VLOOKUP(B3106,Price_data!A$1:B$190,2,FALSE))</f>
        <v>0</v>
      </c>
      <c r="S3106" s="4" t="str">
        <f>(VLOOKUP(B3106,Price_data!A$1:C$190,3,FALSE))</f>
        <v>EEZ</v>
      </c>
      <c r="T3106" s="2">
        <f>IF(C3106="Total", (VLOOKUP(B3106,Recommended_fish_intake!A$4:D$122,4,FALSE)), "NA")</f>
        <v>771.31081297451999</v>
      </c>
      <c r="U3106" s="2" t="str">
        <f t="shared" si="350"/>
        <v>NA</v>
      </c>
    </row>
    <row r="3107" spans="1:21" ht="14.25" customHeight="1">
      <c r="A3107" s="2" t="s">
        <v>18</v>
      </c>
      <c r="B3107" s="2">
        <v>1998</v>
      </c>
      <c r="C3107" s="2" t="s">
        <v>16</v>
      </c>
      <c r="D3107" s="3">
        <f>D2355+D2115</f>
        <v>861.39400000000001</v>
      </c>
      <c r="E3107" s="3">
        <f>E2355+E2115</f>
        <v>335.06899999999996</v>
      </c>
      <c r="P3107" s="3">
        <f>E3107*(VLOOKUP(B3107,Price_data!A$1:B$190,2,FALSE))</f>
        <v>350.29466871746195</v>
      </c>
      <c r="Q3107" s="3">
        <f>G3107*(VLOOKUP(B3107,Price_data!A$1:B$190,2,FALSE))</f>
        <v>0</v>
      </c>
      <c r="R3107" s="3">
        <f>I3107*(VLOOKUP(B3107,Price_data!A$1:B$190,2,FALSE))</f>
        <v>0</v>
      </c>
      <c r="S3107" s="4" t="str">
        <f>(VLOOKUP(B3107,Price_data!A$1:C$190,3,FALSE))</f>
        <v>EEZ</v>
      </c>
      <c r="T3107" s="2">
        <f>IF(C3107="Total", (VLOOKUP(B3107,Recommended_fish_intake!A$4:D$122,4,FALSE)), "NA")</f>
        <v>771.31081297451999</v>
      </c>
      <c r="U3107" s="2" t="str">
        <f t="shared" si="350"/>
        <v>NA</v>
      </c>
    </row>
    <row r="3108" spans="1:21" ht="14.25" customHeight="1">
      <c r="A3108" s="2" t="s">
        <v>15</v>
      </c>
      <c r="B3108" s="2">
        <v>1998</v>
      </c>
      <c r="C3108" s="2" t="s">
        <v>16</v>
      </c>
      <c r="D3108" s="2">
        <v>552.43200000000002</v>
      </c>
      <c r="E3108" s="2">
        <v>483.96100000000001</v>
      </c>
      <c r="F3108" s="3">
        <f>L3108/1000</f>
        <v>346.108</v>
      </c>
      <c r="G3108" s="3">
        <f>M3108/1000</f>
        <v>743.69500000000005</v>
      </c>
      <c r="H3108" s="3">
        <f>N3108/1000</f>
        <v>532.78800000000001</v>
      </c>
      <c r="I3108" s="3">
        <f>O3108/1000</f>
        <v>1295.6469999999999</v>
      </c>
      <c r="L3108" s="2">
        <v>346108</v>
      </c>
      <c r="M3108" s="2">
        <v>743695</v>
      </c>
      <c r="N3108" s="2">
        <v>532788</v>
      </c>
      <c r="O3108" s="2">
        <v>1295647</v>
      </c>
      <c r="P3108" s="3">
        <f>E3108*(VLOOKUP(B3108,Price_data!A$1:B$190,2,FALSE))</f>
        <v>505.95238045647801</v>
      </c>
      <c r="Q3108" s="3">
        <f>G3108*(VLOOKUP(B3108,Price_data!A$1:B$190,2,FALSE))</f>
        <v>777.48879679061008</v>
      </c>
      <c r="R3108" s="3">
        <f>I3108*(VLOOKUP(B3108,Price_data!A$1:B$190,2,FALSE))</f>
        <v>1354.521715347506</v>
      </c>
      <c r="S3108" s="4" t="str">
        <f>(VLOOKUP(B3108,Price_data!A$1:C$190,3,FALSE))</f>
        <v>EEZ</v>
      </c>
      <c r="T3108" s="2">
        <f>IF(C3108="Total", (VLOOKUP(B3108,Recommended_fish_intake!A$4:D$122,4,FALSE)), "NA")</f>
        <v>771.31081297451999</v>
      </c>
      <c r="U3108" s="2" t="str">
        <f t="shared" si="350"/>
        <v>NA</v>
      </c>
    </row>
    <row r="3109" spans="1:21" ht="14.25" customHeight="1">
      <c r="A3109" s="2" t="s">
        <v>15</v>
      </c>
      <c r="B3109" s="2">
        <v>1998</v>
      </c>
      <c r="C3109" s="2" t="s">
        <v>42</v>
      </c>
      <c r="D3109" s="2">
        <v>136.649</v>
      </c>
      <c r="E3109" s="2">
        <v>31.373999999999999</v>
      </c>
      <c r="F3109" s="2" t="s">
        <v>92</v>
      </c>
      <c r="G3109" s="2" t="s">
        <v>92</v>
      </c>
      <c r="H3109" s="2" t="s">
        <v>92</v>
      </c>
      <c r="I3109" s="2" t="s">
        <v>92</v>
      </c>
      <c r="P3109" s="3">
        <f>E3109*(VLOOKUP(B3109,Price_data!A$1:B$190,2,FALSE))</f>
        <v>32.799647046852002</v>
      </c>
      <c r="Q3109" s="3" t="e">
        <f>G3109*(VLOOKUP(B3109,Price_data!A$1:B$190,2,FALSE))</f>
        <v>#VALUE!</v>
      </c>
      <c r="R3109" s="3" t="e">
        <f>I3109*(VLOOKUP(B3109,Price_data!A$1:B$190,2,FALSE))</f>
        <v>#VALUE!</v>
      </c>
      <c r="S3109" s="4" t="str">
        <f>(VLOOKUP(B3109,Price_data!A$1:C$190,3,FALSE))</f>
        <v>EEZ</v>
      </c>
      <c r="T3109" s="2" t="str">
        <f>IF(C3109="Total", (VLOOKUP(B3109,Recommended_fish_intake!A$4:D$122,4,FALSE)), "NA")</f>
        <v>NA</v>
      </c>
      <c r="U3109" s="2" t="str">
        <f t="shared" si="350"/>
        <v>NA</v>
      </c>
    </row>
    <row r="3110" spans="1:21" ht="14.25" customHeight="1">
      <c r="A3110" s="2" t="s">
        <v>15</v>
      </c>
      <c r="B3110" s="2">
        <v>1998</v>
      </c>
      <c r="C3110" s="2" t="s">
        <v>36</v>
      </c>
      <c r="D3110" s="2">
        <v>27.204000000000001</v>
      </c>
      <c r="E3110" s="2">
        <v>32.29</v>
      </c>
      <c r="F3110" s="3">
        <f>L3110/1000</f>
        <v>14.840999999999999</v>
      </c>
      <c r="G3110" s="3">
        <f>M3110/1000</f>
        <v>30.896999999999998</v>
      </c>
      <c r="H3110" s="3">
        <f>N3110/1000</f>
        <v>1.542</v>
      </c>
      <c r="I3110" s="3">
        <f>O3110/1000</f>
        <v>8.7609999999999992</v>
      </c>
      <c r="L3110" s="2">
        <f>14090+751</f>
        <v>14841</v>
      </c>
      <c r="M3110" s="2">
        <f>25453+5444</f>
        <v>30897</v>
      </c>
      <c r="N3110" s="2">
        <f>349+1193</f>
        <v>1542</v>
      </c>
      <c r="O3110" s="2">
        <f>1503+7258</f>
        <v>8761</v>
      </c>
      <c r="P3110" s="3">
        <f>E3110*(VLOOKUP(B3110,Price_data!A$1:B$190,2,FALSE))</f>
        <v>33.757270451419998</v>
      </c>
      <c r="Q3110" s="3">
        <f>G3110*(VLOOKUP(B3110,Price_data!A$1:B$190,2,FALSE))</f>
        <v>32.300971977006</v>
      </c>
      <c r="R3110" s="3">
        <f>I3110*(VLOOKUP(B3110,Price_data!A$1:B$190,2,FALSE))</f>
        <v>9.1591033268779984</v>
      </c>
      <c r="S3110" s="4" t="str">
        <f>(VLOOKUP(B3110,Price_data!A$1:C$190,3,FALSE))</f>
        <v>EEZ</v>
      </c>
      <c r="T3110" s="2" t="str">
        <f>IF(C3110="Total", (VLOOKUP(B3110,Recommended_fish_intake!A$4:D$122,4,FALSE)), "NA")</f>
        <v>NA</v>
      </c>
      <c r="U3110" s="2" t="str">
        <f t="shared" si="350"/>
        <v>NA</v>
      </c>
    </row>
    <row r="3111" spans="1:21" ht="14.25" customHeight="1">
      <c r="A3111" s="2" t="s">
        <v>15</v>
      </c>
      <c r="B3111" s="2">
        <v>1998</v>
      </c>
      <c r="C3111" s="2" t="s">
        <v>34</v>
      </c>
      <c r="D3111" s="2">
        <v>1.552</v>
      </c>
      <c r="E3111" s="2">
        <v>14.489000000000001</v>
      </c>
      <c r="F3111" s="2" t="s">
        <v>92</v>
      </c>
      <c r="G3111" s="2" t="s">
        <v>92</v>
      </c>
      <c r="H3111" s="2" t="s">
        <v>92</v>
      </c>
      <c r="I3111" s="2" t="s">
        <v>92</v>
      </c>
      <c r="P3111" s="3">
        <f>E3111*(VLOOKUP(B3111,Price_data!A$1:B$190,2,FALSE))</f>
        <v>15.147385926622</v>
      </c>
      <c r="Q3111" s="3" t="e">
        <f>G3111*(VLOOKUP(B3111,Price_data!A$1:B$190,2,FALSE))</f>
        <v>#VALUE!</v>
      </c>
      <c r="R3111" s="3" t="e">
        <f>I3111*(VLOOKUP(B3111,Price_data!A$1:B$190,2,FALSE))</f>
        <v>#VALUE!</v>
      </c>
      <c r="S3111" s="4" t="str">
        <f>(VLOOKUP(B3111,Price_data!A$1:C$190,3,FALSE))</f>
        <v>EEZ</v>
      </c>
      <c r="T3111" s="2" t="str">
        <f>IF(C3111="Total", (VLOOKUP(B3111,Recommended_fish_intake!A$4:D$122,4,FALSE)), "NA")</f>
        <v>NA</v>
      </c>
      <c r="U3111" s="2" t="str">
        <f t="shared" si="350"/>
        <v>NA</v>
      </c>
    </row>
    <row r="3112" spans="1:21" ht="14.25" customHeight="1">
      <c r="A3112" s="2" t="s">
        <v>15</v>
      </c>
      <c r="B3112" s="2">
        <v>1998</v>
      </c>
      <c r="C3112" s="2" t="s">
        <v>35</v>
      </c>
      <c r="D3112" s="2">
        <v>28.635000000000002</v>
      </c>
      <c r="E3112" s="2">
        <v>56.81</v>
      </c>
      <c r="F3112" s="2" t="s">
        <v>92</v>
      </c>
      <c r="G3112" s="2" t="s">
        <v>92</v>
      </c>
      <c r="H3112" s="2" t="s">
        <v>92</v>
      </c>
      <c r="I3112" s="2" t="s">
        <v>92</v>
      </c>
      <c r="P3112" s="3">
        <f>E3112*(VLOOKUP(B3112,Price_data!A$1:B$190,2,FALSE))</f>
        <v>59.39146901038</v>
      </c>
      <c r="Q3112" s="3" t="e">
        <f>G3112*(VLOOKUP(B3112,Price_data!A$1:B$190,2,FALSE))</f>
        <v>#VALUE!</v>
      </c>
      <c r="R3112" s="3" t="e">
        <f>I3112*(VLOOKUP(B3112,Price_data!A$1:B$190,2,FALSE))</f>
        <v>#VALUE!</v>
      </c>
      <c r="S3112" s="4" t="str">
        <f>(VLOOKUP(B3112,Price_data!A$1:C$190,3,FALSE))</f>
        <v>EEZ</v>
      </c>
      <c r="T3112" s="2" t="str">
        <f>IF(C3112="Total", (VLOOKUP(B3112,Recommended_fish_intake!A$4:D$122,4,FALSE)), "NA")</f>
        <v>NA</v>
      </c>
      <c r="U3112" s="2" t="str">
        <f t="shared" si="350"/>
        <v>NA</v>
      </c>
    </row>
    <row r="3113" spans="1:21" ht="14.25" customHeight="1">
      <c r="A3113" s="2" t="s">
        <v>15</v>
      </c>
      <c r="B3113" s="2">
        <v>1998</v>
      </c>
      <c r="C3113" s="2" t="s">
        <v>52</v>
      </c>
      <c r="D3113" s="2">
        <v>28.167999999999999</v>
      </c>
      <c r="E3113" s="2">
        <v>33.042999999999999</v>
      </c>
      <c r="F3113" s="2" t="s">
        <v>92</v>
      </c>
      <c r="G3113" s="2" t="s">
        <v>92</v>
      </c>
      <c r="H3113" s="2" t="s">
        <v>92</v>
      </c>
      <c r="I3113" s="2" t="s">
        <v>92</v>
      </c>
      <c r="P3113" s="3">
        <f>E3113*(VLOOKUP(B3113,Price_data!A$1:B$190,2,FALSE))</f>
        <v>34.544487071113998</v>
      </c>
      <c r="Q3113" s="3" t="e">
        <f>G3113*(VLOOKUP(B3113,Price_data!A$1:B$190,2,FALSE))</f>
        <v>#VALUE!</v>
      </c>
      <c r="R3113" s="3" t="e">
        <f>I3113*(VLOOKUP(B3113,Price_data!A$1:B$190,2,FALSE))</f>
        <v>#VALUE!</v>
      </c>
      <c r="S3113" s="4" t="str">
        <f>(VLOOKUP(B3113,Price_data!A$1:C$190,3,FALSE))</f>
        <v>EEZ</v>
      </c>
      <c r="T3113" s="2" t="str">
        <f>IF(C3113="Total", (VLOOKUP(B3113,Recommended_fish_intake!A$4:D$122,4,FALSE)), "NA")</f>
        <v>NA</v>
      </c>
      <c r="U3113" s="2" t="str">
        <f t="shared" si="350"/>
        <v>NA</v>
      </c>
    </row>
    <row r="3114" spans="1:21" ht="14.25" customHeight="1">
      <c r="A3114" s="2" t="s">
        <v>15</v>
      </c>
      <c r="B3114" s="2">
        <v>1998</v>
      </c>
      <c r="C3114" s="2" t="s">
        <v>30</v>
      </c>
      <c r="D3114" s="2">
        <v>2.16</v>
      </c>
      <c r="E3114" s="2">
        <v>2.5939999999999999</v>
      </c>
      <c r="F3114" s="3">
        <f t="shared" ref="F3114:I3116" si="352">L3114/1000</f>
        <v>24.059000000000001</v>
      </c>
      <c r="G3114" s="3">
        <f t="shared" si="352"/>
        <v>89.21</v>
      </c>
      <c r="H3114" s="3">
        <f t="shared" si="352"/>
        <v>72.930999999999997</v>
      </c>
      <c r="I3114" s="3">
        <f t="shared" si="352"/>
        <v>306.90800000000002</v>
      </c>
      <c r="L3114" s="2">
        <f>2651+17231+4177</f>
        <v>24059</v>
      </c>
      <c r="M3114" s="2">
        <f>9122+66666+13422</f>
        <v>89210</v>
      </c>
      <c r="N3114" s="2">
        <f>12450+24740+35741</f>
        <v>72931</v>
      </c>
      <c r="O3114" s="2">
        <f>19511+130020+157377</f>
        <v>306908</v>
      </c>
      <c r="P3114" s="3">
        <f>E3114*(VLOOKUP(B3114,Price_data!A$1:B$190,2,FALSE))</f>
        <v>2.7118723924119998</v>
      </c>
      <c r="Q3114" s="3">
        <f>G3114*(VLOOKUP(B3114,Price_data!A$1:B$190,2,FALSE))</f>
        <v>93.263737905579987</v>
      </c>
      <c r="R3114" s="3">
        <f>I3114*(VLOOKUP(B3114,Price_data!A$1:B$190,2,FALSE))</f>
        <v>320.854021669384</v>
      </c>
      <c r="S3114" s="4" t="str">
        <f>(VLOOKUP(B3114,Price_data!A$1:C$190,3,FALSE))</f>
        <v>EEZ</v>
      </c>
      <c r="T3114" s="2" t="str">
        <f>IF(C3114="Total", (VLOOKUP(B3114,Recommended_fish_intake!A$4:D$122,4,FALSE)), "NA")</f>
        <v>NA</v>
      </c>
      <c r="U3114" s="2" t="str">
        <f t="shared" si="350"/>
        <v>NA</v>
      </c>
    </row>
    <row r="3115" spans="1:21" ht="14.25" customHeight="1">
      <c r="A3115" s="2" t="s">
        <v>15</v>
      </c>
      <c r="B3115" s="2">
        <v>1998</v>
      </c>
      <c r="C3115" s="2" t="s">
        <v>28</v>
      </c>
      <c r="D3115" s="2">
        <v>124.212</v>
      </c>
      <c r="E3115" s="2">
        <v>160.708</v>
      </c>
      <c r="F3115" s="3">
        <f t="shared" si="352"/>
        <v>79.453999999999994</v>
      </c>
      <c r="G3115" s="3">
        <f t="shared" si="352"/>
        <v>258.99799999999999</v>
      </c>
      <c r="H3115" s="3">
        <f t="shared" si="352"/>
        <v>89.194999999999993</v>
      </c>
      <c r="I3115" s="3">
        <f t="shared" si="352"/>
        <v>358.53300000000002</v>
      </c>
      <c r="L3115" s="2">
        <v>79454</v>
      </c>
      <c r="M3115" s="2">
        <v>258998</v>
      </c>
      <c r="N3115" s="2">
        <v>89195</v>
      </c>
      <c r="O3115" s="2">
        <v>358533</v>
      </c>
      <c r="P3115" s="3">
        <f>E3115*(VLOOKUP(B3115,Price_data!A$1:B$190,2,FALSE))</f>
        <v>168.01063548178399</v>
      </c>
      <c r="Q3115" s="3">
        <f>G3115*(VLOOKUP(B3115,Price_data!A$1:B$190,2,FALSE))</f>
        <v>270.766972201204</v>
      </c>
      <c r="R3115" s="3">
        <f>I3115*(VLOOKUP(B3115,Price_data!A$1:B$190,2,FALSE))</f>
        <v>374.82488221613403</v>
      </c>
      <c r="S3115" s="4" t="str">
        <f>(VLOOKUP(B3115,Price_data!A$1:C$190,3,FALSE))</f>
        <v>EEZ</v>
      </c>
      <c r="T3115" s="2" t="str">
        <f>IF(C3115="Total", (VLOOKUP(B3115,Recommended_fish_intake!A$4:D$122,4,FALSE)), "NA")</f>
        <v>NA</v>
      </c>
      <c r="U3115" s="2">
        <f t="shared" si="350"/>
        <v>34.779360000000004</v>
      </c>
    </row>
    <row r="3116" spans="1:21" ht="14.25" customHeight="1">
      <c r="A3116" s="2" t="s">
        <v>15</v>
      </c>
      <c r="B3116" s="2">
        <v>1998</v>
      </c>
      <c r="C3116" s="2" t="s">
        <v>37</v>
      </c>
      <c r="D3116" s="2">
        <f>D2904+D3156</f>
        <v>144.01499999999999</v>
      </c>
      <c r="E3116" s="2">
        <f>E2904+E3156</f>
        <v>107.35900000000001</v>
      </c>
      <c r="F3116" s="3">
        <f t="shared" si="352"/>
        <v>266.65300000000002</v>
      </c>
      <c r="G3116" s="3">
        <f t="shared" si="352"/>
        <v>484.697</v>
      </c>
      <c r="H3116" s="3">
        <f t="shared" si="352"/>
        <v>443.59300000000002</v>
      </c>
      <c r="I3116" s="3">
        <f t="shared" si="352"/>
        <v>937.11400000000003</v>
      </c>
      <c r="L3116" s="2">
        <v>266653</v>
      </c>
      <c r="M3116" s="2">
        <v>484697</v>
      </c>
      <c r="N3116" s="2">
        <f>158403+3506+16991+122214+62261+6433+72161+1624</f>
        <v>443593</v>
      </c>
      <c r="O3116" s="2">
        <f>349113+8238+16658+332988+82689+22447+108487+16494</f>
        <v>937114</v>
      </c>
      <c r="P3116" s="3">
        <f>E3116*(VLOOKUP(B3116,Price_data!A$1:B$190,2,FALSE))</f>
        <v>112.237435688882</v>
      </c>
      <c r="Q3116" s="3">
        <f>G3116*(VLOOKUP(B3116,Price_data!A$1:B$190,2,FALSE))</f>
        <v>506.72182458940603</v>
      </c>
      <c r="R3116" s="3">
        <f>I3116*(VLOOKUP(B3116,Price_data!A$1:B$190,2,FALSE))</f>
        <v>979.69683313137205</v>
      </c>
      <c r="S3116" s="4" t="str">
        <f>(VLOOKUP(B3116,Price_data!A$1:C$190,3,FALSE))</f>
        <v>EEZ</v>
      </c>
      <c r="T3116" s="2" t="str">
        <f>IF(C3116="Total", (VLOOKUP(B3116,Recommended_fish_intake!A$4:D$122,4,FALSE)), "NA")</f>
        <v>NA</v>
      </c>
      <c r="U3116" s="2">
        <f t="shared" si="350"/>
        <v>70.56734999999999</v>
      </c>
    </row>
    <row r="3117" spans="1:21" ht="14.25" customHeight="1">
      <c r="A3117" s="2" t="s">
        <v>15</v>
      </c>
      <c r="B3117" s="2">
        <v>1998</v>
      </c>
      <c r="C3117" s="2" t="s">
        <v>41</v>
      </c>
      <c r="D3117" s="2">
        <v>291.572</v>
      </c>
      <c r="E3117" s="2">
        <v>291.87900000000002</v>
      </c>
      <c r="F3117" s="2" t="s">
        <v>92</v>
      </c>
      <c r="G3117" s="2" t="s">
        <v>92</v>
      </c>
      <c r="H3117" s="2" t="s">
        <v>92</v>
      </c>
      <c r="I3117" s="2" t="s">
        <v>92</v>
      </c>
      <c r="P3117" s="3">
        <f>E3117*(VLOOKUP(B3117,Price_data!A$1:B$190,2,FALSE))</f>
        <v>305.14209792784203</v>
      </c>
      <c r="Q3117" s="3" t="e">
        <f>G3117*(VLOOKUP(B3117,Price_data!A$1:B$190,2,FALSE))</f>
        <v>#VALUE!</v>
      </c>
      <c r="R3117" s="3" t="e">
        <f>I3117*(VLOOKUP(B3117,Price_data!A$1:B$190,2,FALSE))</f>
        <v>#VALUE!</v>
      </c>
      <c r="S3117" s="4" t="str">
        <f>(VLOOKUP(B3117,Price_data!A$1:C$190,3,FALSE))</f>
        <v>EEZ</v>
      </c>
      <c r="T3117" s="2" t="str">
        <f>IF(C3117="Total", (VLOOKUP(B3117,Recommended_fish_intake!A$4:D$122,4,FALSE)), "NA")</f>
        <v>NA</v>
      </c>
      <c r="U3117" s="2" t="str">
        <f t="shared" si="350"/>
        <v>NA</v>
      </c>
    </row>
    <row r="3118" spans="1:21" ht="14.25" customHeight="1">
      <c r="A3118" s="2" t="s">
        <v>15</v>
      </c>
      <c r="B3118" s="2">
        <v>1998</v>
      </c>
      <c r="C3118" s="2" t="s">
        <v>22</v>
      </c>
      <c r="D3118" s="2">
        <v>72.727999999999994</v>
      </c>
      <c r="E3118" s="2">
        <v>79.45</v>
      </c>
      <c r="F3118" s="3">
        <f t="shared" ref="F3118:I3123" si="353">L3118/1000</f>
        <v>9.6790000000000003</v>
      </c>
      <c r="G3118" s="3">
        <f t="shared" si="353"/>
        <v>19.576000000000001</v>
      </c>
      <c r="H3118" s="3">
        <f t="shared" si="353"/>
        <v>109.628</v>
      </c>
      <c r="I3118" s="3">
        <f t="shared" si="353"/>
        <v>258.58800000000002</v>
      </c>
      <c r="L3118" s="2">
        <f>1520+873+2793+3116+517+436+424</f>
        <v>9679</v>
      </c>
      <c r="M3118" s="2">
        <f>2923+2836+3803+7513+431+921+1149</f>
        <v>19576</v>
      </c>
      <c r="N3118" s="2">
        <f>15592+2161+29026+58021+3688+531+609</f>
        <v>109628</v>
      </c>
      <c r="O3118" s="2">
        <f>22274+7478+38154+183440+3992+1716+1534</f>
        <v>258588</v>
      </c>
      <c r="P3118" s="3">
        <f>E3118*(VLOOKUP(B3118,Price_data!A$1:B$190,2,FALSE))</f>
        <v>83.060239621099996</v>
      </c>
      <c r="Q3118" s="3">
        <f>G3118*(VLOOKUP(B3118,Price_data!A$1:B$190,2,FALSE))</f>
        <v>20.465541231248</v>
      </c>
      <c r="R3118" s="3">
        <f>I3118*(VLOOKUP(B3118,Price_data!A$1:B$190,2,FALSE))</f>
        <v>270.33834163802402</v>
      </c>
      <c r="S3118" s="4" t="str">
        <f>(VLOOKUP(B3118,Price_data!A$1:C$190,3,FALSE))</f>
        <v>EEZ</v>
      </c>
      <c r="T3118" s="2" t="str">
        <f>IF(C3118="Total", (VLOOKUP(B3118,Recommended_fish_intake!A$4:D$122,4,FALSE)), "NA")</f>
        <v>NA</v>
      </c>
      <c r="U3118" s="2" t="str">
        <f t="shared" si="350"/>
        <v>NA</v>
      </c>
    </row>
    <row r="3119" spans="1:21" ht="14.25" customHeight="1">
      <c r="A3119" s="2" t="s">
        <v>15</v>
      </c>
      <c r="B3119" s="2">
        <v>1998</v>
      </c>
      <c r="C3119" s="2" t="s">
        <v>23</v>
      </c>
      <c r="D3119" s="2">
        <v>82.834000000000003</v>
      </c>
      <c r="E3119" s="2">
        <v>57.131</v>
      </c>
      <c r="F3119" s="4">
        <f t="shared" si="353"/>
        <v>1.744</v>
      </c>
      <c r="G3119" s="4">
        <f t="shared" si="353"/>
        <v>4.8849999999999998</v>
      </c>
      <c r="H3119" s="4">
        <f t="shared" si="353"/>
        <v>45.716999999999999</v>
      </c>
      <c r="I3119" s="4">
        <f t="shared" si="353"/>
        <v>87.073999999999998</v>
      </c>
      <c r="L3119" s="2">
        <f>469+319+817+139</f>
        <v>1744</v>
      </c>
      <c r="M3119" s="2">
        <f>1235+983+2401+266</f>
        <v>4885</v>
      </c>
      <c r="N3119" s="2">
        <f>21702+7067+16373+575</f>
        <v>45717</v>
      </c>
      <c r="O3119" s="2">
        <f>25918+10101+50310+745</f>
        <v>87074</v>
      </c>
      <c r="P3119" s="3">
        <f>E3119*(VLOOKUP(B3119,Price_data!A$1:B$190,2,FALSE))</f>
        <v>59.727055378137997</v>
      </c>
      <c r="Q3119" s="3">
        <f>G3119*(VLOOKUP(B3119,Price_data!A$1:B$190,2,FALSE))</f>
        <v>5.1069763442299996</v>
      </c>
      <c r="R3119" s="3">
        <f>I3119*(VLOOKUP(B3119,Price_data!A$1:B$190,2,FALSE))</f>
        <v>91.030677215452002</v>
      </c>
      <c r="S3119" s="4" t="str">
        <f>(VLOOKUP(B3119,Price_data!A$1:C$190,3,FALSE))</f>
        <v>EEZ</v>
      </c>
      <c r="T3119" s="2" t="str">
        <f>IF(C3119="Total", (VLOOKUP(B3119,Recommended_fish_intake!A$4:D$122,4,FALSE)), "NA")</f>
        <v>NA</v>
      </c>
      <c r="U3119" s="2" t="str">
        <f t="shared" si="350"/>
        <v>NA</v>
      </c>
    </row>
    <row r="3120" spans="1:21" ht="14.25" customHeight="1">
      <c r="A3120" s="2" t="s">
        <v>15</v>
      </c>
      <c r="B3120" s="2">
        <v>1998</v>
      </c>
      <c r="C3120" s="2" t="s">
        <v>58</v>
      </c>
      <c r="D3120" s="2">
        <v>18.504000000000001</v>
      </c>
      <c r="E3120" s="2">
        <v>38.54</v>
      </c>
      <c r="F3120" s="4">
        <f t="shared" si="353"/>
        <v>3.77</v>
      </c>
      <c r="G3120" s="4">
        <f t="shared" si="353"/>
        <v>18.474</v>
      </c>
      <c r="H3120" s="4">
        <f t="shared" si="353"/>
        <v>1.3009999999999999</v>
      </c>
      <c r="I3120" s="4">
        <f t="shared" si="353"/>
        <v>4.24</v>
      </c>
      <c r="L3120" s="2">
        <f>3534+83+153</f>
        <v>3770</v>
      </c>
      <c r="M3120" s="2">
        <f>17938+137+399</f>
        <v>18474</v>
      </c>
      <c r="N3120" s="2">
        <f>1196+38+67</f>
        <v>1301</v>
      </c>
      <c r="O3120" s="2">
        <f>3871+105+264</f>
        <v>4240</v>
      </c>
      <c r="P3120" s="3">
        <f>E3120*(VLOOKUP(B3120,Price_data!A$1:B$190,2,FALSE))</f>
        <v>40.291272938920002</v>
      </c>
      <c r="Q3120" s="3">
        <f>G3120*(VLOOKUP(B3120,Price_data!A$1:B$190,2,FALSE))</f>
        <v>19.313465912651999</v>
      </c>
      <c r="R3120" s="3">
        <f>I3120*(VLOOKUP(B3120,Price_data!A$1:B$190,2,FALSE))</f>
        <v>4.4326672875200002</v>
      </c>
      <c r="S3120" s="4" t="str">
        <f>(VLOOKUP(B3120,Price_data!A$1:C$190,3,FALSE))</f>
        <v>EEZ</v>
      </c>
      <c r="T3120" s="2" t="str">
        <f>IF(C3120="Total", (VLOOKUP(B3120,Recommended_fish_intake!A$4:D$122,4,FALSE)), "NA")</f>
        <v>NA</v>
      </c>
      <c r="U3120" s="2" t="str">
        <f t="shared" si="350"/>
        <v>NA</v>
      </c>
    </row>
    <row r="3121" spans="1:21" ht="14.25" customHeight="1">
      <c r="A3121" s="2" t="s">
        <v>15</v>
      </c>
      <c r="B3121" s="2">
        <v>1998</v>
      </c>
      <c r="C3121" s="2" t="s">
        <v>24</v>
      </c>
      <c r="D3121" s="2">
        <v>26.658999999999999</v>
      </c>
      <c r="E3121" s="2">
        <v>13.38</v>
      </c>
      <c r="F3121" s="4">
        <f t="shared" si="353"/>
        <v>4.069</v>
      </c>
      <c r="G3121" s="4">
        <f t="shared" si="353"/>
        <v>6.298</v>
      </c>
      <c r="H3121" s="4">
        <f t="shared" si="353"/>
        <v>1.1759999999999999</v>
      </c>
      <c r="I3121" s="4">
        <f t="shared" si="353"/>
        <v>1.4810000000000001</v>
      </c>
      <c r="L3121" s="2">
        <f>2852+4+1213</f>
        <v>4069</v>
      </c>
      <c r="M3121" s="2">
        <f>3043+15+3240</f>
        <v>6298</v>
      </c>
      <c r="N3121" s="2">
        <f>671+5+500</f>
        <v>1176</v>
      </c>
      <c r="O3121" s="2">
        <f>505+5+971</f>
        <v>1481</v>
      </c>
      <c r="P3121" s="3">
        <f>E3121*(VLOOKUP(B3121,Price_data!A$1:B$190,2,FALSE))</f>
        <v>13.987992525240001</v>
      </c>
      <c r="Q3121" s="3">
        <f>G3121*(VLOOKUP(B3121,Price_data!A$1:B$190,2,FALSE))</f>
        <v>6.5841836266040001</v>
      </c>
      <c r="R3121" s="3">
        <f>I3121*(VLOOKUP(B3121,Price_data!A$1:B$190,2,FALSE))</f>
        <v>1.5482972294380002</v>
      </c>
      <c r="S3121" s="4" t="str">
        <f>(VLOOKUP(B3121,Price_data!A$1:C$190,3,FALSE))</f>
        <v>EEZ</v>
      </c>
      <c r="T3121" s="2" t="str">
        <f>IF(C3121="Total", (VLOOKUP(B3121,Recommended_fish_intake!A$4:D$122,4,FALSE)), "NA")</f>
        <v>NA</v>
      </c>
      <c r="U3121" s="2" t="str">
        <f t="shared" si="350"/>
        <v>NA</v>
      </c>
    </row>
    <row r="3122" spans="1:21" ht="14.25" customHeight="1">
      <c r="A3122" s="2" t="s">
        <v>15</v>
      </c>
      <c r="B3122" s="2">
        <v>1998</v>
      </c>
      <c r="C3122" s="2" t="s">
        <v>19</v>
      </c>
      <c r="D3122" s="2">
        <v>39.529000000000003</v>
      </c>
      <c r="E3122" s="2">
        <v>4.8970000000000002</v>
      </c>
      <c r="F3122" s="4">
        <f t="shared" si="353"/>
        <v>26.035</v>
      </c>
      <c r="G3122" s="4">
        <f t="shared" si="353"/>
        <v>11.824</v>
      </c>
      <c r="H3122" s="4">
        <f t="shared" si="353"/>
        <v>7.319</v>
      </c>
      <c r="I3122" s="4">
        <f t="shared" si="353"/>
        <v>5.9089999999999998</v>
      </c>
      <c r="L3122" s="2">
        <f>6699+3341+8473+2334+545+2503+2140</f>
        <v>26035</v>
      </c>
      <c r="M3122" s="2">
        <f>2358+1179+3030+1029+200+2127+1901</f>
        <v>11824</v>
      </c>
      <c r="N3122" s="2">
        <f>1539+46+2374+436+740+451+1733</f>
        <v>7319</v>
      </c>
      <c r="O3122" s="2">
        <f>383+25+1119+241+278+258+3605</f>
        <v>5909</v>
      </c>
      <c r="P3122" s="3">
        <f>E3122*(VLOOKUP(B3122,Price_data!A$1:B$190,2,FALSE))</f>
        <v>5.1195216290059999</v>
      </c>
      <c r="Q3122" s="3">
        <f>G3122*(VLOOKUP(B3122,Price_data!A$1:B$190,2,FALSE))</f>
        <v>12.361287265951999</v>
      </c>
      <c r="R3122" s="3">
        <f>I3122*(VLOOKUP(B3122,Price_data!A$1:B$190,2,FALSE))</f>
        <v>6.1775073117819996</v>
      </c>
      <c r="S3122" s="4" t="str">
        <f>(VLOOKUP(B3122,Price_data!A$1:C$190,3,FALSE))</f>
        <v>EEZ</v>
      </c>
      <c r="T3122" s="2" t="str">
        <f>IF(C3122="Total", (VLOOKUP(B3122,Recommended_fish_intake!A$4:D$122,4,FALSE)), "NA")</f>
        <v>NA</v>
      </c>
      <c r="U3122" s="2" t="str">
        <f t="shared" si="350"/>
        <v>NA</v>
      </c>
    </row>
    <row r="3123" spans="1:21" ht="14.25" customHeight="1">
      <c r="A3123" s="2" t="s">
        <v>15</v>
      </c>
      <c r="B3123" s="2">
        <v>1998</v>
      </c>
      <c r="C3123" s="2" t="s">
        <v>20</v>
      </c>
      <c r="D3123" s="2">
        <v>54.430999999999997</v>
      </c>
      <c r="E3123" s="2">
        <v>21.754000000000001</v>
      </c>
      <c r="F3123" s="4">
        <f t="shared" si="353"/>
        <v>68.507999999999996</v>
      </c>
      <c r="G3123" s="4">
        <f t="shared" si="353"/>
        <v>39.475999999999999</v>
      </c>
      <c r="H3123" s="4">
        <f t="shared" si="353"/>
        <v>9.1329999999999991</v>
      </c>
      <c r="I3123" s="4">
        <f t="shared" si="353"/>
        <v>11.590999999999999</v>
      </c>
      <c r="L3123" s="2">
        <f>16614+45872+4173+441+1408</f>
        <v>68508</v>
      </c>
      <c r="M3123" s="2">
        <f>7117+24665+3476+1208+3010</f>
        <v>39476</v>
      </c>
      <c r="N3123" s="2">
        <f>4672+903+84+8+3466</f>
        <v>9133</v>
      </c>
      <c r="O3123" s="2">
        <f>1996+692+115+14+8774</f>
        <v>11591</v>
      </c>
      <c r="P3123" s="3">
        <f>E3123*(VLOOKUP(B3123,Price_data!A$1:B$190,2,FALSE))</f>
        <v>22.742510418091999</v>
      </c>
      <c r="Q3123" s="3">
        <f>G3123*(VLOOKUP(B3123,Price_data!A$1:B$190,2,FALSE))</f>
        <v>41.269805151447997</v>
      </c>
      <c r="R3123" s="3">
        <f>I3123*(VLOOKUP(B3123,Price_data!A$1:B$190,2,FALSE))</f>
        <v>12.117699653217999</v>
      </c>
      <c r="S3123" s="4" t="str">
        <f>(VLOOKUP(B3123,Price_data!A$1:C$190,3,FALSE))</f>
        <v>EEZ</v>
      </c>
      <c r="T3123" s="2" t="str">
        <f>IF(C3123="Total", (VLOOKUP(B3123,Recommended_fish_intake!A$4:D$122,4,FALSE)), "NA")</f>
        <v>NA</v>
      </c>
      <c r="U3123" s="2" t="str">
        <f t="shared" si="350"/>
        <v>NA</v>
      </c>
    </row>
    <row r="3124" spans="1:21" ht="14.25" customHeight="1">
      <c r="A3124" s="2" t="s">
        <v>15</v>
      </c>
      <c r="B3124" s="2">
        <v>1998</v>
      </c>
      <c r="C3124" s="2" t="s">
        <v>21</v>
      </c>
      <c r="D3124" s="3">
        <v>5</v>
      </c>
      <c r="E3124" s="3">
        <v>1.1000000000000001</v>
      </c>
      <c r="F3124" s="2" t="s">
        <v>92</v>
      </c>
      <c r="G3124" s="2" t="s">
        <v>92</v>
      </c>
      <c r="H3124" s="2" t="s">
        <v>92</v>
      </c>
      <c r="I3124" s="2" t="s">
        <v>92</v>
      </c>
      <c r="P3124" s="3">
        <f>E3124*(VLOOKUP(B3124,Price_data!A$1:B$190,2,FALSE))</f>
        <v>1.1499844378000001</v>
      </c>
      <c r="Q3124" s="3" t="e">
        <f>G3124*(VLOOKUP(B3124,Price_data!A$1:B$190,2,FALSE))</f>
        <v>#VALUE!</v>
      </c>
      <c r="R3124" s="3" t="e">
        <f>I3124*(VLOOKUP(B3124,Price_data!A$1:B$190,2,FALSE))</f>
        <v>#VALUE!</v>
      </c>
      <c r="S3124" s="4" t="str">
        <f>(VLOOKUP(B3124,Price_data!A$1:C$190,3,FALSE))</f>
        <v>EEZ</v>
      </c>
      <c r="T3124" s="2" t="str">
        <f>IF(C3124="Total", (VLOOKUP(B3124,Recommended_fish_intake!A$4:D$122,4,FALSE)), "NA")</f>
        <v>NA</v>
      </c>
      <c r="U3124" s="2" t="str">
        <f t="shared" si="350"/>
        <v>NA</v>
      </c>
    </row>
    <row r="3125" spans="1:21" ht="14.25" customHeight="1">
      <c r="A3125" s="2" t="s">
        <v>15</v>
      </c>
      <c r="B3125" s="2">
        <v>1998</v>
      </c>
      <c r="C3125" s="2" t="s">
        <v>25</v>
      </c>
      <c r="D3125" s="2">
        <v>11.5</v>
      </c>
      <c r="E3125" s="2">
        <v>13.2</v>
      </c>
      <c r="F3125" s="3">
        <f t="shared" ref="F3125:I3127" si="354">IF(L3125="", NA(), L3125/1000)</f>
        <v>4.0519999999999996</v>
      </c>
      <c r="G3125" s="3">
        <f t="shared" si="354"/>
        <v>6.444</v>
      </c>
      <c r="H3125" s="3">
        <f t="shared" si="354"/>
        <v>6.8959999999999999</v>
      </c>
      <c r="I3125" s="3">
        <f t="shared" si="354"/>
        <v>17.048999999999999</v>
      </c>
      <c r="L3125" s="2">
        <f>3123+0+929</f>
        <v>4052</v>
      </c>
      <c r="M3125" s="2">
        <f>3339+0+3105</f>
        <v>6444</v>
      </c>
      <c r="N3125" s="2">
        <f>3785+335+2776</f>
        <v>6896</v>
      </c>
      <c r="O3125" s="2">
        <f>5479+690+10880</f>
        <v>17049</v>
      </c>
      <c r="P3125" s="3">
        <f>E3125*(VLOOKUP(B3125,Price_data!A$1:B$190,2,FALSE))</f>
        <v>13.7998132536</v>
      </c>
      <c r="Q3125" s="3">
        <f>G3125*(VLOOKUP(B3125,Price_data!A$1:B$190,2,FALSE))</f>
        <v>6.7368179247119997</v>
      </c>
      <c r="R3125" s="3">
        <f>I3125*(VLOOKUP(B3125,Price_data!A$1:B$190,2,FALSE))</f>
        <v>17.823713345502</v>
      </c>
      <c r="S3125" s="4" t="str">
        <f>(VLOOKUP(B3125,Price_data!A$1:C$190,3,FALSE))</f>
        <v>EEZ</v>
      </c>
      <c r="T3125" s="2" t="str">
        <f>IF(C3125="Total", (VLOOKUP(B3125,Recommended_fish_intake!A$4:D$122,4,FALSE)), "NA")</f>
        <v>NA</v>
      </c>
      <c r="U3125" s="2" t="str">
        <f t="shared" si="350"/>
        <v>NA</v>
      </c>
    </row>
    <row r="3126" spans="1:21" ht="14.25" customHeight="1">
      <c r="A3126" s="2" t="s">
        <v>15</v>
      </c>
      <c r="B3126" s="2">
        <v>1998</v>
      </c>
      <c r="C3126" s="2" t="s">
        <v>43</v>
      </c>
      <c r="D3126" s="3" t="e">
        <v>#N/A</v>
      </c>
      <c r="E3126" s="3" t="e">
        <v>#N/A</v>
      </c>
      <c r="F3126" s="3">
        <f t="shared" si="354"/>
        <v>16.503</v>
      </c>
      <c r="G3126" s="3">
        <f t="shared" si="354"/>
        <v>41.073999999999998</v>
      </c>
      <c r="H3126" s="3">
        <f t="shared" si="354"/>
        <v>85.941000000000003</v>
      </c>
      <c r="I3126" s="3">
        <f t="shared" si="354"/>
        <v>164.94499999999999</v>
      </c>
      <c r="L3126" s="2">
        <f>22+7+16474</f>
        <v>16503</v>
      </c>
      <c r="M3126" s="2">
        <f>100+16+40958</f>
        <v>41074</v>
      </c>
      <c r="N3126" s="2">
        <f>400+811+84730</f>
        <v>85941</v>
      </c>
      <c r="O3126" s="2">
        <f>1575+1264+162106</f>
        <v>164945</v>
      </c>
      <c r="P3126" s="3" t="e">
        <f>E3126*(VLOOKUP(B3126,Price_data!A$1:B$190,2,FALSE))</f>
        <v>#N/A</v>
      </c>
      <c r="Q3126" s="3">
        <f>G3126*(VLOOKUP(B3126,Price_data!A$1:B$190,2,FALSE))</f>
        <v>42.940418907451999</v>
      </c>
      <c r="R3126" s="3">
        <f>I3126*(VLOOKUP(B3126,Price_data!A$1:B$190,2,FALSE))</f>
        <v>172.44016644811001</v>
      </c>
      <c r="S3126" s="4" t="str">
        <f>(VLOOKUP(B3126,Price_data!A$1:C$190,3,FALSE))</f>
        <v>EEZ</v>
      </c>
      <c r="T3126" s="2" t="str">
        <f>IF(C3126="Total", (VLOOKUP(B3126,Recommended_fish_intake!A$4:D$122,4,FALSE)), "NA")</f>
        <v>NA</v>
      </c>
      <c r="U3126" s="2" t="str">
        <f t="shared" si="350"/>
        <v>NA</v>
      </c>
    </row>
    <row r="3127" spans="1:21" ht="14.25" customHeight="1">
      <c r="A3127" s="2" t="s">
        <v>15</v>
      </c>
      <c r="B3127" s="2">
        <v>1998</v>
      </c>
      <c r="C3127" s="2" t="s">
        <v>29</v>
      </c>
      <c r="D3127" s="3" t="e">
        <v>#N/A</v>
      </c>
      <c r="E3127" s="3" t="e">
        <v>#N/A</v>
      </c>
      <c r="F3127" s="3">
        <f t="shared" si="354"/>
        <v>49.527999999999999</v>
      </c>
      <c r="G3127" s="3">
        <f t="shared" si="354"/>
        <v>148.36600000000001</v>
      </c>
      <c r="H3127" s="3">
        <f t="shared" si="354"/>
        <v>36.520000000000003</v>
      </c>
      <c r="I3127" s="3">
        <f t="shared" si="354"/>
        <v>116.729</v>
      </c>
      <c r="L3127" s="2">
        <f>14+39321+4967+455+411+3133+1227</f>
        <v>49528</v>
      </c>
      <c r="M3127" s="2">
        <f>58+93759+16725+1015+1787+30549+4473</f>
        <v>148366</v>
      </c>
      <c r="N3127" s="2">
        <f>42+9430+264+1256+1852+147+23529</f>
        <v>36520</v>
      </c>
      <c r="O3127" s="2">
        <f>2189+20617+723+1862+4958+1212+85168</f>
        <v>116729</v>
      </c>
      <c r="P3127" s="3" t="e">
        <f>E3127*(VLOOKUP(B3127,Price_data!A$1:B$190,2,FALSE))</f>
        <v>#N/A</v>
      </c>
      <c r="Q3127" s="3">
        <f>G3127*(VLOOKUP(B3127,Price_data!A$1:B$190,2,FALSE))</f>
        <v>155.10781008966802</v>
      </c>
      <c r="R3127" s="3">
        <f>I3127*(VLOOKUP(B3127,Price_data!A$1:B$190,2,FALSE))</f>
        <v>122.033212218142</v>
      </c>
      <c r="S3127" s="4" t="str">
        <f>(VLOOKUP(B3127,Price_data!A$1:C$190,3,FALSE))</f>
        <v>EEZ</v>
      </c>
      <c r="T3127" s="2" t="str">
        <f>IF(C3127="Total", (VLOOKUP(B3127,Recommended_fish_intake!A$4:D$122,4,FALSE)), "NA")</f>
        <v>NA</v>
      </c>
      <c r="U3127" s="2" t="str">
        <f t="shared" si="350"/>
        <v>NA</v>
      </c>
    </row>
    <row r="3128" spans="1:21" ht="14.25" customHeight="1">
      <c r="A3128" s="2" t="s">
        <v>90</v>
      </c>
      <c r="B3128" s="2">
        <v>1999</v>
      </c>
      <c r="C3128" s="2" t="s">
        <v>22</v>
      </c>
      <c r="D3128" s="2">
        <v>19</v>
      </c>
      <c r="E3128" s="2">
        <v>24.8</v>
      </c>
      <c r="P3128" s="3">
        <f>E3128*(VLOOKUP(B3128,Price_data!A$1:B$190,2,FALSE))</f>
        <v>25.533547891200001</v>
      </c>
      <c r="Q3128" s="3">
        <f>G3128*(VLOOKUP(B3128,Price_data!A$1:B$190,2,FALSE))</f>
        <v>0</v>
      </c>
      <c r="R3128" s="3">
        <f>I3128*(VLOOKUP(B3128,Price_data!A$1:B$190,2,FALSE))</f>
        <v>0</v>
      </c>
      <c r="S3128" s="4" t="str">
        <f>(VLOOKUP(B3128,Price_data!A$1:C$190,3,FALSE))</f>
        <v>EEZ</v>
      </c>
      <c r="T3128" s="2" t="str">
        <f>IF(C3128="Total", (VLOOKUP(B3128,Recommended_fish_intake!A$4:D$122,4,FALSE)), "NA")</f>
        <v>NA</v>
      </c>
      <c r="U3128" s="2" t="str">
        <f t="shared" si="350"/>
        <v>NA</v>
      </c>
    </row>
    <row r="3129" spans="1:21" ht="14.25" customHeight="1">
      <c r="A3129" s="2" t="s">
        <v>90</v>
      </c>
      <c r="B3129" s="2">
        <v>1999</v>
      </c>
      <c r="C3129" s="2" t="s">
        <v>23</v>
      </c>
      <c r="D3129" s="2">
        <v>3.4</v>
      </c>
      <c r="E3129" s="2">
        <v>3.3</v>
      </c>
      <c r="P3129" s="3">
        <f>E3129*(VLOOKUP(B3129,Price_data!A$1:B$190,2,FALSE))</f>
        <v>3.3976091951999998</v>
      </c>
      <c r="Q3129" s="3">
        <f>G3129*(VLOOKUP(B3129,Price_data!A$1:B$190,2,FALSE))</f>
        <v>0</v>
      </c>
      <c r="R3129" s="3">
        <f>I3129*(VLOOKUP(B3129,Price_data!A$1:B$190,2,FALSE))</f>
        <v>0</v>
      </c>
      <c r="S3129" s="4" t="str">
        <f>(VLOOKUP(B3129,Price_data!A$1:C$190,3,FALSE))</f>
        <v>EEZ</v>
      </c>
      <c r="T3129" s="2" t="str">
        <f>IF(C3129="Total", (VLOOKUP(B3129,Recommended_fish_intake!A$4:D$122,4,FALSE)), "NA")</f>
        <v>NA</v>
      </c>
      <c r="U3129" s="2" t="str">
        <f t="shared" si="350"/>
        <v>NA</v>
      </c>
    </row>
    <row r="3130" spans="1:21" ht="14.25" customHeight="1">
      <c r="A3130" s="2" t="s">
        <v>90</v>
      </c>
      <c r="B3130" s="2">
        <v>1999</v>
      </c>
      <c r="C3130" s="2" t="s">
        <v>58</v>
      </c>
      <c r="D3130" s="2">
        <v>3.1</v>
      </c>
      <c r="E3130" s="2">
        <v>6.6</v>
      </c>
      <c r="P3130" s="3">
        <f>E3130*(VLOOKUP(B3130,Price_data!A$1:B$190,2,FALSE))</f>
        <v>6.7952183903999996</v>
      </c>
      <c r="Q3130" s="3">
        <f>G3130*(VLOOKUP(B3130,Price_data!A$1:B$190,2,FALSE))</f>
        <v>0</v>
      </c>
      <c r="R3130" s="3">
        <f>I3130*(VLOOKUP(B3130,Price_data!A$1:B$190,2,FALSE))</f>
        <v>0</v>
      </c>
      <c r="S3130" s="4" t="str">
        <f>(VLOOKUP(B3130,Price_data!A$1:C$190,3,FALSE))</f>
        <v>EEZ</v>
      </c>
      <c r="T3130" s="2" t="str">
        <f>IF(C3130="Total", (VLOOKUP(B3130,Recommended_fish_intake!A$4:D$122,4,FALSE)), "NA")</f>
        <v>NA</v>
      </c>
      <c r="U3130" s="2" t="str">
        <f t="shared" si="350"/>
        <v>NA</v>
      </c>
    </row>
    <row r="3131" spans="1:21" ht="14.25" customHeight="1">
      <c r="A3131" s="2" t="s">
        <v>90</v>
      </c>
      <c r="B3131" s="2">
        <v>1999</v>
      </c>
      <c r="C3131" s="2" t="s">
        <v>24</v>
      </c>
      <c r="D3131" s="2">
        <v>3.9</v>
      </c>
      <c r="E3131" s="2">
        <v>1.9</v>
      </c>
      <c r="P3131" s="3">
        <f>E3131*(VLOOKUP(B3131,Price_data!A$1:B$190,2,FALSE))</f>
        <v>1.9561992336</v>
      </c>
      <c r="Q3131" s="3">
        <f>G3131*(VLOOKUP(B3131,Price_data!A$1:B$190,2,FALSE))</f>
        <v>0</v>
      </c>
      <c r="R3131" s="3">
        <f>I3131*(VLOOKUP(B3131,Price_data!A$1:B$190,2,FALSE))</f>
        <v>0</v>
      </c>
      <c r="S3131" s="4" t="str">
        <f>(VLOOKUP(B3131,Price_data!A$1:C$190,3,FALSE))</f>
        <v>EEZ</v>
      </c>
      <c r="T3131" s="2" t="str">
        <f>IF(C3131="Total", (VLOOKUP(B3131,Recommended_fish_intake!A$4:D$122,4,FALSE)), "NA")</f>
        <v>NA</v>
      </c>
      <c r="U3131" s="2" t="str">
        <f t="shared" si="350"/>
        <v>NA</v>
      </c>
    </row>
    <row r="3132" spans="1:21" ht="14.25" customHeight="1">
      <c r="A3132" s="2" t="s">
        <v>90</v>
      </c>
      <c r="B3132" s="2">
        <v>1999</v>
      </c>
      <c r="C3132" s="2" t="s">
        <v>41</v>
      </c>
      <c r="D3132" s="2">
        <v>60</v>
      </c>
      <c r="E3132" s="2">
        <v>96</v>
      </c>
      <c r="P3132" s="3">
        <f>E3132*(VLOOKUP(B3132,Price_data!A$1:B$190,2,FALSE))</f>
        <v>98.839540224000004</v>
      </c>
      <c r="Q3132" s="3">
        <f>G3132*(VLOOKUP(B3132,Price_data!A$1:B$190,2,FALSE))</f>
        <v>0</v>
      </c>
      <c r="R3132" s="3">
        <f>I3132*(VLOOKUP(B3132,Price_data!A$1:B$190,2,FALSE))</f>
        <v>0</v>
      </c>
      <c r="S3132" s="4" t="str">
        <f>(VLOOKUP(B3132,Price_data!A$1:C$190,3,FALSE))</f>
        <v>EEZ</v>
      </c>
      <c r="T3132" s="2" t="str">
        <f>IF(C3132="Total", (VLOOKUP(B3132,Recommended_fish_intake!A$4:D$122,4,FALSE)), "NA")</f>
        <v>NA</v>
      </c>
      <c r="U3132" s="2" t="str">
        <f t="shared" si="350"/>
        <v>NA</v>
      </c>
    </row>
    <row r="3133" spans="1:21" ht="14.25" customHeight="1">
      <c r="A3133" s="2" t="s">
        <v>90</v>
      </c>
      <c r="B3133" s="2">
        <v>1999</v>
      </c>
      <c r="C3133" s="2" t="s">
        <v>19</v>
      </c>
      <c r="D3133" s="2">
        <v>0.4</v>
      </c>
      <c r="E3133" s="2">
        <v>0.2</v>
      </c>
      <c r="P3133" s="3">
        <f>E3133*(VLOOKUP(B3133,Price_data!A$1:B$190,2,FALSE))</f>
        <v>0.20591570880000001</v>
      </c>
      <c r="Q3133" s="3">
        <f>G3133*(VLOOKUP(B3133,Price_data!A$1:B$190,2,FALSE))</f>
        <v>0</v>
      </c>
      <c r="R3133" s="3">
        <f>I3133*(VLOOKUP(B3133,Price_data!A$1:B$190,2,FALSE))</f>
        <v>0</v>
      </c>
      <c r="S3133" s="4" t="str">
        <f>(VLOOKUP(B3133,Price_data!A$1:C$190,3,FALSE))</f>
        <v>EEZ</v>
      </c>
      <c r="T3133" s="2" t="str">
        <f>IF(C3133="Total", (VLOOKUP(B3133,Recommended_fish_intake!A$4:D$122,4,FALSE)), "NA")</f>
        <v>NA</v>
      </c>
      <c r="U3133" s="2" t="str">
        <f t="shared" si="350"/>
        <v>NA</v>
      </c>
    </row>
    <row r="3134" spans="1:21" ht="14.25" customHeight="1">
      <c r="A3134" s="2" t="s">
        <v>90</v>
      </c>
      <c r="B3134" s="2">
        <v>1999</v>
      </c>
      <c r="C3134" s="2" t="s">
        <v>20</v>
      </c>
      <c r="D3134" s="2">
        <v>7.5</v>
      </c>
      <c r="E3134" s="2">
        <v>2.5</v>
      </c>
      <c r="P3134" s="3">
        <f>E3134*(VLOOKUP(B3134,Price_data!A$1:B$190,2,FALSE))</f>
        <v>2.5739463599999999</v>
      </c>
      <c r="Q3134" s="3">
        <f>G3134*(VLOOKUP(B3134,Price_data!A$1:B$190,2,FALSE))</f>
        <v>0</v>
      </c>
      <c r="R3134" s="3">
        <f>I3134*(VLOOKUP(B3134,Price_data!A$1:B$190,2,FALSE))</f>
        <v>0</v>
      </c>
      <c r="S3134" s="4" t="str">
        <f>(VLOOKUP(B3134,Price_data!A$1:C$190,3,FALSE))</f>
        <v>EEZ</v>
      </c>
      <c r="T3134" s="2" t="str">
        <f>IF(C3134="Total", (VLOOKUP(B3134,Recommended_fish_intake!A$4:D$122,4,FALSE)), "NA")</f>
        <v>NA</v>
      </c>
      <c r="U3134" s="2" t="str">
        <f t="shared" si="350"/>
        <v>NA</v>
      </c>
    </row>
    <row r="3135" spans="1:21" ht="14.25" customHeight="1">
      <c r="A3135" s="2" t="s">
        <v>90</v>
      </c>
      <c r="B3135" s="2">
        <v>1999</v>
      </c>
      <c r="C3135" s="2" t="s">
        <v>42</v>
      </c>
      <c r="D3135" s="2">
        <v>17.5</v>
      </c>
      <c r="E3135" s="2">
        <v>4.4000000000000004</v>
      </c>
      <c r="P3135" s="3">
        <f>E3135*(VLOOKUP(B3135,Price_data!A$1:B$190,2,FALSE))</f>
        <v>4.5301455936000004</v>
      </c>
      <c r="Q3135" s="3">
        <f>G3135*(VLOOKUP(B3135,Price_data!A$1:B$190,2,FALSE))</f>
        <v>0</v>
      </c>
      <c r="R3135" s="3">
        <f>I3135*(VLOOKUP(B3135,Price_data!A$1:B$190,2,FALSE))</f>
        <v>0</v>
      </c>
      <c r="S3135" s="4" t="str">
        <f>(VLOOKUP(B3135,Price_data!A$1:C$190,3,FALSE))</f>
        <v>EEZ</v>
      </c>
      <c r="T3135" s="2" t="str">
        <f>IF(C3135="Total", (VLOOKUP(B3135,Recommended_fish_intake!A$4:D$122,4,FALSE)), "NA")</f>
        <v>NA</v>
      </c>
      <c r="U3135" s="2" t="str">
        <f t="shared" si="350"/>
        <v>NA</v>
      </c>
    </row>
    <row r="3136" spans="1:21" ht="14.25" customHeight="1">
      <c r="A3136" s="2" t="s">
        <v>90</v>
      </c>
      <c r="B3136" s="2">
        <v>1999</v>
      </c>
      <c r="C3136" s="2" t="s">
        <v>36</v>
      </c>
      <c r="D3136" s="2">
        <v>13.1</v>
      </c>
      <c r="E3136" s="2">
        <v>15.7</v>
      </c>
      <c r="P3136" s="3">
        <f>E3136*(VLOOKUP(B3136,Price_data!A$1:B$190,2,FALSE))</f>
        <v>16.164383140799998</v>
      </c>
      <c r="Q3136" s="3">
        <f>G3136*(VLOOKUP(B3136,Price_data!A$1:B$190,2,FALSE))</f>
        <v>0</v>
      </c>
      <c r="R3136" s="3">
        <f>I3136*(VLOOKUP(B3136,Price_data!A$1:B$190,2,FALSE))</f>
        <v>0</v>
      </c>
      <c r="S3136" s="4" t="str">
        <f>(VLOOKUP(B3136,Price_data!A$1:C$190,3,FALSE))</f>
        <v>EEZ</v>
      </c>
      <c r="T3136" s="2" t="str">
        <f>IF(C3136="Total", (VLOOKUP(B3136,Recommended_fish_intake!A$4:D$122,4,FALSE)), "NA")</f>
        <v>NA</v>
      </c>
      <c r="U3136" s="2" t="str">
        <f t="shared" si="350"/>
        <v>NA</v>
      </c>
    </row>
    <row r="3137" spans="1:21" ht="14.25" customHeight="1">
      <c r="A3137" s="2" t="s">
        <v>90</v>
      </c>
      <c r="B3137" s="2">
        <v>1999</v>
      </c>
      <c r="C3137" s="2" t="s">
        <v>34</v>
      </c>
      <c r="D3137" s="2">
        <v>1.3</v>
      </c>
      <c r="E3137" s="2">
        <v>9.1999999999999993</v>
      </c>
      <c r="P3137" s="3">
        <f>E3137*(VLOOKUP(B3137,Price_data!A$1:B$190,2,FALSE))</f>
        <v>9.4721226047999991</v>
      </c>
      <c r="Q3137" s="3">
        <f>G3137*(VLOOKUP(B3137,Price_data!A$1:B$190,2,FALSE))</f>
        <v>0</v>
      </c>
      <c r="R3137" s="3">
        <f>I3137*(VLOOKUP(B3137,Price_data!A$1:B$190,2,FALSE))</f>
        <v>0</v>
      </c>
      <c r="S3137" s="4" t="str">
        <f>(VLOOKUP(B3137,Price_data!A$1:C$190,3,FALSE))</f>
        <v>EEZ</v>
      </c>
      <c r="T3137" s="2" t="str">
        <f>IF(C3137="Total", (VLOOKUP(B3137,Recommended_fish_intake!A$4:D$122,4,FALSE)), "NA")</f>
        <v>NA</v>
      </c>
      <c r="U3137" s="2" t="str">
        <f t="shared" si="350"/>
        <v>NA</v>
      </c>
    </row>
    <row r="3138" spans="1:21" ht="14.25" customHeight="1">
      <c r="A3138" s="2" t="s">
        <v>90</v>
      </c>
      <c r="B3138" s="2">
        <v>1999</v>
      </c>
      <c r="C3138" s="2" t="s">
        <v>35</v>
      </c>
      <c r="D3138" s="2">
        <v>3</v>
      </c>
      <c r="E3138" s="2">
        <v>6.3</v>
      </c>
      <c r="P3138" s="3">
        <f>E3138*(VLOOKUP(B3138,Price_data!A$1:B$190,2,FALSE))</f>
        <v>6.4863448271999999</v>
      </c>
      <c r="Q3138" s="3">
        <f>G3138*(VLOOKUP(B3138,Price_data!A$1:B$190,2,FALSE))</f>
        <v>0</v>
      </c>
      <c r="R3138" s="3">
        <f>I3138*(VLOOKUP(B3138,Price_data!A$1:B$190,2,FALSE))</f>
        <v>0</v>
      </c>
      <c r="S3138" s="4" t="str">
        <f>(VLOOKUP(B3138,Price_data!A$1:C$190,3,FALSE))</f>
        <v>EEZ</v>
      </c>
      <c r="T3138" s="2" t="str">
        <f>IF(C3138="Total", (VLOOKUP(B3138,Recommended_fish_intake!A$4:D$122,4,FALSE)), "NA")</f>
        <v>NA</v>
      </c>
      <c r="U3138" s="2" t="str">
        <f t="shared" ref="U3138:U3201" si="355">IF(C3138="Wet fish", D3138*0.49, IF(C3138="Shellfish", D3138*0.28, "NA"))</f>
        <v>NA</v>
      </c>
    </row>
    <row r="3139" spans="1:21" ht="14.25" customHeight="1">
      <c r="A3139" s="2" t="s">
        <v>90</v>
      </c>
      <c r="B3139" s="2">
        <v>1999</v>
      </c>
      <c r="C3139" s="2" t="s">
        <v>52</v>
      </c>
      <c r="D3139" s="2">
        <v>11</v>
      </c>
      <c r="E3139" s="2">
        <v>14.5</v>
      </c>
      <c r="P3139" s="3">
        <f>E3139*(VLOOKUP(B3139,Price_data!A$1:B$190,2,FALSE))</f>
        <v>14.928888888000001</v>
      </c>
      <c r="Q3139" s="3">
        <f>G3139*(VLOOKUP(B3139,Price_data!A$1:B$190,2,FALSE))</f>
        <v>0</v>
      </c>
      <c r="R3139" s="3">
        <f>I3139*(VLOOKUP(B3139,Price_data!A$1:B$190,2,FALSE))</f>
        <v>0</v>
      </c>
      <c r="S3139" s="4" t="str">
        <f>(VLOOKUP(B3139,Price_data!A$1:C$190,3,FALSE))</f>
        <v>EEZ</v>
      </c>
      <c r="T3139" s="2" t="str">
        <f>IF(C3139="Total", (VLOOKUP(B3139,Recommended_fish_intake!A$4:D$122,4,FALSE)), "NA")</f>
        <v>NA</v>
      </c>
      <c r="U3139" s="2" t="str">
        <f t="shared" si="355"/>
        <v>NA</v>
      </c>
    </row>
    <row r="3140" spans="1:21" ht="14.25" customHeight="1">
      <c r="A3140" s="2" t="s">
        <v>90</v>
      </c>
      <c r="B3140" s="2">
        <v>1999</v>
      </c>
      <c r="C3140" s="2" t="s">
        <v>30</v>
      </c>
      <c r="D3140" s="2">
        <v>1.5</v>
      </c>
      <c r="E3140" s="2">
        <v>2.5</v>
      </c>
      <c r="P3140" s="3">
        <f>E3140*(VLOOKUP(B3140,Price_data!A$1:B$190,2,FALSE))</f>
        <v>2.5739463599999999</v>
      </c>
      <c r="Q3140" s="3">
        <f>G3140*(VLOOKUP(B3140,Price_data!A$1:B$190,2,FALSE))</f>
        <v>0</v>
      </c>
      <c r="R3140" s="3">
        <f>I3140*(VLOOKUP(B3140,Price_data!A$1:B$190,2,FALSE))</f>
        <v>0</v>
      </c>
      <c r="S3140" s="4" t="str">
        <f>(VLOOKUP(B3140,Price_data!A$1:C$190,3,FALSE))</f>
        <v>EEZ</v>
      </c>
      <c r="T3140" s="2" t="str">
        <f>IF(C3140="Total", (VLOOKUP(B3140,Recommended_fish_intake!A$4:D$122,4,FALSE)), "NA")</f>
        <v>NA</v>
      </c>
      <c r="U3140" s="2" t="str">
        <f t="shared" si="355"/>
        <v>NA</v>
      </c>
    </row>
    <row r="3141" spans="1:21" ht="14.25" customHeight="1">
      <c r="A3141" s="2" t="s">
        <v>90</v>
      </c>
      <c r="B3141" s="2">
        <v>1999</v>
      </c>
      <c r="C3141" s="2" t="s">
        <v>28</v>
      </c>
      <c r="D3141" s="2">
        <v>59.5</v>
      </c>
      <c r="E3141" s="2">
        <v>60.2</v>
      </c>
      <c r="P3141" s="3">
        <f>E3141*(VLOOKUP(B3141,Price_data!A$1:B$190,2,FALSE))</f>
        <v>61.980628348800003</v>
      </c>
      <c r="Q3141" s="3">
        <f>G3141*(VLOOKUP(B3141,Price_data!A$1:B$190,2,FALSE))</f>
        <v>0</v>
      </c>
      <c r="R3141" s="3">
        <f>I3141*(VLOOKUP(B3141,Price_data!A$1:B$190,2,FALSE))</f>
        <v>0</v>
      </c>
      <c r="S3141" s="4" t="str">
        <f>(VLOOKUP(B3141,Price_data!A$1:C$190,3,FALSE))</f>
        <v>EEZ</v>
      </c>
      <c r="T3141" s="2" t="str">
        <f>IF(C3141="Total", (VLOOKUP(B3141,Recommended_fish_intake!A$4:D$122,4,FALSE)), "NA")</f>
        <v>NA</v>
      </c>
      <c r="U3141" s="2">
        <f t="shared" si="355"/>
        <v>16.66</v>
      </c>
    </row>
    <row r="3142" spans="1:21" ht="14.25" customHeight="1">
      <c r="A3142" s="2" t="s">
        <v>91</v>
      </c>
      <c r="B3142" s="2">
        <v>1999</v>
      </c>
      <c r="C3142" s="2" t="s">
        <v>22</v>
      </c>
      <c r="D3142" s="2">
        <v>0</v>
      </c>
      <c r="E3142" s="2">
        <v>0</v>
      </c>
      <c r="P3142" s="3">
        <f>E3142*(VLOOKUP(B3142,Price_data!A$1:B$190,2,FALSE))</f>
        <v>0</v>
      </c>
      <c r="Q3142" s="3">
        <f>G3142*(VLOOKUP(B3142,Price_data!A$1:B$190,2,FALSE))</f>
        <v>0</v>
      </c>
      <c r="R3142" s="3">
        <f>I3142*(VLOOKUP(B3142,Price_data!A$1:B$190,2,FALSE))</f>
        <v>0</v>
      </c>
      <c r="S3142" s="4" t="str">
        <f>(VLOOKUP(B3142,Price_data!A$1:C$190,3,FALSE))</f>
        <v>EEZ</v>
      </c>
      <c r="T3142" s="2" t="str">
        <f>IF(C3142="Total", (VLOOKUP(B3142,Recommended_fish_intake!A$4:D$122,4,FALSE)), "NA")</f>
        <v>NA</v>
      </c>
      <c r="U3142" s="2" t="str">
        <f t="shared" si="355"/>
        <v>NA</v>
      </c>
    </row>
    <row r="3143" spans="1:21" ht="14.25" customHeight="1">
      <c r="A3143" s="2" t="s">
        <v>91</v>
      </c>
      <c r="B3143" s="2">
        <v>1999</v>
      </c>
      <c r="C3143" s="2" t="s">
        <v>23</v>
      </c>
      <c r="D3143" s="2">
        <v>0</v>
      </c>
      <c r="E3143" s="2">
        <v>0</v>
      </c>
      <c r="P3143" s="3">
        <f>E3143*(VLOOKUP(B3143,Price_data!A$1:B$190,2,FALSE))</f>
        <v>0</v>
      </c>
      <c r="Q3143" s="3">
        <f>G3143*(VLOOKUP(B3143,Price_data!A$1:B$190,2,FALSE))</f>
        <v>0</v>
      </c>
      <c r="R3143" s="3">
        <f>I3143*(VLOOKUP(B3143,Price_data!A$1:B$190,2,FALSE))</f>
        <v>0</v>
      </c>
      <c r="S3143" s="4" t="str">
        <f>(VLOOKUP(B3143,Price_data!A$1:C$190,3,FALSE))</f>
        <v>EEZ</v>
      </c>
      <c r="T3143" s="2" t="str">
        <f>IF(C3143="Total", (VLOOKUP(B3143,Recommended_fish_intake!A$4:D$122,4,FALSE)), "NA")</f>
        <v>NA</v>
      </c>
      <c r="U3143" s="2" t="str">
        <f t="shared" si="355"/>
        <v>NA</v>
      </c>
    </row>
    <row r="3144" spans="1:21" ht="14.25" customHeight="1">
      <c r="A3144" s="2" t="s">
        <v>91</v>
      </c>
      <c r="B3144" s="2">
        <v>1999</v>
      </c>
      <c r="C3144" s="2" t="s">
        <v>58</v>
      </c>
      <c r="D3144" s="2">
        <v>0</v>
      </c>
      <c r="E3144" s="2">
        <v>0</v>
      </c>
      <c r="P3144" s="3">
        <f>E3144*(VLOOKUP(B3144,Price_data!A$1:B$190,2,FALSE))</f>
        <v>0</v>
      </c>
      <c r="Q3144" s="3">
        <f>G3144*(VLOOKUP(B3144,Price_data!A$1:B$190,2,FALSE))</f>
        <v>0</v>
      </c>
      <c r="R3144" s="3">
        <f>I3144*(VLOOKUP(B3144,Price_data!A$1:B$190,2,FALSE))</f>
        <v>0</v>
      </c>
      <c r="S3144" s="4" t="str">
        <f>(VLOOKUP(B3144,Price_data!A$1:C$190,3,FALSE))</f>
        <v>EEZ</v>
      </c>
      <c r="T3144" s="2" t="str">
        <f>IF(C3144="Total", (VLOOKUP(B3144,Recommended_fish_intake!A$4:D$122,4,FALSE)), "NA")</f>
        <v>NA</v>
      </c>
      <c r="U3144" s="2" t="str">
        <f t="shared" si="355"/>
        <v>NA</v>
      </c>
    </row>
    <row r="3145" spans="1:21" ht="14.25" customHeight="1">
      <c r="A3145" s="2" t="s">
        <v>91</v>
      </c>
      <c r="B3145" s="2">
        <v>1999</v>
      </c>
      <c r="C3145" s="2" t="s">
        <v>24</v>
      </c>
      <c r="D3145" s="2">
        <v>0</v>
      </c>
      <c r="E3145" s="2">
        <v>0</v>
      </c>
      <c r="P3145" s="3">
        <f>E3145*(VLOOKUP(B3145,Price_data!A$1:B$190,2,FALSE))</f>
        <v>0</v>
      </c>
      <c r="Q3145" s="3">
        <f>G3145*(VLOOKUP(B3145,Price_data!A$1:B$190,2,FALSE))</f>
        <v>0</v>
      </c>
      <c r="R3145" s="3">
        <f>I3145*(VLOOKUP(B3145,Price_data!A$1:B$190,2,FALSE))</f>
        <v>0</v>
      </c>
      <c r="S3145" s="4" t="str">
        <f>(VLOOKUP(B3145,Price_data!A$1:C$190,3,FALSE))</f>
        <v>EEZ</v>
      </c>
      <c r="T3145" s="2" t="str">
        <f>IF(C3145="Total", (VLOOKUP(B3145,Recommended_fish_intake!A$4:D$122,4,FALSE)), "NA")</f>
        <v>NA</v>
      </c>
      <c r="U3145" s="2" t="str">
        <f t="shared" si="355"/>
        <v>NA</v>
      </c>
    </row>
    <row r="3146" spans="1:21" ht="14.25" customHeight="1">
      <c r="A3146" s="2" t="s">
        <v>91</v>
      </c>
      <c r="B3146" s="2">
        <v>1999</v>
      </c>
      <c r="C3146" s="2" t="s">
        <v>41</v>
      </c>
      <c r="D3146" s="2">
        <v>0</v>
      </c>
      <c r="E3146" s="2">
        <v>0</v>
      </c>
      <c r="P3146" s="3">
        <f>E3146*(VLOOKUP(B3146,Price_data!A$1:B$190,2,FALSE))</f>
        <v>0</v>
      </c>
      <c r="Q3146" s="3">
        <f>G3146*(VLOOKUP(B3146,Price_data!A$1:B$190,2,FALSE))</f>
        <v>0</v>
      </c>
      <c r="R3146" s="3">
        <f>I3146*(VLOOKUP(B3146,Price_data!A$1:B$190,2,FALSE))</f>
        <v>0</v>
      </c>
      <c r="S3146" s="4" t="str">
        <f>(VLOOKUP(B3146,Price_data!A$1:C$190,3,FALSE))</f>
        <v>EEZ</v>
      </c>
      <c r="T3146" s="2" t="str">
        <f>IF(C3146="Total", (VLOOKUP(B3146,Recommended_fish_intake!A$4:D$122,4,FALSE)), "NA")</f>
        <v>NA</v>
      </c>
      <c r="U3146" s="2" t="str">
        <f t="shared" si="355"/>
        <v>NA</v>
      </c>
    </row>
    <row r="3147" spans="1:21" ht="14.25" customHeight="1">
      <c r="A3147" s="2" t="s">
        <v>91</v>
      </c>
      <c r="B3147" s="2">
        <v>1999</v>
      </c>
      <c r="C3147" s="2" t="s">
        <v>19</v>
      </c>
      <c r="D3147" s="2">
        <v>0</v>
      </c>
      <c r="E3147" s="2">
        <v>0</v>
      </c>
      <c r="P3147" s="3">
        <f>E3147*(VLOOKUP(B3147,Price_data!A$1:B$190,2,FALSE))</f>
        <v>0</v>
      </c>
      <c r="Q3147" s="3">
        <f>G3147*(VLOOKUP(B3147,Price_data!A$1:B$190,2,FALSE))</f>
        <v>0</v>
      </c>
      <c r="R3147" s="3">
        <f>I3147*(VLOOKUP(B3147,Price_data!A$1:B$190,2,FALSE))</f>
        <v>0</v>
      </c>
      <c r="S3147" s="4" t="str">
        <f>(VLOOKUP(B3147,Price_data!A$1:C$190,3,FALSE))</f>
        <v>EEZ</v>
      </c>
      <c r="T3147" s="2" t="str">
        <f>IF(C3147="Total", (VLOOKUP(B3147,Recommended_fish_intake!A$4:D$122,4,FALSE)), "NA")</f>
        <v>NA</v>
      </c>
      <c r="U3147" s="2" t="str">
        <f t="shared" si="355"/>
        <v>NA</v>
      </c>
    </row>
    <row r="3148" spans="1:21" ht="14.25" customHeight="1">
      <c r="A3148" s="2" t="s">
        <v>91</v>
      </c>
      <c r="B3148" s="2">
        <v>1999</v>
      </c>
      <c r="C3148" s="2" t="s">
        <v>20</v>
      </c>
      <c r="D3148" s="2">
        <v>0</v>
      </c>
      <c r="E3148" s="2">
        <v>0</v>
      </c>
      <c r="P3148" s="3">
        <f>E3148*(VLOOKUP(B3148,Price_data!A$1:B$190,2,FALSE))</f>
        <v>0</v>
      </c>
      <c r="Q3148" s="3">
        <f>G3148*(VLOOKUP(B3148,Price_data!A$1:B$190,2,FALSE))</f>
        <v>0</v>
      </c>
      <c r="R3148" s="3">
        <f>I3148*(VLOOKUP(B3148,Price_data!A$1:B$190,2,FALSE))</f>
        <v>0</v>
      </c>
      <c r="S3148" s="4" t="str">
        <f>(VLOOKUP(B3148,Price_data!A$1:C$190,3,FALSE))</f>
        <v>EEZ</v>
      </c>
      <c r="T3148" s="2" t="str">
        <f>IF(C3148="Total", (VLOOKUP(B3148,Recommended_fish_intake!A$4:D$122,4,FALSE)), "NA")</f>
        <v>NA</v>
      </c>
      <c r="U3148" s="2" t="str">
        <f t="shared" si="355"/>
        <v>NA</v>
      </c>
    </row>
    <row r="3149" spans="1:21" ht="14.25" customHeight="1">
      <c r="A3149" s="2" t="s">
        <v>91</v>
      </c>
      <c r="B3149" s="2">
        <v>1999</v>
      </c>
      <c r="C3149" s="2" t="s">
        <v>42</v>
      </c>
      <c r="D3149" s="2">
        <v>0</v>
      </c>
      <c r="E3149" s="2">
        <v>0</v>
      </c>
      <c r="P3149" s="3">
        <f>E3149*(VLOOKUP(B3149,Price_data!A$1:B$190,2,FALSE))</f>
        <v>0</v>
      </c>
      <c r="Q3149" s="3">
        <f>G3149*(VLOOKUP(B3149,Price_data!A$1:B$190,2,FALSE))</f>
        <v>0</v>
      </c>
      <c r="R3149" s="3">
        <f>I3149*(VLOOKUP(B3149,Price_data!A$1:B$190,2,FALSE))</f>
        <v>0</v>
      </c>
      <c r="S3149" s="4" t="str">
        <f>(VLOOKUP(B3149,Price_data!A$1:C$190,3,FALSE))</f>
        <v>EEZ</v>
      </c>
      <c r="T3149" s="2" t="str">
        <f>IF(C3149="Total", (VLOOKUP(B3149,Recommended_fish_intake!A$4:D$122,4,FALSE)), "NA")</f>
        <v>NA</v>
      </c>
      <c r="U3149" s="2" t="str">
        <f t="shared" si="355"/>
        <v>NA</v>
      </c>
    </row>
    <row r="3150" spans="1:21" ht="14.25" customHeight="1">
      <c r="A3150" s="2" t="s">
        <v>91</v>
      </c>
      <c r="B3150" s="2">
        <v>1999</v>
      </c>
      <c r="C3150" s="2" t="s">
        <v>36</v>
      </c>
      <c r="D3150" s="2">
        <v>0</v>
      </c>
      <c r="E3150" s="2">
        <v>0</v>
      </c>
      <c r="P3150" s="3">
        <f>E3150*(VLOOKUP(B3150,Price_data!A$1:B$190,2,FALSE))</f>
        <v>0</v>
      </c>
      <c r="Q3150" s="3">
        <f>G3150*(VLOOKUP(B3150,Price_data!A$1:B$190,2,FALSE))</f>
        <v>0</v>
      </c>
      <c r="R3150" s="3">
        <f>I3150*(VLOOKUP(B3150,Price_data!A$1:B$190,2,FALSE))</f>
        <v>0</v>
      </c>
      <c r="S3150" s="4" t="str">
        <f>(VLOOKUP(B3150,Price_data!A$1:C$190,3,FALSE))</f>
        <v>EEZ</v>
      </c>
      <c r="T3150" s="2" t="str">
        <f>IF(C3150="Total", (VLOOKUP(B3150,Recommended_fish_intake!A$4:D$122,4,FALSE)), "NA")</f>
        <v>NA</v>
      </c>
      <c r="U3150" s="2" t="str">
        <f t="shared" si="355"/>
        <v>NA</v>
      </c>
    </row>
    <row r="3151" spans="1:21" ht="14.25" customHeight="1">
      <c r="A3151" s="2" t="s">
        <v>91</v>
      </c>
      <c r="B3151" s="2">
        <v>1999</v>
      </c>
      <c r="C3151" s="2" t="s">
        <v>34</v>
      </c>
      <c r="D3151" s="2">
        <v>0</v>
      </c>
      <c r="E3151" s="2">
        <v>0</v>
      </c>
      <c r="P3151" s="3">
        <f>E3151*(VLOOKUP(B3151,Price_data!A$1:B$190,2,FALSE))</f>
        <v>0</v>
      </c>
      <c r="Q3151" s="3">
        <f>G3151*(VLOOKUP(B3151,Price_data!A$1:B$190,2,FALSE))</f>
        <v>0</v>
      </c>
      <c r="R3151" s="3">
        <f>I3151*(VLOOKUP(B3151,Price_data!A$1:B$190,2,FALSE))</f>
        <v>0</v>
      </c>
      <c r="S3151" s="4" t="str">
        <f>(VLOOKUP(B3151,Price_data!A$1:C$190,3,FALSE))</f>
        <v>EEZ</v>
      </c>
      <c r="T3151" s="2" t="str">
        <f>IF(C3151="Total", (VLOOKUP(B3151,Recommended_fish_intake!A$4:D$122,4,FALSE)), "NA")</f>
        <v>NA</v>
      </c>
      <c r="U3151" s="2" t="str">
        <f t="shared" si="355"/>
        <v>NA</v>
      </c>
    </row>
    <row r="3152" spans="1:21" ht="14.25" customHeight="1">
      <c r="A3152" s="2" t="s">
        <v>91</v>
      </c>
      <c r="B3152" s="2">
        <v>1999</v>
      </c>
      <c r="C3152" s="2" t="s">
        <v>35</v>
      </c>
      <c r="D3152" s="2">
        <v>0</v>
      </c>
      <c r="E3152" s="2">
        <v>0</v>
      </c>
      <c r="P3152" s="3">
        <f>E3152*(VLOOKUP(B3152,Price_data!A$1:B$190,2,FALSE))</f>
        <v>0</v>
      </c>
      <c r="Q3152" s="3">
        <f>G3152*(VLOOKUP(B3152,Price_data!A$1:B$190,2,FALSE))</f>
        <v>0</v>
      </c>
      <c r="R3152" s="3">
        <f>I3152*(VLOOKUP(B3152,Price_data!A$1:B$190,2,FALSE))</f>
        <v>0</v>
      </c>
      <c r="S3152" s="4" t="str">
        <f>(VLOOKUP(B3152,Price_data!A$1:C$190,3,FALSE))</f>
        <v>EEZ</v>
      </c>
      <c r="T3152" s="2" t="str">
        <f>IF(C3152="Total", (VLOOKUP(B3152,Recommended_fish_intake!A$4:D$122,4,FALSE)), "NA")</f>
        <v>NA</v>
      </c>
      <c r="U3152" s="2" t="str">
        <f t="shared" si="355"/>
        <v>NA</v>
      </c>
    </row>
    <row r="3153" spans="1:21" ht="14.25" customHeight="1">
      <c r="A3153" s="2" t="s">
        <v>91</v>
      </c>
      <c r="B3153" s="2">
        <v>1999</v>
      </c>
      <c r="C3153" s="2" t="s">
        <v>52</v>
      </c>
      <c r="D3153" s="2">
        <v>0</v>
      </c>
      <c r="E3153" s="2">
        <v>0</v>
      </c>
      <c r="P3153" s="3">
        <f>E3153*(VLOOKUP(B3153,Price_data!A$1:B$190,2,FALSE))</f>
        <v>0</v>
      </c>
      <c r="Q3153" s="3">
        <f>G3153*(VLOOKUP(B3153,Price_data!A$1:B$190,2,FALSE))</f>
        <v>0</v>
      </c>
      <c r="R3153" s="3">
        <f>I3153*(VLOOKUP(B3153,Price_data!A$1:B$190,2,FALSE))</f>
        <v>0</v>
      </c>
      <c r="S3153" s="4" t="str">
        <f>(VLOOKUP(B3153,Price_data!A$1:C$190,3,FALSE))</f>
        <v>EEZ</v>
      </c>
      <c r="T3153" s="2" t="str">
        <f>IF(C3153="Total", (VLOOKUP(B3153,Recommended_fish_intake!A$4:D$122,4,FALSE)), "NA")</f>
        <v>NA</v>
      </c>
      <c r="U3153" s="2" t="str">
        <f t="shared" si="355"/>
        <v>NA</v>
      </c>
    </row>
    <row r="3154" spans="1:21" ht="14.25" customHeight="1">
      <c r="A3154" s="2" t="s">
        <v>91</v>
      </c>
      <c r="B3154" s="2">
        <v>1999</v>
      </c>
      <c r="C3154" s="2" t="s">
        <v>30</v>
      </c>
      <c r="D3154" s="2">
        <v>0</v>
      </c>
      <c r="E3154" s="2">
        <v>0</v>
      </c>
      <c r="P3154" s="3">
        <f>E3154*(VLOOKUP(B3154,Price_data!A$1:B$190,2,FALSE))</f>
        <v>0</v>
      </c>
      <c r="Q3154" s="3">
        <f>G3154*(VLOOKUP(B3154,Price_data!A$1:B$190,2,FALSE))</f>
        <v>0</v>
      </c>
      <c r="R3154" s="3">
        <f>I3154*(VLOOKUP(B3154,Price_data!A$1:B$190,2,FALSE))</f>
        <v>0</v>
      </c>
      <c r="S3154" s="4" t="str">
        <f>(VLOOKUP(B3154,Price_data!A$1:C$190,3,FALSE))</f>
        <v>EEZ</v>
      </c>
      <c r="T3154" s="2" t="str">
        <f>IF(C3154="Total", (VLOOKUP(B3154,Recommended_fish_intake!A$4:D$122,4,FALSE)), "NA")</f>
        <v>NA</v>
      </c>
      <c r="U3154" s="2" t="str">
        <f t="shared" si="355"/>
        <v>NA</v>
      </c>
    </row>
    <row r="3155" spans="1:21" ht="14.25" customHeight="1">
      <c r="A3155" s="2" t="s">
        <v>91</v>
      </c>
      <c r="B3155" s="2">
        <v>1999</v>
      </c>
      <c r="C3155" s="2" t="s">
        <v>28</v>
      </c>
      <c r="D3155" s="2">
        <v>0</v>
      </c>
      <c r="E3155" s="2">
        <v>0</v>
      </c>
      <c r="P3155" s="3">
        <f>E3155*(VLOOKUP(B3155,Price_data!A$1:B$190,2,FALSE))</f>
        <v>0</v>
      </c>
      <c r="Q3155" s="3">
        <f>G3155*(VLOOKUP(B3155,Price_data!A$1:B$190,2,FALSE))</f>
        <v>0</v>
      </c>
      <c r="R3155" s="3">
        <f>I3155*(VLOOKUP(B3155,Price_data!A$1:B$190,2,FALSE))</f>
        <v>0</v>
      </c>
      <c r="S3155" s="4" t="str">
        <f>(VLOOKUP(B3155,Price_data!A$1:C$190,3,FALSE))</f>
        <v>EEZ</v>
      </c>
      <c r="T3155" s="2" t="str">
        <f>IF(C3155="Total", (VLOOKUP(B3155,Recommended_fish_intake!A$4:D$122,4,FALSE)), "NA")</f>
        <v>NA</v>
      </c>
      <c r="U3155" s="2">
        <f t="shared" si="355"/>
        <v>0</v>
      </c>
    </row>
    <row r="3156" spans="1:21" ht="14.25" customHeight="1">
      <c r="A3156" s="2" t="s">
        <v>39</v>
      </c>
      <c r="B3156" s="2">
        <v>1999</v>
      </c>
      <c r="C3156" s="2" t="s">
        <v>22</v>
      </c>
      <c r="D3156" s="2">
        <v>26.097999999999999</v>
      </c>
      <c r="E3156" s="2">
        <v>35.335999999999999</v>
      </c>
      <c r="P3156" s="3">
        <f>E3156*(VLOOKUP(B3156,Price_data!A$1:B$190,2,FALSE))</f>
        <v>36.381187430784003</v>
      </c>
      <c r="Q3156" s="3">
        <f>G3156*(VLOOKUP(B3156,Price_data!A$1:B$190,2,FALSE))</f>
        <v>0</v>
      </c>
      <c r="R3156" s="3">
        <f>I3156*(VLOOKUP(B3156,Price_data!A$1:B$190,2,FALSE))</f>
        <v>0</v>
      </c>
      <c r="S3156" s="4" t="str">
        <f>(VLOOKUP(B3156,Price_data!A$1:C$190,3,FALSE))</f>
        <v>EEZ</v>
      </c>
      <c r="T3156" s="2" t="str">
        <f>IF(C3156="Total", (VLOOKUP(B3156,Recommended_fish_intake!A$4:D$122,4,FALSE)), "NA")</f>
        <v>NA</v>
      </c>
      <c r="U3156" s="2" t="str">
        <f t="shared" si="355"/>
        <v>NA</v>
      </c>
    </row>
    <row r="3157" spans="1:21" ht="14.25" customHeight="1">
      <c r="A3157" s="2" t="s">
        <v>39</v>
      </c>
      <c r="B3157" s="2">
        <v>1999</v>
      </c>
      <c r="C3157" s="2" t="s">
        <v>23</v>
      </c>
      <c r="D3157" s="2">
        <v>66.358999999999995</v>
      </c>
      <c r="E3157" s="2">
        <v>54.433</v>
      </c>
      <c r="P3157" s="3">
        <f>E3157*(VLOOKUP(B3157,Price_data!A$1:B$190,2,FALSE))</f>
        <v>56.043048885552004</v>
      </c>
      <c r="Q3157" s="3">
        <f>G3157*(VLOOKUP(B3157,Price_data!A$1:B$190,2,FALSE))</f>
        <v>0</v>
      </c>
      <c r="R3157" s="3">
        <f>I3157*(VLOOKUP(B3157,Price_data!A$1:B$190,2,FALSE))</f>
        <v>0</v>
      </c>
      <c r="S3157" s="4" t="str">
        <f>(VLOOKUP(B3157,Price_data!A$1:C$190,3,FALSE))</f>
        <v>EEZ</v>
      </c>
      <c r="T3157" s="2" t="str">
        <f>IF(C3157="Total", (VLOOKUP(B3157,Recommended_fish_intake!A$4:D$122,4,FALSE)), "NA")</f>
        <v>NA</v>
      </c>
      <c r="U3157" s="2" t="str">
        <f t="shared" si="355"/>
        <v>NA</v>
      </c>
    </row>
    <row r="3158" spans="1:21" ht="14.25" customHeight="1">
      <c r="A3158" s="2" t="s">
        <v>39</v>
      </c>
      <c r="B3158" s="2">
        <v>1999</v>
      </c>
      <c r="C3158" s="2" t="s">
        <v>58</v>
      </c>
      <c r="D3158" s="2">
        <v>12.138999999999999</v>
      </c>
      <c r="E3158" s="2">
        <v>28.439</v>
      </c>
      <c r="P3158" s="3">
        <f>E3158*(VLOOKUP(B3158,Price_data!A$1:B$190,2,FALSE))</f>
        <v>29.280184212816</v>
      </c>
      <c r="Q3158" s="3">
        <f>G3158*(VLOOKUP(B3158,Price_data!A$1:B$190,2,FALSE))</f>
        <v>0</v>
      </c>
      <c r="R3158" s="3">
        <f>I3158*(VLOOKUP(B3158,Price_data!A$1:B$190,2,FALSE))</f>
        <v>0</v>
      </c>
      <c r="S3158" s="4" t="str">
        <f>(VLOOKUP(B3158,Price_data!A$1:C$190,3,FALSE))</f>
        <v>EEZ</v>
      </c>
      <c r="T3158" s="2" t="str">
        <f>IF(C3158="Total", (VLOOKUP(B3158,Recommended_fish_intake!A$4:D$122,4,FALSE)), "NA")</f>
        <v>NA</v>
      </c>
      <c r="U3158" s="2" t="str">
        <f t="shared" si="355"/>
        <v>NA</v>
      </c>
    </row>
    <row r="3159" spans="1:21" ht="14.25" customHeight="1">
      <c r="A3159" s="2" t="s">
        <v>39</v>
      </c>
      <c r="B3159" s="2">
        <v>1999</v>
      </c>
      <c r="C3159" s="2" t="s">
        <v>24</v>
      </c>
      <c r="D3159" s="2">
        <v>20.334</v>
      </c>
      <c r="E3159" s="2">
        <v>11.339</v>
      </c>
      <c r="P3159" s="3">
        <f>E3159*(VLOOKUP(B3159,Price_data!A$1:B$190,2,FALSE))</f>
        <v>11.674391110416002</v>
      </c>
      <c r="Q3159" s="3">
        <f>G3159*(VLOOKUP(B3159,Price_data!A$1:B$190,2,FALSE))</f>
        <v>0</v>
      </c>
      <c r="R3159" s="3">
        <f>I3159*(VLOOKUP(B3159,Price_data!A$1:B$190,2,FALSE))</f>
        <v>0</v>
      </c>
      <c r="S3159" s="4" t="str">
        <f>(VLOOKUP(B3159,Price_data!A$1:C$190,3,FALSE))</f>
        <v>EEZ</v>
      </c>
      <c r="T3159" s="2" t="str">
        <f>IF(C3159="Total", (VLOOKUP(B3159,Recommended_fish_intake!A$4:D$122,4,FALSE)), "NA")</f>
        <v>NA</v>
      </c>
      <c r="U3159" s="2" t="str">
        <f t="shared" si="355"/>
        <v>NA</v>
      </c>
    </row>
    <row r="3160" spans="1:21" ht="14.25" customHeight="1">
      <c r="A3160" s="2" t="s">
        <v>39</v>
      </c>
      <c r="B3160" s="2">
        <v>1999</v>
      </c>
      <c r="C3160" s="2" t="s">
        <v>41</v>
      </c>
      <c r="D3160" s="2">
        <v>175.79499999999999</v>
      </c>
      <c r="E3160" s="2">
        <v>173.30099999999999</v>
      </c>
      <c r="P3160" s="3">
        <f>E3160*(VLOOKUP(B3160,Price_data!A$1:B$190,2,FALSE))</f>
        <v>178.42699125374401</v>
      </c>
      <c r="Q3160" s="3">
        <f>G3160*(VLOOKUP(B3160,Price_data!A$1:B$190,2,FALSE))</f>
        <v>0</v>
      </c>
      <c r="R3160" s="3">
        <f>I3160*(VLOOKUP(B3160,Price_data!A$1:B$190,2,FALSE))</f>
        <v>0</v>
      </c>
      <c r="S3160" s="4" t="str">
        <f>(VLOOKUP(B3160,Price_data!A$1:C$190,3,FALSE))</f>
        <v>EEZ</v>
      </c>
      <c r="T3160" s="2" t="str">
        <f>IF(C3160="Total", (VLOOKUP(B3160,Recommended_fish_intake!A$4:D$122,4,FALSE)), "NA")</f>
        <v>NA</v>
      </c>
      <c r="U3160" s="2" t="str">
        <f t="shared" si="355"/>
        <v>NA</v>
      </c>
    </row>
    <row r="3161" spans="1:21" ht="14.25" customHeight="1">
      <c r="A3161" s="2" t="s">
        <v>39</v>
      </c>
      <c r="B3161" s="2">
        <v>1999</v>
      </c>
      <c r="C3161" s="2" t="s">
        <v>19</v>
      </c>
      <c r="D3161" s="2">
        <v>42.29</v>
      </c>
      <c r="E3161" s="2">
        <v>4.5890000000000004</v>
      </c>
      <c r="P3161" s="3">
        <f>E3161*(VLOOKUP(B3161,Price_data!A$1:B$190,2,FALSE))</f>
        <v>4.7247359384160008</v>
      </c>
      <c r="Q3161" s="3">
        <f>G3161*(VLOOKUP(B3161,Price_data!A$1:B$190,2,FALSE))</f>
        <v>0</v>
      </c>
      <c r="R3161" s="3">
        <f>I3161*(VLOOKUP(B3161,Price_data!A$1:B$190,2,FALSE))</f>
        <v>0</v>
      </c>
      <c r="S3161" s="4" t="str">
        <f>(VLOOKUP(B3161,Price_data!A$1:C$190,3,FALSE))</f>
        <v>EEZ</v>
      </c>
      <c r="T3161" s="2" t="str">
        <f>IF(C3161="Total", (VLOOKUP(B3161,Recommended_fish_intake!A$4:D$122,4,FALSE)), "NA")</f>
        <v>NA</v>
      </c>
      <c r="U3161" s="2" t="str">
        <f t="shared" si="355"/>
        <v>NA</v>
      </c>
    </row>
    <row r="3162" spans="1:21" ht="14.25" customHeight="1">
      <c r="A3162" s="2" t="s">
        <v>39</v>
      </c>
      <c r="B3162" s="2">
        <v>1999</v>
      </c>
      <c r="C3162" s="2" t="s">
        <v>20</v>
      </c>
      <c r="D3162" s="2">
        <v>33.332000000000001</v>
      </c>
      <c r="E3162" s="2">
        <v>6.9980000000000002</v>
      </c>
      <c r="P3162" s="3">
        <f>E3162*(VLOOKUP(B3162,Price_data!A$1:B$190,2,FALSE))</f>
        <v>7.2049906509120003</v>
      </c>
      <c r="Q3162" s="3">
        <f>G3162*(VLOOKUP(B3162,Price_data!A$1:B$190,2,FALSE))</f>
        <v>0</v>
      </c>
      <c r="R3162" s="3">
        <f>I3162*(VLOOKUP(B3162,Price_data!A$1:B$190,2,FALSE))</f>
        <v>0</v>
      </c>
      <c r="S3162" s="4" t="str">
        <f>(VLOOKUP(B3162,Price_data!A$1:C$190,3,FALSE))</f>
        <v>EEZ</v>
      </c>
      <c r="T3162" s="2" t="str">
        <f>IF(C3162="Total", (VLOOKUP(B3162,Recommended_fish_intake!A$4:D$122,4,FALSE)), "NA")</f>
        <v>NA</v>
      </c>
      <c r="U3162" s="2" t="str">
        <f t="shared" si="355"/>
        <v>NA</v>
      </c>
    </row>
    <row r="3163" spans="1:21" ht="14.25" customHeight="1">
      <c r="A3163" s="2" t="s">
        <v>39</v>
      </c>
      <c r="B3163" s="2">
        <v>1999</v>
      </c>
      <c r="C3163" s="2" t="s">
        <v>42</v>
      </c>
      <c r="D3163" s="2">
        <v>123.83199999999999</v>
      </c>
      <c r="E3163" s="2">
        <v>14.363</v>
      </c>
      <c r="P3163" s="3">
        <f>E3163*(VLOOKUP(B3163,Price_data!A$1:B$190,2,FALSE))</f>
        <v>14.787836627472</v>
      </c>
      <c r="Q3163" s="3">
        <f>G3163*(VLOOKUP(B3163,Price_data!A$1:B$190,2,FALSE))</f>
        <v>0</v>
      </c>
      <c r="R3163" s="3">
        <f>I3163*(VLOOKUP(B3163,Price_data!A$1:B$190,2,FALSE))</f>
        <v>0</v>
      </c>
      <c r="S3163" s="4" t="str">
        <f>(VLOOKUP(B3163,Price_data!A$1:C$190,3,FALSE))</f>
        <v>EEZ</v>
      </c>
      <c r="T3163" s="2" t="str">
        <f>IF(C3163="Total", (VLOOKUP(B3163,Recommended_fish_intake!A$4:D$122,4,FALSE)), "NA")</f>
        <v>NA</v>
      </c>
      <c r="U3163" s="2" t="str">
        <f t="shared" si="355"/>
        <v>NA</v>
      </c>
    </row>
    <row r="3164" spans="1:21" ht="14.25" customHeight="1">
      <c r="A3164" s="2" t="s">
        <v>39</v>
      </c>
      <c r="B3164" s="2">
        <v>1999</v>
      </c>
      <c r="C3164" s="2" t="s">
        <v>36</v>
      </c>
      <c r="D3164" s="2">
        <v>9.6039999999999992</v>
      </c>
      <c r="E3164" s="2">
        <v>11.035</v>
      </c>
      <c r="P3164" s="3">
        <f>E3164*(VLOOKUP(B3164,Price_data!A$1:B$190,2,FALSE))</f>
        <v>11.36139923304</v>
      </c>
      <c r="Q3164" s="3">
        <f>G3164*(VLOOKUP(B3164,Price_data!A$1:B$190,2,FALSE))</f>
        <v>0</v>
      </c>
      <c r="R3164" s="3">
        <f>I3164*(VLOOKUP(B3164,Price_data!A$1:B$190,2,FALSE))</f>
        <v>0</v>
      </c>
      <c r="S3164" s="4" t="str">
        <f>(VLOOKUP(B3164,Price_data!A$1:C$190,3,FALSE))</f>
        <v>EEZ</v>
      </c>
      <c r="T3164" s="2" t="str">
        <f>IF(C3164="Total", (VLOOKUP(B3164,Recommended_fish_intake!A$4:D$122,4,FALSE)), "NA")</f>
        <v>NA</v>
      </c>
      <c r="U3164" s="2" t="str">
        <f t="shared" si="355"/>
        <v>NA</v>
      </c>
    </row>
    <row r="3165" spans="1:21" ht="14.25" customHeight="1">
      <c r="A3165" s="2" t="s">
        <v>39</v>
      </c>
      <c r="B3165" s="2">
        <v>1999</v>
      </c>
      <c r="C3165" s="2" t="s">
        <v>34</v>
      </c>
      <c r="D3165" s="2">
        <v>0.55500000000000005</v>
      </c>
      <c r="E3165" s="2">
        <v>5.609</v>
      </c>
      <c r="P3165" s="3">
        <f>E3165*(VLOOKUP(B3165,Price_data!A$1:B$190,2,FALSE))</f>
        <v>5.7749060532960002</v>
      </c>
      <c r="Q3165" s="3">
        <f>G3165*(VLOOKUP(B3165,Price_data!A$1:B$190,2,FALSE))</f>
        <v>0</v>
      </c>
      <c r="R3165" s="3">
        <f>I3165*(VLOOKUP(B3165,Price_data!A$1:B$190,2,FALSE))</f>
        <v>0</v>
      </c>
      <c r="S3165" s="4" t="str">
        <f>(VLOOKUP(B3165,Price_data!A$1:C$190,3,FALSE))</f>
        <v>EEZ</v>
      </c>
      <c r="T3165" s="2" t="str">
        <f>IF(C3165="Total", (VLOOKUP(B3165,Recommended_fish_intake!A$4:D$122,4,FALSE)), "NA")</f>
        <v>NA</v>
      </c>
      <c r="U3165" s="2" t="str">
        <f t="shared" si="355"/>
        <v>NA</v>
      </c>
    </row>
    <row r="3166" spans="1:21" ht="14.25" customHeight="1">
      <c r="A3166" s="2" t="s">
        <v>39</v>
      </c>
      <c r="B3166" s="2">
        <v>1999</v>
      </c>
      <c r="C3166" s="2" t="s">
        <v>35</v>
      </c>
      <c r="D3166" s="2">
        <v>21.817</v>
      </c>
      <c r="E3166" s="2">
        <v>57.506</v>
      </c>
      <c r="P3166" s="3">
        <f>E3166*(VLOOKUP(B3166,Price_data!A$1:B$190,2,FALSE))</f>
        <v>59.206943751263999</v>
      </c>
      <c r="Q3166" s="3">
        <f>G3166*(VLOOKUP(B3166,Price_data!A$1:B$190,2,FALSE))</f>
        <v>0</v>
      </c>
      <c r="R3166" s="3">
        <f>I3166*(VLOOKUP(B3166,Price_data!A$1:B$190,2,FALSE))</f>
        <v>0</v>
      </c>
      <c r="S3166" s="4" t="str">
        <f>(VLOOKUP(B3166,Price_data!A$1:C$190,3,FALSE))</f>
        <v>EEZ</v>
      </c>
      <c r="T3166" s="2" t="str">
        <f>IF(C3166="Total", (VLOOKUP(B3166,Recommended_fish_intake!A$4:D$122,4,FALSE)), "NA")</f>
        <v>NA</v>
      </c>
      <c r="U3166" s="2" t="str">
        <f t="shared" si="355"/>
        <v>NA</v>
      </c>
    </row>
    <row r="3167" spans="1:21" ht="14.25" customHeight="1">
      <c r="A3167" s="2" t="s">
        <v>39</v>
      </c>
      <c r="B3167" s="2">
        <v>1999</v>
      </c>
      <c r="C3167" s="2" t="s">
        <v>52</v>
      </c>
      <c r="D3167" s="2">
        <v>13.427</v>
      </c>
      <c r="E3167" s="2">
        <v>16.468</v>
      </c>
      <c r="P3167" s="3">
        <f>E3167*(VLOOKUP(B3167,Price_data!A$1:B$190,2,FALSE))</f>
        <v>16.955099462591999</v>
      </c>
      <c r="Q3167" s="3">
        <f>G3167*(VLOOKUP(B3167,Price_data!A$1:B$190,2,FALSE))</f>
        <v>0</v>
      </c>
      <c r="R3167" s="3">
        <f>I3167*(VLOOKUP(B3167,Price_data!A$1:B$190,2,FALSE))</f>
        <v>0</v>
      </c>
      <c r="S3167" s="4" t="str">
        <f>(VLOOKUP(B3167,Price_data!A$1:C$190,3,FALSE))</f>
        <v>EEZ</v>
      </c>
      <c r="T3167" s="2" t="str">
        <f>IF(C3167="Total", (VLOOKUP(B3167,Recommended_fish_intake!A$4:D$122,4,FALSE)), "NA")</f>
        <v>NA</v>
      </c>
      <c r="U3167" s="2" t="str">
        <f t="shared" si="355"/>
        <v>NA</v>
      </c>
    </row>
    <row r="3168" spans="1:21" ht="14.25" customHeight="1">
      <c r="A3168" s="2" t="s">
        <v>39</v>
      </c>
      <c r="B3168" s="2">
        <v>1999</v>
      </c>
      <c r="C3168" s="2" t="s">
        <v>30</v>
      </c>
      <c r="D3168" s="2">
        <v>0.45600000000000002</v>
      </c>
      <c r="E3168" s="2">
        <v>0.45100000000000001</v>
      </c>
      <c r="P3168" s="3">
        <f>E3168*(VLOOKUP(B3168,Price_data!A$1:B$190,2,FALSE))</f>
        <v>0.46433992334400004</v>
      </c>
      <c r="Q3168" s="3">
        <f>G3168*(VLOOKUP(B3168,Price_data!A$1:B$190,2,FALSE))</f>
        <v>0</v>
      </c>
      <c r="R3168" s="3">
        <f>I3168*(VLOOKUP(B3168,Price_data!A$1:B$190,2,FALSE))</f>
        <v>0</v>
      </c>
      <c r="S3168" s="4" t="str">
        <f>(VLOOKUP(B3168,Price_data!A$1:C$190,3,FALSE))</f>
        <v>EEZ</v>
      </c>
      <c r="T3168" s="2" t="str">
        <f>IF(C3168="Total", (VLOOKUP(B3168,Recommended_fish_intake!A$4:D$122,4,FALSE)), "NA")</f>
        <v>NA</v>
      </c>
      <c r="U3168" s="2" t="str">
        <f t="shared" si="355"/>
        <v>NA</v>
      </c>
    </row>
    <row r="3169" spans="1:21" ht="14.25" customHeight="1">
      <c r="A3169" s="2" t="s">
        <v>39</v>
      </c>
      <c r="B3169" s="2">
        <v>1999</v>
      </c>
      <c r="C3169" s="2" t="s">
        <v>28</v>
      </c>
      <c r="D3169" s="2">
        <v>49.911999999999999</v>
      </c>
      <c r="E3169" s="2">
        <v>94.269000000000005</v>
      </c>
      <c r="P3169" s="3">
        <f>E3169*(VLOOKUP(B3169,Price_data!A$1:B$190,2,FALSE))</f>
        <v>97.057339764336007</v>
      </c>
      <c r="Q3169" s="3">
        <f>G3169*(VLOOKUP(B3169,Price_data!A$1:B$190,2,FALSE))</f>
        <v>0</v>
      </c>
      <c r="R3169" s="3">
        <f>I3169*(VLOOKUP(B3169,Price_data!A$1:B$190,2,FALSE))</f>
        <v>0</v>
      </c>
      <c r="S3169" s="4" t="str">
        <f>(VLOOKUP(B3169,Price_data!A$1:C$190,3,FALSE))</f>
        <v>EEZ</v>
      </c>
      <c r="T3169" s="2" t="str">
        <f>IF(C3169="Total", (VLOOKUP(B3169,Recommended_fish_intake!A$4:D$122,4,FALSE)), "NA")</f>
        <v>NA</v>
      </c>
      <c r="U3169" s="2">
        <f t="shared" si="355"/>
        <v>13.97536</v>
      </c>
    </row>
    <row r="3170" spans="1:21" ht="14.25" customHeight="1">
      <c r="A3170" s="2" t="s">
        <v>40</v>
      </c>
      <c r="B3170" s="2">
        <v>1999</v>
      </c>
      <c r="C3170" s="2" t="s">
        <v>22</v>
      </c>
      <c r="D3170" s="2">
        <v>1.6379999999999999</v>
      </c>
      <c r="E3170" s="2">
        <v>2.4790000000000001</v>
      </c>
      <c r="P3170" s="3">
        <f>E3170*(VLOOKUP(B3170,Price_data!A$1:B$190,2,FALSE))</f>
        <v>2.5523252105760004</v>
      </c>
      <c r="Q3170" s="3">
        <f>G3170*(VLOOKUP(B3170,Price_data!A$1:B$190,2,FALSE))</f>
        <v>0</v>
      </c>
      <c r="R3170" s="3">
        <f>I3170*(VLOOKUP(B3170,Price_data!A$1:B$190,2,FALSE))</f>
        <v>0</v>
      </c>
      <c r="S3170" s="4" t="str">
        <f>(VLOOKUP(B3170,Price_data!A$1:C$190,3,FALSE))</f>
        <v>EEZ</v>
      </c>
      <c r="T3170" s="2" t="str">
        <f>IF(C3170="Total", (VLOOKUP(B3170,Recommended_fish_intake!A$4:D$122,4,FALSE)), "NA")</f>
        <v>NA</v>
      </c>
      <c r="U3170" s="2" t="str">
        <f t="shared" si="355"/>
        <v>NA</v>
      </c>
    </row>
    <row r="3171" spans="1:21" ht="14.25" customHeight="1">
      <c r="A3171" s="2" t="s">
        <v>40</v>
      </c>
      <c r="B3171" s="2">
        <v>1999</v>
      </c>
      <c r="C3171" s="2" t="s">
        <v>23</v>
      </c>
      <c r="D3171" s="2">
        <v>1.5549999999999999</v>
      </c>
      <c r="E3171" s="2">
        <v>1.599</v>
      </c>
      <c r="P3171" s="3">
        <f>E3171*(VLOOKUP(B3171,Price_data!A$1:B$190,2,FALSE))</f>
        <v>1.6462960918560001</v>
      </c>
      <c r="Q3171" s="3">
        <f>G3171*(VLOOKUP(B3171,Price_data!A$1:B$190,2,FALSE))</f>
        <v>0</v>
      </c>
      <c r="R3171" s="3">
        <f>I3171*(VLOOKUP(B3171,Price_data!A$1:B$190,2,FALSE))</f>
        <v>0</v>
      </c>
      <c r="S3171" s="4" t="str">
        <f>(VLOOKUP(B3171,Price_data!A$1:C$190,3,FALSE))</f>
        <v>EEZ</v>
      </c>
      <c r="T3171" s="2" t="str">
        <f>IF(C3171="Total", (VLOOKUP(B3171,Recommended_fish_intake!A$4:D$122,4,FALSE)), "NA")</f>
        <v>NA</v>
      </c>
      <c r="U3171" s="2" t="str">
        <f t="shared" si="355"/>
        <v>NA</v>
      </c>
    </row>
    <row r="3172" spans="1:21" ht="14.25" customHeight="1">
      <c r="A3172" s="2" t="s">
        <v>40</v>
      </c>
      <c r="B3172" s="2">
        <v>1999</v>
      </c>
      <c r="C3172" s="2" t="s">
        <v>58</v>
      </c>
      <c r="D3172" s="2">
        <v>0.27500000000000002</v>
      </c>
      <c r="E3172" s="2">
        <v>0.50800000000000001</v>
      </c>
      <c r="P3172" s="3">
        <f>E3172*(VLOOKUP(B3172,Price_data!A$1:B$190,2,FALSE))</f>
        <v>0.52302590035200003</v>
      </c>
      <c r="Q3172" s="3">
        <f>G3172*(VLOOKUP(B3172,Price_data!A$1:B$190,2,FALSE))</f>
        <v>0</v>
      </c>
      <c r="R3172" s="3">
        <f>I3172*(VLOOKUP(B3172,Price_data!A$1:B$190,2,FALSE))</f>
        <v>0</v>
      </c>
      <c r="S3172" s="4" t="str">
        <f>(VLOOKUP(B3172,Price_data!A$1:C$190,3,FALSE))</f>
        <v>EEZ</v>
      </c>
      <c r="T3172" s="2" t="str">
        <f>IF(C3172="Total", (VLOOKUP(B3172,Recommended_fish_intake!A$4:D$122,4,FALSE)), "NA")</f>
        <v>NA</v>
      </c>
      <c r="U3172" s="2" t="str">
        <f t="shared" si="355"/>
        <v>NA</v>
      </c>
    </row>
    <row r="3173" spans="1:21" ht="14.25" customHeight="1">
      <c r="A3173" s="2" t="s">
        <v>40</v>
      </c>
      <c r="B3173" s="2">
        <v>1999</v>
      </c>
      <c r="C3173" s="2" t="s">
        <v>24</v>
      </c>
      <c r="D3173" s="2">
        <v>1.159</v>
      </c>
      <c r="E3173" s="2">
        <v>0.73599999999999999</v>
      </c>
      <c r="P3173" s="3">
        <f>E3173*(VLOOKUP(B3173,Price_data!A$1:B$190,2,FALSE))</f>
        <v>0.75776980838399999</v>
      </c>
      <c r="Q3173" s="3">
        <f>G3173*(VLOOKUP(B3173,Price_data!A$1:B$190,2,FALSE))</f>
        <v>0</v>
      </c>
      <c r="R3173" s="3">
        <f>I3173*(VLOOKUP(B3173,Price_data!A$1:B$190,2,FALSE))</f>
        <v>0</v>
      </c>
      <c r="S3173" s="4" t="str">
        <f>(VLOOKUP(B3173,Price_data!A$1:C$190,3,FALSE))</f>
        <v>EEZ</v>
      </c>
      <c r="T3173" s="2" t="str">
        <f>IF(C3173="Total", (VLOOKUP(B3173,Recommended_fish_intake!A$4:D$122,4,FALSE)), "NA")</f>
        <v>NA</v>
      </c>
      <c r="U3173" s="2" t="str">
        <f t="shared" si="355"/>
        <v>NA</v>
      </c>
    </row>
    <row r="3174" spans="1:21" ht="14.25" customHeight="1">
      <c r="A3174" s="2" t="s">
        <v>40</v>
      </c>
      <c r="B3174" s="2">
        <v>1999</v>
      </c>
      <c r="C3174" s="2" t="s">
        <v>41</v>
      </c>
      <c r="D3174" s="2">
        <v>8.18</v>
      </c>
      <c r="E3174" s="2">
        <v>9.2260000000000009</v>
      </c>
      <c r="P3174" s="3">
        <f>E3174*(VLOOKUP(B3174,Price_data!A$1:B$190,2,FALSE))</f>
        <v>9.498891646944001</v>
      </c>
      <c r="Q3174" s="3">
        <f>G3174*(VLOOKUP(B3174,Price_data!A$1:B$190,2,FALSE))</f>
        <v>0</v>
      </c>
      <c r="R3174" s="3">
        <f>I3174*(VLOOKUP(B3174,Price_data!A$1:B$190,2,FALSE))</f>
        <v>0</v>
      </c>
      <c r="S3174" s="4" t="str">
        <f>(VLOOKUP(B3174,Price_data!A$1:C$190,3,FALSE))</f>
        <v>EEZ</v>
      </c>
      <c r="T3174" s="2" t="str">
        <f>IF(C3174="Total", (VLOOKUP(B3174,Recommended_fish_intake!A$4:D$122,4,FALSE)), "NA")</f>
        <v>NA</v>
      </c>
      <c r="U3174" s="2" t="str">
        <f t="shared" si="355"/>
        <v>NA</v>
      </c>
    </row>
    <row r="3175" spans="1:21" ht="14.25" customHeight="1">
      <c r="A3175" s="2" t="s">
        <v>40</v>
      </c>
      <c r="B3175" s="2">
        <v>1999</v>
      </c>
      <c r="C3175" s="2" t="s">
        <v>19</v>
      </c>
      <c r="D3175" s="2">
        <v>2.6739999999999999</v>
      </c>
      <c r="E3175" s="2">
        <v>0.27600000000000002</v>
      </c>
      <c r="P3175" s="3">
        <f>E3175*(VLOOKUP(B3175,Price_data!A$1:B$190,2,FALSE))</f>
        <v>0.28416367814400001</v>
      </c>
      <c r="Q3175" s="3">
        <f>G3175*(VLOOKUP(B3175,Price_data!A$1:B$190,2,FALSE))</f>
        <v>0</v>
      </c>
      <c r="R3175" s="3">
        <f>I3175*(VLOOKUP(B3175,Price_data!A$1:B$190,2,FALSE))</f>
        <v>0</v>
      </c>
      <c r="S3175" s="4" t="str">
        <f>(VLOOKUP(B3175,Price_data!A$1:C$190,3,FALSE))</f>
        <v>EEZ</v>
      </c>
      <c r="T3175" s="2" t="str">
        <f>IF(C3175="Total", (VLOOKUP(B3175,Recommended_fish_intake!A$4:D$122,4,FALSE)), "NA")</f>
        <v>NA</v>
      </c>
      <c r="U3175" s="2" t="str">
        <f t="shared" si="355"/>
        <v>NA</v>
      </c>
    </row>
    <row r="3176" spans="1:21" ht="14.25" customHeight="1">
      <c r="A3176" s="2" t="s">
        <v>40</v>
      </c>
      <c r="B3176" s="2">
        <v>1999</v>
      </c>
      <c r="C3176" s="2" t="s">
        <v>20</v>
      </c>
      <c r="D3176" s="2">
        <v>0.45300000000000001</v>
      </c>
      <c r="E3176" s="2">
        <v>8.2000000000000003E-2</v>
      </c>
      <c r="P3176" s="3">
        <f>E3176*(VLOOKUP(B3176,Price_data!A$1:B$190,2,FALSE))</f>
        <v>8.4425440608000002E-2</v>
      </c>
      <c r="Q3176" s="3">
        <f>G3176*(VLOOKUP(B3176,Price_data!A$1:B$190,2,FALSE))</f>
        <v>0</v>
      </c>
      <c r="R3176" s="3">
        <f>I3176*(VLOOKUP(B3176,Price_data!A$1:B$190,2,FALSE))</f>
        <v>0</v>
      </c>
      <c r="S3176" s="4" t="str">
        <f>(VLOOKUP(B3176,Price_data!A$1:C$190,3,FALSE))</f>
        <v>EEZ</v>
      </c>
      <c r="T3176" s="2" t="str">
        <f>IF(C3176="Total", (VLOOKUP(B3176,Recommended_fish_intake!A$4:D$122,4,FALSE)), "NA")</f>
        <v>NA</v>
      </c>
      <c r="U3176" s="2" t="str">
        <f t="shared" si="355"/>
        <v>NA</v>
      </c>
    </row>
    <row r="3177" spans="1:21" ht="14.25" customHeight="1">
      <c r="A3177" s="2" t="s">
        <v>40</v>
      </c>
      <c r="B3177" s="2">
        <v>1999</v>
      </c>
      <c r="C3177" s="2" t="s">
        <v>42</v>
      </c>
      <c r="D3177" s="2">
        <v>4.1340000000000003</v>
      </c>
      <c r="E3177" s="2">
        <v>0.41499999999999998</v>
      </c>
      <c r="P3177" s="3">
        <f>E3177*(VLOOKUP(B3177,Price_data!A$1:B$190,2,FALSE))</f>
        <v>0.42727509576</v>
      </c>
      <c r="Q3177" s="3">
        <f>G3177*(VLOOKUP(B3177,Price_data!A$1:B$190,2,FALSE))</f>
        <v>0</v>
      </c>
      <c r="R3177" s="3">
        <f>I3177*(VLOOKUP(B3177,Price_data!A$1:B$190,2,FALSE))</f>
        <v>0</v>
      </c>
      <c r="S3177" s="4" t="str">
        <f>(VLOOKUP(B3177,Price_data!A$1:C$190,3,FALSE))</f>
        <v>EEZ</v>
      </c>
      <c r="T3177" s="2" t="str">
        <f>IF(C3177="Total", (VLOOKUP(B3177,Recommended_fish_intake!A$4:D$122,4,FALSE)), "NA")</f>
        <v>NA</v>
      </c>
      <c r="U3177" s="2" t="str">
        <f t="shared" si="355"/>
        <v>NA</v>
      </c>
    </row>
    <row r="3178" spans="1:21" ht="14.25" customHeight="1">
      <c r="A3178" s="2" t="s">
        <v>40</v>
      </c>
      <c r="B3178" s="2">
        <v>1999</v>
      </c>
      <c r="C3178" s="2" t="s">
        <v>36</v>
      </c>
      <c r="D3178" s="2">
        <v>0.316</v>
      </c>
      <c r="E3178" s="2">
        <v>0.26100000000000001</v>
      </c>
      <c r="P3178" s="3">
        <f>E3178*(VLOOKUP(B3178,Price_data!A$1:B$190,2,FALSE))</f>
        <v>0.26871999998400004</v>
      </c>
      <c r="Q3178" s="3">
        <f>G3178*(VLOOKUP(B3178,Price_data!A$1:B$190,2,FALSE))</f>
        <v>0</v>
      </c>
      <c r="R3178" s="3">
        <f>I3178*(VLOOKUP(B3178,Price_data!A$1:B$190,2,FALSE))</f>
        <v>0</v>
      </c>
      <c r="S3178" s="4" t="str">
        <f>(VLOOKUP(B3178,Price_data!A$1:C$190,3,FALSE))</f>
        <v>EEZ</v>
      </c>
      <c r="T3178" s="2" t="str">
        <f>IF(C3178="Total", (VLOOKUP(B3178,Recommended_fish_intake!A$4:D$122,4,FALSE)), "NA")</f>
        <v>NA</v>
      </c>
      <c r="U3178" s="2" t="str">
        <f t="shared" si="355"/>
        <v>NA</v>
      </c>
    </row>
    <row r="3179" spans="1:21" ht="14.25" customHeight="1">
      <c r="A3179" s="2" t="s">
        <v>40</v>
      </c>
      <c r="B3179" s="2">
        <v>1999</v>
      </c>
      <c r="C3179" s="2" t="s">
        <v>34</v>
      </c>
      <c r="D3179" s="2">
        <v>0</v>
      </c>
      <c r="E3179" s="2">
        <v>0.09</v>
      </c>
      <c r="P3179" s="3">
        <f>E3179*(VLOOKUP(B3179,Price_data!A$1:B$190,2,FALSE))</f>
        <v>9.2662068959999996E-2</v>
      </c>
      <c r="Q3179" s="3">
        <f>G3179*(VLOOKUP(B3179,Price_data!A$1:B$190,2,FALSE))</f>
        <v>0</v>
      </c>
      <c r="R3179" s="3">
        <f>I3179*(VLOOKUP(B3179,Price_data!A$1:B$190,2,FALSE))</f>
        <v>0</v>
      </c>
      <c r="S3179" s="4" t="str">
        <f>(VLOOKUP(B3179,Price_data!A$1:C$190,3,FALSE))</f>
        <v>EEZ</v>
      </c>
      <c r="T3179" s="2" t="str">
        <f>IF(C3179="Total", (VLOOKUP(B3179,Recommended_fish_intake!A$4:D$122,4,FALSE)), "NA")</f>
        <v>NA</v>
      </c>
      <c r="U3179" s="2" t="str">
        <f t="shared" si="355"/>
        <v>NA</v>
      </c>
    </row>
    <row r="3180" spans="1:21" ht="14.25" customHeight="1">
      <c r="A3180" s="2" t="s">
        <v>40</v>
      </c>
      <c r="B3180" s="2">
        <v>1999</v>
      </c>
      <c r="C3180" s="2" t="s">
        <v>35</v>
      </c>
      <c r="D3180" s="2">
        <v>6.2480000000000002</v>
      </c>
      <c r="E3180" s="2">
        <v>10.545</v>
      </c>
      <c r="P3180" s="3">
        <f>E3180*(VLOOKUP(B3180,Price_data!A$1:B$190,2,FALSE))</f>
        <v>10.856905746480001</v>
      </c>
      <c r="Q3180" s="3">
        <f>G3180*(VLOOKUP(B3180,Price_data!A$1:B$190,2,FALSE))</f>
        <v>0</v>
      </c>
      <c r="R3180" s="3">
        <f>I3180*(VLOOKUP(B3180,Price_data!A$1:B$190,2,FALSE))</f>
        <v>0</v>
      </c>
      <c r="S3180" s="4" t="str">
        <f>(VLOOKUP(B3180,Price_data!A$1:C$190,3,FALSE))</f>
        <v>EEZ</v>
      </c>
      <c r="T3180" s="2" t="str">
        <f>IF(C3180="Total", (VLOOKUP(B3180,Recommended_fish_intake!A$4:D$122,4,FALSE)), "NA")</f>
        <v>NA</v>
      </c>
      <c r="U3180" s="2" t="str">
        <f t="shared" si="355"/>
        <v>NA</v>
      </c>
    </row>
    <row r="3181" spans="1:21" ht="14.25" customHeight="1">
      <c r="A3181" s="2" t="s">
        <v>40</v>
      </c>
      <c r="B3181" s="2">
        <v>1999</v>
      </c>
      <c r="C3181" s="2" t="s">
        <v>52</v>
      </c>
      <c r="D3181" s="2">
        <v>0.58199999999999996</v>
      </c>
      <c r="E3181" s="2">
        <v>0.73199999999999998</v>
      </c>
      <c r="P3181" s="3">
        <f>E3181*(VLOOKUP(B3181,Price_data!A$1:B$190,2,FALSE))</f>
        <v>0.75365149420800004</v>
      </c>
      <c r="Q3181" s="3">
        <f>G3181*(VLOOKUP(B3181,Price_data!A$1:B$190,2,FALSE))</f>
        <v>0</v>
      </c>
      <c r="R3181" s="3">
        <f>I3181*(VLOOKUP(B3181,Price_data!A$1:B$190,2,FALSE))</f>
        <v>0</v>
      </c>
      <c r="S3181" s="4" t="str">
        <f>(VLOOKUP(B3181,Price_data!A$1:C$190,3,FALSE))</f>
        <v>EEZ</v>
      </c>
      <c r="T3181" s="2" t="str">
        <f>IF(C3181="Total", (VLOOKUP(B3181,Recommended_fish_intake!A$4:D$122,4,FALSE)), "NA")</f>
        <v>NA</v>
      </c>
      <c r="U3181" s="2" t="str">
        <f t="shared" si="355"/>
        <v>NA</v>
      </c>
    </row>
    <row r="3182" spans="1:21" ht="14.25" customHeight="1">
      <c r="A3182" s="2" t="s">
        <v>40</v>
      </c>
      <c r="B3182" s="2">
        <v>1999</v>
      </c>
      <c r="C3182" s="2" t="s">
        <v>30</v>
      </c>
      <c r="D3182" s="2">
        <v>0</v>
      </c>
      <c r="E3182" s="2">
        <v>0</v>
      </c>
      <c r="P3182" s="3">
        <f>E3182*(VLOOKUP(B3182,Price_data!A$1:B$190,2,FALSE))</f>
        <v>0</v>
      </c>
      <c r="Q3182" s="3">
        <f>G3182*(VLOOKUP(B3182,Price_data!A$1:B$190,2,FALSE))</f>
        <v>0</v>
      </c>
      <c r="R3182" s="3">
        <f>I3182*(VLOOKUP(B3182,Price_data!A$1:B$190,2,FALSE))</f>
        <v>0</v>
      </c>
      <c r="S3182" s="4" t="str">
        <f>(VLOOKUP(B3182,Price_data!A$1:C$190,3,FALSE))</f>
        <v>EEZ</v>
      </c>
      <c r="T3182" s="2" t="str">
        <f>IF(C3182="Total", (VLOOKUP(B3182,Recommended_fish_intake!A$4:D$122,4,FALSE)), "NA")</f>
        <v>NA</v>
      </c>
      <c r="U3182" s="2" t="str">
        <f t="shared" si="355"/>
        <v>NA</v>
      </c>
    </row>
    <row r="3183" spans="1:21" ht="14.25" customHeight="1">
      <c r="A3183" s="2" t="s">
        <v>40</v>
      </c>
      <c r="B3183" s="2">
        <v>1999</v>
      </c>
      <c r="C3183" s="2" t="s">
        <v>28</v>
      </c>
      <c r="D3183" s="2">
        <v>7.2169999999999996</v>
      </c>
      <c r="E3183" s="2">
        <v>11.739000000000001</v>
      </c>
      <c r="P3183" s="3">
        <f>E3183*(VLOOKUP(B3183,Price_data!A$1:B$190,2,FALSE))</f>
        <v>12.086222528016002</v>
      </c>
      <c r="Q3183" s="3">
        <f>G3183*(VLOOKUP(B3183,Price_data!A$1:B$190,2,FALSE))</f>
        <v>0</v>
      </c>
      <c r="R3183" s="3">
        <f>I3183*(VLOOKUP(B3183,Price_data!A$1:B$190,2,FALSE))</f>
        <v>0</v>
      </c>
      <c r="S3183" s="4" t="str">
        <f>(VLOOKUP(B3183,Price_data!A$1:C$190,3,FALSE))</f>
        <v>EEZ</v>
      </c>
      <c r="T3183" s="2" t="str">
        <f>IF(C3183="Total", (VLOOKUP(B3183,Recommended_fish_intake!A$4:D$122,4,FALSE)), "NA")</f>
        <v>NA</v>
      </c>
      <c r="U3183" s="2">
        <f t="shared" si="355"/>
        <v>2.0207600000000001</v>
      </c>
    </row>
    <row r="3184" spans="1:21" ht="14.25" customHeight="1">
      <c r="A3184" s="2" t="s">
        <v>40</v>
      </c>
      <c r="B3184" s="2">
        <v>1999</v>
      </c>
      <c r="C3184" s="4" t="s">
        <v>37</v>
      </c>
      <c r="D3184" s="3">
        <f>D3056+D3008</f>
        <v>27.079000000000001</v>
      </c>
      <c r="E3184" s="3">
        <f>E3056+E3008</f>
        <v>21.597000000000001</v>
      </c>
      <c r="P3184" s="3">
        <f>E3184*(VLOOKUP(B3184,Price_data!A$1:B$190,2,FALSE))</f>
        <v>22.235807814768002</v>
      </c>
      <c r="Q3184" s="3">
        <f>G3184*(VLOOKUP(B3184,Price_data!A$1:B$190,2,FALSE))</f>
        <v>0</v>
      </c>
      <c r="R3184" s="3">
        <f>I3184*(VLOOKUP(B3184,Price_data!A$1:B$190,2,FALSE))</f>
        <v>0</v>
      </c>
      <c r="S3184" s="4" t="str">
        <f>(VLOOKUP(B3184,Price_data!A$1:C$190,3,FALSE))</f>
        <v>EEZ</v>
      </c>
      <c r="T3184" s="2" t="str">
        <f>IF(C3184="Total", (VLOOKUP(B3184,Recommended_fish_intake!A$4:D$122,4,FALSE)), "NA")</f>
        <v>NA</v>
      </c>
      <c r="U3184" s="2">
        <f t="shared" si="355"/>
        <v>13.26871</v>
      </c>
    </row>
    <row r="3185" spans="1:21" ht="14.25" customHeight="1">
      <c r="A3185" s="2" t="s">
        <v>39</v>
      </c>
      <c r="B3185" s="2">
        <v>1999</v>
      </c>
      <c r="C3185" s="4" t="s">
        <v>37</v>
      </c>
      <c r="D3185" s="3">
        <f>D2801+D2753</f>
        <v>88.256999999999991</v>
      </c>
      <c r="E3185" s="3">
        <f>E2801+E2753</f>
        <v>63.343000000000004</v>
      </c>
      <c r="P3185" s="3">
        <f>E3185*(VLOOKUP(B3185,Price_data!A$1:B$190,2,FALSE))</f>
        <v>65.216593712592001</v>
      </c>
      <c r="Q3185" s="3">
        <f>G3185*(VLOOKUP(B3185,Price_data!A$1:B$190,2,FALSE))</f>
        <v>0</v>
      </c>
      <c r="R3185" s="3">
        <f>I3185*(VLOOKUP(B3185,Price_data!A$1:B$190,2,FALSE))</f>
        <v>0</v>
      </c>
      <c r="S3185" s="4" t="str">
        <f>(VLOOKUP(B3185,Price_data!A$1:C$190,3,FALSE))</f>
        <v>EEZ</v>
      </c>
      <c r="T3185" s="2" t="str">
        <f>IF(C3185="Total", (VLOOKUP(B3185,Recommended_fish_intake!A$4:D$122,4,FALSE)), "NA")</f>
        <v>NA</v>
      </c>
      <c r="U3185" s="2">
        <f t="shared" si="355"/>
        <v>43.245929999999994</v>
      </c>
    </row>
    <row r="3186" spans="1:21" ht="14.25" customHeight="1">
      <c r="A3186" s="2" t="s">
        <v>18</v>
      </c>
      <c r="B3186" s="2">
        <v>1999</v>
      </c>
      <c r="C3186" s="2" t="s">
        <v>22</v>
      </c>
      <c r="D3186" s="3">
        <f t="shared" ref="D3186:E3199" si="356">D2434+D2194</f>
        <v>171.631</v>
      </c>
      <c r="E3186" s="3">
        <f t="shared" si="356"/>
        <v>149.11599999999999</v>
      </c>
      <c r="P3186" s="3">
        <f>E3186*(VLOOKUP(B3186,Price_data!A$1:B$190,2,FALSE))</f>
        <v>153.52663416710399</v>
      </c>
      <c r="Q3186" s="3">
        <f>G3186*(VLOOKUP(B3186,Price_data!A$1:B$190,2,FALSE))</f>
        <v>0</v>
      </c>
      <c r="R3186" s="3">
        <f>I3186*(VLOOKUP(B3186,Price_data!A$1:B$190,2,FALSE))</f>
        <v>0</v>
      </c>
      <c r="S3186" s="4" t="str">
        <f>(VLOOKUP(B3186,Price_data!A$1:C$190,3,FALSE))</f>
        <v>EEZ</v>
      </c>
      <c r="T3186" s="2" t="str">
        <f>IF(C3186="Total", (VLOOKUP(B3186,Recommended_fish_intake!A$4:D$122,4,FALSE)), "NA")</f>
        <v>NA</v>
      </c>
      <c r="U3186" s="2" t="str">
        <f t="shared" si="355"/>
        <v>NA</v>
      </c>
    </row>
    <row r="3187" spans="1:21" ht="14.25" customHeight="1">
      <c r="A3187" s="2" t="s">
        <v>18</v>
      </c>
      <c r="B3187" s="2">
        <v>1999</v>
      </c>
      <c r="C3187" s="2" t="s">
        <v>23</v>
      </c>
      <c r="D3187" s="3">
        <f t="shared" si="356"/>
        <v>524.78199999999993</v>
      </c>
      <c r="E3187" s="3">
        <f t="shared" si="356"/>
        <v>300.23500000000001</v>
      </c>
      <c r="P3187" s="3">
        <f>E3187*(VLOOKUP(B3187,Price_data!A$1:B$190,2,FALSE))</f>
        <v>309.11551415784004</v>
      </c>
      <c r="Q3187" s="3">
        <f>G3187*(VLOOKUP(B3187,Price_data!A$1:B$190,2,FALSE))</f>
        <v>0</v>
      </c>
      <c r="R3187" s="3">
        <f>I3187*(VLOOKUP(B3187,Price_data!A$1:B$190,2,FALSE))</f>
        <v>0</v>
      </c>
      <c r="S3187" s="4" t="str">
        <f>(VLOOKUP(B3187,Price_data!A$1:C$190,3,FALSE))</f>
        <v>EEZ</v>
      </c>
      <c r="T3187" s="2" t="str">
        <f>IF(C3187="Total", (VLOOKUP(B3187,Recommended_fish_intake!A$4:D$122,4,FALSE)), "NA")</f>
        <v>NA</v>
      </c>
      <c r="U3187" s="2" t="str">
        <f t="shared" si="355"/>
        <v>NA</v>
      </c>
    </row>
    <row r="3188" spans="1:21" ht="14.25" customHeight="1">
      <c r="A3188" s="2" t="s">
        <v>18</v>
      </c>
      <c r="B3188" s="2">
        <v>1999</v>
      </c>
      <c r="C3188" s="2" t="s">
        <v>58</v>
      </c>
      <c r="D3188" s="3">
        <f t="shared" si="356"/>
        <v>78.150000000000006</v>
      </c>
      <c r="E3188" s="3">
        <f t="shared" si="356"/>
        <v>69.075999999999993</v>
      </c>
      <c r="P3188" s="3">
        <f>E3188*(VLOOKUP(B3188,Price_data!A$1:B$190,2,FALSE))</f>
        <v>71.119167505343995</v>
      </c>
      <c r="Q3188" s="3">
        <f>G3188*(VLOOKUP(B3188,Price_data!A$1:B$190,2,FALSE))</f>
        <v>0</v>
      </c>
      <c r="R3188" s="3">
        <f>I3188*(VLOOKUP(B3188,Price_data!A$1:B$190,2,FALSE))</f>
        <v>0</v>
      </c>
      <c r="S3188" s="4" t="str">
        <f>(VLOOKUP(B3188,Price_data!A$1:C$190,3,FALSE))</f>
        <v>EEZ</v>
      </c>
      <c r="T3188" s="2" t="str">
        <f>IF(C3188="Total", (VLOOKUP(B3188,Recommended_fish_intake!A$4:D$122,4,FALSE)), "NA")</f>
        <v>NA</v>
      </c>
      <c r="U3188" s="2" t="str">
        <f t="shared" si="355"/>
        <v>NA</v>
      </c>
    </row>
    <row r="3189" spans="1:21" ht="14.25" customHeight="1">
      <c r="A3189" s="2" t="s">
        <v>18</v>
      </c>
      <c r="B3189" s="2">
        <v>1999</v>
      </c>
      <c r="C3189" s="2" t="s">
        <v>24</v>
      </c>
      <c r="D3189" s="3">
        <f t="shared" si="356"/>
        <v>745.505</v>
      </c>
      <c r="E3189" s="3">
        <f t="shared" si="356"/>
        <v>503.91300000000001</v>
      </c>
      <c r="P3189" s="3">
        <f>E3189*(VLOOKUP(B3189,Price_data!A$1:B$190,2,FALSE))</f>
        <v>518.81801284267203</v>
      </c>
      <c r="Q3189" s="3">
        <f>G3189*(VLOOKUP(B3189,Price_data!A$1:B$190,2,FALSE))</f>
        <v>0</v>
      </c>
      <c r="R3189" s="3">
        <f>I3189*(VLOOKUP(B3189,Price_data!A$1:B$190,2,FALSE))</f>
        <v>0</v>
      </c>
      <c r="S3189" s="4" t="str">
        <f>(VLOOKUP(B3189,Price_data!A$1:C$190,3,FALSE))</f>
        <v>EEZ</v>
      </c>
      <c r="T3189" s="2" t="str">
        <f>IF(C3189="Total", (VLOOKUP(B3189,Recommended_fish_intake!A$4:D$122,4,FALSE)), "NA")</f>
        <v>NA</v>
      </c>
      <c r="U3189" s="2" t="str">
        <f t="shared" si="355"/>
        <v>NA</v>
      </c>
    </row>
    <row r="3190" spans="1:21" ht="14.25" customHeight="1">
      <c r="A3190" s="2" t="s">
        <v>18</v>
      </c>
      <c r="B3190" s="2">
        <v>1999</v>
      </c>
      <c r="C3190" s="2" t="s">
        <v>41</v>
      </c>
      <c r="D3190" s="3">
        <f t="shared" si="356"/>
        <v>23.762999999999998</v>
      </c>
      <c r="E3190" s="3">
        <f t="shared" si="356"/>
        <v>14.942</v>
      </c>
      <c r="P3190" s="3">
        <f>E3190*(VLOOKUP(B3190,Price_data!A$1:B$190,2,FALSE))</f>
        <v>15.383962604448001</v>
      </c>
      <c r="Q3190" s="3">
        <f>G3190*(VLOOKUP(B3190,Price_data!A$1:B$190,2,FALSE))</f>
        <v>0</v>
      </c>
      <c r="R3190" s="3">
        <f>I3190*(VLOOKUP(B3190,Price_data!A$1:B$190,2,FALSE))</f>
        <v>0</v>
      </c>
      <c r="S3190" s="4" t="str">
        <f>(VLOOKUP(B3190,Price_data!A$1:C$190,3,FALSE))</f>
        <v>EEZ</v>
      </c>
      <c r="T3190" s="2" t="str">
        <f>IF(C3190="Total", (VLOOKUP(B3190,Recommended_fish_intake!A$4:D$122,4,FALSE)), "NA")</f>
        <v>NA</v>
      </c>
      <c r="U3190" s="2" t="str">
        <f t="shared" si="355"/>
        <v>NA</v>
      </c>
    </row>
    <row r="3191" spans="1:21" ht="14.25" customHeight="1">
      <c r="A3191" s="2" t="s">
        <v>18</v>
      </c>
      <c r="B3191" s="2">
        <v>1999</v>
      </c>
      <c r="C3191" s="2" t="s">
        <v>19</v>
      </c>
      <c r="D3191" s="3">
        <f t="shared" si="356"/>
        <v>217.97300000000001</v>
      </c>
      <c r="E3191" s="3">
        <f t="shared" si="356"/>
        <v>30.113</v>
      </c>
      <c r="P3191" s="3">
        <f>E3191*(VLOOKUP(B3191,Price_data!A$1:B$190,2,FALSE))</f>
        <v>31.003698695472</v>
      </c>
      <c r="Q3191" s="3">
        <f>G3191*(VLOOKUP(B3191,Price_data!A$1:B$190,2,FALSE))</f>
        <v>0</v>
      </c>
      <c r="R3191" s="3">
        <f>I3191*(VLOOKUP(B3191,Price_data!A$1:B$190,2,FALSE))</f>
        <v>0</v>
      </c>
      <c r="S3191" s="4" t="str">
        <f>(VLOOKUP(B3191,Price_data!A$1:C$190,3,FALSE))</f>
        <v>EEZ</v>
      </c>
      <c r="T3191" s="2" t="str">
        <f>IF(C3191="Total", (VLOOKUP(B3191,Recommended_fish_intake!A$4:D$122,4,FALSE)), "NA")</f>
        <v>NA</v>
      </c>
      <c r="U3191" s="2" t="str">
        <f t="shared" si="355"/>
        <v>NA</v>
      </c>
    </row>
    <row r="3192" spans="1:21" ht="14.25" customHeight="1">
      <c r="A3192" s="2" t="s">
        <v>18</v>
      </c>
      <c r="B3192" s="2">
        <v>1999</v>
      </c>
      <c r="C3192" s="2" t="s">
        <v>20</v>
      </c>
      <c r="D3192" s="3">
        <f t="shared" si="356"/>
        <v>45.125</v>
      </c>
      <c r="E3192" s="3">
        <f t="shared" si="356"/>
        <v>20.84</v>
      </c>
      <c r="P3192" s="3">
        <f>E3192*(VLOOKUP(B3192,Price_data!A$1:B$190,2,FALSE))</f>
        <v>21.456416856960001</v>
      </c>
      <c r="Q3192" s="3">
        <f>G3192*(VLOOKUP(B3192,Price_data!A$1:B$190,2,FALSE))</f>
        <v>0</v>
      </c>
      <c r="R3192" s="3">
        <f>I3192*(VLOOKUP(B3192,Price_data!A$1:B$190,2,FALSE))</f>
        <v>0</v>
      </c>
      <c r="S3192" s="4" t="str">
        <f>(VLOOKUP(B3192,Price_data!A$1:C$190,3,FALSE))</f>
        <v>EEZ</v>
      </c>
      <c r="T3192" s="2" t="str">
        <f>IF(C3192="Total", (VLOOKUP(B3192,Recommended_fish_intake!A$4:D$122,4,FALSE)), "NA")</f>
        <v>NA</v>
      </c>
      <c r="U3192" s="2" t="str">
        <f t="shared" si="355"/>
        <v>NA</v>
      </c>
    </row>
    <row r="3193" spans="1:21" ht="14.25" customHeight="1">
      <c r="A3193" s="2" t="s">
        <v>18</v>
      </c>
      <c r="B3193" s="2">
        <v>1999</v>
      </c>
      <c r="C3193" s="2" t="s">
        <v>42</v>
      </c>
      <c r="D3193" s="3">
        <f t="shared" si="356"/>
        <v>329.40199999999999</v>
      </c>
      <c r="E3193" s="3">
        <f t="shared" si="356"/>
        <v>39.817</v>
      </c>
      <c r="P3193" s="3">
        <f>E3193*(VLOOKUP(B3193,Price_data!A$1:B$190,2,FALSE))</f>
        <v>40.994728886448002</v>
      </c>
      <c r="Q3193" s="3">
        <f>G3193*(VLOOKUP(B3193,Price_data!A$1:B$190,2,FALSE))</f>
        <v>0</v>
      </c>
      <c r="R3193" s="3">
        <f>I3193*(VLOOKUP(B3193,Price_data!A$1:B$190,2,FALSE))</f>
        <v>0</v>
      </c>
      <c r="S3193" s="4" t="str">
        <f>(VLOOKUP(B3193,Price_data!A$1:C$190,3,FALSE))</f>
        <v>EEZ</v>
      </c>
      <c r="T3193" s="2" t="str">
        <f>IF(C3193="Total", (VLOOKUP(B3193,Recommended_fish_intake!A$4:D$122,4,FALSE)), "NA")</f>
        <v>NA</v>
      </c>
      <c r="U3193" s="2" t="str">
        <f t="shared" si="355"/>
        <v>NA</v>
      </c>
    </row>
    <row r="3194" spans="1:21" ht="14.25" customHeight="1">
      <c r="A3194" s="2" t="s">
        <v>18</v>
      </c>
      <c r="B3194" s="2">
        <v>1999</v>
      </c>
      <c r="C3194" s="2" t="s">
        <v>36</v>
      </c>
      <c r="D3194" s="3">
        <f t="shared" si="356"/>
        <v>179.85400000000001</v>
      </c>
      <c r="E3194" s="3">
        <f t="shared" si="356"/>
        <v>28.247</v>
      </c>
      <c r="P3194" s="3">
        <f>E3194*(VLOOKUP(B3194,Price_data!A$1:B$190,2,FALSE))</f>
        <v>29.082505132368002</v>
      </c>
      <c r="Q3194" s="3">
        <f>G3194*(VLOOKUP(B3194,Price_data!A$1:B$190,2,FALSE))</f>
        <v>0</v>
      </c>
      <c r="R3194" s="3">
        <f>I3194*(VLOOKUP(B3194,Price_data!A$1:B$190,2,FALSE))</f>
        <v>0</v>
      </c>
      <c r="S3194" s="4" t="str">
        <f>(VLOOKUP(B3194,Price_data!A$1:C$190,3,FALSE))</f>
        <v>EEZ</v>
      </c>
      <c r="T3194" s="2" t="str">
        <f>IF(C3194="Total", (VLOOKUP(B3194,Recommended_fish_intake!A$4:D$122,4,FALSE)), "NA")</f>
        <v>NA</v>
      </c>
      <c r="U3194" s="2" t="str">
        <f t="shared" si="355"/>
        <v>NA</v>
      </c>
    </row>
    <row r="3195" spans="1:21" ht="14.25" customHeight="1">
      <c r="A3195" s="2" t="s">
        <v>18</v>
      </c>
      <c r="B3195" s="2">
        <v>1999</v>
      </c>
      <c r="C3195" s="2" t="s">
        <v>34</v>
      </c>
      <c r="D3195" s="3">
        <f t="shared" si="356"/>
        <v>543.52100000000007</v>
      </c>
      <c r="E3195" s="3">
        <f t="shared" si="356"/>
        <v>226.20699999999999</v>
      </c>
      <c r="P3195" s="3">
        <f>E3195*(VLOOKUP(B3195,Price_data!A$1:B$190,2,FALSE))</f>
        <v>232.897873702608</v>
      </c>
      <c r="Q3195" s="3">
        <f>G3195*(VLOOKUP(B3195,Price_data!A$1:B$190,2,FALSE))</f>
        <v>0</v>
      </c>
      <c r="R3195" s="3">
        <f>I3195*(VLOOKUP(B3195,Price_data!A$1:B$190,2,FALSE))</f>
        <v>0</v>
      </c>
      <c r="S3195" s="4" t="str">
        <f>(VLOOKUP(B3195,Price_data!A$1:C$190,3,FALSE))</f>
        <v>EEZ</v>
      </c>
      <c r="T3195" s="2" t="str">
        <f>IF(C3195="Total", (VLOOKUP(B3195,Recommended_fish_intake!A$4:D$122,4,FALSE)), "NA")</f>
        <v>NA</v>
      </c>
      <c r="U3195" s="2" t="str">
        <f t="shared" si="355"/>
        <v>NA</v>
      </c>
    </row>
    <row r="3196" spans="1:21" ht="14.25" customHeight="1">
      <c r="A3196" s="2" t="s">
        <v>18</v>
      </c>
      <c r="B3196" s="2">
        <v>1999</v>
      </c>
      <c r="C3196" s="2" t="s">
        <v>35</v>
      </c>
      <c r="D3196" s="3">
        <f t="shared" si="356"/>
        <v>5.8069999999999995</v>
      </c>
      <c r="E3196" s="3">
        <f t="shared" si="356"/>
        <v>3.234</v>
      </c>
      <c r="P3196" s="3">
        <f>E3196*(VLOOKUP(B3196,Price_data!A$1:B$190,2,FALSE))</f>
        <v>3.3296570112960002</v>
      </c>
      <c r="Q3196" s="3">
        <f>G3196*(VLOOKUP(B3196,Price_data!A$1:B$190,2,FALSE))</f>
        <v>0</v>
      </c>
      <c r="R3196" s="3">
        <f>I3196*(VLOOKUP(B3196,Price_data!A$1:B$190,2,FALSE))</f>
        <v>0</v>
      </c>
      <c r="S3196" s="4" t="str">
        <f>(VLOOKUP(B3196,Price_data!A$1:C$190,3,FALSE))</f>
        <v>EEZ</v>
      </c>
      <c r="T3196" s="2" t="str">
        <f>IF(C3196="Total", (VLOOKUP(B3196,Recommended_fish_intake!A$4:D$122,4,FALSE)), "NA")</f>
        <v>NA</v>
      </c>
      <c r="U3196" s="2" t="str">
        <f t="shared" si="355"/>
        <v>NA</v>
      </c>
    </row>
    <row r="3197" spans="1:21" ht="14.25" customHeight="1">
      <c r="A3197" s="2" t="s">
        <v>18</v>
      </c>
      <c r="B3197" s="2">
        <v>1999</v>
      </c>
      <c r="C3197" s="2" t="s">
        <v>52</v>
      </c>
      <c r="D3197" s="3">
        <f t="shared" si="356"/>
        <v>18.303999999999998</v>
      </c>
      <c r="E3197" s="3">
        <f t="shared" si="356"/>
        <v>23.076000000000001</v>
      </c>
      <c r="P3197" s="3">
        <f>E3197*(VLOOKUP(B3197,Price_data!A$1:B$190,2,FALSE))</f>
        <v>23.758554481344003</v>
      </c>
      <c r="Q3197" s="3">
        <f>G3197*(VLOOKUP(B3197,Price_data!A$1:B$190,2,FALSE))</f>
        <v>0</v>
      </c>
      <c r="R3197" s="3">
        <f>I3197*(VLOOKUP(B3197,Price_data!A$1:B$190,2,FALSE))</f>
        <v>0</v>
      </c>
      <c r="S3197" s="4" t="str">
        <f>(VLOOKUP(B3197,Price_data!A$1:C$190,3,FALSE))</f>
        <v>EEZ</v>
      </c>
      <c r="T3197" s="2" t="str">
        <f>IF(C3197="Total", (VLOOKUP(B3197,Recommended_fish_intake!A$4:D$122,4,FALSE)), "NA")</f>
        <v>NA</v>
      </c>
      <c r="U3197" s="2" t="str">
        <f t="shared" si="355"/>
        <v>NA</v>
      </c>
    </row>
    <row r="3198" spans="1:21" ht="14.25" customHeight="1">
      <c r="A3198" s="2" t="s">
        <v>18</v>
      </c>
      <c r="B3198" s="2">
        <v>1999</v>
      </c>
      <c r="C3198" s="2" t="s">
        <v>30</v>
      </c>
      <c r="D3198" s="3">
        <f t="shared" si="356"/>
        <v>17.036000000000001</v>
      </c>
      <c r="E3198" s="3">
        <f t="shared" si="356"/>
        <v>36.343000000000004</v>
      </c>
      <c r="P3198" s="3">
        <f>E3198*(VLOOKUP(B3198,Price_data!A$1:B$190,2,FALSE))</f>
        <v>37.417973024592008</v>
      </c>
      <c r="Q3198" s="3">
        <f>G3198*(VLOOKUP(B3198,Price_data!A$1:B$190,2,FALSE))</f>
        <v>0</v>
      </c>
      <c r="R3198" s="3">
        <f>I3198*(VLOOKUP(B3198,Price_data!A$1:B$190,2,FALSE))</f>
        <v>0</v>
      </c>
      <c r="S3198" s="4" t="str">
        <f>(VLOOKUP(B3198,Price_data!A$1:C$190,3,FALSE))</f>
        <v>EEZ</v>
      </c>
      <c r="T3198" s="2" t="str">
        <f>IF(C3198="Total", (VLOOKUP(B3198,Recommended_fish_intake!A$4:D$122,4,FALSE)), "NA")</f>
        <v>NA</v>
      </c>
      <c r="U3198" s="2" t="str">
        <f t="shared" si="355"/>
        <v>NA</v>
      </c>
    </row>
    <row r="3199" spans="1:21" ht="14.25" customHeight="1">
      <c r="A3199" s="2" t="s">
        <v>18</v>
      </c>
      <c r="B3199" s="2">
        <v>1999</v>
      </c>
      <c r="C3199" s="2" t="s">
        <v>28</v>
      </c>
      <c r="D3199" s="3">
        <f t="shared" si="356"/>
        <v>5.4580000000000002</v>
      </c>
      <c r="E3199" s="3">
        <f t="shared" si="356"/>
        <v>13.147</v>
      </c>
      <c r="P3199" s="3">
        <f>E3199*(VLOOKUP(B3199,Price_data!A$1:B$190,2,FALSE))</f>
        <v>13.535869117968002</v>
      </c>
      <c r="Q3199" s="3">
        <f>G3199*(VLOOKUP(B3199,Price_data!A$1:B$190,2,FALSE))</f>
        <v>0</v>
      </c>
      <c r="R3199" s="3">
        <f>I3199*(VLOOKUP(B3199,Price_data!A$1:B$190,2,FALSE))</f>
        <v>0</v>
      </c>
      <c r="S3199" s="4" t="str">
        <f>(VLOOKUP(B3199,Price_data!A$1:C$190,3,FALSE))</f>
        <v>EEZ</v>
      </c>
      <c r="T3199" s="2" t="str">
        <f>IF(C3199="Total", (VLOOKUP(B3199,Recommended_fish_intake!A$4:D$122,4,FALSE)), "NA")</f>
        <v>NA</v>
      </c>
      <c r="U3199" s="2">
        <f t="shared" si="355"/>
        <v>1.5282400000000003</v>
      </c>
    </row>
    <row r="3200" spans="1:21" ht="14.25" customHeight="1">
      <c r="A3200" s="2" t="s">
        <v>18</v>
      </c>
      <c r="B3200" s="2">
        <v>1999</v>
      </c>
      <c r="C3200" s="2" t="s">
        <v>37</v>
      </c>
      <c r="D3200" s="3">
        <f>D3024+D3072</f>
        <v>59.602999999999994</v>
      </c>
      <c r="E3200" s="3">
        <f>E3024+E3072</f>
        <v>9.1999999999999993</v>
      </c>
      <c r="P3200" s="3">
        <f>E3200*(VLOOKUP(B3200,Price_data!A$1:B$190,2,FALSE))</f>
        <v>9.4721226047999991</v>
      </c>
      <c r="Q3200" s="3">
        <f>G3200*(VLOOKUP(B3200,Price_data!A$1:B$190,2,FALSE))</f>
        <v>0</v>
      </c>
      <c r="R3200" s="3">
        <f>I3200*(VLOOKUP(B3200,Price_data!A$1:B$190,2,FALSE))</f>
        <v>0</v>
      </c>
      <c r="S3200" s="4" t="str">
        <f>(VLOOKUP(B3200,Price_data!A$1:C$190,3,FALSE))</f>
        <v>EEZ</v>
      </c>
      <c r="T3200" s="2" t="str">
        <f>IF(C3200="Total", (VLOOKUP(B3200,Recommended_fish_intake!A$4:D$122,4,FALSE)), "NA")</f>
        <v>NA</v>
      </c>
      <c r="U3200" s="2">
        <f t="shared" si="355"/>
        <v>29.205469999999998</v>
      </c>
    </row>
    <row r="3201" spans="1:21" ht="14.25" customHeight="1">
      <c r="A3201" s="2" t="s">
        <v>90</v>
      </c>
      <c r="B3201" s="2">
        <v>1999</v>
      </c>
      <c r="C3201" s="2" t="s">
        <v>16</v>
      </c>
      <c r="D3201" s="2">
        <v>137.1</v>
      </c>
      <c r="E3201" s="2">
        <v>160.6</v>
      </c>
      <c r="P3201" s="3">
        <f>E3201*(VLOOKUP(B3201,Price_data!A$1:B$190,2,FALSE))</f>
        <v>165.35031416640001</v>
      </c>
      <c r="Q3201" s="3">
        <f>G3201*(VLOOKUP(B3201,Price_data!A$1:B$190,2,FALSE))</f>
        <v>0</v>
      </c>
      <c r="R3201" s="3">
        <f>I3201*(VLOOKUP(B3201,Price_data!A$1:B$190,2,FALSE))</f>
        <v>0</v>
      </c>
      <c r="S3201" s="4" t="str">
        <f>(VLOOKUP(B3201,Price_data!A$1:C$190,3,FALSE))</f>
        <v>EEZ</v>
      </c>
      <c r="T3201" s="2">
        <f>IF(C3201="Total", (VLOOKUP(B3201,Recommended_fish_intake!A$4:D$122,4,FALSE)), "NA")</f>
        <v>774.41573048112002</v>
      </c>
      <c r="U3201" s="2" t="str">
        <f t="shared" si="355"/>
        <v>NA</v>
      </c>
    </row>
    <row r="3202" spans="1:21" ht="14.25" customHeight="1">
      <c r="A3202" s="2" t="s">
        <v>91</v>
      </c>
      <c r="B3202" s="2">
        <v>1999</v>
      </c>
      <c r="C3202" s="2" t="s">
        <v>16</v>
      </c>
      <c r="D3202" s="2">
        <v>0</v>
      </c>
      <c r="E3202" s="2">
        <v>0</v>
      </c>
      <c r="P3202" s="3">
        <f>E3202*(VLOOKUP(B3202,Price_data!A$1:B$190,2,FALSE))</f>
        <v>0</v>
      </c>
      <c r="Q3202" s="3">
        <f>G3202*(VLOOKUP(B3202,Price_data!A$1:B$190,2,FALSE))</f>
        <v>0</v>
      </c>
      <c r="R3202" s="3">
        <f>I3202*(VLOOKUP(B3202,Price_data!A$1:B$190,2,FALSE))</f>
        <v>0</v>
      </c>
      <c r="S3202" s="4" t="str">
        <f>(VLOOKUP(B3202,Price_data!A$1:C$190,3,FALSE))</f>
        <v>EEZ</v>
      </c>
      <c r="T3202" s="2">
        <f>IF(C3202="Total", (VLOOKUP(B3202,Recommended_fish_intake!A$4:D$122,4,FALSE)), "NA")</f>
        <v>774.41573048112002</v>
      </c>
      <c r="U3202" s="2" t="str">
        <f t="shared" ref="U3202:U3265" si="357">IF(C3202="Wet fish", D3202*0.49, IF(C3202="Shellfish", D3202*0.28, "NA"))</f>
        <v>NA</v>
      </c>
    </row>
    <row r="3203" spans="1:21" ht="14.25" customHeight="1">
      <c r="A3203" s="2" t="s">
        <v>39</v>
      </c>
      <c r="B3203" s="2">
        <v>1999</v>
      </c>
      <c r="C3203" s="2" t="s">
        <v>16</v>
      </c>
      <c r="D3203" s="2">
        <v>349.53800000000001</v>
      </c>
      <c r="E3203" s="2">
        <v>281.93299999999999</v>
      </c>
      <c r="P3203" s="3">
        <f>E3203*(VLOOKUP(B3203,Price_data!A$1:B$190,2,FALSE))</f>
        <v>290.27216764555203</v>
      </c>
      <c r="Q3203" s="3">
        <f>G3203*(VLOOKUP(B3203,Price_data!A$1:B$190,2,FALSE))</f>
        <v>0</v>
      </c>
      <c r="R3203" s="3">
        <f>I3203*(VLOOKUP(B3203,Price_data!A$1:B$190,2,FALSE))</f>
        <v>0</v>
      </c>
      <c r="S3203" s="4" t="str">
        <f>(VLOOKUP(B3203,Price_data!A$1:C$190,3,FALSE))</f>
        <v>EEZ</v>
      </c>
      <c r="T3203" s="2">
        <f>IF(C3203="Total", (VLOOKUP(B3203,Recommended_fish_intake!A$4:D$122,4,FALSE)), "NA")</f>
        <v>774.41573048112002</v>
      </c>
      <c r="U3203" s="2" t="str">
        <f t="shared" si="357"/>
        <v>NA</v>
      </c>
    </row>
    <row r="3204" spans="1:21" ht="14.25" customHeight="1">
      <c r="A3204" s="2" t="s">
        <v>40</v>
      </c>
      <c r="B3204" s="2">
        <v>1999</v>
      </c>
      <c r="C3204" s="2" t="s">
        <v>16</v>
      </c>
      <c r="D3204" s="2">
        <v>19.530999999999999</v>
      </c>
      <c r="E3204" s="2">
        <v>21.379000000000001</v>
      </c>
      <c r="P3204" s="3">
        <f>E3204*(VLOOKUP(B3204,Price_data!A$1:B$190,2,FALSE))</f>
        <v>22.011359692176001</v>
      </c>
      <c r="Q3204" s="3">
        <f>G3204*(VLOOKUP(B3204,Price_data!A$1:B$190,2,FALSE))</f>
        <v>0</v>
      </c>
      <c r="R3204" s="3">
        <f>I3204*(VLOOKUP(B3204,Price_data!A$1:B$190,2,FALSE))</f>
        <v>0</v>
      </c>
      <c r="S3204" s="4" t="str">
        <f>(VLOOKUP(B3204,Price_data!A$1:C$190,3,FALSE))</f>
        <v>EEZ</v>
      </c>
      <c r="T3204" s="2">
        <f>IF(C3204="Total", (VLOOKUP(B3204,Recommended_fish_intake!A$4:D$122,4,FALSE)), "NA")</f>
        <v>774.41573048112002</v>
      </c>
      <c r="U3204" s="2" t="str">
        <f t="shared" si="357"/>
        <v>NA</v>
      </c>
    </row>
    <row r="3205" spans="1:21" ht="14.25" customHeight="1">
      <c r="A3205" s="2" t="s">
        <v>18</v>
      </c>
      <c r="B3205" s="2">
        <v>1999</v>
      </c>
      <c r="C3205" s="2" t="s">
        <v>16</v>
      </c>
      <c r="D3205" s="3">
        <f>D2453+D2213</f>
        <v>27.116</v>
      </c>
      <c r="E3205" s="3">
        <f>E2453+E2213</f>
        <v>47.88</v>
      </c>
      <c r="P3205" s="3">
        <f>E3205*(VLOOKUP(B3205,Price_data!A$1:B$190,2,FALSE))</f>
        <v>49.296220686720005</v>
      </c>
      <c r="Q3205" s="3">
        <f>G3205*(VLOOKUP(B3205,Price_data!A$1:B$190,2,FALSE))</f>
        <v>0</v>
      </c>
      <c r="R3205" s="3">
        <f>I3205*(VLOOKUP(B3205,Price_data!A$1:B$190,2,FALSE))</f>
        <v>0</v>
      </c>
      <c r="S3205" s="4" t="str">
        <f>(VLOOKUP(B3205,Price_data!A$1:C$190,3,FALSE))</f>
        <v>EEZ</v>
      </c>
      <c r="T3205" s="2">
        <f>IF(C3205="Total", (VLOOKUP(B3205,Recommended_fish_intake!A$4:D$122,4,FALSE)), "NA")</f>
        <v>774.41573048112002</v>
      </c>
      <c r="U3205" s="2" t="str">
        <f t="shared" si="357"/>
        <v>NA</v>
      </c>
    </row>
    <row r="3206" spans="1:21" ht="14.25" customHeight="1">
      <c r="A3206" s="2" t="s">
        <v>15</v>
      </c>
      <c r="B3206" s="2">
        <v>1999</v>
      </c>
      <c r="C3206" s="2" t="s">
        <v>16</v>
      </c>
      <c r="D3206" s="2">
        <v>506.52499999999998</v>
      </c>
      <c r="E3206" s="2">
        <v>464.13099999999997</v>
      </c>
      <c r="F3206" s="3">
        <f>L3206/1000</f>
        <v>354.67399999999998</v>
      </c>
      <c r="G3206" s="3">
        <f>M3206/1000</f>
        <v>746.33199999999999</v>
      </c>
      <c r="H3206" s="3">
        <f>N3206/1000</f>
        <v>552.00800000000004</v>
      </c>
      <c r="I3206" s="3">
        <f>O3206/1000</f>
        <v>1301.5550000000001</v>
      </c>
      <c r="L3206" s="2">
        <v>354674</v>
      </c>
      <c r="M3206" s="2">
        <v>746332</v>
      </c>
      <c r="N3206" s="2">
        <v>552008</v>
      </c>
      <c r="O3206" s="2">
        <v>1301555</v>
      </c>
      <c r="P3206" s="3">
        <f>E3206*(VLOOKUP(B3206,Price_data!A$1:B$190,2,FALSE))</f>
        <v>477.859319205264</v>
      </c>
      <c r="Q3206" s="3">
        <f>G3206*(VLOOKUP(B3206,Price_data!A$1:B$190,2,FALSE))</f>
        <v>768.40741390060805</v>
      </c>
      <c r="R3206" s="3">
        <f>I3206*(VLOOKUP(B3206,Price_data!A$1:B$190,2,FALSE))</f>
        <v>1340.0531018359202</v>
      </c>
      <c r="S3206" s="4" t="str">
        <f>(VLOOKUP(B3206,Price_data!A$1:C$190,3,FALSE))</f>
        <v>EEZ</v>
      </c>
      <c r="T3206" s="2">
        <f>IF(C3206="Total", (VLOOKUP(B3206,Recommended_fish_intake!A$4:D$122,4,FALSE)), "NA")</f>
        <v>774.41573048112002</v>
      </c>
      <c r="U3206" s="2" t="str">
        <f t="shared" si="357"/>
        <v>NA</v>
      </c>
    </row>
    <row r="3207" spans="1:21" ht="14.25" customHeight="1">
      <c r="A3207" s="2" t="s">
        <v>15</v>
      </c>
      <c r="B3207" s="2">
        <v>1999</v>
      </c>
      <c r="C3207" s="2" t="s">
        <v>42</v>
      </c>
      <c r="D3207" s="2">
        <v>145.60499999999999</v>
      </c>
      <c r="E3207" s="2">
        <v>19.279</v>
      </c>
      <c r="F3207" s="2" t="s">
        <v>92</v>
      </c>
      <c r="G3207" s="2" t="s">
        <v>92</v>
      </c>
      <c r="H3207" s="2" t="s">
        <v>92</v>
      </c>
      <c r="I3207" s="2" t="s">
        <v>92</v>
      </c>
      <c r="P3207" s="3">
        <f>E3207*(VLOOKUP(B3207,Price_data!A$1:B$190,2,FALSE))</f>
        <v>19.849244749776002</v>
      </c>
      <c r="Q3207" s="3" t="e">
        <f>G3207*(VLOOKUP(B3207,Price_data!A$1:B$190,2,FALSE))</f>
        <v>#VALUE!</v>
      </c>
      <c r="R3207" s="3" t="e">
        <f>I3207*(VLOOKUP(B3207,Price_data!A$1:B$190,2,FALSE))</f>
        <v>#VALUE!</v>
      </c>
      <c r="S3207" s="4" t="str">
        <f>(VLOOKUP(B3207,Price_data!A$1:C$190,3,FALSE))</f>
        <v>EEZ</v>
      </c>
      <c r="T3207" s="2" t="str">
        <f>IF(C3207="Total", (VLOOKUP(B3207,Recommended_fish_intake!A$4:D$122,4,FALSE)), "NA")</f>
        <v>NA</v>
      </c>
      <c r="U3207" s="2" t="str">
        <f t="shared" si="357"/>
        <v>NA</v>
      </c>
    </row>
    <row r="3208" spans="1:21" ht="14.25" customHeight="1">
      <c r="A3208" s="2" t="s">
        <v>15</v>
      </c>
      <c r="B3208" s="2">
        <v>1999</v>
      </c>
      <c r="C3208" s="2" t="s">
        <v>36</v>
      </c>
      <c r="D3208" s="2">
        <v>22.998999999999999</v>
      </c>
      <c r="E3208" s="2">
        <v>26.983000000000001</v>
      </c>
      <c r="F3208" s="3">
        <f>L3208/1000</f>
        <v>14.891</v>
      </c>
      <c r="G3208" s="3">
        <f>M3208/1000</f>
        <v>34.72</v>
      </c>
      <c r="H3208" s="3">
        <f>N3208/1000</f>
        <v>2.6789999999999998</v>
      </c>
      <c r="I3208" s="3">
        <f>O3208/1000</f>
        <v>10.592000000000001</v>
      </c>
      <c r="L3208" s="2">
        <f>14098+793</f>
        <v>14891</v>
      </c>
      <c r="M3208" s="2">
        <f>26914+7806</f>
        <v>34720</v>
      </c>
      <c r="N3208" s="2">
        <f>1479+1200</f>
        <v>2679</v>
      </c>
      <c r="O3208" s="2">
        <f>2036+8556</f>
        <v>10592</v>
      </c>
      <c r="P3208" s="3">
        <f>E3208*(VLOOKUP(B3208,Price_data!A$1:B$190,2,FALSE))</f>
        <v>27.781117852752001</v>
      </c>
      <c r="Q3208" s="3">
        <f>G3208*(VLOOKUP(B3208,Price_data!A$1:B$190,2,FALSE))</f>
        <v>35.746967047680002</v>
      </c>
      <c r="R3208" s="3">
        <f>I3208*(VLOOKUP(B3208,Price_data!A$1:B$190,2,FALSE))</f>
        <v>10.905295938048001</v>
      </c>
      <c r="S3208" s="4" t="str">
        <f>(VLOOKUP(B3208,Price_data!A$1:C$190,3,FALSE))</f>
        <v>EEZ</v>
      </c>
      <c r="T3208" s="2" t="str">
        <f>IF(C3208="Total", (VLOOKUP(B3208,Recommended_fish_intake!A$4:D$122,4,FALSE)), "NA")</f>
        <v>NA</v>
      </c>
      <c r="U3208" s="2" t="str">
        <f t="shared" si="357"/>
        <v>NA</v>
      </c>
    </row>
    <row r="3209" spans="1:21" ht="14.25" customHeight="1">
      <c r="A3209" s="2" t="s">
        <v>15</v>
      </c>
      <c r="B3209" s="2">
        <v>1999</v>
      </c>
      <c r="C3209" s="2" t="s">
        <v>34</v>
      </c>
      <c r="D3209" s="2">
        <v>1.841</v>
      </c>
      <c r="E3209" s="2">
        <v>14.928000000000001</v>
      </c>
      <c r="F3209" s="2" t="s">
        <v>92</v>
      </c>
      <c r="G3209" s="2" t="s">
        <v>92</v>
      </c>
      <c r="H3209" s="2" t="s">
        <v>92</v>
      </c>
      <c r="I3209" s="2" t="s">
        <v>92</v>
      </c>
      <c r="P3209" s="3">
        <f>E3209*(VLOOKUP(B3209,Price_data!A$1:B$190,2,FALSE))</f>
        <v>15.369548504832002</v>
      </c>
      <c r="Q3209" s="3" t="e">
        <f>G3209*(VLOOKUP(B3209,Price_data!A$1:B$190,2,FALSE))</f>
        <v>#VALUE!</v>
      </c>
      <c r="R3209" s="3" t="e">
        <f>I3209*(VLOOKUP(B3209,Price_data!A$1:B$190,2,FALSE))</f>
        <v>#VALUE!</v>
      </c>
      <c r="S3209" s="4" t="str">
        <f>(VLOOKUP(B3209,Price_data!A$1:C$190,3,FALSE))</f>
        <v>EEZ</v>
      </c>
      <c r="T3209" s="2" t="str">
        <f>IF(C3209="Total", (VLOOKUP(B3209,Recommended_fish_intake!A$4:D$122,4,FALSE)), "NA")</f>
        <v>NA</v>
      </c>
      <c r="U3209" s="2" t="str">
        <f t="shared" si="357"/>
        <v>NA</v>
      </c>
    </row>
    <row r="3210" spans="1:21" ht="14.25" customHeight="1">
      <c r="A3210" s="2" t="s">
        <v>15</v>
      </c>
      <c r="B3210" s="2">
        <v>1999</v>
      </c>
      <c r="C3210" s="2" t="s">
        <v>35</v>
      </c>
      <c r="D3210" s="2">
        <v>31.109000000000002</v>
      </c>
      <c r="E3210" s="2">
        <v>74.326999999999998</v>
      </c>
      <c r="F3210" s="2" t="s">
        <v>92</v>
      </c>
      <c r="G3210" s="2" t="s">
        <v>92</v>
      </c>
      <c r="H3210" s="2" t="s">
        <v>92</v>
      </c>
      <c r="I3210" s="2" t="s">
        <v>92</v>
      </c>
      <c r="P3210" s="3">
        <f>E3210*(VLOOKUP(B3210,Price_data!A$1:B$190,2,FALSE))</f>
        <v>76.525484439888004</v>
      </c>
      <c r="Q3210" s="3" t="e">
        <f>G3210*(VLOOKUP(B3210,Price_data!A$1:B$190,2,FALSE))</f>
        <v>#VALUE!</v>
      </c>
      <c r="R3210" s="3" t="e">
        <f>I3210*(VLOOKUP(B3210,Price_data!A$1:B$190,2,FALSE))</f>
        <v>#VALUE!</v>
      </c>
      <c r="S3210" s="4" t="str">
        <f>(VLOOKUP(B3210,Price_data!A$1:C$190,3,FALSE))</f>
        <v>EEZ</v>
      </c>
      <c r="T3210" s="2" t="str">
        <f>IF(C3210="Total", (VLOOKUP(B3210,Recommended_fish_intake!A$4:D$122,4,FALSE)), "NA")</f>
        <v>NA</v>
      </c>
      <c r="U3210" s="2" t="str">
        <f t="shared" si="357"/>
        <v>NA</v>
      </c>
    </row>
    <row r="3211" spans="1:21" ht="14.25" customHeight="1">
      <c r="A3211" s="2" t="s">
        <v>15</v>
      </c>
      <c r="B3211" s="2">
        <v>1999</v>
      </c>
      <c r="C3211" s="2" t="s">
        <v>52</v>
      </c>
      <c r="D3211" s="2">
        <v>25.01</v>
      </c>
      <c r="E3211" s="2">
        <v>31.707999999999998</v>
      </c>
      <c r="F3211" s="2" t="s">
        <v>92</v>
      </c>
      <c r="G3211" s="2" t="s">
        <v>92</v>
      </c>
      <c r="H3211" s="2" t="s">
        <v>92</v>
      </c>
      <c r="I3211" s="2" t="s">
        <v>92</v>
      </c>
      <c r="P3211" s="3">
        <f>E3211*(VLOOKUP(B3211,Price_data!A$1:B$190,2,FALSE))</f>
        <v>32.645876473152001</v>
      </c>
      <c r="Q3211" s="3" t="e">
        <f>G3211*(VLOOKUP(B3211,Price_data!A$1:B$190,2,FALSE))</f>
        <v>#VALUE!</v>
      </c>
      <c r="R3211" s="3" t="e">
        <f>I3211*(VLOOKUP(B3211,Price_data!A$1:B$190,2,FALSE))</f>
        <v>#VALUE!</v>
      </c>
      <c r="S3211" s="4" t="str">
        <f>(VLOOKUP(B3211,Price_data!A$1:C$190,3,FALSE))</f>
        <v>EEZ</v>
      </c>
      <c r="T3211" s="2" t="str">
        <f>IF(C3211="Total", (VLOOKUP(B3211,Recommended_fish_intake!A$4:D$122,4,FALSE)), "NA")</f>
        <v>NA</v>
      </c>
      <c r="U3211" s="2" t="str">
        <f t="shared" si="357"/>
        <v>NA</v>
      </c>
    </row>
    <row r="3212" spans="1:21" ht="14.25" customHeight="1">
      <c r="A3212" s="2" t="s">
        <v>15</v>
      </c>
      <c r="B3212" s="2">
        <v>1999</v>
      </c>
      <c r="C3212" s="2" t="s">
        <v>30</v>
      </c>
      <c r="D3212" s="2">
        <v>1.956</v>
      </c>
      <c r="E3212" s="2">
        <v>2.931</v>
      </c>
      <c r="F3212" s="3">
        <f t="shared" ref="F3212:I3214" si="358">L3212/1000</f>
        <v>26.709</v>
      </c>
      <c r="G3212" s="3">
        <f t="shared" si="358"/>
        <v>93.141000000000005</v>
      </c>
      <c r="H3212" s="3">
        <f t="shared" si="358"/>
        <v>68.152000000000001</v>
      </c>
      <c r="I3212" s="3">
        <f t="shared" si="358"/>
        <v>295.00799999999998</v>
      </c>
      <c r="L3212" s="2">
        <f>2658+19236+4815</f>
        <v>26709</v>
      </c>
      <c r="M3212" s="2">
        <f>10768+67491+14882</f>
        <v>93141</v>
      </c>
      <c r="N3212" s="2">
        <f>5293+26249+36610</f>
        <v>68152</v>
      </c>
      <c r="O3212" s="2">
        <f>15396+127230+152382</f>
        <v>295008</v>
      </c>
      <c r="P3212" s="3">
        <f>E3212*(VLOOKUP(B3212,Price_data!A$1:B$190,2,FALSE))</f>
        <v>3.0176947124640003</v>
      </c>
      <c r="Q3212" s="3">
        <f>G3212*(VLOOKUP(B3212,Price_data!A$1:B$190,2,FALSE))</f>
        <v>95.895975166704005</v>
      </c>
      <c r="R3212" s="3">
        <f>I3212*(VLOOKUP(B3212,Price_data!A$1:B$190,2,FALSE))</f>
        <v>303.73390710835201</v>
      </c>
      <c r="S3212" s="4" t="str">
        <f>(VLOOKUP(B3212,Price_data!A$1:C$190,3,FALSE))</f>
        <v>EEZ</v>
      </c>
      <c r="T3212" s="2" t="str">
        <f>IF(C3212="Total", (VLOOKUP(B3212,Recommended_fish_intake!A$4:D$122,4,FALSE)), "NA")</f>
        <v>NA</v>
      </c>
      <c r="U3212" s="2" t="str">
        <f t="shared" si="357"/>
        <v>NA</v>
      </c>
    </row>
    <row r="3213" spans="1:21" ht="14.25" customHeight="1">
      <c r="A3213" s="2" t="s">
        <v>15</v>
      </c>
      <c r="B3213" s="2">
        <v>1999</v>
      </c>
      <c r="C3213" s="2" t="s">
        <v>28</v>
      </c>
      <c r="D3213" s="2">
        <v>116.745</v>
      </c>
      <c r="E3213" s="2">
        <v>166.29900000000001</v>
      </c>
      <c r="F3213" s="3">
        <f t="shared" si="358"/>
        <v>83.433999999999997</v>
      </c>
      <c r="G3213" s="3">
        <f t="shared" si="358"/>
        <v>281.99</v>
      </c>
      <c r="H3213" s="3">
        <f t="shared" si="358"/>
        <v>87.73</v>
      </c>
      <c r="I3213" s="3">
        <f t="shared" si="358"/>
        <v>355.91199999999998</v>
      </c>
      <c r="L3213" s="2">
        <v>83434</v>
      </c>
      <c r="M3213" s="2">
        <v>281990</v>
      </c>
      <c r="N3213" s="2">
        <v>87730</v>
      </c>
      <c r="O3213" s="2">
        <v>355912</v>
      </c>
      <c r="P3213" s="3">
        <f>E3213*(VLOOKUP(B3213,Price_data!A$1:B$190,2,FALSE))</f>
        <v>171.217882288656</v>
      </c>
      <c r="Q3213" s="3">
        <f>G3213*(VLOOKUP(B3213,Price_data!A$1:B$190,2,FALSE))</f>
        <v>290.33085362256003</v>
      </c>
      <c r="R3213" s="3">
        <f>I3213*(VLOOKUP(B3213,Price_data!A$1:B$190,2,FALSE))</f>
        <v>366.43935875212799</v>
      </c>
      <c r="S3213" s="4" t="str">
        <f>(VLOOKUP(B3213,Price_data!A$1:C$190,3,FALSE))</f>
        <v>EEZ</v>
      </c>
      <c r="T3213" s="2" t="str">
        <f>IF(C3213="Total", (VLOOKUP(B3213,Recommended_fish_intake!A$4:D$122,4,FALSE)), "NA")</f>
        <v>NA</v>
      </c>
      <c r="U3213" s="2">
        <f t="shared" si="357"/>
        <v>32.688600000000001</v>
      </c>
    </row>
    <row r="3214" spans="1:21" ht="14.25" customHeight="1">
      <c r="A3214" s="2" t="s">
        <v>15</v>
      </c>
      <c r="B3214" s="2">
        <v>1999</v>
      </c>
      <c r="C3214" s="2" t="s">
        <v>37</v>
      </c>
      <c r="D3214" s="2">
        <f>D3002+D3254</f>
        <v>29.414999999999999</v>
      </c>
      <c r="E3214" s="2">
        <f>E3002+E3254</f>
        <v>36.277999999999999</v>
      </c>
      <c r="F3214" s="3">
        <f t="shared" si="358"/>
        <v>271.24</v>
      </c>
      <c r="G3214" s="3">
        <f t="shared" si="358"/>
        <v>464.34199999999998</v>
      </c>
      <c r="H3214" s="3">
        <f t="shared" si="358"/>
        <v>464.27800000000002</v>
      </c>
      <c r="I3214" s="3">
        <f t="shared" si="358"/>
        <v>945.64200000000005</v>
      </c>
      <c r="L3214" s="2">
        <v>271240</v>
      </c>
      <c r="M3214" s="2">
        <v>464342</v>
      </c>
      <c r="N3214" s="2">
        <v>464278</v>
      </c>
      <c r="O3214" s="2">
        <v>945642</v>
      </c>
      <c r="P3214" s="3">
        <f>E3214*(VLOOKUP(B3214,Price_data!A$1:B$190,2,FALSE))</f>
        <v>37.351050419232003</v>
      </c>
      <c r="Q3214" s="3">
        <f>G3214*(VLOOKUP(B3214,Price_data!A$1:B$190,2,FALSE))</f>
        <v>478.07656027804802</v>
      </c>
      <c r="R3214" s="3">
        <f>I3214*(VLOOKUP(B3214,Price_data!A$1:B$190,2,FALSE))</f>
        <v>973.61271350524805</v>
      </c>
      <c r="S3214" s="4" t="str">
        <f>(VLOOKUP(B3214,Price_data!A$1:C$190,3,FALSE))</f>
        <v>EEZ</v>
      </c>
      <c r="T3214" s="2" t="str">
        <f>IF(C3214="Total", (VLOOKUP(B3214,Recommended_fish_intake!A$4:D$122,4,FALSE)), "NA")</f>
        <v>NA</v>
      </c>
      <c r="U3214" s="2">
        <f t="shared" si="357"/>
        <v>14.413349999999999</v>
      </c>
    </row>
    <row r="3215" spans="1:21" ht="14.25" customHeight="1">
      <c r="A3215" s="2" t="s">
        <v>15</v>
      </c>
      <c r="B3215" s="2">
        <v>1999</v>
      </c>
      <c r="C3215" s="2" t="s">
        <v>41</v>
      </c>
      <c r="D3215" s="2">
        <v>244.17400000000001</v>
      </c>
      <c r="E3215" s="2">
        <v>278.55200000000002</v>
      </c>
      <c r="F3215" s="2" t="s">
        <v>92</v>
      </c>
      <c r="G3215" s="2" t="s">
        <v>92</v>
      </c>
      <c r="H3215" s="2" t="s">
        <v>92</v>
      </c>
      <c r="I3215" s="2" t="s">
        <v>92</v>
      </c>
      <c r="P3215" s="3">
        <f>E3215*(VLOOKUP(B3215,Price_data!A$1:B$190,2,FALSE))</f>
        <v>286.79116258828805</v>
      </c>
      <c r="Q3215" s="3" t="e">
        <f>G3215*(VLOOKUP(B3215,Price_data!A$1:B$190,2,FALSE))</f>
        <v>#VALUE!</v>
      </c>
      <c r="R3215" s="3" t="e">
        <f>I3215*(VLOOKUP(B3215,Price_data!A$1:B$190,2,FALSE))</f>
        <v>#VALUE!</v>
      </c>
      <c r="S3215" s="4" t="str">
        <f>(VLOOKUP(B3215,Price_data!A$1:C$190,3,FALSE))</f>
        <v>EEZ</v>
      </c>
      <c r="T3215" s="2" t="str">
        <f>IF(C3215="Total", (VLOOKUP(B3215,Recommended_fish_intake!A$4:D$122,4,FALSE)), "NA")</f>
        <v>NA</v>
      </c>
      <c r="U3215" s="2" t="str">
        <f t="shared" si="357"/>
        <v>NA</v>
      </c>
    </row>
    <row r="3216" spans="1:21" ht="14.25" customHeight="1">
      <c r="A3216" s="2" t="s">
        <v>15</v>
      </c>
      <c r="B3216" s="2">
        <v>1999</v>
      </c>
      <c r="C3216" s="2" t="s">
        <v>22</v>
      </c>
      <c r="D3216" s="2">
        <v>46.758000000000003</v>
      </c>
      <c r="E3216" s="2">
        <v>62.587000000000003</v>
      </c>
      <c r="F3216" s="3">
        <f t="shared" ref="F3216:I3221" si="359">L3216/1000</f>
        <v>9.0660000000000007</v>
      </c>
      <c r="G3216" s="3">
        <f t="shared" si="359"/>
        <v>22.853000000000002</v>
      </c>
      <c r="H3216" s="3">
        <f t="shared" si="359"/>
        <v>111.88500000000001</v>
      </c>
      <c r="I3216" s="3">
        <f t="shared" si="359"/>
        <v>285.02600000000001</v>
      </c>
      <c r="L3216" s="2">
        <f>1987+322+2953+2527+421+454+402</f>
        <v>9066</v>
      </c>
      <c r="M3216" s="2">
        <f>8216+985+4188+7118+315+704+1327</f>
        <v>22853</v>
      </c>
      <c r="N3216" s="2">
        <f>13928+2547+23315+67311+3294+387+1103</f>
        <v>111885</v>
      </c>
      <c r="O3216" s="2">
        <f>22353+12379+27823+213163+4629+1468+3211</f>
        <v>285026</v>
      </c>
      <c r="P3216" s="3">
        <f>E3216*(VLOOKUP(B3216,Price_data!A$1:B$190,2,FALSE))</f>
        <v>64.438232333328003</v>
      </c>
      <c r="Q3216" s="3">
        <f>G3216*(VLOOKUP(B3216,Price_data!A$1:B$190,2,FALSE))</f>
        <v>23.528958466032002</v>
      </c>
      <c r="R3216" s="3">
        <f>I3216*(VLOOKUP(B3216,Price_data!A$1:B$190,2,FALSE))</f>
        <v>293.45665408214404</v>
      </c>
      <c r="S3216" s="4" t="str">
        <f>(VLOOKUP(B3216,Price_data!A$1:C$190,3,FALSE))</f>
        <v>EEZ</v>
      </c>
      <c r="T3216" s="2" t="str">
        <f>IF(C3216="Total", (VLOOKUP(B3216,Recommended_fish_intake!A$4:D$122,4,FALSE)), "NA")</f>
        <v>NA</v>
      </c>
      <c r="U3216" s="2" t="str">
        <f t="shared" si="357"/>
        <v>NA</v>
      </c>
    </row>
    <row r="3217" spans="1:21" ht="14.25" customHeight="1">
      <c r="A3217" s="2" t="s">
        <v>15</v>
      </c>
      <c r="B3217" s="2">
        <v>1999</v>
      </c>
      <c r="C3217" s="2" t="s">
        <v>23</v>
      </c>
      <c r="D3217" s="2">
        <v>71.299000000000007</v>
      </c>
      <c r="E3217" s="2">
        <v>59.286000000000001</v>
      </c>
      <c r="F3217" s="4">
        <f t="shared" si="359"/>
        <v>1.627</v>
      </c>
      <c r="G3217" s="4">
        <f t="shared" si="359"/>
        <v>5.0279999999999996</v>
      </c>
      <c r="H3217" s="4">
        <f t="shared" si="359"/>
        <v>43.398000000000003</v>
      </c>
      <c r="I3217" s="4">
        <f t="shared" si="359"/>
        <v>84.033000000000001</v>
      </c>
      <c r="L3217" s="2">
        <f>889+298+355+85</f>
        <v>1627</v>
      </c>
      <c r="M3217" s="2">
        <f>3013+894+1052+69</f>
        <v>5028</v>
      </c>
      <c r="N3217" s="2">
        <f>17024+10650+15215+509</f>
        <v>43398</v>
      </c>
      <c r="O3217" s="2">
        <f>23897+14379+44969+788</f>
        <v>84033</v>
      </c>
      <c r="P3217" s="3">
        <f>E3217*(VLOOKUP(B3217,Price_data!A$1:B$190,2,FALSE))</f>
        <v>61.039593559584006</v>
      </c>
      <c r="Q3217" s="3">
        <f>G3217*(VLOOKUP(B3217,Price_data!A$1:B$190,2,FALSE))</f>
        <v>5.1767209192319994</v>
      </c>
      <c r="R3217" s="3">
        <f>I3217*(VLOOKUP(B3217,Price_data!A$1:B$190,2,FALSE))</f>
        <v>86.518573787952008</v>
      </c>
      <c r="S3217" s="4" t="str">
        <f>(VLOOKUP(B3217,Price_data!A$1:C$190,3,FALSE))</f>
        <v>EEZ</v>
      </c>
      <c r="T3217" s="2" t="str">
        <f>IF(C3217="Total", (VLOOKUP(B3217,Recommended_fish_intake!A$4:D$122,4,FALSE)), "NA")</f>
        <v>NA</v>
      </c>
      <c r="U3217" s="2" t="str">
        <f t="shared" si="357"/>
        <v>NA</v>
      </c>
    </row>
    <row r="3218" spans="1:21" ht="14.25" customHeight="1">
      <c r="A3218" s="2" t="s">
        <v>15</v>
      </c>
      <c r="B3218" s="2">
        <v>1999</v>
      </c>
      <c r="C3218" s="2" t="s">
        <v>58</v>
      </c>
      <c r="D3218" s="2">
        <v>15.467000000000001</v>
      </c>
      <c r="E3218" s="2">
        <v>35.591000000000001</v>
      </c>
      <c r="F3218" s="4">
        <f t="shared" si="359"/>
        <v>2.4260000000000002</v>
      </c>
      <c r="G3218" s="4">
        <f t="shared" si="359"/>
        <v>13.971</v>
      </c>
      <c r="H3218" s="4">
        <f t="shared" si="359"/>
        <v>1.835</v>
      </c>
      <c r="I3218" s="4">
        <f t="shared" si="359"/>
        <v>5.6550000000000002</v>
      </c>
      <c r="L3218" s="2">
        <f>2309+92+25</f>
        <v>2426</v>
      </c>
      <c r="M3218" s="2">
        <f>13647+269+55</f>
        <v>13971</v>
      </c>
      <c r="N3218" s="2">
        <f>1666+43+126</f>
        <v>1835</v>
      </c>
      <c r="O3218" s="2">
        <f>4939+158+558</f>
        <v>5655</v>
      </c>
      <c r="P3218" s="3">
        <f>E3218*(VLOOKUP(B3218,Price_data!A$1:B$190,2,FALSE))</f>
        <v>36.643729959504</v>
      </c>
      <c r="Q3218" s="3">
        <f>G3218*(VLOOKUP(B3218,Price_data!A$1:B$190,2,FALSE))</f>
        <v>14.384241838224</v>
      </c>
      <c r="R3218" s="3">
        <f>I3218*(VLOOKUP(B3218,Price_data!A$1:B$190,2,FALSE))</f>
        <v>5.8222666663200009</v>
      </c>
      <c r="S3218" s="4" t="str">
        <f>(VLOOKUP(B3218,Price_data!A$1:C$190,3,FALSE))</f>
        <v>EEZ</v>
      </c>
      <c r="T3218" s="2" t="str">
        <f>IF(C3218="Total", (VLOOKUP(B3218,Recommended_fish_intake!A$4:D$122,4,FALSE)), "NA")</f>
        <v>NA</v>
      </c>
      <c r="U3218" s="2" t="str">
        <f t="shared" si="357"/>
        <v>NA</v>
      </c>
    </row>
    <row r="3219" spans="1:21" ht="14.25" customHeight="1">
      <c r="A3219" s="2" t="s">
        <v>15</v>
      </c>
      <c r="B3219" s="2">
        <v>1999</v>
      </c>
      <c r="C3219" s="2" t="s">
        <v>24</v>
      </c>
      <c r="D3219" s="2">
        <v>25.405000000000001</v>
      </c>
      <c r="E3219" s="2">
        <v>14.01</v>
      </c>
      <c r="F3219" s="4">
        <f t="shared" si="359"/>
        <v>3.444</v>
      </c>
      <c r="G3219" s="4">
        <f t="shared" si="359"/>
        <v>7.1390000000000002</v>
      </c>
      <c r="H3219" s="4">
        <f t="shared" si="359"/>
        <v>1.2030000000000001</v>
      </c>
      <c r="I3219" s="4">
        <f t="shared" si="359"/>
        <v>1.2629999999999999</v>
      </c>
      <c r="L3219" s="2">
        <f>1567+23+1854</f>
        <v>3444</v>
      </c>
      <c r="M3219" s="2">
        <f>2081+61+4997</f>
        <v>7139</v>
      </c>
      <c r="N3219" s="2">
        <f>985+4+214</f>
        <v>1203</v>
      </c>
      <c r="O3219" s="2">
        <f>769+2+492</f>
        <v>1263</v>
      </c>
      <c r="P3219" s="3">
        <f>E3219*(VLOOKUP(B3219,Price_data!A$1:B$190,2,FALSE))</f>
        <v>14.42439540144</v>
      </c>
      <c r="Q3219" s="3">
        <f>G3219*(VLOOKUP(B3219,Price_data!A$1:B$190,2,FALSE))</f>
        <v>7.3501612256160005</v>
      </c>
      <c r="R3219" s="3">
        <f>I3219*(VLOOKUP(B3219,Price_data!A$1:B$190,2,FALSE))</f>
        <v>1.300357701072</v>
      </c>
      <c r="S3219" s="4" t="str">
        <f>(VLOOKUP(B3219,Price_data!A$1:C$190,3,FALSE))</f>
        <v>EEZ</v>
      </c>
      <c r="T3219" s="2" t="str">
        <f>IF(C3219="Total", (VLOOKUP(B3219,Recommended_fish_intake!A$4:D$122,4,FALSE)), "NA")</f>
        <v>NA</v>
      </c>
      <c r="U3219" s="2" t="str">
        <f t="shared" si="357"/>
        <v>NA</v>
      </c>
    </row>
    <row r="3220" spans="1:21" ht="14.25" customHeight="1">
      <c r="A3220" s="2" t="s">
        <v>15</v>
      </c>
      <c r="B3220" s="2">
        <v>1999</v>
      </c>
      <c r="C3220" s="2" t="s">
        <v>19</v>
      </c>
      <c r="D3220" s="2">
        <v>45.314</v>
      </c>
      <c r="E3220" s="2">
        <v>5.0570000000000004</v>
      </c>
      <c r="F3220" s="4">
        <f t="shared" si="359"/>
        <v>35.499000000000002</v>
      </c>
      <c r="G3220" s="4">
        <f t="shared" si="359"/>
        <v>12.882</v>
      </c>
      <c r="H3220" s="4">
        <f t="shared" si="359"/>
        <v>8.2889999999999997</v>
      </c>
      <c r="I3220" s="4">
        <f t="shared" si="359"/>
        <v>6.5519999999999996</v>
      </c>
      <c r="L3220" s="2">
        <f>2110+2055+26312+3335+257+651+779</f>
        <v>35499</v>
      </c>
      <c r="M3220" s="2">
        <f>636+640+8133+1278+119+1112+964</f>
        <v>12882</v>
      </c>
      <c r="N3220" s="2">
        <f>1444+309+2688+323+1756+170+1599</f>
        <v>8289</v>
      </c>
      <c r="O3220" s="2">
        <f>425+185+1143+175+1447+112+3065</f>
        <v>6552</v>
      </c>
      <c r="P3220" s="3">
        <f>E3220*(VLOOKUP(B3220,Price_data!A$1:B$190,2,FALSE))</f>
        <v>5.206578697008001</v>
      </c>
      <c r="Q3220" s="3">
        <f>G3220*(VLOOKUP(B3220,Price_data!A$1:B$190,2,FALSE))</f>
        <v>13.263030803808</v>
      </c>
      <c r="R3220" s="3">
        <f>I3220*(VLOOKUP(B3220,Price_data!A$1:B$190,2,FALSE))</f>
        <v>6.7457986202880003</v>
      </c>
      <c r="S3220" s="4" t="str">
        <f>(VLOOKUP(B3220,Price_data!A$1:C$190,3,FALSE))</f>
        <v>EEZ</v>
      </c>
      <c r="T3220" s="2" t="str">
        <f>IF(C3220="Total", (VLOOKUP(B3220,Recommended_fish_intake!A$4:D$122,4,FALSE)), "NA")</f>
        <v>NA</v>
      </c>
      <c r="U3220" s="2" t="str">
        <f t="shared" si="357"/>
        <v>NA</v>
      </c>
    </row>
    <row r="3221" spans="1:21" ht="14.25" customHeight="1">
      <c r="A3221" s="2" t="s">
        <v>15</v>
      </c>
      <c r="B3221" s="2">
        <v>1999</v>
      </c>
      <c r="C3221" s="2" t="s">
        <v>20</v>
      </c>
      <c r="D3221" s="2">
        <v>41.311999999999998</v>
      </c>
      <c r="E3221" s="2">
        <v>9.5440000000000005</v>
      </c>
      <c r="F3221" s="4">
        <f t="shared" si="359"/>
        <v>62.415999999999997</v>
      </c>
      <c r="G3221" s="4">
        <f t="shared" si="359"/>
        <v>28.875</v>
      </c>
      <c r="H3221" s="4">
        <f t="shared" si="359"/>
        <v>7.7169999999999996</v>
      </c>
      <c r="I3221" s="4">
        <f t="shared" si="359"/>
        <v>10.298999999999999</v>
      </c>
      <c r="L3221" s="2">
        <f>8353+50600+1291+494+1678</f>
        <v>62416</v>
      </c>
      <c r="M3221" s="2">
        <f>3511+20888+1278+677+2521</f>
        <v>28875</v>
      </c>
      <c r="N3221" s="2">
        <f>745+3233+142+26+3571</f>
        <v>7717</v>
      </c>
      <c r="O3221" s="2">
        <f>483+1708+111+62+7935</f>
        <v>10299</v>
      </c>
      <c r="P3221" s="3">
        <f>E3221*(VLOOKUP(B3221,Price_data!A$1:B$190,2,FALSE))</f>
        <v>9.826297623936</v>
      </c>
      <c r="Q3221" s="3">
        <f>G3221*(VLOOKUP(B3221,Price_data!A$1:B$190,2,FALSE))</f>
        <v>29.729080458000002</v>
      </c>
      <c r="R3221" s="3">
        <f>I3221*(VLOOKUP(B3221,Price_data!A$1:B$190,2,FALSE))</f>
        <v>10.603629424655999</v>
      </c>
      <c r="S3221" s="4" t="str">
        <f>(VLOOKUP(B3221,Price_data!A$1:C$190,3,FALSE))</f>
        <v>EEZ</v>
      </c>
      <c r="T3221" s="2" t="str">
        <f>IF(C3221="Total", (VLOOKUP(B3221,Recommended_fish_intake!A$4:D$122,4,FALSE)), "NA")</f>
        <v>NA</v>
      </c>
      <c r="U3221" s="2" t="str">
        <f t="shared" si="357"/>
        <v>NA</v>
      </c>
    </row>
    <row r="3222" spans="1:21" ht="14.25" customHeight="1">
      <c r="A3222" s="2" t="s">
        <v>15</v>
      </c>
      <c r="B3222" s="2">
        <v>1999</v>
      </c>
      <c r="C3222" s="2" t="s">
        <v>21</v>
      </c>
      <c r="D3222" s="3">
        <v>14.3</v>
      </c>
      <c r="E3222" s="3">
        <v>2.1</v>
      </c>
      <c r="F3222" s="2" t="s">
        <v>92</v>
      </c>
      <c r="G3222" s="2" t="s">
        <v>92</v>
      </c>
      <c r="H3222" s="2" t="s">
        <v>92</v>
      </c>
      <c r="I3222" s="2" t="s">
        <v>92</v>
      </c>
      <c r="P3222" s="3">
        <f>E3222*(VLOOKUP(B3222,Price_data!A$1:B$190,2,FALSE))</f>
        <v>2.1621149424000001</v>
      </c>
      <c r="Q3222" s="3" t="e">
        <f>G3222*(VLOOKUP(B3222,Price_data!A$1:B$190,2,FALSE))</f>
        <v>#VALUE!</v>
      </c>
      <c r="R3222" s="3" t="e">
        <f>I3222*(VLOOKUP(B3222,Price_data!A$1:B$190,2,FALSE))</f>
        <v>#VALUE!</v>
      </c>
      <c r="S3222" s="4" t="str">
        <f>(VLOOKUP(B3222,Price_data!A$1:C$190,3,FALSE))</f>
        <v>EEZ</v>
      </c>
      <c r="T3222" s="2" t="str">
        <f>IF(C3222="Total", (VLOOKUP(B3222,Recommended_fish_intake!A$4:D$122,4,FALSE)), "NA")</f>
        <v>NA</v>
      </c>
      <c r="U3222" s="2" t="str">
        <f t="shared" si="357"/>
        <v>NA</v>
      </c>
    </row>
    <row r="3223" spans="1:21" ht="14.25" customHeight="1">
      <c r="A3223" s="2" t="s">
        <v>15</v>
      </c>
      <c r="B3223" s="2">
        <v>1999</v>
      </c>
      <c r="C3223" s="2" t="s">
        <v>25</v>
      </c>
      <c r="D3223" s="2">
        <v>9.5</v>
      </c>
      <c r="E3223" s="2">
        <v>12.5</v>
      </c>
      <c r="F3223" s="3">
        <f t="shared" ref="F3223:I3225" si="360">IF(L3223="", NA(), L3223/1000)</f>
        <v>2.46</v>
      </c>
      <c r="G3223" s="3">
        <f t="shared" si="360"/>
        <v>4.1970000000000001</v>
      </c>
      <c r="H3223" s="3">
        <f t="shared" si="360"/>
        <v>7.7</v>
      </c>
      <c r="I3223" s="3">
        <f t="shared" si="360"/>
        <v>19.646999999999998</v>
      </c>
      <c r="L3223" s="2">
        <f>1914+5+541</f>
        <v>2460</v>
      </c>
      <c r="M3223" s="2">
        <f>2270+8+1919</f>
        <v>4197</v>
      </c>
      <c r="N3223" s="2">
        <f>3682+734+3284</f>
        <v>7700</v>
      </c>
      <c r="O3223" s="2">
        <f>6137+817+12693</f>
        <v>19647</v>
      </c>
      <c r="P3223" s="3">
        <f>E3223*(VLOOKUP(B3223,Price_data!A$1:B$190,2,FALSE))</f>
        <v>12.8697318</v>
      </c>
      <c r="Q3223" s="3">
        <f>G3223*(VLOOKUP(B3223,Price_data!A$1:B$190,2,FALSE))</f>
        <v>4.3211411491680005</v>
      </c>
      <c r="R3223" s="3">
        <f>I3223*(VLOOKUP(B3223,Price_data!A$1:B$190,2,FALSE))</f>
        <v>20.228129653968001</v>
      </c>
      <c r="S3223" s="4" t="str">
        <f>(VLOOKUP(B3223,Price_data!A$1:C$190,3,FALSE))</f>
        <v>EEZ</v>
      </c>
      <c r="T3223" s="2" t="str">
        <f>IF(C3223="Total", (VLOOKUP(B3223,Recommended_fish_intake!A$4:D$122,4,FALSE)), "NA")</f>
        <v>NA</v>
      </c>
      <c r="U3223" s="2" t="str">
        <f t="shared" si="357"/>
        <v>NA</v>
      </c>
    </row>
    <row r="3224" spans="1:21" ht="14.25" customHeight="1">
      <c r="A3224" s="2" t="s">
        <v>15</v>
      </c>
      <c r="B3224" s="2">
        <v>1999</v>
      </c>
      <c r="C3224" s="2" t="s">
        <v>43</v>
      </c>
      <c r="D3224" s="3" t="e">
        <v>#N/A</v>
      </c>
      <c r="E3224" s="3" t="e">
        <v>#N/A</v>
      </c>
      <c r="F3224" s="3">
        <f t="shared" si="360"/>
        <v>8.2010000000000005</v>
      </c>
      <c r="G3224" s="3">
        <f t="shared" si="360"/>
        <v>20.239000000000001</v>
      </c>
      <c r="H3224" s="3">
        <f t="shared" si="360"/>
        <v>92.042000000000002</v>
      </c>
      <c r="I3224" s="3">
        <f t="shared" si="360"/>
        <v>138.661</v>
      </c>
      <c r="L3224" s="2">
        <f>76+53+8072</f>
        <v>8201</v>
      </c>
      <c r="M3224" s="2">
        <f>1216+87+18936</f>
        <v>20239</v>
      </c>
      <c r="N3224" s="2">
        <f>5049+658+86335</f>
        <v>92042</v>
      </c>
      <c r="O3224" s="2">
        <f>1470+988+136203</f>
        <v>138661</v>
      </c>
      <c r="P3224" s="3" t="e">
        <f>E3224*(VLOOKUP(B3224,Price_data!A$1:B$190,2,FALSE))</f>
        <v>#N/A</v>
      </c>
      <c r="Q3224" s="3">
        <f>G3224*(VLOOKUP(B3224,Price_data!A$1:B$190,2,FALSE))</f>
        <v>20.837640152016</v>
      </c>
      <c r="R3224" s="3">
        <f>I3224*(VLOOKUP(B3224,Price_data!A$1:B$190,2,FALSE))</f>
        <v>142.76239048958399</v>
      </c>
      <c r="S3224" s="4" t="str">
        <f>(VLOOKUP(B3224,Price_data!A$1:C$190,3,FALSE))</f>
        <v>EEZ</v>
      </c>
      <c r="T3224" s="2" t="str">
        <f>IF(C3224="Total", (VLOOKUP(B3224,Recommended_fish_intake!A$4:D$122,4,FALSE)), "NA")</f>
        <v>NA</v>
      </c>
      <c r="U3224" s="2" t="str">
        <f t="shared" si="357"/>
        <v>NA</v>
      </c>
    </row>
    <row r="3225" spans="1:21" ht="14.25" customHeight="1">
      <c r="A3225" s="2" t="s">
        <v>15</v>
      </c>
      <c r="B3225" s="2">
        <v>1999</v>
      </c>
      <c r="C3225" s="2" t="s">
        <v>29</v>
      </c>
      <c r="D3225" s="3" t="e">
        <v>#N/A</v>
      </c>
      <c r="E3225" s="3" t="e">
        <v>#N/A</v>
      </c>
      <c r="F3225" s="3">
        <f t="shared" si="360"/>
        <v>63.529000000000003</v>
      </c>
      <c r="G3225" s="3">
        <f t="shared" si="360"/>
        <v>181.86600000000001</v>
      </c>
      <c r="H3225" s="3">
        <f t="shared" si="360"/>
        <v>49.881999999999998</v>
      </c>
      <c r="I3225" s="3">
        <f t="shared" si="360"/>
        <v>133.03899999999999</v>
      </c>
      <c r="L3225" s="2">
        <f>7+44405+7995+1142+1083+7412+1485</f>
        <v>63529</v>
      </c>
      <c r="M3225" s="2">
        <f>29+110636+25797+1937+2776+34526+6165</f>
        <v>181866</v>
      </c>
      <c r="N3225" s="2">
        <f>79+20696+1728+1314+2496+397+23172</f>
        <v>49882</v>
      </c>
      <c r="O3225" s="2">
        <f>807+37977+4259+2300+5593+2161+79942</f>
        <v>133039</v>
      </c>
      <c r="P3225" s="3" t="e">
        <f>E3225*(VLOOKUP(B3225,Price_data!A$1:B$190,2,FALSE))</f>
        <v>#N/A</v>
      </c>
      <c r="Q3225" s="3">
        <f>G3225*(VLOOKUP(B3225,Price_data!A$1:B$190,2,FALSE))</f>
        <v>187.24533148310402</v>
      </c>
      <c r="R3225" s="3">
        <f>I3225*(VLOOKUP(B3225,Price_data!A$1:B$190,2,FALSE))</f>
        <v>136.97409991521599</v>
      </c>
      <c r="S3225" s="4" t="str">
        <f>(VLOOKUP(B3225,Price_data!A$1:C$190,3,FALSE))</f>
        <v>EEZ</v>
      </c>
      <c r="T3225" s="2" t="str">
        <f>IF(C3225="Total", (VLOOKUP(B3225,Recommended_fish_intake!A$4:D$122,4,FALSE)), "NA")</f>
        <v>NA</v>
      </c>
      <c r="U3225" s="2" t="str">
        <f t="shared" si="357"/>
        <v>NA</v>
      </c>
    </row>
    <row r="3226" spans="1:21" ht="14.25" customHeight="1">
      <c r="A3226" s="2" t="s">
        <v>90</v>
      </c>
      <c r="B3226" s="2">
        <v>2000</v>
      </c>
      <c r="C3226" s="2" t="s">
        <v>22</v>
      </c>
      <c r="D3226" s="2">
        <v>12.8</v>
      </c>
      <c r="E3226" s="2">
        <v>16.3</v>
      </c>
      <c r="P3226" s="3">
        <f>E3226*(VLOOKUP(B3226,Price_data!A$1:B$190,2,FALSE))</f>
        <v>16.3</v>
      </c>
      <c r="Q3226" s="3">
        <f>G3226*(VLOOKUP(B3226,Price_data!A$1:B$190,2,FALSE))</f>
        <v>0</v>
      </c>
      <c r="R3226" s="3">
        <f>I3226*(VLOOKUP(B3226,Price_data!A$1:B$190,2,FALSE))</f>
        <v>0</v>
      </c>
      <c r="S3226" s="4" t="str">
        <f>(VLOOKUP(B3226,Price_data!A$1:C$190,3,FALSE))</f>
        <v>EEZ</v>
      </c>
      <c r="T3226" s="2" t="str">
        <f>IF(C3226="Total", (VLOOKUP(B3226,Recommended_fish_intake!A$4:D$122,4,FALSE)), "NA")</f>
        <v>NA</v>
      </c>
      <c r="U3226" s="2" t="str">
        <f t="shared" si="357"/>
        <v>NA</v>
      </c>
    </row>
    <row r="3227" spans="1:21" ht="14.25" customHeight="1">
      <c r="A3227" s="2" t="s">
        <v>90</v>
      </c>
      <c r="B3227" s="2">
        <v>2000</v>
      </c>
      <c r="C3227" s="2" t="s">
        <v>23</v>
      </c>
      <c r="D3227" s="2">
        <v>2.8</v>
      </c>
      <c r="E3227" s="2">
        <v>2.9</v>
      </c>
      <c r="P3227" s="3">
        <f>E3227*(VLOOKUP(B3227,Price_data!A$1:B$190,2,FALSE))</f>
        <v>2.9</v>
      </c>
      <c r="Q3227" s="3">
        <f>G3227*(VLOOKUP(B3227,Price_data!A$1:B$190,2,FALSE))</f>
        <v>0</v>
      </c>
      <c r="R3227" s="3">
        <f>I3227*(VLOOKUP(B3227,Price_data!A$1:B$190,2,FALSE))</f>
        <v>0</v>
      </c>
      <c r="S3227" s="4" t="str">
        <f>(VLOOKUP(B3227,Price_data!A$1:C$190,3,FALSE))</f>
        <v>EEZ</v>
      </c>
      <c r="T3227" s="2" t="str">
        <f>IF(C3227="Total", (VLOOKUP(B3227,Recommended_fish_intake!A$4:D$122,4,FALSE)), "NA")</f>
        <v>NA</v>
      </c>
      <c r="U3227" s="2" t="str">
        <f t="shared" si="357"/>
        <v>NA</v>
      </c>
    </row>
    <row r="3228" spans="1:21" ht="14.25" customHeight="1">
      <c r="A3228" s="2" t="s">
        <v>90</v>
      </c>
      <c r="B3228" s="2">
        <v>2000</v>
      </c>
      <c r="C3228" s="2" t="s">
        <v>58</v>
      </c>
      <c r="D3228" s="2">
        <v>2.7</v>
      </c>
      <c r="E3228" s="2">
        <v>5.8</v>
      </c>
      <c r="P3228" s="3">
        <f>E3228*(VLOOKUP(B3228,Price_data!A$1:B$190,2,FALSE))</f>
        <v>5.8</v>
      </c>
      <c r="Q3228" s="3">
        <f>G3228*(VLOOKUP(B3228,Price_data!A$1:B$190,2,FALSE))</f>
        <v>0</v>
      </c>
      <c r="R3228" s="3">
        <f>I3228*(VLOOKUP(B3228,Price_data!A$1:B$190,2,FALSE))</f>
        <v>0</v>
      </c>
      <c r="S3228" s="4" t="str">
        <f>(VLOOKUP(B3228,Price_data!A$1:C$190,3,FALSE))</f>
        <v>EEZ</v>
      </c>
      <c r="T3228" s="2" t="str">
        <f>IF(C3228="Total", (VLOOKUP(B3228,Recommended_fish_intake!A$4:D$122,4,FALSE)), "NA")</f>
        <v>NA</v>
      </c>
      <c r="U3228" s="2" t="str">
        <f t="shared" si="357"/>
        <v>NA</v>
      </c>
    </row>
    <row r="3229" spans="1:21" ht="14.25" customHeight="1">
      <c r="A3229" s="2" t="s">
        <v>90</v>
      </c>
      <c r="B3229" s="2">
        <v>2000</v>
      </c>
      <c r="C3229" s="2" t="s">
        <v>24</v>
      </c>
      <c r="D3229" s="2">
        <v>3.2</v>
      </c>
      <c r="E3229" s="2">
        <v>1.9</v>
      </c>
      <c r="P3229" s="3">
        <f>E3229*(VLOOKUP(B3229,Price_data!A$1:B$190,2,FALSE))</f>
        <v>1.9</v>
      </c>
      <c r="Q3229" s="3">
        <f>G3229*(VLOOKUP(B3229,Price_data!A$1:B$190,2,FALSE))</f>
        <v>0</v>
      </c>
      <c r="R3229" s="3">
        <f>I3229*(VLOOKUP(B3229,Price_data!A$1:B$190,2,FALSE))</f>
        <v>0</v>
      </c>
      <c r="S3229" s="4" t="str">
        <f>(VLOOKUP(B3229,Price_data!A$1:C$190,3,FALSE))</f>
        <v>EEZ</v>
      </c>
      <c r="T3229" s="2" t="str">
        <f>IF(C3229="Total", (VLOOKUP(B3229,Recommended_fish_intake!A$4:D$122,4,FALSE)), "NA")</f>
        <v>NA</v>
      </c>
      <c r="U3229" s="2" t="str">
        <f t="shared" si="357"/>
        <v>NA</v>
      </c>
    </row>
    <row r="3230" spans="1:21" ht="14.25" customHeight="1">
      <c r="A3230" s="2" t="s">
        <v>90</v>
      </c>
      <c r="B3230" s="2">
        <v>2000</v>
      </c>
      <c r="C3230" s="2" t="s">
        <v>41</v>
      </c>
      <c r="D3230" s="2">
        <v>51.3</v>
      </c>
      <c r="E3230" s="2">
        <v>81.5</v>
      </c>
      <c r="P3230" s="3">
        <f>E3230*(VLOOKUP(B3230,Price_data!A$1:B$190,2,FALSE))</f>
        <v>81.5</v>
      </c>
      <c r="Q3230" s="3">
        <f>G3230*(VLOOKUP(B3230,Price_data!A$1:B$190,2,FALSE))</f>
        <v>0</v>
      </c>
      <c r="R3230" s="3">
        <f>I3230*(VLOOKUP(B3230,Price_data!A$1:B$190,2,FALSE))</f>
        <v>0</v>
      </c>
      <c r="S3230" s="4" t="str">
        <f>(VLOOKUP(B3230,Price_data!A$1:C$190,3,FALSE))</f>
        <v>EEZ</v>
      </c>
      <c r="T3230" s="2" t="str">
        <f>IF(C3230="Total", (VLOOKUP(B3230,Recommended_fish_intake!A$4:D$122,4,FALSE)), "NA")</f>
        <v>NA</v>
      </c>
      <c r="U3230" s="2" t="str">
        <f t="shared" si="357"/>
        <v>NA</v>
      </c>
    </row>
    <row r="3231" spans="1:21" ht="14.25" customHeight="1">
      <c r="A3231" s="2" t="s">
        <v>90</v>
      </c>
      <c r="B3231" s="2">
        <v>2000</v>
      </c>
      <c r="C3231" s="2" t="s">
        <v>19</v>
      </c>
      <c r="D3231" s="2">
        <v>0.4</v>
      </c>
      <c r="E3231" s="2">
        <v>0.2</v>
      </c>
      <c r="P3231" s="3">
        <f>E3231*(VLOOKUP(B3231,Price_data!A$1:B$190,2,FALSE))</f>
        <v>0.2</v>
      </c>
      <c r="Q3231" s="3">
        <f>G3231*(VLOOKUP(B3231,Price_data!A$1:B$190,2,FALSE))</f>
        <v>0</v>
      </c>
      <c r="R3231" s="3">
        <f>I3231*(VLOOKUP(B3231,Price_data!A$1:B$190,2,FALSE))</f>
        <v>0</v>
      </c>
      <c r="S3231" s="4" t="str">
        <f>(VLOOKUP(B3231,Price_data!A$1:C$190,3,FALSE))</f>
        <v>EEZ</v>
      </c>
      <c r="T3231" s="2" t="str">
        <f>IF(C3231="Total", (VLOOKUP(B3231,Recommended_fish_intake!A$4:D$122,4,FALSE)), "NA")</f>
        <v>NA</v>
      </c>
      <c r="U3231" s="2" t="str">
        <f t="shared" si="357"/>
        <v>NA</v>
      </c>
    </row>
    <row r="3232" spans="1:21" ht="14.25" customHeight="1">
      <c r="A3232" s="2" t="s">
        <v>90</v>
      </c>
      <c r="B3232" s="2">
        <v>2000</v>
      </c>
      <c r="C3232" s="2" t="s">
        <v>20</v>
      </c>
      <c r="D3232" s="2">
        <v>7.9</v>
      </c>
      <c r="E3232" s="2">
        <v>2.7</v>
      </c>
      <c r="P3232" s="3">
        <f>E3232*(VLOOKUP(B3232,Price_data!A$1:B$190,2,FALSE))</f>
        <v>2.7</v>
      </c>
      <c r="Q3232" s="3">
        <f>G3232*(VLOOKUP(B3232,Price_data!A$1:B$190,2,FALSE))</f>
        <v>0</v>
      </c>
      <c r="R3232" s="3">
        <f>I3232*(VLOOKUP(B3232,Price_data!A$1:B$190,2,FALSE))</f>
        <v>0</v>
      </c>
      <c r="S3232" s="4" t="str">
        <f>(VLOOKUP(B3232,Price_data!A$1:C$190,3,FALSE))</f>
        <v>EEZ</v>
      </c>
      <c r="T3232" s="2" t="str">
        <f>IF(C3232="Total", (VLOOKUP(B3232,Recommended_fish_intake!A$4:D$122,4,FALSE)), "NA")</f>
        <v>NA</v>
      </c>
      <c r="U3232" s="2" t="str">
        <f t="shared" si="357"/>
        <v>NA</v>
      </c>
    </row>
    <row r="3233" spans="1:21" ht="14.25" customHeight="1">
      <c r="A3233" s="2" t="s">
        <v>90</v>
      </c>
      <c r="B3233" s="2">
        <v>2000</v>
      </c>
      <c r="C3233" s="2" t="s">
        <v>42</v>
      </c>
      <c r="D3233" s="2">
        <v>16</v>
      </c>
      <c r="E3233" s="2">
        <v>4.2</v>
      </c>
      <c r="P3233" s="3">
        <f>E3233*(VLOOKUP(B3233,Price_data!A$1:B$190,2,FALSE))</f>
        <v>4.2</v>
      </c>
      <c r="Q3233" s="3">
        <f>G3233*(VLOOKUP(B3233,Price_data!A$1:B$190,2,FALSE))</f>
        <v>0</v>
      </c>
      <c r="R3233" s="3">
        <f>I3233*(VLOOKUP(B3233,Price_data!A$1:B$190,2,FALSE))</f>
        <v>0</v>
      </c>
      <c r="S3233" s="4" t="str">
        <f>(VLOOKUP(B3233,Price_data!A$1:C$190,3,FALSE))</f>
        <v>EEZ</v>
      </c>
      <c r="T3233" s="2" t="str">
        <f>IF(C3233="Total", (VLOOKUP(B3233,Recommended_fish_intake!A$4:D$122,4,FALSE)), "NA")</f>
        <v>NA</v>
      </c>
      <c r="U3233" s="2" t="str">
        <f t="shared" si="357"/>
        <v>NA</v>
      </c>
    </row>
    <row r="3234" spans="1:21" ht="14.25" customHeight="1">
      <c r="A3234" s="2" t="s">
        <v>90</v>
      </c>
      <c r="B3234" s="2">
        <v>2000</v>
      </c>
      <c r="C3234" s="2" t="s">
        <v>36</v>
      </c>
      <c r="D3234" s="2">
        <v>12.7</v>
      </c>
      <c r="E3234" s="2">
        <v>13.6</v>
      </c>
      <c r="P3234" s="3">
        <f>E3234*(VLOOKUP(B3234,Price_data!A$1:B$190,2,FALSE))</f>
        <v>13.6</v>
      </c>
      <c r="Q3234" s="3">
        <f>G3234*(VLOOKUP(B3234,Price_data!A$1:B$190,2,FALSE))</f>
        <v>0</v>
      </c>
      <c r="R3234" s="3">
        <f>I3234*(VLOOKUP(B3234,Price_data!A$1:B$190,2,FALSE))</f>
        <v>0</v>
      </c>
      <c r="S3234" s="4" t="str">
        <f>(VLOOKUP(B3234,Price_data!A$1:C$190,3,FALSE))</f>
        <v>EEZ</v>
      </c>
      <c r="T3234" s="2" t="str">
        <f>IF(C3234="Total", (VLOOKUP(B3234,Recommended_fish_intake!A$4:D$122,4,FALSE)), "NA")</f>
        <v>NA</v>
      </c>
      <c r="U3234" s="2" t="str">
        <f t="shared" si="357"/>
        <v>NA</v>
      </c>
    </row>
    <row r="3235" spans="1:21" ht="14.25" customHeight="1">
      <c r="A3235" s="2" t="s">
        <v>90</v>
      </c>
      <c r="B3235" s="2">
        <v>2000</v>
      </c>
      <c r="C3235" s="2" t="s">
        <v>34</v>
      </c>
      <c r="D3235" s="2">
        <v>0.8</v>
      </c>
      <c r="E3235" s="2">
        <v>7.7</v>
      </c>
      <c r="P3235" s="3">
        <f>E3235*(VLOOKUP(B3235,Price_data!A$1:B$190,2,FALSE))</f>
        <v>7.7</v>
      </c>
      <c r="Q3235" s="3">
        <f>G3235*(VLOOKUP(B3235,Price_data!A$1:B$190,2,FALSE))</f>
        <v>0</v>
      </c>
      <c r="R3235" s="3">
        <f>I3235*(VLOOKUP(B3235,Price_data!A$1:B$190,2,FALSE))</f>
        <v>0</v>
      </c>
      <c r="S3235" s="4" t="str">
        <f>(VLOOKUP(B3235,Price_data!A$1:C$190,3,FALSE))</f>
        <v>EEZ</v>
      </c>
      <c r="T3235" s="2" t="str">
        <f>IF(C3235="Total", (VLOOKUP(B3235,Recommended_fish_intake!A$4:D$122,4,FALSE)), "NA")</f>
        <v>NA</v>
      </c>
      <c r="U3235" s="2" t="str">
        <f t="shared" si="357"/>
        <v>NA</v>
      </c>
    </row>
    <row r="3236" spans="1:21" ht="14.25" customHeight="1">
      <c r="A3236" s="2" t="s">
        <v>90</v>
      </c>
      <c r="B3236" s="2">
        <v>2000</v>
      </c>
      <c r="C3236" s="2" t="s">
        <v>35</v>
      </c>
      <c r="D3236" s="2">
        <v>2.7</v>
      </c>
      <c r="E3236" s="2">
        <v>4.8</v>
      </c>
      <c r="P3236" s="3">
        <f>E3236*(VLOOKUP(B3236,Price_data!A$1:B$190,2,FALSE))</f>
        <v>4.8</v>
      </c>
      <c r="Q3236" s="3">
        <f>G3236*(VLOOKUP(B3236,Price_data!A$1:B$190,2,FALSE))</f>
        <v>0</v>
      </c>
      <c r="R3236" s="3">
        <f>I3236*(VLOOKUP(B3236,Price_data!A$1:B$190,2,FALSE))</f>
        <v>0</v>
      </c>
      <c r="S3236" s="4" t="str">
        <f>(VLOOKUP(B3236,Price_data!A$1:C$190,3,FALSE))</f>
        <v>EEZ</v>
      </c>
      <c r="T3236" s="2" t="str">
        <f>IF(C3236="Total", (VLOOKUP(B3236,Recommended_fish_intake!A$4:D$122,4,FALSE)), "NA")</f>
        <v>NA</v>
      </c>
      <c r="U3236" s="2" t="str">
        <f t="shared" si="357"/>
        <v>NA</v>
      </c>
    </row>
    <row r="3237" spans="1:21" ht="14.25" customHeight="1">
      <c r="A3237" s="2" t="s">
        <v>90</v>
      </c>
      <c r="B3237" s="2">
        <v>2000</v>
      </c>
      <c r="C3237" s="2" t="s">
        <v>52</v>
      </c>
      <c r="D3237" s="2">
        <v>11.5</v>
      </c>
      <c r="E3237" s="2">
        <v>16.600000000000001</v>
      </c>
      <c r="P3237" s="3">
        <f>E3237*(VLOOKUP(B3237,Price_data!A$1:B$190,2,FALSE))</f>
        <v>16.600000000000001</v>
      </c>
      <c r="Q3237" s="3">
        <f>G3237*(VLOOKUP(B3237,Price_data!A$1:B$190,2,FALSE))</f>
        <v>0</v>
      </c>
      <c r="R3237" s="3">
        <f>I3237*(VLOOKUP(B3237,Price_data!A$1:B$190,2,FALSE))</f>
        <v>0</v>
      </c>
      <c r="S3237" s="4" t="str">
        <f>(VLOOKUP(B3237,Price_data!A$1:C$190,3,FALSE))</f>
        <v>EEZ</v>
      </c>
      <c r="T3237" s="2" t="str">
        <f>IF(C3237="Total", (VLOOKUP(B3237,Recommended_fish_intake!A$4:D$122,4,FALSE)), "NA")</f>
        <v>NA</v>
      </c>
      <c r="U3237" s="2" t="str">
        <f t="shared" si="357"/>
        <v>NA</v>
      </c>
    </row>
    <row r="3238" spans="1:21" ht="14.25" customHeight="1">
      <c r="A3238" s="2" t="s">
        <v>90</v>
      </c>
      <c r="B3238" s="2">
        <v>2000</v>
      </c>
      <c r="C3238" s="2" t="s">
        <v>30</v>
      </c>
      <c r="D3238" s="2">
        <v>1.2</v>
      </c>
      <c r="E3238" s="2">
        <v>1.7</v>
      </c>
      <c r="P3238" s="3">
        <f>E3238*(VLOOKUP(B3238,Price_data!A$1:B$190,2,FALSE))</f>
        <v>1.7</v>
      </c>
      <c r="Q3238" s="3">
        <f>G3238*(VLOOKUP(B3238,Price_data!A$1:B$190,2,FALSE))</f>
        <v>0</v>
      </c>
      <c r="R3238" s="3">
        <f>I3238*(VLOOKUP(B3238,Price_data!A$1:B$190,2,FALSE))</f>
        <v>0</v>
      </c>
      <c r="S3238" s="4" t="str">
        <f>(VLOOKUP(B3238,Price_data!A$1:C$190,3,FALSE))</f>
        <v>EEZ</v>
      </c>
      <c r="T3238" s="2" t="str">
        <f>IF(C3238="Total", (VLOOKUP(B3238,Recommended_fish_intake!A$4:D$122,4,FALSE)), "NA")</f>
        <v>NA</v>
      </c>
      <c r="U3238" s="2" t="str">
        <f t="shared" si="357"/>
        <v>NA</v>
      </c>
    </row>
    <row r="3239" spans="1:21" ht="14.25" customHeight="1">
      <c r="A3239" s="2" t="s">
        <v>90</v>
      </c>
      <c r="B3239" s="2">
        <v>2000</v>
      </c>
      <c r="C3239" s="2" t="s">
        <v>28</v>
      </c>
      <c r="D3239" s="2">
        <v>67.5</v>
      </c>
      <c r="E3239" s="2">
        <v>57.5</v>
      </c>
      <c r="P3239" s="3">
        <f>E3239*(VLOOKUP(B3239,Price_data!A$1:B$190,2,FALSE))</f>
        <v>57.5</v>
      </c>
      <c r="Q3239" s="3">
        <f>G3239*(VLOOKUP(B3239,Price_data!A$1:B$190,2,FALSE))</f>
        <v>0</v>
      </c>
      <c r="R3239" s="3">
        <f>I3239*(VLOOKUP(B3239,Price_data!A$1:B$190,2,FALSE))</f>
        <v>0</v>
      </c>
      <c r="S3239" s="4" t="str">
        <f>(VLOOKUP(B3239,Price_data!A$1:C$190,3,FALSE))</f>
        <v>EEZ</v>
      </c>
      <c r="T3239" s="2" t="str">
        <f>IF(C3239="Total", (VLOOKUP(B3239,Recommended_fish_intake!A$4:D$122,4,FALSE)), "NA")</f>
        <v>NA</v>
      </c>
      <c r="U3239" s="2">
        <f t="shared" si="357"/>
        <v>18.900000000000002</v>
      </c>
    </row>
    <row r="3240" spans="1:21" ht="14.25" customHeight="1">
      <c r="A3240" s="2" t="s">
        <v>91</v>
      </c>
      <c r="B3240" s="2">
        <v>2000</v>
      </c>
      <c r="C3240" s="2" t="s">
        <v>22</v>
      </c>
      <c r="D3240" s="2">
        <v>0</v>
      </c>
      <c r="E3240" s="2">
        <v>0</v>
      </c>
      <c r="P3240" s="3">
        <f>E3240*(VLOOKUP(B3240,Price_data!A$1:B$190,2,FALSE))</f>
        <v>0</v>
      </c>
      <c r="Q3240" s="3">
        <f>G3240*(VLOOKUP(B3240,Price_data!A$1:B$190,2,FALSE))</f>
        <v>0</v>
      </c>
      <c r="R3240" s="3">
        <f>I3240*(VLOOKUP(B3240,Price_data!A$1:B$190,2,FALSE))</f>
        <v>0</v>
      </c>
      <c r="S3240" s="4" t="str">
        <f>(VLOOKUP(B3240,Price_data!A$1:C$190,3,FALSE))</f>
        <v>EEZ</v>
      </c>
      <c r="T3240" s="2" t="str">
        <f>IF(C3240="Total", (VLOOKUP(B3240,Recommended_fish_intake!A$4:D$122,4,FALSE)), "NA")</f>
        <v>NA</v>
      </c>
      <c r="U3240" s="2" t="str">
        <f t="shared" si="357"/>
        <v>NA</v>
      </c>
    </row>
    <row r="3241" spans="1:21" ht="14.25" customHeight="1">
      <c r="A3241" s="2" t="s">
        <v>91</v>
      </c>
      <c r="B3241" s="2">
        <v>2000</v>
      </c>
      <c r="C3241" s="2" t="s">
        <v>23</v>
      </c>
      <c r="D3241" s="2">
        <v>0</v>
      </c>
      <c r="E3241" s="2">
        <v>0</v>
      </c>
      <c r="P3241" s="3">
        <f>E3241*(VLOOKUP(B3241,Price_data!A$1:B$190,2,FALSE))</f>
        <v>0</v>
      </c>
      <c r="Q3241" s="3">
        <f>G3241*(VLOOKUP(B3241,Price_data!A$1:B$190,2,FALSE))</f>
        <v>0</v>
      </c>
      <c r="R3241" s="3">
        <f>I3241*(VLOOKUP(B3241,Price_data!A$1:B$190,2,FALSE))</f>
        <v>0</v>
      </c>
      <c r="S3241" s="4" t="str">
        <f>(VLOOKUP(B3241,Price_data!A$1:C$190,3,FALSE))</f>
        <v>EEZ</v>
      </c>
      <c r="T3241" s="2" t="str">
        <f>IF(C3241="Total", (VLOOKUP(B3241,Recommended_fish_intake!A$4:D$122,4,FALSE)), "NA")</f>
        <v>NA</v>
      </c>
      <c r="U3241" s="2" t="str">
        <f t="shared" si="357"/>
        <v>NA</v>
      </c>
    </row>
    <row r="3242" spans="1:21" ht="14.25" customHeight="1">
      <c r="A3242" s="2" t="s">
        <v>91</v>
      </c>
      <c r="B3242" s="2">
        <v>2000</v>
      </c>
      <c r="C3242" s="2" t="s">
        <v>58</v>
      </c>
      <c r="D3242" s="2">
        <v>0</v>
      </c>
      <c r="E3242" s="2">
        <v>0</v>
      </c>
      <c r="P3242" s="3">
        <f>E3242*(VLOOKUP(B3242,Price_data!A$1:B$190,2,FALSE))</f>
        <v>0</v>
      </c>
      <c r="Q3242" s="3">
        <f>G3242*(VLOOKUP(B3242,Price_data!A$1:B$190,2,FALSE))</f>
        <v>0</v>
      </c>
      <c r="R3242" s="3">
        <f>I3242*(VLOOKUP(B3242,Price_data!A$1:B$190,2,FALSE))</f>
        <v>0</v>
      </c>
      <c r="S3242" s="4" t="str">
        <f>(VLOOKUP(B3242,Price_data!A$1:C$190,3,FALSE))</f>
        <v>EEZ</v>
      </c>
      <c r="T3242" s="2" t="str">
        <f>IF(C3242="Total", (VLOOKUP(B3242,Recommended_fish_intake!A$4:D$122,4,FALSE)), "NA")</f>
        <v>NA</v>
      </c>
      <c r="U3242" s="2" t="str">
        <f t="shared" si="357"/>
        <v>NA</v>
      </c>
    </row>
    <row r="3243" spans="1:21" ht="14.25" customHeight="1">
      <c r="A3243" s="2" t="s">
        <v>91</v>
      </c>
      <c r="B3243" s="2">
        <v>2000</v>
      </c>
      <c r="C3243" s="2" t="s">
        <v>24</v>
      </c>
      <c r="D3243" s="2">
        <v>0</v>
      </c>
      <c r="E3243" s="2">
        <v>0</v>
      </c>
      <c r="P3243" s="3">
        <f>E3243*(VLOOKUP(B3243,Price_data!A$1:B$190,2,FALSE))</f>
        <v>0</v>
      </c>
      <c r="Q3243" s="3">
        <f>G3243*(VLOOKUP(B3243,Price_data!A$1:B$190,2,FALSE))</f>
        <v>0</v>
      </c>
      <c r="R3243" s="3">
        <f>I3243*(VLOOKUP(B3243,Price_data!A$1:B$190,2,FALSE))</f>
        <v>0</v>
      </c>
      <c r="S3243" s="4" t="str">
        <f>(VLOOKUP(B3243,Price_data!A$1:C$190,3,FALSE))</f>
        <v>EEZ</v>
      </c>
      <c r="T3243" s="2" t="str">
        <f>IF(C3243="Total", (VLOOKUP(B3243,Recommended_fish_intake!A$4:D$122,4,FALSE)), "NA")</f>
        <v>NA</v>
      </c>
      <c r="U3243" s="2" t="str">
        <f t="shared" si="357"/>
        <v>NA</v>
      </c>
    </row>
    <row r="3244" spans="1:21" ht="14.25" customHeight="1">
      <c r="A3244" s="2" t="s">
        <v>91</v>
      </c>
      <c r="B3244" s="2">
        <v>2000</v>
      </c>
      <c r="C3244" s="2" t="s">
        <v>41</v>
      </c>
      <c r="D3244" s="2">
        <v>0</v>
      </c>
      <c r="E3244" s="2">
        <v>0</v>
      </c>
      <c r="P3244" s="3">
        <f>E3244*(VLOOKUP(B3244,Price_data!A$1:B$190,2,FALSE))</f>
        <v>0</v>
      </c>
      <c r="Q3244" s="3">
        <f>G3244*(VLOOKUP(B3244,Price_data!A$1:B$190,2,FALSE))</f>
        <v>0</v>
      </c>
      <c r="R3244" s="3">
        <f>I3244*(VLOOKUP(B3244,Price_data!A$1:B$190,2,FALSE))</f>
        <v>0</v>
      </c>
      <c r="S3244" s="4" t="str">
        <f>(VLOOKUP(B3244,Price_data!A$1:C$190,3,FALSE))</f>
        <v>EEZ</v>
      </c>
      <c r="T3244" s="2" t="str">
        <f>IF(C3244="Total", (VLOOKUP(B3244,Recommended_fish_intake!A$4:D$122,4,FALSE)), "NA")</f>
        <v>NA</v>
      </c>
      <c r="U3244" s="2" t="str">
        <f t="shared" si="357"/>
        <v>NA</v>
      </c>
    </row>
    <row r="3245" spans="1:21" ht="14.25" customHeight="1">
      <c r="A3245" s="2" t="s">
        <v>91</v>
      </c>
      <c r="B3245" s="2">
        <v>2000</v>
      </c>
      <c r="C3245" s="2" t="s">
        <v>19</v>
      </c>
      <c r="D3245" s="2">
        <v>0</v>
      </c>
      <c r="E3245" s="2">
        <v>0</v>
      </c>
      <c r="P3245" s="3">
        <f>E3245*(VLOOKUP(B3245,Price_data!A$1:B$190,2,FALSE))</f>
        <v>0</v>
      </c>
      <c r="Q3245" s="3">
        <f>G3245*(VLOOKUP(B3245,Price_data!A$1:B$190,2,FALSE))</f>
        <v>0</v>
      </c>
      <c r="R3245" s="3">
        <f>I3245*(VLOOKUP(B3245,Price_data!A$1:B$190,2,FALSE))</f>
        <v>0</v>
      </c>
      <c r="S3245" s="4" t="str">
        <f>(VLOOKUP(B3245,Price_data!A$1:C$190,3,FALSE))</f>
        <v>EEZ</v>
      </c>
      <c r="T3245" s="2" t="str">
        <f>IF(C3245="Total", (VLOOKUP(B3245,Recommended_fish_intake!A$4:D$122,4,FALSE)), "NA")</f>
        <v>NA</v>
      </c>
      <c r="U3245" s="2" t="str">
        <f t="shared" si="357"/>
        <v>NA</v>
      </c>
    </row>
    <row r="3246" spans="1:21" ht="14.25" customHeight="1">
      <c r="A3246" s="2" t="s">
        <v>91</v>
      </c>
      <c r="B3246" s="2">
        <v>2000</v>
      </c>
      <c r="C3246" s="2" t="s">
        <v>20</v>
      </c>
      <c r="D3246" s="2">
        <v>0</v>
      </c>
      <c r="E3246" s="2">
        <v>0</v>
      </c>
      <c r="P3246" s="3">
        <f>E3246*(VLOOKUP(B3246,Price_data!A$1:B$190,2,FALSE))</f>
        <v>0</v>
      </c>
      <c r="Q3246" s="3">
        <f>G3246*(VLOOKUP(B3246,Price_data!A$1:B$190,2,FALSE))</f>
        <v>0</v>
      </c>
      <c r="R3246" s="3">
        <f>I3246*(VLOOKUP(B3246,Price_data!A$1:B$190,2,FALSE))</f>
        <v>0</v>
      </c>
      <c r="S3246" s="4" t="str">
        <f>(VLOOKUP(B3246,Price_data!A$1:C$190,3,FALSE))</f>
        <v>EEZ</v>
      </c>
      <c r="T3246" s="2" t="str">
        <f>IF(C3246="Total", (VLOOKUP(B3246,Recommended_fish_intake!A$4:D$122,4,FALSE)), "NA")</f>
        <v>NA</v>
      </c>
      <c r="U3246" s="2" t="str">
        <f t="shared" si="357"/>
        <v>NA</v>
      </c>
    </row>
    <row r="3247" spans="1:21" ht="14.25" customHeight="1">
      <c r="A3247" s="2" t="s">
        <v>91</v>
      </c>
      <c r="B3247" s="2">
        <v>2000</v>
      </c>
      <c r="C3247" s="2" t="s">
        <v>42</v>
      </c>
      <c r="D3247" s="2">
        <v>0</v>
      </c>
      <c r="E3247" s="2">
        <v>0</v>
      </c>
      <c r="P3247" s="3">
        <f>E3247*(VLOOKUP(B3247,Price_data!A$1:B$190,2,FALSE))</f>
        <v>0</v>
      </c>
      <c r="Q3247" s="3">
        <f>G3247*(VLOOKUP(B3247,Price_data!A$1:B$190,2,FALSE))</f>
        <v>0</v>
      </c>
      <c r="R3247" s="3">
        <f>I3247*(VLOOKUP(B3247,Price_data!A$1:B$190,2,FALSE))</f>
        <v>0</v>
      </c>
      <c r="S3247" s="4" t="str">
        <f>(VLOOKUP(B3247,Price_data!A$1:C$190,3,FALSE))</f>
        <v>EEZ</v>
      </c>
      <c r="T3247" s="2" t="str">
        <f>IF(C3247="Total", (VLOOKUP(B3247,Recommended_fish_intake!A$4:D$122,4,FALSE)), "NA")</f>
        <v>NA</v>
      </c>
      <c r="U3247" s="2" t="str">
        <f t="shared" si="357"/>
        <v>NA</v>
      </c>
    </row>
    <row r="3248" spans="1:21" ht="14.25" customHeight="1">
      <c r="A3248" s="2" t="s">
        <v>91</v>
      </c>
      <c r="B3248" s="2">
        <v>2000</v>
      </c>
      <c r="C3248" s="2" t="s">
        <v>36</v>
      </c>
      <c r="D3248" s="2">
        <v>0</v>
      </c>
      <c r="E3248" s="2">
        <v>0</v>
      </c>
      <c r="P3248" s="3">
        <f>E3248*(VLOOKUP(B3248,Price_data!A$1:B$190,2,FALSE))</f>
        <v>0</v>
      </c>
      <c r="Q3248" s="3">
        <f>G3248*(VLOOKUP(B3248,Price_data!A$1:B$190,2,FALSE))</f>
        <v>0</v>
      </c>
      <c r="R3248" s="3">
        <f>I3248*(VLOOKUP(B3248,Price_data!A$1:B$190,2,FALSE))</f>
        <v>0</v>
      </c>
      <c r="S3248" s="4" t="str">
        <f>(VLOOKUP(B3248,Price_data!A$1:C$190,3,FALSE))</f>
        <v>EEZ</v>
      </c>
      <c r="T3248" s="2" t="str">
        <f>IF(C3248="Total", (VLOOKUP(B3248,Recommended_fish_intake!A$4:D$122,4,FALSE)), "NA")</f>
        <v>NA</v>
      </c>
      <c r="U3248" s="2" t="str">
        <f t="shared" si="357"/>
        <v>NA</v>
      </c>
    </row>
    <row r="3249" spans="1:21" ht="14.25" customHeight="1">
      <c r="A3249" s="2" t="s">
        <v>91</v>
      </c>
      <c r="B3249" s="2">
        <v>2000</v>
      </c>
      <c r="C3249" s="2" t="s">
        <v>34</v>
      </c>
      <c r="D3249" s="2">
        <v>0</v>
      </c>
      <c r="E3249" s="2">
        <v>0</v>
      </c>
      <c r="P3249" s="3">
        <f>E3249*(VLOOKUP(B3249,Price_data!A$1:B$190,2,FALSE))</f>
        <v>0</v>
      </c>
      <c r="Q3249" s="3">
        <f>G3249*(VLOOKUP(B3249,Price_data!A$1:B$190,2,FALSE))</f>
        <v>0</v>
      </c>
      <c r="R3249" s="3">
        <f>I3249*(VLOOKUP(B3249,Price_data!A$1:B$190,2,FALSE))</f>
        <v>0</v>
      </c>
      <c r="S3249" s="4" t="str">
        <f>(VLOOKUP(B3249,Price_data!A$1:C$190,3,FALSE))</f>
        <v>EEZ</v>
      </c>
      <c r="T3249" s="2" t="str">
        <f>IF(C3249="Total", (VLOOKUP(B3249,Recommended_fish_intake!A$4:D$122,4,FALSE)), "NA")</f>
        <v>NA</v>
      </c>
      <c r="U3249" s="2" t="str">
        <f t="shared" si="357"/>
        <v>NA</v>
      </c>
    </row>
    <row r="3250" spans="1:21" ht="14.25" customHeight="1">
      <c r="A3250" s="2" t="s">
        <v>91</v>
      </c>
      <c r="B3250" s="2">
        <v>2000</v>
      </c>
      <c r="C3250" s="2" t="s">
        <v>35</v>
      </c>
      <c r="D3250" s="2">
        <v>0</v>
      </c>
      <c r="E3250" s="2">
        <v>0</v>
      </c>
      <c r="P3250" s="3">
        <f>E3250*(VLOOKUP(B3250,Price_data!A$1:B$190,2,FALSE))</f>
        <v>0</v>
      </c>
      <c r="Q3250" s="3">
        <f>G3250*(VLOOKUP(B3250,Price_data!A$1:B$190,2,FALSE))</f>
        <v>0</v>
      </c>
      <c r="R3250" s="3">
        <f>I3250*(VLOOKUP(B3250,Price_data!A$1:B$190,2,FALSE))</f>
        <v>0</v>
      </c>
      <c r="S3250" s="4" t="str">
        <f>(VLOOKUP(B3250,Price_data!A$1:C$190,3,FALSE))</f>
        <v>EEZ</v>
      </c>
      <c r="T3250" s="2" t="str">
        <f>IF(C3250="Total", (VLOOKUP(B3250,Recommended_fish_intake!A$4:D$122,4,FALSE)), "NA")</f>
        <v>NA</v>
      </c>
      <c r="U3250" s="2" t="str">
        <f t="shared" si="357"/>
        <v>NA</v>
      </c>
    </row>
    <row r="3251" spans="1:21" ht="14.25" customHeight="1">
      <c r="A3251" s="2" t="s">
        <v>91</v>
      </c>
      <c r="B3251" s="2">
        <v>2000</v>
      </c>
      <c r="C3251" s="2" t="s">
        <v>52</v>
      </c>
      <c r="D3251" s="2">
        <v>0</v>
      </c>
      <c r="E3251" s="2">
        <v>0</v>
      </c>
      <c r="P3251" s="3">
        <f>E3251*(VLOOKUP(B3251,Price_data!A$1:B$190,2,FALSE))</f>
        <v>0</v>
      </c>
      <c r="Q3251" s="3">
        <f>G3251*(VLOOKUP(B3251,Price_data!A$1:B$190,2,FALSE))</f>
        <v>0</v>
      </c>
      <c r="R3251" s="3">
        <f>I3251*(VLOOKUP(B3251,Price_data!A$1:B$190,2,FALSE))</f>
        <v>0</v>
      </c>
      <c r="S3251" s="4" t="str">
        <f>(VLOOKUP(B3251,Price_data!A$1:C$190,3,FALSE))</f>
        <v>EEZ</v>
      </c>
      <c r="T3251" s="2" t="str">
        <f>IF(C3251="Total", (VLOOKUP(B3251,Recommended_fish_intake!A$4:D$122,4,FALSE)), "NA")</f>
        <v>NA</v>
      </c>
      <c r="U3251" s="2" t="str">
        <f t="shared" si="357"/>
        <v>NA</v>
      </c>
    </row>
    <row r="3252" spans="1:21" ht="14.25" customHeight="1">
      <c r="A3252" s="2" t="s">
        <v>91</v>
      </c>
      <c r="B3252" s="2">
        <v>2000</v>
      </c>
      <c r="C3252" s="2" t="s">
        <v>30</v>
      </c>
      <c r="D3252" s="2">
        <v>0</v>
      </c>
      <c r="E3252" s="2">
        <v>0</v>
      </c>
      <c r="P3252" s="3">
        <f>E3252*(VLOOKUP(B3252,Price_data!A$1:B$190,2,FALSE))</f>
        <v>0</v>
      </c>
      <c r="Q3252" s="3">
        <f>G3252*(VLOOKUP(B3252,Price_data!A$1:B$190,2,FALSE))</f>
        <v>0</v>
      </c>
      <c r="R3252" s="3">
        <f>I3252*(VLOOKUP(B3252,Price_data!A$1:B$190,2,FALSE))</f>
        <v>0</v>
      </c>
      <c r="S3252" s="4" t="str">
        <f>(VLOOKUP(B3252,Price_data!A$1:C$190,3,FALSE))</f>
        <v>EEZ</v>
      </c>
      <c r="T3252" s="2" t="str">
        <f>IF(C3252="Total", (VLOOKUP(B3252,Recommended_fish_intake!A$4:D$122,4,FALSE)), "NA")</f>
        <v>NA</v>
      </c>
      <c r="U3252" s="2" t="str">
        <f t="shared" si="357"/>
        <v>NA</v>
      </c>
    </row>
    <row r="3253" spans="1:21" ht="14.25" customHeight="1">
      <c r="A3253" s="2" t="s">
        <v>91</v>
      </c>
      <c r="B3253" s="2">
        <v>2000</v>
      </c>
      <c r="C3253" s="2" t="s">
        <v>28</v>
      </c>
      <c r="D3253" s="2">
        <v>0</v>
      </c>
      <c r="E3253" s="2">
        <v>0</v>
      </c>
      <c r="P3253" s="3">
        <f>E3253*(VLOOKUP(B3253,Price_data!A$1:B$190,2,FALSE))</f>
        <v>0</v>
      </c>
      <c r="Q3253" s="3">
        <f>G3253*(VLOOKUP(B3253,Price_data!A$1:B$190,2,FALSE))</f>
        <v>0</v>
      </c>
      <c r="R3253" s="3">
        <f>I3253*(VLOOKUP(B3253,Price_data!A$1:B$190,2,FALSE))</f>
        <v>0</v>
      </c>
      <c r="S3253" s="4" t="str">
        <f>(VLOOKUP(B3253,Price_data!A$1:C$190,3,FALSE))</f>
        <v>EEZ</v>
      </c>
      <c r="T3253" s="2" t="str">
        <f>IF(C3253="Total", (VLOOKUP(B3253,Recommended_fish_intake!A$4:D$122,4,FALSE)), "NA")</f>
        <v>NA</v>
      </c>
      <c r="U3253" s="2">
        <f t="shared" si="357"/>
        <v>0</v>
      </c>
    </row>
    <row r="3254" spans="1:21" ht="14.25" customHeight="1">
      <c r="A3254" s="2" t="s">
        <v>39</v>
      </c>
      <c r="B3254" s="2">
        <v>2000</v>
      </c>
      <c r="C3254" s="2" t="s">
        <v>22</v>
      </c>
      <c r="D3254" s="2">
        <v>23.305</v>
      </c>
      <c r="E3254" s="2">
        <v>32.945</v>
      </c>
      <c r="P3254" s="3">
        <f>E3254*(VLOOKUP(B3254,Price_data!A$1:B$190,2,FALSE))</f>
        <v>32.945</v>
      </c>
      <c r="Q3254" s="3">
        <f>G3254*(VLOOKUP(B3254,Price_data!A$1:B$190,2,FALSE))</f>
        <v>0</v>
      </c>
      <c r="R3254" s="3">
        <f>I3254*(VLOOKUP(B3254,Price_data!A$1:B$190,2,FALSE))</f>
        <v>0</v>
      </c>
      <c r="S3254" s="4" t="str">
        <f>(VLOOKUP(B3254,Price_data!A$1:C$190,3,FALSE))</f>
        <v>EEZ</v>
      </c>
      <c r="T3254" s="2" t="str">
        <f>IF(C3254="Total", (VLOOKUP(B3254,Recommended_fish_intake!A$4:D$122,4,FALSE)), "NA")</f>
        <v>NA</v>
      </c>
      <c r="U3254" s="2" t="str">
        <f t="shared" si="357"/>
        <v>NA</v>
      </c>
    </row>
    <row r="3255" spans="1:21" ht="14.25" customHeight="1">
      <c r="A3255" s="2" t="s">
        <v>39</v>
      </c>
      <c r="B3255" s="2">
        <v>2000</v>
      </c>
      <c r="C3255" s="2" t="s">
        <v>23</v>
      </c>
      <c r="D3255" s="2">
        <v>46.347000000000001</v>
      </c>
      <c r="E3255" s="2">
        <v>46.945999999999998</v>
      </c>
      <c r="P3255" s="3">
        <f>E3255*(VLOOKUP(B3255,Price_data!A$1:B$190,2,FALSE))</f>
        <v>46.945999999999998</v>
      </c>
      <c r="Q3255" s="3">
        <f>G3255*(VLOOKUP(B3255,Price_data!A$1:B$190,2,FALSE))</f>
        <v>0</v>
      </c>
      <c r="R3255" s="3">
        <f>I3255*(VLOOKUP(B3255,Price_data!A$1:B$190,2,FALSE))</f>
        <v>0</v>
      </c>
      <c r="S3255" s="4" t="str">
        <f>(VLOOKUP(B3255,Price_data!A$1:C$190,3,FALSE))</f>
        <v>EEZ</v>
      </c>
      <c r="T3255" s="2" t="str">
        <f>IF(C3255="Total", (VLOOKUP(B3255,Recommended_fish_intake!A$4:D$122,4,FALSE)), "NA")</f>
        <v>NA</v>
      </c>
      <c r="U3255" s="2" t="str">
        <f t="shared" si="357"/>
        <v>NA</v>
      </c>
    </row>
    <row r="3256" spans="1:21" ht="14.25" customHeight="1">
      <c r="A3256" s="2" t="s">
        <v>39</v>
      </c>
      <c r="B3256" s="2">
        <v>2000</v>
      </c>
      <c r="C3256" s="2" t="s">
        <v>58</v>
      </c>
      <c r="D3256" s="2">
        <v>11.864000000000001</v>
      </c>
      <c r="E3256" s="2">
        <v>27.460999999999999</v>
      </c>
      <c r="P3256" s="3">
        <f>E3256*(VLOOKUP(B3256,Price_data!A$1:B$190,2,FALSE))</f>
        <v>27.460999999999999</v>
      </c>
      <c r="Q3256" s="3">
        <f>G3256*(VLOOKUP(B3256,Price_data!A$1:B$190,2,FALSE))</f>
        <v>0</v>
      </c>
      <c r="R3256" s="3">
        <f>I3256*(VLOOKUP(B3256,Price_data!A$1:B$190,2,FALSE))</f>
        <v>0</v>
      </c>
      <c r="S3256" s="4" t="str">
        <f>(VLOOKUP(B3256,Price_data!A$1:C$190,3,FALSE))</f>
        <v>EEZ</v>
      </c>
      <c r="T3256" s="2" t="str">
        <f>IF(C3256="Total", (VLOOKUP(B3256,Recommended_fish_intake!A$4:D$122,4,FALSE)), "NA")</f>
        <v>NA</v>
      </c>
      <c r="U3256" s="2" t="str">
        <f t="shared" si="357"/>
        <v>NA</v>
      </c>
    </row>
    <row r="3257" spans="1:21" ht="14.25" customHeight="1">
      <c r="A3257" s="2" t="s">
        <v>39</v>
      </c>
      <c r="B3257" s="2">
        <v>2000</v>
      </c>
      <c r="C3257" s="2" t="s">
        <v>24</v>
      </c>
      <c r="D3257" s="2">
        <v>19.489999999999998</v>
      </c>
      <c r="E3257" s="2">
        <v>12.073</v>
      </c>
      <c r="P3257" s="3">
        <f>E3257*(VLOOKUP(B3257,Price_data!A$1:B$190,2,FALSE))</f>
        <v>12.073</v>
      </c>
      <c r="Q3257" s="3">
        <f>G3257*(VLOOKUP(B3257,Price_data!A$1:B$190,2,FALSE))</f>
        <v>0</v>
      </c>
      <c r="R3257" s="3">
        <f>I3257*(VLOOKUP(B3257,Price_data!A$1:B$190,2,FALSE))</f>
        <v>0</v>
      </c>
      <c r="S3257" s="4" t="str">
        <f>(VLOOKUP(B3257,Price_data!A$1:C$190,3,FALSE))</f>
        <v>EEZ</v>
      </c>
      <c r="T3257" s="2" t="str">
        <f>IF(C3257="Total", (VLOOKUP(B3257,Recommended_fish_intake!A$4:D$122,4,FALSE)), "NA")</f>
        <v>NA</v>
      </c>
      <c r="U3257" s="2" t="str">
        <f t="shared" si="357"/>
        <v>NA</v>
      </c>
    </row>
    <row r="3258" spans="1:21" ht="14.25" customHeight="1">
      <c r="A3258" s="2" t="s">
        <v>39</v>
      </c>
      <c r="B3258" s="2">
        <v>2000</v>
      </c>
      <c r="C3258" s="2" t="s">
        <v>41</v>
      </c>
      <c r="D3258" s="2">
        <v>152.667</v>
      </c>
      <c r="E3258" s="2">
        <v>159.881</v>
      </c>
      <c r="P3258" s="3">
        <f>E3258*(VLOOKUP(B3258,Price_data!A$1:B$190,2,FALSE))</f>
        <v>159.881</v>
      </c>
      <c r="Q3258" s="3">
        <f>G3258*(VLOOKUP(B3258,Price_data!A$1:B$190,2,FALSE))</f>
        <v>0</v>
      </c>
      <c r="R3258" s="3">
        <f>I3258*(VLOOKUP(B3258,Price_data!A$1:B$190,2,FALSE))</f>
        <v>0</v>
      </c>
      <c r="S3258" s="4" t="str">
        <f>(VLOOKUP(B3258,Price_data!A$1:C$190,3,FALSE))</f>
        <v>EEZ</v>
      </c>
      <c r="T3258" s="2" t="str">
        <f>IF(C3258="Total", (VLOOKUP(B3258,Recommended_fish_intake!A$4:D$122,4,FALSE)), "NA")</f>
        <v>NA</v>
      </c>
      <c r="U3258" s="2" t="str">
        <f t="shared" si="357"/>
        <v>NA</v>
      </c>
    </row>
    <row r="3259" spans="1:21" ht="14.25" customHeight="1">
      <c r="A3259" s="2" t="s">
        <v>39</v>
      </c>
      <c r="B3259" s="2">
        <v>2000</v>
      </c>
      <c r="C3259" s="2" t="s">
        <v>19</v>
      </c>
      <c r="D3259" s="2">
        <v>34.451999999999998</v>
      </c>
      <c r="E3259" s="2">
        <v>3.4249999999999998</v>
      </c>
      <c r="P3259" s="3">
        <f>E3259*(VLOOKUP(B3259,Price_data!A$1:B$190,2,FALSE))</f>
        <v>3.4249999999999998</v>
      </c>
      <c r="Q3259" s="3">
        <f>G3259*(VLOOKUP(B3259,Price_data!A$1:B$190,2,FALSE))</f>
        <v>0</v>
      </c>
      <c r="R3259" s="3">
        <f>I3259*(VLOOKUP(B3259,Price_data!A$1:B$190,2,FALSE))</f>
        <v>0</v>
      </c>
      <c r="S3259" s="4" t="str">
        <f>(VLOOKUP(B3259,Price_data!A$1:C$190,3,FALSE))</f>
        <v>EEZ</v>
      </c>
      <c r="T3259" s="2" t="str">
        <f>IF(C3259="Total", (VLOOKUP(B3259,Recommended_fish_intake!A$4:D$122,4,FALSE)), "NA")</f>
        <v>NA</v>
      </c>
      <c r="U3259" s="2" t="str">
        <f t="shared" si="357"/>
        <v>NA</v>
      </c>
    </row>
    <row r="3260" spans="1:21" ht="14.25" customHeight="1">
      <c r="A3260" s="2" t="s">
        <v>39</v>
      </c>
      <c r="B3260" s="2">
        <v>2000</v>
      </c>
      <c r="C3260" s="2" t="s">
        <v>20</v>
      </c>
      <c r="D3260" s="2">
        <v>43.542000000000002</v>
      </c>
      <c r="E3260" s="2">
        <v>10.443</v>
      </c>
      <c r="P3260" s="3">
        <f>E3260*(VLOOKUP(B3260,Price_data!A$1:B$190,2,FALSE))</f>
        <v>10.443</v>
      </c>
      <c r="Q3260" s="3">
        <f>G3260*(VLOOKUP(B3260,Price_data!A$1:B$190,2,FALSE))</f>
        <v>0</v>
      </c>
      <c r="R3260" s="3">
        <f>I3260*(VLOOKUP(B3260,Price_data!A$1:B$190,2,FALSE))</f>
        <v>0</v>
      </c>
      <c r="S3260" s="4" t="str">
        <f>(VLOOKUP(B3260,Price_data!A$1:C$190,3,FALSE))</f>
        <v>EEZ</v>
      </c>
      <c r="T3260" s="2" t="str">
        <f>IF(C3260="Total", (VLOOKUP(B3260,Recommended_fish_intake!A$4:D$122,4,FALSE)), "NA")</f>
        <v>NA</v>
      </c>
      <c r="U3260" s="2" t="str">
        <f t="shared" si="357"/>
        <v>NA</v>
      </c>
    </row>
    <row r="3261" spans="1:21" ht="14.25" customHeight="1">
      <c r="A3261" s="2" t="s">
        <v>39</v>
      </c>
      <c r="B3261" s="2">
        <v>2000</v>
      </c>
      <c r="C3261" s="2" t="s">
        <v>42</v>
      </c>
      <c r="D3261" s="2">
        <v>103.21599999999999</v>
      </c>
      <c r="E3261" s="2">
        <v>15.625999999999999</v>
      </c>
      <c r="P3261" s="3">
        <f>E3261*(VLOOKUP(B3261,Price_data!A$1:B$190,2,FALSE))</f>
        <v>15.625999999999999</v>
      </c>
      <c r="Q3261" s="3">
        <f>G3261*(VLOOKUP(B3261,Price_data!A$1:B$190,2,FALSE))</f>
        <v>0</v>
      </c>
      <c r="R3261" s="3">
        <f>I3261*(VLOOKUP(B3261,Price_data!A$1:B$190,2,FALSE))</f>
        <v>0</v>
      </c>
      <c r="S3261" s="4" t="str">
        <f>(VLOOKUP(B3261,Price_data!A$1:C$190,3,FALSE))</f>
        <v>EEZ</v>
      </c>
      <c r="T3261" s="2" t="str">
        <f>IF(C3261="Total", (VLOOKUP(B3261,Recommended_fish_intake!A$4:D$122,4,FALSE)), "NA")</f>
        <v>NA</v>
      </c>
      <c r="U3261" s="2" t="str">
        <f t="shared" si="357"/>
        <v>NA</v>
      </c>
    </row>
    <row r="3262" spans="1:21" ht="14.25" customHeight="1">
      <c r="A3262" s="2" t="s">
        <v>39</v>
      </c>
      <c r="B3262" s="2">
        <v>2000</v>
      </c>
      <c r="C3262" s="2" t="s">
        <v>36</v>
      </c>
      <c r="D3262" s="2">
        <v>12.335000000000001</v>
      </c>
      <c r="E3262" s="2">
        <v>13.878</v>
      </c>
      <c r="P3262" s="3">
        <f>E3262*(VLOOKUP(B3262,Price_data!A$1:B$190,2,FALSE))</f>
        <v>13.878</v>
      </c>
      <c r="Q3262" s="3">
        <f>G3262*(VLOOKUP(B3262,Price_data!A$1:B$190,2,FALSE))</f>
        <v>0</v>
      </c>
      <c r="R3262" s="3">
        <f>I3262*(VLOOKUP(B3262,Price_data!A$1:B$190,2,FALSE))</f>
        <v>0</v>
      </c>
      <c r="S3262" s="4" t="str">
        <f>(VLOOKUP(B3262,Price_data!A$1:C$190,3,FALSE))</f>
        <v>EEZ</v>
      </c>
      <c r="T3262" s="2" t="str">
        <f>IF(C3262="Total", (VLOOKUP(B3262,Recommended_fish_intake!A$4:D$122,4,FALSE)), "NA")</f>
        <v>NA</v>
      </c>
      <c r="U3262" s="2" t="str">
        <f t="shared" si="357"/>
        <v>NA</v>
      </c>
    </row>
    <row r="3263" spans="1:21" ht="14.25" customHeight="1">
      <c r="A3263" s="2" t="s">
        <v>39</v>
      </c>
      <c r="B3263" s="2">
        <v>2000</v>
      </c>
      <c r="C3263" s="2" t="s">
        <v>34</v>
      </c>
      <c r="D3263" s="2">
        <v>0.42</v>
      </c>
      <c r="E3263" s="2">
        <v>4.5739999999999998</v>
      </c>
      <c r="P3263" s="3">
        <f>E3263*(VLOOKUP(B3263,Price_data!A$1:B$190,2,FALSE))</f>
        <v>4.5739999999999998</v>
      </c>
      <c r="Q3263" s="3">
        <f>G3263*(VLOOKUP(B3263,Price_data!A$1:B$190,2,FALSE))</f>
        <v>0</v>
      </c>
      <c r="R3263" s="3">
        <f>I3263*(VLOOKUP(B3263,Price_data!A$1:B$190,2,FALSE))</f>
        <v>0</v>
      </c>
      <c r="S3263" s="4" t="str">
        <f>(VLOOKUP(B3263,Price_data!A$1:C$190,3,FALSE))</f>
        <v>EEZ</v>
      </c>
      <c r="T3263" s="2" t="str">
        <f>IF(C3263="Total", (VLOOKUP(B3263,Recommended_fish_intake!A$4:D$122,4,FALSE)), "NA")</f>
        <v>NA</v>
      </c>
      <c r="U3263" s="2" t="str">
        <f t="shared" si="357"/>
        <v>NA</v>
      </c>
    </row>
    <row r="3264" spans="1:21" ht="14.25" customHeight="1">
      <c r="A3264" s="2" t="s">
        <v>39</v>
      </c>
      <c r="B3264" s="2">
        <v>2000</v>
      </c>
      <c r="C3264" s="2" t="s">
        <v>35</v>
      </c>
      <c r="D3264" s="2">
        <v>20.599</v>
      </c>
      <c r="E3264" s="2">
        <v>48.04</v>
      </c>
      <c r="P3264" s="3">
        <f>E3264*(VLOOKUP(B3264,Price_data!A$1:B$190,2,FALSE))</f>
        <v>48.04</v>
      </c>
      <c r="Q3264" s="3">
        <f>G3264*(VLOOKUP(B3264,Price_data!A$1:B$190,2,FALSE))</f>
        <v>0</v>
      </c>
      <c r="R3264" s="3">
        <f>I3264*(VLOOKUP(B3264,Price_data!A$1:B$190,2,FALSE))</f>
        <v>0</v>
      </c>
      <c r="S3264" s="4" t="str">
        <f>(VLOOKUP(B3264,Price_data!A$1:C$190,3,FALSE))</f>
        <v>EEZ</v>
      </c>
      <c r="T3264" s="2" t="str">
        <f>IF(C3264="Total", (VLOOKUP(B3264,Recommended_fish_intake!A$4:D$122,4,FALSE)), "NA")</f>
        <v>NA</v>
      </c>
      <c r="U3264" s="2" t="str">
        <f t="shared" si="357"/>
        <v>NA</v>
      </c>
    </row>
    <row r="3265" spans="1:21" ht="14.25" customHeight="1">
      <c r="A3265" s="2" t="s">
        <v>39</v>
      </c>
      <c r="B3265" s="2">
        <v>2000</v>
      </c>
      <c r="C3265" s="2" t="s">
        <v>52</v>
      </c>
      <c r="D3265" s="2">
        <v>12.967000000000001</v>
      </c>
      <c r="E3265" s="2">
        <v>15.707000000000001</v>
      </c>
      <c r="P3265" s="3">
        <f>E3265*(VLOOKUP(B3265,Price_data!A$1:B$190,2,FALSE))</f>
        <v>15.707000000000001</v>
      </c>
      <c r="Q3265" s="3">
        <f>G3265*(VLOOKUP(B3265,Price_data!A$1:B$190,2,FALSE))</f>
        <v>0</v>
      </c>
      <c r="R3265" s="3">
        <f>I3265*(VLOOKUP(B3265,Price_data!A$1:B$190,2,FALSE))</f>
        <v>0</v>
      </c>
      <c r="S3265" s="4" t="str">
        <f>(VLOOKUP(B3265,Price_data!A$1:C$190,3,FALSE))</f>
        <v>EEZ</v>
      </c>
      <c r="T3265" s="2" t="str">
        <f>IF(C3265="Total", (VLOOKUP(B3265,Recommended_fish_intake!A$4:D$122,4,FALSE)), "NA")</f>
        <v>NA</v>
      </c>
      <c r="U3265" s="2" t="str">
        <f t="shared" si="357"/>
        <v>NA</v>
      </c>
    </row>
    <row r="3266" spans="1:21" ht="14.25" customHeight="1">
      <c r="A3266" s="2" t="s">
        <v>39</v>
      </c>
      <c r="B3266" s="2">
        <v>2000</v>
      </c>
      <c r="C3266" s="2" t="s">
        <v>30</v>
      </c>
      <c r="D3266" s="2">
        <v>0.378</v>
      </c>
      <c r="E3266" s="2">
        <v>0.36099999999999999</v>
      </c>
      <c r="P3266" s="3">
        <f>E3266*(VLOOKUP(B3266,Price_data!A$1:B$190,2,FALSE))</f>
        <v>0.36099999999999999</v>
      </c>
      <c r="Q3266" s="3">
        <f>G3266*(VLOOKUP(B3266,Price_data!A$1:B$190,2,FALSE))</f>
        <v>0</v>
      </c>
      <c r="R3266" s="3">
        <f>I3266*(VLOOKUP(B3266,Price_data!A$1:B$190,2,FALSE))</f>
        <v>0</v>
      </c>
      <c r="S3266" s="4" t="str">
        <f>(VLOOKUP(B3266,Price_data!A$1:C$190,3,FALSE))</f>
        <v>EEZ</v>
      </c>
      <c r="T3266" s="2" t="str">
        <f>IF(C3266="Total", (VLOOKUP(B3266,Recommended_fish_intake!A$4:D$122,4,FALSE)), "NA")</f>
        <v>NA</v>
      </c>
      <c r="U3266" s="2" t="str">
        <f t="shared" ref="U3266:U3329" si="361">IF(C3266="Wet fish", D3266*0.49, IF(C3266="Shellfish", D3266*0.28, "NA"))</f>
        <v>NA</v>
      </c>
    </row>
    <row r="3267" spans="1:21" ht="14.25" customHeight="1">
      <c r="A3267" s="2" t="s">
        <v>39</v>
      </c>
      <c r="B3267" s="2">
        <v>2000</v>
      </c>
      <c r="C3267" s="2" t="s">
        <v>28</v>
      </c>
      <c r="D3267" s="2">
        <v>51.84</v>
      </c>
      <c r="E3267" s="2">
        <v>85.965999999999994</v>
      </c>
      <c r="P3267" s="3">
        <f>E3267*(VLOOKUP(B3267,Price_data!A$1:B$190,2,FALSE))</f>
        <v>85.965999999999994</v>
      </c>
      <c r="Q3267" s="3">
        <f>G3267*(VLOOKUP(B3267,Price_data!A$1:B$190,2,FALSE))</f>
        <v>0</v>
      </c>
      <c r="R3267" s="3">
        <f>I3267*(VLOOKUP(B3267,Price_data!A$1:B$190,2,FALSE))</f>
        <v>0</v>
      </c>
      <c r="S3267" s="4" t="str">
        <f>(VLOOKUP(B3267,Price_data!A$1:C$190,3,FALSE))</f>
        <v>EEZ</v>
      </c>
      <c r="T3267" s="2" t="str">
        <f>IF(C3267="Total", (VLOOKUP(B3267,Recommended_fish_intake!A$4:D$122,4,FALSE)), "NA")</f>
        <v>NA</v>
      </c>
      <c r="U3267" s="2">
        <f t="shared" si="361"/>
        <v>14.515200000000002</v>
      </c>
    </row>
    <row r="3268" spans="1:21" ht="14.25" customHeight="1">
      <c r="A3268" s="2" t="s">
        <v>40</v>
      </c>
      <c r="B3268" s="2">
        <v>2000</v>
      </c>
      <c r="C3268" s="2" t="s">
        <v>22</v>
      </c>
      <c r="D3268" s="2">
        <v>0.90100000000000002</v>
      </c>
      <c r="E3268" s="2">
        <v>1.4330000000000001</v>
      </c>
      <c r="P3268" s="3">
        <f>E3268*(VLOOKUP(B3268,Price_data!A$1:B$190,2,FALSE))</f>
        <v>1.4330000000000001</v>
      </c>
      <c r="Q3268" s="3">
        <f>G3268*(VLOOKUP(B3268,Price_data!A$1:B$190,2,FALSE))</f>
        <v>0</v>
      </c>
      <c r="R3268" s="3">
        <f>I3268*(VLOOKUP(B3268,Price_data!A$1:B$190,2,FALSE))</f>
        <v>0</v>
      </c>
      <c r="S3268" s="4" t="str">
        <f>(VLOOKUP(B3268,Price_data!A$1:C$190,3,FALSE))</f>
        <v>EEZ</v>
      </c>
      <c r="T3268" s="2" t="str">
        <f>IF(C3268="Total", (VLOOKUP(B3268,Recommended_fish_intake!A$4:D$122,4,FALSE)), "NA")</f>
        <v>NA</v>
      </c>
      <c r="U3268" s="2" t="str">
        <f t="shared" si="361"/>
        <v>NA</v>
      </c>
    </row>
    <row r="3269" spans="1:21" ht="14.25" customHeight="1">
      <c r="A3269" s="2" t="s">
        <v>40</v>
      </c>
      <c r="B3269" s="2">
        <v>2000</v>
      </c>
      <c r="C3269" s="2" t="s">
        <v>23</v>
      </c>
      <c r="D3269" s="2">
        <v>1.141</v>
      </c>
      <c r="E3269" s="2">
        <v>1.3580000000000001</v>
      </c>
      <c r="P3269" s="3">
        <f>E3269*(VLOOKUP(B3269,Price_data!A$1:B$190,2,FALSE))</f>
        <v>1.3580000000000001</v>
      </c>
      <c r="Q3269" s="3">
        <f>G3269*(VLOOKUP(B3269,Price_data!A$1:B$190,2,FALSE))</f>
        <v>0</v>
      </c>
      <c r="R3269" s="3">
        <f>I3269*(VLOOKUP(B3269,Price_data!A$1:B$190,2,FALSE))</f>
        <v>0</v>
      </c>
      <c r="S3269" s="4" t="str">
        <f>(VLOOKUP(B3269,Price_data!A$1:C$190,3,FALSE))</f>
        <v>EEZ</v>
      </c>
      <c r="T3269" s="2" t="str">
        <f>IF(C3269="Total", (VLOOKUP(B3269,Recommended_fish_intake!A$4:D$122,4,FALSE)), "NA")</f>
        <v>NA</v>
      </c>
      <c r="U3269" s="2" t="str">
        <f t="shared" si="361"/>
        <v>NA</v>
      </c>
    </row>
    <row r="3270" spans="1:21" ht="14.25" customHeight="1">
      <c r="A3270" s="2" t="s">
        <v>40</v>
      </c>
      <c r="B3270" s="2">
        <v>2000</v>
      </c>
      <c r="C3270" s="2" t="s">
        <v>58</v>
      </c>
      <c r="D3270" s="2">
        <v>0.17599999999999999</v>
      </c>
      <c r="E3270" s="2">
        <v>0.32100000000000001</v>
      </c>
      <c r="P3270" s="3">
        <f>E3270*(VLOOKUP(B3270,Price_data!A$1:B$190,2,FALSE))</f>
        <v>0.32100000000000001</v>
      </c>
      <c r="Q3270" s="3">
        <f>G3270*(VLOOKUP(B3270,Price_data!A$1:B$190,2,FALSE))</f>
        <v>0</v>
      </c>
      <c r="R3270" s="3">
        <f>I3270*(VLOOKUP(B3270,Price_data!A$1:B$190,2,FALSE))</f>
        <v>0</v>
      </c>
      <c r="S3270" s="4" t="str">
        <f>(VLOOKUP(B3270,Price_data!A$1:C$190,3,FALSE))</f>
        <v>EEZ</v>
      </c>
      <c r="T3270" s="2" t="str">
        <f>IF(C3270="Total", (VLOOKUP(B3270,Recommended_fish_intake!A$4:D$122,4,FALSE)), "NA")</f>
        <v>NA</v>
      </c>
      <c r="U3270" s="2" t="str">
        <f t="shared" si="361"/>
        <v>NA</v>
      </c>
    </row>
    <row r="3271" spans="1:21" ht="14.25" customHeight="1">
      <c r="A3271" s="2" t="s">
        <v>40</v>
      </c>
      <c r="B3271" s="2">
        <v>2000</v>
      </c>
      <c r="C3271" s="2" t="s">
        <v>24</v>
      </c>
      <c r="D3271" s="2">
        <v>0.628</v>
      </c>
      <c r="E3271" s="2">
        <v>0.378</v>
      </c>
      <c r="P3271" s="3">
        <f>E3271*(VLOOKUP(B3271,Price_data!A$1:B$190,2,FALSE))</f>
        <v>0.378</v>
      </c>
      <c r="Q3271" s="3">
        <f>G3271*(VLOOKUP(B3271,Price_data!A$1:B$190,2,FALSE))</f>
        <v>0</v>
      </c>
      <c r="R3271" s="3">
        <f>I3271*(VLOOKUP(B3271,Price_data!A$1:B$190,2,FALSE))</f>
        <v>0</v>
      </c>
      <c r="S3271" s="4" t="str">
        <f>(VLOOKUP(B3271,Price_data!A$1:C$190,3,FALSE))</f>
        <v>EEZ</v>
      </c>
      <c r="T3271" s="2" t="str">
        <f>IF(C3271="Total", (VLOOKUP(B3271,Recommended_fish_intake!A$4:D$122,4,FALSE)), "NA")</f>
        <v>NA</v>
      </c>
      <c r="U3271" s="2" t="str">
        <f t="shared" si="361"/>
        <v>NA</v>
      </c>
    </row>
    <row r="3272" spans="1:21" ht="14.25" customHeight="1">
      <c r="A3272" s="2" t="s">
        <v>40</v>
      </c>
      <c r="B3272" s="2">
        <v>2000</v>
      </c>
      <c r="C3272" s="2" t="s">
        <v>41</v>
      </c>
      <c r="D3272" s="2">
        <v>5.532</v>
      </c>
      <c r="E3272" s="2">
        <v>6.1070000000000002</v>
      </c>
      <c r="P3272" s="3">
        <f>E3272*(VLOOKUP(B3272,Price_data!A$1:B$190,2,FALSE))</f>
        <v>6.1070000000000002</v>
      </c>
      <c r="Q3272" s="3">
        <f>G3272*(VLOOKUP(B3272,Price_data!A$1:B$190,2,FALSE))</f>
        <v>0</v>
      </c>
      <c r="R3272" s="3">
        <f>I3272*(VLOOKUP(B3272,Price_data!A$1:B$190,2,FALSE))</f>
        <v>0</v>
      </c>
      <c r="S3272" s="4" t="str">
        <f>(VLOOKUP(B3272,Price_data!A$1:C$190,3,FALSE))</f>
        <v>EEZ</v>
      </c>
      <c r="T3272" s="2" t="str">
        <f>IF(C3272="Total", (VLOOKUP(B3272,Recommended_fish_intake!A$4:D$122,4,FALSE)), "NA")</f>
        <v>NA</v>
      </c>
      <c r="U3272" s="2" t="str">
        <f t="shared" si="361"/>
        <v>NA</v>
      </c>
    </row>
    <row r="3273" spans="1:21" ht="14.25" customHeight="1">
      <c r="A3273" s="2" t="s">
        <v>40</v>
      </c>
      <c r="B3273" s="2">
        <v>2000</v>
      </c>
      <c r="C3273" s="2" t="s">
        <v>19</v>
      </c>
      <c r="D3273" s="2">
        <v>4.5890000000000004</v>
      </c>
      <c r="E3273" s="2">
        <v>0.45800000000000002</v>
      </c>
      <c r="P3273" s="3">
        <f>E3273*(VLOOKUP(B3273,Price_data!A$1:B$190,2,FALSE))</f>
        <v>0.45800000000000002</v>
      </c>
      <c r="Q3273" s="3">
        <f>G3273*(VLOOKUP(B3273,Price_data!A$1:B$190,2,FALSE))</f>
        <v>0</v>
      </c>
      <c r="R3273" s="3">
        <f>I3273*(VLOOKUP(B3273,Price_data!A$1:B$190,2,FALSE))</f>
        <v>0</v>
      </c>
      <c r="S3273" s="4" t="str">
        <f>(VLOOKUP(B3273,Price_data!A$1:C$190,3,FALSE))</f>
        <v>EEZ</v>
      </c>
      <c r="T3273" s="2" t="str">
        <f>IF(C3273="Total", (VLOOKUP(B3273,Recommended_fish_intake!A$4:D$122,4,FALSE)), "NA")</f>
        <v>NA</v>
      </c>
      <c r="U3273" s="2" t="str">
        <f t="shared" si="361"/>
        <v>NA</v>
      </c>
    </row>
    <row r="3274" spans="1:21" ht="14.25" customHeight="1">
      <c r="A3274" s="2" t="s">
        <v>40</v>
      </c>
      <c r="B3274" s="2">
        <v>2000</v>
      </c>
      <c r="C3274" s="2" t="s">
        <v>20</v>
      </c>
      <c r="D3274" s="2">
        <v>3.18</v>
      </c>
      <c r="E3274" s="2">
        <v>0.71599999999999997</v>
      </c>
      <c r="P3274" s="3">
        <f>E3274*(VLOOKUP(B3274,Price_data!A$1:B$190,2,FALSE))</f>
        <v>0.71599999999999997</v>
      </c>
      <c r="Q3274" s="3">
        <f>G3274*(VLOOKUP(B3274,Price_data!A$1:B$190,2,FALSE))</f>
        <v>0</v>
      </c>
      <c r="R3274" s="3">
        <f>I3274*(VLOOKUP(B3274,Price_data!A$1:B$190,2,FALSE))</f>
        <v>0</v>
      </c>
      <c r="S3274" s="4" t="str">
        <f>(VLOOKUP(B3274,Price_data!A$1:C$190,3,FALSE))</f>
        <v>EEZ</v>
      </c>
      <c r="T3274" s="2" t="str">
        <f>IF(C3274="Total", (VLOOKUP(B3274,Recommended_fish_intake!A$4:D$122,4,FALSE)), "NA")</f>
        <v>NA</v>
      </c>
      <c r="U3274" s="2" t="str">
        <f t="shared" si="361"/>
        <v>NA</v>
      </c>
    </row>
    <row r="3275" spans="1:21" ht="14.25" customHeight="1">
      <c r="A3275" s="2" t="s">
        <v>40</v>
      </c>
      <c r="B3275" s="2">
        <v>2000</v>
      </c>
      <c r="C3275" s="2" t="s">
        <v>42</v>
      </c>
      <c r="D3275" s="2">
        <v>8.7639999999999993</v>
      </c>
      <c r="E3275" s="2">
        <v>1.2849999999999999</v>
      </c>
      <c r="P3275" s="3">
        <f>E3275*(VLOOKUP(B3275,Price_data!A$1:B$190,2,FALSE))</f>
        <v>1.2849999999999999</v>
      </c>
      <c r="Q3275" s="3">
        <f>G3275*(VLOOKUP(B3275,Price_data!A$1:B$190,2,FALSE))</f>
        <v>0</v>
      </c>
      <c r="R3275" s="3">
        <f>I3275*(VLOOKUP(B3275,Price_data!A$1:B$190,2,FALSE))</f>
        <v>0</v>
      </c>
      <c r="S3275" s="4" t="str">
        <f>(VLOOKUP(B3275,Price_data!A$1:C$190,3,FALSE))</f>
        <v>EEZ</v>
      </c>
      <c r="T3275" s="2" t="str">
        <f>IF(C3275="Total", (VLOOKUP(B3275,Recommended_fish_intake!A$4:D$122,4,FALSE)), "NA")</f>
        <v>NA</v>
      </c>
      <c r="U3275" s="2" t="str">
        <f t="shared" si="361"/>
        <v>NA</v>
      </c>
    </row>
    <row r="3276" spans="1:21" ht="14.25" customHeight="1">
      <c r="A3276" s="2" t="s">
        <v>40</v>
      </c>
      <c r="B3276" s="2">
        <v>2000</v>
      </c>
      <c r="C3276" s="2" t="s">
        <v>36</v>
      </c>
      <c r="D3276" s="2">
        <v>0.60499999999999998</v>
      </c>
      <c r="E3276" s="2">
        <v>0.53</v>
      </c>
      <c r="P3276" s="3">
        <f>E3276*(VLOOKUP(B3276,Price_data!A$1:B$190,2,FALSE))</f>
        <v>0.53</v>
      </c>
      <c r="Q3276" s="3">
        <f>G3276*(VLOOKUP(B3276,Price_data!A$1:B$190,2,FALSE))</f>
        <v>0</v>
      </c>
      <c r="R3276" s="3">
        <f>I3276*(VLOOKUP(B3276,Price_data!A$1:B$190,2,FALSE))</f>
        <v>0</v>
      </c>
      <c r="S3276" s="4" t="str">
        <f>(VLOOKUP(B3276,Price_data!A$1:C$190,3,FALSE))</f>
        <v>EEZ</v>
      </c>
      <c r="T3276" s="2" t="str">
        <f>IF(C3276="Total", (VLOOKUP(B3276,Recommended_fish_intake!A$4:D$122,4,FALSE)), "NA")</f>
        <v>NA</v>
      </c>
      <c r="U3276" s="2" t="str">
        <f t="shared" si="361"/>
        <v>NA</v>
      </c>
    </row>
    <row r="3277" spans="1:21" ht="14.25" customHeight="1">
      <c r="A3277" s="2" t="s">
        <v>40</v>
      </c>
      <c r="B3277" s="2">
        <v>2000</v>
      </c>
      <c r="C3277" s="2" t="s">
        <v>34</v>
      </c>
      <c r="D3277" s="2">
        <v>0</v>
      </c>
      <c r="E3277" s="2">
        <v>0.17100000000000001</v>
      </c>
      <c r="P3277" s="3">
        <f>E3277*(VLOOKUP(B3277,Price_data!A$1:B$190,2,FALSE))</f>
        <v>0.17100000000000001</v>
      </c>
      <c r="Q3277" s="3">
        <f>G3277*(VLOOKUP(B3277,Price_data!A$1:B$190,2,FALSE))</f>
        <v>0</v>
      </c>
      <c r="R3277" s="3">
        <f>I3277*(VLOOKUP(B3277,Price_data!A$1:B$190,2,FALSE))</f>
        <v>0</v>
      </c>
      <c r="S3277" s="4" t="str">
        <f>(VLOOKUP(B3277,Price_data!A$1:C$190,3,FALSE))</f>
        <v>EEZ</v>
      </c>
      <c r="T3277" s="2" t="str">
        <f>IF(C3277="Total", (VLOOKUP(B3277,Recommended_fish_intake!A$4:D$122,4,FALSE)), "NA")</f>
        <v>NA</v>
      </c>
      <c r="U3277" s="2" t="str">
        <f t="shared" si="361"/>
        <v>NA</v>
      </c>
    </row>
    <row r="3278" spans="1:21" ht="14.25" customHeight="1">
      <c r="A3278" s="2" t="s">
        <v>40</v>
      </c>
      <c r="B3278" s="2">
        <v>2000</v>
      </c>
      <c r="C3278" s="2" t="s">
        <v>35</v>
      </c>
      <c r="D3278" s="2">
        <v>5.01</v>
      </c>
      <c r="E3278" s="2">
        <v>7.9429999999999996</v>
      </c>
      <c r="P3278" s="3">
        <f>E3278*(VLOOKUP(B3278,Price_data!A$1:B$190,2,FALSE))</f>
        <v>7.9429999999999996</v>
      </c>
      <c r="Q3278" s="3">
        <f>G3278*(VLOOKUP(B3278,Price_data!A$1:B$190,2,FALSE))</f>
        <v>0</v>
      </c>
      <c r="R3278" s="3">
        <f>I3278*(VLOOKUP(B3278,Price_data!A$1:B$190,2,FALSE))</f>
        <v>0</v>
      </c>
      <c r="S3278" s="4" t="str">
        <f>(VLOOKUP(B3278,Price_data!A$1:C$190,3,FALSE))</f>
        <v>EEZ</v>
      </c>
      <c r="T3278" s="2" t="str">
        <f>IF(C3278="Total", (VLOOKUP(B3278,Recommended_fish_intake!A$4:D$122,4,FALSE)), "NA")</f>
        <v>NA</v>
      </c>
      <c r="U3278" s="2" t="str">
        <f t="shared" si="361"/>
        <v>NA</v>
      </c>
    </row>
    <row r="3279" spans="1:21" ht="14.25" customHeight="1">
      <c r="A3279" s="2" t="s">
        <v>40</v>
      </c>
      <c r="B3279" s="2">
        <v>2000</v>
      </c>
      <c r="C3279" s="2" t="s">
        <v>52</v>
      </c>
      <c r="D3279" s="2">
        <v>0.52900000000000003</v>
      </c>
      <c r="E3279" s="2">
        <v>0.74</v>
      </c>
      <c r="P3279" s="3">
        <f>E3279*(VLOOKUP(B3279,Price_data!A$1:B$190,2,FALSE))</f>
        <v>0.74</v>
      </c>
      <c r="Q3279" s="3">
        <f>G3279*(VLOOKUP(B3279,Price_data!A$1:B$190,2,FALSE))</f>
        <v>0</v>
      </c>
      <c r="R3279" s="3">
        <f>I3279*(VLOOKUP(B3279,Price_data!A$1:B$190,2,FALSE))</f>
        <v>0</v>
      </c>
      <c r="S3279" s="4" t="str">
        <f>(VLOOKUP(B3279,Price_data!A$1:C$190,3,FALSE))</f>
        <v>EEZ</v>
      </c>
      <c r="T3279" s="2" t="str">
        <f>IF(C3279="Total", (VLOOKUP(B3279,Recommended_fish_intake!A$4:D$122,4,FALSE)), "NA")</f>
        <v>NA</v>
      </c>
      <c r="U3279" s="2" t="str">
        <f t="shared" si="361"/>
        <v>NA</v>
      </c>
    </row>
    <row r="3280" spans="1:21" ht="14.25" customHeight="1">
      <c r="A3280" s="2" t="s">
        <v>40</v>
      </c>
      <c r="B3280" s="2">
        <v>2000</v>
      </c>
      <c r="C3280" s="2" t="s">
        <v>30</v>
      </c>
      <c r="D3280" s="2">
        <v>0</v>
      </c>
      <c r="E3280" s="2">
        <v>0</v>
      </c>
      <c r="P3280" s="3">
        <f>E3280*(VLOOKUP(B3280,Price_data!A$1:B$190,2,FALSE))</f>
        <v>0</v>
      </c>
      <c r="Q3280" s="3">
        <f>G3280*(VLOOKUP(B3280,Price_data!A$1:B$190,2,FALSE))</f>
        <v>0</v>
      </c>
      <c r="R3280" s="3">
        <f>I3280*(VLOOKUP(B3280,Price_data!A$1:B$190,2,FALSE))</f>
        <v>0</v>
      </c>
      <c r="S3280" s="4" t="str">
        <f>(VLOOKUP(B3280,Price_data!A$1:C$190,3,FALSE))</f>
        <v>EEZ</v>
      </c>
      <c r="T3280" s="2" t="str">
        <f>IF(C3280="Total", (VLOOKUP(B3280,Recommended_fish_intake!A$4:D$122,4,FALSE)), "NA")</f>
        <v>NA</v>
      </c>
      <c r="U3280" s="2" t="str">
        <f t="shared" si="361"/>
        <v>NA</v>
      </c>
    </row>
    <row r="3281" spans="1:21" ht="14.25" customHeight="1">
      <c r="A3281" s="2" t="s">
        <v>40</v>
      </c>
      <c r="B3281" s="2">
        <v>2000</v>
      </c>
      <c r="C3281" s="2" t="s">
        <v>28</v>
      </c>
      <c r="D3281" s="2">
        <v>7.64</v>
      </c>
      <c r="E3281" s="2">
        <v>9.7110000000000003</v>
      </c>
      <c r="P3281" s="3">
        <f>E3281*(VLOOKUP(B3281,Price_data!A$1:B$190,2,FALSE))</f>
        <v>9.7110000000000003</v>
      </c>
      <c r="Q3281" s="3">
        <f>G3281*(VLOOKUP(B3281,Price_data!A$1:B$190,2,FALSE))</f>
        <v>0</v>
      </c>
      <c r="R3281" s="3">
        <f>I3281*(VLOOKUP(B3281,Price_data!A$1:B$190,2,FALSE))</f>
        <v>0</v>
      </c>
      <c r="S3281" s="4" t="str">
        <f>(VLOOKUP(B3281,Price_data!A$1:C$190,3,FALSE))</f>
        <v>EEZ</v>
      </c>
      <c r="T3281" s="2" t="str">
        <f>IF(C3281="Total", (VLOOKUP(B3281,Recommended_fish_intake!A$4:D$122,4,FALSE)), "NA")</f>
        <v>NA</v>
      </c>
      <c r="U3281" s="2">
        <f t="shared" si="361"/>
        <v>2.1392000000000002</v>
      </c>
    </row>
    <row r="3282" spans="1:21" ht="14.25" customHeight="1">
      <c r="A3282" s="2" t="s">
        <v>40</v>
      </c>
      <c r="B3282" s="2">
        <v>2000</v>
      </c>
      <c r="C3282" s="4" t="s">
        <v>37</v>
      </c>
      <c r="D3282" s="3">
        <f>D3154+D3106</f>
        <v>24.113</v>
      </c>
      <c r="E3282" s="3">
        <f>E3154+E3106</f>
        <v>19.846</v>
      </c>
      <c r="P3282" s="3">
        <f>E3282*(VLOOKUP(B3282,Price_data!A$1:B$190,2,FALSE))</f>
        <v>19.846</v>
      </c>
      <c r="Q3282" s="3">
        <f>G3282*(VLOOKUP(B3282,Price_data!A$1:B$190,2,FALSE))</f>
        <v>0</v>
      </c>
      <c r="R3282" s="3">
        <f>I3282*(VLOOKUP(B3282,Price_data!A$1:B$190,2,FALSE))</f>
        <v>0</v>
      </c>
      <c r="S3282" s="4" t="str">
        <f>(VLOOKUP(B3282,Price_data!A$1:C$190,3,FALSE))</f>
        <v>EEZ</v>
      </c>
      <c r="T3282" s="2" t="str">
        <f>IF(C3282="Total", (VLOOKUP(B3282,Recommended_fish_intake!A$4:D$122,4,FALSE)), "NA")</f>
        <v>NA</v>
      </c>
      <c r="U3282" s="2">
        <f t="shared" si="361"/>
        <v>11.81537</v>
      </c>
    </row>
    <row r="3283" spans="1:21" ht="14.25" customHeight="1">
      <c r="A3283" s="2" t="s">
        <v>39</v>
      </c>
      <c r="B3283" s="2">
        <v>2000</v>
      </c>
      <c r="C3283" s="4" t="s">
        <v>37</v>
      </c>
      <c r="D3283" s="3">
        <f>D2899+D2851</f>
        <v>2.6080000000000001</v>
      </c>
      <c r="E3283" s="3">
        <f>E2899+E2851</f>
        <v>2.7049999999999996</v>
      </c>
      <c r="P3283" s="3">
        <f>E3283*(VLOOKUP(B3283,Price_data!A$1:B$190,2,FALSE))</f>
        <v>2.7049999999999996</v>
      </c>
      <c r="Q3283" s="3">
        <f>G3283*(VLOOKUP(B3283,Price_data!A$1:B$190,2,FALSE))</f>
        <v>0</v>
      </c>
      <c r="R3283" s="3">
        <f>I3283*(VLOOKUP(B3283,Price_data!A$1:B$190,2,FALSE))</f>
        <v>0</v>
      </c>
      <c r="S3283" s="4" t="str">
        <f>(VLOOKUP(B3283,Price_data!A$1:C$190,3,FALSE))</f>
        <v>EEZ</v>
      </c>
      <c r="T3283" s="2" t="str">
        <f>IF(C3283="Total", (VLOOKUP(B3283,Recommended_fish_intake!A$4:D$122,4,FALSE)), "NA")</f>
        <v>NA</v>
      </c>
      <c r="U3283" s="2">
        <f t="shared" si="361"/>
        <v>1.2779199999999999</v>
      </c>
    </row>
    <row r="3284" spans="1:21" ht="14.25" customHeight="1">
      <c r="A3284" s="2" t="s">
        <v>18</v>
      </c>
      <c r="B3284" s="2">
        <v>2000</v>
      </c>
      <c r="C3284" s="2" t="s">
        <v>22</v>
      </c>
      <c r="D3284" s="3">
        <f t="shared" ref="D3284:E3297" si="362">D2532+D2292</f>
        <v>99.71</v>
      </c>
      <c r="E3284" s="3">
        <f t="shared" si="362"/>
        <v>18.244</v>
      </c>
      <c r="P3284" s="3">
        <f>E3284*(VLOOKUP(B3284,Price_data!A$1:B$190,2,FALSE))</f>
        <v>18.244</v>
      </c>
      <c r="Q3284" s="3">
        <f>G3284*(VLOOKUP(B3284,Price_data!A$1:B$190,2,FALSE))</f>
        <v>0</v>
      </c>
      <c r="R3284" s="3">
        <f>I3284*(VLOOKUP(B3284,Price_data!A$1:B$190,2,FALSE))</f>
        <v>0</v>
      </c>
      <c r="S3284" s="4" t="str">
        <f>(VLOOKUP(B3284,Price_data!A$1:C$190,3,FALSE))</f>
        <v>EEZ</v>
      </c>
      <c r="T3284" s="2" t="str">
        <f>IF(C3284="Total", (VLOOKUP(B3284,Recommended_fish_intake!A$4:D$122,4,FALSE)), "NA")</f>
        <v>NA</v>
      </c>
      <c r="U3284" s="2" t="str">
        <f t="shared" si="361"/>
        <v>NA</v>
      </c>
    </row>
    <row r="3285" spans="1:21" ht="14.25" customHeight="1">
      <c r="A3285" s="2" t="s">
        <v>18</v>
      </c>
      <c r="B3285" s="2">
        <v>2000</v>
      </c>
      <c r="C3285" s="2" t="s">
        <v>23</v>
      </c>
      <c r="D3285" s="3">
        <f t="shared" si="362"/>
        <v>284.06100000000004</v>
      </c>
      <c r="E3285" s="3">
        <f t="shared" si="362"/>
        <v>116.491</v>
      </c>
      <c r="P3285" s="3">
        <f>E3285*(VLOOKUP(B3285,Price_data!A$1:B$190,2,FALSE))</f>
        <v>116.491</v>
      </c>
      <c r="Q3285" s="3">
        <f>G3285*(VLOOKUP(B3285,Price_data!A$1:B$190,2,FALSE))</f>
        <v>0</v>
      </c>
      <c r="R3285" s="3">
        <f>I3285*(VLOOKUP(B3285,Price_data!A$1:B$190,2,FALSE))</f>
        <v>0</v>
      </c>
      <c r="S3285" s="4" t="str">
        <f>(VLOOKUP(B3285,Price_data!A$1:C$190,3,FALSE))</f>
        <v>EEZ</v>
      </c>
      <c r="T3285" s="2" t="str">
        <f>IF(C3285="Total", (VLOOKUP(B3285,Recommended_fish_intake!A$4:D$122,4,FALSE)), "NA")</f>
        <v>NA</v>
      </c>
      <c r="U3285" s="2" t="str">
        <f t="shared" si="361"/>
        <v>NA</v>
      </c>
    </row>
    <row r="3286" spans="1:21" ht="14.25" customHeight="1">
      <c r="A3286" s="2" t="s">
        <v>18</v>
      </c>
      <c r="B3286" s="2">
        <v>2000</v>
      </c>
      <c r="C3286" s="2" t="s">
        <v>58</v>
      </c>
      <c r="D3286" s="3">
        <f t="shared" si="362"/>
        <v>1300.1500000000001</v>
      </c>
      <c r="E3286" s="3">
        <f t="shared" si="362"/>
        <v>622.62400000000002</v>
      </c>
      <c r="P3286" s="3">
        <f>E3286*(VLOOKUP(B3286,Price_data!A$1:B$190,2,FALSE))</f>
        <v>622.62400000000002</v>
      </c>
      <c r="Q3286" s="3">
        <f>G3286*(VLOOKUP(B3286,Price_data!A$1:B$190,2,FALSE))</f>
        <v>0</v>
      </c>
      <c r="R3286" s="3">
        <f>I3286*(VLOOKUP(B3286,Price_data!A$1:B$190,2,FALSE))</f>
        <v>0</v>
      </c>
      <c r="S3286" s="4" t="str">
        <f>(VLOOKUP(B3286,Price_data!A$1:C$190,3,FALSE))</f>
        <v>EEZ</v>
      </c>
      <c r="T3286" s="2" t="str">
        <f>IF(C3286="Total", (VLOOKUP(B3286,Recommended_fish_intake!A$4:D$122,4,FALSE)), "NA")</f>
        <v>NA</v>
      </c>
      <c r="U3286" s="2" t="str">
        <f t="shared" si="361"/>
        <v>NA</v>
      </c>
    </row>
    <row r="3287" spans="1:21" ht="14.25" customHeight="1">
      <c r="A3287" s="2" t="s">
        <v>18</v>
      </c>
      <c r="B3287" s="2">
        <v>2000</v>
      </c>
      <c r="C3287" s="2" t="s">
        <v>24</v>
      </c>
      <c r="D3287" s="3">
        <f t="shared" si="362"/>
        <v>171.92999999999998</v>
      </c>
      <c r="E3287" s="3">
        <f t="shared" si="362"/>
        <v>45.416000000000004</v>
      </c>
      <c r="P3287" s="3">
        <f>E3287*(VLOOKUP(B3287,Price_data!A$1:B$190,2,FALSE))</f>
        <v>45.416000000000004</v>
      </c>
      <c r="Q3287" s="3">
        <f>G3287*(VLOOKUP(B3287,Price_data!A$1:B$190,2,FALSE))</f>
        <v>0</v>
      </c>
      <c r="R3287" s="3">
        <f>I3287*(VLOOKUP(B3287,Price_data!A$1:B$190,2,FALSE))</f>
        <v>0</v>
      </c>
      <c r="S3287" s="4" t="str">
        <f>(VLOOKUP(B3287,Price_data!A$1:C$190,3,FALSE))</f>
        <v>EEZ</v>
      </c>
      <c r="T3287" s="2" t="str">
        <f>IF(C3287="Total", (VLOOKUP(B3287,Recommended_fish_intake!A$4:D$122,4,FALSE)), "NA")</f>
        <v>NA</v>
      </c>
      <c r="U3287" s="2" t="str">
        <f t="shared" si="361"/>
        <v>NA</v>
      </c>
    </row>
    <row r="3288" spans="1:21" ht="14.25" customHeight="1">
      <c r="A3288" s="2" t="s">
        <v>18</v>
      </c>
      <c r="B3288" s="2">
        <v>2000</v>
      </c>
      <c r="C3288" s="2" t="s">
        <v>41</v>
      </c>
      <c r="D3288" s="3">
        <f t="shared" si="362"/>
        <v>2.5179999999999998</v>
      </c>
      <c r="E3288" s="3">
        <f t="shared" si="362"/>
        <v>20.326000000000001</v>
      </c>
      <c r="P3288" s="3">
        <f>E3288*(VLOOKUP(B3288,Price_data!A$1:B$190,2,FALSE))</f>
        <v>20.326000000000001</v>
      </c>
      <c r="Q3288" s="3">
        <f>G3288*(VLOOKUP(B3288,Price_data!A$1:B$190,2,FALSE))</f>
        <v>0</v>
      </c>
      <c r="R3288" s="3">
        <f>I3288*(VLOOKUP(B3288,Price_data!A$1:B$190,2,FALSE))</f>
        <v>0</v>
      </c>
      <c r="S3288" s="4" t="str">
        <f>(VLOOKUP(B3288,Price_data!A$1:C$190,3,FALSE))</f>
        <v>EEZ</v>
      </c>
      <c r="T3288" s="2" t="str">
        <f>IF(C3288="Total", (VLOOKUP(B3288,Recommended_fish_intake!A$4:D$122,4,FALSE)), "NA")</f>
        <v>NA</v>
      </c>
      <c r="U3288" s="2" t="str">
        <f t="shared" si="361"/>
        <v>NA</v>
      </c>
    </row>
    <row r="3289" spans="1:21" ht="14.25" customHeight="1">
      <c r="A3289" s="2" t="s">
        <v>18</v>
      </c>
      <c r="B3289" s="2">
        <v>2000</v>
      </c>
      <c r="C3289" s="2" t="s">
        <v>19</v>
      </c>
      <c r="D3289" s="3">
        <f t="shared" si="362"/>
        <v>55.646000000000001</v>
      </c>
      <c r="E3289" s="3">
        <f t="shared" si="362"/>
        <v>89.37</v>
      </c>
      <c r="P3289" s="3">
        <f>E3289*(VLOOKUP(B3289,Price_data!A$1:B$190,2,FALSE))</f>
        <v>89.37</v>
      </c>
      <c r="Q3289" s="3">
        <f>G3289*(VLOOKUP(B3289,Price_data!A$1:B$190,2,FALSE))</f>
        <v>0</v>
      </c>
      <c r="R3289" s="3">
        <f>I3289*(VLOOKUP(B3289,Price_data!A$1:B$190,2,FALSE))</f>
        <v>0</v>
      </c>
      <c r="S3289" s="4" t="str">
        <f>(VLOOKUP(B3289,Price_data!A$1:C$190,3,FALSE))</f>
        <v>EEZ</v>
      </c>
      <c r="T3289" s="2" t="str">
        <f>IF(C3289="Total", (VLOOKUP(B3289,Recommended_fish_intake!A$4:D$122,4,FALSE)), "NA")</f>
        <v>NA</v>
      </c>
      <c r="U3289" s="2" t="str">
        <f t="shared" si="361"/>
        <v>NA</v>
      </c>
    </row>
    <row r="3290" spans="1:21" ht="14.25" customHeight="1">
      <c r="A3290" s="2" t="s">
        <v>18</v>
      </c>
      <c r="B3290" s="2">
        <v>2000</v>
      </c>
      <c r="C3290" s="2" t="s">
        <v>20</v>
      </c>
      <c r="D3290" s="3">
        <f t="shared" si="362"/>
        <v>88.86699999999999</v>
      </c>
      <c r="E3290" s="3">
        <f t="shared" si="362"/>
        <v>115.89999999999999</v>
      </c>
      <c r="P3290" s="3">
        <f>E3290*(VLOOKUP(B3290,Price_data!A$1:B$190,2,FALSE))</f>
        <v>115.89999999999999</v>
      </c>
      <c r="Q3290" s="3">
        <f>G3290*(VLOOKUP(B3290,Price_data!A$1:B$190,2,FALSE))</f>
        <v>0</v>
      </c>
      <c r="R3290" s="3">
        <f>I3290*(VLOOKUP(B3290,Price_data!A$1:B$190,2,FALSE))</f>
        <v>0</v>
      </c>
      <c r="S3290" s="4" t="str">
        <f>(VLOOKUP(B3290,Price_data!A$1:C$190,3,FALSE))</f>
        <v>EEZ</v>
      </c>
      <c r="T3290" s="2" t="str">
        <f>IF(C3290="Total", (VLOOKUP(B3290,Recommended_fish_intake!A$4:D$122,4,FALSE)), "NA")</f>
        <v>NA</v>
      </c>
      <c r="U3290" s="2" t="str">
        <f t="shared" si="361"/>
        <v>NA</v>
      </c>
    </row>
    <row r="3291" spans="1:21" ht="14.25" customHeight="1">
      <c r="A3291" s="2" t="s">
        <v>18</v>
      </c>
      <c r="B3291" s="2">
        <v>2000</v>
      </c>
      <c r="C3291" s="2" t="s">
        <v>42</v>
      </c>
      <c r="D3291" s="3">
        <f t="shared" si="362"/>
        <v>195.578</v>
      </c>
      <c r="E3291" s="3">
        <f t="shared" si="362"/>
        <v>165.48499999999999</v>
      </c>
      <c r="P3291" s="3">
        <f>E3291*(VLOOKUP(B3291,Price_data!A$1:B$190,2,FALSE))</f>
        <v>165.48499999999999</v>
      </c>
      <c r="Q3291" s="3">
        <f>G3291*(VLOOKUP(B3291,Price_data!A$1:B$190,2,FALSE))</f>
        <v>0</v>
      </c>
      <c r="R3291" s="3">
        <f>I3291*(VLOOKUP(B3291,Price_data!A$1:B$190,2,FALSE))</f>
        <v>0</v>
      </c>
      <c r="S3291" s="4" t="str">
        <f>(VLOOKUP(B3291,Price_data!A$1:C$190,3,FALSE))</f>
        <v>EEZ</v>
      </c>
      <c r="T3291" s="2" t="str">
        <f>IF(C3291="Total", (VLOOKUP(B3291,Recommended_fish_intake!A$4:D$122,4,FALSE)), "NA")</f>
        <v>NA</v>
      </c>
      <c r="U3291" s="2" t="str">
        <f t="shared" si="361"/>
        <v>NA</v>
      </c>
    </row>
    <row r="3292" spans="1:21" ht="14.25" customHeight="1">
      <c r="A3292" s="2" t="s">
        <v>18</v>
      </c>
      <c r="B3292" s="2">
        <v>2000</v>
      </c>
      <c r="C3292" s="2" t="s">
        <v>36</v>
      </c>
      <c r="D3292" s="3">
        <f t="shared" si="362"/>
        <v>106.38300000000001</v>
      </c>
      <c r="E3292" s="3">
        <f t="shared" si="362"/>
        <v>102.28099999999999</v>
      </c>
      <c r="P3292" s="3">
        <f>E3292*(VLOOKUP(B3292,Price_data!A$1:B$190,2,FALSE))</f>
        <v>102.28099999999999</v>
      </c>
      <c r="Q3292" s="3">
        <f>G3292*(VLOOKUP(B3292,Price_data!A$1:B$190,2,FALSE))</f>
        <v>0</v>
      </c>
      <c r="R3292" s="3">
        <f>I3292*(VLOOKUP(B3292,Price_data!A$1:B$190,2,FALSE))</f>
        <v>0</v>
      </c>
      <c r="S3292" s="4" t="str">
        <f>(VLOOKUP(B3292,Price_data!A$1:C$190,3,FALSE))</f>
        <v>EEZ</v>
      </c>
      <c r="T3292" s="2" t="str">
        <f>IF(C3292="Total", (VLOOKUP(B3292,Recommended_fish_intake!A$4:D$122,4,FALSE)), "NA")</f>
        <v>NA</v>
      </c>
      <c r="U3292" s="2" t="str">
        <f t="shared" si="361"/>
        <v>NA</v>
      </c>
    </row>
    <row r="3293" spans="1:21" ht="14.25" customHeight="1">
      <c r="A3293" s="2" t="s">
        <v>18</v>
      </c>
      <c r="B3293" s="2">
        <v>2000</v>
      </c>
      <c r="C3293" s="2" t="s">
        <v>34</v>
      </c>
      <c r="D3293" s="3">
        <f t="shared" si="362"/>
        <v>449.73199999999997</v>
      </c>
      <c r="E3293" s="3">
        <f t="shared" si="362"/>
        <v>413.11399999999998</v>
      </c>
      <c r="P3293" s="3">
        <f>E3293*(VLOOKUP(B3293,Price_data!A$1:B$190,2,FALSE))</f>
        <v>413.11399999999998</v>
      </c>
      <c r="Q3293" s="3">
        <f>G3293*(VLOOKUP(B3293,Price_data!A$1:B$190,2,FALSE))</f>
        <v>0</v>
      </c>
      <c r="R3293" s="3">
        <f>I3293*(VLOOKUP(B3293,Price_data!A$1:B$190,2,FALSE))</f>
        <v>0</v>
      </c>
      <c r="S3293" s="4" t="str">
        <f>(VLOOKUP(B3293,Price_data!A$1:C$190,3,FALSE))</f>
        <v>EEZ</v>
      </c>
      <c r="T3293" s="2" t="str">
        <f>IF(C3293="Total", (VLOOKUP(B3293,Recommended_fish_intake!A$4:D$122,4,FALSE)), "NA")</f>
        <v>NA</v>
      </c>
      <c r="U3293" s="2" t="str">
        <f t="shared" si="361"/>
        <v>NA</v>
      </c>
    </row>
    <row r="3294" spans="1:21" ht="14.25" customHeight="1">
      <c r="A3294" s="2" t="s">
        <v>18</v>
      </c>
      <c r="B3294" s="2">
        <v>2000</v>
      </c>
      <c r="C3294" s="2" t="s">
        <v>35</v>
      </c>
      <c r="D3294" s="3">
        <f t="shared" si="362"/>
        <v>578.41</v>
      </c>
      <c r="E3294" s="3">
        <f t="shared" si="362"/>
        <v>280.49399999999997</v>
      </c>
      <c r="P3294" s="3">
        <f>E3294*(VLOOKUP(B3294,Price_data!A$1:B$190,2,FALSE))</f>
        <v>280.49399999999997</v>
      </c>
      <c r="Q3294" s="3">
        <f>G3294*(VLOOKUP(B3294,Price_data!A$1:B$190,2,FALSE))</f>
        <v>0</v>
      </c>
      <c r="R3294" s="3">
        <f>I3294*(VLOOKUP(B3294,Price_data!A$1:B$190,2,FALSE))</f>
        <v>0</v>
      </c>
      <c r="S3294" s="4" t="str">
        <f>(VLOOKUP(B3294,Price_data!A$1:C$190,3,FALSE))</f>
        <v>EEZ</v>
      </c>
      <c r="T3294" s="2" t="str">
        <f>IF(C3294="Total", (VLOOKUP(B3294,Recommended_fish_intake!A$4:D$122,4,FALSE)), "NA")</f>
        <v>NA</v>
      </c>
      <c r="U3294" s="2" t="str">
        <f t="shared" si="361"/>
        <v>NA</v>
      </c>
    </row>
    <row r="3295" spans="1:21" ht="14.25" customHeight="1">
      <c r="A3295" s="2" t="s">
        <v>18</v>
      </c>
      <c r="B3295" s="2">
        <v>2000</v>
      </c>
      <c r="C3295" s="2" t="s">
        <v>52</v>
      </c>
      <c r="D3295" s="3">
        <f t="shared" si="362"/>
        <v>58.465999999999994</v>
      </c>
      <c r="E3295" s="3">
        <f t="shared" si="362"/>
        <v>56.384999999999998</v>
      </c>
      <c r="P3295" s="3">
        <f>E3295*(VLOOKUP(B3295,Price_data!A$1:B$190,2,FALSE))</f>
        <v>56.384999999999998</v>
      </c>
      <c r="Q3295" s="3">
        <f>G3295*(VLOOKUP(B3295,Price_data!A$1:B$190,2,FALSE))</f>
        <v>0</v>
      </c>
      <c r="R3295" s="3">
        <f>I3295*(VLOOKUP(B3295,Price_data!A$1:B$190,2,FALSE))</f>
        <v>0</v>
      </c>
      <c r="S3295" s="4" t="str">
        <f>(VLOOKUP(B3295,Price_data!A$1:C$190,3,FALSE))</f>
        <v>EEZ</v>
      </c>
      <c r="T3295" s="2" t="str">
        <f>IF(C3295="Total", (VLOOKUP(B3295,Recommended_fish_intake!A$4:D$122,4,FALSE)), "NA")</f>
        <v>NA</v>
      </c>
      <c r="U3295" s="2" t="str">
        <f t="shared" si="361"/>
        <v>NA</v>
      </c>
    </row>
    <row r="3296" spans="1:21" ht="14.25" customHeight="1">
      <c r="A3296" s="2" t="s">
        <v>18</v>
      </c>
      <c r="B3296" s="2">
        <v>2000</v>
      </c>
      <c r="C3296" s="2" t="s">
        <v>30</v>
      </c>
      <c r="D3296" s="3">
        <f t="shared" si="362"/>
        <v>744.80799999999999</v>
      </c>
      <c r="E3296" s="3">
        <f t="shared" si="362"/>
        <v>406.29299999999995</v>
      </c>
      <c r="P3296" s="3">
        <f>E3296*(VLOOKUP(B3296,Price_data!A$1:B$190,2,FALSE))</f>
        <v>406.29299999999995</v>
      </c>
      <c r="Q3296" s="3">
        <f>G3296*(VLOOKUP(B3296,Price_data!A$1:B$190,2,FALSE))</f>
        <v>0</v>
      </c>
      <c r="R3296" s="3">
        <f>I3296*(VLOOKUP(B3296,Price_data!A$1:B$190,2,FALSE))</f>
        <v>0</v>
      </c>
      <c r="S3296" s="4" t="str">
        <f>(VLOOKUP(B3296,Price_data!A$1:C$190,3,FALSE))</f>
        <v>EEZ</v>
      </c>
      <c r="T3296" s="2" t="str">
        <f>IF(C3296="Total", (VLOOKUP(B3296,Recommended_fish_intake!A$4:D$122,4,FALSE)), "NA")</f>
        <v>NA</v>
      </c>
      <c r="U3296" s="2" t="str">
        <f t="shared" si="361"/>
        <v>NA</v>
      </c>
    </row>
    <row r="3297" spans="1:21" ht="14.25" customHeight="1">
      <c r="A3297" s="2" t="s">
        <v>18</v>
      </c>
      <c r="B3297" s="2">
        <v>2000</v>
      </c>
      <c r="C3297" s="2" t="s">
        <v>28</v>
      </c>
      <c r="D3297" s="3">
        <f t="shared" si="362"/>
        <v>69.600999999999999</v>
      </c>
      <c r="E3297" s="3">
        <f t="shared" si="362"/>
        <v>72.756999999999991</v>
      </c>
      <c r="P3297" s="3">
        <f>E3297*(VLOOKUP(B3297,Price_data!A$1:B$190,2,FALSE))</f>
        <v>72.756999999999991</v>
      </c>
      <c r="Q3297" s="3">
        <f>G3297*(VLOOKUP(B3297,Price_data!A$1:B$190,2,FALSE))</f>
        <v>0</v>
      </c>
      <c r="R3297" s="3">
        <f>I3297*(VLOOKUP(B3297,Price_data!A$1:B$190,2,FALSE))</f>
        <v>0</v>
      </c>
      <c r="S3297" s="4" t="str">
        <f>(VLOOKUP(B3297,Price_data!A$1:C$190,3,FALSE))</f>
        <v>EEZ</v>
      </c>
      <c r="T3297" s="2" t="str">
        <f>IF(C3297="Total", (VLOOKUP(B3297,Recommended_fish_intake!A$4:D$122,4,FALSE)), "NA")</f>
        <v>NA</v>
      </c>
      <c r="U3297" s="2">
        <f t="shared" si="361"/>
        <v>19.488280000000003</v>
      </c>
    </row>
    <row r="3298" spans="1:21" ht="14.25" customHeight="1">
      <c r="A3298" s="2" t="s">
        <v>18</v>
      </c>
      <c r="B3298" s="2">
        <v>2000</v>
      </c>
      <c r="C3298" s="2" t="s">
        <v>37</v>
      </c>
      <c r="D3298" s="3">
        <f>D3122+D3170</f>
        <v>41.167000000000002</v>
      </c>
      <c r="E3298" s="3">
        <f>E3122+E3170</f>
        <v>7.3760000000000003</v>
      </c>
      <c r="P3298" s="3">
        <f>E3298*(VLOOKUP(B3298,Price_data!A$1:B$190,2,FALSE))</f>
        <v>7.3760000000000003</v>
      </c>
      <c r="Q3298" s="3">
        <f>G3298*(VLOOKUP(B3298,Price_data!A$1:B$190,2,FALSE))</f>
        <v>0</v>
      </c>
      <c r="R3298" s="3">
        <f>I3298*(VLOOKUP(B3298,Price_data!A$1:B$190,2,FALSE))</f>
        <v>0</v>
      </c>
      <c r="S3298" s="4" t="str">
        <f>(VLOOKUP(B3298,Price_data!A$1:C$190,3,FALSE))</f>
        <v>EEZ</v>
      </c>
      <c r="T3298" s="2" t="str">
        <f>IF(C3298="Total", (VLOOKUP(B3298,Recommended_fish_intake!A$4:D$122,4,FALSE)), "NA")</f>
        <v>NA</v>
      </c>
      <c r="U3298" s="2">
        <f t="shared" si="361"/>
        <v>20.17183</v>
      </c>
    </row>
    <row r="3299" spans="1:21" ht="14.25" customHeight="1">
      <c r="A3299" s="2" t="s">
        <v>90</v>
      </c>
      <c r="B3299" s="2">
        <v>2000</v>
      </c>
      <c r="C3299" s="2" t="s">
        <v>16</v>
      </c>
      <c r="D3299" s="2">
        <v>134.80000000000001</v>
      </c>
      <c r="E3299" s="2">
        <v>143.19999999999999</v>
      </c>
      <c r="P3299" s="3">
        <f>E3299*(VLOOKUP(B3299,Price_data!A$1:B$190,2,FALSE))</f>
        <v>143.19999999999999</v>
      </c>
      <c r="Q3299" s="3">
        <f>G3299*(VLOOKUP(B3299,Price_data!A$1:B$190,2,FALSE))</f>
        <v>0</v>
      </c>
      <c r="R3299" s="3">
        <f>I3299*(VLOOKUP(B3299,Price_data!A$1:B$190,2,FALSE))</f>
        <v>0</v>
      </c>
      <c r="S3299" s="4" t="str">
        <f>(VLOOKUP(B3299,Price_data!A$1:C$190,3,FALSE))</f>
        <v>EEZ</v>
      </c>
      <c r="T3299" s="2">
        <f>IF(C3299="Total", (VLOOKUP(B3299,Recommended_fish_intake!A$4:D$122,4,FALSE)), "NA")</f>
        <v>777.95265587130007</v>
      </c>
      <c r="U3299" s="2" t="str">
        <f t="shared" si="361"/>
        <v>NA</v>
      </c>
    </row>
    <row r="3300" spans="1:21" ht="14.25" customHeight="1">
      <c r="A3300" s="2" t="s">
        <v>91</v>
      </c>
      <c r="B3300" s="2">
        <v>2000</v>
      </c>
      <c r="C3300" s="2" t="s">
        <v>16</v>
      </c>
      <c r="D3300" s="2">
        <v>0</v>
      </c>
      <c r="E3300" s="2">
        <v>0</v>
      </c>
      <c r="P3300" s="3">
        <f>E3300*(VLOOKUP(B3300,Price_data!A$1:B$190,2,FALSE))</f>
        <v>0</v>
      </c>
      <c r="Q3300" s="3">
        <f>G3300*(VLOOKUP(B3300,Price_data!A$1:B$190,2,FALSE))</f>
        <v>0</v>
      </c>
      <c r="R3300" s="3">
        <f>I3300*(VLOOKUP(B3300,Price_data!A$1:B$190,2,FALSE))</f>
        <v>0</v>
      </c>
      <c r="S3300" s="4" t="str">
        <f>(VLOOKUP(B3300,Price_data!A$1:C$190,3,FALSE))</f>
        <v>EEZ</v>
      </c>
      <c r="T3300" s="2">
        <f>IF(C3300="Total", (VLOOKUP(B3300,Recommended_fish_intake!A$4:D$122,4,FALSE)), "NA")</f>
        <v>777.95265587130007</v>
      </c>
      <c r="U3300" s="2" t="str">
        <f t="shared" si="361"/>
        <v>NA</v>
      </c>
    </row>
    <row r="3301" spans="1:21" ht="14.25" customHeight="1">
      <c r="A3301" s="2" t="s">
        <v>39</v>
      </c>
      <c r="B3301" s="2">
        <v>2000</v>
      </c>
      <c r="C3301" s="2" t="s">
        <v>16</v>
      </c>
      <c r="D3301" s="2">
        <v>307.72199999999998</v>
      </c>
      <c r="E3301" s="2">
        <v>261.47199999999998</v>
      </c>
      <c r="P3301" s="3">
        <f>E3301*(VLOOKUP(B3301,Price_data!A$1:B$190,2,FALSE))</f>
        <v>261.47199999999998</v>
      </c>
      <c r="Q3301" s="3">
        <f>G3301*(VLOOKUP(B3301,Price_data!A$1:B$190,2,FALSE))</f>
        <v>0</v>
      </c>
      <c r="R3301" s="3">
        <f>I3301*(VLOOKUP(B3301,Price_data!A$1:B$190,2,FALSE))</f>
        <v>0</v>
      </c>
      <c r="S3301" s="4" t="str">
        <f>(VLOOKUP(B3301,Price_data!A$1:C$190,3,FALSE))</f>
        <v>EEZ</v>
      </c>
      <c r="T3301" s="2">
        <f>IF(C3301="Total", (VLOOKUP(B3301,Recommended_fish_intake!A$4:D$122,4,FALSE)), "NA")</f>
        <v>777.95265587130007</v>
      </c>
      <c r="U3301" s="2" t="str">
        <f t="shared" si="361"/>
        <v>NA</v>
      </c>
    </row>
    <row r="3302" spans="1:21" ht="14.25" customHeight="1">
      <c r="A3302" s="2" t="s">
        <v>40</v>
      </c>
      <c r="B3302" s="2">
        <v>2000</v>
      </c>
      <c r="C3302" s="2" t="s">
        <v>16</v>
      </c>
      <c r="D3302" s="2">
        <v>21.934999999999999</v>
      </c>
      <c r="E3302" s="2">
        <v>17.103999999999999</v>
      </c>
      <c r="P3302" s="3">
        <f>E3302*(VLOOKUP(B3302,Price_data!A$1:B$190,2,FALSE))</f>
        <v>17.103999999999999</v>
      </c>
      <c r="Q3302" s="3">
        <f>G3302*(VLOOKUP(B3302,Price_data!A$1:B$190,2,FALSE))</f>
        <v>0</v>
      </c>
      <c r="R3302" s="3">
        <f>I3302*(VLOOKUP(B3302,Price_data!A$1:B$190,2,FALSE))</f>
        <v>0</v>
      </c>
      <c r="S3302" s="4" t="str">
        <f>(VLOOKUP(B3302,Price_data!A$1:C$190,3,FALSE))</f>
        <v>EEZ</v>
      </c>
      <c r="T3302" s="2">
        <f>IF(C3302="Total", (VLOOKUP(B3302,Recommended_fish_intake!A$4:D$122,4,FALSE)), "NA")</f>
        <v>777.95265587130007</v>
      </c>
      <c r="U3302" s="2" t="str">
        <f t="shared" si="361"/>
        <v>NA</v>
      </c>
    </row>
    <row r="3303" spans="1:21" ht="14.25" customHeight="1">
      <c r="A3303" s="2" t="s">
        <v>18</v>
      </c>
      <c r="B3303" s="2">
        <v>2000</v>
      </c>
      <c r="C3303" s="2" t="s">
        <v>16</v>
      </c>
      <c r="D3303" s="3">
        <f>D2551+D2311</f>
        <v>23.876999999999999</v>
      </c>
      <c r="E3303" s="3">
        <f>E2551+E2311</f>
        <v>16.75</v>
      </c>
      <c r="P3303" s="3">
        <f>E3303*(VLOOKUP(B3303,Price_data!A$1:B$190,2,FALSE))</f>
        <v>16.75</v>
      </c>
      <c r="Q3303" s="3">
        <f>G3303*(VLOOKUP(B3303,Price_data!A$1:B$190,2,FALSE))</f>
        <v>0</v>
      </c>
      <c r="R3303" s="3">
        <f>I3303*(VLOOKUP(B3303,Price_data!A$1:B$190,2,FALSE))</f>
        <v>0</v>
      </c>
      <c r="S3303" s="4" t="str">
        <f>(VLOOKUP(B3303,Price_data!A$1:C$190,3,FALSE))</f>
        <v>EEZ</v>
      </c>
      <c r="T3303" s="2">
        <f>IF(C3303="Total", (VLOOKUP(B3303,Recommended_fish_intake!A$4:D$122,4,FALSE)), "NA")</f>
        <v>777.95265587130007</v>
      </c>
      <c r="U3303" s="2" t="str">
        <f t="shared" si="361"/>
        <v>NA</v>
      </c>
    </row>
    <row r="3304" spans="1:21" ht="14.25" customHeight="1">
      <c r="A3304" s="2" t="s">
        <v>15</v>
      </c>
      <c r="B3304" s="2">
        <v>2000</v>
      </c>
      <c r="C3304" s="2" t="s">
        <v>16</v>
      </c>
      <c r="D3304" s="2">
        <v>464.637</v>
      </c>
      <c r="E3304" s="2">
        <v>422.04199999999997</v>
      </c>
      <c r="F3304" s="3">
        <f>L3304/1000</f>
        <v>364.86799999999999</v>
      </c>
      <c r="G3304" s="3">
        <f>M3304/1000</f>
        <v>696.02499999999998</v>
      </c>
      <c r="H3304" s="3">
        <f>N3304/1000</f>
        <v>549.69899999999996</v>
      </c>
      <c r="I3304" s="3">
        <f>O3304/1000</f>
        <v>1324.7170000000001</v>
      </c>
      <c r="L3304" s="2">
        <v>364868</v>
      </c>
      <c r="M3304" s="2">
        <v>696025</v>
      </c>
      <c r="N3304" s="2">
        <v>549699</v>
      </c>
      <c r="O3304" s="2">
        <v>1324717</v>
      </c>
      <c r="P3304" s="3">
        <f>E3304*(VLOOKUP(B3304,Price_data!A$1:B$190,2,FALSE))</f>
        <v>422.04199999999997</v>
      </c>
      <c r="Q3304" s="3">
        <f>G3304*(VLOOKUP(B3304,Price_data!A$1:B$190,2,FALSE))</f>
        <v>696.02499999999998</v>
      </c>
      <c r="R3304" s="3">
        <f>I3304*(VLOOKUP(B3304,Price_data!A$1:B$190,2,FALSE))</f>
        <v>1324.7170000000001</v>
      </c>
      <c r="S3304" s="4" t="str">
        <f>(VLOOKUP(B3304,Price_data!A$1:C$190,3,FALSE))</f>
        <v>EEZ</v>
      </c>
      <c r="T3304" s="2">
        <f>IF(C3304="Total", (VLOOKUP(B3304,Recommended_fish_intake!A$4:D$122,4,FALSE)), "NA")</f>
        <v>777.95265587130007</v>
      </c>
      <c r="U3304" s="2" t="str">
        <f t="shared" si="361"/>
        <v>NA</v>
      </c>
    </row>
    <row r="3305" spans="1:21" ht="14.25" customHeight="1">
      <c r="A3305" s="2" t="s">
        <v>15</v>
      </c>
      <c r="B3305" s="2">
        <v>2000</v>
      </c>
      <c r="C3305" s="2" t="s">
        <v>42</v>
      </c>
      <c r="D3305" s="2">
        <v>128.017</v>
      </c>
      <c r="E3305" s="2">
        <v>21.146000000000001</v>
      </c>
      <c r="F3305" s="2" t="s">
        <v>92</v>
      </c>
      <c r="G3305" s="2" t="s">
        <v>92</v>
      </c>
      <c r="H3305" s="2" t="s">
        <v>92</v>
      </c>
      <c r="I3305" s="2" t="s">
        <v>92</v>
      </c>
      <c r="P3305" s="3">
        <f>E3305*(VLOOKUP(B3305,Price_data!A$1:B$190,2,FALSE))</f>
        <v>21.146000000000001</v>
      </c>
      <c r="Q3305" s="3" t="e">
        <f>G3305*(VLOOKUP(B3305,Price_data!A$1:B$190,2,FALSE))</f>
        <v>#VALUE!</v>
      </c>
      <c r="R3305" s="3" t="e">
        <f>I3305*(VLOOKUP(B3305,Price_data!A$1:B$190,2,FALSE))</f>
        <v>#VALUE!</v>
      </c>
      <c r="S3305" s="4" t="str">
        <f>(VLOOKUP(B3305,Price_data!A$1:C$190,3,FALSE))</f>
        <v>EEZ</v>
      </c>
      <c r="T3305" s="2" t="str">
        <f>IF(C3305="Total", (VLOOKUP(B3305,Recommended_fish_intake!A$4:D$122,4,FALSE)), "NA")</f>
        <v>NA</v>
      </c>
      <c r="U3305" s="2" t="str">
        <f t="shared" si="361"/>
        <v>NA</v>
      </c>
    </row>
    <row r="3306" spans="1:21" ht="14.25" customHeight="1">
      <c r="A3306" s="2" t="s">
        <v>15</v>
      </c>
      <c r="B3306" s="2">
        <v>2000</v>
      </c>
      <c r="C3306" s="2" t="s">
        <v>36</v>
      </c>
      <c r="D3306" s="2">
        <v>25.677</v>
      </c>
      <c r="E3306" s="2">
        <v>28.036000000000001</v>
      </c>
      <c r="F3306" s="3">
        <f>L3306/1000</f>
        <v>14.441000000000001</v>
      </c>
      <c r="G3306" s="3">
        <f>M3306/1000</f>
        <v>33.024999999999999</v>
      </c>
      <c r="H3306" s="3">
        <f>N3306/1000</f>
        <v>2.3159999999999998</v>
      </c>
      <c r="I3306" s="3">
        <f>O3306/1000</f>
        <v>11.304</v>
      </c>
      <c r="L3306" s="2">
        <f>13788+653</f>
        <v>14441</v>
      </c>
      <c r="M3306" s="2">
        <f>27300+5725</f>
        <v>33025</v>
      </c>
      <c r="N3306" s="2">
        <f>1410+906</f>
        <v>2316</v>
      </c>
      <c r="O3306" s="2">
        <f>3850+7454</f>
        <v>11304</v>
      </c>
      <c r="P3306" s="3">
        <f>E3306*(VLOOKUP(B3306,Price_data!A$1:B$190,2,FALSE))</f>
        <v>28.036000000000001</v>
      </c>
      <c r="Q3306" s="3">
        <f>G3306*(VLOOKUP(B3306,Price_data!A$1:B$190,2,FALSE))</f>
        <v>33.024999999999999</v>
      </c>
      <c r="R3306" s="3">
        <f>I3306*(VLOOKUP(B3306,Price_data!A$1:B$190,2,FALSE))</f>
        <v>11.304</v>
      </c>
      <c r="S3306" s="4" t="str">
        <f>(VLOOKUP(B3306,Price_data!A$1:C$190,3,FALSE))</f>
        <v>EEZ</v>
      </c>
      <c r="T3306" s="2" t="str">
        <f>IF(C3306="Total", (VLOOKUP(B3306,Recommended_fish_intake!A$4:D$122,4,FALSE)), "NA")</f>
        <v>NA</v>
      </c>
      <c r="U3306" s="2" t="str">
        <f t="shared" si="361"/>
        <v>NA</v>
      </c>
    </row>
    <row r="3307" spans="1:21" ht="14.25" customHeight="1">
      <c r="A3307" s="2" t="s">
        <v>15</v>
      </c>
      <c r="B3307" s="2">
        <v>2000</v>
      </c>
      <c r="C3307" s="2" t="s">
        <v>34</v>
      </c>
      <c r="D3307" s="2">
        <v>1.242</v>
      </c>
      <c r="E3307" s="2">
        <v>12.458</v>
      </c>
      <c r="F3307" s="2" t="s">
        <v>92</v>
      </c>
      <c r="G3307" s="2" t="s">
        <v>92</v>
      </c>
      <c r="H3307" s="2" t="s">
        <v>92</v>
      </c>
      <c r="I3307" s="2" t="s">
        <v>92</v>
      </c>
      <c r="P3307" s="3">
        <f>E3307*(VLOOKUP(B3307,Price_data!A$1:B$190,2,FALSE))</f>
        <v>12.458</v>
      </c>
      <c r="Q3307" s="3" t="e">
        <f>G3307*(VLOOKUP(B3307,Price_data!A$1:B$190,2,FALSE))</f>
        <v>#VALUE!</v>
      </c>
      <c r="R3307" s="3" t="e">
        <f>I3307*(VLOOKUP(B3307,Price_data!A$1:B$190,2,FALSE))</f>
        <v>#VALUE!</v>
      </c>
      <c r="S3307" s="4" t="str">
        <f>(VLOOKUP(B3307,Price_data!A$1:C$190,3,FALSE))</f>
        <v>EEZ</v>
      </c>
      <c r="T3307" s="2" t="str">
        <f>IF(C3307="Total", (VLOOKUP(B3307,Recommended_fish_intake!A$4:D$122,4,FALSE)), "NA")</f>
        <v>NA</v>
      </c>
      <c r="U3307" s="2" t="str">
        <f t="shared" si="361"/>
        <v>NA</v>
      </c>
    </row>
    <row r="3308" spans="1:21" ht="14.25" customHeight="1">
      <c r="A3308" s="2" t="s">
        <v>15</v>
      </c>
      <c r="B3308" s="2">
        <v>2000</v>
      </c>
      <c r="C3308" s="2" t="s">
        <v>35</v>
      </c>
      <c r="D3308" s="2">
        <v>28.305</v>
      </c>
      <c r="E3308" s="2">
        <v>60.777999999999999</v>
      </c>
      <c r="F3308" s="2" t="s">
        <v>92</v>
      </c>
      <c r="G3308" s="2" t="s">
        <v>92</v>
      </c>
      <c r="H3308" s="2" t="s">
        <v>92</v>
      </c>
      <c r="I3308" s="2" t="s">
        <v>92</v>
      </c>
      <c r="P3308" s="3">
        <f>E3308*(VLOOKUP(B3308,Price_data!A$1:B$190,2,FALSE))</f>
        <v>60.777999999999999</v>
      </c>
      <c r="Q3308" s="3" t="e">
        <f>G3308*(VLOOKUP(B3308,Price_data!A$1:B$190,2,FALSE))</f>
        <v>#VALUE!</v>
      </c>
      <c r="R3308" s="3" t="e">
        <f>I3308*(VLOOKUP(B3308,Price_data!A$1:B$190,2,FALSE))</f>
        <v>#VALUE!</v>
      </c>
      <c r="S3308" s="4" t="str">
        <f>(VLOOKUP(B3308,Price_data!A$1:C$190,3,FALSE))</f>
        <v>EEZ</v>
      </c>
      <c r="T3308" s="2" t="str">
        <f>IF(C3308="Total", (VLOOKUP(B3308,Recommended_fish_intake!A$4:D$122,4,FALSE)), "NA")</f>
        <v>NA</v>
      </c>
      <c r="U3308" s="2" t="str">
        <f t="shared" si="361"/>
        <v>NA</v>
      </c>
    </row>
    <row r="3309" spans="1:21" ht="14.25" customHeight="1">
      <c r="A3309" s="2" t="s">
        <v>15</v>
      </c>
      <c r="B3309" s="2">
        <v>2000</v>
      </c>
      <c r="C3309" s="2" t="s">
        <v>52</v>
      </c>
      <c r="D3309" s="2">
        <v>25.071000000000002</v>
      </c>
      <c r="E3309" s="2">
        <v>33.033000000000001</v>
      </c>
      <c r="F3309" s="2" t="s">
        <v>92</v>
      </c>
      <c r="G3309" s="2" t="s">
        <v>92</v>
      </c>
      <c r="H3309" s="2" t="s">
        <v>92</v>
      </c>
      <c r="I3309" s="2" t="s">
        <v>92</v>
      </c>
      <c r="P3309" s="3">
        <f>E3309*(VLOOKUP(B3309,Price_data!A$1:B$190,2,FALSE))</f>
        <v>33.033000000000001</v>
      </c>
      <c r="Q3309" s="3" t="e">
        <f>G3309*(VLOOKUP(B3309,Price_data!A$1:B$190,2,FALSE))</f>
        <v>#VALUE!</v>
      </c>
      <c r="R3309" s="3" t="e">
        <f>I3309*(VLOOKUP(B3309,Price_data!A$1:B$190,2,FALSE))</f>
        <v>#VALUE!</v>
      </c>
      <c r="S3309" s="4" t="str">
        <f>(VLOOKUP(B3309,Price_data!A$1:C$190,3,FALSE))</f>
        <v>EEZ</v>
      </c>
      <c r="T3309" s="2" t="str">
        <f>IF(C3309="Total", (VLOOKUP(B3309,Recommended_fish_intake!A$4:D$122,4,FALSE)), "NA")</f>
        <v>NA</v>
      </c>
      <c r="U3309" s="2" t="str">
        <f t="shared" si="361"/>
        <v>NA</v>
      </c>
    </row>
    <row r="3310" spans="1:21" ht="14.25" customHeight="1">
      <c r="A3310" s="2" t="s">
        <v>15</v>
      </c>
      <c r="B3310" s="2">
        <v>2000</v>
      </c>
      <c r="C3310" s="2" t="s">
        <v>30</v>
      </c>
      <c r="D3310" s="2">
        <v>1.59</v>
      </c>
      <c r="E3310" s="2">
        <v>2.0619999999999998</v>
      </c>
      <c r="F3310" s="3">
        <f t="shared" ref="F3310:I3312" si="363">L3310/1000</f>
        <v>27.523</v>
      </c>
      <c r="G3310" s="3">
        <f t="shared" si="363"/>
        <v>106.688</v>
      </c>
      <c r="H3310" s="3">
        <f t="shared" si="363"/>
        <v>75.605999999999995</v>
      </c>
      <c r="I3310" s="3">
        <f t="shared" si="363"/>
        <v>347.07799999999997</v>
      </c>
      <c r="L3310" s="2">
        <f>2636+19763+5124</f>
        <v>27523</v>
      </c>
      <c r="M3310" s="2">
        <f>11016+77694+17978</f>
        <v>106688</v>
      </c>
      <c r="N3310" s="2">
        <f>2877+31012+41717</f>
        <v>75606</v>
      </c>
      <c r="O3310" s="2">
        <f>10606+173708+162764</f>
        <v>347078</v>
      </c>
      <c r="P3310" s="3">
        <f>E3310*(VLOOKUP(B3310,Price_data!A$1:B$190,2,FALSE))</f>
        <v>2.0619999999999998</v>
      </c>
      <c r="Q3310" s="3">
        <f>G3310*(VLOOKUP(B3310,Price_data!A$1:B$190,2,FALSE))</f>
        <v>106.688</v>
      </c>
      <c r="R3310" s="3">
        <f>I3310*(VLOOKUP(B3310,Price_data!A$1:B$190,2,FALSE))</f>
        <v>347.07799999999997</v>
      </c>
      <c r="S3310" s="4" t="str">
        <f>(VLOOKUP(B3310,Price_data!A$1:C$190,3,FALSE))</f>
        <v>EEZ</v>
      </c>
      <c r="T3310" s="2" t="str">
        <f>IF(C3310="Total", (VLOOKUP(B3310,Recommended_fish_intake!A$4:D$122,4,FALSE)), "NA")</f>
        <v>NA</v>
      </c>
      <c r="U3310" s="2" t="str">
        <f t="shared" si="361"/>
        <v>NA</v>
      </c>
    </row>
    <row r="3311" spans="1:21" ht="14.25" customHeight="1">
      <c r="A3311" s="2" t="s">
        <v>15</v>
      </c>
      <c r="B3311" s="2">
        <v>2000</v>
      </c>
      <c r="C3311" s="2" t="s">
        <v>28</v>
      </c>
      <c r="D3311" s="2">
        <v>127.023</v>
      </c>
      <c r="E3311" s="2">
        <v>153.24700000000001</v>
      </c>
      <c r="F3311" s="3">
        <f t="shared" si="363"/>
        <v>86.799000000000007</v>
      </c>
      <c r="G3311" s="3">
        <f t="shared" si="363"/>
        <v>290.71699999999998</v>
      </c>
      <c r="H3311" s="3">
        <f t="shared" si="363"/>
        <v>93.417000000000002</v>
      </c>
      <c r="I3311" s="3">
        <f t="shared" si="363"/>
        <v>403.28899999999999</v>
      </c>
      <c r="L3311" s="2">
        <v>86799</v>
      </c>
      <c r="M3311" s="2">
        <v>290717</v>
      </c>
      <c r="N3311" s="2">
        <v>93417</v>
      </c>
      <c r="O3311" s="2">
        <v>403289</v>
      </c>
      <c r="P3311" s="3">
        <f>E3311*(VLOOKUP(B3311,Price_data!A$1:B$190,2,FALSE))</f>
        <v>153.24700000000001</v>
      </c>
      <c r="Q3311" s="3">
        <f>G3311*(VLOOKUP(B3311,Price_data!A$1:B$190,2,FALSE))</f>
        <v>290.71699999999998</v>
      </c>
      <c r="R3311" s="3">
        <f>I3311*(VLOOKUP(B3311,Price_data!A$1:B$190,2,FALSE))</f>
        <v>403.28899999999999</v>
      </c>
      <c r="S3311" s="4" t="str">
        <f>(VLOOKUP(B3311,Price_data!A$1:C$190,3,FALSE))</f>
        <v>EEZ</v>
      </c>
      <c r="T3311" s="2" t="str">
        <f>IF(C3311="Total", (VLOOKUP(B3311,Recommended_fish_intake!A$4:D$122,4,FALSE)), "NA")</f>
        <v>NA</v>
      </c>
      <c r="U3311" s="2">
        <f t="shared" si="361"/>
        <v>35.56644</v>
      </c>
    </row>
    <row r="3312" spans="1:21" ht="14.25" customHeight="1">
      <c r="A3312" s="2" t="s">
        <v>15</v>
      </c>
      <c r="B3312" s="2">
        <v>2000</v>
      </c>
      <c r="C3312" s="2" t="s">
        <v>37</v>
      </c>
      <c r="D3312" s="2">
        <f>D3100+D3352</f>
        <v>42.168999999999997</v>
      </c>
      <c r="E3312" s="2">
        <f>E3100+E3352</f>
        <v>55.105999999999995</v>
      </c>
      <c r="F3312" s="3">
        <f t="shared" si="363"/>
        <v>278.06900000000002</v>
      </c>
      <c r="G3312" s="3">
        <f t="shared" si="363"/>
        <v>405.30799999999999</v>
      </c>
      <c r="H3312" s="3">
        <f t="shared" si="363"/>
        <v>456.28100000000001</v>
      </c>
      <c r="I3312" s="3">
        <f t="shared" si="363"/>
        <v>921.42700000000002</v>
      </c>
      <c r="L3312" s="2">
        <v>278069</v>
      </c>
      <c r="M3312" s="2">
        <v>405308</v>
      </c>
      <c r="N3312" s="2">
        <v>456281</v>
      </c>
      <c r="O3312" s="2">
        <v>921427</v>
      </c>
      <c r="P3312" s="3">
        <f>E3312*(VLOOKUP(B3312,Price_data!A$1:B$190,2,FALSE))</f>
        <v>55.105999999999995</v>
      </c>
      <c r="Q3312" s="3">
        <f>G3312*(VLOOKUP(B3312,Price_data!A$1:B$190,2,FALSE))</f>
        <v>405.30799999999999</v>
      </c>
      <c r="R3312" s="3">
        <f>I3312*(VLOOKUP(B3312,Price_data!A$1:B$190,2,FALSE))</f>
        <v>921.42700000000002</v>
      </c>
      <c r="S3312" s="4" t="str">
        <f>(VLOOKUP(B3312,Price_data!A$1:C$190,3,FALSE))</f>
        <v>EEZ</v>
      </c>
      <c r="T3312" s="2" t="str">
        <f>IF(C3312="Total", (VLOOKUP(B3312,Recommended_fish_intake!A$4:D$122,4,FALSE)), "NA")</f>
        <v>NA</v>
      </c>
      <c r="U3312" s="2">
        <f t="shared" si="361"/>
        <v>20.662809999999997</v>
      </c>
    </row>
    <row r="3313" spans="1:21" ht="14.25" customHeight="1">
      <c r="A3313" s="2" t="s">
        <v>15</v>
      </c>
      <c r="B3313" s="2">
        <v>2000</v>
      </c>
      <c r="C3313" s="2" t="s">
        <v>41</v>
      </c>
      <c r="D3313" s="2">
        <v>209.59700000000001</v>
      </c>
      <c r="E3313" s="2">
        <v>247.649</v>
      </c>
      <c r="F3313" s="2" t="s">
        <v>92</v>
      </c>
      <c r="G3313" s="2" t="s">
        <v>92</v>
      </c>
      <c r="H3313" s="2" t="s">
        <v>92</v>
      </c>
      <c r="I3313" s="2" t="s">
        <v>92</v>
      </c>
      <c r="P3313" s="3">
        <f>E3313*(VLOOKUP(B3313,Price_data!A$1:B$190,2,FALSE))</f>
        <v>247.649</v>
      </c>
      <c r="Q3313" s="3" t="e">
        <f>G3313*(VLOOKUP(B3313,Price_data!A$1:B$190,2,FALSE))</f>
        <v>#VALUE!</v>
      </c>
      <c r="R3313" s="3" t="e">
        <f>I3313*(VLOOKUP(B3313,Price_data!A$1:B$190,2,FALSE))</f>
        <v>#VALUE!</v>
      </c>
      <c r="S3313" s="4" t="str">
        <f>(VLOOKUP(B3313,Price_data!A$1:C$190,3,FALSE))</f>
        <v>EEZ</v>
      </c>
      <c r="T3313" s="2" t="str">
        <f>IF(C3313="Total", (VLOOKUP(B3313,Recommended_fish_intake!A$4:D$122,4,FALSE)), "NA")</f>
        <v>NA</v>
      </c>
      <c r="U3313" s="2" t="str">
        <f t="shared" si="361"/>
        <v>NA</v>
      </c>
    </row>
    <row r="3314" spans="1:21" ht="14.25" customHeight="1">
      <c r="A3314" s="2" t="s">
        <v>15</v>
      </c>
      <c r="B3314" s="2">
        <v>2000</v>
      </c>
      <c r="C3314" s="2" t="s">
        <v>22</v>
      </c>
      <c r="D3314" s="2">
        <v>36.985999999999997</v>
      </c>
      <c r="E3314" s="2">
        <v>50.634999999999998</v>
      </c>
      <c r="F3314" s="3">
        <f t="shared" ref="F3314:I3319" si="364">L3314/1000</f>
        <v>9.3480000000000008</v>
      </c>
      <c r="G3314" s="3">
        <f t="shared" si="364"/>
        <v>19.059000000000001</v>
      </c>
      <c r="H3314" s="3">
        <f t="shared" si="364"/>
        <v>122.271</v>
      </c>
      <c r="I3314" s="3">
        <f t="shared" si="364"/>
        <v>313.18299999999999</v>
      </c>
      <c r="L3314" s="2">
        <f>1673+194+3765+2298+827+214+377</f>
        <v>9348</v>
      </c>
      <c r="M3314" s="2">
        <f>3907+565+5923+6123+890+538+1113</f>
        <v>19059</v>
      </c>
      <c r="N3314" s="2">
        <f>15360+3510+21623+76831+3875+211+861</f>
        <v>122271</v>
      </c>
      <c r="O3314" s="2">
        <f>26065+16927+30429+231180+5388+961+2233</f>
        <v>313183</v>
      </c>
      <c r="P3314" s="3">
        <f>E3314*(VLOOKUP(B3314,Price_data!A$1:B$190,2,FALSE))</f>
        <v>50.634999999999998</v>
      </c>
      <c r="Q3314" s="3">
        <f>G3314*(VLOOKUP(B3314,Price_data!A$1:B$190,2,FALSE))</f>
        <v>19.059000000000001</v>
      </c>
      <c r="R3314" s="3">
        <f>I3314*(VLOOKUP(B3314,Price_data!A$1:B$190,2,FALSE))</f>
        <v>313.18299999999999</v>
      </c>
      <c r="S3314" s="4" t="str">
        <f>(VLOOKUP(B3314,Price_data!A$1:C$190,3,FALSE))</f>
        <v>EEZ</v>
      </c>
      <c r="T3314" s="2" t="str">
        <f>IF(C3314="Total", (VLOOKUP(B3314,Recommended_fish_intake!A$4:D$122,4,FALSE)), "NA")</f>
        <v>NA</v>
      </c>
      <c r="U3314" s="2" t="str">
        <f t="shared" si="361"/>
        <v>NA</v>
      </c>
    </row>
    <row r="3315" spans="1:21" ht="14.25" customHeight="1">
      <c r="A3315" s="2" t="s">
        <v>15</v>
      </c>
      <c r="B3315" s="2">
        <v>2000</v>
      </c>
      <c r="C3315" s="2" t="s">
        <v>23</v>
      </c>
      <c r="D3315" s="2">
        <v>50.277999999999999</v>
      </c>
      <c r="E3315" s="2">
        <v>51.180999999999997</v>
      </c>
      <c r="F3315" s="4">
        <f t="shared" si="364"/>
        <v>1.1970000000000001</v>
      </c>
      <c r="G3315" s="4">
        <f t="shared" si="364"/>
        <v>3.49</v>
      </c>
      <c r="H3315" s="4">
        <f t="shared" si="364"/>
        <v>37.509</v>
      </c>
      <c r="I3315" s="4">
        <f t="shared" si="364"/>
        <v>78.852000000000004</v>
      </c>
      <c r="L3315" s="2">
        <f>581+273+255+88</f>
        <v>1197</v>
      </c>
      <c r="M3315" s="2">
        <f>1906+627+891+66</f>
        <v>3490</v>
      </c>
      <c r="N3315" s="2">
        <f>15070+8832+13089+518</f>
        <v>37509</v>
      </c>
      <c r="O3315" s="2">
        <f>22434+12148+43420+850</f>
        <v>78852</v>
      </c>
      <c r="P3315" s="3">
        <f>E3315*(VLOOKUP(B3315,Price_data!A$1:B$190,2,FALSE))</f>
        <v>51.180999999999997</v>
      </c>
      <c r="Q3315" s="3">
        <f>G3315*(VLOOKUP(B3315,Price_data!A$1:B$190,2,FALSE))</f>
        <v>3.49</v>
      </c>
      <c r="R3315" s="3">
        <f>I3315*(VLOOKUP(B3315,Price_data!A$1:B$190,2,FALSE))</f>
        <v>78.852000000000004</v>
      </c>
      <c r="S3315" s="4" t="str">
        <f>(VLOOKUP(B3315,Price_data!A$1:C$190,3,FALSE))</f>
        <v>EEZ</v>
      </c>
      <c r="T3315" s="2" t="str">
        <f>IF(C3315="Total", (VLOOKUP(B3315,Recommended_fish_intake!A$4:D$122,4,FALSE)), "NA")</f>
        <v>NA</v>
      </c>
      <c r="U3315" s="2" t="str">
        <f t="shared" si="361"/>
        <v>NA</v>
      </c>
    </row>
    <row r="3316" spans="1:21" ht="14.25" customHeight="1">
      <c r="A3316" s="2" t="s">
        <v>15</v>
      </c>
      <c r="B3316" s="2">
        <v>2000</v>
      </c>
      <c r="C3316" s="2" t="s">
        <v>58</v>
      </c>
      <c r="D3316" s="2">
        <v>14.705</v>
      </c>
      <c r="E3316" s="2">
        <v>33.61</v>
      </c>
      <c r="F3316" s="4">
        <f t="shared" si="364"/>
        <v>2.5960000000000001</v>
      </c>
      <c r="G3316" s="4">
        <f t="shared" si="364"/>
        <v>14.247</v>
      </c>
      <c r="H3316" s="4">
        <f t="shared" si="364"/>
        <v>0.95799999999999996</v>
      </c>
      <c r="I3316" s="4">
        <f t="shared" si="364"/>
        <v>3.6150000000000002</v>
      </c>
      <c r="L3316" s="2">
        <f>2376+195+25</f>
        <v>2596</v>
      </c>
      <c r="M3316" s="2">
        <f>13764+414+69</f>
        <v>14247</v>
      </c>
      <c r="N3316" s="2">
        <f>828+57+73</f>
        <v>958</v>
      </c>
      <c r="O3316" s="2">
        <f>3067+239+309</f>
        <v>3615</v>
      </c>
      <c r="P3316" s="3">
        <f>E3316*(VLOOKUP(B3316,Price_data!A$1:B$190,2,FALSE))</f>
        <v>33.61</v>
      </c>
      <c r="Q3316" s="3">
        <f>G3316*(VLOOKUP(B3316,Price_data!A$1:B$190,2,FALSE))</f>
        <v>14.247</v>
      </c>
      <c r="R3316" s="3">
        <f>I3316*(VLOOKUP(B3316,Price_data!A$1:B$190,2,FALSE))</f>
        <v>3.6150000000000002</v>
      </c>
      <c r="S3316" s="4" t="str">
        <f>(VLOOKUP(B3316,Price_data!A$1:C$190,3,FALSE))</f>
        <v>EEZ</v>
      </c>
      <c r="T3316" s="2" t="str">
        <f>IF(C3316="Total", (VLOOKUP(B3316,Recommended_fish_intake!A$4:D$122,4,FALSE)), "NA")</f>
        <v>NA</v>
      </c>
      <c r="U3316" s="2" t="str">
        <f t="shared" si="361"/>
        <v>NA</v>
      </c>
    </row>
    <row r="3317" spans="1:21" ht="14.25" customHeight="1">
      <c r="A3317" s="2" t="s">
        <v>15</v>
      </c>
      <c r="B3317" s="2">
        <v>2000</v>
      </c>
      <c r="C3317" s="2" t="s">
        <v>24</v>
      </c>
      <c r="D3317" s="2">
        <v>23.303000000000001</v>
      </c>
      <c r="E3317" s="2">
        <v>14.317</v>
      </c>
      <c r="F3317" s="4">
        <f t="shared" si="364"/>
        <v>2.544</v>
      </c>
      <c r="G3317" s="4">
        <f t="shared" si="364"/>
        <v>5.2830000000000004</v>
      </c>
      <c r="H3317" s="4">
        <f t="shared" si="364"/>
        <v>1.3260000000000001</v>
      </c>
      <c r="I3317" s="4">
        <f t="shared" si="364"/>
        <v>1.5529999999999999</v>
      </c>
      <c r="L3317" s="2">
        <f>1037+3+1504</f>
        <v>2544</v>
      </c>
      <c r="M3317" s="2">
        <f>1475+8+3800</f>
        <v>5283</v>
      </c>
      <c r="N3317" s="2">
        <f>1098+15+213</f>
        <v>1326</v>
      </c>
      <c r="O3317" s="2">
        <f>1087+7+459</f>
        <v>1553</v>
      </c>
      <c r="P3317" s="3">
        <f>E3317*(VLOOKUP(B3317,Price_data!A$1:B$190,2,FALSE))</f>
        <v>14.317</v>
      </c>
      <c r="Q3317" s="3">
        <f>G3317*(VLOOKUP(B3317,Price_data!A$1:B$190,2,FALSE))</f>
        <v>5.2830000000000004</v>
      </c>
      <c r="R3317" s="3">
        <f>I3317*(VLOOKUP(B3317,Price_data!A$1:B$190,2,FALSE))</f>
        <v>1.5529999999999999</v>
      </c>
      <c r="S3317" s="4" t="str">
        <f>(VLOOKUP(B3317,Price_data!A$1:C$190,3,FALSE))</f>
        <v>EEZ</v>
      </c>
      <c r="T3317" s="2" t="str">
        <f>IF(C3317="Total", (VLOOKUP(B3317,Recommended_fish_intake!A$4:D$122,4,FALSE)), "NA")</f>
        <v>NA</v>
      </c>
      <c r="U3317" s="2" t="str">
        <f t="shared" si="361"/>
        <v>NA</v>
      </c>
    </row>
    <row r="3318" spans="1:21" ht="14.25" customHeight="1">
      <c r="A3318" s="2" t="s">
        <v>15</v>
      </c>
      <c r="B3318" s="2">
        <v>2000</v>
      </c>
      <c r="C3318" s="2" t="s">
        <v>19</v>
      </c>
      <c r="D3318" s="2">
        <v>39.469000000000001</v>
      </c>
      <c r="E3318" s="2">
        <v>4.0730000000000004</v>
      </c>
      <c r="F3318" s="4">
        <f t="shared" si="364"/>
        <v>50.719000000000001</v>
      </c>
      <c r="G3318" s="4">
        <f t="shared" si="364"/>
        <v>15.877000000000001</v>
      </c>
      <c r="H3318" s="4">
        <f t="shared" si="364"/>
        <v>6.6689999999999996</v>
      </c>
      <c r="I3318" s="4">
        <f t="shared" si="364"/>
        <v>4.7119999999999997</v>
      </c>
      <c r="L3318" s="2">
        <f>2808+0+40949+5557+218+400+787</f>
        <v>50719</v>
      </c>
      <c r="M3318" s="2">
        <f>962+0+11527+1777+53+805+753</f>
        <v>15877</v>
      </c>
      <c r="N3318" s="2">
        <f>107+0+2540+115+1940+532+1435</f>
        <v>6669</v>
      </c>
      <c r="O3318" s="2">
        <f>55+0+910+53+888+398+2408</f>
        <v>4712</v>
      </c>
      <c r="P3318" s="3">
        <f>E3318*(VLOOKUP(B3318,Price_data!A$1:B$190,2,FALSE))</f>
        <v>4.0730000000000004</v>
      </c>
      <c r="Q3318" s="3">
        <f>G3318*(VLOOKUP(B3318,Price_data!A$1:B$190,2,FALSE))</f>
        <v>15.877000000000001</v>
      </c>
      <c r="R3318" s="3">
        <f>I3318*(VLOOKUP(B3318,Price_data!A$1:B$190,2,FALSE))</f>
        <v>4.7119999999999997</v>
      </c>
      <c r="S3318" s="4" t="str">
        <f>(VLOOKUP(B3318,Price_data!A$1:C$190,3,FALSE))</f>
        <v>EEZ</v>
      </c>
      <c r="T3318" s="2" t="str">
        <f>IF(C3318="Total", (VLOOKUP(B3318,Recommended_fish_intake!A$4:D$122,4,FALSE)), "NA")</f>
        <v>NA</v>
      </c>
      <c r="U3318" s="2" t="str">
        <f t="shared" si="361"/>
        <v>NA</v>
      </c>
    </row>
    <row r="3319" spans="1:21" ht="14.25" customHeight="1">
      <c r="A3319" s="2" t="s">
        <v>15</v>
      </c>
      <c r="B3319" s="2">
        <v>2000</v>
      </c>
      <c r="C3319" s="2" t="s">
        <v>20</v>
      </c>
      <c r="D3319" s="2">
        <v>54.616999999999997</v>
      </c>
      <c r="E3319" s="2">
        <v>13.848000000000001</v>
      </c>
      <c r="F3319" s="4">
        <f t="shared" si="364"/>
        <v>92.356999999999999</v>
      </c>
      <c r="G3319" s="4">
        <f t="shared" si="364"/>
        <v>43.332999999999998</v>
      </c>
      <c r="H3319" s="4">
        <f t="shared" si="364"/>
        <v>9.6509999999999998</v>
      </c>
      <c r="I3319" s="4">
        <f t="shared" si="364"/>
        <v>10.553000000000001</v>
      </c>
      <c r="L3319" s="2">
        <f>5313+81507+3502+472+1563</f>
        <v>92357</v>
      </c>
      <c r="M3319" s="2">
        <f>2077+35989+1954+864+2449</f>
        <v>43333</v>
      </c>
      <c r="N3319" s="2">
        <f>2893+2502+124+24+4108</f>
        <v>9651</v>
      </c>
      <c r="O3319" s="2">
        <f>913+790+100+66+8684</f>
        <v>10553</v>
      </c>
      <c r="P3319" s="3">
        <f>E3319*(VLOOKUP(B3319,Price_data!A$1:B$190,2,FALSE))</f>
        <v>13.848000000000001</v>
      </c>
      <c r="Q3319" s="3">
        <f>G3319*(VLOOKUP(B3319,Price_data!A$1:B$190,2,FALSE))</f>
        <v>43.332999999999998</v>
      </c>
      <c r="R3319" s="3">
        <f>I3319*(VLOOKUP(B3319,Price_data!A$1:B$190,2,FALSE))</f>
        <v>10.553000000000001</v>
      </c>
      <c r="S3319" s="4" t="str">
        <f>(VLOOKUP(B3319,Price_data!A$1:C$190,3,FALSE))</f>
        <v>EEZ</v>
      </c>
      <c r="T3319" s="2" t="str">
        <f>IF(C3319="Total", (VLOOKUP(B3319,Recommended_fish_intake!A$4:D$122,4,FALSE)), "NA")</f>
        <v>NA</v>
      </c>
      <c r="U3319" s="2" t="str">
        <f t="shared" si="361"/>
        <v>NA</v>
      </c>
    </row>
    <row r="3320" spans="1:21" ht="14.25" customHeight="1">
      <c r="A3320" s="2" t="s">
        <v>15</v>
      </c>
      <c r="B3320" s="2">
        <v>2000</v>
      </c>
      <c r="C3320" s="2" t="s">
        <v>21</v>
      </c>
      <c r="D3320" s="3">
        <v>8.3000000000000007</v>
      </c>
      <c r="E3320" s="3">
        <v>1</v>
      </c>
      <c r="F3320" s="2" t="s">
        <v>92</v>
      </c>
      <c r="G3320" s="2" t="s">
        <v>92</v>
      </c>
      <c r="H3320" s="2" t="s">
        <v>92</v>
      </c>
      <c r="I3320" s="2" t="s">
        <v>92</v>
      </c>
      <c r="P3320" s="3">
        <f>E3320*(VLOOKUP(B3320,Price_data!A$1:B$190,2,FALSE))</f>
        <v>1</v>
      </c>
      <c r="Q3320" s="3" t="e">
        <f>G3320*(VLOOKUP(B3320,Price_data!A$1:B$190,2,FALSE))</f>
        <v>#VALUE!</v>
      </c>
      <c r="R3320" s="3" t="e">
        <f>I3320*(VLOOKUP(B3320,Price_data!A$1:B$190,2,FALSE))</f>
        <v>#VALUE!</v>
      </c>
      <c r="S3320" s="4" t="str">
        <f>(VLOOKUP(B3320,Price_data!A$1:C$190,3,FALSE))</f>
        <v>EEZ</v>
      </c>
      <c r="T3320" s="2" t="str">
        <f>IF(C3320="Total", (VLOOKUP(B3320,Recommended_fish_intake!A$4:D$122,4,FALSE)), "NA")</f>
        <v>NA</v>
      </c>
      <c r="U3320" s="2" t="str">
        <f t="shared" si="361"/>
        <v>NA</v>
      </c>
    </row>
    <row r="3321" spans="1:21" ht="14.25" customHeight="1">
      <c r="A3321" s="2" t="s">
        <v>15</v>
      </c>
      <c r="B3321" s="2">
        <v>2000</v>
      </c>
      <c r="C3321" s="2" t="s">
        <v>25</v>
      </c>
      <c r="D3321" s="2">
        <v>8.6</v>
      </c>
      <c r="E3321" s="2">
        <v>9.9</v>
      </c>
      <c r="F3321" s="3">
        <f t="shared" ref="F3321:I3323" si="365">IF(L3321="", NA(), L3321/1000)</f>
        <v>1.53</v>
      </c>
      <c r="G3321" s="3">
        <f t="shared" si="365"/>
        <v>1.9650000000000001</v>
      </c>
      <c r="H3321" s="3">
        <f t="shared" si="365"/>
        <v>6.6879999999999997</v>
      </c>
      <c r="I3321" s="3">
        <f t="shared" si="365"/>
        <v>18.093</v>
      </c>
      <c r="L3321" s="2">
        <f>1162+49+319</f>
        <v>1530</v>
      </c>
      <c r="M3321" s="2">
        <f>970+64+931</f>
        <v>1965</v>
      </c>
      <c r="N3321" s="2">
        <f>3485+460+2743</f>
        <v>6688</v>
      </c>
      <c r="O3321" s="2">
        <f>6818+414+10861</f>
        <v>18093</v>
      </c>
      <c r="P3321" s="3">
        <f>E3321*(VLOOKUP(B3321,Price_data!A$1:B$190,2,FALSE))</f>
        <v>9.9</v>
      </c>
      <c r="Q3321" s="3">
        <f>G3321*(VLOOKUP(B3321,Price_data!A$1:B$190,2,FALSE))</f>
        <v>1.9650000000000001</v>
      </c>
      <c r="R3321" s="3">
        <f>I3321*(VLOOKUP(B3321,Price_data!A$1:B$190,2,FALSE))</f>
        <v>18.093</v>
      </c>
      <c r="S3321" s="4" t="str">
        <f>(VLOOKUP(B3321,Price_data!A$1:C$190,3,FALSE))</f>
        <v>EEZ</v>
      </c>
      <c r="T3321" s="2" t="str">
        <f>IF(C3321="Total", (VLOOKUP(B3321,Recommended_fish_intake!A$4:D$122,4,FALSE)), "NA")</f>
        <v>NA</v>
      </c>
      <c r="U3321" s="2" t="str">
        <f t="shared" si="361"/>
        <v>NA</v>
      </c>
    </row>
    <row r="3322" spans="1:21" ht="14.25" customHeight="1">
      <c r="A3322" s="2" t="s">
        <v>15</v>
      </c>
      <c r="B3322" s="2">
        <v>2000</v>
      </c>
      <c r="C3322" s="2" t="s">
        <v>43</v>
      </c>
      <c r="D3322" s="3" t="e">
        <v>#N/A</v>
      </c>
      <c r="E3322" s="3" t="e">
        <v>#N/A</v>
      </c>
      <c r="F3322" s="3">
        <f t="shared" si="365"/>
        <v>2.15</v>
      </c>
      <c r="G3322" s="3">
        <f t="shared" si="365"/>
        <v>4.7</v>
      </c>
      <c r="H3322" s="3">
        <f t="shared" si="365"/>
        <v>81.411000000000001</v>
      </c>
      <c r="I3322" s="3">
        <f t="shared" si="365"/>
        <v>121.078</v>
      </c>
      <c r="L3322" s="2">
        <f>43+31+2076</f>
        <v>2150</v>
      </c>
      <c r="M3322" s="2">
        <f>150+32+4518</f>
        <v>4700</v>
      </c>
      <c r="N3322" s="2">
        <f>1238+455+79718</f>
        <v>81411</v>
      </c>
      <c r="O3322" s="2">
        <f>2430+826+117822</f>
        <v>121078</v>
      </c>
      <c r="P3322" s="3" t="e">
        <f>E3322*(VLOOKUP(B3322,Price_data!A$1:B$190,2,FALSE))</f>
        <v>#N/A</v>
      </c>
      <c r="Q3322" s="3">
        <f>G3322*(VLOOKUP(B3322,Price_data!A$1:B$190,2,FALSE))</f>
        <v>4.7</v>
      </c>
      <c r="R3322" s="3">
        <f>I3322*(VLOOKUP(B3322,Price_data!A$1:B$190,2,FALSE))</f>
        <v>121.078</v>
      </c>
      <c r="S3322" s="4" t="str">
        <f>(VLOOKUP(B3322,Price_data!A$1:C$190,3,FALSE))</f>
        <v>EEZ</v>
      </c>
      <c r="T3322" s="2" t="str">
        <f>IF(C3322="Total", (VLOOKUP(B3322,Recommended_fish_intake!A$4:D$122,4,FALSE)), "NA")</f>
        <v>NA</v>
      </c>
      <c r="U3322" s="2" t="str">
        <f t="shared" si="361"/>
        <v>NA</v>
      </c>
    </row>
    <row r="3323" spans="1:21" ht="14.25" customHeight="1">
      <c r="A3323" s="2" t="s">
        <v>15</v>
      </c>
      <c r="B3323" s="2">
        <v>2000</v>
      </c>
      <c r="C3323" s="2" t="s">
        <v>29</v>
      </c>
      <c r="D3323" s="3" t="e">
        <v>#N/A</v>
      </c>
      <c r="E3323" s="3" t="e">
        <v>#N/A</v>
      </c>
      <c r="F3323" s="3">
        <f t="shared" si="365"/>
        <v>51.567999999999998</v>
      </c>
      <c r="G3323" s="3">
        <f t="shared" si="365"/>
        <v>163.75700000000001</v>
      </c>
      <c r="H3323" s="3">
        <f t="shared" si="365"/>
        <v>48.936999999999998</v>
      </c>
      <c r="I3323" s="3">
        <f t="shared" si="365"/>
        <v>131.358</v>
      </c>
      <c r="L3323" s="2">
        <f>8+39555+5063+426+814+4278+1424</f>
        <v>51568</v>
      </c>
      <c r="M3323" s="2">
        <f>39+102609+16921+841+2441+35090+5816</f>
        <v>163757</v>
      </c>
      <c r="N3323" s="2">
        <f>20+10190+5041+2101+3112+389+28084</f>
        <v>48937</v>
      </c>
      <c r="O3323" s="2">
        <f>80+25566+12621+4868+7102+2676+78445</f>
        <v>131358</v>
      </c>
      <c r="P3323" s="3" t="e">
        <f>E3323*(VLOOKUP(B3323,Price_data!A$1:B$190,2,FALSE))</f>
        <v>#N/A</v>
      </c>
      <c r="Q3323" s="3">
        <f>G3323*(VLOOKUP(B3323,Price_data!A$1:B$190,2,FALSE))</f>
        <v>163.75700000000001</v>
      </c>
      <c r="R3323" s="3">
        <f>I3323*(VLOOKUP(B3323,Price_data!A$1:B$190,2,FALSE))</f>
        <v>131.358</v>
      </c>
      <c r="S3323" s="4" t="str">
        <f>(VLOOKUP(B3323,Price_data!A$1:C$190,3,FALSE))</f>
        <v>EEZ</v>
      </c>
      <c r="T3323" s="2" t="str">
        <f>IF(C3323="Total", (VLOOKUP(B3323,Recommended_fish_intake!A$4:D$122,4,FALSE)), "NA")</f>
        <v>NA</v>
      </c>
      <c r="U3323" s="2" t="str">
        <f t="shared" si="361"/>
        <v>NA</v>
      </c>
    </row>
    <row r="3324" spans="1:21" ht="14.25" customHeight="1">
      <c r="A3324" s="2" t="s">
        <v>90</v>
      </c>
      <c r="B3324" s="2">
        <v>2001</v>
      </c>
      <c r="C3324" s="2" t="s">
        <v>22</v>
      </c>
      <c r="D3324" s="2">
        <v>9.9</v>
      </c>
      <c r="E3324" s="2">
        <v>12.6</v>
      </c>
      <c r="P3324" s="3">
        <f>E3324*(VLOOKUP(B3324,Price_data!A$1:B$190,2,FALSE))</f>
        <v>12.38069328678</v>
      </c>
      <c r="Q3324" s="3">
        <f>G3324*(VLOOKUP(B3324,Price_data!A$1:B$190,2,FALSE))</f>
        <v>0</v>
      </c>
      <c r="R3324" s="3">
        <f>I3324*(VLOOKUP(B3324,Price_data!A$1:B$190,2,FALSE))</f>
        <v>0</v>
      </c>
      <c r="S3324" s="4" t="str">
        <f>(VLOOKUP(B3324,Price_data!A$1:C$190,3,FALSE))</f>
        <v>EEZ</v>
      </c>
      <c r="T3324" s="2" t="str">
        <f>IF(C3324="Total", (VLOOKUP(B3324,Recommended_fish_intake!A$4:D$122,4,FALSE)), "NA")</f>
        <v>NA</v>
      </c>
      <c r="U3324" s="2" t="str">
        <f t="shared" si="361"/>
        <v>NA</v>
      </c>
    </row>
    <row r="3325" spans="1:21" ht="14.25" customHeight="1">
      <c r="A3325" s="2" t="s">
        <v>90</v>
      </c>
      <c r="B3325" s="2">
        <v>2001</v>
      </c>
      <c r="C3325" s="2" t="s">
        <v>23</v>
      </c>
      <c r="D3325" s="2">
        <v>4.5999999999999996</v>
      </c>
      <c r="E3325" s="2">
        <v>3.8</v>
      </c>
      <c r="P3325" s="3">
        <f>E3325*(VLOOKUP(B3325,Price_data!A$1:B$190,2,FALSE))</f>
        <v>3.7338598801399998</v>
      </c>
      <c r="Q3325" s="3">
        <f>G3325*(VLOOKUP(B3325,Price_data!A$1:B$190,2,FALSE))</f>
        <v>0</v>
      </c>
      <c r="R3325" s="3">
        <f>I3325*(VLOOKUP(B3325,Price_data!A$1:B$190,2,FALSE))</f>
        <v>0</v>
      </c>
      <c r="S3325" s="4" t="str">
        <f>(VLOOKUP(B3325,Price_data!A$1:C$190,3,FALSE))</f>
        <v>EEZ</v>
      </c>
      <c r="T3325" s="2" t="str">
        <f>IF(C3325="Total", (VLOOKUP(B3325,Recommended_fish_intake!A$4:D$122,4,FALSE)), "NA")</f>
        <v>NA</v>
      </c>
      <c r="U3325" s="2" t="str">
        <f t="shared" si="361"/>
        <v>NA</v>
      </c>
    </row>
    <row r="3326" spans="1:21" ht="14.25" customHeight="1">
      <c r="A3326" s="2" t="s">
        <v>90</v>
      </c>
      <c r="B3326" s="2">
        <v>2001</v>
      </c>
      <c r="C3326" s="2" t="s">
        <v>58</v>
      </c>
      <c r="D3326" s="2">
        <v>3.1</v>
      </c>
      <c r="E3326" s="2">
        <v>6.9</v>
      </c>
      <c r="P3326" s="3">
        <f>E3326*(VLOOKUP(B3326,Price_data!A$1:B$190,2,FALSE))</f>
        <v>6.7799034665700004</v>
      </c>
      <c r="Q3326" s="3">
        <f>G3326*(VLOOKUP(B3326,Price_data!A$1:B$190,2,FALSE))</f>
        <v>0</v>
      </c>
      <c r="R3326" s="3">
        <f>I3326*(VLOOKUP(B3326,Price_data!A$1:B$190,2,FALSE))</f>
        <v>0</v>
      </c>
      <c r="S3326" s="4" t="str">
        <f>(VLOOKUP(B3326,Price_data!A$1:C$190,3,FALSE))</f>
        <v>EEZ</v>
      </c>
      <c r="T3326" s="2" t="str">
        <f>IF(C3326="Total", (VLOOKUP(B3326,Recommended_fish_intake!A$4:D$122,4,FALSE)), "NA")</f>
        <v>NA</v>
      </c>
      <c r="U3326" s="2" t="str">
        <f t="shared" si="361"/>
        <v>NA</v>
      </c>
    </row>
    <row r="3327" spans="1:21" ht="14.25" customHeight="1">
      <c r="A3327" s="2" t="s">
        <v>90</v>
      </c>
      <c r="B3327" s="2">
        <v>2001</v>
      </c>
      <c r="C3327" s="2" t="s">
        <v>24</v>
      </c>
      <c r="D3327" s="2">
        <v>2.4</v>
      </c>
      <c r="E3327" s="2">
        <v>1.4</v>
      </c>
      <c r="P3327" s="3">
        <f>E3327*(VLOOKUP(B3327,Price_data!A$1:B$190,2,FALSE))</f>
        <v>1.3756325874199999</v>
      </c>
      <c r="Q3327" s="3">
        <f>G3327*(VLOOKUP(B3327,Price_data!A$1:B$190,2,FALSE))</f>
        <v>0</v>
      </c>
      <c r="R3327" s="3">
        <f>I3327*(VLOOKUP(B3327,Price_data!A$1:B$190,2,FALSE))</f>
        <v>0</v>
      </c>
      <c r="S3327" s="4" t="str">
        <f>(VLOOKUP(B3327,Price_data!A$1:C$190,3,FALSE))</f>
        <v>EEZ</v>
      </c>
      <c r="T3327" s="2" t="str">
        <f>IF(C3327="Total", (VLOOKUP(B3327,Recommended_fish_intake!A$4:D$122,4,FALSE)), "NA")</f>
        <v>NA</v>
      </c>
      <c r="U3327" s="2" t="str">
        <f t="shared" si="361"/>
        <v>NA</v>
      </c>
    </row>
    <row r="3328" spans="1:21" ht="14.25" customHeight="1">
      <c r="A3328" s="2" t="s">
        <v>90</v>
      </c>
      <c r="B3328" s="2">
        <v>2001</v>
      </c>
      <c r="C3328" s="2" t="s">
        <v>41</v>
      </c>
      <c r="D3328" s="2">
        <v>47.6</v>
      </c>
      <c r="E3328" s="2">
        <v>78.2</v>
      </c>
      <c r="P3328" s="3">
        <f>E3328*(VLOOKUP(B3328,Price_data!A$1:B$190,2,FALSE))</f>
        <v>76.838905954460003</v>
      </c>
      <c r="Q3328" s="3">
        <f>G3328*(VLOOKUP(B3328,Price_data!A$1:B$190,2,FALSE))</f>
        <v>0</v>
      </c>
      <c r="R3328" s="3">
        <f>I3328*(VLOOKUP(B3328,Price_data!A$1:B$190,2,FALSE))</f>
        <v>0</v>
      </c>
      <c r="S3328" s="4" t="str">
        <f>(VLOOKUP(B3328,Price_data!A$1:C$190,3,FALSE))</f>
        <v>EEZ</v>
      </c>
      <c r="T3328" s="2" t="str">
        <f>IF(C3328="Total", (VLOOKUP(B3328,Recommended_fish_intake!A$4:D$122,4,FALSE)), "NA")</f>
        <v>NA</v>
      </c>
      <c r="U3328" s="2" t="str">
        <f t="shared" si="361"/>
        <v>NA</v>
      </c>
    </row>
    <row r="3329" spans="1:21" ht="14.25" customHeight="1">
      <c r="A3329" s="2" t="s">
        <v>90</v>
      </c>
      <c r="B3329" s="2">
        <v>2001</v>
      </c>
      <c r="C3329" s="2" t="s">
        <v>19</v>
      </c>
      <c r="D3329" s="2">
        <v>0.3</v>
      </c>
      <c r="E3329" s="2">
        <v>0.2</v>
      </c>
      <c r="P3329" s="3">
        <f>E3329*(VLOOKUP(B3329,Price_data!A$1:B$190,2,FALSE))</f>
        <v>0.19651894106000001</v>
      </c>
      <c r="Q3329" s="3">
        <f>G3329*(VLOOKUP(B3329,Price_data!A$1:B$190,2,FALSE))</f>
        <v>0</v>
      </c>
      <c r="R3329" s="3">
        <f>I3329*(VLOOKUP(B3329,Price_data!A$1:B$190,2,FALSE))</f>
        <v>0</v>
      </c>
      <c r="S3329" s="4" t="str">
        <f>(VLOOKUP(B3329,Price_data!A$1:C$190,3,FALSE))</f>
        <v>EEZ</v>
      </c>
      <c r="T3329" s="2" t="str">
        <f>IF(C3329="Total", (VLOOKUP(B3329,Recommended_fish_intake!A$4:D$122,4,FALSE)), "NA")</f>
        <v>NA</v>
      </c>
      <c r="U3329" s="2" t="str">
        <f t="shared" si="361"/>
        <v>NA</v>
      </c>
    </row>
    <row r="3330" spans="1:21" ht="14.25" customHeight="1">
      <c r="A3330" s="2" t="s">
        <v>90</v>
      </c>
      <c r="B3330" s="2">
        <v>2001</v>
      </c>
      <c r="C3330" s="2" t="s">
        <v>20</v>
      </c>
      <c r="D3330" s="2">
        <v>7.8</v>
      </c>
      <c r="E3330" s="2">
        <v>2.5</v>
      </c>
      <c r="P3330" s="3">
        <f>E3330*(VLOOKUP(B3330,Price_data!A$1:B$190,2,FALSE))</f>
        <v>2.45648676325</v>
      </c>
      <c r="Q3330" s="3">
        <f>G3330*(VLOOKUP(B3330,Price_data!A$1:B$190,2,FALSE))</f>
        <v>0</v>
      </c>
      <c r="R3330" s="3">
        <f>I3330*(VLOOKUP(B3330,Price_data!A$1:B$190,2,FALSE))</f>
        <v>0</v>
      </c>
      <c r="S3330" s="4" t="str">
        <f>(VLOOKUP(B3330,Price_data!A$1:C$190,3,FALSE))</f>
        <v>EEZ</v>
      </c>
      <c r="T3330" s="2" t="str">
        <f>IF(C3330="Total", (VLOOKUP(B3330,Recommended_fish_intake!A$4:D$122,4,FALSE)), "NA")</f>
        <v>NA</v>
      </c>
      <c r="U3330" s="2" t="str">
        <f t="shared" ref="U3330:U3393" si="366">IF(C3330="Wet fish", D3330*0.49, IF(C3330="Shellfish", D3330*0.28, "NA"))</f>
        <v>NA</v>
      </c>
    </row>
    <row r="3331" spans="1:21" ht="14.25" customHeight="1">
      <c r="A3331" s="2" t="s">
        <v>90</v>
      </c>
      <c r="B3331" s="2">
        <v>2001</v>
      </c>
      <c r="C3331" s="2" t="s">
        <v>42</v>
      </c>
      <c r="D3331" s="2">
        <v>20.2</v>
      </c>
      <c r="E3331" s="2">
        <v>5.2</v>
      </c>
      <c r="P3331" s="3">
        <f>E3331*(VLOOKUP(B3331,Price_data!A$1:B$190,2,FALSE))</f>
        <v>5.10949246756</v>
      </c>
      <c r="Q3331" s="3">
        <f>G3331*(VLOOKUP(B3331,Price_data!A$1:B$190,2,FALSE))</f>
        <v>0</v>
      </c>
      <c r="R3331" s="3">
        <f>I3331*(VLOOKUP(B3331,Price_data!A$1:B$190,2,FALSE))</f>
        <v>0</v>
      </c>
      <c r="S3331" s="4" t="str">
        <f>(VLOOKUP(B3331,Price_data!A$1:C$190,3,FALSE))</f>
        <v>EEZ</v>
      </c>
      <c r="T3331" s="2" t="str">
        <f>IF(C3331="Total", (VLOOKUP(B3331,Recommended_fish_intake!A$4:D$122,4,FALSE)), "NA")</f>
        <v>NA</v>
      </c>
      <c r="U3331" s="2" t="str">
        <f t="shared" si="366"/>
        <v>NA</v>
      </c>
    </row>
    <row r="3332" spans="1:21" ht="14.25" customHeight="1">
      <c r="A3332" s="2" t="s">
        <v>90</v>
      </c>
      <c r="B3332" s="2">
        <v>2001</v>
      </c>
      <c r="C3332" s="2" t="s">
        <v>36</v>
      </c>
      <c r="D3332" s="2">
        <v>13.5</v>
      </c>
      <c r="E3332" s="2">
        <v>14.7</v>
      </c>
      <c r="P3332" s="3">
        <f>E3332*(VLOOKUP(B3332,Price_data!A$1:B$190,2,FALSE))</f>
        <v>14.44414216791</v>
      </c>
      <c r="Q3332" s="3">
        <f>G3332*(VLOOKUP(B3332,Price_data!A$1:B$190,2,FALSE))</f>
        <v>0</v>
      </c>
      <c r="R3332" s="3">
        <f>I3332*(VLOOKUP(B3332,Price_data!A$1:B$190,2,FALSE))</f>
        <v>0</v>
      </c>
      <c r="S3332" s="4" t="str">
        <f>(VLOOKUP(B3332,Price_data!A$1:C$190,3,FALSE))</f>
        <v>EEZ</v>
      </c>
      <c r="T3332" s="2" t="str">
        <f>IF(C3332="Total", (VLOOKUP(B3332,Recommended_fish_intake!A$4:D$122,4,FALSE)), "NA")</f>
        <v>NA</v>
      </c>
      <c r="U3332" s="2" t="str">
        <f t="shared" si="366"/>
        <v>NA</v>
      </c>
    </row>
    <row r="3333" spans="1:21" ht="14.25" customHeight="1">
      <c r="A3333" s="2" t="s">
        <v>90</v>
      </c>
      <c r="B3333" s="2">
        <v>2001</v>
      </c>
      <c r="C3333" s="2" t="s">
        <v>34</v>
      </c>
      <c r="D3333" s="2">
        <v>0.8</v>
      </c>
      <c r="E3333" s="2">
        <v>7.8</v>
      </c>
      <c r="P3333" s="3">
        <f>E3333*(VLOOKUP(B3333,Price_data!A$1:B$190,2,FALSE))</f>
        <v>7.6642387013400004</v>
      </c>
      <c r="Q3333" s="3">
        <f>G3333*(VLOOKUP(B3333,Price_data!A$1:B$190,2,FALSE))</f>
        <v>0</v>
      </c>
      <c r="R3333" s="3">
        <f>I3333*(VLOOKUP(B3333,Price_data!A$1:B$190,2,FALSE))</f>
        <v>0</v>
      </c>
      <c r="S3333" s="4" t="str">
        <f>(VLOOKUP(B3333,Price_data!A$1:C$190,3,FALSE))</f>
        <v>EEZ</v>
      </c>
      <c r="T3333" s="2" t="str">
        <f>IF(C3333="Total", (VLOOKUP(B3333,Recommended_fish_intake!A$4:D$122,4,FALSE)), "NA")</f>
        <v>NA</v>
      </c>
      <c r="U3333" s="2" t="str">
        <f t="shared" si="366"/>
        <v>NA</v>
      </c>
    </row>
    <row r="3334" spans="1:21" ht="14.25" customHeight="1">
      <c r="A3334" s="2" t="s">
        <v>90</v>
      </c>
      <c r="B3334" s="2">
        <v>2001</v>
      </c>
      <c r="C3334" s="2" t="s">
        <v>35</v>
      </c>
      <c r="D3334" s="2">
        <v>3.3</v>
      </c>
      <c r="E3334" s="2">
        <v>6.8</v>
      </c>
      <c r="P3334" s="3">
        <f>E3334*(VLOOKUP(B3334,Price_data!A$1:B$190,2,FALSE))</f>
        <v>6.68164399604</v>
      </c>
      <c r="Q3334" s="3">
        <f>G3334*(VLOOKUP(B3334,Price_data!A$1:B$190,2,FALSE))</f>
        <v>0</v>
      </c>
      <c r="R3334" s="3">
        <f>I3334*(VLOOKUP(B3334,Price_data!A$1:B$190,2,FALSE))</f>
        <v>0</v>
      </c>
      <c r="S3334" s="4" t="str">
        <f>(VLOOKUP(B3334,Price_data!A$1:C$190,3,FALSE))</f>
        <v>EEZ</v>
      </c>
      <c r="T3334" s="2" t="str">
        <f>IF(C3334="Total", (VLOOKUP(B3334,Recommended_fish_intake!A$4:D$122,4,FALSE)), "NA")</f>
        <v>NA</v>
      </c>
      <c r="U3334" s="2" t="str">
        <f t="shared" si="366"/>
        <v>NA</v>
      </c>
    </row>
    <row r="3335" spans="1:21" ht="14.25" customHeight="1">
      <c r="A3335" s="2" t="s">
        <v>90</v>
      </c>
      <c r="B3335" s="2">
        <v>2001</v>
      </c>
      <c r="C3335" s="2" t="s">
        <v>52</v>
      </c>
      <c r="D3335" s="2">
        <v>12</v>
      </c>
      <c r="E3335" s="2">
        <v>13.1</v>
      </c>
      <c r="P3335" s="3">
        <f>E3335*(VLOOKUP(B3335,Price_data!A$1:B$190,2,FALSE))</f>
        <v>12.871990639430001</v>
      </c>
      <c r="Q3335" s="3">
        <f>G3335*(VLOOKUP(B3335,Price_data!A$1:B$190,2,FALSE))</f>
        <v>0</v>
      </c>
      <c r="R3335" s="3">
        <f>I3335*(VLOOKUP(B3335,Price_data!A$1:B$190,2,FALSE))</f>
        <v>0</v>
      </c>
      <c r="S3335" s="4" t="str">
        <f>(VLOOKUP(B3335,Price_data!A$1:C$190,3,FALSE))</f>
        <v>EEZ</v>
      </c>
      <c r="T3335" s="2" t="str">
        <f>IF(C3335="Total", (VLOOKUP(B3335,Recommended_fish_intake!A$4:D$122,4,FALSE)), "NA")</f>
        <v>NA</v>
      </c>
      <c r="U3335" s="2" t="str">
        <f t="shared" si="366"/>
        <v>NA</v>
      </c>
    </row>
    <row r="3336" spans="1:21" ht="14.25" customHeight="1">
      <c r="A3336" s="2" t="s">
        <v>90</v>
      </c>
      <c r="B3336" s="2">
        <v>2001</v>
      </c>
      <c r="C3336" s="2" t="s">
        <v>30</v>
      </c>
      <c r="D3336" s="2">
        <v>2.1</v>
      </c>
      <c r="E3336" s="2">
        <v>3.2</v>
      </c>
      <c r="P3336" s="3">
        <f>E3336*(VLOOKUP(B3336,Price_data!A$1:B$190,2,FALSE))</f>
        <v>3.1443030569600001</v>
      </c>
      <c r="Q3336" s="3">
        <f>G3336*(VLOOKUP(B3336,Price_data!A$1:B$190,2,FALSE))</f>
        <v>0</v>
      </c>
      <c r="R3336" s="3">
        <f>I3336*(VLOOKUP(B3336,Price_data!A$1:B$190,2,FALSE))</f>
        <v>0</v>
      </c>
      <c r="S3336" s="4" t="str">
        <f>(VLOOKUP(B3336,Price_data!A$1:C$190,3,FALSE))</f>
        <v>EEZ</v>
      </c>
      <c r="T3336" s="2" t="str">
        <f>IF(C3336="Total", (VLOOKUP(B3336,Recommended_fish_intake!A$4:D$122,4,FALSE)), "NA")</f>
        <v>NA</v>
      </c>
      <c r="U3336" s="2" t="str">
        <f t="shared" si="366"/>
        <v>NA</v>
      </c>
    </row>
    <row r="3337" spans="1:21" ht="14.25" customHeight="1">
      <c r="A3337" s="2" t="s">
        <v>90</v>
      </c>
      <c r="B3337" s="2">
        <v>2001</v>
      </c>
      <c r="C3337" s="2" t="s">
        <v>28</v>
      </c>
      <c r="D3337" s="2">
        <v>77.7</v>
      </c>
      <c r="E3337" s="2">
        <v>64.599999999999994</v>
      </c>
      <c r="P3337" s="3">
        <f>E3337*(VLOOKUP(B3337,Price_data!A$1:B$190,2,FALSE))</f>
        <v>63.475617962379999</v>
      </c>
      <c r="Q3337" s="3">
        <f>G3337*(VLOOKUP(B3337,Price_data!A$1:B$190,2,FALSE))</f>
        <v>0</v>
      </c>
      <c r="R3337" s="3">
        <f>I3337*(VLOOKUP(B3337,Price_data!A$1:B$190,2,FALSE))</f>
        <v>0</v>
      </c>
      <c r="S3337" s="4" t="str">
        <f>(VLOOKUP(B3337,Price_data!A$1:C$190,3,FALSE))</f>
        <v>EEZ</v>
      </c>
      <c r="T3337" s="2" t="str">
        <f>IF(C3337="Total", (VLOOKUP(B3337,Recommended_fish_intake!A$4:D$122,4,FALSE)), "NA")</f>
        <v>NA</v>
      </c>
      <c r="U3337" s="2">
        <f t="shared" si="366"/>
        <v>21.756000000000004</v>
      </c>
    </row>
    <row r="3338" spans="1:21" ht="14.25" customHeight="1">
      <c r="A3338" s="2" t="s">
        <v>91</v>
      </c>
      <c r="B3338" s="2">
        <v>2001</v>
      </c>
      <c r="C3338" s="2" t="s">
        <v>22</v>
      </c>
      <c r="D3338" s="2">
        <v>0</v>
      </c>
      <c r="E3338" s="2">
        <v>0</v>
      </c>
      <c r="P3338" s="3">
        <f>E3338*(VLOOKUP(B3338,Price_data!A$1:B$190,2,FALSE))</f>
        <v>0</v>
      </c>
      <c r="Q3338" s="3">
        <f>G3338*(VLOOKUP(B3338,Price_data!A$1:B$190,2,FALSE))</f>
        <v>0</v>
      </c>
      <c r="R3338" s="3">
        <f>I3338*(VLOOKUP(B3338,Price_data!A$1:B$190,2,FALSE))</f>
        <v>0</v>
      </c>
      <c r="S3338" s="4" t="str">
        <f>(VLOOKUP(B3338,Price_data!A$1:C$190,3,FALSE))</f>
        <v>EEZ</v>
      </c>
      <c r="T3338" s="2" t="str">
        <f>IF(C3338="Total", (VLOOKUP(B3338,Recommended_fish_intake!A$4:D$122,4,FALSE)), "NA")</f>
        <v>NA</v>
      </c>
      <c r="U3338" s="2" t="str">
        <f t="shared" si="366"/>
        <v>NA</v>
      </c>
    </row>
    <row r="3339" spans="1:21" ht="14.25" customHeight="1">
      <c r="A3339" s="2" t="s">
        <v>91</v>
      </c>
      <c r="B3339" s="2">
        <v>2001</v>
      </c>
      <c r="C3339" s="2" t="s">
        <v>23</v>
      </c>
      <c r="D3339" s="2">
        <v>0</v>
      </c>
      <c r="E3339" s="2">
        <v>0</v>
      </c>
      <c r="P3339" s="3">
        <f>E3339*(VLOOKUP(B3339,Price_data!A$1:B$190,2,FALSE))</f>
        <v>0</v>
      </c>
      <c r="Q3339" s="3">
        <f>G3339*(VLOOKUP(B3339,Price_data!A$1:B$190,2,FALSE))</f>
        <v>0</v>
      </c>
      <c r="R3339" s="3">
        <f>I3339*(VLOOKUP(B3339,Price_data!A$1:B$190,2,FALSE))</f>
        <v>0</v>
      </c>
      <c r="S3339" s="4" t="str">
        <f>(VLOOKUP(B3339,Price_data!A$1:C$190,3,FALSE))</f>
        <v>EEZ</v>
      </c>
      <c r="T3339" s="2" t="str">
        <f>IF(C3339="Total", (VLOOKUP(B3339,Recommended_fish_intake!A$4:D$122,4,FALSE)), "NA")</f>
        <v>NA</v>
      </c>
      <c r="U3339" s="2" t="str">
        <f t="shared" si="366"/>
        <v>NA</v>
      </c>
    </row>
    <row r="3340" spans="1:21" ht="14.25" customHeight="1">
      <c r="A3340" s="2" t="s">
        <v>91</v>
      </c>
      <c r="B3340" s="2">
        <v>2001</v>
      </c>
      <c r="C3340" s="2" t="s">
        <v>58</v>
      </c>
      <c r="D3340" s="2">
        <v>0</v>
      </c>
      <c r="E3340" s="2">
        <v>0</v>
      </c>
      <c r="P3340" s="3">
        <f>E3340*(VLOOKUP(B3340,Price_data!A$1:B$190,2,FALSE))</f>
        <v>0</v>
      </c>
      <c r="Q3340" s="3">
        <f>G3340*(VLOOKUP(B3340,Price_data!A$1:B$190,2,FALSE))</f>
        <v>0</v>
      </c>
      <c r="R3340" s="3">
        <f>I3340*(VLOOKUP(B3340,Price_data!A$1:B$190,2,FALSE))</f>
        <v>0</v>
      </c>
      <c r="S3340" s="4" t="str">
        <f>(VLOOKUP(B3340,Price_data!A$1:C$190,3,FALSE))</f>
        <v>EEZ</v>
      </c>
      <c r="T3340" s="2" t="str">
        <f>IF(C3340="Total", (VLOOKUP(B3340,Recommended_fish_intake!A$4:D$122,4,FALSE)), "NA")</f>
        <v>NA</v>
      </c>
      <c r="U3340" s="2" t="str">
        <f t="shared" si="366"/>
        <v>NA</v>
      </c>
    </row>
    <row r="3341" spans="1:21" ht="14.25" customHeight="1">
      <c r="A3341" s="2" t="s">
        <v>91</v>
      </c>
      <c r="B3341" s="2">
        <v>2001</v>
      </c>
      <c r="C3341" s="2" t="s">
        <v>24</v>
      </c>
      <c r="D3341" s="2">
        <v>0</v>
      </c>
      <c r="E3341" s="2">
        <v>0</v>
      </c>
      <c r="P3341" s="3">
        <f>E3341*(VLOOKUP(B3341,Price_data!A$1:B$190,2,FALSE))</f>
        <v>0</v>
      </c>
      <c r="Q3341" s="3">
        <f>G3341*(VLOOKUP(B3341,Price_data!A$1:B$190,2,FALSE))</f>
        <v>0</v>
      </c>
      <c r="R3341" s="3">
        <f>I3341*(VLOOKUP(B3341,Price_data!A$1:B$190,2,FALSE))</f>
        <v>0</v>
      </c>
      <c r="S3341" s="4" t="str">
        <f>(VLOOKUP(B3341,Price_data!A$1:C$190,3,FALSE))</f>
        <v>EEZ</v>
      </c>
      <c r="T3341" s="2" t="str">
        <f>IF(C3341="Total", (VLOOKUP(B3341,Recommended_fish_intake!A$4:D$122,4,FALSE)), "NA")</f>
        <v>NA</v>
      </c>
      <c r="U3341" s="2" t="str">
        <f t="shared" si="366"/>
        <v>NA</v>
      </c>
    </row>
    <row r="3342" spans="1:21" ht="14.25" customHeight="1">
      <c r="A3342" s="2" t="s">
        <v>91</v>
      </c>
      <c r="B3342" s="2">
        <v>2001</v>
      </c>
      <c r="C3342" s="2" t="s">
        <v>41</v>
      </c>
      <c r="D3342" s="2">
        <v>0</v>
      </c>
      <c r="E3342" s="2">
        <v>0</v>
      </c>
      <c r="P3342" s="3">
        <f>E3342*(VLOOKUP(B3342,Price_data!A$1:B$190,2,FALSE))</f>
        <v>0</v>
      </c>
      <c r="Q3342" s="3">
        <f>G3342*(VLOOKUP(B3342,Price_data!A$1:B$190,2,FALSE))</f>
        <v>0</v>
      </c>
      <c r="R3342" s="3">
        <f>I3342*(VLOOKUP(B3342,Price_data!A$1:B$190,2,FALSE))</f>
        <v>0</v>
      </c>
      <c r="S3342" s="4" t="str">
        <f>(VLOOKUP(B3342,Price_data!A$1:C$190,3,FALSE))</f>
        <v>EEZ</v>
      </c>
      <c r="T3342" s="2" t="str">
        <f>IF(C3342="Total", (VLOOKUP(B3342,Recommended_fish_intake!A$4:D$122,4,FALSE)), "NA")</f>
        <v>NA</v>
      </c>
      <c r="U3342" s="2" t="str">
        <f t="shared" si="366"/>
        <v>NA</v>
      </c>
    </row>
    <row r="3343" spans="1:21" ht="14.25" customHeight="1">
      <c r="A3343" s="2" t="s">
        <v>91</v>
      </c>
      <c r="B3343" s="2">
        <v>2001</v>
      </c>
      <c r="C3343" s="2" t="s">
        <v>19</v>
      </c>
      <c r="D3343" s="2">
        <v>0</v>
      </c>
      <c r="E3343" s="2">
        <v>0</v>
      </c>
      <c r="P3343" s="3">
        <f>E3343*(VLOOKUP(B3343,Price_data!A$1:B$190,2,FALSE))</f>
        <v>0</v>
      </c>
      <c r="Q3343" s="3">
        <f>G3343*(VLOOKUP(B3343,Price_data!A$1:B$190,2,FALSE))</f>
        <v>0</v>
      </c>
      <c r="R3343" s="3">
        <f>I3343*(VLOOKUP(B3343,Price_data!A$1:B$190,2,FALSE))</f>
        <v>0</v>
      </c>
      <c r="S3343" s="4" t="str">
        <f>(VLOOKUP(B3343,Price_data!A$1:C$190,3,FALSE))</f>
        <v>EEZ</v>
      </c>
      <c r="T3343" s="2" t="str">
        <f>IF(C3343="Total", (VLOOKUP(B3343,Recommended_fish_intake!A$4:D$122,4,FALSE)), "NA")</f>
        <v>NA</v>
      </c>
      <c r="U3343" s="2" t="str">
        <f t="shared" si="366"/>
        <v>NA</v>
      </c>
    </row>
    <row r="3344" spans="1:21" ht="14.25" customHeight="1">
      <c r="A3344" s="2" t="s">
        <v>91</v>
      </c>
      <c r="B3344" s="2">
        <v>2001</v>
      </c>
      <c r="C3344" s="2" t="s">
        <v>20</v>
      </c>
      <c r="D3344" s="2">
        <v>0</v>
      </c>
      <c r="E3344" s="2">
        <v>0</v>
      </c>
      <c r="P3344" s="3">
        <f>E3344*(VLOOKUP(B3344,Price_data!A$1:B$190,2,FALSE))</f>
        <v>0</v>
      </c>
      <c r="Q3344" s="3">
        <f>G3344*(VLOOKUP(B3344,Price_data!A$1:B$190,2,FALSE))</f>
        <v>0</v>
      </c>
      <c r="R3344" s="3">
        <f>I3344*(VLOOKUP(B3344,Price_data!A$1:B$190,2,FALSE))</f>
        <v>0</v>
      </c>
      <c r="S3344" s="4" t="str">
        <f>(VLOOKUP(B3344,Price_data!A$1:C$190,3,FALSE))</f>
        <v>EEZ</v>
      </c>
      <c r="T3344" s="2" t="str">
        <f>IF(C3344="Total", (VLOOKUP(B3344,Recommended_fish_intake!A$4:D$122,4,FALSE)), "NA")</f>
        <v>NA</v>
      </c>
      <c r="U3344" s="2" t="str">
        <f t="shared" si="366"/>
        <v>NA</v>
      </c>
    </row>
    <row r="3345" spans="1:21" ht="14.25" customHeight="1">
      <c r="A3345" s="2" t="s">
        <v>91</v>
      </c>
      <c r="B3345" s="2">
        <v>2001</v>
      </c>
      <c r="C3345" s="2" t="s">
        <v>42</v>
      </c>
      <c r="D3345" s="2">
        <v>0</v>
      </c>
      <c r="E3345" s="2">
        <v>0</v>
      </c>
      <c r="P3345" s="3">
        <f>E3345*(VLOOKUP(B3345,Price_data!A$1:B$190,2,FALSE))</f>
        <v>0</v>
      </c>
      <c r="Q3345" s="3">
        <f>G3345*(VLOOKUP(B3345,Price_data!A$1:B$190,2,FALSE))</f>
        <v>0</v>
      </c>
      <c r="R3345" s="3">
        <f>I3345*(VLOOKUP(B3345,Price_data!A$1:B$190,2,FALSE))</f>
        <v>0</v>
      </c>
      <c r="S3345" s="4" t="str">
        <f>(VLOOKUP(B3345,Price_data!A$1:C$190,3,FALSE))</f>
        <v>EEZ</v>
      </c>
      <c r="T3345" s="2" t="str">
        <f>IF(C3345="Total", (VLOOKUP(B3345,Recommended_fish_intake!A$4:D$122,4,FALSE)), "NA")</f>
        <v>NA</v>
      </c>
      <c r="U3345" s="2" t="str">
        <f t="shared" si="366"/>
        <v>NA</v>
      </c>
    </row>
    <row r="3346" spans="1:21" ht="14.25" customHeight="1">
      <c r="A3346" s="2" t="s">
        <v>91</v>
      </c>
      <c r="B3346" s="2">
        <v>2001</v>
      </c>
      <c r="C3346" s="2" t="s">
        <v>36</v>
      </c>
      <c r="D3346" s="2">
        <v>0</v>
      </c>
      <c r="E3346" s="2">
        <v>0</v>
      </c>
      <c r="P3346" s="3">
        <f>E3346*(VLOOKUP(B3346,Price_data!A$1:B$190,2,FALSE))</f>
        <v>0</v>
      </c>
      <c r="Q3346" s="3">
        <f>G3346*(VLOOKUP(B3346,Price_data!A$1:B$190,2,FALSE))</f>
        <v>0</v>
      </c>
      <c r="R3346" s="3">
        <f>I3346*(VLOOKUP(B3346,Price_data!A$1:B$190,2,FALSE))</f>
        <v>0</v>
      </c>
      <c r="S3346" s="4" t="str">
        <f>(VLOOKUP(B3346,Price_data!A$1:C$190,3,FALSE))</f>
        <v>EEZ</v>
      </c>
      <c r="T3346" s="2" t="str">
        <f>IF(C3346="Total", (VLOOKUP(B3346,Recommended_fish_intake!A$4:D$122,4,FALSE)), "NA")</f>
        <v>NA</v>
      </c>
      <c r="U3346" s="2" t="str">
        <f t="shared" si="366"/>
        <v>NA</v>
      </c>
    </row>
    <row r="3347" spans="1:21" ht="14.25" customHeight="1">
      <c r="A3347" s="2" t="s">
        <v>91</v>
      </c>
      <c r="B3347" s="2">
        <v>2001</v>
      </c>
      <c r="C3347" s="2" t="s">
        <v>34</v>
      </c>
      <c r="D3347" s="2">
        <v>0</v>
      </c>
      <c r="E3347" s="2">
        <v>0</v>
      </c>
      <c r="P3347" s="3">
        <f>E3347*(VLOOKUP(B3347,Price_data!A$1:B$190,2,FALSE))</f>
        <v>0</v>
      </c>
      <c r="Q3347" s="3">
        <f>G3347*(VLOOKUP(B3347,Price_data!A$1:B$190,2,FALSE))</f>
        <v>0</v>
      </c>
      <c r="R3347" s="3">
        <f>I3347*(VLOOKUP(B3347,Price_data!A$1:B$190,2,FALSE))</f>
        <v>0</v>
      </c>
      <c r="S3347" s="4" t="str">
        <f>(VLOOKUP(B3347,Price_data!A$1:C$190,3,FALSE))</f>
        <v>EEZ</v>
      </c>
      <c r="T3347" s="2" t="str">
        <f>IF(C3347="Total", (VLOOKUP(B3347,Recommended_fish_intake!A$4:D$122,4,FALSE)), "NA")</f>
        <v>NA</v>
      </c>
      <c r="U3347" s="2" t="str">
        <f t="shared" si="366"/>
        <v>NA</v>
      </c>
    </row>
    <row r="3348" spans="1:21" ht="14.25" customHeight="1">
      <c r="A3348" s="2" t="s">
        <v>91</v>
      </c>
      <c r="B3348" s="2">
        <v>2001</v>
      </c>
      <c r="C3348" s="2" t="s">
        <v>35</v>
      </c>
      <c r="D3348" s="2">
        <v>0</v>
      </c>
      <c r="E3348" s="2">
        <v>0</v>
      </c>
      <c r="P3348" s="3">
        <f>E3348*(VLOOKUP(B3348,Price_data!A$1:B$190,2,FALSE))</f>
        <v>0</v>
      </c>
      <c r="Q3348" s="3">
        <f>G3348*(VLOOKUP(B3348,Price_data!A$1:B$190,2,FALSE))</f>
        <v>0</v>
      </c>
      <c r="R3348" s="3">
        <f>I3348*(VLOOKUP(B3348,Price_data!A$1:B$190,2,FALSE))</f>
        <v>0</v>
      </c>
      <c r="S3348" s="4" t="str">
        <f>(VLOOKUP(B3348,Price_data!A$1:C$190,3,FALSE))</f>
        <v>EEZ</v>
      </c>
      <c r="T3348" s="2" t="str">
        <f>IF(C3348="Total", (VLOOKUP(B3348,Recommended_fish_intake!A$4:D$122,4,FALSE)), "NA")</f>
        <v>NA</v>
      </c>
      <c r="U3348" s="2" t="str">
        <f t="shared" si="366"/>
        <v>NA</v>
      </c>
    </row>
    <row r="3349" spans="1:21" ht="14.25" customHeight="1">
      <c r="A3349" s="2" t="s">
        <v>91</v>
      </c>
      <c r="B3349" s="2">
        <v>2001</v>
      </c>
      <c r="C3349" s="2" t="s">
        <v>52</v>
      </c>
      <c r="D3349" s="2">
        <v>0</v>
      </c>
      <c r="E3349" s="2">
        <v>0</v>
      </c>
      <c r="P3349" s="3">
        <f>E3349*(VLOOKUP(B3349,Price_data!A$1:B$190,2,FALSE))</f>
        <v>0</v>
      </c>
      <c r="Q3349" s="3">
        <f>G3349*(VLOOKUP(B3349,Price_data!A$1:B$190,2,FALSE))</f>
        <v>0</v>
      </c>
      <c r="R3349" s="3">
        <f>I3349*(VLOOKUP(B3349,Price_data!A$1:B$190,2,FALSE))</f>
        <v>0</v>
      </c>
      <c r="S3349" s="4" t="str">
        <f>(VLOOKUP(B3349,Price_data!A$1:C$190,3,FALSE))</f>
        <v>EEZ</v>
      </c>
      <c r="T3349" s="2" t="str">
        <f>IF(C3349="Total", (VLOOKUP(B3349,Recommended_fish_intake!A$4:D$122,4,FALSE)), "NA")</f>
        <v>NA</v>
      </c>
      <c r="U3349" s="2" t="str">
        <f t="shared" si="366"/>
        <v>NA</v>
      </c>
    </row>
    <row r="3350" spans="1:21" ht="14.25" customHeight="1">
      <c r="A3350" s="2" t="s">
        <v>91</v>
      </c>
      <c r="B3350" s="2">
        <v>2001</v>
      </c>
      <c r="C3350" s="2" t="s">
        <v>30</v>
      </c>
      <c r="D3350" s="2">
        <v>0</v>
      </c>
      <c r="E3350" s="2">
        <v>0</v>
      </c>
      <c r="P3350" s="3">
        <f>E3350*(VLOOKUP(B3350,Price_data!A$1:B$190,2,FALSE))</f>
        <v>0</v>
      </c>
      <c r="Q3350" s="3">
        <f>G3350*(VLOOKUP(B3350,Price_data!A$1:B$190,2,FALSE))</f>
        <v>0</v>
      </c>
      <c r="R3350" s="3">
        <f>I3350*(VLOOKUP(B3350,Price_data!A$1:B$190,2,FALSE))</f>
        <v>0</v>
      </c>
      <c r="S3350" s="4" t="str">
        <f>(VLOOKUP(B3350,Price_data!A$1:C$190,3,FALSE))</f>
        <v>EEZ</v>
      </c>
      <c r="T3350" s="2" t="str">
        <f>IF(C3350="Total", (VLOOKUP(B3350,Recommended_fish_intake!A$4:D$122,4,FALSE)), "NA")</f>
        <v>NA</v>
      </c>
      <c r="U3350" s="2" t="str">
        <f t="shared" si="366"/>
        <v>NA</v>
      </c>
    </row>
    <row r="3351" spans="1:21" ht="14.25" customHeight="1">
      <c r="A3351" s="2" t="s">
        <v>91</v>
      </c>
      <c r="B3351" s="2">
        <v>2001</v>
      </c>
      <c r="C3351" s="2" t="s">
        <v>28</v>
      </c>
      <c r="D3351" s="2">
        <v>0</v>
      </c>
      <c r="E3351" s="2">
        <v>0</v>
      </c>
      <c r="P3351" s="3">
        <f>E3351*(VLOOKUP(B3351,Price_data!A$1:B$190,2,FALSE))</f>
        <v>0</v>
      </c>
      <c r="Q3351" s="3">
        <f>G3351*(VLOOKUP(B3351,Price_data!A$1:B$190,2,FALSE))</f>
        <v>0</v>
      </c>
      <c r="R3351" s="3">
        <f>I3351*(VLOOKUP(B3351,Price_data!A$1:B$190,2,FALSE))</f>
        <v>0</v>
      </c>
      <c r="S3351" s="4" t="str">
        <f>(VLOOKUP(B3351,Price_data!A$1:C$190,3,FALSE))</f>
        <v>EEZ</v>
      </c>
      <c r="T3351" s="2" t="str">
        <f>IF(C3351="Total", (VLOOKUP(B3351,Recommended_fish_intake!A$4:D$122,4,FALSE)), "NA")</f>
        <v>NA</v>
      </c>
      <c r="U3351" s="2">
        <f t="shared" si="366"/>
        <v>0</v>
      </c>
    </row>
    <row r="3352" spans="1:21" ht="14.25" customHeight="1">
      <c r="A3352" s="2" t="s">
        <v>39</v>
      </c>
      <c r="B3352" s="2">
        <v>2001</v>
      </c>
      <c r="C3352" s="2" t="s">
        <v>22</v>
      </c>
      <c r="D3352" s="2">
        <v>17.382999999999999</v>
      </c>
      <c r="E3352" s="2">
        <v>23.558</v>
      </c>
      <c r="P3352" s="3">
        <f>E3352*(VLOOKUP(B3352,Price_data!A$1:B$190,2,FALSE))</f>
        <v>23.1479660674574</v>
      </c>
      <c r="Q3352" s="3">
        <f>G3352*(VLOOKUP(B3352,Price_data!A$1:B$190,2,FALSE))</f>
        <v>0</v>
      </c>
      <c r="R3352" s="3">
        <f>I3352*(VLOOKUP(B3352,Price_data!A$1:B$190,2,FALSE))</f>
        <v>0</v>
      </c>
      <c r="S3352" s="4" t="str">
        <f>(VLOOKUP(B3352,Price_data!A$1:C$190,3,FALSE))</f>
        <v>EEZ</v>
      </c>
      <c r="T3352" s="2" t="str">
        <f>IF(C3352="Total", (VLOOKUP(B3352,Recommended_fish_intake!A$4:D$122,4,FALSE)), "NA")</f>
        <v>NA</v>
      </c>
      <c r="U3352" s="2" t="str">
        <f t="shared" si="366"/>
        <v>NA</v>
      </c>
    </row>
    <row r="3353" spans="1:21" ht="14.25" customHeight="1">
      <c r="A3353" s="2" t="s">
        <v>39</v>
      </c>
      <c r="B3353" s="2">
        <v>2001</v>
      </c>
      <c r="C3353" s="2" t="s">
        <v>23</v>
      </c>
      <c r="D3353" s="2">
        <v>36.457999999999998</v>
      </c>
      <c r="E3353" s="2">
        <v>31.167000000000002</v>
      </c>
      <c r="P3353" s="3">
        <f>E3353*(VLOOKUP(B3353,Price_data!A$1:B$190,2,FALSE))</f>
        <v>30.624529180085101</v>
      </c>
      <c r="Q3353" s="3">
        <f>G3353*(VLOOKUP(B3353,Price_data!A$1:B$190,2,FALSE))</f>
        <v>0</v>
      </c>
      <c r="R3353" s="3">
        <f>I3353*(VLOOKUP(B3353,Price_data!A$1:B$190,2,FALSE))</f>
        <v>0</v>
      </c>
      <c r="S3353" s="4" t="str">
        <f>(VLOOKUP(B3353,Price_data!A$1:C$190,3,FALSE))</f>
        <v>EEZ</v>
      </c>
      <c r="T3353" s="2" t="str">
        <f>IF(C3353="Total", (VLOOKUP(B3353,Recommended_fish_intake!A$4:D$122,4,FALSE)), "NA")</f>
        <v>NA</v>
      </c>
      <c r="U3353" s="2" t="str">
        <f t="shared" si="366"/>
        <v>NA</v>
      </c>
    </row>
    <row r="3354" spans="1:21" ht="14.25" customHeight="1">
      <c r="A3354" s="2" t="s">
        <v>39</v>
      </c>
      <c r="B3354" s="2">
        <v>2001</v>
      </c>
      <c r="C3354" s="2" t="s">
        <v>58</v>
      </c>
      <c r="D3354" s="2">
        <v>11.847</v>
      </c>
      <c r="E3354" s="2">
        <v>26.46</v>
      </c>
      <c r="P3354" s="3">
        <f>E3354*(VLOOKUP(B3354,Price_data!A$1:B$190,2,FALSE))</f>
        <v>25.999455902238001</v>
      </c>
      <c r="Q3354" s="3">
        <f>G3354*(VLOOKUP(B3354,Price_data!A$1:B$190,2,FALSE))</f>
        <v>0</v>
      </c>
      <c r="R3354" s="3">
        <f>I3354*(VLOOKUP(B3354,Price_data!A$1:B$190,2,FALSE))</f>
        <v>0</v>
      </c>
      <c r="S3354" s="4" t="str">
        <f>(VLOOKUP(B3354,Price_data!A$1:C$190,3,FALSE))</f>
        <v>EEZ</v>
      </c>
      <c r="T3354" s="2" t="str">
        <f>IF(C3354="Total", (VLOOKUP(B3354,Recommended_fish_intake!A$4:D$122,4,FALSE)), "NA")</f>
        <v>NA</v>
      </c>
      <c r="U3354" s="2" t="str">
        <f t="shared" si="366"/>
        <v>NA</v>
      </c>
    </row>
    <row r="3355" spans="1:21" ht="14.25" customHeight="1">
      <c r="A3355" s="2" t="s">
        <v>39</v>
      </c>
      <c r="B3355" s="2">
        <v>2001</v>
      </c>
      <c r="C3355" s="2" t="s">
        <v>24</v>
      </c>
      <c r="D3355" s="2">
        <v>12.266</v>
      </c>
      <c r="E3355" s="2">
        <v>8.266</v>
      </c>
      <c r="P3355" s="3">
        <f>E3355*(VLOOKUP(B3355,Price_data!A$1:B$190,2,FALSE))</f>
        <v>8.1221278340098007</v>
      </c>
      <c r="Q3355" s="3">
        <f>G3355*(VLOOKUP(B3355,Price_data!A$1:B$190,2,FALSE))</f>
        <v>0</v>
      </c>
      <c r="R3355" s="3">
        <f>I3355*(VLOOKUP(B3355,Price_data!A$1:B$190,2,FALSE))</f>
        <v>0</v>
      </c>
      <c r="S3355" s="4" t="str">
        <f>(VLOOKUP(B3355,Price_data!A$1:C$190,3,FALSE))</f>
        <v>EEZ</v>
      </c>
      <c r="T3355" s="2" t="str">
        <f>IF(C3355="Total", (VLOOKUP(B3355,Recommended_fish_intake!A$4:D$122,4,FALSE)), "NA")</f>
        <v>NA</v>
      </c>
      <c r="U3355" s="2" t="str">
        <f t="shared" si="366"/>
        <v>NA</v>
      </c>
    </row>
    <row r="3356" spans="1:21" ht="14.25" customHeight="1">
      <c r="A3356" s="2" t="s">
        <v>39</v>
      </c>
      <c r="B3356" s="2">
        <v>2001</v>
      </c>
      <c r="C3356" s="2" t="s">
        <v>41</v>
      </c>
      <c r="D3356" s="2">
        <v>121.788</v>
      </c>
      <c r="E3356" s="2">
        <v>132.59</v>
      </c>
      <c r="P3356" s="3">
        <f>E3356*(VLOOKUP(B3356,Price_data!A$1:B$190,2,FALSE))</f>
        <v>130.282231975727</v>
      </c>
      <c r="Q3356" s="3">
        <f>G3356*(VLOOKUP(B3356,Price_data!A$1:B$190,2,FALSE))</f>
        <v>0</v>
      </c>
      <c r="R3356" s="3">
        <f>I3356*(VLOOKUP(B3356,Price_data!A$1:B$190,2,FALSE))</f>
        <v>0</v>
      </c>
      <c r="S3356" s="4" t="str">
        <f>(VLOOKUP(B3356,Price_data!A$1:C$190,3,FALSE))</f>
        <v>EEZ</v>
      </c>
      <c r="T3356" s="2" t="str">
        <f>IF(C3356="Total", (VLOOKUP(B3356,Recommended_fish_intake!A$4:D$122,4,FALSE)), "NA")</f>
        <v>NA</v>
      </c>
      <c r="U3356" s="2" t="str">
        <f t="shared" si="366"/>
        <v>NA</v>
      </c>
    </row>
    <row r="3357" spans="1:21" ht="14.25" customHeight="1">
      <c r="A3357" s="2" t="s">
        <v>39</v>
      </c>
      <c r="B3357" s="2">
        <v>2001</v>
      </c>
      <c r="C3357" s="2" t="s">
        <v>19</v>
      </c>
      <c r="D3357" s="2">
        <v>35.957000000000001</v>
      </c>
      <c r="E3357" s="2">
        <v>8.6140000000000008</v>
      </c>
      <c r="P3357" s="3">
        <f>E3357*(VLOOKUP(B3357,Price_data!A$1:B$190,2,FALSE))</f>
        <v>8.4640707914542013</v>
      </c>
      <c r="Q3357" s="3">
        <f>G3357*(VLOOKUP(B3357,Price_data!A$1:B$190,2,FALSE))</f>
        <v>0</v>
      </c>
      <c r="R3357" s="3">
        <f>I3357*(VLOOKUP(B3357,Price_data!A$1:B$190,2,FALSE))</f>
        <v>0</v>
      </c>
      <c r="S3357" s="4" t="str">
        <f>(VLOOKUP(B3357,Price_data!A$1:C$190,3,FALSE))</f>
        <v>EEZ</v>
      </c>
      <c r="T3357" s="2" t="str">
        <f>IF(C3357="Total", (VLOOKUP(B3357,Recommended_fish_intake!A$4:D$122,4,FALSE)), "NA")</f>
        <v>NA</v>
      </c>
      <c r="U3357" s="2" t="str">
        <f t="shared" si="366"/>
        <v>NA</v>
      </c>
    </row>
    <row r="3358" spans="1:21" ht="14.25" customHeight="1">
      <c r="A3358" s="2" t="s">
        <v>39</v>
      </c>
      <c r="B3358" s="2">
        <v>2001</v>
      </c>
      <c r="C3358" s="2" t="s">
        <v>20</v>
      </c>
      <c r="D3358" s="2">
        <v>54.947000000000003</v>
      </c>
      <c r="E3358" s="2">
        <v>21.084</v>
      </c>
      <c r="P3358" s="3">
        <f>E3358*(VLOOKUP(B3358,Price_data!A$1:B$190,2,FALSE))</f>
        <v>20.717026766545199</v>
      </c>
      <c r="Q3358" s="3">
        <f>G3358*(VLOOKUP(B3358,Price_data!A$1:B$190,2,FALSE))</f>
        <v>0</v>
      </c>
      <c r="R3358" s="3">
        <f>I3358*(VLOOKUP(B3358,Price_data!A$1:B$190,2,FALSE))</f>
        <v>0</v>
      </c>
      <c r="S3358" s="4" t="str">
        <f>(VLOOKUP(B3358,Price_data!A$1:C$190,3,FALSE))</f>
        <v>EEZ</v>
      </c>
      <c r="T3358" s="2" t="str">
        <f>IF(C3358="Total", (VLOOKUP(B3358,Recommended_fish_intake!A$4:D$122,4,FALSE)), "NA")</f>
        <v>NA</v>
      </c>
      <c r="U3358" s="2" t="str">
        <f t="shared" si="366"/>
        <v>NA</v>
      </c>
    </row>
    <row r="3359" spans="1:21" ht="14.25" customHeight="1">
      <c r="A3359" s="2" t="s">
        <v>39</v>
      </c>
      <c r="B3359" s="2">
        <v>2001</v>
      </c>
      <c r="C3359" s="2" t="s">
        <v>42</v>
      </c>
      <c r="D3359" s="2">
        <v>116.438</v>
      </c>
      <c r="E3359" s="2">
        <v>31.6</v>
      </c>
      <c r="P3359" s="3">
        <f>E3359*(VLOOKUP(B3359,Price_data!A$1:B$190,2,FALSE))</f>
        <v>31.049992687480003</v>
      </c>
      <c r="Q3359" s="3">
        <f>G3359*(VLOOKUP(B3359,Price_data!A$1:B$190,2,FALSE))</f>
        <v>0</v>
      </c>
      <c r="R3359" s="3">
        <f>I3359*(VLOOKUP(B3359,Price_data!A$1:B$190,2,FALSE))</f>
        <v>0</v>
      </c>
      <c r="S3359" s="4" t="str">
        <f>(VLOOKUP(B3359,Price_data!A$1:C$190,3,FALSE))</f>
        <v>EEZ</v>
      </c>
      <c r="T3359" s="2" t="str">
        <f>IF(C3359="Total", (VLOOKUP(B3359,Recommended_fish_intake!A$4:D$122,4,FALSE)), "NA")</f>
        <v>NA</v>
      </c>
      <c r="U3359" s="2" t="str">
        <f t="shared" si="366"/>
        <v>NA</v>
      </c>
    </row>
    <row r="3360" spans="1:21" ht="14.25" customHeight="1">
      <c r="A3360" s="2" t="s">
        <v>39</v>
      </c>
      <c r="B3360" s="2">
        <v>2001</v>
      </c>
      <c r="C3360" s="2" t="s">
        <v>36</v>
      </c>
      <c r="D3360" s="2">
        <v>11.146000000000001</v>
      </c>
      <c r="E3360" s="2">
        <v>12.920999999999999</v>
      </c>
      <c r="P3360" s="3">
        <f>E3360*(VLOOKUP(B3360,Price_data!A$1:B$190,2,FALSE))</f>
        <v>12.6961061871813</v>
      </c>
      <c r="Q3360" s="3">
        <f>G3360*(VLOOKUP(B3360,Price_data!A$1:B$190,2,FALSE))</f>
        <v>0</v>
      </c>
      <c r="R3360" s="3">
        <f>I3360*(VLOOKUP(B3360,Price_data!A$1:B$190,2,FALSE))</f>
        <v>0</v>
      </c>
      <c r="S3360" s="4" t="str">
        <f>(VLOOKUP(B3360,Price_data!A$1:C$190,3,FALSE))</f>
        <v>EEZ</v>
      </c>
      <c r="T3360" s="2" t="str">
        <f>IF(C3360="Total", (VLOOKUP(B3360,Recommended_fish_intake!A$4:D$122,4,FALSE)), "NA")</f>
        <v>NA</v>
      </c>
      <c r="U3360" s="2" t="str">
        <f t="shared" si="366"/>
        <v>NA</v>
      </c>
    </row>
    <row r="3361" spans="1:21" ht="14.25" customHeight="1">
      <c r="A3361" s="2" t="s">
        <v>39</v>
      </c>
      <c r="B3361" s="2">
        <v>2001</v>
      </c>
      <c r="C3361" s="2" t="s">
        <v>34</v>
      </c>
      <c r="D3361" s="2">
        <v>0.31</v>
      </c>
      <c r="E3361" s="2">
        <v>3.5219999999999998</v>
      </c>
      <c r="P3361" s="3">
        <f>E3361*(VLOOKUP(B3361,Price_data!A$1:B$190,2,FALSE))</f>
        <v>3.4606985520665998</v>
      </c>
      <c r="Q3361" s="3">
        <f>G3361*(VLOOKUP(B3361,Price_data!A$1:B$190,2,FALSE))</f>
        <v>0</v>
      </c>
      <c r="R3361" s="3">
        <f>I3361*(VLOOKUP(B3361,Price_data!A$1:B$190,2,FALSE))</f>
        <v>0</v>
      </c>
      <c r="S3361" s="4" t="str">
        <f>(VLOOKUP(B3361,Price_data!A$1:C$190,3,FALSE))</f>
        <v>EEZ</v>
      </c>
      <c r="T3361" s="2" t="str">
        <f>IF(C3361="Total", (VLOOKUP(B3361,Recommended_fish_intake!A$4:D$122,4,FALSE)), "NA")</f>
        <v>NA</v>
      </c>
      <c r="U3361" s="2" t="str">
        <f t="shared" si="366"/>
        <v>NA</v>
      </c>
    </row>
    <row r="3362" spans="1:21" ht="14.25" customHeight="1">
      <c r="A3362" s="2" t="s">
        <v>39</v>
      </c>
      <c r="B3362" s="2">
        <v>2001</v>
      </c>
      <c r="C3362" s="2" t="s">
        <v>35</v>
      </c>
      <c r="D3362" s="2">
        <v>20.282</v>
      </c>
      <c r="E3362" s="2">
        <v>53.055</v>
      </c>
      <c r="P3362" s="3">
        <f>E3362*(VLOOKUP(B3362,Price_data!A$1:B$190,2,FALSE))</f>
        <v>52.131562089691499</v>
      </c>
      <c r="Q3362" s="3">
        <f>G3362*(VLOOKUP(B3362,Price_data!A$1:B$190,2,FALSE))</f>
        <v>0</v>
      </c>
      <c r="R3362" s="3">
        <f>I3362*(VLOOKUP(B3362,Price_data!A$1:B$190,2,FALSE))</f>
        <v>0</v>
      </c>
      <c r="S3362" s="4" t="str">
        <f>(VLOOKUP(B3362,Price_data!A$1:C$190,3,FALSE))</f>
        <v>EEZ</v>
      </c>
      <c r="T3362" s="2" t="str">
        <f>IF(C3362="Total", (VLOOKUP(B3362,Recommended_fish_intake!A$4:D$122,4,FALSE)), "NA")</f>
        <v>NA</v>
      </c>
      <c r="U3362" s="2" t="str">
        <f t="shared" si="366"/>
        <v>NA</v>
      </c>
    </row>
    <row r="3363" spans="1:21" ht="14.25" customHeight="1">
      <c r="A3363" s="2" t="s">
        <v>39</v>
      </c>
      <c r="B3363" s="2">
        <v>2001</v>
      </c>
      <c r="C3363" s="2" t="s">
        <v>52</v>
      </c>
      <c r="D3363" s="2">
        <v>15.33</v>
      </c>
      <c r="E3363" s="2">
        <v>19.527000000000001</v>
      </c>
      <c r="P3363" s="3">
        <f>E3363*(VLOOKUP(B3363,Price_data!A$1:B$190,2,FALSE))</f>
        <v>19.187126810393103</v>
      </c>
      <c r="Q3363" s="3">
        <f>G3363*(VLOOKUP(B3363,Price_data!A$1:B$190,2,FALSE))</f>
        <v>0</v>
      </c>
      <c r="R3363" s="3">
        <f>I3363*(VLOOKUP(B3363,Price_data!A$1:B$190,2,FALSE))</f>
        <v>0</v>
      </c>
      <c r="S3363" s="4" t="str">
        <f>(VLOOKUP(B3363,Price_data!A$1:C$190,3,FALSE))</f>
        <v>EEZ</v>
      </c>
      <c r="T3363" s="2" t="str">
        <f>IF(C3363="Total", (VLOOKUP(B3363,Recommended_fish_intake!A$4:D$122,4,FALSE)), "NA")</f>
        <v>NA</v>
      </c>
      <c r="U3363" s="2" t="str">
        <f t="shared" si="366"/>
        <v>NA</v>
      </c>
    </row>
    <row r="3364" spans="1:21" ht="14.25" customHeight="1">
      <c r="A3364" s="2" t="s">
        <v>39</v>
      </c>
      <c r="B3364" s="2">
        <v>2001</v>
      </c>
      <c r="C3364" s="2" t="s">
        <v>30</v>
      </c>
      <c r="D3364" s="2">
        <v>0.442</v>
      </c>
      <c r="E3364" s="2">
        <v>0.36699999999999999</v>
      </c>
      <c r="P3364" s="3">
        <f>E3364*(VLOOKUP(B3364,Price_data!A$1:B$190,2,FALSE))</f>
        <v>0.36061225684510001</v>
      </c>
      <c r="Q3364" s="3">
        <f>G3364*(VLOOKUP(B3364,Price_data!A$1:B$190,2,FALSE))</f>
        <v>0</v>
      </c>
      <c r="R3364" s="3">
        <f>I3364*(VLOOKUP(B3364,Price_data!A$1:B$190,2,FALSE))</f>
        <v>0</v>
      </c>
      <c r="S3364" s="4" t="str">
        <f>(VLOOKUP(B3364,Price_data!A$1:C$190,3,FALSE))</f>
        <v>EEZ</v>
      </c>
      <c r="T3364" s="2" t="str">
        <f>IF(C3364="Total", (VLOOKUP(B3364,Recommended_fish_intake!A$4:D$122,4,FALSE)), "NA")</f>
        <v>NA</v>
      </c>
      <c r="U3364" s="2" t="str">
        <f t="shared" si="366"/>
        <v>NA</v>
      </c>
    </row>
    <row r="3365" spans="1:21" ht="14.25" customHeight="1">
      <c r="A3365" s="2" t="s">
        <v>39</v>
      </c>
      <c r="B3365" s="2">
        <v>2001</v>
      </c>
      <c r="C3365" s="2" t="s">
        <v>28</v>
      </c>
      <c r="D3365" s="2">
        <v>51.494999999999997</v>
      </c>
      <c r="E3365" s="2">
        <v>92.521000000000001</v>
      </c>
      <c r="P3365" s="3">
        <f>E3365*(VLOOKUP(B3365,Price_data!A$1:B$190,2,FALSE))</f>
        <v>90.910644729061303</v>
      </c>
      <c r="Q3365" s="3">
        <f>G3365*(VLOOKUP(B3365,Price_data!A$1:B$190,2,FALSE))</f>
        <v>0</v>
      </c>
      <c r="R3365" s="3">
        <f>I3365*(VLOOKUP(B3365,Price_data!A$1:B$190,2,FALSE))</f>
        <v>0</v>
      </c>
      <c r="S3365" s="4" t="str">
        <f>(VLOOKUP(B3365,Price_data!A$1:C$190,3,FALSE))</f>
        <v>EEZ</v>
      </c>
      <c r="T3365" s="2" t="str">
        <f>IF(C3365="Total", (VLOOKUP(B3365,Recommended_fish_intake!A$4:D$122,4,FALSE)), "NA")</f>
        <v>NA</v>
      </c>
      <c r="U3365" s="2">
        <f t="shared" si="366"/>
        <v>14.418600000000001</v>
      </c>
    </row>
    <row r="3366" spans="1:21" ht="14.25" customHeight="1">
      <c r="A3366" s="2" t="s">
        <v>40</v>
      </c>
      <c r="B3366" s="2">
        <v>2001</v>
      </c>
      <c r="C3366" s="2" t="s">
        <v>22</v>
      </c>
      <c r="D3366" s="2">
        <v>0.79</v>
      </c>
      <c r="E3366" s="2">
        <v>1.2470000000000001</v>
      </c>
      <c r="P3366" s="3">
        <f>E3366*(VLOOKUP(B3366,Price_data!A$1:B$190,2,FALSE))</f>
        <v>1.2252955975091002</v>
      </c>
      <c r="Q3366" s="3">
        <f>G3366*(VLOOKUP(B3366,Price_data!A$1:B$190,2,FALSE))</f>
        <v>0</v>
      </c>
      <c r="R3366" s="3">
        <f>I3366*(VLOOKUP(B3366,Price_data!A$1:B$190,2,FALSE))</f>
        <v>0</v>
      </c>
      <c r="S3366" s="4" t="str">
        <f>(VLOOKUP(B3366,Price_data!A$1:C$190,3,FALSE))</f>
        <v>EEZ</v>
      </c>
      <c r="T3366" s="2" t="str">
        <f>IF(C3366="Total", (VLOOKUP(B3366,Recommended_fish_intake!A$4:D$122,4,FALSE)), "NA")</f>
        <v>NA</v>
      </c>
      <c r="U3366" s="2" t="str">
        <f t="shared" si="366"/>
        <v>NA</v>
      </c>
    </row>
    <row r="3367" spans="1:21" ht="14.25" customHeight="1">
      <c r="A3367" s="2" t="s">
        <v>40</v>
      </c>
      <c r="B3367" s="2">
        <v>2001</v>
      </c>
      <c r="C3367" s="2" t="s">
        <v>23</v>
      </c>
      <c r="D3367" s="2">
        <v>1.222</v>
      </c>
      <c r="E3367" s="2">
        <v>1.3620000000000001</v>
      </c>
      <c r="P3367" s="3">
        <f>E3367*(VLOOKUP(B3367,Price_data!A$1:B$190,2,FALSE))</f>
        <v>1.3382939886186</v>
      </c>
      <c r="Q3367" s="3">
        <f>G3367*(VLOOKUP(B3367,Price_data!A$1:B$190,2,FALSE))</f>
        <v>0</v>
      </c>
      <c r="R3367" s="3">
        <f>I3367*(VLOOKUP(B3367,Price_data!A$1:B$190,2,FALSE))</f>
        <v>0</v>
      </c>
      <c r="S3367" s="4" t="str">
        <f>(VLOOKUP(B3367,Price_data!A$1:C$190,3,FALSE))</f>
        <v>EEZ</v>
      </c>
      <c r="T3367" s="2" t="str">
        <f>IF(C3367="Total", (VLOOKUP(B3367,Recommended_fish_intake!A$4:D$122,4,FALSE)), "NA")</f>
        <v>NA</v>
      </c>
      <c r="U3367" s="2" t="str">
        <f t="shared" si="366"/>
        <v>NA</v>
      </c>
    </row>
    <row r="3368" spans="1:21" ht="14.25" customHeight="1">
      <c r="A3368" s="2" t="s">
        <v>40</v>
      </c>
      <c r="B3368" s="2">
        <v>2001</v>
      </c>
      <c r="C3368" s="2" t="s">
        <v>58</v>
      </c>
      <c r="D3368" s="2">
        <v>0.187</v>
      </c>
      <c r="E3368" s="2">
        <v>0.379</v>
      </c>
      <c r="P3368" s="3">
        <f>E3368*(VLOOKUP(B3368,Price_data!A$1:B$190,2,FALSE))</f>
        <v>0.37240339330870004</v>
      </c>
      <c r="Q3368" s="3">
        <f>G3368*(VLOOKUP(B3368,Price_data!A$1:B$190,2,FALSE))</f>
        <v>0</v>
      </c>
      <c r="R3368" s="3">
        <f>I3368*(VLOOKUP(B3368,Price_data!A$1:B$190,2,FALSE))</f>
        <v>0</v>
      </c>
      <c r="S3368" s="4" t="str">
        <f>(VLOOKUP(B3368,Price_data!A$1:C$190,3,FALSE))</f>
        <v>EEZ</v>
      </c>
      <c r="T3368" s="2" t="str">
        <f>IF(C3368="Total", (VLOOKUP(B3368,Recommended_fish_intake!A$4:D$122,4,FALSE)), "NA")</f>
        <v>NA</v>
      </c>
      <c r="U3368" s="2" t="str">
        <f t="shared" si="366"/>
        <v>NA</v>
      </c>
    </row>
    <row r="3369" spans="1:21" ht="14.25" customHeight="1">
      <c r="A3369" s="2" t="s">
        <v>40</v>
      </c>
      <c r="B3369" s="2">
        <v>2001</v>
      </c>
      <c r="C3369" s="2" t="s">
        <v>24</v>
      </c>
      <c r="D3369" s="2">
        <v>0.48399999999999999</v>
      </c>
      <c r="E3369" s="2">
        <v>0.27700000000000002</v>
      </c>
      <c r="P3369" s="3">
        <f>E3369*(VLOOKUP(B3369,Price_data!A$1:B$190,2,FALSE))</f>
        <v>0.27217873336810006</v>
      </c>
      <c r="Q3369" s="3">
        <f>G3369*(VLOOKUP(B3369,Price_data!A$1:B$190,2,FALSE))</f>
        <v>0</v>
      </c>
      <c r="R3369" s="3">
        <f>I3369*(VLOOKUP(B3369,Price_data!A$1:B$190,2,FALSE))</f>
        <v>0</v>
      </c>
      <c r="S3369" s="4" t="str">
        <f>(VLOOKUP(B3369,Price_data!A$1:C$190,3,FALSE))</f>
        <v>EEZ</v>
      </c>
      <c r="T3369" s="2" t="str">
        <f>IF(C3369="Total", (VLOOKUP(B3369,Recommended_fish_intake!A$4:D$122,4,FALSE)), "NA")</f>
        <v>NA</v>
      </c>
      <c r="U3369" s="2" t="str">
        <f t="shared" si="366"/>
        <v>NA</v>
      </c>
    </row>
    <row r="3370" spans="1:21" ht="14.25" customHeight="1">
      <c r="A3370" s="2" t="s">
        <v>40</v>
      </c>
      <c r="B3370" s="2">
        <v>2001</v>
      </c>
      <c r="C3370" s="2" t="s">
        <v>41</v>
      </c>
      <c r="D3370" s="2">
        <v>6.1020000000000003</v>
      </c>
      <c r="E3370" s="2">
        <v>6.6429999999999998</v>
      </c>
      <c r="P3370" s="3">
        <f>E3370*(VLOOKUP(B3370,Price_data!A$1:B$190,2,FALSE))</f>
        <v>6.5273766273079001</v>
      </c>
      <c r="Q3370" s="3">
        <f>G3370*(VLOOKUP(B3370,Price_data!A$1:B$190,2,FALSE))</f>
        <v>0</v>
      </c>
      <c r="R3370" s="3">
        <f>I3370*(VLOOKUP(B3370,Price_data!A$1:B$190,2,FALSE))</f>
        <v>0</v>
      </c>
      <c r="S3370" s="4" t="str">
        <f>(VLOOKUP(B3370,Price_data!A$1:C$190,3,FALSE))</f>
        <v>EEZ</v>
      </c>
      <c r="T3370" s="2" t="str">
        <f>IF(C3370="Total", (VLOOKUP(B3370,Recommended_fish_intake!A$4:D$122,4,FALSE)), "NA")</f>
        <v>NA</v>
      </c>
      <c r="U3370" s="2" t="str">
        <f t="shared" si="366"/>
        <v>NA</v>
      </c>
    </row>
    <row r="3371" spans="1:21" ht="14.25" customHeight="1">
      <c r="A3371" s="2" t="s">
        <v>40</v>
      </c>
      <c r="B3371" s="2">
        <v>2001</v>
      </c>
      <c r="C3371" s="2" t="s">
        <v>19</v>
      </c>
      <c r="D3371" s="2">
        <v>7.51</v>
      </c>
      <c r="E3371" s="2">
        <v>1.6659999999999999</v>
      </c>
      <c r="P3371" s="3">
        <f>E3371*(VLOOKUP(B3371,Price_data!A$1:B$190,2,FALSE))</f>
        <v>1.6370027790298001</v>
      </c>
      <c r="Q3371" s="3">
        <f>G3371*(VLOOKUP(B3371,Price_data!A$1:B$190,2,FALSE))</f>
        <v>0</v>
      </c>
      <c r="R3371" s="3">
        <f>I3371*(VLOOKUP(B3371,Price_data!A$1:B$190,2,FALSE))</f>
        <v>0</v>
      </c>
      <c r="S3371" s="4" t="str">
        <f>(VLOOKUP(B3371,Price_data!A$1:C$190,3,FALSE))</f>
        <v>EEZ</v>
      </c>
      <c r="T3371" s="2" t="str">
        <f>IF(C3371="Total", (VLOOKUP(B3371,Recommended_fish_intake!A$4:D$122,4,FALSE)), "NA")</f>
        <v>NA</v>
      </c>
      <c r="U3371" s="2" t="str">
        <f t="shared" si="366"/>
        <v>NA</v>
      </c>
    </row>
    <row r="3372" spans="1:21" ht="14.25" customHeight="1">
      <c r="A3372" s="2" t="s">
        <v>40</v>
      </c>
      <c r="B3372" s="2">
        <v>2001</v>
      </c>
      <c r="C3372" s="2" t="s">
        <v>20</v>
      </c>
      <c r="D3372" s="2">
        <v>1.147</v>
      </c>
      <c r="E3372" s="2">
        <v>0.24399999999999999</v>
      </c>
      <c r="P3372" s="3">
        <f>E3372*(VLOOKUP(B3372,Price_data!A$1:B$190,2,FALSE))</f>
        <v>0.2397531080932</v>
      </c>
      <c r="Q3372" s="3">
        <f>G3372*(VLOOKUP(B3372,Price_data!A$1:B$190,2,FALSE))</f>
        <v>0</v>
      </c>
      <c r="R3372" s="3">
        <f>I3372*(VLOOKUP(B3372,Price_data!A$1:B$190,2,FALSE))</f>
        <v>0</v>
      </c>
      <c r="S3372" s="4" t="str">
        <f>(VLOOKUP(B3372,Price_data!A$1:C$190,3,FALSE))</f>
        <v>EEZ</v>
      </c>
      <c r="T3372" s="2" t="str">
        <f>IF(C3372="Total", (VLOOKUP(B3372,Recommended_fish_intake!A$4:D$122,4,FALSE)), "NA")</f>
        <v>NA</v>
      </c>
      <c r="U3372" s="2" t="str">
        <f t="shared" si="366"/>
        <v>NA</v>
      </c>
    </row>
    <row r="3373" spans="1:21" ht="14.25" customHeight="1">
      <c r="A3373" s="2" t="s">
        <v>40</v>
      </c>
      <c r="B3373" s="2">
        <v>2001</v>
      </c>
      <c r="C3373" s="2" t="s">
        <v>42</v>
      </c>
      <c r="D3373" s="2">
        <v>10.01</v>
      </c>
      <c r="E3373" s="2">
        <v>2.0539999999999998</v>
      </c>
      <c r="P3373" s="3">
        <f>E3373*(VLOOKUP(B3373,Price_data!A$1:B$190,2,FALSE))</f>
        <v>2.0182495246861998</v>
      </c>
      <c r="Q3373" s="3">
        <f>G3373*(VLOOKUP(B3373,Price_data!A$1:B$190,2,FALSE))</f>
        <v>0</v>
      </c>
      <c r="R3373" s="3">
        <f>I3373*(VLOOKUP(B3373,Price_data!A$1:B$190,2,FALSE))</f>
        <v>0</v>
      </c>
      <c r="S3373" s="4" t="str">
        <f>(VLOOKUP(B3373,Price_data!A$1:C$190,3,FALSE))</f>
        <v>EEZ</v>
      </c>
      <c r="T3373" s="2" t="str">
        <f>IF(C3373="Total", (VLOOKUP(B3373,Recommended_fish_intake!A$4:D$122,4,FALSE)), "NA")</f>
        <v>NA</v>
      </c>
      <c r="U3373" s="2" t="str">
        <f t="shared" si="366"/>
        <v>NA</v>
      </c>
    </row>
    <row r="3374" spans="1:21" ht="14.25" customHeight="1">
      <c r="A3374" s="2" t="s">
        <v>40</v>
      </c>
      <c r="B3374" s="2">
        <v>2001</v>
      </c>
      <c r="C3374" s="2" t="s">
        <v>36</v>
      </c>
      <c r="D3374" s="2">
        <v>0.30199999999999999</v>
      </c>
      <c r="E3374" s="2">
        <v>0.25800000000000001</v>
      </c>
      <c r="P3374" s="3">
        <f>E3374*(VLOOKUP(B3374,Price_data!A$1:B$190,2,FALSE))</f>
        <v>0.2535094339674</v>
      </c>
      <c r="Q3374" s="3">
        <f>G3374*(VLOOKUP(B3374,Price_data!A$1:B$190,2,FALSE))</f>
        <v>0</v>
      </c>
      <c r="R3374" s="3">
        <f>I3374*(VLOOKUP(B3374,Price_data!A$1:B$190,2,FALSE))</f>
        <v>0</v>
      </c>
      <c r="S3374" s="4" t="str">
        <f>(VLOOKUP(B3374,Price_data!A$1:C$190,3,FALSE))</f>
        <v>EEZ</v>
      </c>
      <c r="T3374" s="2" t="str">
        <f>IF(C3374="Total", (VLOOKUP(B3374,Recommended_fish_intake!A$4:D$122,4,FALSE)), "NA")</f>
        <v>NA</v>
      </c>
      <c r="U3374" s="2" t="str">
        <f t="shared" si="366"/>
        <v>NA</v>
      </c>
    </row>
    <row r="3375" spans="1:21" ht="14.25" customHeight="1">
      <c r="A3375" s="2" t="s">
        <v>40</v>
      </c>
      <c r="B3375" s="2">
        <v>2001</v>
      </c>
      <c r="C3375" s="2" t="s">
        <v>34</v>
      </c>
      <c r="D3375" s="2">
        <v>1.0999999999999999E-2</v>
      </c>
      <c r="E3375" s="2">
        <v>0.123</v>
      </c>
      <c r="P3375" s="3">
        <f>E3375*(VLOOKUP(B3375,Price_data!A$1:B$190,2,FALSE))</f>
        <v>0.1208591487519</v>
      </c>
      <c r="Q3375" s="3">
        <f>G3375*(VLOOKUP(B3375,Price_data!A$1:B$190,2,FALSE))</f>
        <v>0</v>
      </c>
      <c r="R3375" s="3">
        <f>I3375*(VLOOKUP(B3375,Price_data!A$1:B$190,2,FALSE))</f>
        <v>0</v>
      </c>
      <c r="S3375" s="4" t="str">
        <f>(VLOOKUP(B3375,Price_data!A$1:C$190,3,FALSE))</f>
        <v>EEZ</v>
      </c>
      <c r="T3375" s="2" t="str">
        <f>IF(C3375="Total", (VLOOKUP(B3375,Recommended_fish_intake!A$4:D$122,4,FALSE)), "NA")</f>
        <v>NA</v>
      </c>
      <c r="U3375" s="2" t="str">
        <f t="shared" si="366"/>
        <v>NA</v>
      </c>
    </row>
    <row r="3376" spans="1:21" ht="14.25" customHeight="1">
      <c r="A3376" s="2" t="s">
        <v>40</v>
      </c>
      <c r="B3376" s="2">
        <v>2001</v>
      </c>
      <c r="C3376" s="2" t="s">
        <v>35</v>
      </c>
      <c r="D3376" s="2">
        <v>4.8330000000000002</v>
      </c>
      <c r="E3376" s="2">
        <v>8.5389999999999997</v>
      </c>
      <c r="P3376" s="3">
        <f>E3376*(VLOOKUP(B3376,Price_data!A$1:B$190,2,FALSE))</f>
        <v>8.3903761885567008</v>
      </c>
      <c r="Q3376" s="3">
        <f>G3376*(VLOOKUP(B3376,Price_data!A$1:B$190,2,FALSE))</f>
        <v>0</v>
      </c>
      <c r="R3376" s="3">
        <f>I3376*(VLOOKUP(B3376,Price_data!A$1:B$190,2,FALSE))</f>
        <v>0</v>
      </c>
      <c r="S3376" s="4" t="str">
        <f>(VLOOKUP(B3376,Price_data!A$1:C$190,3,FALSE))</f>
        <v>EEZ</v>
      </c>
      <c r="T3376" s="2" t="str">
        <f>IF(C3376="Total", (VLOOKUP(B3376,Recommended_fish_intake!A$4:D$122,4,FALSE)), "NA")</f>
        <v>NA</v>
      </c>
      <c r="U3376" s="2" t="str">
        <f t="shared" si="366"/>
        <v>NA</v>
      </c>
    </row>
    <row r="3377" spans="1:21" ht="14.25" customHeight="1">
      <c r="A3377" s="2" t="s">
        <v>40</v>
      </c>
      <c r="B3377" s="2">
        <v>2001</v>
      </c>
      <c r="C3377" s="2" t="s">
        <v>52</v>
      </c>
      <c r="D3377" s="2">
        <v>0.85899999999999999</v>
      </c>
      <c r="E3377" s="2">
        <v>0.92800000000000005</v>
      </c>
      <c r="P3377" s="3">
        <f>E3377*(VLOOKUP(B3377,Price_data!A$1:B$190,2,FALSE))</f>
        <v>0.9118478865184001</v>
      </c>
      <c r="Q3377" s="3">
        <f>G3377*(VLOOKUP(B3377,Price_data!A$1:B$190,2,FALSE))</f>
        <v>0</v>
      </c>
      <c r="R3377" s="3">
        <f>I3377*(VLOOKUP(B3377,Price_data!A$1:B$190,2,FALSE))</f>
        <v>0</v>
      </c>
      <c r="S3377" s="4" t="str">
        <f>(VLOOKUP(B3377,Price_data!A$1:C$190,3,FALSE))</f>
        <v>EEZ</v>
      </c>
      <c r="T3377" s="2" t="str">
        <f>IF(C3377="Total", (VLOOKUP(B3377,Recommended_fish_intake!A$4:D$122,4,FALSE)), "NA")</f>
        <v>NA</v>
      </c>
      <c r="U3377" s="2" t="str">
        <f t="shared" si="366"/>
        <v>NA</v>
      </c>
    </row>
    <row r="3378" spans="1:21" ht="14.25" customHeight="1">
      <c r="A3378" s="2" t="s">
        <v>40</v>
      </c>
      <c r="B3378" s="2">
        <v>2001</v>
      </c>
      <c r="C3378" s="2" t="s">
        <v>30</v>
      </c>
      <c r="D3378" s="2">
        <v>0</v>
      </c>
      <c r="E3378" s="2">
        <v>0</v>
      </c>
      <c r="P3378" s="3">
        <f>E3378*(VLOOKUP(B3378,Price_data!A$1:B$190,2,FALSE))</f>
        <v>0</v>
      </c>
      <c r="Q3378" s="3">
        <f>G3378*(VLOOKUP(B3378,Price_data!A$1:B$190,2,FALSE))</f>
        <v>0</v>
      </c>
      <c r="R3378" s="3">
        <f>I3378*(VLOOKUP(B3378,Price_data!A$1:B$190,2,FALSE))</f>
        <v>0</v>
      </c>
      <c r="S3378" s="4" t="str">
        <f>(VLOOKUP(B3378,Price_data!A$1:C$190,3,FALSE))</f>
        <v>EEZ</v>
      </c>
      <c r="T3378" s="2" t="str">
        <f>IF(C3378="Total", (VLOOKUP(B3378,Recommended_fish_intake!A$4:D$122,4,FALSE)), "NA")</f>
        <v>NA</v>
      </c>
      <c r="U3378" s="2" t="str">
        <f t="shared" si="366"/>
        <v>NA</v>
      </c>
    </row>
    <row r="3379" spans="1:21" ht="14.25" customHeight="1">
      <c r="A3379" s="2" t="s">
        <v>40</v>
      </c>
      <c r="B3379" s="2">
        <v>2001</v>
      </c>
      <c r="C3379" s="2" t="s">
        <v>28</v>
      </c>
      <c r="D3379" s="2">
        <v>7.0049999999999999</v>
      </c>
      <c r="E3379" s="2">
        <v>10.236000000000001</v>
      </c>
      <c r="P3379" s="3">
        <f>E3379*(VLOOKUP(B3379,Price_data!A$1:B$190,2,FALSE))</f>
        <v>10.057839403450801</v>
      </c>
      <c r="Q3379" s="3">
        <f>G3379*(VLOOKUP(B3379,Price_data!A$1:B$190,2,FALSE))</f>
        <v>0</v>
      </c>
      <c r="R3379" s="3">
        <f>I3379*(VLOOKUP(B3379,Price_data!A$1:B$190,2,FALSE))</f>
        <v>0</v>
      </c>
      <c r="S3379" s="4" t="str">
        <f>(VLOOKUP(B3379,Price_data!A$1:C$190,3,FALSE))</f>
        <v>EEZ</v>
      </c>
      <c r="T3379" s="2" t="str">
        <f>IF(C3379="Total", (VLOOKUP(B3379,Recommended_fish_intake!A$4:D$122,4,FALSE)), "NA")</f>
        <v>NA</v>
      </c>
      <c r="U3379" s="2">
        <f t="shared" si="366"/>
        <v>1.9614000000000003</v>
      </c>
    </row>
    <row r="3380" spans="1:21" ht="14.25" customHeight="1">
      <c r="A3380" s="2" t="s">
        <v>40</v>
      </c>
      <c r="B3380" s="2">
        <v>2001</v>
      </c>
      <c r="C3380" s="4" t="s">
        <v>37</v>
      </c>
      <c r="D3380" s="3">
        <f>D3252+D3204</f>
        <v>19.530999999999999</v>
      </c>
      <c r="E3380" s="3">
        <f>E3252+E3204</f>
        <v>21.379000000000001</v>
      </c>
      <c r="P3380" s="3">
        <f>E3380*(VLOOKUP(B3380,Price_data!A$1:B$190,2,FALSE))</f>
        <v>21.006892204608704</v>
      </c>
      <c r="Q3380" s="3">
        <f>G3380*(VLOOKUP(B3380,Price_data!A$1:B$190,2,FALSE))</f>
        <v>0</v>
      </c>
      <c r="R3380" s="3">
        <f>I3380*(VLOOKUP(B3380,Price_data!A$1:B$190,2,FALSE))</f>
        <v>0</v>
      </c>
      <c r="S3380" s="4" t="str">
        <f>(VLOOKUP(B3380,Price_data!A$1:C$190,3,FALSE))</f>
        <v>EEZ</v>
      </c>
      <c r="T3380" s="2" t="str">
        <f>IF(C3380="Total", (VLOOKUP(B3380,Recommended_fish_intake!A$4:D$122,4,FALSE)), "NA")</f>
        <v>NA</v>
      </c>
      <c r="U3380" s="2">
        <f t="shared" si="366"/>
        <v>9.5701899999999984</v>
      </c>
    </row>
    <row r="3381" spans="1:21" ht="14.25" customHeight="1">
      <c r="A3381" s="2" t="s">
        <v>39</v>
      </c>
      <c r="B3381" s="2">
        <v>2001</v>
      </c>
      <c r="C3381" s="4" t="s">
        <v>37</v>
      </c>
      <c r="D3381" s="3">
        <f>D2997+D2949</f>
        <v>34.801000000000002</v>
      </c>
      <c r="E3381" s="3">
        <f>E2997+E2949</f>
        <v>33.591999999999999</v>
      </c>
      <c r="P3381" s="3">
        <f>E3381*(VLOOKUP(B3381,Price_data!A$1:B$190,2,FALSE))</f>
        <v>33.007321340437599</v>
      </c>
      <c r="Q3381" s="3">
        <f>G3381*(VLOOKUP(B3381,Price_data!A$1:B$190,2,FALSE))</f>
        <v>0</v>
      </c>
      <c r="R3381" s="3">
        <f>I3381*(VLOOKUP(B3381,Price_data!A$1:B$190,2,FALSE))</f>
        <v>0</v>
      </c>
      <c r="S3381" s="4" t="str">
        <f>(VLOOKUP(B3381,Price_data!A$1:C$190,3,FALSE))</f>
        <v>EEZ</v>
      </c>
      <c r="T3381" s="2" t="str">
        <f>IF(C3381="Total", (VLOOKUP(B3381,Recommended_fish_intake!A$4:D$122,4,FALSE)), "NA")</f>
        <v>NA</v>
      </c>
      <c r="U3381" s="2">
        <f t="shared" si="366"/>
        <v>17.052490000000002</v>
      </c>
    </row>
    <row r="3382" spans="1:21" ht="14.25" customHeight="1">
      <c r="A3382" s="2" t="s">
        <v>18</v>
      </c>
      <c r="B3382" s="2">
        <v>2001</v>
      </c>
      <c r="C3382" s="2" t="s">
        <v>22</v>
      </c>
      <c r="D3382" s="3">
        <f t="shared" ref="D3382:E3395" si="367">D2630+D2390</f>
        <v>110.244</v>
      </c>
      <c r="E3382" s="3">
        <f t="shared" si="367"/>
        <v>43.321999999999996</v>
      </c>
      <c r="P3382" s="3">
        <f>E3382*(VLOOKUP(B3382,Price_data!A$1:B$190,2,FALSE))</f>
        <v>42.567967823006597</v>
      </c>
      <c r="Q3382" s="3">
        <f>G3382*(VLOOKUP(B3382,Price_data!A$1:B$190,2,FALSE))</f>
        <v>0</v>
      </c>
      <c r="R3382" s="3">
        <f>I3382*(VLOOKUP(B3382,Price_data!A$1:B$190,2,FALSE))</f>
        <v>0</v>
      </c>
      <c r="S3382" s="4" t="str">
        <f>(VLOOKUP(B3382,Price_data!A$1:C$190,3,FALSE))</f>
        <v>EEZ</v>
      </c>
      <c r="T3382" s="2" t="str">
        <f>IF(C3382="Total", (VLOOKUP(B3382,Recommended_fish_intake!A$4:D$122,4,FALSE)), "NA")</f>
        <v>NA</v>
      </c>
      <c r="U3382" s="2" t="str">
        <f t="shared" si="366"/>
        <v>NA</v>
      </c>
    </row>
    <row r="3383" spans="1:21" ht="14.25" customHeight="1">
      <c r="A3383" s="2" t="s">
        <v>18</v>
      </c>
      <c r="B3383" s="2">
        <v>2001</v>
      </c>
      <c r="C3383" s="2" t="s">
        <v>23</v>
      </c>
      <c r="D3383" s="3">
        <f t="shared" si="367"/>
        <v>183.55799999999999</v>
      </c>
      <c r="E3383" s="3">
        <f t="shared" si="367"/>
        <v>37.582999999999998</v>
      </c>
      <c r="P3383" s="3">
        <f>E3383*(VLOOKUP(B3383,Price_data!A$1:B$190,2,FALSE))</f>
        <v>36.928856809289897</v>
      </c>
      <c r="Q3383" s="3">
        <f>G3383*(VLOOKUP(B3383,Price_data!A$1:B$190,2,FALSE))</f>
        <v>0</v>
      </c>
      <c r="R3383" s="3">
        <f>I3383*(VLOOKUP(B3383,Price_data!A$1:B$190,2,FALSE))</f>
        <v>0</v>
      </c>
      <c r="S3383" s="4" t="str">
        <f>(VLOOKUP(B3383,Price_data!A$1:C$190,3,FALSE))</f>
        <v>EEZ</v>
      </c>
      <c r="T3383" s="2" t="str">
        <f>IF(C3383="Total", (VLOOKUP(B3383,Recommended_fish_intake!A$4:D$122,4,FALSE)), "NA")</f>
        <v>NA</v>
      </c>
      <c r="U3383" s="2" t="str">
        <f t="shared" si="366"/>
        <v>NA</v>
      </c>
    </row>
    <row r="3384" spans="1:21" ht="14.25" customHeight="1">
      <c r="A3384" s="2" t="s">
        <v>18</v>
      </c>
      <c r="B3384" s="2">
        <v>2001</v>
      </c>
      <c r="C3384" s="2" t="s">
        <v>58</v>
      </c>
      <c r="D3384" s="3">
        <f t="shared" si="367"/>
        <v>505.02199999999999</v>
      </c>
      <c r="E3384" s="3">
        <f t="shared" si="367"/>
        <v>216.33399999999997</v>
      </c>
      <c r="P3384" s="3">
        <f>E3384*(VLOOKUP(B3384,Price_data!A$1:B$190,2,FALSE))</f>
        <v>212.56864297637017</v>
      </c>
      <c r="Q3384" s="3">
        <f>G3384*(VLOOKUP(B3384,Price_data!A$1:B$190,2,FALSE))</f>
        <v>0</v>
      </c>
      <c r="R3384" s="3">
        <f>I3384*(VLOOKUP(B3384,Price_data!A$1:B$190,2,FALSE))</f>
        <v>0</v>
      </c>
      <c r="S3384" s="4" t="str">
        <f>(VLOOKUP(B3384,Price_data!A$1:C$190,3,FALSE))</f>
        <v>EEZ</v>
      </c>
      <c r="T3384" s="2" t="str">
        <f>IF(C3384="Total", (VLOOKUP(B3384,Recommended_fish_intake!A$4:D$122,4,FALSE)), "NA")</f>
        <v>NA</v>
      </c>
      <c r="U3384" s="2" t="str">
        <f t="shared" si="366"/>
        <v>NA</v>
      </c>
    </row>
    <row r="3385" spans="1:21" ht="14.25" customHeight="1">
      <c r="A3385" s="2" t="s">
        <v>18</v>
      </c>
      <c r="B3385" s="2">
        <v>2001</v>
      </c>
      <c r="C3385" s="2" t="s">
        <v>24</v>
      </c>
      <c r="D3385" s="3">
        <f t="shared" si="367"/>
        <v>168.23700000000002</v>
      </c>
      <c r="E3385" s="3">
        <f t="shared" si="367"/>
        <v>28.583000000000002</v>
      </c>
      <c r="P3385" s="3">
        <f>E3385*(VLOOKUP(B3385,Price_data!A$1:B$190,2,FALSE))</f>
        <v>28.085504461589903</v>
      </c>
      <c r="Q3385" s="3">
        <f>G3385*(VLOOKUP(B3385,Price_data!A$1:B$190,2,FALSE))</f>
        <v>0</v>
      </c>
      <c r="R3385" s="3">
        <f>I3385*(VLOOKUP(B3385,Price_data!A$1:B$190,2,FALSE))</f>
        <v>0</v>
      </c>
      <c r="S3385" s="4" t="str">
        <f>(VLOOKUP(B3385,Price_data!A$1:C$190,3,FALSE))</f>
        <v>EEZ</v>
      </c>
      <c r="T3385" s="2" t="str">
        <f>IF(C3385="Total", (VLOOKUP(B3385,Recommended_fish_intake!A$4:D$122,4,FALSE)), "NA")</f>
        <v>NA</v>
      </c>
      <c r="U3385" s="2" t="str">
        <f t="shared" si="366"/>
        <v>NA</v>
      </c>
    </row>
    <row r="3386" spans="1:21" ht="14.25" customHeight="1">
      <c r="A3386" s="2" t="s">
        <v>18</v>
      </c>
      <c r="B3386" s="2">
        <v>2001</v>
      </c>
      <c r="C3386" s="2" t="s">
        <v>41</v>
      </c>
      <c r="D3386" s="3">
        <f t="shared" si="367"/>
        <v>7.7809999999999997</v>
      </c>
      <c r="E3386" s="3">
        <f t="shared" si="367"/>
        <v>7.6360000000000001</v>
      </c>
      <c r="P3386" s="3">
        <f>E3386*(VLOOKUP(B3386,Price_data!A$1:B$190,2,FALSE))</f>
        <v>7.5030931696708008</v>
      </c>
      <c r="Q3386" s="3">
        <f>G3386*(VLOOKUP(B3386,Price_data!A$1:B$190,2,FALSE))</f>
        <v>0</v>
      </c>
      <c r="R3386" s="3">
        <f>I3386*(VLOOKUP(B3386,Price_data!A$1:B$190,2,FALSE))</f>
        <v>0</v>
      </c>
      <c r="S3386" s="4" t="str">
        <f>(VLOOKUP(B3386,Price_data!A$1:C$190,3,FALSE))</f>
        <v>EEZ</v>
      </c>
      <c r="T3386" s="2" t="str">
        <f>IF(C3386="Total", (VLOOKUP(B3386,Recommended_fish_intake!A$4:D$122,4,FALSE)), "NA")</f>
        <v>NA</v>
      </c>
      <c r="U3386" s="2" t="str">
        <f t="shared" si="366"/>
        <v>NA</v>
      </c>
    </row>
    <row r="3387" spans="1:21" ht="14.25" customHeight="1">
      <c r="A3387" s="2" t="s">
        <v>18</v>
      </c>
      <c r="B3387" s="2">
        <v>2001</v>
      </c>
      <c r="C3387" s="2" t="s">
        <v>19</v>
      </c>
      <c r="D3387" s="3">
        <f t="shared" si="367"/>
        <v>36.340999999999994</v>
      </c>
      <c r="E3387" s="3">
        <f t="shared" si="367"/>
        <v>56.816000000000003</v>
      </c>
      <c r="P3387" s="3">
        <f>E3387*(VLOOKUP(B3387,Price_data!A$1:B$190,2,FALSE))</f>
        <v>55.827100776324805</v>
      </c>
      <c r="Q3387" s="3">
        <f>G3387*(VLOOKUP(B3387,Price_data!A$1:B$190,2,FALSE))</f>
        <v>0</v>
      </c>
      <c r="R3387" s="3">
        <f>I3387*(VLOOKUP(B3387,Price_data!A$1:B$190,2,FALSE))</f>
        <v>0</v>
      </c>
      <c r="S3387" s="4" t="str">
        <f>(VLOOKUP(B3387,Price_data!A$1:C$190,3,FALSE))</f>
        <v>EEZ</v>
      </c>
      <c r="T3387" s="2" t="str">
        <f>IF(C3387="Total", (VLOOKUP(B3387,Recommended_fish_intake!A$4:D$122,4,FALSE)), "NA")</f>
        <v>NA</v>
      </c>
      <c r="U3387" s="2" t="str">
        <f t="shared" si="366"/>
        <v>NA</v>
      </c>
    </row>
    <row r="3388" spans="1:21" ht="14.25" customHeight="1">
      <c r="A3388" s="2" t="s">
        <v>18</v>
      </c>
      <c r="B3388" s="2">
        <v>2001</v>
      </c>
      <c r="C3388" s="2" t="s">
        <v>20</v>
      </c>
      <c r="D3388" s="3" t="e">
        <f t="shared" si="367"/>
        <v>#N/A</v>
      </c>
      <c r="E3388" s="3" t="e">
        <f t="shared" si="367"/>
        <v>#N/A</v>
      </c>
      <c r="P3388" s="3" t="e">
        <f>E3388*(VLOOKUP(B3388,Price_data!A$1:B$190,2,FALSE))</f>
        <v>#N/A</v>
      </c>
      <c r="Q3388" s="3">
        <f>G3388*(VLOOKUP(B3388,Price_data!A$1:B$190,2,FALSE))</f>
        <v>0</v>
      </c>
      <c r="R3388" s="3">
        <f>I3388*(VLOOKUP(B3388,Price_data!A$1:B$190,2,FALSE))</f>
        <v>0</v>
      </c>
      <c r="S3388" s="4" t="str">
        <f>(VLOOKUP(B3388,Price_data!A$1:C$190,3,FALSE))</f>
        <v>EEZ</v>
      </c>
      <c r="T3388" s="2" t="str">
        <f>IF(C3388="Total", (VLOOKUP(B3388,Recommended_fish_intake!A$4:D$122,4,FALSE)), "NA")</f>
        <v>NA</v>
      </c>
      <c r="U3388" s="2" t="str">
        <f t="shared" si="366"/>
        <v>NA</v>
      </c>
    </row>
    <row r="3389" spans="1:21" ht="14.25" customHeight="1">
      <c r="A3389" s="2" t="s">
        <v>18</v>
      </c>
      <c r="B3389" s="2">
        <v>2001</v>
      </c>
      <c r="C3389" s="2" t="s">
        <v>42</v>
      </c>
      <c r="D3389" s="3" t="e">
        <f t="shared" si="367"/>
        <v>#N/A</v>
      </c>
      <c r="E3389" s="3" t="e">
        <f t="shared" si="367"/>
        <v>#N/A</v>
      </c>
      <c r="P3389" s="3" t="e">
        <f>E3389*(VLOOKUP(B3389,Price_data!A$1:B$190,2,FALSE))</f>
        <v>#N/A</v>
      </c>
      <c r="Q3389" s="3">
        <f>G3389*(VLOOKUP(B3389,Price_data!A$1:B$190,2,FALSE))</f>
        <v>0</v>
      </c>
      <c r="R3389" s="3">
        <f>I3389*(VLOOKUP(B3389,Price_data!A$1:B$190,2,FALSE))</f>
        <v>0</v>
      </c>
      <c r="S3389" s="4" t="str">
        <f>(VLOOKUP(B3389,Price_data!A$1:C$190,3,FALSE))</f>
        <v>EEZ</v>
      </c>
      <c r="T3389" s="2" t="str">
        <f>IF(C3389="Total", (VLOOKUP(B3389,Recommended_fish_intake!A$4:D$122,4,FALSE)), "NA")</f>
        <v>NA</v>
      </c>
      <c r="U3389" s="2" t="str">
        <f t="shared" si="366"/>
        <v>NA</v>
      </c>
    </row>
    <row r="3390" spans="1:21" ht="14.25" customHeight="1">
      <c r="A3390" s="2" t="s">
        <v>18</v>
      </c>
      <c r="B3390" s="2">
        <v>2001</v>
      </c>
      <c r="C3390" s="2" t="s">
        <v>36</v>
      </c>
      <c r="D3390" s="3">
        <f t="shared" si="367"/>
        <v>69.760000000000005</v>
      </c>
      <c r="E3390" s="3">
        <f t="shared" si="367"/>
        <v>88.911000000000001</v>
      </c>
      <c r="P3390" s="3">
        <f>E3390*(VLOOKUP(B3390,Price_data!A$1:B$190,2,FALSE))</f>
        <v>87.363477842928305</v>
      </c>
      <c r="Q3390" s="3">
        <f>G3390*(VLOOKUP(B3390,Price_data!A$1:B$190,2,FALSE))</f>
        <v>0</v>
      </c>
      <c r="R3390" s="3">
        <f>I3390*(VLOOKUP(B3390,Price_data!A$1:B$190,2,FALSE))</f>
        <v>0</v>
      </c>
      <c r="S3390" s="4" t="str">
        <f>(VLOOKUP(B3390,Price_data!A$1:C$190,3,FALSE))</f>
        <v>EEZ</v>
      </c>
      <c r="T3390" s="2" t="str">
        <f>IF(C3390="Total", (VLOOKUP(B3390,Recommended_fish_intake!A$4:D$122,4,FALSE)), "NA")</f>
        <v>NA</v>
      </c>
      <c r="U3390" s="2" t="str">
        <f t="shared" si="366"/>
        <v>NA</v>
      </c>
    </row>
    <row r="3391" spans="1:21" ht="14.25" customHeight="1">
      <c r="A3391" s="2" t="s">
        <v>18</v>
      </c>
      <c r="B3391" s="2">
        <v>2001</v>
      </c>
      <c r="C3391" s="2" t="s">
        <v>34</v>
      </c>
      <c r="D3391" s="3">
        <f t="shared" si="367"/>
        <v>11.636999999999999</v>
      </c>
      <c r="E3391" s="3">
        <f t="shared" si="367"/>
        <v>10.472000000000001</v>
      </c>
      <c r="P3391" s="3">
        <f>E3391*(VLOOKUP(B3391,Price_data!A$1:B$190,2,FALSE))</f>
        <v>10.289731753901602</v>
      </c>
      <c r="Q3391" s="3">
        <f>G3391*(VLOOKUP(B3391,Price_data!A$1:B$190,2,FALSE))</f>
        <v>0</v>
      </c>
      <c r="R3391" s="3">
        <f>I3391*(VLOOKUP(B3391,Price_data!A$1:B$190,2,FALSE))</f>
        <v>0</v>
      </c>
      <c r="S3391" s="4" t="str">
        <f>(VLOOKUP(B3391,Price_data!A$1:C$190,3,FALSE))</f>
        <v>EEZ</v>
      </c>
      <c r="T3391" s="2" t="str">
        <f>IF(C3391="Total", (VLOOKUP(B3391,Recommended_fish_intake!A$4:D$122,4,FALSE)), "NA")</f>
        <v>NA</v>
      </c>
      <c r="U3391" s="2" t="str">
        <f t="shared" si="366"/>
        <v>NA</v>
      </c>
    </row>
    <row r="3392" spans="1:21" ht="14.25" customHeight="1">
      <c r="A3392" s="2" t="s">
        <v>18</v>
      </c>
      <c r="B3392" s="2">
        <v>2001</v>
      </c>
      <c r="C3392" s="2" t="s">
        <v>35</v>
      </c>
      <c r="D3392" s="3">
        <f t="shared" si="367"/>
        <v>3.081</v>
      </c>
      <c r="E3392" s="3">
        <f t="shared" si="367"/>
        <v>5.01</v>
      </c>
      <c r="P3392" s="3">
        <f>E3392*(VLOOKUP(B3392,Price_data!A$1:B$190,2,FALSE))</f>
        <v>4.9227994735529998</v>
      </c>
      <c r="Q3392" s="3">
        <f>G3392*(VLOOKUP(B3392,Price_data!A$1:B$190,2,FALSE))</f>
        <v>0</v>
      </c>
      <c r="R3392" s="3">
        <f>I3392*(VLOOKUP(B3392,Price_data!A$1:B$190,2,FALSE))</f>
        <v>0</v>
      </c>
      <c r="S3392" s="4" t="str">
        <f>(VLOOKUP(B3392,Price_data!A$1:C$190,3,FALSE))</f>
        <v>EEZ</v>
      </c>
      <c r="T3392" s="2" t="str">
        <f>IF(C3392="Total", (VLOOKUP(B3392,Recommended_fish_intake!A$4:D$122,4,FALSE)), "NA")</f>
        <v>NA</v>
      </c>
      <c r="U3392" s="2" t="str">
        <f t="shared" si="366"/>
        <v>NA</v>
      </c>
    </row>
    <row r="3393" spans="1:21" ht="14.25" customHeight="1">
      <c r="A3393" s="2" t="s">
        <v>18</v>
      </c>
      <c r="B3393" s="2">
        <v>2001</v>
      </c>
      <c r="C3393" s="2" t="s">
        <v>52</v>
      </c>
      <c r="D3393" s="3">
        <f t="shared" si="367"/>
        <v>5.032</v>
      </c>
      <c r="E3393" s="3">
        <f t="shared" si="367"/>
        <v>2.7490000000000001</v>
      </c>
      <c r="P3393" s="3">
        <f>E3393*(VLOOKUP(B3393,Price_data!A$1:B$190,2,FALSE))</f>
        <v>2.7011528448697004</v>
      </c>
      <c r="Q3393" s="3">
        <f>G3393*(VLOOKUP(B3393,Price_data!A$1:B$190,2,FALSE))</f>
        <v>0</v>
      </c>
      <c r="R3393" s="3">
        <f>I3393*(VLOOKUP(B3393,Price_data!A$1:B$190,2,FALSE))</f>
        <v>0</v>
      </c>
      <c r="S3393" s="4" t="str">
        <f>(VLOOKUP(B3393,Price_data!A$1:C$190,3,FALSE))</f>
        <v>EEZ</v>
      </c>
      <c r="T3393" s="2" t="str">
        <f>IF(C3393="Total", (VLOOKUP(B3393,Recommended_fish_intake!A$4:D$122,4,FALSE)), "NA")</f>
        <v>NA</v>
      </c>
      <c r="U3393" s="2" t="str">
        <f t="shared" si="366"/>
        <v>NA</v>
      </c>
    </row>
    <row r="3394" spans="1:21" ht="14.25" customHeight="1">
      <c r="A3394" s="2" t="s">
        <v>18</v>
      </c>
      <c r="B3394" s="2">
        <v>2001</v>
      </c>
      <c r="C3394" s="2" t="s">
        <v>30</v>
      </c>
      <c r="D3394" s="3">
        <f t="shared" si="367"/>
        <v>85.548000000000002</v>
      </c>
      <c r="E3394" s="3">
        <f t="shared" si="367"/>
        <v>108.08600000000001</v>
      </c>
      <c r="P3394" s="3">
        <f>E3394*(VLOOKUP(B3394,Price_data!A$1:B$190,2,FALSE))</f>
        <v>106.20473131705582</v>
      </c>
      <c r="Q3394" s="3">
        <f>G3394*(VLOOKUP(B3394,Price_data!A$1:B$190,2,FALSE))</f>
        <v>0</v>
      </c>
      <c r="R3394" s="3">
        <f>I3394*(VLOOKUP(B3394,Price_data!A$1:B$190,2,FALSE))</f>
        <v>0</v>
      </c>
      <c r="S3394" s="4" t="str">
        <f>(VLOOKUP(B3394,Price_data!A$1:C$190,3,FALSE))</f>
        <v>EEZ</v>
      </c>
      <c r="T3394" s="2" t="str">
        <f>IF(C3394="Total", (VLOOKUP(B3394,Recommended_fish_intake!A$4:D$122,4,FALSE)), "NA")</f>
        <v>NA</v>
      </c>
      <c r="U3394" s="2" t="str">
        <f t="shared" ref="U3394:U3457" si="368">IF(C3394="Wet fish", D3394*0.49, IF(C3394="Shellfish", D3394*0.28, "NA"))</f>
        <v>NA</v>
      </c>
    </row>
    <row r="3395" spans="1:21" ht="14.25" customHeight="1">
      <c r="A3395" s="2" t="s">
        <v>18</v>
      </c>
      <c r="B3395" s="2">
        <v>2001</v>
      </c>
      <c r="C3395" s="2" t="s">
        <v>28</v>
      </c>
      <c r="D3395" s="3">
        <f t="shared" si="367"/>
        <v>8.1900000000000013</v>
      </c>
      <c r="E3395" s="3">
        <f t="shared" si="367"/>
        <v>2.6970000000000001</v>
      </c>
      <c r="P3395" s="3">
        <f>E3395*(VLOOKUP(B3395,Price_data!A$1:B$190,2,FALSE))</f>
        <v>2.6500579201941004</v>
      </c>
      <c r="Q3395" s="3">
        <f>G3395*(VLOOKUP(B3395,Price_data!A$1:B$190,2,FALSE))</f>
        <v>0</v>
      </c>
      <c r="R3395" s="3">
        <f>I3395*(VLOOKUP(B3395,Price_data!A$1:B$190,2,FALSE))</f>
        <v>0</v>
      </c>
      <c r="S3395" s="4" t="str">
        <f>(VLOOKUP(B3395,Price_data!A$1:C$190,3,FALSE))</f>
        <v>EEZ</v>
      </c>
      <c r="T3395" s="2" t="str">
        <f>IF(C3395="Total", (VLOOKUP(B3395,Recommended_fish_intake!A$4:D$122,4,FALSE)), "NA")</f>
        <v>NA</v>
      </c>
      <c r="U3395" s="2">
        <f t="shared" si="368"/>
        <v>2.2932000000000006</v>
      </c>
    </row>
    <row r="3396" spans="1:21" ht="14.25" customHeight="1">
      <c r="A3396" s="2" t="s">
        <v>18</v>
      </c>
      <c r="B3396" s="2">
        <v>2001</v>
      </c>
      <c r="C3396" s="2" t="s">
        <v>37</v>
      </c>
      <c r="D3396" s="3">
        <f>D3220+D3268</f>
        <v>46.215000000000003</v>
      </c>
      <c r="E3396" s="3">
        <f>E3220+E3268</f>
        <v>6.49</v>
      </c>
      <c r="P3396" s="3">
        <f>E3396*(VLOOKUP(B3396,Price_data!A$1:B$190,2,FALSE))</f>
        <v>6.3770396373970009</v>
      </c>
      <c r="Q3396" s="3">
        <f>G3396*(VLOOKUP(B3396,Price_data!A$1:B$190,2,FALSE))</f>
        <v>0</v>
      </c>
      <c r="R3396" s="3">
        <f>I3396*(VLOOKUP(B3396,Price_data!A$1:B$190,2,FALSE))</f>
        <v>0</v>
      </c>
      <c r="S3396" s="4" t="str">
        <f>(VLOOKUP(B3396,Price_data!A$1:C$190,3,FALSE))</f>
        <v>EEZ</v>
      </c>
      <c r="T3396" s="2" t="str">
        <f>IF(C3396="Total", (VLOOKUP(B3396,Recommended_fish_intake!A$4:D$122,4,FALSE)), "NA")</f>
        <v>NA</v>
      </c>
      <c r="U3396" s="2">
        <f t="shared" si="368"/>
        <v>22.645350000000001</v>
      </c>
    </row>
    <row r="3397" spans="1:21" ht="14.25" customHeight="1">
      <c r="A3397" s="2" t="s">
        <v>90</v>
      </c>
      <c r="B3397" s="2">
        <v>2001</v>
      </c>
      <c r="C3397" s="2" t="s">
        <v>16</v>
      </c>
      <c r="D3397" s="2">
        <v>145.5</v>
      </c>
      <c r="E3397" s="2">
        <v>148</v>
      </c>
      <c r="P3397" s="3">
        <f>E3397*(VLOOKUP(B3397,Price_data!A$1:B$190,2,FALSE))</f>
        <v>145.42401638440001</v>
      </c>
      <c r="Q3397" s="3">
        <f>G3397*(VLOOKUP(B3397,Price_data!A$1:B$190,2,FALSE))</f>
        <v>0</v>
      </c>
      <c r="R3397" s="3">
        <f>I3397*(VLOOKUP(B3397,Price_data!A$1:B$190,2,FALSE))</f>
        <v>0</v>
      </c>
      <c r="S3397" s="4" t="str">
        <f>(VLOOKUP(B3397,Price_data!A$1:C$190,3,FALSE))</f>
        <v>EEZ</v>
      </c>
      <c r="T3397" s="2">
        <f>IF(C3397="Total", (VLOOKUP(B3397,Recommended_fish_intake!A$4:D$122,4,FALSE)), "NA")</f>
        <v>781.97369668782005</v>
      </c>
      <c r="U3397" s="2" t="str">
        <f t="shared" si="368"/>
        <v>NA</v>
      </c>
    </row>
    <row r="3398" spans="1:21" ht="14.25" customHeight="1">
      <c r="A3398" s="2" t="s">
        <v>91</v>
      </c>
      <c r="B3398" s="2">
        <v>2001</v>
      </c>
      <c r="C3398" s="2" t="s">
        <v>16</v>
      </c>
      <c r="D3398" s="2">
        <v>0</v>
      </c>
      <c r="E3398" s="2">
        <v>0</v>
      </c>
      <c r="P3398" s="3">
        <f>E3398*(VLOOKUP(B3398,Price_data!A$1:B$190,2,FALSE))</f>
        <v>0</v>
      </c>
      <c r="Q3398" s="3">
        <f>G3398*(VLOOKUP(B3398,Price_data!A$1:B$190,2,FALSE))</f>
        <v>0</v>
      </c>
      <c r="R3398" s="3">
        <f>I3398*(VLOOKUP(B3398,Price_data!A$1:B$190,2,FALSE))</f>
        <v>0</v>
      </c>
      <c r="S3398" s="4" t="str">
        <f>(VLOOKUP(B3398,Price_data!A$1:C$190,3,FALSE))</f>
        <v>EEZ</v>
      </c>
      <c r="T3398" s="2">
        <f>IF(C3398="Total", (VLOOKUP(B3398,Recommended_fish_intake!A$4:D$122,4,FALSE)), "NA")</f>
        <v>781.97369668782005</v>
      </c>
      <c r="U3398" s="2" t="str">
        <f t="shared" si="368"/>
        <v>NA</v>
      </c>
    </row>
    <row r="3399" spans="1:21" ht="14.25" customHeight="1">
      <c r="A3399" s="2" t="s">
        <v>39</v>
      </c>
      <c r="B3399" s="2">
        <v>2001</v>
      </c>
      <c r="C3399" s="2" t="s">
        <v>16</v>
      </c>
      <c r="D3399" s="2">
        <v>289.721</v>
      </c>
      <c r="E3399" s="2">
        <v>256.71100000000001</v>
      </c>
      <c r="P3399" s="3">
        <f>E3399*(VLOOKUP(B3399,Price_data!A$1:B$190,2,FALSE))</f>
        <v>252.24286939226832</v>
      </c>
      <c r="Q3399" s="3">
        <f>G3399*(VLOOKUP(B3399,Price_data!A$1:B$190,2,FALSE))</f>
        <v>0</v>
      </c>
      <c r="R3399" s="3">
        <f>I3399*(VLOOKUP(B3399,Price_data!A$1:B$190,2,FALSE))</f>
        <v>0</v>
      </c>
      <c r="S3399" s="4" t="str">
        <f>(VLOOKUP(B3399,Price_data!A$1:C$190,3,FALSE))</f>
        <v>EEZ</v>
      </c>
      <c r="T3399" s="2">
        <f>IF(C3399="Total", (VLOOKUP(B3399,Recommended_fish_intake!A$4:D$122,4,FALSE)), "NA")</f>
        <v>781.97369668782005</v>
      </c>
      <c r="U3399" s="2" t="str">
        <f t="shared" si="368"/>
        <v>NA</v>
      </c>
    </row>
    <row r="3400" spans="1:21" ht="14.25" customHeight="1">
      <c r="A3400" s="2" t="s">
        <v>40</v>
      </c>
      <c r="B3400" s="2">
        <v>2001</v>
      </c>
      <c r="C3400" s="2" t="s">
        <v>16</v>
      </c>
      <c r="D3400" s="2">
        <v>23.117000000000001</v>
      </c>
      <c r="E3400" s="2">
        <v>18.933</v>
      </c>
      <c r="P3400" s="3">
        <f>E3400*(VLOOKUP(B3400,Price_data!A$1:B$190,2,FALSE))</f>
        <v>18.603465555444899</v>
      </c>
      <c r="Q3400" s="3">
        <f>G3400*(VLOOKUP(B3400,Price_data!A$1:B$190,2,FALSE))</f>
        <v>0</v>
      </c>
      <c r="R3400" s="3">
        <f>I3400*(VLOOKUP(B3400,Price_data!A$1:B$190,2,FALSE))</f>
        <v>0</v>
      </c>
      <c r="S3400" s="4" t="str">
        <f>(VLOOKUP(B3400,Price_data!A$1:C$190,3,FALSE))</f>
        <v>EEZ</v>
      </c>
      <c r="T3400" s="2">
        <f>IF(C3400="Total", (VLOOKUP(B3400,Recommended_fish_intake!A$4:D$122,4,FALSE)), "NA")</f>
        <v>781.97369668782005</v>
      </c>
      <c r="U3400" s="2" t="str">
        <f t="shared" si="368"/>
        <v>NA</v>
      </c>
    </row>
    <row r="3401" spans="1:21" ht="14.25" customHeight="1">
      <c r="A3401" s="2" t="s">
        <v>18</v>
      </c>
      <c r="B3401" s="2">
        <v>2001</v>
      </c>
      <c r="C3401" s="2" t="s">
        <v>16</v>
      </c>
      <c r="D3401" s="3">
        <f>D2649+D2409</f>
        <v>10.905999999999999</v>
      </c>
      <c r="E3401" s="3">
        <f>E2649+E2409</f>
        <v>14.559000000000001</v>
      </c>
      <c r="P3401" s="3">
        <f>E3401*(VLOOKUP(B3401,Price_data!A$1:B$190,2,FALSE))</f>
        <v>14.305596314462701</v>
      </c>
      <c r="Q3401" s="3">
        <f>G3401*(VLOOKUP(B3401,Price_data!A$1:B$190,2,FALSE))</f>
        <v>0</v>
      </c>
      <c r="R3401" s="3">
        <f>I3401*(VLOOKUP(B3401,Price_data!A$1:B$190,2,FALSE))</f>
        <v>0</v>
      </c>
      <c r="S3401" s="4" t="str">
        <f>(VLOOKUP(B3401,Price_data!A$1:C$190,3,FALSE))</f>
        <v>EEZ</v>
      </c>
      <c r="T3401" s="2">
        <f>IF(C3401="Total", (VLOOKUP(B3401,Recommended_fish_intake!A$4:D$122,4,FALSE)), "NA")</f>
        <v>781.97369668782005</v>
      </c>
      <c r="U3401" s="2" t="str">
        <f t="shared" si="368"/>
        <v>NA</v>
      </c>
    </row>
    <row r="3402" spans="1:21" ht="14.25" customHeight="1">
      <c r="A3402" s="2" t="s">
        <v>15</v>
      </c>
      <c r="B3402" s="2">
        <v>2001</v>
      </c>
      <c r="C3402" s="2" t="s">
        <v>16</v>
      </c>
      <c r="D3402" s="2">
        <v>458.35</v>
      </c>
      <c r="E3402" s="2">
        <v>423.68700000000001</v>
      </c>
      <c r="F3402" s="3">
        <f>L3402/1000</f>
        <v>390.96600000000001</v>
      </c>
      <c r="G3402" s="3">
        <f>M3402/1000</f>
        <v>744.64599999999996</v>
      </c>
      <c r="H3402" s="3">
        <f>N3402/1000</f>
        <v>626.57000000000005</v>
      </c>
      <c r="I3402" s="3">
        <f>O3402/1000</f>
        <v>1435.143</v>
      </c>
      <c r="J3402" s="3"/>
      <c r="K3402" s="3"/>
      <c r="L3402" s="2">
        <v>390966</v>
      </c>
      <c r="M3402" s="2">
        <v>744646</v>
      </c>
      <c r="N3402" s="2">
        <v>626570</v>
      </c>
      <c r="O3402" s="2">
        <v>1435143</v>
      </c>
      <c r="P3402" s="3">
        <f>E3402*(VLOOKUP(B3402,Price_data!A$1:B$190,2,FALSE))</f>
        <v>416.31260290444112</v>
      </c>
      <c r="Q3402" s="3">
        <f>G3402*(VLOOKUP(B3402,Price_data!A$1:B$190,2,FALSE))</f>
        <v>731.68521692282377</v>
      </c>
      <c r="R3402" s="3">
        <f>I3402*(VLOOKUP(B3402,Price_data!A$1:B$190,2,FALSE))</f>
        <v>1410.163913148358</v>
      </c>
      <c r="S3402" s="4" t="str">
        <f>(VLOOKUP(B3402,Price_data!A$1:C$190,3,FALSE))</f>
        <v>EEZ</v>
      </c>
      <c r="T3402" s="2">
        <f>IF(C3402="Total", (VLOOKUP(B3402,Recommended_fish_intake!A$4:D$122,4,FALSE)), "NA")</f>
        <v>781.97369668782005</v>
      </c>
      <c r="U3402" s="2" t="str">
        <f t="shared" si="368"/>
        <v>NA</v>
      </c>
    </row>
    <row r="3403" spans="1:21" ht="14.25" customHeight="1">
      <c r="A3403" s="2" t="s">
        <v>15</v>
      </c>
      <c r="B3403" s="2">
        <v>2001</v>
      </c>
      <c r="C3403" s="2" t="s">
        <v>42</v>
      </c>
      <c r="D3403" s="2">
        <v>146.68</v>
      </c>
      <c r="E3403" s="2">
        <v>38.884999999999998</v>
      </c>
      <c r="F3403" s="2" t="s">
        <v>92</v>
      </c>
      <c r="G3403" s="2" t="s">
        <v>92</v>
      </c>
      <c r="H3403" s="2" t="s">
        <v>92</v>
      </c>
      <c r="I3403" s="2" t="s">
        <v>92</v>
      </c>
      <c r="P3403" s="3">
        <f>E3403*(VLOOKUP(B3403,Price_data!A$1:B$190,2,FALSE))</f>
        <v>38.208195115590499</v>
      </c>
      <c r="Q3403" s="3" t="e">
        <f>G3403*(VLOOKUP(B3403,Price_data!A$1:B$190,2,FALSE))</f>
        <v>#VALUE!</v>
      </c>
      <c r="R3403" s="3" t="e">
        <f>I3403*(VLOOKUP(B3403,Price_data!A$1:B$190,2,FALSE))</f>
        <v>#VALUE!</v>
      </c>
      <c r="S3403" s="4" t="str">
        <f>(VLOOKUP(B3403,Price_data!A$1:C$190,3,FALSE))</f>
        <v>EEZ</v>
      </c>
      <c r="T3403" s="2" t="str">
        <f>IF(C3403="Total", (VLOOKUP(B3403,Recommended_fish_intake!A$4:D$122,4,FALSE)), "NA")</f>
        <v>NA</v>
      </c>
      <c r="U3403" s="2" t="str">
        <f t="shared" si="368"/>
        <v>NA</v>
      </c>
    </row>
    <row r="3404" spans="1:21" ht="14.25" customHeight="1">
      <c r="A3404" s="2" t="s">
        <v>15</v>
      </c>
      <c r="B3404" s="2">
        <v>2001</v>
      </c>
      <c r="C3404" s="2" t="s">
        <v>36</v>
      </c>
      <c r="D3404" s="2">
        <v>24.959</v>
      </c>
      <c r="E3404" s="2">
        <v>27.83</v>
      </c>
      <c r="F3404" s="3">
        <f>L3404/1000</f>
        <v>14.342000000000001</v>
      </c>
      <c r="G3404" s="3">
        <f>M3404/1000</f>
        <v>34.165999999999997</v>
      </c>
      <c r="H3404" s="3">
        <f>N3404/1000</f>
        <v>2.8460000000000001</v>
      </c>
      <c r="I3404" s="3">
        <f>O3404/1000</f>
        <v>14.757</v>
      </c>
      <c r="J3404" s="3"/>
      <c r="K3404" s="3"/>
      <c r="L3404" s="2">
        <f>13790+552</f>
        <v>14342</v>
      </c>
      <c r="M3404" s="2">
        <f>28627+5539</f>
        <v>34166</v>
      </c>
      <c r="N3404" s="2">
        <f>1116+1730</f>
        <v>2846</v>
      </c>
      <c r="O3404" s="2">
        <f>4243+10514</f>
        <v>14757</v>
      </c>
      <c r="P3404" s="3">
        <f>E3404*(VLOOKUP(B3404,Price_data!A$1:B$190,2,FALSE))</f>
        <v>27.345610648499001</v>
      </c>
      <c r="Q3404" s="3">
        <f>G3404*(VLOOKUP(B3404,Price_data!A$1:B$190,2,FALSE))</f>
        <v>33.571330701279798</v>
      </c>
      <c r="R3404" s="3">
        <f>I3404*(VLOOKUP(B3404,Price_data!A$1:B$190,2,FALSE))</f>
        <v>14.5001500661121</v>
      </c>
      <c r="S3404" s="4" t="str">
        <f>(VLOOKUP(B3404,Price_data!A$1:C$190,3,FALSE))</f>
        <v>EEZ</v>
      </c>
      <c r="T3404" s="2" t="str">
        <f>IF(C3404="Total", (VLOOKUP(B3404,Recommended_fish_intake!A$4:D$122,4,FALSE)), "NA")</f>
        <v>NA</v>
      </c>
      <c r="U3404" s="2" t="str">
        <f t="shared" si="368"/>
        <v>NA</v>
      </c>
    </row>
    <row r="3405" spans="1:21" ht="14.25" customHeight="1">
      <c r="A3405" s="2" t="s">
        <v>15</v>
      </c>
      <c r="B3405" s="2">
        <v>2001</v>
      </c>
      <c r="C3405" s="2" t="s">
        <v>34</v>
      </c>
      <c r="D3405" s="2">
        <v>1.0780000000000001</v>
      </c>
      <c r="E3405" s="2">
        <v>11.436</v>
      </c>
      <c r="F3405" s="2" t="s">
        <v>92</v>
      </c>
      <c r="G3405" s="2" t="s">
        <v>92</v>
      </c>
      <c r="H3405" s="2" t="s">
        <v>92</v>
      </c>
      <c r="I3405" s="2" t="s">
        <v>92</v>
      </c>
      <c r="J3405" s="3"/>
      <c r="K3405" s="3"/>
      <c r="P3405" s="3">
        <f>E3405*(VLOOKUP(B3405,Price_data!A$1:B$190,2,FALSE))</f>
        <v>11.236953049810801</v>
      </c>
      <c r="Q3405" s="3" t="e">
        <f>G3405*(VLOOKUP(B3405,Price_data!A$1:B$190,2,FALSE))</f>
        <v>#VALUE!</v>
      </c>
      <c r="R3405" s="3" t="e">
        <f>I3405*(VLOOKUP(B3405,Price_data!A$1:B$190,2,FALSE))</f>
        <v>#VALUE!</v>
      </c>
      <c r="S3405" s="4" t="str">
        <f>(VLOOKUP(B3405,Price_data!A$1:C$190,3,FALSE))</f>
        <v>EEZ</v>
      </c>
      <c r="T3405" s="2" t="str">
        <f>IF(C3405="Total", (VLOOKUP(B3405,Recommended_fish_intake!A$4:D$122,4,FALSE)), "NA")</f>
        <v>NA</v>
      </c>
      <c r="U3405" s="2" t="str">
        <f t="shared" si="368"/>
        <v>NA</v>
      </c>
    </row>
    <row r="3406" spans="1:21" ht="14.25" customHeight="1">
      <c r="A3406" s="2" t="s">
        <v>15</v>
      </c>
      <c r="B3406" s="2">
        <v>2001</v>
      </c>
      <c r="C3406" s="2" t="s">
        <v>35</v>
      </c>
      <c r="D3406" s="2">
        <v>28.405000000000001</v>
      </c>
      <c r="E3406" s="2">
        <v>68.433000000000007</v>
      </c>
      <c r="F3406" s="2" t="s">
        <v>92</v>
      </c>
      <c r="G3406" s="2" t="s">
        <v>92</v>
      </c>
      <c r="H3406" s="2" t="s">
        <v>92</v>
      </c>
      <c r="I3406" s="2" t="s">
        <v>92</v>
      </c>
      <c r="J3406" s="3"/>
      <c r="K3406" s="3"/>
      <c r="P3406" s="3">
        <f>E3406*(VLOOKUP(B3406,Price_data!A$1:B$190,2,FALSE))</f>
        <v>67.241903467794913</v>
      </c>
      <c r="Q3406" s="3" t="e">
        <f>G3406*(VLOOKUP(B3406,Price_data!A$1:B$190,2,FALSE))</f>
        <v>#VALUE!</v>
      </c>
      <c r="R3406" s="3" t="e">
        <f>I3406*(VLOOKUP(B3406,Price_data!A$1:B$190,2,FALSE))</f>
        <v>#VALUE!</v>
      </c>
      <c r="S3406" s="4" t="str">
        <f>(VLOOKUP(B3406,Price_data!A$1:C$190,3,FALSE))</f>
        <v>EEZ</v>
      </c>
      <c r="T3406" s="2" t="str">
        <f>IF(C3406="Total", (VLOOKUP(B3406,Recommended_fish_intake!A$4:D$122,4,FALSE)), "NA")</f>
        <v>NA</v>
      </c>
      <c r="U3406" s="2" t="str">
        <f t="shared" si="368"/>
        <v>NA</v>
      </c>
    </row>
    <row r="3407" spans="1:21" ht="14.25" customHeight="1">
      <c r="A3407" s="2" t="s">
        <v>15</v>
      </c>
      <c r="B3407" s="2">
        <v>2001</v>
      </c>
      <c r="C3407" s="2" t="s">
        <v>52</v>
      </c>
      <c r="D3407" s="2">
        <v>28.175000000000001</v>
      </c>
      <c r="E3407" s="2">
        <v>33.520000000000003</v>
      </c>
      <c r="F3407" s="2" t="s">
        <v>92</v>
      </c>
      <c r="G3407" s="2" t="s">
        <v>92</v>
      </c>
      <c r="H3407" s="2" t="s">
        <v>92</v>
      </c>
      <c r="I3407" s="2" t="s">
        <v>92</v>
      </c>
      <c r="J3407" s="3"/>
      <c r="K3407" s="3"/>
      <c r="P3407" s="3">
        <f>E3407*(VLOOKUP(B3407,Price_data!A$1:B$190,2,FALSE))</f>
        <v>32.936574521656006</v>
      </c>
      <c r="Q3407" s="3" t="e">
        <f>G3407*(VLOOKUP(B3407,Price_data!A$1:B$190,2,FALSE))</f>
        <v>#VALUE!</v>
      </c>
      <c r="R3407" s="3" t="e">
        <f>I3407*(VLOOKUP(B3407,Price_data!A$1:B$190,2,FALSE))</f>
        <v>#VALUE!</v>
      </c>
      <c r="S3407" s="4" t="str">
        <f>(VLOOKUP(B3407,Price_data!A$1:C$190,3,FALSE))</f>
        <v>EEZ</v>
      </c>
      <c r="T3407" s="2" t="str">
        <f>IF(C3407="Total", (VLOOKUP(B3407,Recommended_fish_intake!A$4:D$122,4,FALSE)), "NA")</f>
        <v>NA</v>
      </c>
      <c r="U3407" s="2" t="str">
        <f t="shared" si="368"/>
        <v>NA</v>
      </c>
    </row>
    <row r="3408" spans="1:21" ht="14.25" customHeight="1">
      <c r="A3408" s="2" t="s">
        <v>15</v>
      </c>
      <c r="B3408" s="2">
        <v>2001</v>
      </c>
      <c r="C3408" s="2" t="s">
        <v>30</v>
      </c>
      <c r="D3408" s="2">
        <v>2.5539999999999998</v>
      </c>
      <c r="E3408" s="2">
        <v>3.5659999999999998</v>
      </c>
      <c r="F3408" s="3">
        <f t="shared" ref="F3408:I3410" si="369">L3408/1000</f>
        <v>29.132999999999999</v>
      </c>
      <c r="G3408" s="3">
        <f t="shared" si="369"/>
        <v>107.82</v>
      </c>
      <c r="H3408" s="3">
        <f t="shared" si="369"/>
        <v>83.195999999999998</v>
      </c>
      <c r="I3408" s="3">
        <f t="shared" si="369"/>
        <v>353.83699999999999</v>
      </c>
      <c r="J3408" s="3"/>
      <c r="K3408" s="3"/>
      <c r="L3408" s="2">
        <f>3541+21165+4427</f>
        <v>29133</v>
      </c>
      <c r="M3408" s="2">
        <f>12842+79759+15219</f>
        <v>107820</v>
      </c>
      <c r="N3408" s="2">
        <f>3989+34147+45060</f>
        <v>83196</v>
      </c>
      <c r="O3408" s="2">
        <f>14898+171696+167243</f>
        <v>353837</v>
      </c>
      <c r="P3408" s="3">
        <f>E3408*(VLOOKUP(B3408,Price_data!A$1:B$190,2,FALSE))</f>
        <v>3.5039327190998</v>
      </c>
      <c r="Q3408" s="3">
        <f>G3408*(VLOOKUP(B3408,Price_data!A$1:B$190,2,FALSE))</f>
        <v>105.943361125446</v>
      </c>
      <c r="R3408" s="3">
        <f>I3408*(VLOOKUP(B3408,Price_data!A$1:B$190,2,FALSE))</f>
        <v>347.67836273923609</v>
      </c>
      <c r="S3408" s="4" t="str">
        <f>(VLOOKUP(B3408,Price_data!A$1:C$190,3,FALSE))</f>
        <v>EEZ</v>
      </c>
      <c r="T3408" s="2" t="str">
        <f>IF(C3408="Total", (VLOOKUP(B3408,Recommended_fish_intake!A$4:D$122,4,FALSE)), "NA")</f>
        <v>NA</v>
      </c>
      <c r="U3408" s="2" t="str">
        <f t="shared" si="368"/>
        <v>NA</v>
      </c>
    </row>
    <row r="3409" spans="1:21" ht="14.25" customHeight="1">
      <c r="A3409" s="2" t="s">
        <v>15</v>
      </c>
      <c r="B3409" s="2">
        <v>2001</v>
      </c>
      <c r="C3409" s="2" t="s">
        <v>28</v>
      </c>
      <c r="D3409" s="2">
        <v>136.16300000000001</v>
      </c>
      <c r="E3409" s="2">
        <v>167.32300000000001</v>
      </c>
      <c r="F3409" s="3">
        <f t="shared" si="369"/>
        <v>97.25</v>
      </c>
      <c r="G3409" s="3">
        <f t="shared" si="369"/>
        <v>308.40899999999999</v>
      </c>
      <c r="H3409" s="3">
        <f t="shared" si="369"/>
        <v>102.217</v>
      </c>
      <c r="I3409" s="3">
        <f t="shared" si="369"/>
        <v>415.66399999999999</v>
      </c>
      <c r="J3409" s="3"/>
      <c r="K3409" s="3"/>
      <c r="L3409" s="2">
        <v>97250</v>
      </c>
      <c r="M3409" s="2">
        <v>308409</v>
      </c>
      <c r="N3409" s="2">
        <v>102217</v>
      </c>
      <c r="O3409" s="2">
        <v>415664</v>
      </c>
      <c r="P3409" s="3">
        <f>E3409*(VLOOKUP(B3409,Price_data!A$1:B$190,2,FALSE))</f>
        <v>164.41069387491191</v>
      </c>
      <c r="Q3409" s="3">
        <f>G3409*(VLOOKUP(B3409,Price_data!A$1:B$190,2,FALSE))</f>
        <v>303.04105046686772</v>
      </c>
      <c r="R3409" s="3">
        <f>I3409*(VLOOKUP(B3409,Price_data!A$1:B$190,2,FALSE))</f>
        <v>408.42924558381918</v>
      </c>
      <c r="S3409" s="4" t="str">
        <f>(VLOOKUP(B3409,Price_data!A$1:C$190,3,FALSE))</f>
        <v>EEZ</v>
      </c>
      <c r="T3409" s="2" t="str">
        <f>IF(C3409="Total", (VLOOKUP(B3409,Recommended_fish_intake!A$4:D$122,4,FALSE)), "NA")</f>
        <v>NA</v>
      </c>
      <c r="U3409" s="2">
        <f t="shared" si="368"/>
        <v>38.125640000000004</v>
      </c>
    </row>
    <row r="3410" spans="1:21" ht="14.25" customHeight="1">
      <c r="A3410" s="2" t="s">
        <v>15</v>
      </c>
      <c r="B3410" s="2">
        <v>2001</v>
      </c>
      <c r="C3410" s="2" t="s">
        <v>37</v>
      </c>
      <c r="D3410" s="2">
        <f>D3198+D3450</f>
        <v>34.061</v>
      </c>
      <c r="E3410" s="2">
        <f>E3198+E3450</f>
        <v>60.157000000000004</v>
      </c>
      <c r="F3410" s="3">
        <f t="shared" si="369"/>
        <v>293.71699999999998</v>
      </c>
      <c r="G3410" s="3">
        <f t="shared" si="369"/>
        <v>436.23700000000002</v>
      </c>
      <c r="H3410" s="3">
        <f t="shared" si="369"/>
        <v>524.35299999999995</v>
      </c>
      <c r="I3410" s="3">
        <f t="shared" si="369"/>
        <v>1019.479</v>
      </c>
      <c r="J3410" s="3"/>
      <c r="K3410" s="3"/>
      <c r="L3410" s="2">
        <v>293717</v>
      </c>
      <c r="M3410" s="2">
        <v>436237</v>
      </c>
      <c r="N3410" s="2">
        <v>524353</v>
      </c>
      <c r="O3410" s="2">
        <v>1019479</v>
      </c>
      <c r="P3410" s="3">
        <f>E3410*(VLOOKUP(B3410,Price_data!A$1:B$190,2,FALSE))</f>
        <v>59.109949686732108</v>
      </c>
      <c r="Q3410" s="3">
        <f>G3410*(VLOOKUP(B3410,Price_data!A$1:B$190,2,FALSE))</f>
        <v>428.64416645595617</v>
      </c>
      <c r="R3410" s="3">
        <f>I3410*(VLOOKUP(B3410,Price_data!A$1:B$190,2,FALSE))</f>
        <v>1001.7346675645388</v>
      </c>
      <c r="S3410" s="4" t="str">
        <f>(VLOOKUP(B3410,Price_data!A$1:C$190,3,FALSE))</f>
        <v>EEZ</v>
      </c>
      <c r="T3410" s="2" t="str">
        <f>IF(C3410="Total", (VLOOKUP(B3410,Recommended_fish_intake!A$4:D$122,4,FALSE)), "NA")</f>
        <v>NA</v>
      </c>
      <c r="U3410" s="2">
        <f t="shared" si="368"/>
        <v>16.689889999999998</v>
      </c>
    </row>
    <row r="3411" spans="1:21" ht="14.25" customHeight="1">
      <c r="A3411" s="2" t="s">
        <v>15</v>
      </c>
      <c r="B3411" s="2">
        <v>2001</v>
      </c>
      <c r="C3411" s="2" t="s">
        <v>41</v>
      </c>
      <c r="D3411" s="2">
        <v>175.50700000000001</v>
      </c>
      <c r="E3411" s="2">
        <v>217.47800000000001</v>
      </c>
      <c r="F3411" s="2" t="s">
        <v>92</v>
      </c>
      <c r="G3411" s="2" t="s">
        <v>92</v>
      </c>
      <c r="H3411" s="2" t="s">
        <v>92</v>
      </c>
      <c r="I3411" s="2" t="s">
        <v>92</v>
      </c>
      <c r="P3411" s="3">
        <f>E3411*(VLOOKUP(B3411,Price_data!A$1:B$190,2,FALSE))</f>
        <v>213.69273131923342</v>
      </c>
      <c r="Q3411" s="3" t="e">
        <f>G3411*(VLOOKUP(B3411,Price_data!A$1:B$190,2,FALSE))</f>
        <v>#VALUE!</v>
      </c>
      <c r="R3411" s="3" t="e">
        <f>I3411*(VLOOKUP(B3411,Price_data!A$1:B$190,2,FALSE))</f>
        <v>#VALUE!</v>
      </c>
      <c r="S3411" s="4" t="str">
        <f>(VLOOKUP(B3411,Price_data!A$1:C$190,3,FALSE))</f>
        <v>EEZ</v>
      </c>
      <c r="T3411" s="2" t="str">
        <f>IF(C3411="Total", (VLOOKUP(B3411,Recommended_fish_intake!A$4:D$122,4,FALSE)), "NA")</f>
        <v>NA</v>
      </c>
      <c r="U3411" s="2" t="str">
        <f t="shared" si="368"/>
        <v>NA</v>
      </c>
    </row>
    <row r="3412" spans="1:21" ht="14.25" customHeight="1">
      <c r="A3412" s="2" t="s">
        <v>15</v>
      </c>
      <c r="B3412" s="2">
        <v>2001</v>
      </c>
      <c r="C3412" s="2" t="s">
        <v>22</v>
      </c>
      <c r="D3412" s="2">
        <v>28.085999999999999</v>
      </c>
      <c r="E3412" s="2">
        <v>37.368000000000002</v>
      </c>
      <c r="F3412" s="3">
        <f t="shared" ref="F3412:I3417" si="370">L3412/1000</f>
        <v>11.702999999999999</v>
      </c>
      <c r="G3412" s="3">
        <f t="shared" si="370"/>
        <v>23.254999999999999</v>
      </c>
      <c r="H3412" s="3">
        <f t="shared" si="370"/>
        <v>127.18600000000001</v>
      </c>
      <c r="I3412" s="3">
        <f t="shared" si="370"/>
        <v>320.01299999999998</v>
      </c>
      <c r="J3412" s="3"/>
      <c r="K3412" s="3"/>
      <c r="L3412" s="2">
        <f>2528+319+4262+2450+655+157+1332</f>
        <v>11703</v>
      </c>
      <c r="M3412" s="2">
        <f>6235+1092+6916+6411+557+219+1825</f>
        <v>23255</v>
      </c>
      <c r="N3412" s="2">
        <f>16919+5896+17648+81776+2247+191+2509</f>
        <v>127186</v>
      </c>
      <c r="O3412" s="2">
        <f>30001+20714+24131+234429+3640+1096+6002</f>
        <v>320013</v>
      </c>
      <c r="P3412" s="3">
        <f>E3412*(VLOOKUP(B3412,Price_data!A$1:B$190,2,FALSE))</f>
        <v>36.717598947650401</v>
      </c>
      <c r="Q3412" s="3">
        <f>G3412*(VLOOKUP(B3412,Price_data!A$1:B$190,2,FALSE))</f>
        <v>22.850239871751501</v>
      </c>
      <c r="R3412" s="3">
        <f>I3412*(VLOOKUP(B3412,Price_data!A$1:B$190,2,FALSE))</f>
        <v>314.44307942716887</v>
      </c>
      <c r="S3412" s="4" t="str">
        <f>(VLOOKUP(B3412,Price_data!A$1:C$190,3,FALSE))</f>
        <v>EEZ</v>
      </c>
      <c r="T3412" s="2" t="str">
        <f>IF(C3412="Total", (VLOOKUP(B3412,Recommended_fish_intake!A$4:D$122,4,FALSE)), "NA")</f>
        <v>NA</v>
      </c>
      <c r="U3412" s="2" t="str">
        <f t="shared" si="368"/>
        <v>NA</v>
      </c>
    </row>
    <row r="3413" spans="1:21" ht="14.25" customHeight="1">
      <c r="A3413" s="2" t="s">
        <v>15</v>
      </c>
      <c r="B3413" s="2">
        <v>2001</v>
      </c>
      <c r="C3413" s="2" t="s">
        <v>20</v>
      </c>
      <c r="D3413" s="2">
        <v>63.911999999999999</v>
      </c>
      <c r="E3413" s="2">
        <v>23.876999999999999</v>
      </c>
      <c r="F3413" s="3">
        <f t="shared" si="370"/>
        <v>114.458</v>
      </c>
      <c r="G3413" s="3">
        <f t="shared" si="370"/>
        <v>66.153000000000006</v>
      </c>
      <c r="H3413" s="3">
        <f t="shared" si="370"/>
        <v>21.481999999999999</v>
      </c>
      <c r="I3413" s="3">
        <f t="shared" si="370"/>
        <v>15.305</v>
      </c>
      <c r="J3413" s="3"/>
      <c r="K3413" s="3"/>
      <c r="L3413" s="2">
        <f>10247+99289+2596+199+2127</f>
        <v>114458</v>
      </c>
      <c r="M3413" s="2">
        <f>4842+55513+1820+518+3460</f>
        <v>66153</v>
      </c>
      <c r="N3413" s="2">
        <f>15635+251+969+5+4622</f>
        <v>21482</v>
      </c>
      <c r="O3413" s="2">
        <f>5273+149+603+17+9263</f>
        <v>15305</v>
      </c>
      <c r="P3413" s="3">
        <f>E3413*(VLOOKUP(B3413,Price_data!A$1:B$190,2,FALSE))</f>
        <v>23.461413778448101</v>
      </c>
      <c r="Q3413" s="3">
        <f>G3413*(VLOOKUP(B3413,Price_data!A$1:B$190,2,FALSE))</f>
        <v>65.001587539710911</v>
      </c>
      <c r="R3413" s="3">
        <f>I3413*(VLOOKUP(B3413,Price_data!A$1:B$190,2,FALSE))</f>
        <v>15.0386119646165</v>
      </c>
      <c r="S3413" s="4" t="str">
        <f>(VLOOKUP(B3413,Price_data!A$1:C$190,3,FALSE))</f>
        <v>EEZ</v>
      </c>
      <c r="T3413" s="2" t="str">
        <f>IF(C3413="Total", (VLOOKUP(B3413,Recommended_fish_intake!A$4:D$122,4,FALSE)), "NA")</f>
        <v>NA</v>
      </c>
      <c r="U3413" s="2" t="str">
        <f t="shared" si="368"/>
        <v>NA</v>
      </c>
    </row>
    <row r="3414" spans="1:21" ht="14.25" customHeight="1">
      <c r="A3414" s="2" t="s">
        <v>15</v>
      </c>
      <c r="B3414" s="2">
        <v>2001</v>
      </c>
      <c r="C3414" s="2" t="s">
        <v>19</v>
      </c>
      <c r="D3414" s="2">
        <v>43.808</v>
      </c>
      <c r="E3414" s="2">
        <v>10.446999999999999</v>
      </c>
      <c r="F3414" s="3">
        <f t="shared" si="370"/>
        <v>32.497999999999998</v>
      </c>
      <c r="G3414" s="3">
        <f t="shared" si="370"/>
        <v>16.908000000000001</v>
      </c>
      <c r="H3414" s="3">
        <f t="shared" si="370"/>
        <v>6.2949999999999999</v>
      </c>
      <c r="I3414" s="3">
        <f t="shared" si="370"/>
        <v>6.2160000000000002</v>
      </c>
      <c r="J3414" s="3"/>
      <c r="K3414" s="3"/>
      <c r="L3414" s="2">
        <f>6600+19556+5277+158+268+639</f>
        <v>32498</v>
      </c>
      <c r="M3414" s="2">
        <f>3933+7717+3837+106+590+725</f>
        <v>16908</v>
      </c>
      <c r="N3414" s="2">
        <f>99+2791+744+609+583+1469</f>
        <v>6295</v>
      </c>
      <c r="O3414" s="2">
        <f>90+1517+626+526+725+2732</f>
        <v>6216</v>
      </c>
      <c r="P3414" s="3">
        <f>E3414*(VLOOKUP(B3414,Price_data!A$1:B$190,2,FALSE))</f>
        <v>10.2651668862691</v>
      </c>
      <c r="Q3414" s="3">
        <f>G3414*(VLOOKUP(B3414,Price_data!A$1:B$190,2,FALSE))</f>
        <v>16.613711277212403</v>
      </c>
      <c r="R3414" s="3">
        <f>I3414*(VLOOKUP(B3414,Price_data!A$1:B$190,2,FALSE))</f>
        <v>6.1078086881448002</v>
      </c>
      <c r="S3414" s="4" t="str">
        <f>(VLOOKUP(B3414,Price_data!A$1:C$190,3,FALSE))</f>
        <v>EEZ</v>
      </c>
      <c r="T3414" s="2" t="str">
        <f>IF(C3414="Total", (VLOOKUP(B3414,Recommended_fish_intake!A$4:D$122,4,FALSE)), "NA")</f>
        <v>NA</v>
      </c>
      <c r="U3414" s="2" t="str">
        <f t="shared" si="368"/>
        <v>NA</v>
      </c>
    </row>
    <row r="3415" spans="1:21" ht="14.25" customHeight="1">
      <c r="A3415" s="2" t="s">
        <v>15</v>
      </c>
      <c r="B3415" s="2">
        <v>2001</v>
      </c>
      <c r="C3415" s="2" t="s">
        <v>24</v>
      </c>
      <c r="D3415" s="2">
        <v>15.14</v>
      </c>
      <c r="E3415" s="2">
        <v>9.9130000000000003</v>
      </c>
      <c r="F3415" s="3">
        <f t="shared" si="370"/>
        <v>1.865</v>
      </c>
      <c r="G3415" s="3">
        <f t="shared" si="370"/>
        <v>4.2949999999999999</v>
      </c>
      <c r="H3415" s="3">
        <f t="shared" si="370"/>
        <v>2.996</v>
      </c>
      <c r="I3415" s="3">
        <f t="shared" si="370"/>
        <v>2.8260000000000001</v>
      </c>
      <c r="J3415" s="3"/>
      <c r="K3415" s="3"/>
      <c r="L3415" s="2">
        <f>1017+3+845</f>
        <v>1865</v>
      </c>
      <c r="M3415" s="2">
        <f>1673+10+2612</f>
        <v>4295</v>
      </c>
      <c r="N3415" s="2">
        <f>2855+9+132</f>
        <v>2996</v>
      </c>
      <c r="O3415" s="2">
        <f>2493+6+327</f>
        <v>2826</v>
      </c>
      <c r="P3415" s="3">
        <f>E3415*(VLOOKUP(B3415,Price_data!A$1:B$190,2,FALSE))</f>
        <v>9.7404613136389013</v>
      </c>
      <c r="Q3415" s="3">
        <f>G3415*(VLOOKUP(B3415,Price_data!A$1:B$190,2,FALSE))</f>
        <v>4.2202442592634997</v>
      </c>
      <c r="R3415" s="3">
        <f>I3415*(VLOOKUP(B3415,Price_data!A$1:B$190,2,FALSE))</f>
        <v>2.7768126371778004</v>
      </c>
      <c r="S3415" s="4" t="str">
        <f>(VLOOKUP(B3415,Price_data!A$1:C$190,3,FALSE))</f>
        <v>EEZ</v>
      </c>
      <c r="T3415" s="2" t="str">
        <f>IF(C3415="Total", (VLOOKUP(B3415,Recommended_fish_intake!A$4:D$122,4,FALSE)), "NA")</f>
        <v>NA</v>
      </c>
      <c r="U3415" s="2" t="str">
        <f t="shared" si="368"/>
        <v>NA</v>
      </c>
    </row>
    <row r="3416" spans="1:21" ht="14.25" customHeight="1">
      <c r="A3416" s="2" t="s">
        <v>15</v>
      </c>
      <c r="B3416" s="2">
        <v>2001</v>
      </c>
      <c r="C3416" s="2" t="s">
        <v>58</v>
      </c>
      <c r="D3416" s="2">
        <v>15.138999999999999</v>
      </c>
      <c r="E3416" s="2">
        <v>33.789000000000001</v>
      </c>
      <c r="F3416" s="3">
        <f t="shared" si="370"/>
        <v>2.6579999999999999</v>
      </c>
      <c r="G3416" s="3">
        <f t="shared" si="370"/>
        <v>15.532999999999999</v>
      </c>
      <c r="H3416" s="3">
        <f t="shared" si="370"/>
        <v>0.85</v>
      </c>
      <c r="I3416" s="3">
        <f t="shared" si="370"/>
        <v>3.0539999999999998</v>
      </c>
      <c r="J3416" s="3"/>
      <c r="K3416" s="3"/>
      <c r="L3416" s="2">
        <f>2443+83+132</f>
        <v>2658</v>
      </c>
      <c r="M3416" s="2">
        <f>14968+314+251</f>
        <v>15533</v>
      </c>
      <c r="N3416" s="2">
        <f>739+25+86</f>
        <v>850</v>
      </c>
      <c r="O3416" s="2">
        <f>2427+127+500</f>
        <v>3054</v>
      </c>
      <c r="P3416" s="3">
        <f>E3416*(VLOOKUP(B3416,Price_data!A$1:B$190,2,FALSE))</f>
        <v>33.200892497381702</v>
      </c>
      <c r="Q3416" s="3">
        <f>G3416*(VLOOKUP(B3416,Price_data!A$1:B$190,2,FALSE))</f>
        <v>15.2626435574249</v>
      </c>
      <c r="R3416" s="3">
        <f>I3416*(VLOOKUP(B3416,Price_data!A$1:B$190,2,FALSE))</f>
        <v>3.0008442299862002</v>
      </c>
      <c r="S3416" s="4" t="str">
        <f>(VLOOKUP(B3416,Price_data!A$1:C$190,3,FALSE))</f>
        <v>EEZ</v>
      </c>
      <c r="T3416" s="2" t="str">
        <f>IF(C3416="Total", (VLOOKUP(B3416,Recommended_fish_intake!A$4:D$122,4,FALSE)), "NA")</f>
        <v>NA</v>
      </c>
      <c r="U3416" s="2" t="str">
        <f t="shared" si="368"/>
        <v>NA</v>
      </c>
    </row>
    <row r="3417" spans="1:21" ht="14.25" customHeight="1">
      <c r="A3417" s="2" t="s">
        <v>15</v>
      </c>
      <c r="B3417" s="2">
        <v>2001</v>
      </c>
      <c r="C3417" s="2" t="s">
        <v>23</v>
      </c>
      <c r="D3417" s="2">
        <v>42.33</v>
      </c>
      <c r="E3417" s="2">
        <v>36.295000000000002</v>
      </c>
      <c r="F3417" s="3">
        <f t="shared" si="370"/>
        <v>1.266</v>
      </c>
      <c r="G3417" s="3">
        <f t="shared" si="370"/>
        <v>3.26</v>
      </c>
      <c r="H3417" s="3">
        <f t="shared" si="370"/>
        <v>49.457999999999998</v>
      </c>
      <c r="I3417" s="3">
        <f t="shared" si="370"/>
        <v>98.578000000000003</v>
      </c>
      <c r="J3417" s="3"/>
      <c r="K3417" s="3"/>
      <c r="L3417" s="2">
        <f>539+437+272+18</f>
        <v>1266</v>
      </c>
      <c r="M3417" s="2">
        <f>1860+420+968+12</f>
        <v>3260</v>
      </c>
      <c r="N3417" s="2">
        <f>19832+13659+15618+349</f>
        <v>49458</v>
      </c>
      <c r="O3417" s="2">
        <f>29020+19939+48959+660</f>
        <v>98578</v>
      </c>
      <c r="P3417" s="3">
        <f>E3417*(VLOOKUP(B3417,Price_data!A$1:B$190,2,FALSE))</f>
        <v>35.6632748288635</v>
      </c>
      <c r="Q3417" s="3">
        <f>G3417*(VLOOKUP(B3417,Price_data!A$1:B$190,2,FALSE))</f>
        <v>3.2032587392780001</v>
      </c>
      <c r="R3417" s="3">
        <f>I3417*(VLOOKUP(B3417,Price_data!A$1:B$190,2,FALSE))</f>
        <v>96.862220859063413</v>
      </c>
      <c r="S3417" s="4" t="str">
        <f>(VLOOKUP(B3417,Price_data!A$1:C$190,3,FALSE))</f>
        <v>EEZ</v>
      </c>
      <c r="T3417" s="2" t="str">
        <f>IF(C3417="Total", (VLOOKUP(B3417,Recommended_fish_intake!A$4:D$122,4,FALSE)), "NA")</f>
        <v>NA</v>
      </c>
      <c r="U3417" s="2" t="str">
        <f t="shared" si="368"/>
        <v>NA</v>
      </c>
    </row>
    <row r="3418" spans="1:21" ht="14.25" customHeight="1">
      <c r="A3418" s="2" t="s">
        <v>15</v>
      </c>
      <c r="B3418" s="2">
        <v>2001</v>
      </c>
      <c r="C3418" s="2" t="s">
        <v>21</v>
      </c>
      <c r="D3418" s="3">
        <v>5.0999999999999996</v>
      </c>
      <c r="E3418" s="3">
        <v>0.6</v>
      </c>
      <c r="F3418" s="2" t="s">
        <v>92</v>
      </c>
      <c r="G3418" s="2" t="s">
        <v>92</v>
      </c>
      <c r="H3418" s="2" t="s">
        <v>92</v>
      </c>
      <c r="I3418" s="2" t="s">
        <v>92</v>
      </c>
      <c r="P3418" s="3">
        <f>E3418*(VLOOKUP(B3418,Price_data!A$1:B$190,2,FALSE))</f>
        <v>0.58955682318000002</v>
      </c>
      <c r="Q3418" s="3" t="e">
        <f>G3418*(VLOOKUP(B3418,Price_data!A$1:B$190,2,FALSE))</f>
        <v>#VALUE!</v>
      </c>
      <c r="R3418" s="3" t="e">
        <f>I3418*(VLOOKUP(B3418,Price_data!A$1:B$190,2,FALSE))</f>
        <v>#VALUE!</v>
      </c>
      <c r="S3418" s="4" t="str">
        <f>(VLOOKUP(B3418,Price_data!A$1:C$190,3,FALSE))</f>
        <v>EEZ</v>
      </c>
      <c r="T3418" s="2" t="str">
        <f>IF(C3418="Total", (VLOOKUP(B3418,Recommended_fish_intake!A$4:D$122,4,FALSE)), "NA")</f>
        <v>NA</v>
      </c>
      <c r="U3418" s="2" t="str">
        <f t="shared" si="368"/>
        <v>NA</v>
      </c>
    </row>
    <row r="3419" spans="1:21" ht="14.25" customHeight="1">
      <c r="A3419" s="2" t="s">
        <v>15</v>
      </c>
      <c r="B3419" s="2">
        <v>2001</v>
      </c>
      <c r="C3419" s="2" t="s">
        <v>25</v>
      </c>
      <c r="D3419" s="2">
        <v>7.7</v>
      </c>
      <c r="E3419" s="2">
        <v>9</v>
      </c>
      <c r="F3419" s="3">
        <f t="shared" ref="F3419:I3421" si="371">IF(L3419="", NA(), L3419/1000)</f>
        <v>1.696</v>
      </c>
      <c r="G3419" s="3">
        <f t="shared" si="371"/>
        <v>2.5470000000000002</v>
      </c>
      <c r="H3419" s="3">
        <f t="shared" si="371"/>
        <v>7.1449999999999996</v>
      </c>
      <c r="I3419" s="3">
        <f t="shared" si="371"/>
        <v>20.132000000000001</v>
      </c>
      <c r="L3419" s="2">
        <f>1233+33+430</f>
        <v>1696</v>
      </c>
      <c r="M3419" s="2">
        <f>1274+28+1245</f>
        <v>2547</v>
      </c>
      <c r="N3419" s="2">
        <f>3373+463+3309</f>
        <v>7145</v>
      </c>
      <c r="O3419" s="2">
        <f>6804+448+12880</f>
        <v>20132</v>
      </c>
      <c r="P3419" s="3">
        <f>E3419*(VLOOKUP(B3419,Price_data!A$1:B$190,2,FALSE))</f>
        <v>8.8433523476999998</v>
      </c>
      <c r="Q3419" s="3">
        <f>G3419*(VLOOKUP(B3419,Price_data!A$1:B$190,2,FALSE))</f>
        <v>2.5026687143991002</v>
      </c>
      <c r="R3419" s="3">
        <f>I3419*(VLOOKUP(B3419,Price_data!A$1:B$190,2,FALSE))</f>
        <v>19.781596607099601</v>
      </c>
      <c r="S3419" s="4" t="str">
        <f>(VLOOKUP(B3419,Price_data!A$1:C$190,3,FALSE))</f>
        <v>EEZ</v>
      </c>
      <c r="T3419" s="2" t="str">
        <f>IF(C3419="Total", (VLOOKUP(B3419,Recommended_fish_intake!A$4:D$122,4,FALSE)), "NA")</f>
        <v>NA</v>
      </c>
      <c r="U3419" s="2" t="str">
        <f t="shared" si="368"/>
        <v>NA</v>
      </c>
    </row>
    <row r="3420" spans="1:21" ht="14.25" customHeight="1">
      <c r="A3420" s="2" t="s">
        <v>15</v>
      </c>
      <c r="B3420" s="2">
        <v>2001</v>
      </c>
      <c r="C3420" s="2" t="s">
        <v>43</v>
      </c>
      <c r="D3420" s="3" t="e">
        <v>#N/A</v>
      </c>
      <c r="E3420" s="3" t="e">
        <v>#N/A</v>
      </c>
      <c r="F3420" s="3">
        <f t="shared" si="371"/>
        <v>2.806</v>
      </c>
      <c r="G3420" s="3">
        <f t="shared" si="371"/>
        <v>6.0570000000000004</v>
      </c>
      <c r="H3420" s="3">
        <f t="shared" si="371"/>
        <v>101.22499999999999</v>
      </c>
      <c r="I3420" s="3">
        <f t="shared" si="371"/>
        <v>158.15799999999999</v>
      </c>
      <c r="L3420" s="2">
        <f>11+8+2787</f>
        <v>2806</v>
      </c>
      <c r="M3420" s="2">
        <f>115+24+5918</f>
        <v>6057</v>
      </c>
      <c r="N3420" s="2">
        <f>531+232+100462</f>
        <v>101225</v>
      </c>
      <c r="O3420" s="2">
        <f>2247+303+155608</f>
        <v>158158</v>
      </c>
      <c r="P3420" s="3" t="e">
        <f>E3420*(VLOOKUP(B3420,Price_data!A$1:B$190,2,FALSE))</f>
        <v>#N/A</v>
      </c>
      <c r="Q3420" s="3">
        <f>G3420*(VLOOKUP(B3420,Price_data!A$1:B$190,2,FALSE))</f>
        <v>5.9515761300021008</v>
      </c>
      <c r="R3420" s="3">
        <f>I3420*(VLOOKUP(B3420,Price_data!A$1:B$190,2,FALSE))</f>
        <v>155.4052134008374</v>
      </c>
      <c r="S3420" s="4" t="str">
        <f>(VLOOKUP(B3420,Price_data!A$1:C$190,3,FALSE))</f>
        <v>EEZ</v>
      </c>
      <c r="T3420" s="2" t="str">
        <f>IF(C3420="Total", (VLOOKUP(B3420,Recommended_fish_intake!A$4:D$122,4,FALSE)), "NA")</f>
        <v>NA</v>
      </c>
      <c r="U3420" s="2" t="str">
        <f t="shared" si="368"/>
        <v>NA</v>
      </c>
    </row>
    <row r="3421" spans="1:21" ht="14.25" customHeight="1">
      <c r="A3421" s="2" t="s">
        <v>15</v>
      </c>
      <c r="B3421" s="2">
        <v>2001</v>
      </c>
      <c r="C3421" s="2" t="s">
        <v>29</v>
      </c>
      <c r="D3421" s="3" t="e">
        <v>#N/A</v>
      </c>
      <c r="E3421" s="3" t="e">
        <v>#N/A</v>
      </c>
      <c r="F3421" s="3">
        <f t="shared" si="371"/>
        <v>59.691000000000003</v>
      </c>
      <c r="G3421" s="3">
        <f t="shared" si="371"/>
        <v>146.32300000000001</v>
      </c>
      <c r="H3421" s="3">
        <f t="shared" si="371"/>
        <v>55.432000000000002</v>
      </c>
      <c r="I3421" s="3">
        <f t="shared" si="371"/>
        <v>118.748</v>
      </c>
      <c r="L3421" s="2">
        <f>9+47056+3221+1006+1023+2874+3205+1297</f>
        <v>59691</v>
      </c>
      <c r="M3421" s="2">
        <f>97+98415+11724+908+29930+5249</f>
        <v>146323</v>
      </c>
      <c r="N3421" s="2">
        <f>39+5414+3390+1661+3200+433+41295</f>
        <v>55432</v>
      </c>
      <c r="O3421" s="2">
        <f>147+11855+7890+2408+6581+2712+87155</f>
        <v>118748</v>
      </c>
      <c r="P3421" s="3" t="e">
        <f>E3421*(VLOOKUP(B3421,Price_data!A$1:B$190,2,FALSE))</f>
        <v>#N/A</v>
      </c>
      <c r="Q3421" s="3">
        <f>G3421*(VLOOKUP(B3421,Price_data!A$1:B$190,2,FALSE))</f>
        <v>143.77620506361191</v>
      </c>
      <c r="R3421" s="3">
        <f>I3421*(VLOOKUP(B3421,Price_data!A$1:B$190,2,FALSE))</f>
        <v>116.68115606496441</v>
      </c>
      <c r="S3421" s="4" t="str">
        <f>(VLOOKUP(B3421,Price_data!A$1:C$190,3,FALSE))</f>
        <v>EEZ</v>
      </c>
      <c r="T3421" s="2" t="str">
        <f>IF(C3421="Total", (VLOOKUP(B3421,Recommended_fish_intake!A$4:D$122,4,FALSE)), "NA")</f>
        <v>NA</v>
      </c>
      <c r="U3421" s="2" t="str">
        <f t="shared" si="368"/>
        <v>NA</v>
      </c>
    </row>
    <row r="3422" spans="1:21" ht="14.25" customHeight="1">
      <c r="A3422" s="2" t="s">
        <v>90</v>
      </c>
      <c r="B3422" s="2">
        <v>2002</v>
      </c>
      <c r="C3422" s="2" t="s">
        <v>22</v>
      </c>
      <c r="D3422" s="2">
        <v>7.6</v>
      </c>
      <c r="E3422" s="2">
        <v>9.4</v>
      </c>
      <c r="P3422" s="3">
        <f>E3422*(VLOOKUP(B3422,Price_data!A$1:B$190,2,FALSE))</f>
        <v>9.0849086460800006</v>
      </c>
      <c r="Q3422" s="3">
        <f>G3422*(VLOOKUP(B3422,Price_data!A$1:B$190,2,FALSE))</f>
        <v>0</v>
      </c>
      <c r="R3422" s="3">
        <f>I3422*(VLOOKUP(B3422,Price_data!A$1:B$190,2,FALSE))</f>
        <v>0</v>
      </c>
      <c r="S3422" s="4" t="str">
        <f>(VLOOKUP(B3422,Price_data!A$1:C$190,3,FALSE))</f>
        <v>EEZ</v>
      </c>
      <c r="T3422" s="2" t="str">
        <f>IF(C3422="Total", (VLOOKUP(B3422,Recommended_fish_intake!A$4:D$122,4,FALSE)), "NA")</f>
        <v>NA</v>
      </c>
      <c r="U3422" s="2" t="str">
        <f t="shared" si="368"/>
        <v>NA</v>
      </c>
    </row>
    <row r="3423" spans="1:21" ht="14.25" customHeight="1">
      <c r="A3423" s="2" t="s">
        <v>90</v>
      </c>
      <c r="B3423" s="2">
        <v>2002</v>
      </c>
      <c r="C3423" s="2" t="s">
        <v>23</v>
      </c>
      <c r="D3423" s="2">
        <v>4.4000000000000004</v>
      </c>
      <c r="E3423" s="2">
        <v>3.3</v>
      </c>
      <c r="P3423" s="3">
        <f>E3423*(VLOOKUP(B3423,Price_data!A$1:B$190,2,FALSE))</f>
        <v>3.1893828225599998</v>
      </c>
      <c r="Q3423" s="3">
        <f>G3423*(VLOOKUP(B3423,Price_data!A$1:B$190,2,FALSE))</f>
        <v>0</v>
      </c>
      <c r="R3423" s="3">
        <f>I3423*(VLOOKUP(B3423,Price_data!A$1:B$190,2,FALSE))</f>
        <v>0</v>
      </c>
      <c r="S3423" s="4" t="str">
        <f>(VLOOKUP(B3423,Price_data!A$1:C$190,3,FALSE))</f>
        <v>EEZ</v>
      </c>
      <c r="T3423" s="2" t="str">
        <f>IF(C3423="Total", (VLOOKUP(B3423,Recommended_fish_intake!A$4:D$122,4,FALSE)), "NA")</f>
        <v>NA</v>
      </c>
      <c r="U3423" s="2" t="str">
        <f t="shared" si="368"/>
        <v>NA</v>
      </c>
    </row>
    <row r="3424" spans="1:21" ht="14.25" customHeight="1">
      <c r="A3424" s="2" t="s">
        <v>90</v>
      </c>
      <c r="B3424" s="2">
        <v>2002</v>
      </c>
      <c r="C3424" s="2" t="s">
        <v>58</v>
      </c>
      <c r="D3424" s="2">
        <v>2.8</v>
      </c>
      <c r="E3424" s="2">
        <v>6</v>
      </c>
      <c r="P3424" s="3">
        <f>E3424*(VLOOKUP(B3424,Price_data!A$1:B$190,2,FALSE))</f>
        <v>5.7988778592000001</v>
      </c>
      <c r="Q3424" s="3">
        <f>G3424*(VLOOKUP(B3424,Price_data!A$1:B$190,2,FALSE))</f>
        <v>0</v>
      </c>
      <c r="R3424" s="3">
        <f>I3424*(VLOOKUP(B3424,Price_data!A$1:B$190,2,FALSE))</f>
        <v>0</v>
      </c>
      <c r="S3424" s="4" t="str">
        <f>(VLOOKUP(B3424,Price_data!A$1:C$190,3,FALSE))</f>
        <v>EEZ</v>
      </c>
      <c r="T3424" s="2" t="str">
        <f>IF(C3424="Total", (VLOOKUP(B3424,Recommended_fish_intake!A$4:D$122,4,FALSE)), "NA")</f>
        <v>NA</v>
      </c>
      <c r="U3424" s="2" t="str">
        <f t="shared" si="368"/>
        <v>NA</v>
      </c>
    </row>
    <row r="3425" spans="1:21" ht="14.25" customHeight="1">
      <c r="A3425" s="2" t="s">
        <v>90</v>
      </c>
      <c r="B3425" s="2">
        <v>2002</v>
      </c>
      <c r="C3425" s="2" t="s">
        <v>24</v>
      </c>
      <c r="D3425" s="2">
        <v>2.2999999999999998</v>
      </c>
      <c r="E3425" s="2">
        <v>1.2</v>
      </c>
      <c r="P3425" s="3">
        <f>E3425*(VLOOKUP(B3425,Price_data!A$1:B$190,2,FALSE))</f>
        <v>1.15977557184</v>
      </c>
      <c r="Q3425" s="3">
        <f>G3425*(VLOOKUP(B3425,Price_data!A$1:B$190,2,FALSE))</f>
        <v>0</v>
      </c>
      <c r="R3425" s="3">
        <f>I3425*(VLOOKUP(B3425,Price_data!A$1:B$190,2,FALSE))</f>
        <v>0</v>
      </c>
      <c r="S3425" s="4" t="str">
        <f>(VLOOKUP(B3425,Price_data!A$1:C$190,3,FALSE))</f>
        <v>EEZ</v>
      </c>
      <c r="T3425" s="2" t="str">
        <f>IF(C3425="Total", (VLOOKUP(B3425,Recommended_fish_intake!A$4:D$122,4,FALSE)), "NA")</f>
        <v>NA</v>
      </c>
      <c r="U3425" s="2" t="str">
        <f t="shared" si="368"/>
        <v>NA</v>
      </c>
    </row>
    <row r="3426" spans="1:21" ht="14.25" customHeight="1">
      <c r="A3426" s="2" t="s">
        <v>90</v>
      </c>
      <c r="B3426" s="2">
        <v>2002</v>
      </c>
      <c r="C3426" s="2" t="s">
        <v>41</v>
      </c>
      <c r="D3426" s="2">
        <v>40.799999999999997</v>
      </c>
      <c r="E3426" s="2">
        <v>71.400000000000006</v>
      </c>
      <c r="P3426" s="3">
        <f>E3426*(VLOOKUP(B3426,Price_data!A$1:B$190,2,FALSE))</f>
        <v>69.006646524480004</v>
      </c>
      <c r="Q3426" s="3">
        <f>G3426*(VLOOKUP(B3426,Price_data!A$1:B$190,2,FALSE))</f>
        <v>0</v>
      </c>
      <c r="R3426" s="3">
        <f>I3426*(VLOOKUP(B3426,Price_data!A$1:B$190,2,FALSE))</f>
        <v>0</v>
      </c>
      <c r="S3426" s="4" t="str">
        <f>(VLOOKUP(B3426,Price_data!A$1:C$190,3,FALSE))</f>
        <v>EEZ</v>
      </c>
      <c r="T3426" s="2" t="str">
        <f>IF(C3426="Total", (VLOOKUP(B3426,Recommended_fish_intake!A$4:D$122,4,FALSE)), "NA")</f>
        <v>NA</v>
      </c>
      <c r="U3426" s="2" t="str">
        <f t="shared" si="368"/>
        <v>NA</v>
      </c>
    </row>
    <row r="3427" spans="1:21" ht="14.25" customHeight="1">
      <c r="A3427" s="2" t="s">
        <v>90</v>
      </c>
      <c r="B3427" s="2">
        <v>2002</v>
      </c>
      <c r="C3427" s="2" t="s">
        <v>19</v>
      </c>
      <c r="D3427" s="2">
        <v>0.3</v>
      </c>
      <c r="E3427" s="2">
        <v>0.2</v>
      </c>
      <c r="P3427" s="3">
        <f>E3427*(VLOOKUP(B3427,Price_data!A$1:B$190,2,FALSE))</f>
        <v>0.19329592864</v>
      </c>
      <c r="Q3427" s="3">
        <f>G3427*(VLOOKUP(B3427,Price_data!A$1:B$190,2,FALSE))</f>
        <v>0</v>
      </c>
      <c r="R3427" s="3">
        <f>I3427*(VLOOKUP(B3427,Price_data!A$1:B$190,2,FALSE))</f>
        <v>0</v>
      </c>
      <c r="S3427" s="4" t="str">
        <f>(VLOOKUP(B3427,Price_data!A$1:C$190,3,FALSE))</f>
        <v>EEZ</v>
      </c>
      <c r="T3427" s="2" t="str">
        <f>IF(C3427="Total", (VLOOKUP(B3427,Recommended_fish_intake!A$4:D$122,4,FALSE)), "NA")</f>
        <v>NA</v>
      </c>
      <c r="U3427" s="2" t="str">
        <f t="shared" si="368"/>
        <v>NA</v>
      </c>
    </row>
    <row r="3428" spans="1:21" ht="14.25" customHeight="1">
      <c r="A3428" s="2" t="s">
        <v>90</v>
      </c>
      <c r="B3428" s="2">
        <v>2002</v>
      </c>
      <c r="C3428" s="2" t="s">
        <v>20</v>
      </c>
      <c r="D3428" s="2">
        <v>5.5</v>
      </c>
      <c r="E3428" s="2">
        <v>1.9</v>
      </c>
      <c r="P3428" s="3">
        <f>E3428*(VLOOKUP(B3428,Price_data!A$1:B$190,2,FALSE))</f>
        <v>1.83631132208</v>
      </c>
      <c r="Q3428" s="3">
        <f>G3428*(VLOOKUP(B3428,Price_data!A$1:B$190,2,FALSE))</f>
        <v>0</v>
      </c>
      <c r="R3428" s="3">
        <f>I3428*(VLOOKUP(B3428,Price_data!A$1:B$190,2,FALSE))</f>
        <v>0</v>
      </c>
      <c r="S3428" s="4" t="str">
        <f>(VLOOKUP(B3428,Price_data!A$1:C$190,3,FALSE))</f>
        <v>EEZ</v>
      </c>
      <c r="T3428" s="2" t="str">
        <f>IF(C3428="Total", (VLOOKUP(B3428,Recommended_fish_intake!A$4:D$122,4,FALSE)), "NA")</f>
        <v>NA</v>
      </c>
      <c r="U3428" s="2" t="str">
        <f t="shared" si="368"/>
        <v>NA</v>
      </c>
    </row>
    <row r="3429" spans="1:21" ht="14.25" customHeight="1">
      <c r="A3429" s="2" t="s">
        <v>90</v>
      </c>
      <c r="B3429" s="2">
        <v>2002</v>
      </c>
      <c r="C3429" s="2" t="s">
        <v>42</v>
      </c>
      <c r="D3429" s="2">
        <v>15.7</v>
      </c>
      <c r="E3429" s="2">
        <v>3.7</v>
      </c>
      <c r="P3429" s="3">
        <f>E3429*(VLOOKUP(B3429,Price_data!A$1:B$190,2,FALSE))</f>
        <v>3.5759746798400003</v>
      </c>
      <c r="Q3429" s="3">
        <f>G3429*(VLOOKUP(B3429,Price_data!A$1:B$190,2,FALSE))</f>
        <v>0</v>
      </c>
      <c r="R3429" s="3">
        <f>I3429*(VLOOKUP(B3429,Price_data!A$1:B$190,2,FALSE))</f>
        <v>0</v>
      </c>
      <c r="S3429" s="4" t="str">
        <f>(VLOOKUP(B3429,Price_data!A$1:C$190,3,FALSE))</f>
        <v>EEZ</v>
      </c>
      <c r="T3429" s="2" t="str">
        <f>IF(C3429="Total", (VLOOKUP(B3429,Recommended_fish_intake!A$4:D$122,4,FALSE)), "NA")</f>
        <v>NA</v>
      </c>
      <c r="U3429" s="2" t="str">
        <f t="shared" si="368"/>
        <v>NA</v>
      </c>
    </row>
    <row r="3430" spans="1:21" ht="14.25" customHeight="1">
      <c r="A3430" s="2" t="s">
        <v>90</v>
      </c>
      <c r="B3430" s="2">
        <v>2002</v>
      </c>
      <c r="C3430" s="2" t="s">
        <v>36</v>
      </c>
      <c r="D3430" s="2">
        <v>12.7</v>
      </c>
      <c r="E3430" s="2">
        <v>13.7</v>
      </c>
      <c r="P3430" s="3">
        <f>E3430*(VLOOKUP(B3430,Price_data!A$1:B$190,2,FALSE))</f>
        <v>13.240771111839999</v>
      </c>
      <c r="Q3430" s="3">
        <f>G3430*(VLOOKUP(B3430,Price_data!A$1:B$190,2,FALSE))</f>
        <v>0</v>
      </c>
      <c r="R3430" s="3">
        <f>I3430*(VLOOKUP(B3430,Price_data!A$1:B$190,2,FALSE))</f>
        <v>0</v>
      </c>
      <c r="S3430" s="4" t="str">
        <f>(VLOOKUP(B3430,Price_data!A$1:C$190,3,FALSE))</f>
        <v>EEZ</v>
      </c>
      <c r="T3430" s="2" t="str">
        <f>IF(C3430="Total", (VLOOKUP(B3430,Recommended_fish_intake!A$4:D$122,4,FALSE)), "NA")</f>
        <v>NA</v>
      </c>
      <c r="U3430" s="2" t="str">
        <f t="shared" si="368"/>
        <v>NA</v>
      </c>
    </row>
    <row r="3431" spans="1:21" ht="14.25" customHeight="1">
      <c r="A3431" s="2" t="s">
        <v>90</v>
      </c>
      <c r="B3431" s="2">
        <v>2002</v>
      </c>
      <c r="C3431" s="2" t="s">
        <v>34</v>
      </c>
      <c r="D3431" s="2">
        <v>0.8</v>
      </c>
      <c r="E3431" s="2">
        <v>8.1</v>
      </c>
      <c r="P3431" s="3">
        <f>E3431*(VLOOKUP(B3431,Price_data!A$1:B$190,2,FALSE))</f>
        <v>7.8284851099199999</v>
      </c>
      <c r="Q3431" s="3">
        <f>G3431*(VLOOKUP(B3431,Price_data!A$1:B$190,2,FALSE))</f>
        <v>0</v>
      </c>
      <c r="R3431" s="3">
        <f>I3431*(VLOOKUP(B3431,Price_data!A$1:B$190,2,FALSE))</f>
        <v>0</v>
      </c>
      <c r="S3431" s="4" t="str">
        <f>(VLOOKUP(B3431,Price_data!A$1:C$190,3,FALSE))</f>
        <v>EEZ</v>
      </c>
      <c r="T3431" s="2" t="str">
        <f>IF(C3431="Total", (VLOOKUP(B3431,Recommended_fish_intake!A$4:D$122,4,FALSE)), "NA")</f>
        <v>NA</v>
      </c>
      <c r="U3431" s="2" t="str">
        <f t="shared" si="368"/>
        <v>NA</v>
      </c>
    </row>
    <row r="3432" spans="1:21" ht="14.25" customHeight="1">
      <c r="A3432" s="2" t="s">
        <v>90</v>
      </c>
      <c r="B3432" s="2">
        <v>2002</v>
      </c>
      <c r="C3432" s="2" t="s">
        <v>35</v>
      </c>
      <c r="D3432" s="2">
        <v>2.4</v>
      </c>
      <c r="E3432" s="2">
        <v>4.8</v>
      </c>
      <c r="P3432" s="3">
        <f>E3432*(VLOOKUP(B3432,Price_data!A$1:B$190,2,FALSE))</f>
        <v>4.6391022873600001</v>
      </c>
      <c r="Q3432" s="3">
        <f>G3432*(VLOOKUP(B3432,Price_data!A$1:B$190,2,FALSE))</f>
        <v>0</v>
      </c>
      <c r="R3432" s="3">
        <f>I3432*(VLOOKUP(B3432,Price_data!A$1:B$190,2,FALSE))</f>
        <v>0</v>
      </c>
      <c r="S3432" s="4" t="str">
        <f>(VLOOKUP(B3432,Price_data!A$1:C$190,3,FALSE))</f>
        <v>EEZ</v>
      </c>
      <c r="T3432" s="2" t="str">
        <f>IF(C3432="Total", (VLOOKUP(B3432,Recommended_fish_intake!A$4:D$122,4,FALSE)), "NA")</f>
        <v>NA</v>
      </c>
      <c r="U3432" s="2" t="str">
        <f t="shared" si="368"/>
        <v>NA</v>
      </c>
    </row>
    <row r="3433" spans="1:21" ht="14.25" customHeight="1">
      <c r="A3433" s="2" t="s">
        <v>90</v>
      </c>
      <c r="B3433" s="2">
        <v>2002</v>
      </c>
      <c r="C3433" s="2" t="s">
        <v>52</v>
      </c>
      <c r="D3433" s="2">
        <v>11.9</v>
      </c>
      <c r="E3433" s="2">
        <v>13.6</v>
      </c>
      <c r="P3433" s="3">
        <f>E3433*(VLOOKUP(B3433,Price_data!A$1:B$190,2,FALSE))</f>
        <v>13.14412314752</v>
      </c>
      <c r="Q3433" s="3">
        <f>G3433*(VLOOKUP(B3433,Price_data!A$1:B$190,2,FALSE))</f>
        <v>0</v>
      </c>
      <c r="R3433" s="3">
        <f>I3433*(VLOOKUP(B3433,Price_data!A$1:B$190,2,FALSE))</f>
        <v>0</v>
      </c>
      <c r="S3433" s="4" t="str">
        <f>(VLOOKUP(B3433,Price_data!A$1:C$190,3,FALSE))</f>
        <v>EEZ</v>
      </c>
      <c r="T3433" s="2" t="str">
        <f>IF(C3433="Total", (VLOOKUP(B3433,Recommended_fish_intake!A$4:D$122,4,FALSE)), "NA")</f>
        <v>NA</v>
      </c>
      <c r="U3433" s="2" t="str">
        <f t="shared" si="368"/>
        <v>NA</v>
      </c>
    </row>
    <row r="3434" spans="1:21" ht="14.25" customHeight="1">
      <c r="A3434" s="2" t="s">
        <v>90</v>
      </c>
      <c r="B3434" s="2">
        <v>2002</v>
      </c>
      <c r="C3434" s="2" t="s">
        <v>30</v>
      </c>
      <c r="D3434" s="2">
        <v>1.5</v>
      </c>
      <c r="E3434" s="2">
        <v>2.5</v>
      </c>
      <c r="P3434" s="3">
        <f>E3434*(VLOOKUP(B3434,Price_data!A$1:B$190,2,FALSE))</f>
        <v>2.4161991079999998</v>
      </c>
      <c r="Q3434" s="3">
        <f>G3434*(VLOOKUP(B3434,Price_data!A$1:B$190,2,FALSE))</f>
        <v>0</v>
      </c>
      <c r="R3434" s="3">
        <f>I3434*(VLOOKUP(B3434,Price_data!A$1:B$190,2,FALSE))</f>
        <v>0</v>
      </c>
      <c r="S3434" s="4" t="str">
        <f>(VLOOKUP(B3434,Price_data!A$1:C$190,3,FALSE))</f>
        <v>EEZ</v>
      </c>
      <c r="T3434" s="2" t="str">
        <f>IF(C3434="Total", (VLOOKUP(B3434,Recommended_fish_intake!A$4:D$122,4,FALSE)), "NA")</f>
        <v>NA</v>
      </c>
      <c r="U3434" s="2" t="str">
        <f t="shared" si="368"/>
        <v>NA</v>
      </c>
    </row>
    <row r="3435" spans="1:21" ht="14.25" customHeight="1">
      <c r="A3435" s="2" t="s">
        <v>90</v>
      </c>
      <c r="B3435" s="2">
        <v>2002</v>
      </c>
      <c r="C3435" s="2" t="s">
        <v>28</v>
      </c>
      <c r="D3435" s="2">
        <v>72.900000000000006</v>
      </c>
      <c r="E3435" s="2">
        <v>62.3</v>
      </c>
      <c r="P3435" s="3">
        <f>E3435*(VLOOKUP(B3435,Price_data!A$1:B$190,2,FALSE))</f>
        <v>60.211681771359999</v>
      </c>
      <c r="Q3435" s="3">
        <f>G3435*(VLOOKUP(B3435,Price_data!A$1:B$190,2,FALSE))</f>
        <v>0</v>
      </c>
      <c r="R3435" s="3">
        <f>I3435*(VLOOKUP(B3435,Price_data!A$1:B$190,2,FALSE))</f>
        <v>0</v>
      </c>
      <c r="S3435" s="4" t="str">
        <f>(VLOOKUP(B3435,Price_data!A$1:C$190,3,FALSE))</f>
        <v>EEZ</v>
      </c>
      <c r="T3435" s="2" t="str">
        <f>IF(C3435="Total", (VLOOKUP(B3435,Recommended_fish_intake!A$4:D$122,4,FALSE)), "NA")</f>
        <v>NA</v>
      </c>
      <c r="U3435" s="2">
        <f t="shared" si="368"/>
        <v>20.412000000000003</v>
      </c>
    </row>
    <row r="3436" spans="1:21" ht="14.25" customHeight="1">
      <c r="A3436" s="2" t="s">
        <v>91</v>
      </c>
      <c r="B3436" s="2">
        <v>2002</v>
      </c>
      <c r="C3436" s="2" t="s">
        <v>22</v>
      </c>
      <c r="D3436" s="2">
        <v>0</v>
      </c>
      <c r="E3436" s="2">
        <v>0</v>
      </c>
      <c r="P3436" s="3">
        <f>E3436*(VLOOKUP(B3436,Price_data!A$1:B$190,2,FALSE))</f>
        <v>0</v>
      </c>
      <c r="Q3436" s="3">
        <f>G3436*(VLOOKUP(B3436,Price_data!A$1:B$190,2,FALSE))</f>
        <v>0</v>
      </c>
      <c r="R3436" s="3">
        <f>I3436*(VLOOKUP(B3436,Price_data!A$1:B$190,2,FALSE))</f>
        <v>0</v>
      </c>
      <c r="S3436" s="4" t="str">
        <f>(VLOOKUP(B3436,Price_data!A$1:C$190,3,FALSE))</f>
        <v>EEZ</v>
      </c>
      <c r="T3436" s="2" t="str">
        <f>IF(C3436="Total", (VLOOKUP(B3436,Recommended_fish_intake!A$4:D$122,4,FALSE)), "NA")</f>
        <v>NA</v>
      </c>
      <c r="U3436" s="2" t="str">
        <f t="shared" si="368"/>
        <v>NA</v>
      </c>
    </row>
    <row r="3437" spans="1:21" ht="14.25" customHeight="1">
      <c r="A3437" s="2" t="s">
        <v>91</v>
      </c>
      <c r="B3437" s="2">
        <v>2002</v>
      </c>
      <c r="C3437" s="2" t="s">
        <v>23</v>
      </c>
      <c r="D3437" s="2">
        <v>0</v>
      </c>
      <c r="E3437" s="2">
        <v>0</v>
      </c>
      <c r="P3437" s="3">
        <f>E3437*(VLOOKUP(B3437,Price_data!A$1:B$190,2,FALSE))</f>
        <v>0</v>
      </c>
      <c r="Q3437" s="3">
        <f>G3437*(VLOOKUP(B3437,Price_data!A$1:B$190,2,FALSE))</f>
        <v>0</v>
      </c>
      <c r="R3437" s="3">
        <f>I3437*(VLOOKUP(B3437,Price_data!A$1:B$190,2,FALSE))</f>
        <v>0</v>
      </c>
      <c r="S3437" s="4" t="str">
        <f>(VLOOKUP(B3437,Price_data!A$1:C$190,3,FALSE))</f>
        <v>EEZ</v>
      </c>
      <c r="T3437" s="2" t="str">
        <f>IF(C3437="Total", (VLOOKUP(B3437,Recommended_fish_intake!A$4:D$122,4,FALSE)), "NA")</f>
        <v>NA</v>
      </c>
      <c r="U3437" s="2" t="str">
        <f t="shared" si="368"/>
        <v>NA</v>
      </c>
    </row>
    <row r="3438" spans="1:21" ht="14.25" customHeight="1">
      <c r="A3438" s="2" t="s">
        <v>91</v>
      </c>
      <c r="B3438" s="2">
        <v>2002</v>
      </c>
      <c r="C3438" s="2" t="s">
        <v>58</v>
      </c>
      <c r="D3438" s="2">
        <v>0</v>
      </c>
      <c r="E3438" s="2">
        <v>0</v>
      </c>
      <c r="P3438" s="3">
        <f>E3438*(VLOOKUP(B3438,Price_data!A$1:B$190,2,FALSE))</f>
        <v>0</v>
      </c>
      <c r="Q3438" s="3">
        <f>G3438*(VLOOKUP(B3438,Price_data!A$1:B$190,2,FALSE))</f>
        <v>0</v>
      </c>
      <c r="R3438" s="3">
        <f>I3438*(VLOOKUP(B3438,Price_data!A$1:B$190,2,FALSE))</f>
        <v>0</v>
      </c>
      <c r="S3438" s="4" t="str">
        <f>(VLOOKUP(B3438,Price_data!A$1:C$190,3,FALSE))</f>
        <v>EEZ</v>
      </c>
      <c r="T3438" s="2" t="str">
        <f>IF(C3438="Total", (VLOOKUP(B3438,Recommended_fish_intake!A$4:D$122,4,FALSE)), "NA")</f>
        <v>NA</v>
      </c>
      <c r="U3438" s="2" t="str">
        <f t="shared" si="368"/>
        <v>NA</v>
      </c>
    </row>
    <row r="3439" spans="1:21" ht="14.25" customHeight="1">
      <c r="A3439" s="2" t="s">
        <v>91</v>
      </c>
      <c r="B3439" s="2">
        <v>2002</v>
      </c>
      <c r="C3439" s="2" t="s">
        <v>24</v>
      </c>
      <c r="D3439" s="2">
        <v>0</v>
      </c>
      <c r="E3439" s="2">
        <v>0</v>
      </c>
      <c r="P3439" s="3">
        <f>E3439*(VLOOKUP(B3439,Price_data!A$1:B$190,2,FALSE))</f>
        <v>0</v>
      </c>
      <c r="Q3439" s="3">
        <f>G3439*(VLOOKUP(B3439,Price_data!A$1:B$190,2,FALSE))</f>
        <v>0</v>
      </c>
      <c r="R3439" s="3">
        <f>I3439*(VLOOKUP(B3439,Price_data!A$1:B$190,2,FALSE))</f>
        <v>0</v>
      </c>
      <c r="S3439" s="4" t="str">
        <f>(VLOOKUP(B3439,Price_data!A$1:C$190,3,FALSE))</f>
        <v>EEZ</v>
      </c>
      <c r="T3439" s="2" t="str">
        <f>IF(C3439="Total", (VLOOKUP(B3439,Recommended_fish_intake!A$4:D$122,4,FALSE)), "NA")</f>
        <v>NA</v>
      </c>
      <c r="U3439" s="2" t="str">
        <f t="shared" si="368"/>
        <v>NA</v>
      </c>
    </row>
    <row r="3440" spans="1:21" ht="14.25" customHeight="1">
      <c r="A3440" s="2" t="s">
        <v>91</v>
      </c>
      <c r="B3440" s="2">
        <v>2002</v>
      </c>
      <c r="C3440" s="2" t="s">
        <v>41</v>
      </c>
      <c r="D3440" s="2">
        <v>0</v>
      </c>
      <c r="E3440" s="2">
        <v>0</v>
      </c>
      <c r="P3440" s="3">
        <f>E3440*(VLOOKUP(B3440,Price_data!A$1:B$190,2,FALSE))</f>
        <v>0</v>
      </c>
      <c r="Q3440" s="3">
        <f>G3440*(VLOOKUP(B3440,Price_data!A$1:B$190,2,FALSE))</f>
        <v>0</v>
      </c>
      <c r="R3440" s="3">
        <f>I3440*(VLOOKUP(B3440,Price_data!A$1:B$190,2,FALSE))</f>
        <v>0</v>
      </c>
      <c r="S3440" s="4" t="str">
        <f>(VLOOKUP(B3440,Price_data!A$1:C$190,3,FALSE))</f>
        <v>EEZ</v>
      </c>
      <c r="T3440" s="2" t="str">
        <f>IF(C3440="Total", (VLOOKUP(B3440,Recommended_fish_intake!A$4:D$122,4,FALSE)), "NA")</f>
        <v>NA</v>
      </c>
      <c r="U3440" s="2" t="str">
        <f t="shared" si="368"/>
        <v>NA</v>
      </c>
    </row>
    <row r="3441" spans="1:21" ht="14.25" customHeight="1">
      <c r="A3441" s="2" t="s">
        <v>91</v>
      </c>
      <c r="B3441" s="2">
        <v>2002</v>
      </c>
      <c r="C3441" s="2" t="s">
        <v>19</v>
      </c>
      <c r="D3441" s="2">
        <v>0</v>
      </c>
      <c r="E3441" s="2">
        <v>0</v>
      </c>
      <c r="P3441" s="3">
        <f>E3441*(VLOOKUP(B3441,Price_data!A$1:B$190,2,FALSE))</f>
        <v>0</v>
      </c>
      <c r="Q3441" s="3">
        <f>G3441*(VLOOKUP(B3441,Price_data!A$1:B$190,2,FALSE))</f>
        <v>0</v>
      </c>
      <c r="R3441" s="3">
        <f>I3441*(VLOOKUP(B3441,Price_data!A$1:B$190,2,FALSE))</f>
        <v>0</v>
      </c>
      <c r="S3441" s="4" t="str">
        <f>(VLOOKUP(B3441,Price_data!A$1:C$190,3,FALSE))</f>
        <v>EEZ</v>
      </c>
      <c r="T3441" s="2" t="str">
        <f>IF(C3441="Total", (VLOOKUP(B3441,Recommended_fish_intake!A$4:D$122,4,FALSE)), "NA")</f>
        <v>NA</v>
      </c>
      <c r="U3441" s="2" t="str">
        <f t="shared" si="368"/>
        <v>NA</v>
      </c>
    </row>
    <row r="3442" spans="1:21" ht="14.25" customHeight="1">
      <c r="A3442" s="2" t="s">
        <v>91</v>
      </c>
      <c r="B3442" s="2">
        <v>2002</v>
      </c>
      <c r="C3442" s="2" t="s">
        <v>20</v>
      </c>
      <c r="D3442" s="2">
        <v>0</v>
      </c>
      <c r="E3442" s="2">
        <v>0</v>
      </c>
      <c r="P3442" s="3">
        <f>E3442*(VLOOKUP(B3442,Price_data!A$1:B$190,2,FALSE))</f>
        <v>0</v>
      </c>
      <c r="Q3442" s="3">
        <f>G3442*(VLOOKUP(B3442,Price_data!A$1:B$190,2,FALSE))</f>
        <v>0</v>
      </c>
      <c r="R3442" s="3">
        <f>I3442*(VLOOKUP(B3442,Price_data!A$1:B$190,2,FALSE))</f>
        <v>0</v>
      </c>
      <c r="S3442" s="4" t="str">
        <f>(VLOOKUP(B3442,Price_data!A$1:C$190,3,FALSE))</f>
        <v>EEZ</v>
      </c>
      <c r="T3442" s="2" t="str">
        <f>IF(C3442="Total", (VLOOKUP(B3442,Recommended_fish_intake!A$4:D$122,4,FALSE)), "NA")</f>
        <v>NA</v>
      </c>
      <c r="U3442" s="2" t="str">
        <f t="shared" si="368"/>
        <v>NA</v>
      </c>
    </row>
    <row r="3443" spans="1:21" ht="14.25" customHeight="1">
      <c r="A3443" s="2" t="s">
        <v>91</v>
      </c>
      <c r="B3443" s="2">
        <v>2002</v>
      </c>
      <c r="C3443" s="2" t="s">
        <v>42</v>
      </c>
      <c r="D3443" s="2">
        <v>0</v>
      </c>
      <c r="E3443" s="2">
        <v>0</v>
      </c>
      <c r="P3443" s="3">
        <f>E3443*(VLOOKUP(B3443,Price_data!A$1:B$190,2,FALSE))</f>
        <v>0</v>
      </c>
      <c r="Q3443" s="3">
        <f>G3443*(VLOOKUP(B3443,Price_data!A$1:B$190,2,FALSE))</f>
        <v>0</v>
      </c>
      <c r="R3443" s="3">
        <f>I3443*(VLOOKUP(B3443,Price_data!A$1:B$190,2,FALSE))</f>
        <v>0</v>
      </c>
      <c r="S3443" s="4" t="str">
        <f>(VLOOKUP(B3443,Price_data!A$1:C$190,3,FALSE))</f>
        <v>EEZ</v>
      </c>
      <c r="T3443" s="2" t="str">
        <f>IF(C3443="Total", (VLOOKUP(B3443,Recommended_fish_intake!A$4:D$122,4,FALSE)), "NA")</f>
        <v>NA</v>
      </c>
      <c r="U3443" s="2" t="str">
        <f t="shared" si="368"/>
        <v>NA</v>
      </c>
    </row>
    <row r="3444" spans="1:21" ht="14.25" customHeight="1">
      <c r="A3444" s="2" t="s">
        <v>91</v>
      </c>
      <c r="B3444" s="2">
        <v>2002</v>
      </c>
      <c r="C3444" s="2" t="s">
        <v>36</v>
      </c>
      <c r="D3444" s="2">
        <v>0</v>
      </c>
      <c r="E3444" s="2">
        <v>0</v>
      </c>
      <c r="P3444" s="3">
        <f>E3444*(VLOOKUP(B3444,Price_data!A$1:B$190,2,FALSE))</f>
        <v>0</v>
      </c>
      <c r="Q3444" s="3">
        <f>G3444*(VLOOKUP(B3444,Price_data!A$1:B$190,2,FALSE))</f>
        <v>0</v>
      </c>
      <c r="R3444" s="3">
        <f>I3444*(VLOOKUP(B3444,Price_data!A$1:B$190,2,FALSE))</f>
        <v>0</v>
      </c>
      <c r="S3444" s="4" t="str">
        <f>(VLOOKUP(B3444,Price_data!A$1:C$190,3,FALSE))</f>
        <v>EEZ</v>
      </c>
      <c r="T3444" s="2" t="str">
        <f>IF(C3444="Total", (VLOOKUP(B3444,Recommended_fish_intake!A$4:D$122,4,FALSE)), "NA")</f>
        <v>NA</v>
      </c>
      <c r="U3444" s="2" t="str">
        <f t="shared" si="368"/>
        <v>NA</v>
      </c>
    </row>
    <row r="3445" spans="1:21" ht="14.25" customHeight="1">
      <c r="A3445" s="2" t="s">
        <v>91</v>
      </c>
      <c r="B3445" s="2">
        <v>2002</v>
      </c>
      <c r="C3445" s="2" t="s">
        <v>34</v>
      </c>
      <c r="D3445" s="2">
        <v>0</v>
      </c>
      <c r="E3445" s="2">
        <v>0</v>
      </c>
      <c r="P3445" s="3">
        <f>E3445*(VLOOKUP(B3445,Price_data!A$1:B$190,2,FALSE))</f>
        <v>0</v>
      </c>
      <c r="Q3445" s="3">
        <f>G3445*(VLOOKUP(B3445,Price_data!A$1:B$190,2,FALSE))</f>
        <v>0</v>
      </c>
      <c r="R3445" s="3">
        <f>I3445*(VLOOKUP(B3445,Price_data!A$1:B$190,2,FALSE))</f>
        <v>0</v>
      </c>
      <c r="S3445" s="4" t="str">
        <f>(VLOOKUP(B3445,Price_data!A$1:C$190,3,FALSE))</f>
        <v>EEZ</v>
      </c>
      <c r="T3445" s="2" t="str">
        <f>IF(C3445="Total", (VLOOKUP(B3445,Recommended_fish_intake!A$4:D$122,4,FALSE)), "NA")</f>
        <v>NA</v>
      </c>
      <c r="U3445" s="2" t="str">
        <f t="shared" si="368"/>
        <v>NA</v>
      </c>
    </row>
    <row r="3446" spans="1:21" ht="14.25" customHeight="1">
      <c r="A3446" s="2" t="s">
        <v>91</v>
      </c>
      <c r="B3446" s="2">
        <v>2002</v>
      </c>
      <c r="C3446" s="2" t="s">
        <v>35</v>
      </c>
      <c r="D3446" s="2">
        <v>0</v>
      </c>
      <c r="E3446" s="2">
        <v>0</v>
      </c>
      <c r="P3446" s="3">
        <f>E3446*(VLOOKUP(B3446,Price_data!A$1:B$190,2,FALSE))</f>
        <v>0</v>
      </c>
      <c r="Q3446" s="3">
        <f>G3446*(VLOOKUP(B3446,Price_data!A$1:B$190,2,FALSE))</f>
        <v>0</v>
      </c>
      <c r="R3446" s="3">
        <f>I3446*(VLOOKUP(B3446,Price_data!A$1:B$190,2,FALSE))</f>
        <v>0</v>
      </c>
      <c r="S3446" s="4" t="str">
        <f>(VLOOKUP(B3446,Price_data!A$1:C$190,3,FALSE))</f>
        <v>EEZ</v>
      </c>
      <c r="T3446" s="2" t="str">
        <f>IF(C3446="Total", (VLOOKUP(B3446,Recommended_fish_intake!A$4:D$122,4,FALSE)), "NA")</f>
        <v>NA</v>
      </c>
      <c r="U3446" s="2" t="str">
        <f t="shared" si="368"/>
        <v>NA</v>
      </c>
    </row>
    <row r="3447" spans="1:21" ht="14.25" customHeight="1">
      <c r="A3447" s="2" t="s">
        <v>91</v>
      </c>
      <c r="B3447" s="2">
        <v>2002</v>
      </c>
      <c r="C3447" s="2" t="s">
        <v>52</v>
      </c>
      <c r="D3447" s="2">
        <v>0</v>
      </c>
      <c r="E3447" s="2">
        <v>0</v>
      </c>
      <c r="P3447" s="3">
        <f>E3447*(VLOOKUP(B3447,Price_data!A$1:B$190,2,FALSE))</f>
        <v>0</v>
      </c>
      <c r="Q3447" s="3">
        <f>G3447*(VLOOKUP(B3447,Price_data!A$1:B$190,2,FALSE))</f>
        <v>0</v>
      </c>
      <c r="R3447" s="3">
        <f>I3447*(VLOOKUP(B3447,Price_data!A$1:B$190,2,FALSE))</f>
        <v>0</v>
      </c>
      <c r="S3447" s="4" t="str">
        <f>(VLOOKUP(B3447,Price_data!A$1:C$190,3,FALSE))</f>
        <v>EEZ</v>
      </c>
      <c r="T3447" s="2" t="str">
        <f>IF(C3447="Total", (VLOOKUP(B3447,Recommended_fish_intake!A$4:D$122,4,FALSE)), "NA")</f>
        <v>NA</v>
      </c>
      <c r="U3447" s="2" t="str">
        <f t="shared" si="368"/>
        <v>NA</v>
      </c>
    </row>
    <row r="3448" spans="1:21" ht="14.25" customHeight="1">
      <c r="A3448" s="2" t="s">
        <v>91</v>
      </c>
      <c r="B3448" s="2">
        <v>2002</v>
      </c>
      <c r="C3448" s="2" t="s">
        <v>30</v>
      </c>
      <c r="D3448" s="2">
        <v>0</v>
      </c>
      <c r="E3448" s="2">
        <v>0</v>
      </c>
      <c r="P3448" s="3">
        <f>E3448*(VLOOKUP(B3448,Price_data!A$1:B$190,2,FALSE))</f>
        <v>0</v>
      </c>
      <c r="Q3448" s="3">
        <f>G3448*(VLOOKUP(B3448,Price_data!A$1:B$190,2,FALSE))</f>
        <v>0</v>
      </c>
      <c r="R3448" s="3">
        <f>I3448*(VLOOKUP(B3448,Price_data!A$1:B$190,2,FALSE))</f>
        <v>0</v>
      </c>
      <c r="S3448" s="4" t="str">
        <f>(VLOOKUP(B3448,Price_data!A$1:C$190,3,FALSE))</f>
        <v>EEZ</v>
      </c>
      <c r="T3448" s="2" t="str">
        <f>IF(C3448="Total", (VLOOKUP(B3448,Recommended_fish_intake!A$4:D$122,4,FALSE)), "NA")</f>
        <v>NA</v>
      </c>
      <c r="U3448" s="2" t="str">
        <f t="shared" si="368"/>
        <v>NA</v>
      </c>
    </row>
    <row r="3449" spans="1:21" ht="14.25" customHeight="1">
      <c r="A3449" s="2" t="s">
        <v>91</v>
      </c>
      <c r="B3449" s="2">
        <v>2002</v>
      </c>
      <c r="C3449" s="2" t="s">
        <v>28</v>
      </c>
      <c r="D3449" s="2">
        <v>0</v>
      </c>
      <c r="E3449" s="2">
        <v>0</v>
      </c>
      <c r="P3449" s="3">
        <f>E3449*(VLOOKUP(B3449,Price_data!A$1:B$190,2,FALSE))</f>
        <v>0</v>
      </c>
      <c r="Q3449" s="3">
        <f>G3449*(VLOOKUP(B3449,Price_data!A$1:B$190,2,FALSE))</f>
        <v>0</v>
      </c>
      <c r="R3449" s="3">
        <f>I3449*(VLOOKUP(B3449,Price_data!A$1:B$190,2,FALSE))</f>
        <v>0</v>
      </c>
      <c r="S3449" s="4" t="str">
        <f>(VLOOKUP(B3449,Price_data!A$1:C$190,3,FALSE))</f>
        <v>EEZ</v>
      </c>
      <c r="T3449" s="2" t="str">
        <f>IF(C3449="Total", (VLOOKUP(B3449,Recommended_fish_intake!A$4:D$122,4,FALSE)), "NA")</f>
        <v>NA</v>
      </c>
      <c r="U3449" s="2">
        <f t="shared" si="368"/>
        <v>0</v>
      </c>
    </row>
    <row r="3450" spans="1:21" ht="14.25" customHeight="1">
      <c r="A3450" s="2" t="s">
        <v>39</v>
      </c>
      <c r="B3450" s="2">
        <v>2002</v>
      </c>
      <c r="C3450" s="2" t="s">
        <v>22</v>
      </c>
      <c r="D3450" s="2">
        <v>17.024999999999999</v>
      </c>
      <c r="E3450" s="2">
        <v>23.814</v>
      </c>
      <c r="P3450" s="3">
        <f>E3450*(VLOOKUP(B3450,Price_data!A$1:B$190,2,FALSE))</f>
        <v>23.0157462231648</v>
      </c>
      <c r="Q3450" s="3">
        <f>G3450*(VLOOKUP(B3450,Price_data!A$1:B$190,2,FALSE))</f>
        <v>0</v>
      </c>
      <c r="R3450" s="3">
        <f>I3450*(VLOOKUP(B3450,Price_data!A$1:B$190,2,FALSE))</f>
        <v>0</v>
      </c>
      <c r="S3450" s="4" t="str">
        <f>(VLOOKUP(B3450,Price_data!A$1:C$190,3,FALSE))</f>
        <v>EEZ</v>
      </c>
      <c r="T3450" s="2" t="str">
        <f>IF(C3450="Total", (VLOOKUP(B3450,Recommended_fish_intake!A$4:D$122,4,FALSE)), "NA")</f>
        <v>NA</v>
      </c>
      <c r="U3450" s="2" t="str">
        <f t="shared" si="368"/>
        <v>NA</v>
      </c>
    </row>
    <row r="3451" spans="1:21" ht="14.25" customHeight="1">
      <c r="A3451" s="2" t="s">
        <v>39</v>
      </c>
      <c r="B3451" s="2">
        <v>2002</v>
      </c>
      <c r="C3451" s="2" t="s">
        <v>23</v>
      </c>
      <c r="D3451" s="2">
        <v>46.841999999999999</v>
      </c>
      <c r="E3451" s="2">
        <v>30.641999999999999</v>
      </c>
      <c r="P3451" s="3">
        <f>E3451*(VLOOKUP(B3451,Price_data!A$1:B$190,2,FALSE))</f>
        <v>29.614869226934399</v>
      </c>
      <c r="Q3451" s="3">
        <f>G3451*(VLOOKUP(B3451,Price_data!A$1:B$190,2,FALSE))</f>
        <v>0</v>
      </c>
      <c r="R3451" s="3">
        <f>I3451*(VLOOKUP(B3451,Price_data!A$1:B$190,2,FALSE))</f>
        <v>0</v>
      </c>
      <c r="S3451" s="4" t="str">
        <f>(VLOOKUP(B3451,Price_data!A$1:C$190,3,FALSE))</f>
        <v>EEZ</v>
      </c>
      <c r="T3451" s="2" t="str">
        <f>IF(C3451="Total", (VLOOKUP(B3451,Recommended_fish_intake!A$4:D$122,4,FALSE)), "NA")</f>
        <v>NA</v>
      </c>
      <c r="U3451" s="2" t="str">
        <f t="shared" si="368"/>
        <v>NA</v>
      </c>
    </row>
    <row r="3452" spans="1:21" ht="14.25" customHeight="1">
      <c r="A3452" s="2" t="s">
        <v>39</v>
      </c>
      <c r="B3452" s="2">
        <v>2002</v>
      </c>
      <c r="C3452" s="2" t="s">
        <v>58</v>
      </c>
      <c r="D3452" s="2">
        <v>10.086</v>
      </c>
      <c r="E3452" s="2">
        <v>21.431999999999999</v>
      </c>
      <c r="P3452" s="3">
        <f>E3452*(VLOOKUP(B3452,Price_data!A$1:B$190,2,FALSE))</f>
        <v>20.713591713062399</v>
      </c>
      <c r="Q3452" s="3">
        <f>G3452*(VLOOKUP(B3452,Price_data!A$1:B$190,2,FALSE))</f>
        <v>0</v>
      </c>
      <c r="R3452" s="3">
        <f>I3452*(VLOOKUP(B3452,Price_data!A$1:B$190,2,FALSE))</f>
        <v>0</v>
      </c>
      <c r="S3452" s="4" t="str">
        <f>(VLOOKUP(B3452,Price_data!A$1:C$190,3,FALSE))</f>
        <v>EEZ</v>
      </c>
      <c r="T3452" s="2" t="str">
        <f>IF(C3452="Total", (VLOOKUP(B3452,Recommended_fish_intake!A$4:D$122,4,FALSE)), "NA")</f>
        <v>NA</v>
      </c>
      <c r="U3452" s="2" t="str">
        <f t="shared" si="368"/>
        <v>NA</v>
      </c>
    </row>
    <row r="3453" spans="1:21" ht="14.25" customHeight="1">
      <c r="A3453" s="2" t="s">
        <v>39</v>
      </c>
      <c r="B3453" s="2">
        <v>2002</v>
      </c>
      <c r="C3453" s="2" t="s">
        <v>24</v>
      </c>
      <c r="D3453" s="2">
        <v>8.8490000000000002</v>
      </c>
      <c r="E3453" s="2">
        <v>5.2149999999999999</v>
      </c>
      <c r="P3453" s="3">
        <f>E3453*(VLOOKUP(B3453,Price_data!A$1:B$190,2,FALSE))</f>
        <v>5.0401913392879996</v>
      </c>
      <c r="Q3453" s="3">
        <f>G3453*(VLOOKUP(B3453,Price_data!A$1:B$190,2,FALSE))</f>
        <v>0</v>
      </c>
      <c r="R3453" s="3">
        <f>I3453*(VLOOKUP(B3453,Price_data!A$1:B$190,2,FALSE))</f>
        <v>0</v>
      </c>
      <c r="S3453" s="4" t="str">
        <f>(VLOOKUP(B3453,Price_data!A$1:C$190,3,FALSE))</f>
        <v>EEZ</v>
      </c>
      <c r="T3453" s="2" t="str">
        <f>IF(C3453="Total", (VLOOKUP(B3453,Recommended_fish_intake!A$4:D$122,4,FALSE)), "NA")</f>
        <v>NA</v>
      </c>
      <c r="U3453" s="2" t="str">
        <f t="shared" si="368"/>
        <v>NA</v>
      </c>
    </row>
    <row r="3454" spans="1:21" ht="14.25" customHeight="1">
      <c r="A3454" s="2" t="s">
        <v>39</v>
      </c>
      <c r="B3454" s="2">
        <v>2002</v>
      </c>
      <c r="C3454" s="2" t="s">
        <v>41</v>
      </c>
      <c r="D3454" s="2">
        <v>122.01900000000001</v>
      </c>
      <c r="E3454" s="2">
        <v>119.307</v>
      </c>
      <c r="P3454" s="3">
        <f>E3454*(VLOOKUP(B3454,Price_data!A$1:B$190,2,FALSE))</f>
        <v>115.3077867912624</v>
      </c>
      <c r="Q3454" s="3">
        <f>G3454*(VLOOKUP(B3454,Price_data!A$1:B$190,2,FALSE))</f>
        <v>0</v>
      </c>
      <c r="R3454" s="3">
        <f>I3454*(VLOOKUP(B3454,Price_data!A$1:B$190,2,FALSE))</f>
        <v>0</v>
      </c>
      <c r="S3454" s="4" t="str">
        <f>(VLOOKUP(B3454,Price_data!A$1:C$190,3,FALSE))</f>
        <v>EEZ</v>
      </c>
      <c r="T3454" s="2" t="str">
        <f>IF(C3454="Total", (VLOOKUP(B3454,Recommended_fish_intake!A$4:D$122,4,FALSE)), "NA")</f>
        <v>NA</v>
      </c>
      <c r="U3454" s="2" t="str">
        <f t="shared" si="368"/>
        <v>NA</v>
      </c>
    </row>
    <row r="3455" spans="1:21" ht="14.25" customHeight="1">
      <c r="A3455" s="2" t="s">
        <v>39</v>
      </c>
      <c r="B3455" s="2">
        <v>2002</v>
      </c>
      <c r="C3455" s="2" t="s">
        <v>19</v>
      </c>
      <c r="D3455" s="2">
        <v>38.231000000000002</v>
      </c>
      <c r="E3455" s="2">
        <v>6.2190000000000003</v>
      </c>
      <c r="P3455" s="3">
        <f>E3455*(VLOOKUP(B3455,Price_data!A$1:B$190,2,FALSE))</f>
        <v>6.0105369010608003</v>
      </c>
      <c r="Q3455" s="3">
        <f>G3455*(VLOOKUP(B3455,Price_data!A$1:B$190,2,FALSE))</f>
        <v>0</v>
      </c>
      <c r="R3455" s="3">
        <f>I3455*(VLOOKUP(B3455,Price_data!A$1:B$190,2,FALSE))</f>
        <v>0</v>
      </c>
      <c r="S3455" s="4" t="str">
        <f>(VLOOKUP(B3455,Price_data!A$1:C$190,3,FALSE))</f>
        <v>EEZ</v>
      </c>
      <c r="T3455" s="2" t="str">
        <f>IF(C3455="Total", (VLOOKUP(B3455,Recommended_fish_intake!A$4:D$122,4,FALSE)), "NA")</f>
        <v>NA</v>
      </c>
      <c r="U3455" s="2" t="str">
        <f t="shared" si="368"/>
        <v>NA</v>
      </c>
    </row>
    <row r="3456" spans="1:21" ht="14.25" customHeight="1">
      <c r="A3456" s="2" t="s">
        <v>39</v>
      </c>
      <c r="B3456" s="2">
        <v>2002</v>
      </c>
      <c r="C3456" s="2" t="s">
        <v>20</v>
      </c>
      <c r="D3456" s="2">
        <v>89.515000000000001</v>
      </c>
      <c r="E3456" s="2">
        <v>40.256</v>
      </c>
      <c r="P3456" s="3">
        <f>E3456*(VLOOKUP(B3456,Price_data!A$1:B$190,2,FALSE))</f>
        <v>38.9066045166592</v>
      </c>
      <c r="Q3456" s="3">
        <f>G3456*(VLOOKUP(B3456,Price_data!A$1:B$190,2,FALSE))</f>
        <v>0</v>
      </c>
      <c r="R3456" s="3">
        <f>I3456*(VLOOKUP(B3456,Price_data!A$1:B$190,2,FALSE))</f>
        <v>0</v>
      </c>
      <c r="S3456" s="4" t="str">
        <f>(VLOOKUP(B3456,Price_data!A$1:C$190,3,FALSE))</f>
        <v>EEZ</v>
      </c>
      <c r="T3456" s="2" t="str">
        <f>IF(C3456="Total", (VLOOKUP(B3456,Recommended_fish_intake!A$4:D$122,4,FALSE)), "NA")</f>
        <v>NA</v>
      </c>
      <c r="U3456" s="2" t="str">
        <f t="shared" si="368"/>
        <v>NA</v>
      </c>
    </row>
    <row r="3457" spans="1:21" ht="14.25" customHeight="1">
      <c r="A3457" s="2" t="s">
        <v>39</v>
      </c>
      <c r="B3457" s="2">
        <v>2002</v>
      </c>
      <c r="C3457" s="2" t="s">
        <v>42</v>
      </c>
      <c r="D3457" s="2">
        <v>143.411</v>
      </c>
      <c r="E3457" s="2">
        <v>48.216999999999999</v>
      </c>
      <c r="P3457" s="3">
        <f>E3457*(VLOOKUP(B3457,Price_data!A$1:B$190,2,FALSE))</f>
        <v>46.600748956174399</v>
      </c>
      <c r="Q3457" s="3">
        <f>G3457*(VLOOKUP(B3457,Price_data!A$1:B$190,2,FALSE))</f>
        <v>0</v>
      </c>
      <c r="R3457" s="3">
        <f>I3457*(VLOOKUP(B3457,Price_data!A$1:B$190,2,FALSE))</f>
        <v>0</v>
      </c>
      <c r="S3457" s="4" t="str">
        <f>(VLOOKUP(B3457,Price_data!A$1:C$190,3,FALSE))</f>
        <v>EEZ</v>
      </c>
      <c r="T3457" s="2" t="str">
        <f>IF(C3457="Total", (VLOOKUP(B3457,Recommended_fish_intake!A$4:D$122,4,FALSE)), "NA")</f>
        <v>NA</v>
      </c>
      <c r="U3457" s="2" t="str">
        <f t="shared" si="368"/>
        <v>NA</v>
      </c>
    </row>
    <row r="3458" spans="1:21" ht="14.25" customHeight="1">
      <c r="A3458" s="2" t="s">
        <v>39</v>
      </c>
      <c r="B3458" s="2">
        <v>2002</v>
      </c>
      <c r="C3458" s="2" t="s">
        <v>36</v>
      </c>
      <c r="D3458" s="2">
        <v>10.141999999999999</v>
      </c>
      <c r="E3458" s="2">
        <v>11.952999999999999</v>
      </c>
      <c r="P3458" s="3">
        <f>E3458*(VLOOKUP(B3458,Price_data!A$1:B$190,2,FALSE))</f>
        <v>11.5523311751696</v>
      </c>
      <c r="Q3458" s="3">
        <f>G3458*(VLOOKUP(B3458,Price_data!A$1:B$190,2,FALSE))</f>
        <v>0</v>
      </c>
      <c r="R3458" s="3">
        <f>I3458*(VLOOKUP(B3458,Price_data!A$1:B$190,2,FALSE))</f>
        <v>0</v>
      </c>
      <c r="S3458" s="4" t="str">
        <f>(VLOOKUP(B3458,Price_data!A$1:C$190,3,FALSE))</f>
        <v>EEZ</v>
      </c>
      <c r="T3458" s="2" t="str">
        <f>IF(C3458="Total", (VLOOKUP(B3458,Recommended_fish_intake!A$4:D$122,4,FALSE)), "NA")</f>
        <v>NA</v>
      </c>
      <c r="U3458" s="2" t="str">
        <f t="shared" ref="U3458:U3521" si="372">IF(C3458="Wet fish", D3458*0.49, IF(C3458="Shellfish", D3458*0.28, "NA"))</f>
        <v>NA</v>
      </c>
    </row>
    <row r="3459" spans="1:21" ht="14.25" customHeight="1">
      <c r="A3459" s="2" t="s">
        <v>39</v>
      </c>
      <c r="B3459" s="2">
        <v>2002</v>
      </c>
      <c r="C3459" s="2" t="s">
        <v>34</v>
      </c>
      <c r="D3459" s="2">
        <v>0.33100000000000002</v>
      </c>
      <c r="E3459" s="2">
        <v>3.4350000000000001</v>
      </c>
      <c r="P3459" s="3">
        <f>E3459*(VLOOKUP(B3459,Price_data!A$1:B$190,2,FALSE))</f>
        <v>3.319857574392</v>
      </c>
      <c r="Q3459" s="3">
        <f>G3459*(VLOOKUP(B3459,Price_data!A$1:B$190,2,FALSE))</f>
        <v>0</v>
      </c>
      <c r="R3459" s="3">
        <f>I3459*(VLOOKUP(B3459,Price_data!A$1:B$190,2,FALSE))</f>
        <v>0</v>
      </c>
      <c r="S3459" s="4" t="str">
        <f>(VLOOKUP(B3459,Price_data!A$1:C$190,3,FALSE))</f>
        <v>EEZ</v>
      </c>
      <c r="T3459" s="2" t="str">
        <f>IF(C3459="Total", (VLOOKUP(B3459,Recommended_fish_intake!A$4:D$122,4,FALSE)), "NA")</f>
        <v>NA</v>
      </c>
      <c r="U3459" s="2" t="str">
        <f t="shared" si="372"/>
        <v>NA</v>
      </c>
    </row>
    <row r="3460" spans="1:21" ht="14.25" customHeight="1">
      <c r="A3460" s="2" t="s">
        <v>39</v>
      </c>
      <c r="B3460" s="2">
        <v>2002</v>
      </c>
      <c r="C3460" s="2" t="s">
        <v>35</v>
      </c>
      <c r="D3460" s="2">
        <v>21.36</v>
      </c>
      <c r="E3460" s="2">
        <v>56.448</v>
      </c>
      <c r="P3460" s="3">
        <f>E3460*(VLOOKUP(B3460,Price_data!A$1:B$190,2,FALSE))</f>
        <v>54.5558428993536</v>
      </c>
      <c r="Q3460" s="3">
        <f>G3460*(VLOOKUP(B3460,Price_data!A$1:B$190,2,FALSE))</f>
        <v>0</v>
      </c>
      <c r="R3460" s="3">
        <f>I3460*(VLOOKUP(B3460,Price_data!A$1:B$190,2,FALSE))</f>
        <v>0</v>
      </c>
      <c r="S3460" s="4" t="str">
        <f>(VLOOKUP(B3460,Price_data!A$1:C$190,3,FALSE))</f>
        <v>EEZ</v>
      </c>
      <c r="T3460" s="2" t="str">
        <f>IF(C3460="Total", (VLOOKUP(B3460,Recommended_fish_intake!A$4:D$122,4,FALSE)), "NA")</f>
        <v>NA</v>
      </c>
      <c r="U3460" s="2" t="str">
        <f t="shared" si="372"/>
        <v>NA</v>
      </c>
    </row>
    <row r="3461" spans="1:21" ht="14.25" customHeight="1">
      <c r="A3461" s="2" t="s">
        <v>39</v>
      </c>
      <c r="B3461" s="2">
        <v>2002</v>
      </c>
      <c r="C3461" s="2" t="s">
        <v>52</v>
      </c>
      <c r="D3461" s="2">
        <v>15.912000000000001</v>
      </c>
      <c r="E3461" s="2">
        <v>17.318000000000001</v>
      </c>
      <c r="P3461" s="3">
        <f>E3461*(VLOOKUP(B3461,Price_data!A$1:B$190,2,FALSE))</f>
        <v>16.737494460937601</v>
      </c>
      <c r="Q3461" s="3">
        <f>G3461*(VLOOKUP(B3461,Price_data!A$1:B$190,2,FALSE))</f>
        <v>0</v>
      </c>
      <c r="R3461" s="3">
        <f>I3461*(VLOOKUP(B3461,Price_data!A$1:B$190,2,FALSE))</f>
        <v>0</v>
      </c>
      <c r="S3461" s="4" t="str">
        <f>(VLOOKUP(B3461,Price_data!A$1:C$190,3,FALSE))</f>
        <v>EEZ</v>
      </c>
      <c r="T3461" s="2" t="str">
        <f>IF(C3461="Total", (VLOOKUP(B3461,Recommended_fish_intake!A$4:D$122,4,FALSE)), "NA")</f>
        <v>NA</v>
      </c>
      <c r="U3461" s="2" t="str">
        <f t="shared" si="372"/>
        <v>NA</v>
      </c>
    </row>
    <row r="3462" spans="1:21" ht="14.25" customHeight="1">
      <c r="A3462" s="2" t="s">
        <v>39</v>
      </c>
      <c r="B3462" s="2">
        <v>2002</v>
      </c>
      <c r="C3462" s="2" t="s">
        <v>30</v>
      </c>
      <c r="D3462" s="2">
        <v>6.2E-2</v>
      </c>
      <c r="E3462" s="2">
        <v>4.5999999999999999E-2</v>
      </c>
      <c r="P3462" s="3">
        <f>E3462*(VLOOKUP(B3462,Price_data!A$1:B$190,2,FALSE))</f>
        <v>4.4458063587200003E-2</v>
      </c>
      <c r="Q3462" s="3">
        <f>G3462*(VLOOKUP(B3462,Price_data!A$1:B$190,2,FALSE))</f>
        <v>0</v>
      </c>
      <c r="R3462" s="3">
        <f>I3462*(VLOOKUP(B3462,Price_data!A$1:B$190,2,FALSE))</f>
        <v>0</v>
      </c>
      <c r="S3462" s="4" t="str">
        <f>(VLOOKUP(B3462,Price_data!A$1:C$190,3,FALSE))</f>
        <v>EEZ</v>
      </c>
      <c r="T3462" s="2" t="str">
        <f>IF(C3462="Total", (VLOOKUP(B3462,Recommended_fish_intake!A$4:D$122,4,FALSE)), "NA")</f>
        <v>NA</v>
      </c>
      <c r="U3462" s="2" t="str">
        <f t="shared" si="372"/>
        <v>NA</v>
      </c>
    </row>
    <row r="3463" spans="1:21" ht="14.25" customHeight="1">
      <c r="A3463" s="2" t="s">
        <v>39</v>
      </c>
      <c r="B3463" s="2">
        <v>2002</v>
      </c>
      <c r="C3463" s="2" t="s">
        <v>28</v>
      </c>
      <c r="D3463" s="2">
        <v>50.838000000000001</v>
      </c>
      <c r="E3463" s="2">
        <v>92.123000000000005</v>
      </c>
      <c r="P3463" s="3">
        <f>E3463*(VLOOKUP(B3463,Price_data!A$1:B$190,2,FALSE))</f>
        <v>89.035004170513602</v>
      </c>
      <c r="Q3463" s="3">
        <f>G3463*(VLOOKUP(B3463,Price_data!A$1:B$190,2,FALSE))</f>
        <v>0</v>
      </c>
      <c r="R3463" s="3">
        <f>I3463*(VLOOKUP(B3463,Price_data!A$1:B$190,2,FALSE))</f>
        <v>0</v>
      </c>
      <c r="S3463" s="4" t="str">
        <f>(VLOOKUP(B3463,Price_data!A$1:C$190,3,FALSE))</f>
        <v>EEZ</v>
      </c>
      <c r="T3463" s="2" t="str">
        <f>IF(C3463="Total", (VLOOKUP(B3463,Recommended_fish_intake!A$4:D$122,4,FALSE)), "NA")</f>
        <v>NA</v>
      </c>
      <c r="U3463" s="2">
        <f t="shared" si="372"/>
        <v>14.234640000000002</v>
      </c>
    </row>
    <row r="3464" spans="1:21" ht="14.25" customHeight="1">
      <c r="A3464" s="2" t="s">
        <v>40</v>
      </c>
      <c r="B3464" s="2">
        <v>2002</v>
      </c>
      <c r="C3464" s="2" t="s">
        <v>22</v>
      </c>
      <c r="D3464" s="2">
        <v>1.1140000000000001</v>
      </c>
      <c r="E3464" s="2">
        <v>1.7789999999999999</v>
      </c>
      <c r="P3464" s="3">
        <f>E3464*(VLOOKUP(B3464,Price_data!A$1:B$190,2,FALSE))</f>
        <v>1.7193672852527999</v>
      </c>
      <c r="Q3464" s="3">
        <f>G3464*(VLOOKUP(B3464,Price_data!A$1:B$190,2,FALSE))</f>
        <v>0</v>
      </c>
      <c r="R3464" s="3">
        <f>I3464*(VLOOKUP(B3464,Price_data!A$1:B$190,2,FALSE))</f>
        <v>0</v>
      </c>
      <c r="S3464" s="4" t="str">
        <f>(VLOOKUP(B3464,Price_data!A$1:C$190,3,FALSE))</f>
        <v>EEZ</v>
      </c>
      <c r="T3464" s="2" t="str">
        <f>IF(C3464="Total", (VLOOKUP(B3464,Recommended_fish_intake!A$4:D$122,4,FALSE)), "NA")</f>
        <v>NA</v>
      </c>
      <c r="U3464" s="2" t="str">
        <f t="shared" si="372"/>
        <v>NA</v>
      </c>
    </row>
    <row r="3465" spans="1:21" ht="14.25" customHeight="1">
      <c r="A3465" s="2" t="s">
        <v>40</v>
      </c>
      <c r="B3465" s="2">
        <v>2002</v>
      </c>
      <c r="C3465" s="2" t="s">
        <v>23</v>
      </c>
      <c r="D3465" s="2">
        <v>0.64900000000000002</v>
      </c>
      <c r="E3465" s="2">
        <v>0.69699999999999995</v>
      </c>
      <c r="P3465" s="3">
        <f>E3465*(VLOOKUP(B3465,Price_data!A$1:B$190,2,FALSE))</f>
        <v>0.67363631131039992</v>
      </c>
      <c r="Q3465" s="3">
        <f>G3465*(VLOOKUP(B3465,Price_data!A$1:B$190,2,FALSE))</f>
        <v>0</v>
      </c>
      <c r="R3465" s="3">
        <f>I3465*(VLOOKUP(B3465,Price_data!A$1:B$190,2,FALSE))</f>
        <v>0</v>
      </c>
      <c r="S3465" s="4" t="str">
        <f>(VLOOKUP(B3465,Price_data!A$1:C$190,3,FALSE))</f>
        <v>EEZ</v>
      </c>
      <c r="T3465" s="2" t="str">
        <f>IF(C3465="Total", (VLOOKUP(B3465,Recommended_fish_intake!A$4:D$122,4,FALSE)), "NA")</f>
        <v>NA</v>
      </c>
      <c r="U3465" s="2" t="str">
        <f t="shared" si="372"/>
        <v>NA</v>
      </c>
    </row>
    <row r="3466" spans="1:21" ht="14.25" customHeight="1">
      <c r="A3466" s="2" t="s">
        <v>40</v>
      </c>
      <c r="B3466" s="2">
        <v>2002</v>
      </c>
      <c r="C3466" s="2" t="s">
        <v>58</v>
      </c>
      <c r="D3466" s="2">
        <v>0.22700000000000001</v>
      </c>
      <c r="E3466" s="2">
        <v>0.46300000000000002</v>
      </c>
      <c r="P3466" s="3">
        <f>E3466*(VLOOKUP(B3466,Price_data!A$1:B$190,2,FALSE))</f>
        <v>0.44748007480160001</v>
      </c>
      <c r="Q3466" s="3">
        <f>G3466*(VLOOKUP(B3466,Price_data!A$1:B$190,2,FALSE))</f>
        <v>0</v>
      </c>
      <c r="R3466" s="3">
        <f>I3466*(VLOOKUP(B3466,Price_data!A$1:B$190,2,FALSE))</f>
        <v>0</v>
      </c>
      <c r="S3466" s="4" t="str">
        <f>(VLOOKUP(B3466,Price_data!A$1:C$190,3,FALSE))</f>
        <v>EEZ</v>
      </c>
      <c r="T3466" s="2" t="str">
        <f>IF(C3466="Total", (VLOOKUP(B3466,Recommended_fish_intake!A$4:D$122,4,FALSE)), "NA")</f>
        <v>NA</v>
      </c>
      <c r="U3466" s="2" t="str">
        <f t="shared" si="372"/>
        <v>NA</v>
      </c>
    </row>
    <row r="3467" spans="1:21" ht="14.25" customHeight="1">
      <c r="A3467" s="2" t="s">
        <v>40</v>
      </c>
      <c r="B3467" s="2">
        <v>2002</v>
      </c>
      <c r="C3467" s="2" t="s">
        <v>24</v>
      </c>
      <c r="D3467" s="2">
        <v>0.313</v>
      </c>
      <c r="E3467" s="2">
        <v>0.19500000000000001</v>
      </c>
      <c r="P3467" s="3">
        <f>E3467*(VLOOKUP(B3467,Price_data!A$1:B$190,2,FALSE))</f>
        <v>0.18846353042400002</v>
      </c>
      <c r="Q3467" s="3">
        <f>G3467*(VLOOKUP(B3467,Price_data!A$1:B$190,2,FALSE))</f>
        <v>0</v>
      </c>
      <c r="R3467" s="3">
        <f>I3467*(VLOOKUP(B3467,Price_data!A$1:B$190,2,FALSE))</f>
        <v>0</v>
      </c>
      <c r="S3467" s="4" t="str">
        <f>(VLOOKUP(B3467,Price_data!A$1:C$190,3,FALSE))</f>
        <v>EEZ</v>
      </c>
      <c r="T3467" s="2" t="str">
        <f>IF(C3467="Total", (VLOOKUP(B3467,Recommended_fish_intake!A$4:D$122,4,FALSE)), "NA")</f>
        <v>NA</v>
      </c>
      <c r="U3467" s="2" t="str">
        <f t="shared" si="372"/>
        <v>NA</v>
      </c>
    </row>
    <row r="3468" spans="1:21" ht="14.25" customHeight="1">
      <c r="A3468" s="2" t="s">
        <v>40</v>
      </c>
      <c r="B3468" s="2">
        <v>2002</v>
      </c>
      <c r="C3468" s="2" t="s">
        <v>41</v>
      </c>
      <c r="D3468" s="2">
        <v>6.6589999999999998</v>
      </c>
      <c r="E3468" s="2">
        <v>7.1219999999999999</v>
      </c>
      <c r="P3468" s="3">
        <f>E3468*(VLOOKUP(B3468,Price_data!A$1:B$190,2,FALSE))</f>
        <v>6.8832680188703996</v>
      </c>
      <c r="Q3468" s="3">
        <f>G3468*(VLOOKUP(B3468,Price_data!A$1:B$190,2,FALSE))</f>
        <v>0</v>
      </c>
      <c r="R3468" s="3">
        <f>I3468*(VLOOKUP(B3468,Price_data!A$1:B$190,2,FALSE))</f>
        <v>0</v>
      </c>
      <c r="S3468" s="4" t="str">
        <f>(VLOOKUP(B3468,Price_data!A$1:C$190,3,FALSE))</f>
        <v>EEZ</v>
      </c>
      <c r="T3468" s="2" t="str">
        <f>IF(C3468="Total", (VLOOKUP(B3468,Recommended_fish_intake!A$4:D$122,4,FALSE)), "NA")</f>
        <v>NA</v>
      </c>
      <c r="U3468" s="2" t="str">
        <f t="shared" si="372"/>
        <v>NA</v>
      </c>
    </row>
    <row r="3469" spans="1:21" ht="14.25" customHeight="1">
      <c r="A3469" s="2" t="s">
        <v>40</v>
      </c>
      <c r="B3469" s="2">
        <v>2002</v>
      </c>
      <c r="C3469" s="2" t="s">
        <v>19</v>
      </c>
      <c r="D3469" s="2">
        <v>3.9060000000000001</v>
      </c>
      <c r="E3469" s="2">
        <v>0.49199999999999999</v>
      </c>
      <c r="P3469" s="3">
        <f>E3469*(VLOOKUP(B3469,Price_data!A$1:B$190,2,FALSE))</f>
        <v>0.47550798445440001</v>
      </c>
      <c r="Q3469" s="3">
        <f>G3469*(VLOOKUP(B3469,Price_data!A$1:B$190,2,FALSE))</f>
        <v>0</v>
      </c>
      <c r="R3469" s="3">
        <f>I3469*(VLOOKUP(B3469,Price_data!A$1:B$190,2,FALSE))</f>
        <v>0</v>
      </c>
      <c r="S3469" s="4" t="str">
        <f>(VLOOKUP(B3469,Price_data!A$1:C$190,3,FALSE))</f>
        <v>EEZ</v>
      </c>
      <c r="T3469" s="2" t="str">
        <f>IF(C3469="Total", (VLOOKUP(B3469,Recommended_fish_intake!A$4:D$122,4,FALSE)), "NA")</f>
        <v>NA</v>
      </c>
      <c r="U3469" s="2" t="str">
        <f t="shared" si="372"/>
        <v>NA</v>
      </c>
    </row>
    <row r="3470" spans="1:21" ht="14.25" customHeight="1">
      <c r="A3470" s="2" t="s">
        <v>40</v>
      </c>
      <c r="B3470" s="2">
        <v>2002</v>
      </c>
      <c r="C3470" s="2" t="s">
        <v>20</v>
      </c>
      <c r="D3470" s="2">
        <v>1.554</v>
      </c>
      <c r="E3470" s="2">
        <v>0.52600000000000002</v>
      </c>
      <c r="P3470" s="3">
        <f>E3470*(VLOOKUP(B3470,Price_data!A$1:B$190,2,FALSE))</f>
        <v>0.50836829232320002</v>
      </c>
      <c r="Q3470" s="3">
        <f>G3470*(VLOOKUP(B3470,Price_data!A$1:B$190,2,FALSE))</f>
        <v>0</v>
      </c>
      <c r="R3470" s="3">
        <f>I3470*(VLOOKUP(B3470,Price_data!A$1:B$190,2,FALSE))</f>
        <v>0</v>
      </c>
      <c r="S3470" s="4" t="str">
        <f>(VLOOKUP(B3470,Price_data!A$1:C$190,3,FALSE))</f>
        <v>EEZ</v>
      </c>
      <c r="T3470" s="2" t="str">
        <f>IF(C3470="Total", (VLOOKUP(B3470,Recommended_fish_intake!A$4:D$122,4,FALSE)), "NA")</f>
        <v>NA</v>
      </c>
      <c r="U3470" s="2" t="str">
        <f t="shared" si="372"/>
        <v>NA</v>
      </c>
    </row>
    <row r="3471" spans="1:21" ht="14.25" customHeight="1">
      <c r="A3471" s="2" t="s">
        <v>40</v>
      </c>
      <c r="B3471" s="2">
        <v>2002</v>
      </c>
      <c r="C3471" s="2" t="s">
        <v>42</v>
      </c>
      <c r="D3471" s="2">
        <v>6.2640000000000002</v>
      </c>
      <c r="E3471" s="2">
        <v>1.1000000000000001</v>
      </c>
      <c r="P3471" s="3">
        <f>E3471*(VLOOKUP(B3471,Price_data!A$1:B$190,2,FALSE))</f>
        <v>1.06312760752</v>
      </c>
      <c r="Q3471" s="3">
        <f>G3471*(VLOOKUP(B3471,Price_data!A$1:B$190,2,FALSE))</f>
        <v>0</v>
      </c>
      <c r="R3471" s="3">
        <f>I3471*(VLOOKUP(B3471,Price_data!A$1:B$190,2,FALSE))</f>
        <v>0</v>
      </c>
      <c r="S3471" s="4" t="str">
        <f>(VLOOKUP(B3471,Price_data!A$1:C$190,3,FALSE))</f>
        <v>EEZ</v>
      </c>
      <c r="T3471" s="2" t="str">
        <f>IF(C3471="Total", (VLOOKUP(B3471,Recommended_fish_intake!A$4:D$122,4,FALSE)), "NA")</f>
        <v>NA</v>
      </c>
      <c r="U3471" s="2" t="str">
        <f t="shared" si="372"/>
        <v>NA</v>
      </c>
    </row>
    <row r="3472" spans="1:21" ht="14.25" customHeight="1">
      <c r="A3472" s="2" t="s">
        <v>40</v>
      </c>
      <c r="B3472" s="2">
        <v>2002</v>
      </c>
      <c r="C3472" s="2" t="s">
        <v>36</v>
      </c>
      <c r="D3472" s="2">
        <v>0.376</v>
      </c>
      <c r="E3472" s="2">
        <v>0.33400000000000002</v>
      </c>
      <c r="P3472" s="3">
        <f>E3472*(VLOOKUP(B3472,Price_data!A$1:B$190,2,FALSE))</f>
        <v>0.32280420082880001</v>
      </c>
      <c r="Q3472" s="3">
        <f>G3472*(VLOOKUP(B3472,Price_data!A$1:B$190,2,FALSE))</f>
        <v>0</v>
      </c>
      <c r="R3472" s="3">
        <f>I3472*(VLOOKUP(B3472,Price_data!A$1:B$190,2,FALSE))</f>
        <v>0</v>
      </c>
      <c r="S3472" s="4" t="str">
        <f>(VLOOKUP(B3472,Price_data!A$1:C$190,3,FALSE))</f>
        <v>EEZ</v>
      </c>
      <c r="T3472" s="2" t="str">
        <f>IF(C3472="Total", (VLOOKUP(B3472,Recommended_fish_intake!A$4:D$122,4,FALSE)), "NA")</f>
        <v>NA</v>
      </c>
      <c r="U3472" s="2" t="str">
        <f t="shared" si="372"/>
        <v>NA</v>
      </c>
    </row>
    <row r="3473" spans="1:21" ht="14.25" customHeight="1">
      <c r="A3473" s="2" t="s">
        <v>40</v>
      </c>
      <c r="B3473" s="2">
        <v>2002</v>
      </c>
      <c r="C3473" s="2" t="s">
        <v>34</v>
      </c>
      <c r="D3473" s="2">
        <v>1.4999999999999999E-2</v>
      </c>
      <c r="E3473" s="2">
        <v>0.17299999999999999</v>
      </c>
      <c r="P3473" s="3">
        <f>E3473*(VLOOKUP(B3473,Price_data!A$1:B$190,2,FALSE))</f>
        <v>0.1672009782736</v>
      </c>
      <c r="Q3473" s="3">
        <f>G3473*(VLOOKUP(B3473,Price_data!A$1:B$190,2,FALSE))</f>
        <v>0</v>
      </c>
      <c r="R3473" s="3">
        <f>I3473*(VLOOKUP(B3473,Price_data!A$1:B$190,2,FALSE))</f>
        <v>0</v>
      </c>
      <c r="S3473" s="4" t="str">
        <f>(VLOOKUP(B3473,Price_data!A$1:C$190,3,FALSE))</f>
        <v>EEZ</v>
      </c>
      <c r="T3473" s="2" t="str">
        <f>IF(C3473="Total", (VLOOKUP(B3473,Recommended_fish_intake!A$4:D$122,4,FALSE)), "NA")</f>
        <v>NA</v>
      </c>
      <c r="U3473" s="2" t="str">
        <f t="shared" si="372"/>
        <v>NA</v>
      </c>
    </row>
    <row r="3474" spans="1:21" ht="14.25" customHeight="1">
      <c r="A3474" s="2" t="s">
        <v>40</v>
      </c>
      <c r="B3474" s="2">
        <v>2002</v>
      </c>
      <c r="C3474" s="2" t="s">
        <v>35</v>
      </c>
      <c r="D3474" s="2">
        <v>4.62</v>
      </c>
      <c r="E3474" s="2">
        <v>7.4649999999999999</v>
      </c>
      <c r="P3474" s="3">
        <f>E3474*(VLOOKUP(B3474,Price_data!A$1:B$190,2,FALSE))</f>
        <v>7.2147705364880004</v>
      </c>
      <c r="Q3474" s="3">
        <f>G3474*(VLOOKUP(B3474,Price_data!A$1:B$190,2,FALSE))</f>
        <v>0</v>
      </c>
      <c r="R3474" s="3">
        <f>I3474*(VLOOKUP(B3474,Price_data!A$1:B$190,2,FALSE))</f>
        <v>0</v>
      </c>
      <c r="S3474" s="4" t="str">
        <f>(VLOOKUP(B3474,Price_data!A$1:C$190,3,FALSE))</f>
        <v>EEZ</v>
      </c>
      <c r="T3474" s="2" t="str">
        <f>IF(C3474="Total", (VLOOKUP(B3474,Recommended_fish_intake!A$4:D$122,4,FALSE)), "NA")</f>
        <v>NA</v>
      </c>
      <c r="U3474" s="2" t="str">
        <f t="shared" si="372"/>
        <v>NA</v>
      </c>
    </row>
    <row r="3475" spans="1:21" ht="14.25" customHeight="1">
      <c r="A3475" s="2" t="s">
        <v>40</v>
      </c>
      <c r="B3475" s="2">
        <v>2002</v>
      </c>
      <c r="C3475" s="2" t="s">
        <v>52</v>
      </c>
      <c r="D3475" s="2">
        <v>1.7669999999999999</v>
      </c>
      <c r="E3475" s="2">
        <v>1.173</v>
      </c>
      <c r="P3475" s="3">
        <f>E3475*(VLOOKUP(B3475,Price_data!A$1:B$190,2,FALSE))</f>
        <v>1.1336806214736002</v>
      </c>
      <c r="Q3475" s="3">
        <f>G3475*(VLOOKUP(B3475,Price_data!A$1:B$190,2,FALSE))</f>
        <v>0</v>
      </c>
      <c r="R3475" s="3">
        <f>I3475*(VLOOKUP(B3475,Price_data!A$1:B$190,2,FALSE))</f>
        <v>0</v>
      </c>
      <c r="S3475" s="4" t="str">
        <f>(VLOOKUP(B3475,Price_data!A$1:C$190,3,FALSE))</f>
        <v>EEZ</v>
      </c>
      <c r="T3475" s="2" t="str">
        <f>IF(C3475="Total", (VLOOKUP(B3475,Recommended_fish_intake!A$4:D$122,4,FALSE)), "NA")</f>
        <v>NA</v>
      </c>
      <c r="U3475" s="2" t="str">
        <f t="shared" si="372"/>
        <v>NA</v>
      </c>
    </row>
    <row r="3476" spans="1:21" ht="14.25" customHeight="1">
      <c r="A3476" s="2" t="s">
        <v>40</v>
      </c>
      <c r="B3476" s="2">
        <v>2002</v>
      </c>
      <c r="C3476" s="2" t="s">
        <v>30</v>
      </c>
      <c r="D3476" s="2">
        <v>0</v>
      </c>
      <c r="E3476" s="2">
        <v>0</v>
      </c>
      <c r="P3476" s="3">
        <f>E3476*(VLOOKUP(B3476,Price_data!A$1:B$190,2,FALSE))</f>
        <v>0</v>
      </c>
      <c r="Q3476" s="3">
        <f>G3476*(VLOOKUP(B3476,Price_data!A$1:B$190,2,FALSE))</f>
        <v>0</v>
      </c>
      <c r="R3476" s="3">
        <f>I3476*(VLOOKUP(B3476,Price_data!A$1:B$190,2,FALSE))</f>
        <v>0</v>
      </c>
      <c r="S3476" s="4" t="str">
        <f>(VLOOKUP(B3476,Price_data!A$1:C$190,3,FALSE))</f>
        <v>EEZ</v>
      </c>
      <c r="T3476" s="2" t="str">
        <f>IF(C3476="Total", (VLOOKUP(B3476,Recommended_fish_intake!A$4:D$122,4,FALSE)), "NA")</f>
        <v>NA</v>
      </c>
      <c r="U3476" s="2" t="str">
        <f t="shared" si="372"/>
        <v>NA</v>
      </c>
    </row>
    <row r="3477" spans="1:21" ht="14.25" customHeight="1">
      <c r="A3477" s="2" t="s">
        <v>40</v>
      </c>
      <c r="B3477" s="2">
        <v>2002</v>
      </c>
      <c r="C3477" s="2" t="s">
        <v>28</v>
      </c>
      <c r="D3477" s="2">
        <v>6.9950000000000001</v>
      </c>
      <c r="E3477" s="2">
        <v>9.43</v>
      </c>
      <c r="P3477" s="3">
        <f>E3477*(VLOOKUP(B3477,Price_data!A$1:B$190,2,FALSE))</f>
        <v>9.1139030353759996</v>
      </c>
      <c r="Q3477" s="3">
        <f>G3477*(VLOOKUP(B3477,Price_data!A$1:B$190,2,FALSE))</f>
        <v>0</v>
      </c>
      <c r="R3477" s="3">
        <f>I3477*(VLOOKUP(B3477,Price_data!A$1:B$190,2,FALSE))</f>
        <v>0</v>
      </c>
      <c r="S3477" s="4" t="str">
        <f>(VLOOKUP(B3477,Price_data!A$1:C$190,3,FALSE))</f>
        <v>EEZ</v>
      </c>
      <c r="T3477" s="2" t="str">
        <f>IF(C3477="Total", (VLOOKUP(B3477,Recommended_fish_intake!A$4:D$122,4,FALSE)), "NA")</f>
        <v>NA</v>
      </c>
      <c r="U3477" s="2">
        <f t="shared" si="372"/>
        <v>1.9586000000000001</v>
      </c>
    </row>
    <row r="3478" spans="1:21" ht="14.25" customHeight="1">
      <c r="A3478" s="2" t="s">
        <v>40</v>
      </c>
      <c r="B3478" s="2">
        <v>2002</v>
      </c>
      <c r="C3478" s="4" t="s">
        <v>37</v>
      </c>
      <c r="D3478" s="3">
        <f>D3350+D3302</f>
        <v>21.934999999999999</v>
      </c>
      <c r="E3478" s="3">
        <f>E3350+E3302</f>
        <v>17.103999999999999</v>
      </c>
      <c r="P3478" s="3">
        <f>E3478*(VLOOKUP(B3478,Price_data!A$1:B$190,2,FALSE))</f>
        <v>16.530667817292798</v>
      </c>
      <c r="Q3478" s="3">
        <f>G3478*(VLOOKUP(B3478,Price_data!A$1:B$190,2,FALSE))</f>
        <v>0</v>
      </c>
      <c r="R3478" s="3">
        <f>I3478*(VLOOKUP(B3478,Price_data!A$1:B$190,2,FALSE))</f>
        <v>0</v>
      </c>
      <c r="S3478" s="4" t="str">
        <f>(VLOOKUP(B3478,Price_data!A$1:C$190,3,FALSE))</f>
        <v>EEZ</v>
      </c>
      <c r="T3478" s="2" t="str">
        <f>IF(C3478="Total", (VLOOKUP(B3478,Recommended_fish_intake!A$4:D$122,4,FALSE)), "NA")</f>
        <v>NA</v>
      </c>
      <c r="U3478" s="2">
        <f t="shared" si="372"/>
        <v>10.748149999999999</v>
      </c>
    </row>
    <row r="3479" spans="1:21" ht="14.25" customHeight="1">
      <c r="A3479" s="2" t="s">
        <v>39</v>
      </c>
      <c r="B3479" s="2">
        <v>2002</v>
      </c>
      <c r="C3479" s="4" t="s">
        <v>37</v>
      </c>
      <c r="D3479" s="3">
        <f>D3095+D3047</f>
        <v>110.962</v>
      </c>
      <c r="E3479" s="3">
        <f>E3095+E3047</f>
        <v>21.134</v>
      </c>
      <c r="P3479" s="3">
        <f>E3479*(VLOOKUP(B3479,Price_data!A$1:B$190,2,FALSE))</f>
        <v>20.425580779388799</v>
      </c>
      <c r="Q3479" s="3">
        <f>G3479*(VLOOKUP(B3479,Price_data!A$1:B$190,2,FALSE))</f>
        <v>0</v>
      </c>
      <c r="R3479" s="3">
        <f>I3479*(VLOOKUP(B3479,Price_data!A$1:B$190,2,FALSE))</f>
        <v>0</v>
      </c>
      <c r="S3479" s="4" t="str">
        <f>(VLOOKUP(B3479,Price_data!A$1:C$190,3,FALSE))</f>
        <v>EEZ</v>
      </c>
      <c r="T3479" s="2" t="str">
        <f>IF(C3479="Total", (VLOOKUP(B3479,Recommended_fish_intake!A$4:D$122,4,FALSE)), "NA")</f>
        <v>NA</v>
      </c>
      <c r="U3479" s="2">
        <f t="shared" si="372"/>
        <v>54.371380000000002</v>
      </c>
    </row>
    <row r="3480" spans="1:21" ht="14.25" customHeight="1">
      <c r="A3480" s="2" t="s">
        <v>18</v>
      </c>
      <c r="B3480" s="2">
        <v>2002</v>
      </c>
      <c r="C3480" s="2" t="s">
        <v>22</v>
      </c>
      <c r="D3480" s="3">
        <f t="shared" ref="D3480:E3493" si="373">D2728+D2488</f>
        <v>28.645000000000003</v>
      </c>
      <c r="E3480" s="3">
        <f t="shared" si="373"/>
        <v>55.828000000000003</v>
      </c>
      <c r="P3480" s="3">
        <f>E3480*(VLOOKUP(B3480,Price_data!A$1:B$190,2,FALSE))</f>
        <v>53.956625520569602</v>
      </c>
      <c r="Q3480" s="3">
        <f>G3480*(VLOOKUP(B3480,Price_data!A$1:B$190,2,FALSE))</f>
        <v>0</v>
      </c>
      <c r="R3480" s="3">
        <f>I3480*(VLOOKUP(B3480,Price_data!A$1:B$190,2,FALSE))</f>
        <v>0</v>
      </c>
      <c r="S3480" s="4" t="str">
        <f>(VLOOKUP(B3480,Price_data!A$1:C$190,3,FALSE))</f>
        <v>EEZ</v>
      </c>
      <c r="T3480" s="2" t="str">
        <f>IF(C3480="Total", (VLOOKUP(B3480,Recommended_fish_intake!A$4:D$122,4,FALSE)), "NA")</f>
        <v>NA</v>
      </c>
      <c r="U3480" s="2" t="str">
        <f t="shared" si="372"/>
        <v>NA</v>
      </c>
    </row>
    <row r="3481" spans="1:21" ht="14.25" customHeight="1">
      <c r="A3481" s="2" t="s">
        <v>18</v>
      </c>
      <c r="B3481" s="2">
        <v>2002</v>
      </c>
      <c r="C3481" s="2" t="s">
        <v>23</v>
      </c>
      <c r="D3481" s="3">
        <f t="shared" si="373"/>
        <v>42.052999999999997</v>
      </c>
      <c r="E3481" s="3">
        <f t="shared" si="373"/>
        <v>20.535</v>
      </c>
      <c r="P3481" s="3">
        <f>E3481*(VLOOKUP(B3481,Price_data!A$1:B$190,2,FALSE))</f>
        <v>19.846659473112002</v>
      </c>
      <c r="Q3481" s="3">
        <f>G3481*(VLOOKUP(B3481,Price_data!A$1:B$190,2,FALSE))</f>
        <v>0</v>
      </c>
      <c r="R3481" s="3">
        <f>I3481*(VLOOKUP(B3481,Price_data!A$1:B$190,2,FALSE))</f>
        <v>0</v>
      </c>
      <c r="S3481" s="4" t="str">
        <f>(VLOOKUP(B3481,Price_data!A$1:C$190,3,FALSE))</f>
        <v>EEZ</v>
      </c>
      <c r="T3481" s="2" t="str">
        <f>IF(C3481="Total", (VLOOKUP(B3481,Recommended_fish_intake!A$4:D$122,4,FALSE)), "NA")</f>
        <v>NA</v>
      </c>
      <c r="U3481" s="2" t="str">
        <f t="shared" si="372"/>
        <v>NA</v>
      </c>
    </row>
    <row r="3482" spans="1:21" ht="14.25" customHeight="1">
      <c r="A3482" s="2" t="s">
        <v>18</v>
      </c>
      <c r="B3482" s="2">
        <v>2002</v>
      </c>
      <c r="C3482" s="2" t="s">
        <v>58</v>
      </c>
      <c r="D3482" s="3">
        <f t="shared" si="373"/>
        <v>88.969000000000008</v>
      </c>
      <c r="E3482" s="3">
        <f t="shared" si="373"/>
        <v>12.956</v>
      </c>
      <c r="P3482" s="3">
        <f>E3482*(VLOOKUP(B3482,Price_data!A$1:B$190,2,FALSE))</f>
        <v>12.521710257299199</v>
      </c>
      <c r="Q3482" s="3">
        <f>G3482*(VLOOKUP(B3482,Price_data!A$1:B$190,2,FALSE))</f>
        <v>0</v>
      </c>
      <c r="R3482" s="3">
        <f>I3482*(VLOOKUP(B3482,Price_data!A$1:B$190,2,FALSE))</f>
        <v>0</v>
      </c>
      <c r="S3482" s="4" t="str">
        <f>(VLOOKUP(B3482,Price_data!A$1:C$190,3,FALSE))</f>
        <v>EEZ</v>
      </c>
      <c r="T3482" s="2" t="str">
        <f>IF(C3482="Total", (VLOOKUP(B3482,Recommended_fish_intake!A$4:D$122,4,FALSE)), "NA")</f>
        <v>NA</v>
      </c>
      <c r="U3482" s="2" t="str">
        <f t="shared" si="372"/>
        <v>NA</v>
      </c>
    </row>
    <row r="3483" spans="1:21" ht="14.25" customHeight="1">
      <c r="A3483" s="2" t="s">
        <v>18</v>
      </c>
      <c r="B3483" s="2">
        <v>2002</v>
      </c>
      <c r="C3483" s="2" t="s">
        <v>24</v>
      </c>
      <c r="D3483" s="3">
        <f t="shared" si="373"/>
        <v>206.11</v>
      </c>
      <c r="E3483" s="3">
        <f t="shared" si="373"/>
        <v>71.13</v>
      </c>
      <c r="P3483" s="3">
        <f>E3483*(VLOOKUP(B3483,Price_data!A$1:B$190,2,FALSE))</f>
        <v>68.745697020815996</v>
      </c>
      <c r="Q3483" s="3">
        <f>G3483*(VLOOKUP(B3483,Price_data!A$1:B$190,2,FALSE))</f>
        <v>0</v>
      </c>
      <c r="R3483" s="3">
        <f>I3483*(VLOOKUP(B3483,Price_data!A$1:B$190,2,FALSE))</f>
        <v>0</v>
      </c>
      <c r="S3483" s="4" t="str">
        <f>(VLOOKUP(B3483,Price_data!A$1:C$190,3,FALSE))</f>
        <v>EEZ</v>
      </c>
      <c r="T3483" s="2" t="str">
        <f>IF(C3483="Total", (VLOOKUP(B3483,Recommended_fish_intake!A$4:D$122,4,FALSE)), "NA")</f>
        <v>NA</v>
      </c>
      <c r="U3483" s="2" t="str">
        <f t="shared" si="372"/>
        <v>NA</v>
      </c>
    </row>
    <row r="3484" spans="1:21" ht="14.25" customHeight="1">
      <c r="A3484" s="2" t="s">
        <v>18</v>
      </c>
      <c r="B3484" s="2">
        <v>2002</v>
      </c>
      <c r="C3484" s="2" t="s">
        <v>41</v>
      </c>
      <c r="D3484" s="3">
        <f t="shared" si="373"/>
        <v>7.8999999999999995</v>
      </c>
      <c r="E3484" s="3">
        <f t="shared" si="373"/>
        <v>1.8</v>
      </c>
      <c r="P3484" s="3">
        <f>E3484*(VLOOKUP(B3484,Price_data!A$1:B$190,2,FALSE))</f>
        <v>1.73966335776</v>
      </c>
      <c r="Q3484" s="3">
        <f>G3484*(VLOOKUP(B3484,Price_data!A$1:B$190,2,FALSE))</f>
        <v>0</v>
      </c>
      <c r="R3484" s="3">
        <f>I3484*(VLOOKUP(B3484,Price_data!A$1:B$190,2,FALSE))</f>
        <v>0</v>
      </c>
      <c r="S3484" s="4" t="str">
        <f>(VLOOKUP(B3484,Price_data!A$1:C$190,3,FALSE))</f>
        <v>EEZ</v>
      </c>
      <c r="T3484" s="2" t="str">
        <f>IF(C3484="Total", (VLOOKUP(B3484,Recommended_fish_intake!A$4:D$122,4,FALSE)), "NA")</f>
        <v>NA</v>
      </c>
      <c r="U3484" s="2" t="str">
        <f t="shared" si="372"/>
        <v>NA</v>
      </c>
    </row>
    <row r="3485" spans="1:21" ht="14.25" customHeight="1">
      <c r="A3485" s="2" t="s">
        <v>18</v>
      </c>
      <c r="B3485" s="2">
        <v>2002</v>
      </c>
      <c r="C3485" s="2" t="s">
        <v>19</v>
      </c>
      <c r="D3485" s="3">
        <f t="shared" si="373"/>
        <v>70.8</v>
      </c>
      <c r="E3485" s="3">
        <f t="shared" si="373"/>
        <v>73.199999999999989</v>
      </c>
      <c r="P3485" s="3">
        <f>E3485*(VLOOKUP(B3485,Price_data!A$1:B$190,2,FALSE))</f>
        <v>70.746309882239984</v>
      </c>
      <c r="Q3485" s="3">
        <f>G3485*(VLOOKUP(B3485,Price_data!A$1:B$190,2,FALSE))</f>
        <v>0</v>
      </c>
      <c r="R3485" s="3">
        <f>I3485*(VLOOKUP(B3485,Price_data!A$1:B$190,2,FALSE))</f>
        <v>0</v>
      </c>
      <c r="S3485" s="4" t="str">
        <f>(VLOOKUP(B3485,Price_data!A$1:C$190,3,FALSE))</f>
        <v>EEZ</v>
      </c>
      <c r="T3485" s="2" t="str">
        <f>IF(C3485="Total", (VLOOKUP(B3485,Recommended_fish_intake!A$4:D$122,4,FALSE)), "NA")</f>
        <v>NA</v>
      </c>
      <c r="U3485" s="2" t="str">
        <f t="shared" si="372"/>
        <v>NA</v>
      </c>
    </row>
    <row r="3486" spans="1:21" ht="14.25" customHeight="1">
      <c r="A3486" s="2" t="s">
        <v>18</v>
      </c>
      <c r="B3486" s="2">
        <v>2002</v>
      </c>
      <c r="C3486" s="2" t="s">
        <v>20</v>
      </c>
      <c r="D3486" s="3" t="e">
        <f t="shared" si="373"/>
        <v>#N/A</v>
      </c>
      <c r="E3486" s="3" t="e">
        <f t="shared" si="373"/>
        <v>#N/A</v>
      </c>
      <c r="P3486" s="3" t="e">
        <f>E3486*(VLOOKUP(B3486,Price_data!A$1:B$190,2,FALSE))</f>
        <v>#N/A</v>
      </c>
      <c r="Q3486" s="3">
        <f>G3486*(VLOOKUP(B3486,Price_data!A$1:B$190,2,FALSE))</f>
        <v>0</v>
      </c>
      <c r="R3486" s="3">
        <f>I3486*(VLOOKUP(B3486,Price_data!A$1:B$190,2,FALSE))</f>
        <v>0</v>
      </c>
      <c r="S3486" s="4" t="str">
        <f>(VLOOKUP(B3486,Price_data!A$1:C$190,3,FALSE))</f>
        <v>EEZ</v>
      </c>
      <c r="T3486" s="2" t="str">
        <f>IF(C3486="Total", (VLOOKUP(B3486,Recommended_fish_intake!A$4:D$122,4,FALSE)), "NA")</f>
        <v>NA</v>
      </c>
      <c r="U3486" s="2" t="str">
        <f t="shared" si="372"/>
        <v>NA</v>
      </c>
    </row>
    <row r="3487" spans="1:21" ht="14.25" customHeight="1">
      <c r="A3487" s="2" t="s">
        <v>18</v>
      </c>
      <c r="B3487" s="2">
        <v>2002</v>
      </c>
      <c r="C3487" s="2" t="s">
        <v>42</v>
      </c>
      <c r="D3487" s="3" t="e">
        <f t="shared" si="373"/>
        <v>#N/A</v>
      </c>
      <c r="E3487" s="3" t="e">
        <f t="shared" si="373"/>
        <v>#N/A</v>
      </c>
      <c r="P3487" s="3" t="e">
        <f>E3487*(VLOOKUP(B3487,Price_data!A$1:B$190,2,FALSE))</f>
        <v>#N/A</v>
      </c>
      <c r="Q3487" s="3">
        <f>G3487*(VLOOKUP(B3487,Price_data!A$1:B$190,2,FALSE))</f>
        <v>0</v>
      </c>
      <c r="R3487" s="3">
        <f>I3487*(VLOOKUP(B3487,Price_data!A$1:B$190,2,FALSE))</f>
        <v>0</v>
      </c>
      <c r="S3487" s="4" t="str">
        <f>(VLOOKUP(B3487,Price_data!A$1:C$190,3,FALSE))</f>
        <v>EEZ</v>
      </c>
      <c r="T3487" s="2" t="str">
        <f>IF(C3487="Total", (VLOOKUP(B3487,Recommended_fish_intake!A$4:D$122,4,FALSE)), "NA")</f>
        <v>NA</v>
      </c>
      <c r="U3487" s="2" t="str">
        <f t="shared" si="372"/>
        <v>NA</v>
      </c>
    </row>
    <row r="3488" spans="1:21" ht="14.25" customHeight="1">
      <c r="A3488" s="2" t="s">
        <v>18</v>
      </c>
      <c r="B3488" s="2">
        <v>2002</v>
      </c>
      <c r="C3488" s="2" t="s">
        <v>36</v>
      </c>
      <c r="D3488" s="3">
        <f t="shared" si="373"/>
        <v>124.3</v>
      </c>
      <c r="E3488" s="3">
        <f t="shared" si="373"/>
        <v>37.700000000000003</v>
      </c>
      <c r="P3488" s="3">
        <f>E3488*(VLOOKUP(B3488,Price_data!A$1:B$190,2,FALSE))</f>
        <v>36.436282548640001</v>
      </c>
      <c r="Q3488" s="3">
        <f>G3488*(VLOOKUP(B3488,Price_data!A$1:B$190,2,FALSE))</f>
        <v>0</v>
      </c>
      <c r="R3488" s="3">
        <f>I3488*(VLOOKUP(B3488,Price_data!A$1:B$190,2,FALSE))</f>
        <v>0</v>
      </c>
      <c r="S3488" s="4" t="str">
        <f>(VLOOKUP(B3488,Price_data!A$1:C$190,3,FALSE))</f>
        <v>EEZ</v>
      </c>
      <c r="T3488" s="2" t="str">
        <f>IF(C3488="Total", (VLOOKUP(B3488,Recommended_fish_intake!A$4:D$122,4,FALSE)), "NA")</f>
        <v>NA</v>
      </c>
      <c r="U3488" s="2" t="str">
        <f t="shared" si="372"/>
        <v>NA</v>
      </c>
    </row>
    <row r="3489" spans="1:21" ht="14.25" customHeight="1">
      <c r="A3489" s="2" t="s">
        <v>18</v>
      </c>
      <c r="B3489" s="2">
        <v>2002</v>
      </c>
      <c r="C3489" s="2" t="s">
        <v>34</v>
      </c>
      <c r="D3489" s="3">
        <f t="shared" si="373"/>
        <v>132</v>
      </c>
      <c r="E3489" s="3">
        <f t="shared" si="373"/>
        <v>21</v>
      </c>
      <c r="P3489" s="3">
        <f>E3489*(VLOOKUP(B3489,Price_data!A$1:B$190,2,FALSE))</f>
        <v>20.296072507200002</v>
      </c>
      <c r="Q3489" s="3">
        <f>G3489*(VLOOKUP(B3489,Price_data!A$1:B$190,2,FALSE))</f>
        <v>0</v>
      </c>
      <c r="R3489" s="3">
        <f>I3489*(VLOOKUP(B3489,Price_data!A$1:B$190,2,FALSE))</f>
        <v>0</v>
      </c>
      <c r="S3489" s="4" t="str">
        <f>(VLOOKUP(B3489,Price_data!A$1:C$190,3,FALSE))</f>
        <v>EEZ</v>
      </c>
      <c r="T3489" s="2" t="str">
        <f>IF(C3489="Total", (VLOOKUP(B3489,Recommended_fish_intake!A$4:D$122,4,FALSE)), "NA")</f>
        <v>NA</v>
      </c>
      <c r="U3489" s="2" t="str">
        <f t="shared" si="372"/>
        <v>NA</v>
      </c>
    </row>
    <row r="3490" spans="1:21" ht="14.25" customHeight="1">
      <c r="A3490" s="2" t="s">
        <v>18</v>
      </c>
      <c r="B3490" s="2">
        <v>2002</v>
      </c>
      <c r="C3490" s="2" t="s">
        <v>35</v>
      </c>
      <c r="D3490" s="3">
        <f t="shared" si="373"/>
        <v>9.1</v>
      </c>
      <c r="E3490" s="3">
        <f t="shared" si="373"/>
        <v>6.1000000000000005</v>
      </c>
      <c r="P3490" s="3">
        <f>E3490*(VLOOKUP(B3490,Price_data!A$1:B$190,2,FALSE))</f>
        <v>5.8955258235200008</v>
      </c>
      <c r="Q3490" s="3">
        <f>G3490*(VLOOKUP(B3490,Price_data!A$1:B$190,2,FALSE))</f>
        <v>0</v>
      </c>
      <c r="R3490" s="3">
        <f>I3490*(VLOOKUP(B3490,Price_data!A$1:B$190,2,FALSE))</f>
        <v>0</v>
      </c>
      <c r="S3490" s="4" t="str">
        <f>(VLOOKUP(B3490,Price_data!A$1:C$190,3,FALSE))</f>
        <v>EEZ</v>
      </c>
      <c r="T3490" s="2" t="str">
        <f>IF(C3490="Total", (VLOOKUP(B3490,Recommended_fish_intake!A$4:D$122,4,FALSE)), "NA")</f>
        <v>NA</v>
      </c>
      <c r="U3490" s="2" t="str">
        <f t="shared" si="372"/>
        <v>NA</v>
      </c>
    </row>
    <row r="3491" spans="1:21" ht="14.25" customHeight="1">
      <c r="A3491" s="2" t="s">
        <v>18</v>
      </c>
      <c r="B3491" s="2">
        <v>2002</v>
      </c>
      <c r="C3491" s="2" t="s">
        <v>52</v>
      </c>
      <c r="D3491" s="3">
        <f t="shared" si="373"/>
        <v>30</v>
      </c>
      <c r="E3491" s="3">
        <f t="shared" si="373"/>
        <v>30.5</v>
      </c>
      <c r="P3491" s="3">
        <f>E3491*(VLOOKUP(B3491,Price_data!A$1:B$190,2,FALSE))</f>
        <v>29.477629117599999</v>
      </c>
      <c r="Q3491" s="3">
        <f>G3491*(VLOOKUP(B3491,Price_data!A$1:B$190,2,FALSE))</f>
        <v>0</v>
      </c>
      <c r="R3491" s="3">
        <f>I3491*(VLOOKUP(B3491,Price_data!A$1:B$190,2,FALSE))</f>
        <v>0</v>
      </c>
      <c r="S3491" s="4" t="str">
        <f>(VLOOKUP(B3491,Price_data!A$1:C$190,3,FALSE))</f>
        <v>EEZ</v>
      </c>
      <c r="T3491" s="2" t="str">
        <f>IF(C3491="Total", (VLOOKUP(B3491,Recommended_fish_intake!A$4:D$122,4,FALSE)), "NA")</f>
        <v>NA</v>
      </c>
      <c r="U3491" s="2" t="str">
        <f t="shared" si="372"/>
        <v>NA</v>
      </c>
    </row>
    <row r="3492" spans="1:21" ht="14.25" customHeight="1">
      <c r="A3492" s="2" t="s">
        <v>18</v>
      </c>
      <c r="B3492" s="2">
        <v>2002</v>
      </c>
      <c r="C3492" s="2" t="s">
        <v>30</v>
      </c>
      <c r="D3492" s="3" t="e">
        <f t="shared" si="373"/>
        <v>#N/A</v>
      </c>
      <c r="E3492" s="3" t="e">
        <f t="shared" si="373"/>
        <v>#N/A</v>
      </c>
      <c r="P3492" s="3" t="e">
        <f>E3492*(VLOOKUP(B3492,Price_data!A$1:B$190,2,FALSE))</f>
        <v>#N/A</v>
      </c>
      <c r="Q3492" s="3">
        <f>G3492*(VLOOKUP(B3492,Price_data!A$1:B$190,2,FALSE))</f>
        <v>0</v>
      </c>
      <c r="R3492" s="3">
        <f>I3492*(VLOOKUP(B3492,Price_data!A$1:B$190,2,FALSE))</f>
        <v>0</v>
      </c>
      <c r="S3492" s="4" t="str">
        <f>(VLOOKUP(B3492,Price_data!A$1:C$190,3,FALSE))</f>
        <v>EEZ</v>
      </c>
      <c r="T3492" s="2" t="str">
        <f>IF(C3492="Total", (VLOOKUP(B3492,Recommended_fish_intake!A$4:D$122,4,FALSE)), "NA")</f>
        <v>NA</v>
      </c>
      <c r="U3492" s="2" t="str">
        <f t="shared" si="372"/>
        <v>NA</v>
      </c>
    </row>
    <row r="3493" spans="1:21" ht="14.25" customHeight="1">
      <c r="A3493" s="2" t="s">
        <v>18</v>
      </c>
      <c r="B3493" s="2">
        <v>2002</v>
      </c>
      <c r="C3493" s="2" t="s">
        <v>28</v>
      </c>
      <c r="D3493" s="3" t="e">
        <f t="shared" si="373"/>
        <v>#N/A</v>
      </c>
      <c r="E3493" s="3" t="e">
        <f t="shared" si="373"/>
        <v>#N/A</v>
      </c>
      <c r="P3493" s="3" t="e">
        <f>E3493*(VLOOKUP(B3493,Price_data!A$1:B$190,2,FALSE))</f>
        <v>#N/A</v>
      </c>
      <c r="Q3493" s="3">
        <f>G3493*(VLOOKUP(B3493,Price_data!A$1:B$190,2,FALSE))</f>
        <v>0</v>
      </c>
      <c r="R3493" s="3">
        <f>I3493*(VLOOKUP(B3493,Price_data!A$1:B$190,2,FALSE))</f>
        <v>0</v>
      </c>
      <c r="S3493" s="4" t="str">
        <f>(VLOOKUP(B3493,Price_data!A$1:C$190,3,FALSE))</f>
        <v>EEZ</v>
      </c>
      <c r="T3493" s="2" t="str">
        <f>IF(C3493="Total", (VLOOKUP(B3493,Recommended_fish_intake!A$4:D$122,4,FALSE)), "NA")</f>
        <v>NA</v>
      </c>
      <c r="U3493" s="2" t="e">
        <f t="shared" si="372"/>
        <v>#N/A</v>
      </c>
    </row>
    <row r="3494" spans="1:21" ht="14.25" customHeight="1">
      <c r="A3494" s="2" t="s">
        <v>18</v>
      </c>
      <c r="B3494" s="2">
        <v>2002</v>
      </c>
      <c r="C3494" s="2" t="s">
        <v>37</v>
      </c>
      <c r="D3494" s="3">
        <f>D3318+D3366</f>
        <v>40.259</v>
      </c>
      <c r="E3494" s="3">
        <f>E3318+E3366</f>
        <v>5.32</v>
      </c>
      <c r="P3494" s="3">
        <f>E3494*(VLOOKUP(B3494,Price_data!A$1:B$190,2,FALSE))</f>
        <v>5.1416717018240004</v>
      </c>
      <c r="Q3494" s="3">
        <f>G3494*(VLOOKUP(B3494,Price_data!A$1:B$190,2,FALSE))</f>
        <v>0</v>
      </c>
      <c r="R3494" s="3">
        <f>I3494*(VLOOKUP(B3494,Price_data!A$1:B$190,2,FALSE))</f>
        <v>0</v>
      </c>
      <c r="S3494" s="4" t="str">
        <f>(VLOOKUP(B3494,Price_data!A$1:C$190,3,FALSE))</f>
        <v>EEZ</v>
      </c>
      <c r="T3494" s="2" t="str">
        <f>IF(C3494="Total", (VLOOKUP(B3494,Recommended_fish_intake!A$4:D$122,4,FALSE)), "NA")</f>
        <v>NA</v>
      </c>
      <c r="U3494" s="2">
        <f t="shared" si="372"/>
        <v>19.72691</v>
      </c>
    </row>
    <row r="3495" spans="1:21" ht="14.25" customHeight="1">
      <c r="A3495" s="2" t="s">
        <v>90</v>
      </c>
      <c r="B3495" s="2">
        <v>2002</v>
      </c>
      <c r="C3495" s="2" t="s">
        <v>16</v>
      </c>
      <c r="D3495" s="2">
        <v>129.4</v>
      </c>
      <c r="E3495" s="2">
        <v>137.4</v>
      </c>
      <c r="P3495" s="3">
        <f>E3495*(VLOOKUP(B3495,Price_data!A$1:B$190,2,FALSE))</f>
        <v>132.79430297568001</v>
      </c>
      <c r="Q3495" s="3">
        <f>G3495*(VLOOKUP(B3495,Price_data!A$1:B$190,2,FALSE))</f>
        <v>0</v>
      </c>
      <c r="R3495" s="3">
        <f>I3495*(VLOOKUP(B3495,Price_data!A$1:B$190,2,FALSE))</f>
        <v>0</v>
      </c>
      <c r="S3495" s="4" t="str">
        <f>(VLOOKUP(B3495,Price_data!A$1:C$190,3,FALSE))</f>
        <v>EEZ</v>
      </c>
      <c r="T3495" s="2">
        <f>IF(C3495="Total", (VLOOKUP(B3495,Recommended_fish_intake!A$4:D$122,4,FALSE)), "NA")</f>
        <v>786.17703360378005</v>
      </c>
      <c r="U3495" s="2" t="str">
        <f t="shared" si="372"/>
        <v>NA</v>
      </c>
    </row>
    <row r="3496" spans="1:21" ht="14.25" customHeight="1">
      <c r="A3496" s="2" t="s">
        <v>91</v>
      </c>
      <c r="B3496" s="2">
        <v>2002</v>
      </c>
      <c r="C3496" s="2" t="s">
        <v>16</v>
      </c>
      <c r="D3496" s="2">
        <v>0</v>
      </c>
      <c r="E3496" s="2">
        <v>0</v>
      </c>
      <c r="P3496" s="3">
        <f>E3496*(VLOOKUP(B3496,Price_data!A$1:B$190,2,FALSE))</f>
        <v>0</v>
      </c>
      <c r="Q3496" s="3">
        <f>G3496*(VLOOKUP(B3496,Price_data!A$1:B$190,2,FALSE))</f>
        <v>0</v>
      </c>
      <c r="R3496" s="3">
        <f>I3496*(VLOOKUP(B3496,Price_data!A$1:B$190,2,FALSE))</f>
        <v>0</v>
      </c>
      <c r="S3496" s="4" t="str">
        <f>(VLOOKUP(B3496,Price_data!A$1:C$190,3,FALSE))</f>
        <v>EEZ</v>
      </c>
      <c r="T3496" s="2">
        <f>IF(C3496="Total", (VLOOKUP(B3496,Recommended_fish_intake!A$4:D$122,4,FALSE)), "NA")</f>
        <v>786.17703360378005</v>
      </c>
      <c r="U3496" s="2" t="str">
        <f t="shared" si="372"/>
        <v>NA</v>
      </c>
    </row>
    <row r="3497" spans="1:21" ht="14.25" customHeight="1">
      <c r="A3497" s="2" t="s">
        <v>39</v>
      </c>
      <c r="B3497" s="2">
        <v>2002</v>
      </c>
      <c r="C3497" s="2" t="s">
        <v>16</v>
      </c>
      <c r="D3497" s="2">
        <v>316.267</v>
      </c>
      <c r="E3497" s="2">
        <v>259.64699999999999</v>
      </c>
      <c r="P3497" s="3">
        <f>E3497*(VLOOKUP(B3497,Price_data!A$1:B$190,2,FALSE))</f>
        <v>250.9435399179504</v>
      </c>
      <c r="Q3497" s="3">
        <f>G3497*(VLOOKUP(B3497,Price_data!A$1:B$190,2,FALSE))</f>
        <v>0</v>
      </c>
      <c r="R3497" s="3">
        <f>I3497*(VLOOKUP(B3497,Price_data!A$1:B$190,2,FALSE))</f>
        <v>0</v>
      </c>
      <c r="S3497" s="4" t="str">
        <f>(VLOOKUP(B3497,Price_data!A$1:C$190,3,FALSE))</f>
        <v>EEZ</v>
      </c>
      <c r="T3497" s="2">
        <f>IF(C3497="Total", (VLOOKUP(B3497,Recommended_fish_intake!A$4:D$122,4,FALSE)), "NA")</f>
        <v>786.17703360378005</v>
      </c>
      <c r="U3497" s="2" t="str">
        <f t="shared" si="372"/>
        <v>NA</v>
      </c>
    </row>
    <row r="3498" spans="1:21" ht="14.25" customHeight="1">
      <c r="A3498" s="2" t="s">
        <v>40</v>
      </c>
      <c r="B3498" s="2">
        <v>2002</v>
      </c>
      <c r="C3498" s="2" t="s">
        <v>16</v>
      </c>
      <c r="D3498" s="2">
        <v>19.917999999999999</v>
      </c>
      <c r="E3498" s="2">
        <v>17.651</v>
      </c>
      <c r="P3498" s="3">
        <f>E3498*(VLOOKUP(B3498,Price_data!A$1:B$190,2,FALSE))</f>
        <v>17.0593321821232</v>
      </c>
      <c r="Q3498" s="3">
        <f>G3498*(VLOOKUP(B3498,Price_data!A$1:B$190,2,FALSE))</f>
        <v>0</v>
      </c>
      <c r="R3498" s="3">
        <f>I3498*(VLOOKUP(B3498,Price_data!A$1:B$190,2,FALSE))</f>
        <v>0</v>
      </c>
      <c r="S3498" s="4" t="str">
        <f>(VLOOKUP(B3498,Price_data!A$1:C$190,3,FALSE))</f>
        <v>EEZ</v>
      </c>
      <c r="T3498" s="2">
        <f>IF(C3498="Total", (VLOOKUP(B3498,Recommended_fish_intake!A$4:D$122,4,FALSE)), "NA")</f>
        <v>786.17703360378005</v>
      </c>
      <c r="U3498" s="2" t="str">
        <f t="shared" si="372"/>
        <v>NA</v>
      </c>
    </row>
    <row r="3499" spans="1:21" ht="14.25" customHeight="1">
      <c r="A3499" s="2" t="s">
        <v>18</v>
      </c>
      <c r="B3499" s="2">
        <v>2002</v>
      </c>
      <c r="C3499" s="2" t="s">
        <v>16</v>
      </c>
      <c r="D3499" s="3">
        <f>D2747+D2507</f>
        <v>234.79999999999998</v>
      </c>
      <c r="E3499" s="3">
        <f>E2747+E2507</f>
        <v>35.200000000000003</v>
      </c>
      <c r="P3499" s="3">
        <f>E3499*(VLOOKUP(B3499,Price_data!A$1:B$190,2,FALSE))</f>
        <v>34.020083440640001</v>
      </c>
      <c r="Q3499" s="3">
        <f>G3499*(VLOOKUP(B3499,Price_data!A$1:B$190,2,FALSE))</f>
        <v>0</v>
      </c>
      <c r="R3499" s="3">
        <f>I3499*(VLOOKUP(B3499,Price_data!A$1:B$190,2,FALSE))</f>
        <v>0</v>
      </c>
      <c r="S3499" s="4" t="str">
        <f>(VLOOKUP(B3499,Price_data!A$1:C$190,3,FALSE))</f>
        <v>EEZ</v>
      </c>
      <c r="T3499" s="2">
        <f>IF(C3499="Total", (VLOOKUP(B3499,Recommended_fish_intake!A$4:D$122,4,FALSE)), "NA")</f>
        <v>786.17703360378005</v>
      </c>
      <c r="U3499" s="2" t="str">
        <f t="shared" si="372"/>
        <v>NA</v>
      </c>
    </row>
    <row r="3500" spans="1:21" ht="14.25" customHeight="1">
      <c r="A3500" s="2" t="s">
        <v>15</v>
      </c>
      <c r="B3500" s="2">
        <v>2002</v>
      </c>
      <c r="C3500" s="2" t="s">
        <v>16</v>
      </c>
      <c r="D3500" s="2">
        <v>465.625</v>
      </c>
      <c r="E3500" s="2">
        <v>414.68900000000002</v>
      </c>
      <c r="F3500" s="3">
        <f>L3500/1000</f>
        <v>388.28300000000002</v>
      </c>
      <c r="G3500" s="3">
        <f>M3500/1000</f>
        <v>758.82600000000002</v>
      </c>
      <c r="H3500" s="3">
        <f>N3500/1000</f>
        <v>619.65200000000004</v>
      </c>
      <c r="I3500" s="3">
        <f>O3500/1000</f>
        <v>1422.7840000000001</v>
      </c>
      <c r="J3500" s="3"/>
      <c r="K3500" s="3"/>
      <c r="L3500" s="2">
        <v>388283</v>
      </c>
      <c r="M3500" s="2">
        <v>758826</v>
      </c>
      <c r="N3500" s="2">
        <v>619652</v>
      </c>
      <c r="O3500" s="2">
        <v>1422784</v>
      </c>
      <c r="P3500" s="3">
        <f>E3500*(VLOOKUP(B3500,Price_data!A$1:B$190,2,FALSE))</f>
        <v>400.7884767589648</v>
      </c>
      <c r="Q3500" s="3">
        <f>G3500*(VLOOKUP(B3500,Price_data!A$1:B$190,2,FALSE))</f>
        <v>733.38988173088319</v>
      </c>
      <c r="R3500" s="3">
        <f>I3500*(VLOOKUP(B3500,Price_data!A$1:B$190,2,FALSE))</f>
        <v>1375.0917726706689</v>
      </c>
      <c r="S3500" s="4" t="str">
        <f>(VLOOKUP(B3500,Price_data!A$1:C$190,3,FALSE))</f>
        <v>EEZ</v>
      </c>
      <c r="T3500" s="2">
        <f>IF(C3500="Total", (VLOOKUP(B3500,Recommended_fish_intake!A$4:D$122,4,FALSE)), "NA")</f>
        <v>786.17703360378005</v>
      </c>
      <c r="U3500" s="2" t="str">
        <f t="shared" si="372"/>
        <v>NA</v>
      </c>
    </row>
    <row r="3501" spans="1:21" ht="14.25" customHeight="1">
      <c r="A3501" s="2" t="s">
        <v>15</v>
      </c>
      <c r="B3501" s="2">
        <v>2002</v>
      </c>
      <c r="C3501" s="2" t="s">
        <v>42</v>
      </c>
      <c r="D3501" s="2">
        <v>165.38300000000001</v>
      </c>
      <c r="E3501" s="2">
        <v>53.024999999999999</v>
      </c>
      <c r="F3501" s="2" t="s">
        <v>92</v>
      </c>
      <c r="G3501" s="2" t="s">
        <v>92</v>
      </c>
      <c r="H3501" s="2" t="s">
        <v>92</v>
      </c>
      <c r="I3501" s="2" t="s">
        <v>92</v>
      </c>
      <c r="P3501" s="3">
        <f>E3501*(VLOOKUP(B3501,Price_data!A$1:B$190,2,FALSE))</f>
        <v>51.247583080680002</v>
      </c>
      <c r="Q3501" s="3" t="e">
        <f>G3501*(VLOOKUP(B3501,Price_data!A$1:B$190,2,FALSE))</f>
        <v>#VALUE!</v>
      </c>
      <c r="R3501" s="3" t="e">
        <f>I3501*(VLOOKUP(B3501,Price_data!A$1:B$190,2,FALSE))</f>
        <v>#VALUE!</v>
      </c>
      <c r="S3501" s="4" t="str">
        <f>(VLOOKUP(B3501,Price_data!A$1:C$190,3,FALSE))</f>
        <v>EEZ</v>
      </c>
      <c r="T3501" s="2" t="str">
        <f>IF(C3501="Total", (VLOOKUP(B3501,Recommended_fish_intake!A$4:D$122,4,FALSE)), "NA")</f>
        <v>NA</v>
      </c>
      <c r="U3501" s="2" t="str">
        <f t="shared" si="372"/>
        <v>NA</v>
      </c>
    </row>
    <row r="3502" spans="1:21" ht="14.25" customHeight="1">
      <c r="A3502" s="2" t="s">
        <v>15</v>
      </c>
      <c r="B3502" s="2">
        <v>2002</v>
      </c>
      <c r="C3502" s="2" t="s">
        <v>36</v>
      </c>
      <c r="D3502" s="2">
        <v>23.260999999999999</v>
      </c>
      <c r="E3502" s="2">
        <v>26.013999999999999</v>
      </c>
      <c r="F3502" s="3">
        <f>L3502/1000</f>
        <v>14.542999999999999</v>
      </c>
      <c r="G3502" s="3">
        <f>M3502/1000</f>
        <v>33.348999999999997</v>
      </c>
      <c r="H3502" s="3">
        <f>N3502/1000</f>
        <v>1.8280000000000001</v>
      </c>
      <c r="I3502" s="3">
        <f>O3502/1000</f>
        <v>9.0289999999999999</v>
      </c>
      <c r="J3502" s="3"/>
      <c r="K3502" s="3"/>
      <c r="L3502" s="2">
        <f>13858+685</f>
        <v>14543</v>
      </c>
      <c r="M3502" s="2">
        <f>27368+5981</f>
        <v>33349</v>
      </c>
      <c r="N3502" s="2">
        <f>936+892</f>
        <v>1828</v>
      </c>
      <c r="O3502" s="2">
        <f>2729+6300</f>
        <v>9029</v>
      </c>
      <c r="P3502" s="3">
        <f>E3502*(VLOOKUP(B3502,Price_data!A$1:B$190,2,FALSE))</f>
        <v>25.142001438204801</v>
      </c>
      <c r="Q3502" s="3">
        <f>G3502*(VLOOKUP(B3502,Price_data!A$1:B$190,2,FALSE))</f>
        <v>32.231129621076796</v>
      </c>
      <c r="R3502" s="3">
        <f>I3502*(VLOOKUP(B3502,Price_data!A$1:B$190,2,FALSE))</f>
        <v>8.7263446984528006</v>
      </c>
      <c r="S3502" s="4" t="str">
        <f>(VLOOKUP(B3502,Price_data!A$1:C$190,3,FALSE))</f>
        <v>EEZ</v>
      </c>
      <c r="T3502" s="2" t="str">
        <f>IF(C3502="Total", (VLOOKUP(B3502,Recommended_fish_intake!A$4:D$122,4,FALSE)), "NA")</f>
        <v>NA</v>
      </c>
      <c r="U3502" s="2" t="str">
        <f t="shared" si="372"/>
        <v>NA</v>
      </c>
    </row>
    <row r="3503" spans="1:21" ht="14.25" customHeight="1">
      <c r="A3503" s="2" t="s">
        <v>15</v>
      </c>
      <c r="B3503" s="2">
        <v>2002</v>
      </c>
      <c r="C3503" s="2" t="s">
        <v>34</v>
      </c>
      <c r="D3503" s="2">
        <v>1.167</v>
      </c>
      <c r="E3503" s="2">
        <v>11.68</v>
      </c>
      <c r="F3503" s="2" t="s">
        <v>92</v>
      </c>
      <c r="G3503" s="2" t="s">
        <v>92</v>
      </c>
      <c r="H3503" s="2" t="s">
        <v>92</v>
      </c>
      <c r="I3503" s="2" t="s">
        <v>92</v>
      </c>
      <c r="J3503" s="3"/>
      <c r="K3503" s="3"/>
      <c r="P3503" s="3">
        <f>E3503*(VLOOKUP(B3503,Price_data!A$1:B$190,2,FALSE))</f>
        <v>11.288482232575999</v>
      </c>
      <c r="Q3503" s="3" t="e">
        <f>G3503*(VLOOKUP(B3503,Price_data!A$1:B$190,2,FALSE))</f>
        <v>#VALUE!</v>
      </c>
      <c r="R3503" s="3" t="e">
        <f>I3503*(VLOOKUP(B3503,Price_data!A$1:B$190,2,FALSE))</f>
        <v>#VALUE!</v>
      </c>
      <c r="S3503" s="4" t="str">
        <f>(VLOOKUP(B3503,Price_data!A$1:C$190,3,FALSE))</f>
        <v>EEZ</v>
      </c>
      <c r="T3503" s="2" t="str">
        <f>IF(C3503="Total", (VLOOKUP(B3503,Recommended_fish_intake!A$4:D$122,4,FALSE)), "NA")</f>
        <v>NA</v>
      </c>
      <c r="U3503" s="2" t="str">
        <f t="shared" si="372"/>
        <v>NA</v>
      </c>
    </row>
    <row r="3504" spans="1:21" ht="14.25" customHeight="1">
      <c r="A3504" s="2" t="s">
        <v>15</v>
      </c>
      <c r="B3504" s="2">
        <v>2002</v>
      </c>
      <c r="C3504" s="2" t="s">
        <v>35</v>
      </c>
      <c r="D3504" s="2">
        <v>28.382000000000001</v>
      </c>
      <c r="E3504" s="2">
        <v>68.754000000000005</v>
      </c>
      <c r="F3504" s="2" t="s">
        <v>92</v>
      </c>
      <c r="G3504" s="2" t="s">
        <v>92</v>
      </c>
      <c r="H3504" s="2" t="s">
        <v>92</v>
      </c>
      <c r="I3504" s="2" t="s">
        <v>92</v>
      </c>
      <c r="J3504" s="3"/>
      <c r="K3504" s="3"/>
      <c r="P3504" s="3">
        <f>E3504*(VLOOKUP(B3504,Price_data!A$1:B$190,2,FALSE))</f>
        <v>66.449341388572805</v>
      </c>
      <c r="Q3504" s="3" t="e">
        <f>G3504*(VLOOKUP(B3504,Price_data!A$1:B$190,2,FALSE))</f>
        <v>#VALUE!</v>
      </c>
      <c r="R3504" s="3" t="e">
        <f>I3504*(VLOOKUP(B3504,Price_data!A$1:B$190,2,FALSE))</f>
        <v>#VALUE!</v>
      </c>
      <c r="S3504" s="4" t="str">
        <f>(VLOOKUP(B3504,Price_data!A$1:C$190,3,FALSE))</f>
        <v>EEZ</v>
      </c>
      <c r="T3504" s="2" t="str">
        <f>IF(C3504="Total", (VLOOKUP(B3504,Recommended_fish_intake!A$4:D$122,4,FALSE)), "NA")</f>
        <v>NA</v>
      </c>
      <c r="U3504" s="2" t="str">
        <f t="shared" si="372"/>
        <v>NA</v>
      </c>
    </row>
    <row r="3505" spans="1:21" ht="14.25" customHeight="1">
      <c r="A3505" s="2" t="s">
        <v>15</v>
      </c>
      <c r="B3505" s="2">
        <v>2002</v>
      </c>
      <c r="C3505" s="2" t="s">
        <v>52</v>
      </c>
      <c r="D3505" s="2">
        <v>29.587</v>
      </c>
      <c r="E3505" s="2">
        <v>32.119</v>
      </c>
      <c r="F3505" s="2" t="s">
        <v>92</v>
      </c>
      <c r="G3505" s="2" t="s">
        <v>92</v>
      </c>
      <c r="H3505" s="2" t="s">
        <v>92</v>
      </c>
      <c r="I3505" s="2" t="s">
        <v>92</v>
      </c>
      <c r="J3505" s="3"/>
      <c r="K3505" s="3"/>
      <c r="P3505" s="3">
        <f>E3505*(VLOOKUP(B3505,Price_data!A$1:B$190,2,FALSE))</f>
        <v>31.0423596599408</v>
      </c>
      <c r="Q3505" s="3" t="e">
        <f>G3505*(VLOOKUP(B3505,Price_data!A$1:B$190,2,FALSE))</f>
        <v>#VALUE!</v>
      </c>
      <c r="R3505" s="3" t="e">
        <f>I3505*(VLOOKUP(B3505,Price_data!A$1:B$190,2,FALSE))</f>
        <v>#VALUE!</v>
      </c>
      <c r="S3505" s="4" t="str">
        <f>(VLOOKUP(B3505,Price_data!A$1:C$190,3,FALSE))</f>
        <v>EEZ</v>
      </c>
      <c r="T3505" s="2" t="str">
        <f>IF(C3505="Total", (VLOOKUP(B3505,Recommended_fish_intake!A$4:D$122,4,FALSE)), "NA")</f>
        <v>NA</v>
      </c>
      <c r="U3505" s="2" t="str">
        <f t="shared" si="372"/>
        <v>NA</v>
      </c>
    </row>
    <row r="3506" spans="1:21" ht="14.25" customHeight="1">
      <c r="A3506" s="2" t="s">
        <v>15</v>
      </c>
      <c r="B3506" s="2">
        <v>2002</v>
      </c>
      <c r="C3506" s="2" t="s">
        <v>30</v>
      </c>
      <c r="D3506" s="2">
        <v>1.5249999999999999</v>
      </c>
      <c r="E3506" s="2">
        <v>2.5739999999999998</v>
      </c>
      <c r="F3506" s="3">
        <f t="shared" ref="F3506:I3508" si="374">L3506/1000</f>
        <v>30.925000000000001</v>
      </c>
      <c r="G3506" s="3">
        <f t="shared" si="374"/>
        <v>111.297</v>
      </c>
      <c r="H3506" s="3">
        <f t="shared" si="374"/>
        <v>86.634</v>
      </c>
      <c r="I3506" s="3">
        <f t="shared" si="374"/>
        <v>335.84399999999999</v>
      </c>
      <c r="J3506" s="3"/>
      <c r="K3506" s="3"/>
      <c r="L3506" s="1">
        <f>5390+21836+3699</f>
        <v>30925</v>
      </c>
      <c r="M3506" s="1">
        <f>19169+79904+12224</f>
        <v>111297</v>
      </c>
      <c r="N3506" s="1">
        <f>7819+35719+43096</f>
        <v>86634</v>
      </c>
      <c r="O3506" s="1">
        <f>20793+161281+153770</f>
        <v>335844</v>
      </c>
      <c r="P3506" s="3">
        <f>E3506*(VLOOKUP(B3506,Price_data!A$1:B$190,2,FALSE))</f>
        <v>2.4877186015968</v>
      </c>
      <c r="Q3506" s="3">
        <f>G3506*(VLOOKUP(B3506,Price_data!A$1:B$190,2,FALSE))</f>
        <v>107.5662848492304</v>
      </c>
      <c r="R3506" s="3">
        <f>I3506*(VLOOKUP(B3506,Price_data!A$1:B$190,2,FALSE))</f>
        <v>324.58638929086078</v>
      </c>
      <c r="S3506" s="4" t="str">
        <f>(VLOOKUP(B3506,Price_data!A$1:C$190,3,FALSE))</f>
        <v>EEZ</v>
      </c>
      <c r="T3506" s="2" t="str">
        <f>IF(C3506="Total", (VLOOKUP(B3506,Recommended_fish_intake!A$4:D$122,4,FALSE)), "NA")</f>
        <v>NA</v>
      </c>
      <c r="U3506" s="2" t="str">
        <f t="shared" si="372"/>
        <v>NA</v>
      </c>
    </row>
    <row r="3507" spans="1:21" ht="14.25" customHeight="1">
      <c r="A3507" s="2" t="s">
        <v>15</v>
      </c>
      <c r="B3507" s="2">
        <v>2002</v>
      </c>
      <c r="C3507" s="2" t="s">
        <v>28</v>
      </c>
      <c r="D3507" s="2">
        <v>130.749</v>
      </c>
      <c r="E3507" s="2">
        <v>163.84399999999999</v>
      </c>
      <c r="F3507" s="3">
        <f t="shared" si="374"/>
        <v>93.623999999999995</v>
      </c>
      <c r="G3507" s="3">
        <f t="shared" si="374"/>
        <v>313.67599999999999</v>
      </c>
      <c r="H3507" s="3">
        <f t="shared" si="374"/>
        <v>105.07899999999999</v>
      </c>
      <c r="I3507" s="3">
        <f t="shared" si="374"/>
        <v>394.38</v>
      </c>
      <c r="J3507" s="3"/>
      <c r="K3507" s="3"/>
      <c r="L3507" s="2">
        <v>93624</v>
      </c>
      <c r="M3507" s="2">
        <v>313676</v>
      </c>
      <c r="N3507" s="2">
        <v>105079</v>
      </c>
      <c r="O3507" s="2">
        <v>394380</v>
      </c>
      <c r="P3507" s="3">
        <f>E3507*(VLOOKUP(B3507,Price_data!A$1:B$190,2,FALSE))</f>
        <v>158.35189066046081</v>
      </c>
      <c r="Q3507" s="3">
        <f>G3507*(VLOOKUP(B3507,Price_data!A$1:B$190,2,FALSE))</f>
        <v>303.16146856040319</v>
      </c>
      <c r="R3507" s="3">
        <f>I3507*(VLOOKUP(B3507,Price_data!A$1:B$190,2,FALSE))</f>
        <v>381.16024168521602</v>
      </c>
      <c r="S3507" s="4" t="str">
        <f>(VLOOKUP(B3507,Price_data!A$1:C$190,3,FALSE))</f>
        <v>EEZ</v>
      </c>
      <c r="T3507" s="2" t="str">
        <f>IF(C3507="Total", (VLOOKUP(B3507,Recommended_fish_intake!A$4:D$122,4,FALSE)), "NA")</f>
        <v>NA</v>
      </c>
      <c r="U3507" s="2">
        <f t="shared" si="372"/>
        <v>36.609720000000003</v>
      </c>
    </row>
    <row r="3508" spans="1:21" ht="14.25" customHeight="1">
      <c r="A3508" s="2" t="s">
        <v>15</v>
      </c>
      <c r="B3508" s="2">
        <v>2002</v>
      </c>
      <c r="C3508" s="2" t="s">
        <v>37</v>
      </c>
      <c r="D3508" s="2">
        <f>D3296+D3548</f>
        <v>753.77200000000005</v>
      </c>
      <c r="E3508" s="2">
        <f>E3296+E3548</f>
        <v>420.28099999999995</v>
      </c>
      <c r="F3508" s="3">
        <f t="shared" si="374"/>
        <v>294.66000000000003</v>
      </c>
      <c r="G3508" s="3">
        <f t="shared" si="374"/>
        <v>445.15</v>
      </c>
      <c r="H3508" s="3">
        <f t="shared" si="374"/>
        <v>514.57299999999998</v>
      </c>
      <c r="I3508" s="3">
        <f t="shared" si="374"/>
        <v>1028.404</v>
      </c>
      <c r="J3508" s="3"/>
      <c r="K3508" s="3"/>
      <c r="L3508" s="2">
        <v>294660</v>
      </c>
      <c r="M3508" s="2">
        <v>445150</v>
      </c>
      <c r="N3508" s="2">
        <v>514573</v>
      </c>
      <c r="O3508" s="2">
        <v>1028404</v>
      </c>
      <c r="P3508" s="3">
        <f>E3508*(VLOOKUP(B3508,Price_data!A$1:B$190,2,FALSE))</f>
        <v>406.19303092373917</v>
      </c>
      <c r="Q3508" s="3">
        <f>G3508*(VLOOKUP(B3508,Price_data!A$1:B$190,2,FALSE))</f>
        <v>430.22841317048</v>
      </c>
      <c r="R3508" s="3">
        <f>I3508*(VLOOKUP(B3508,Price_data!A$1:B$190,2,FALSE))</f>
        <v>993.93153098545281</v>
      </c>
      <c r="S3508" s="4" t="str">
        <f>(VLOOKUP(B3508,Price_data!A$1:C$190,3,FALSE))</f>
        <v>EEZ</v>
      </c>
      <c r="T3508" s="2" t="str">
        <f>IF(C3508="Total", (VLOOKUP(B3508,Recommended_fish_intake!A$4:D$122,4,FALSE)), "NA")</f>
        <v>NA</v>
      </c>
      <c r="U3508" s="2">
        <f t="shared" si="372"/>
        <v>369.34828000000005</v>
      </c>
    </row>
    <row r="3509" spans="1:21" ht="14.25" customHeight="1">
      <c r="A3509" s="2" t="s">
        <v>15</v>
      </c>
      <c r="B3509" s="2">
        <v>2002</v>
      </c>
      <c r="C3509" s="2" t="s">
        <v>41</v>
      </c>
      <c r="D3509" s="2">
        <v>169.49199999999999</v>
      </c>
      <c r="E3509" s="2">
        <v>197.82</v>
      </c>
      <c r="F3509" s="2" t="s">
        <v>92</v>
      </c>
      <c r="G3509" s="2" t="s">
        <v>92</v>
      </c>
      <c r="H3509" s="2" t="s">
        <v>92</v>
      </c>
      <c r="I3509" s="2" t="s">
        <v>92</v>
      </c>
      <c r="P3509" s="3">
        <f>E3509*(VLOOKUP(B3509,Price_data!A$1:B$190,2,FALSE))</f>
        <v>191.18900301782401</v>
      </c>
      <c r="Q3509" s="3" t="e">
        <f>G3509*(VLOOKUP(B3509,Price_data!A$1:B$190,2,FALSE))</f>
        <v>#VALUE!</v>
      </c>
      <c r="R3509" s="3" t="e">
        <f>I3509*(VLOOKUP(B3509,Price_data!A$1:B$190,2,FALSE))</f>
        <v>#VALUE!</v>
      </c>
      <c r="S3509" s="4" t="str">
        <f>(VLOOKUP(B3509,Price_data!A$1:C$190,3,FALSE))</f>
        <v>EEZ</v>
      </c>
      <c r="T3509" s="2" t="str">
        <f>IF(C3509="Total", (VLOOKUP(B3509,Recommended_fish_intake!A$4:D$122,4,FALSE)), "NA")</f>
        <v>NA</v>
      </c>
      <c r="U3509" s="2" t="str">
        <f t="shared" si="372"/>
        <v>NA</v>
      </c>
    </row>
    <row r="3510" spans="1:21" ht="14.25" customHeight="1">
      <c r="A3510" s="2" t="s">
        <v>15</v>
      </c>
      <c r="B3510" s="2">
        <v>2002</v>
      </c>
      <c r="C3510" s="2" t="s">
        <v>22</v>
      </c>
      <c r="D3510" s="2">
        <v>25.724</v>
      </c>
      <c r="E3510" s="2">
        <v>35.009</v>
      </c>
      <c r="F3510" s="3">
        <f t="shared" ref="F3510:I3515" si="375">L3510/1000</f>
        <v>14.35</v>
      </c>
      <c r="G3510" s="3">
        <f t="shared" si="375"/>
        <v>29.265000000000001</v>
      </c>
      <c r="H3510" s="3">
        <f t="shared" si="375"/>
        <v>120.717</v>
      </c>
      <c r="I3510" s="3">
        <f t="shared" si="375"/>
        <v>319.95400000000001</v>
      </c>
      <c r="J3510" s="3"/>
      <c r="K3510" s="3"/>
      <c r="L3510" s="2">
        <f>2144+495+7234+2624+533+548+772</f>
        <v>14350</v>
      </c>
      <c r="M3510" s="2">
        <f>6162+1712+11155+6953+495+768+2020</f>
        <v>29265</v>
      </c>
      <c r="N3510" s="2">
        <f>17264+4020+21452+73449+2945+157+1430</f>
        <v>120717</v>
      </c>
      <c r="O3510" s="2">
        <f>29476+21111+30841+229733+4396+958+3439</f>
        <v>319954</v>
      </c>
      <c r="P3510" s="3">
        <f>E3510*(VLOOKUP(B3510,Price_data!A$1:B$190,2,FALSE))</f>
        <v>33.835485828788798</v>
      </c>
      <c r="Q3510" s="3">
        <f>G3510*(VLOOKUP(B3510,Price_data!A$1:B$190,2,FALSE))</f>
        <v>28.284026758248</v>
      </c>
      <c r="R3510" s="3">
        <f>I3510*(VLOOKUP(B3510,Price_data!A$1:B$190,2,FALSE))</f>
        <v>309.22902776041281</v>
      </c>
      <c r="S3510" s="4" t="str">
        <f>(VLOOKUP(B3510,Price_data!A$1:C$190,3,FALSE))</f>
        <v>EEZ</v>
      </c>
      <c r="T3510" s="2" t="str">
        <f>IF(C3510="Total", (VLOOKUP(B3510,Recommended_fish_intake!A$4:D$122,4,FALSE)), "NA")</f>
        <v>NA</v>
      </c>
      <c r="U3510" s="2" t="str">
        <f t="shared" si="372"/>
        <v>NA</v>
      </c>
    </row>
    <row r="3511" spans="1:21" ht="14.25" customHeight="1">
      <c r="A3511" s="2" t="s">
        <v>15</v>
      </c>
      <c r="B3511" s="2">
        <v>2002</v>
      </c>
      <c r="C3511" s="2" t="s">
        <v>20</v>
      </c>
      <c r="D3511" s="2">
        <v>96.608999999999995</v>
      </c>
      <c r="E3511" s="2">
        <v>42.694000000000003</v>
      </c>
      <c r="F3511" s="3">
        <f t="shared" si="375"/>
        <v>104.27</v>
      </c>
      <c r="G3511" s="3">
        <f t="shared" si="375"/>
        <v>69.69</v>
      </c>
      <c r="H3511" s="3">
        <f t="shared" si="375"/>
        <v>25.152000000000001</v>
      </c>
      <c r="I3511" s="3">
        <f t="shared" si="375"/>
        <v>19.731000000000002</v>
      </c>
      <c r="J3511" s="3"/>
      <c r="K3511" s="3"/>
      <c r="L3511" s="2">
        <f>4670+95215+1667+147+2571</f>
        <v>104270</v>
      </c>
      <c r="M3511" s="2">
        <f>2837+60625+1293+408+4527</f>
        <v>69690</v>
      </c>
      <c r="N3511" s="2">
        <f>19858+251+351+20+4672</f>
        <v>25152</v>
      </c>
      <c r="O3511" s="2">
        <f>7912+364+433+64+10958</f>
        <v>19731</v>
      </c>
      <c r="P3511" s="3">
        <f>E3511*(VLOOKUP(B3511,Price_data!A$1:B$190,2,FALSE))</f>
        <v>41.262881886780804</v>
      </c>
      <c r="Q3511" s="3">
        <f>G3511*(VLOOKUP(B3511,Price_data!A$1:B$190,2,FALSE))</f>
        <v>67.353966334608003</v>
      </c>
      <c r="R3511" s="3">
        <f>I3511*(VLOOKUP(B3511,Price_data!A$1:B$190,2,FALSE))</f>
        <v>19.069609839979201</v>
      </c>
      <c r="S3511" s="4" t="str">
        <f>(VLOOKUP(B3511,Price_data!A$1:C$190,3,FALSE))</f>
        <v>EEZ</v>
      </c>
      <c r="T3511" s="2" t="str">
        <f>IF(C3511="Total", (VLOOKUP(B3511,Recommended_fish_intake!A$4:D$122,4,FALSE)), "NA")</f>
        <v>NA</v>
      </c>
      <c r="U3511" s="2" t="str">
        <f t="shared" si="372"/>
        <v>NA</v>
      </c>
    </row>
    <row r="3512" spans="1:21" ht="14.25" customHeight="1">
      <c r="A3512" s="2" t="s">
        <v>15</v>
      </c>
      <c r="B3512" s="2">
        <v>2002</v>
      </c>
      <c r="C3512" s="2" t="s">
        <v>19</v>
      </c>
      <c r="D3512" s="2">
        <v>42.466000000000001</v>
      </c>
      <c r="E3512" s="2">
        <v>6.8730000000000002</v>
      </c>
      <c r="F3512" s="3">
        <f t="shared" si="375"/>
        <v>41.518999999999998</v>
      </c>
      <c r="G3512" s="3">
        <f t="shared" si="375"/>
        <v>14.961</v>
      </c>
      <c r="H3512" s="3">
        <f t="shared" si="375"/>
        <v>5.63</v>
      </c>
      <c r="I3512" s="3">
        <f t="shared" si="375"/>
        <v>6.2539999999999996</v>
      </c>
      <c r="J3512" s="3"/>
      <c r="K3512" s="3"/>
      <c r="L3512" s="2">
        <f>2026+35424+2692+496+234+647</f>
        <v>41519</v>
      </c>
      <c r="M3512" s="2">
        <f>1063+10719+1619+276+516+768</f>
        <v>14961</v>
      </c>
      <c r="N3512" s="2">
        <f>478+1995+332+531+664+1630</f>
        <v>5630</v>
      </c>
      <c r="O3512" s="2">
        <f>278+985+282+377+846+3486</f>
        <v>6254</v>
      </c>
      <c r="P3512" s="3">
        <f>E3512*(VLOOKUP(B3512,Price_data!A$1:B$190,2,FALSE))</f>
        <v>6.6426145877136005</v>
      </c>
      <c r="Q3512" s="3">
        <f>G3512*(VLOOKUP(B3512,Price_data!A$1:B$190,2,FALSE))</f>
        <v>14.459501941915201</v>
      </c>
      <c r="R3512" s="3">
        <f>I3512*(VLOOKUP(B3512,Price_data!A$1:B$190,2,FALSE))</f>
        <v>6.0443636885727994</v>
      </c>
      <c r="S3512" s="4" t="str">
        <f>(VLOOKUP(B3512,Price_data!A$1:C$190,3,FALSE))</f>
        <v>EEZ</v>
      </c>
      <c r="T3512" s="2" t="str">
        <f>IF(C3512="Total", (VLOOKUP(B3512,Recommended_fish_intake!A$4:D$122,4,FALSE)), "NA")</f>
        <v>NA</v>
      </c>
      <c r="U3512" s="2" t="str">
        <f t="shared" si="372"/>
        <v>NA</v>
      </c>
    </row>
    <row r="3513" spans="1:21" ht="14.25" customHeight="1">
      <c r="A3513" s="2" t="s">
        <v>15</v>
      </c>
      <c r="B3513" s="2">
        <v>2002</v>
      </c>
      <c r="C3513" s="2" t="s">
        <v>24</v>
      </c>
      <c r="D3513" s="2">
        <v>11.43</v>
      </c>
      <c r="E3513" s="2">
        <v>6.6029999999999998</v>
      </c>
      <c r="F3513" s="3">
        <f t="shared" si="375"/>
        <v>1.238</v>
      </c>
      <c r="G3513" s="3">
        <f t="shared" si="375"/>
        <v>2.7879999999999998</v>
      </c>
      <c r="H3513" s="3">
        <f t="shared" si="375"/>
        <v>1.663</v>
      </c>
      <c r="I3513" s="3">
        <f t="shared" si="375"/>
        <v>1.4259999999999999</v>
      </c>
      <c r="J3513" s="3"/>
      <c r="K3513" s="3"/>
      <c r="L3513" s="2">
        <f>733+0+505</f>
        <v>1238</v>
      </c>
      <c r="M3513" s="2">
        <f>1250+1+1537</f>
        <v>2788</v>
      </c>
      <c r="N3513" s="2">
        <f>1576+4+83</f>
        <v>1663</v>
      </c>
      <c r="O3513" s="2">
        <f>1200+4+222</f>
        <v>1426</v>
      </c>
      <c r="P3513" s="3">
        <f>E3513*(VLOOKUP(B3513,Price_data!A$1:B$190,2,FALSE))</f>
        <v>6.3816650840496001</v>
      </c>
      <c r="Q3513" s="3">
        <f>G3513*(VLOOKUP(B3513,Price_data!A$1:B$190,2,FALSE))</f>
        <v>2.6945452452415997</v>
      </c>
      <c r="R3513" s="3">
        <f>I3513*(VLOOKUP(B3513,Price_data!A$1:B$190,2,FALSE))</f>
        <v>1.3781999712032</v>
      </c>
      <c r="S3513" s="4" t="str">
        <f>(VLOOKUP(B3513,Price_data!A$1:C$190,3,FALSE))</f>
        <v>EEZ</v>
      </c>
      <c r="T3513" s="2" t="str">
        <f>IF(C3513="Total", (VLOOKUP(B3513,Recommended_fish_intake!A$4:D$122,4,FALSE)), "NA")</f>
        <v>NA</v>
      </c>
      <c r="U3513" s="2" t="str">
        <f t="shared" si="372"/>
        <v>NA</v>
      </c>
    </row>
    <row r="3514" spans="1:21" ht="14.25" customHeight="1">
      <c r="A3514" s="2" t="s">
        <v>15</v>
      </c>
      <c r="B3514" s="2">
        <v>2002</v>
      </c>
      <c r="C3514" s="2" t="s">
        <v>58</v>
      </c>
      <c r="D3514" s="2">
        <v>13.119</v>
      </c>
      <c r="E3514" s="2">
        <v>27.927</v>
      </c>
      <c r="F3514" s="3">
        <f t="shared" si="375"/>
        <v>2.7040000000000002</v>
      </c>
      <c r="G3514" s="3">
        <f t="shared" si="375"/>
        <v>15.387</v>
      </c>
      <c r="H3514" s="3">
        <f t="shared" si="375"/>
        <v>0.93200000000000005</v>
      </c>
      <c r="I3514" s="3">
        <f t="shared" si="375"/>
        <v>3.0960000000000001</v>
      </c>
      <c r="J3514" s="3"/>
      <c r="K3514" s="3"/>
      <c r="L3514" s="2">
        <f>2559+31+114</f>
        <v>2704</v>
      </c>
      <c r="M3514" s="2">
        <f>15089+42+256</f>
        <v>15387</v>
      </c>
      <c r="N3514" s="2">
        <f>830+14+88</f>
        <v>932</v>
      </c>
      <c r="O3514" s="2">
        <f>2516+77+503</f>
        <v>3096</v>
      </c>
      <c r="P3514" s="3">
        <f>E3514*(VLOOKUP(B3514,Price_data!A$1:B$190,2,FALSE))</f>
        <v>26.990876995646399</v>
      </c>
      <c r="Q3514" s="3">
        <f>G3514*(VLOOKUP(B3514,Price_data!A$1:B$190,2,FALSE))</f>
        <v>14.8712222699184</v>
      </c>
      <c r="R3514" s="3">
        <f>I3514*(VLOOKUP(B3514,Price_data!A$1:B$190,2,FALSE))</f>
        <v>2.9922209753472</v>
      </c>
      <c r="S3514" s="4" t="str">
        <f>(VLOOKUP(B3514,Price_data!A$1:C$190,3,FALSE))</f>
        <v>EEZ</v>
      </c>
      <c r="T3514" s="2" t="str">
        <f>IF(C3514="Total", (VLOOKUP(B3514,Recommended_fish_intake!A$4:D$122,4,FALSE)), "NA")</f>
        <v>NA</v>
      </c>
      <c r="U3514" s="2" t="str">
        <f t="shared" si="372"/>
        <v>NA</v>
      </c>
    </row>
    <row r="3515" spans="1:21" ht="14.25" customHeight="1">
      <c r="A3515" s="2" t="s">
        <v>15</v>
      </c>
      <c r="B3515" s="2">
        <v>2002</v>
      </c>
      <c r="C3515" s="2" t="s">
        <v>23</v>
      </c>
      <c r="D3515" s="2">
        <v>51.874000000000002</v>
      </c>
      <c r="E3515" s="2">
        <v>34.631</v>
      </c>
      <c r="F3515" s="3">
        <f t="shared" si="375"/>
        <v>2.82</v>
      </c>
      <c r="G3515" s="3">
        <f t="shared" si="375"/>
        <v>5.77</v>
      </c>
      <c r="H3515" s="3">
        <f t="shared" si="375"/>
        <v>48.497999999999998</v>
      </c>
      <c r="I3515" s="3">
        <f t="shared" si="375"/>
        <v>97.64</v>
      </c>
      <c r="J3515" s="3"/>
      <c r="K3515" s="3"/>
      <c r="L3515" s="2">
        <f>609+1739+466+6</f>
        <v>2820</v>
      </c>
      <c r="M3515" s="2">
        <f>2090+2200+1475+5</f>
        <v>5770</v>
      </c>
      <c r="N3515" s="2">
        <f>20492+10710+16746+550</f>
        <v>48498</v>
      </c>
      <c r="O3515" s="2">
        <f>29283+14352+53091+914</f>
        <v>97640</v>
      </c>
      <c r="P3515" s="3">
        <f>E3515*(VLOOKUP(B3515,Price_data!A$1:B$190,2,FALSE))</f>
        <v>33.470156523659199</v>
      </c>
      <c r="Q3515" s="3">
        <f>G3515*(VLOOKUP(B3515,Price_data!A$1:B$190,2,FALSE))</f>
        <v>5.5765875412639998</v>
      </c>
      <c r="R3515" s="3">
        <f>I3515*(VLOOKUP(B3515,Price_data!A$1:B$190,2,FALSE))</f>
        <v>94.367072362048006</v>
      </c>
      <c r="S3515" s="4" t="str">
        <f>(VLOOKUP(B3515,Price_data!A$1:C$190,3,FALSE))</f>
        <v>EEZ</v>
      </c>
      <c r="T3515" s="2" t="str">
        <f>IF(C3515="Total", (VLOOKUP(B3515,Recommended_fish_intake!A$4:D$122,4,FALSE)), "NA")</f>
        <v>NA</v>
      </c>
      <c r="U3515" s="2" t="str">
        <f t="shared" si="372"/>
        <v>NA</v>
      </c>
    </row>
    <row r="3516" spans="1:21" ht="14.25" customHeight="1">
      <c r="A3516" s="2" t="s">
        <v>15</v>
      </c>
      <c r="B3516" s="2">
        <v>2002</v>
      </c>
      <c r="C3516" s="2" t="s">
        <v>21</v>
      </c>
      <c r="D3516" s="3">
        <v>5.7</v>
      </c>
      <c r="E3516" s="3">
        <v>0.7</v>
      </c>
      <c r="F3516" s="2" t="s">
        <v>92</v>
      </c>
      <c r="G3516" s="2" t="s">
        <v>92</v>
      </c>
      <c r="H3516" s="2" t="s">
        <v>92</v>
      </c>
      <c r="I3516" s="2" t="s">
        <v>92</v>
      </c>
      <c r="P3516" s="3">
        <f>E3516*(VLOOKUP(B3516,Price_data!A$1:B$190,2,FALSE))</f>
        <v>0.67653575024000001</v>
      </c>
      <c r="Q3516" s="3" t="e">
        <f>G3516*(VLOOKUP(B3516,Price_data!A$1:B$190,2,FALSE))</f>
        <v>#VALUE!</v>
      </c>
      <c r="R3516" s="3" t="e">
        <f>I3516*(VLOOKUP(B3516,Price_data!A$1:B$190,2,FALSE))</f>
        <v>#VALUE!</v>
      </c>
      <c r="S3516" s="4" t="str">
        <f>(VLOOKUP(B3516,Price_data!A$1:C$190,3,FALSE))</f>
        <v>EEZ</v>
      </c>
      <c r="T3516" s="2" t="str">
        <f>IF(C3516="Total", (VLOOKUP(B3516,Recommended_fish_intake!A$4:D$122,4,FALSE)), "NA")</f>
        <v>NA</v>
      </c>
      <c r="U3516" s="2" t="str">
        <f t="shared" si="372"/>
        <v>NA</v>
      </c>
    </row>
    <row r="3517" spans="1:21" ht="14.25" customHeight="1">
      <c r="A3517" s="2" t="s">
        <v>15</v>
      </c>
      <c r="B3517" s="2">
        <v>2002</v>
      </c>
      <c r="C3517" s="2" t="s">
        <v>25</v>
      </c>
      <c r="D3517" s="2">
        <v>5.9</v>
      </c>
      <c r="E3517" s="2">
        <v>6.6</v>
      </c>
      <c r="F3517" s="3">
        <f t="shared" ref="F3517:I3519" si="376">IF(L3517="", NA(), L3517/1000)</f>
        <v>1.532</v>
      </c>
      <c r="G3517" s="3">
        <f t="shared" si="376"/>
        <v>2.3780000000000001</v>
      </c>
      <c r="H3517" s="3">
        <f t="shared" si="376"/>
        <v>6.8860000000000001</v>
      </c>
      <c r="I3517" s="3">
        <f t="shared" si="376"/>
        <v>20.547999999999998</v>
      </c>
      <c r="L3517" s="2">
        <f>1223+2+307</f>
        <v>1532</v>
      </c>
      <c r="M3517" s="2">
        <f>1455+4+919</f>
        <v>2378</v>
      </c>
      <c r="N3517" s="2">
        <f>3338+76+3472</f>
        <v>6886</v>
      </c>
      <c r="O3517" s="2">
        <f>6677+79+13792</f>
        <v>20548</v>
      </c>
      <c r="P3517" s="3">
        <f>E3517*(VLOOKUP(B3517,Price_data!A$1:B$190,2,FALSE))</f>
        <v>6.3787656451199997</v>
      </c>
      <c r="Q3517" s="3">
        <f>G3517*(VLOOKUP(B3517,Price_data!A$1:B$190,2,FALSE))</f>
        <v>2.2982885915296003</v>
      </c>
      <c r="R3517" s="3">
        <f>I3517*(VLOOKUP(B3517,Price_data!A$1:B$190,2,FALSE))</f>
        <v>19.8592237084736</v>
      </c>
      <c r="S3517" s="4" t="str">
        <f>(VLOOKUP(B3517,Price_data!A$1:C$190,3,FALSE))</f>
        <v>EEZ</v>
      </c>
      <c r="T3517" s="2" t="str">
        <f>IF(C3517="Total", (VLOOKUP(B3517,Recommended_fish_intake!A$4:D$122,4,FALSE)), "NA")</f>
        <v>NA</v>
      </c>
      <c r="U3517" s="2" t="str">
        <f t="shared" si="372"/>
        <v>NA</v>
      </c>
    </row>
    <row r="3518" spans="1:21" ht="14.25" customHeight="1">
      <c r="A3518" s="2" t="s">
        <v>15</v>
      </c>
      <c r="B3518" s="2">
        <v>2002</v>
      </c>
      <c r="C3518" s="2" t="s">
        <v>43</v>
      </c>
      <c r="D3518" s="3" t="e">
        <v>#N/A</v>
      </c>
      <c r="E3518" s="3" t="e">
        <v>#N/A</v>
      </c>
      <c r="F3518" s="3">
        <f t="shared" si="376"/>
        <v>3.5059999999999998</v>
      </c>
      <c r="G3518" s="3">
        <f t="shared" si="376"/>
        <v>7.4850000000000003</v>
      </c>
      <c r="H3518" s="3">
        <f t="shared" si="376"/>
        <v>112.401</v>
      </c>
      <c r="I3518" s="3">
        <f t="shared" si="376"/>
        <v>183.322</v>
      </c>
      <c r="L3518" s="2">
        <f>28+183+3295</f>
        <v>3506</v>
      </c>
      <c r="M3518" s="2">
        <f>235+156+7094</f>
        <v>7485</v>
      </c>
      <c r="N3518" s="2">
        <f>1226+267+110908</f>
        <v>112401</v>
      </c>
      <c r="O3518" s="2">
        <f>3503+327+179492</f>
        <v>183322</v>
      </c>
      <c r="P3518" s="3" t="e">
        <f>E3518*(VLOOKUP(B3518,Price_data!A$1:B$190,2,FALSE))</f>
        <v>#N/A</v>
      </c>
      <c r="Q3518" s="3">
        <f>G3518*(VLOOKUP(B3518,Price_data!A$1:B$190,2,FALSE))</f>
        <v>7.2341001293520009</v>
      </c>
      <c r="R3518" s="3">
        <f>I3518*(VLOOKUP(B3518,Price_data!A$1:B$190,2,FALSE))</f>
        <v>177.17698115071042</v>
      </c>
      <c r="S3518" s="4" t="str">
        <f>(VLOOKUP(B3518,Price_data!A$1:C$190,3,FALSE))</f>
        <v>EEZ</v>
      </c>
      <c r="T3518" s="2" t="str">
        <f>IF(C3518="Total", (VLOOKUP(B3518,Recommended_fish_intake!A$4:D$122,4,FALSE)), "NA")</f>
        <v>NA</v>
      </c>
      <c r="U3518" s="2" t="str">
        <f t="shared" si="372"/>
        <v>NA</v>
      </c>
    </row>
    <row r="3519" spans="1:21" ht="14.25" customHeight="1">
      <c r="A3519" s="2" t="s">
        <v>15</v>
      </c>
      <c r="B3519" s="2">
        <v>2002</v>
      </c>
      <c r="C3519" s="2" t="s">
        <v>29</v>
      </c>
      <c r="D3519" s="3" t="e">
        <v>#N/A</v>
      </c>
      <c r="E3519" s="3" t="e">
        <v>#N/A</v>
      </c>
      <c r="F3519" s="3">
        <f t="shared" si="376"/>
        <v>53.622</v>
      </c>
      <c r="G3519" s="3">
        <f t="shared" si="376"/>
        <v>152.36500000000001</v>
      </c>
      <c r="H3519" s="3">
        <f t="shared" si="376"/>
        <v>38.912999999999997</v>
      </c>
      <c r="I3519" s="3">
        <f t="shared" si="376"/>
        <v>98.253</v>
      </c>
      <c r="L3519" s="2">
        <f>44+43799+3115+885+933+3835+1011</f>
        <v>53622</v>
      </c>
      <c r="M3519" s="2">
        <f>51+96410+10621+1527+2260+34637+6859</f>
        <v>152365</v>
      </c>
      <c r="N3519" s="2">
        <f>75+6974+988+1229+3341+396+25910</f>
        <v>38913</v>
      </c>
      <c r="O3519" s="2">
        <f>273+14286+2481+2352+6370+2535+69956</f>
        <v>98253</v>
      </c>
      <c r="P3519" s="3" t="e">
        <f>E3519*(VLOOKUP(B3519,Price_data!A$1:B$190,2,FALSE))</f>
        <v>#N/A</v>
      </c>
      <c r="Q3519" s="3">
        <f>G3519*(VLOOKUP(B3519,Price_data!A$1:B$190,2,FALSE))</f>
        <v>147.25767083616802</v>
      </c>
      <c r="R3519" s="3">
        <f>I3519*(VLOOKUP(B3519,Price_data!A$1:B$190,2,FALSE))</f>
        <v>94.959524383329608</v>
      </c>
      <c r="S3519" s="4" t="str">
        <f>(VLOOKUP(B3519,Price_data!A$1:C$190,3,FALSE))</f>
        <v>EEZ</v>
      </c>
      <c r="T3519" s="2" t="str">
        <f>IF(C3519="Total", (VLOOKUP(B3519,Recommended_fish_intake!A$4:D$122,4,FALSE)), "NA")</f>
        <v>NA</v>
      </c>
      <c r="U3519" s="2" t="str">
        <f t="shared" si="372"/>
        <v>NA</v>
      </c>
    </row>
    <row r="3520" spans="1:21" ht="14.25" customHeight="1">
      <c r="A3520" s="2" t="s">
        <v>90</v>
      </c>
      <c r="B3520" s="2">
        <v>2003</v>
      </c>
      <c r="C3520" s="2" t="s">
        <v>22</v>
      </c>
      <c r="D3520" s="2">
        <v>6</v>
      </c>
      <c r="E3520" s="2">
        <v>7.5</v>
      </c>
      <c r="P3520" s="3">
        <f>E3520*(VLOOKUP(B3520,Price_data!A$1:B$190,2,FALSE))</f>
        <v>7.0448825505000006</v>
      </c>
      <c r="Q3520" s="3">
        <f>G3520*(VLOOKUP(B3520,Price_data!A$1:B$190,2,FALSE))</f>
        <v>0</v>
      </c>
      <c r="R3520" s="3">
        <f>I3520*(VLOOKUP(B3520,Price_data!A$1:B$190,2,FALSE))</f>
        <v>0</v>
      </c>
      <c r="S3520" s="4" t="str">
        <f>(VLOOKUP(B3520,Price_data!A$1:C$190,3,FALSE))</f>
        <v>EEZ</v>
      </c>
      <c r="T3520" s="2" t="str">
        <f>IF(C3520="Total", (VLOOKUP(B3520,Recommended_fish_intake!A$4:D$122,4,FALSE)), "NA")</f>
        <v>NA</v>
      </c>
      <c r="U3520" s="2" t="str">
        <f t="shared" si="372"/>
        <v>NA</v>
      </c>
    </row>
    <row r="3521" spans="1:21" ht="14.25" customHeight="1">
      <c r="A3521" s="2" t="s">
        <v>90</v>
      </c>
      <c r="B3521" s="2">
        <v>2003</v>
      </c>
      <c r="C3521" s="2" t="s">
        <v>23</v>
      </c>
      <c r="D3521" s="2">
        <v>2.5</v>
      </c>
      <c r="E3521" s="2">
        <v>2</v>
      </c>
      <c r="P3521" s="3">
        <f>E3521*(VLOOKUP(B3521,Price_data!A$1:B$190,2,FALSE))</f>
        <v>1.8786353468000001</v>
      </c>
      <c r="Q3521" s="3">
        <f>G3521*(VLOOKUP(B3521,Price_data!A$1:B$190,2,FALSE))</f>
        <v>0</v>
      </c>
      <c r="R3521" s="3">
        <f>I3521*(VLOOKUP(B3521,Price_data!A$1:B$190,2,FALSE))</f>
        <v>0</v>
      </c>
      <c r="S3521" s="4" t="str">
        <f>(VLOOKUP(B3521,Price_data!A$1:C$190,3,FALSE))</f>
        <v>EEZ</v>
      </c>
      <c r="T3521" s="2" t="str">
        <f>IF(C3521="Total", (VLOOKUP(B3521,Recommended_fish_intake!A$4:D$122,4,FALSE)), "NA")</f>
        <v>NA</v>
      </c>
      <c r="U3521" s="2" t="str">
        <f t="shared" si="372"/>
        <v>NA</v>
      </c>
    </row>
    <row r="3522" spans="1:21" ht="14.25" customHeight="1">
      <c r="A3522" s="2" t="s">
        <v>90</v>
      </c>
      <c r="B3522" s="2">
        <v>2003</v>
      </c>
      <c r="C3522" s="2" t="s">
        <v>58</v>
      </c>
      <c r="D3522" s="2">
        <v>2.4</v>
      </c>
      <c r="E3522" s="2">
        <v>4.9000000000000004</v>
      </c>
      <c r="P3522" s="3">
        <f>E3522*(VLOOKUP(B3522,Price_data!A$1:B$190,2,FALSE))</f>
        <v>4.6026565996600004</v>
      </c>
      <c r="Q3522" s="3">
        <f>G3522*(VLOOKUP(B3522,Price_data!A$1:B$190,2,FALSE))</f>
        <v>0</v>
      </c>
      <c r="R3522" s="3">
        <f>I3522*(VLOOKUP(B3522,Price_data!A$1:B$190,2,FALSE))</f>
        <v>0</v>
      </c>
      <c r="S3522" s="4" t="str">
        <f>(VLOOKUP(B3522,Price_data!A$1:C$190,3,FALSE))</f>
        <v>EEZ</v>
      </c>
      <c r="T3522" s="2" t="str">
        <f>IF(C3522="Total", (VLOOKUP(B3522,Recommended_fish_intake!A$4:D$122,4,FALSE)), "NA")</f>
        <v>NA</v>
      </c>
      <c r="U3522" s="2" t="str">
        <f t="shared" ref="U3522:U3585" si="377">IF(C3522="Wet fish", D3522*0.49, IF(C3522="Shellfish", D3522*0.28, "NA"))</f>
        <v>NA</v>
      </c>
    </row>
    <row r="3523" spans="1:21" ht="14.25" customHeight="1">
      <c r="A3523" s="2" t="s">
        <v>90</v>
      </c>
      <c r="B3523" s="2">
        <v>2003</v>
      </c>
      <c r="C3523" s="2" t="s">
        <v>24</v>
      </c>
      <c r="D3523" s="2">
        <v>1.4</v>
      </c>
      <c r="E3523" s="2">
        <v>0.7</v>
      </c>
      <c r="P3523" s="3">
        <f>E3523*(VLOOKUP(B3523,Price_data!A$1:B$190,2,FALSE))</f>
        <v>0.65752237138000003</v>
      </c>
      <c r="Q3523" s="3">
        <f>G3523*(VLOOKUP(B3523,Price_data!A$1:B$190,2,FALSE))</f>
        <v>0</v>
      </c>
      <c r="R3523" s="3">
        <f>I3523*(VLOOKUP(B3523,Price_data!A$1:B$190,2,FALSE))</f>
        <v>0</v>
      </c>
      <c r="S3523" s="4" t="str">
        <f>(VLOOKUP(B3523,Price_data!A$1:C$190,3,FALSE))</f>
        <v>EEZ</v>
      </c>
      <c r="T3523" s="2" t="str">
        <f>IF(C3523="Total", (VLOOKUP(B3523,Recommended_fish_intake!A$4:D$122,4,FALSE)), "NA")</f>
        <v>NA</v>
      </c>
      <c r="U3523" s="2" t="str">
        <f t="shared" si="377"/>
        <v>NA</v>
      </c>
    </row>
    <row r="3524" spans="1:21" ht="14.25" customHeight="1">
      <c r="A3524" s="2" t="s">
        <v>90</v>
      </c>
      <c r="B3524" s="2">
        <v>2003</v>
      </c>
      <c r="C3524" s="2" t="s">
        <v>41</v>
      </c>
      <c r="D3524" s="2">
        <v>31.8</v>
      </c>
      <c r="E3524" s="2">
        <v>61</v>
      </c>
      <c r="P3524" s="3">
        <f>E3524*(VLOOKUP(B3524,Price_data!A$1:B$190,2,FALSE))</f>
        <v>57.298378077400002</v>
      </c>
      <c r="Q3524" s="3">
        <f>G3524*(VLOOKUP(B3524,Price_data!A$1:B$190,2,FALSE))</f>
        <v>0</v>
      </c>
      <c r="R3524" s="3">
        <f>I3524*(VLOOKUP(B3524,Price_data!A$1:B$190,2,FALSE))</f>
        <v>0</v>
      </c>
      <c r="S3524" s="4" t="str">
        <f>(VLOOKUP(B3524,Price_data!A$1:C$190,3,FALSE))</f>
        <v>EEZ</v>
      </c>
      <c r="T3524" s="2" t="str">
        <f>IF(C3524="Total", (VLOOKUP(B3524,Recommended_fish_intake!A$4:D$122,4,FALSE)), "NA")</f>
        <v>NA</v>
      </c>
      <c r="U3524" s="2" t="str">
        <f t="shared" si="377"/>
        <v>NA</v>
      </c>
    </row>
    <row r="3525" spans="1:21" ht="14.25" customHeight="1">
      <c r="A3525" s="2" t="s">
        <v>90</v>
      </c>
      <c r="B3525" s="2">
        <v>2003</v>
      </c>
      <c r="C3525" s="2" t="s">
        <v>19</v>
      </c>
      <c r="D3525" s="2">
        <v>0.8</v>
      </c>
      <c r="E3525" s="2">
        <v>0.4</v>
      </c>
      <c r="P3525" s="3">
        <f>E3525*(VLOOKUP(B3525,Price_data!A$1:B$190,2,FALSE))</f>
        <v>0.37572706936000005</v>
      </c>
      <c r="Q3525" s="3">
        <f>G3525*(VLOOKUP(B3525,Price_data!A$1:B$190,2,FALSE))</f>
        <v>0</v>
      </c>
      <c r="R3525" s="3">
        <f>I3525*(VLOOKUP(B3525,Price_data!A$1:B$190,2,FALSE))</f>
        <v>0</v>
      </c>
      <c r="S3525" s="4" t="str">
        <f>(VLOOKUP(B3525,Price_data!A$1:C$190,3,FALSE))</f>
        <v>EEZ</v>
      </c>
      <c r="T3525" s="2" t="str">
        <f>IF(C3525="Total", (VLOOKUP(B3525,Recommended_fish_intake!A$4:D$122,4,FALSE)), "NA")</f>
        <v>NA</v>
      </c>
      <c r="U3525" s="2" t="str">
        <f t="shared" si="377"/>
        <v>NA</v>
      </c>
    </row>
    <row r="3526" spans="1:21" ht="14.25" customHeight="1">
      <c r="A3526" s="2" t="s">
        <v>90</v>
      </c>
      <c r="B3526" s="2">
        <v>2003</v>
      </c>
      <c r="C3526" s="2" t="s">
        <v>20</v>
      </c>
      <c r="D3526" s="2">
        <v>5.9</v>
      </c>
      <c r="E3526" s="2">
        <v>2.1</v>
      </c>
      <c r="P3526" s="3">
        <f>E3526*(VLOOKUP(B3526,Price_data!A$1:B$190,2,FALSE))</f>
        <v>1.9725671141400003</v>
      </c>
      <c r="Q3526" s="3">
        <f>G3526*(VLOOKUP(B3526,Price_data!A$1:B$190,2,FALSE))</f>
        <v>0</v>
      </c>
      <c r="R3526" s="3">
        <f>I3526*(VLOOKUP(B3526,Price_data!A$1:B$190,2,FALSE))</f>
        <v>0</v>
      </c>
      <c r="S3526" s="4" t="str">
        <f>(VLOOKUP(B3526,Price_data!A$1:C$190,3,FALSE))</f>
        <v>EEZ</v>
      </c>
      <c r="T3526" s="2" t="str">
        <f>IF(C3526="Total", (VLOOKUP(B3526,Recommended_fish_intake!A$4:D$122,4,FALSE)), "NA")</f>
        <v>NA</v>
      </c>
      <c r="U3526" s="2" t="str">
        <f t="shared" si="377"/>
        <v>NA</v>
      </c>
    </row>
    <row r="3527" spans="1:21" ht="14.25" customHeight="1">
      <c r="A3527" s="2" t="s">
        <v>90</v>
      </c>
      <c r="B3527" s="2">
        <v>2003</v>
      </c>
      <c r="C3527" s="2" t="s">
        <v>42</v>
      </c>
      <c r="D3527" s="2">
        <v>12.1</v>
      </c>
      <c r="E3527" s="2">
        <v>3.9</v>
      </c>
      <c r="P3527" s="3">
        <f>E3527*(VLOOKUP(B3527,Price_data!A$1:B$190,2,FALSE))</f>
        <v>3.6633389262600002</v>
      </c>
      <c r="Q3527" s="3">
        <f>G3527*(VLOOKUP(B3527,Price_data!A$1:B$190,2,FALSE))</f>
        <v>0</v>
      </c>
      <c r="R3527" s="3">
        <f>I3527*(VLOOKUP(B3527,Price_data!A$1:B$190,2,FALSE))</f>
        <v>0</v>
      </c>
      <c r="S3527" s="4" t="str">
        <f>(VLOOKUP(B3527,Price_data!A$1:C$190,3,FALSE))</f>
        <v>EEZ</v>
      </c>
      <c r="T3527" s="2" t="str">
        <f>IF(C3527="Total", (VLOOKUP(B3527,Recommended_fish_intake!A$4:D$122,4,FALSE)), "NA")</f>
        <v>NA</v>
      </c>
      <c r="U3527" s="2" t="str">
        <f t="shared" si="377"/>
        <v>NA</v>
      </c>
    </row>
    <row r="3528" spans="1:21" ht="14.25" customHeight="1">
      <c r="A3528" s="2" t="s">
        <v>90</v>
      </c>
      <c r="B3528" s="2">
        <v>2003</v>
      </c>
      <c r="C3528" s="2" t="s">
        <v>36</v>
      </c>
      <c r="D3528" s="2">
        <v>13.4</v>
      </c>
      <c r="E3528" s="2">
        <v>14.1</v>
      </c>
      <c r="P3528" s="3">
        <f>E3528*(VLOOKUP(B3528,Price_data!A$1:B$190,2,FALSE))</f>
        <v>13.24437919494</v>
      </c>
      <c r="Q3528" s="3">
        <f>G3528*(VLOOKUP(B3528,Price_data!A$1:B$190,2,FALSE))</f>
        <v>0</v>
      </c>
      <c r="R3528" s="3">
        <f>I3528*(VLOOKUP(B3528,Price_data!A$1:B$190,2,FALSE))</f>
        <v>0</v>
      </c>
      <c r="S3528" s="4" t="str">
        <f>(VLOOKUP(B3528,Price_data!A$1:C$190,3,FALSE))</f>
        <v>EEZ</v>
      </c>
      <c r="T3528" s="2" t="str">
        <f>IF(C3528="Total", (VLOOKUP(B3528,Recommended_fish_intake!A$4:D$122,4,FALSE)), "NA")</f>
        <v>NA</v>
      </c>
      <c r="U3528" s="2" t="str">
        <f t="shared" si="377"/>
        <v>NA</v>
      </c>
    </row>
    <row r="3529" spans="1:21" ht="14.25" customHeight="1">
      <c r="A3529" s="2" t="s">
        <v>90</v>
      </c>
      <c r="B3529" s="2">
        <v>2003</v>
      </c>
      <c r="C3529" s="2" t="s">
        <v>34</v>
      </c>
      <c r="D3529" s="2">
        <v>0.9</v>
      </c>
      <c r="E3529" s="2">
        <v>8.1</v>
      </c>
      <c r="P3529" s="3">
        <f>E3529*(VLOOKUP(B3529,Price_data!A$1:B$190,2,FALSE))</f>
        <v>7.6084731545400004</v>
      </c>
      <c r="Q3529" s="3">
        <f>G3529*(VLOOKUP(B3529,Price_data!A$1:B$190,2,FALSE))</f>
        <v>0</v>
      </c>
      <c r="R3529" s="3">
        <f>I3529*(VLOOKUP(B3529,Price_data!A$1:B$190,2,FALSE))</f>
        <v>0</v>
      </c>
      <c r="S3529" s="4" t="str">
        <f>(VLOOKUP(B3529,Price_data!A$1:C$190,3,FALSE))</f>
        <v>EEZ</v>
      </c>
      <c r="T3529" s="2" t="str">
        <f>IF(C3529="Total", (VLOOKUP(B3529,Recommended_fish_intake!A$4:D$122,4,FALSE)), "NA")</f>
        <v>NA</v>
      </c>
      <c r="U3529" s="2" t="str">
        <f t="shared" si="377"/>
        <v>NA</v>
      </c>
    </row>
    <row r="3530" spans="1:21" ht="14.25" customHeight="1">
      <c r="A3530" s="2" t="s">
        <v>90</v>
      </c>
      <c r="B3530" s="2">
        <v>2003</v>
      </c>
      <c r="C3530" s="2" t="s">
        <v>35</v>
      </c>
      <c r="D3530" s="2">
        <v>2.6</v>
      </c>
      <c r="E3530" s="2">
        <v>5.0999999999999996</v>
      </c>
      <c r="P3530" s="3">
        <f>E3530*(VLOOKUP(B3530,Price_data!A$1:B$190,2,FALSE))</f>
        <v>4.7905201343400003</v>
      </c>
      <c r="Q3530" s="3">
        <f>G3530*(VLOOKUP(B3530,Price_data!A$1:B$190,2,FALSE))</f>
        <v>0</v>
      </c>
      <c r="R3530" s="3">
        <f>I3530*(VLOOKUP(B3530,Price_data!A$1:B$190,2,FALSE))</f>
        <v>0</v>
      </c>
      <c r="S3530" s="4" t="str">
        <f>(VLOOKUP(B3530,Price_data!A$1:C$190,3,FALSE))</f>
        <v>EEZ</v>
      </c>
      <c r="T3530" s="2" t="str">
        <f>IF(C3530="Total", (VLOOKUP(B3530,Recommended_fish_intake!A$4:D$122,4,FALSE)), "NA")</f>
        <v>NA</v>
      </c>
      <c r="U3530" s="2" t="str">
        <f t="shared" si="377"/>
        <v>NA</v>
      </c>
    </row>
    <row r="3531" spans="1:21" ht="14.25" customHeight="1">
      <c r="A3531" s="2" t="s">
        <v>90</v>
      </c>
      <c r="B3531" s="2">
        <v>2003</v>
      </c>
      <c r="C3531" s="2" t="s">
        <v>52</v>
      </c>
      <c r="D3531" s="2">
        <v>9.8000000000000007</v>
      </c>
      <c r="E3531" s="2">
        <v>12.8</v>
      </c>
      <c r="P3531" s="3">
        <f>E3531*(VLOOKUP(B3531,Price_data!A$1:B$190,2,FALSE))</f>
        <v>12.023266219520002</v>
      </c>
      <c r="Q3531" s="3">
        <f>G3531*(VLOOKUP(B3531,Price_data!A$1:B$190,2,FALSE))</f>
        <v>0</v>
      </c>
      <c r="R3531" s="3">
        <f>I3531*(VLOOKUP(B3531,Price_data!A$1:B$190,2,FALSE))</f>
        <v>0</v>
      </c>
      <c r="S3531" s="4" t="str">
        <f>(VLOOKUP(B3531,Price_data!A$1:C$190,3,FALSE))</f>
        <v>EEZ</v>
      </c>
      <c r="T3531" s="2" t="str">
        <f>IF(C3531="Total", (VLOOKUP(B3531,Recommended_fish_intake!A$4:D$122,4,FALSE)), "NA")</f>
        <v>NA</v>
      </c>
      <c r="U3531" s="2" t="str">
        <f t="shared" si="377"/>
        <v>NA</v>
      </c>
    </row>
    <row r="3532" spans="1:21" ht="14.25" customHeight="1">
      <c r="A3532" s="2" t="s">
        <v>90</v>
      </c>
      <c r="B3532" s="2">
        <v>2003</v>
      </c>
      <c r="C3532" s="2" t="s">
        <v>30</v>
      </c>
      <c r="D3532" s="2">
        <v>0.7</v>
      </c>
      <c r="E3532" s="2">
        <v>1.1000000000000001</v>
      </c>
      <c r="P3532" s="3">
        <f>E3532*(VLOOKUP(B3532,Price_data!A$1:B$190,2,FALSE))</f>
        <v>1.0332494407400001</v>
      </c>
      <c r="Q3532" s="3">
        <f>G3532*(VLOOKUP(B3532,Price_data!A$1:B$190,2,FALSE))</f>
        <v>0</v>
      </c>
      <c r="R3532" s="3">
        <f>I3532*(VLOOKUP(B3532,Price_data!A$1:B$190,2,FALSE))</f>
        <v>0</v>
      </c>
      <c r="S3532" s="4" t="str">
        <f>(VLOOKUP(B3532,Price_data!A$1:C$190,3,FALSE))</f>
        <v>EEZ</v>
      </c>
      <c r="T3532" s="2" t="str">
        <f>IF(C3532="Total", (VLOOKUP(B3532,Recommended_fish_intake!A$4:D$122,4,FALSE)), "NA")</f>
        <v>NA</v>
      </c>
      <c r="U3532" s="2" t="str">
        <f t="shared" si="377"/>
        <v>NA</v>
      </c>
    </row>
    <row r="3533" spans="1:21" ht="14.25" customHeight="1">
      <c r="A3533" s="2" t="s">
        <v>90</v>
      </c>
      <c r="B3533" s="2">
        <v>2003</v>
      </c>
      <c r="C3533" s="2" t="s">
        <v>28</v>
      </c>
      <c r="D3533" s="2">
        <v>71.099999999999994</v>
      </c>
      <c r="E3533" s="2">
        <v>68.5</v>
      </c>
      <c r="P3533" s="3">
        <f>E3533*(VLOOKUP(B3533,Price_data!A$1:B$190,2,FALSE))</f>
        <v>64.343260627900008</v>
      </c>
      <c r="Q3533" s="3">
        <f>G3533*(VLOOKUP(B3533,Price_data!A$1:B$190,2,FALSE))</f>
        <v>0</v>
      </c>
      <c r="R3533" s="3">
        <f>I3533*(VLOOKUP(B3533,Price_data!A$1:B$190,2,FALSE))</f>
        <v>0</v>
      </c>
      <c r="S3533" s="4" t="str">
        <f>(VLOOKUP(B3533,Price_data!A$1:C$190,3,FALSE))</f>
        <v>EEZ</v>
      </c>
      <c r="T3533" s="2" t="str">
        <f>IF(C3533="Total", (VLOOKUP(B3533,Recommended_fish_intake!A$4:D$122,4,FALSE)), "NA")</f>
        <v>NA</v>
      </c>
      <c r="U3533" s="2">
        <f t="shared" si="377"/>
        <v>19.908000000000001</v>
      </c>
    </row>
    <row r="3534" spans="1:21" ht="14.25" customHeight="1">
      <c r="A3534" s="2" t="s">
        <v>91</v>
      </c>
      <c r="B3534" s="2">
        <v>2003</v>
      </c>
      <c r="C3534" s="2" t="s">
        <v>22</v>
      </c>
      <c r="D3534" s="2">
        <v>4.5999999999999999E-2</v>
      </c>
      <c r="E3534" s="2">
        <v>7.0999999999999994E-2</v>
      </c>
      <c r="P3534" s="3">
        <f>E3534*(VLOOKUP(B3534,Price_data!A$1:B$190,2,FALSE))</f>
        <v>6.6691554811400003E-2</v>
      </c>
      <c r="Q3534" s="3">
        <f>G3534*(VLOOKUP(B3534,Price_data!A$1:B$190,2,FALSE))</f>
        <v>0</v>
      </c>
      <c r="R3534" s="3">
        <f>I3534*(VLOOKUP(B3534,Price_data!A$1:B$190,2,FALSE))</f>
        <v>0</v>
      </c>
      <c r="S3534" s="4" t="str">
        <f>(VLOOKUP(B3534,Price_data!A$1:C$190,3,FALSE))</f>
        <v>EEZ</v>
      </c>
      <c r="T3534" s="2" t="str">
        <f>IF(C3534="Total", (VLOOKUP(B3534,Recommended_fish_intake!A$4:D$122,4,FALSE)), "NA")</f>
        <v>NA</v>
      </c>
      <c r="U3534" s="2" t="str">
        <f t="shared" si="377"/>
        <v>NA</v>
      </c>
    </row>
    <row r="3535" spans="1:21" ht="14.25" customHeight="1">
      <c r="A3535" s="2" t="s">
        <v>91</v>
      </c>
      <c r="B3535" s="2">
        <v>2003</v>
      </c>
      <c r="C3535" s="2" t="s">
        <v>23</v>
      </c>
      <c r="D3535" s="2">
        <v>2.9000000000000001E-2</v>
      </c>
      <c r="E3535" s="2">
        <v>2.1000000000000001E-2</v>
      </c>
      <c r="P3535" s="3">
        <f>E3535*(VLOOKUP(B3535,Price_data!A$1:B$190,2,FALSE))</f>
        <v>1.9725671141400003E-2</v>
      </c>
      <c r="Q3535" s="3">
        <f>G3535*(VLOOKUP(B3535,Price_data!A$1:B$190,2,FALSE))</f>
        <v>0</v>
      </c>
      <c r="R3535" s="3">
        <f>I3535*(VLOOKUP(B3535,Price_data!A$1:B$190,2,FALSE))</f>
        <v>0</v>
      </c>
      <c r="S3535" s="4" t="str">
        <f>(VLOOKUP(B3535,Price_data!A$1:C$190,3,FALSE))</f>
        <v>EEZ</v>
      </c>
      <c r="T3535" s="2" t="str">
        <f>IF(C3535="Total", (VLOOKUP(B3535,Recommended_fish_intake!A$4:D$122,4,FALSE)), "NA")</f>
        <v>NA</v>
      </c>
      <c r="U3535" s="2" t="str">
        <f t="shared" si="377"/>
        <v>NA</v>
      </c>
    </row>
    <row r="3536" spans="1:21" ht="14.25" customHeight="1">
      <c r="A3536" s="2" t="s">
        <v>91</v>
      </c>
      <c r="B3536" s="2">
        <v>2003</v>
      </c>
      <c r="C3536" s="2" t="s">
        <v>58</v>
      </c>
      <c r="D3536" s="2">
        <v>0.32700000000000001</v>
      </c>
      <c r="E3536" s="2">
        <v>0.70099999999999996</v>
      </c>
      <c r="P3536" s="3">
        <f>E3536*(VLOOKUP(B3536,Price_data!A$1:B$190,2,FALSE))</f>
        <v>0.65846168905339997</v>
      </c>
      <c r="Q3536" s="3">
        <f>G3536*(VLOOKUP(B3536,Price_data!A$1:B$190,2,FALSE))</f>
        <v>0</v>
      </c>
      <c r="R3536" s="3">
        <f>I3536*(VLOOKUP(B3536,Price_data!A$1:B$190,2,FALSE))</f>
        <v>0</v>
      </c>
      <c r="S3536" s="4" t="str">
        <f>(VLOOKUP(B3536,Price_data!A$1:C$190,3,FALSE))</f>
        <v>EEZ</v>
      </c>
      <c r="T3536" s="2" t="str">
        <f>IF(C3536="Total", (VLOOKUP(B3536,Recommended_fish_intake!A$4:D$122,4,FALSE)), "NA")</f>
        <v>NA</v>
      </c>
      <c r="U3536" s="2" t="str">
        <f t="shared" si="377"/>
        <v>NA</v>
      </c>
    </row>
    <row r="3537" spans="1:21" ht="14.25" customHeight="1">
      <c r="A3537" s="2" t="s">
        <v>91</v>
      </c>
      <c r="B3537" s="2">
        <v>2003</v>
      </c>
      <c r="C3537" s="2" t="s">
        <v>24</v>
      </c>
      <c r="D3537" s="2">
        <v>5.7000000000000002E-2</v>
      </c>
      <c r="E3537" s="2">
        <v>2.1999999999999999E-2</v>
      </c>
      <c r="P3537" s="3">
        <f>E3537*(VLOOKUP(B3537,Price_data!A$1:B$190,2,FALSE))</f>
        <v>2.06649888148E-2</v>
      </c>
      <c r="Q3537" s="3">
        <f>G3537*(VLOOKUP(B3537,Price_data!A$1:B$190,2,FALSE))</f>
        <v>0</v>
      </c>
      <c r="R3537" s="3">
        <f>I3537*(VLOOKUP(B3537,Price_data!A$1:B$190,2,FALSE))</f>
        <v>0</v>
      </c>
      <c r="S3537" s="4" t="str">
        <f>(VLOOKUP(B3537,Price_data!A$1:C$190,3,FALSE))</f>
        <v>EEZ</v>
      </c>
      <c r="T3537" s="2" t="str">
        <f>IF(C3537="Total", (VLOOKUP(B3537,Recommended_fish_intake!A$4:D$122,4,FALSE)), "NA")</f>
        <v>NA</v>
      </c>
      <c r="U3537" s="2" t="str">
        <f t="shared" si="377"/>
        <v>NA</v>
      </c>
    </row>
    <row r="3538" spans="1:21" ht="14.25" customHeight="1">
      <c r="A3538" s="2" t="s">
        <v>91</v>
      </c>
      <c r="B3538" s="2">
        <v>2003</v>
      </c>
      <c r="C3538" s="2" t="s">
        <v>41</v>
      </c>
      <c r="D3538" s="2">
        <v>2.302</v>
      </c>
      <c r="E3538" s="2">
        <v>3.6739999999999999</v>
      </c>
      <c r="P3538" s="3">
        <f>E3538*(VLOOKUP(B3538,Price_data!A$1:B$190,2,FALSE))</f>
        <v>3.4510531320716002</v>
      </c>
      <c r="Q3538" s="3">
        <f>G3538*(VLOOKUP(B3538,Price_data!A$1:B$190,2,FALSE))</f>
        <v>0</v>
      </c>
      <c r="R3538" s="3">
        <f>I3538*(VLOOKUP(B3538,Price_data!A$1:B$190,2,FALSE))</f>
        <v>0</v>
      </c>
      <c r="S3538" s="4" t="str">
        <f>(VLOOKUP(B3538,Price_data!A$1:C$190,3,FALSE))</f>
        <v>EEZ</v>
      </c>
      <c r="T3538" s="2" t="str">
        <f>IF(C3538="Total", (VLOOKUP(B3538,Recommended_fish_intake!A$4:D$122,4,FALSE)), "NA")</f>
        <v>NA</v>
      </c>
      <c r="U3538" s="2" t="str">
        <f t="shared" si="377"/>
        <v>NA</v>
      </c>
    </row>
    <row r="3539" spans="1:21" ht="14.25" customHeight="1">
      <c r="A3539" s="2" t="s">
        <v>91</v>
      </c>
      <c r="B3539" s="2">
        <v>2003</v>
      </c>
      <c r="C3539" s="2" t="s">
        <v>19</v>
      </c>
      <c r="D3539" s="2">
        <v>1.4E-2</v>
      </c>
      <c r="E3539" s="2">
        <v>0.01</v>
      </c>
      <c r="P3539" s="3">
        <f>E3539*(VLOOKUP(B3539,Price_data!A$1:B$190,2,FALSE))</f>
        <v>9.393176734000001E-3</v>
      </c>
      <c r="Q3539" s="3">
        <f>G3539*(VLOOKUP(B3539,Price_data!A$1:B$190,2,FALSE))</f>
        <v>0</v>
      </c>
      <c r="R3539" s="3">
        <f>I3539*(VLOOKUP(B3539,Price_data!A$1:B$190,2,FALSE))</f>
        <v>0</v>
      </c>
      <c r="S3539" s="4" t="str">
        <f>(VLOOKUP(B3539,Price_data!A$1:C$190,3,FALSE))</f>
        <v>EEZ</v>
      </c>
      <c r="T3539" s="2" t="str">
        <f>IF(C3539="Total", (VLOOKUP(B3539,Recommended_fish_intake!A$4:D$122,4,FALSE)), "NA")</f>
        <v>NA</v>
      </c>
      <c r="U3539" s="2" t="str">
        <f t="shared" si="377"/>
        <v>NA</v>
      </c>
    </row>
    <row r="3540" spans="1:21" ht="14.25" customHeight="1">
      <c r="A3540" s="2" t="s">
        <v>91</v>
      </c>
      <c r="B3540" s="2">
        <v>2003</v>
      </c>
      <c r="C3540" s="2" t="s">
        <v>20</v>
      </c>
      <c r="D3540" s="2">
        <v>0</v>
      </c>
      <c r="E3540" s="2">
        <v>0</v>
      </c>
      <c r="P3540" s="3">
        <f>E3540*(VLOOKUP(B3540,Price_data!A$1:B$190,2,FALSE))</f>
        <v>0</v>
      </c>
      <c r="Q3540" s="3">
        <f>G3540*(VLOOKUP(B3540,Price_data!A$1:B$190,2,FALSE))</f>
        <v>0</v>
      </c>
      <c r="R3540" s="3">
        <f>I3540*(VLOOKUP(B3540,Price_data!A$1:B$190,2,FALSE))</f>
        <v>0</v>
      </c>
      <c r="S3540" s="4" t="str">
        <f>(VLOOKUP(B3540,Price_data!A$1:C$190,3,FALSE))</f>
        <v>EEZ</v>
      </c>
      <c r="T3540" s="2" t="str">
        <f>IF(C3540="Total", (VLOOKUP(B3540,Recommended_fish_intake!A$4:D$122,4,FALSE)), "NA")</f>
        <v>NA</v>
      </c>
      <c r="U3540" s="2" t="str">
        <f t="shared" si="377"/>
        <v>NA</v>
      </c>
    </row>
    <row r="3541" spans="1:21" ht="14.25" customHeight="1">
      <c r="A3541" s="2" t="s">
        <v>91</v>
      </c>
      <c r="B3541" s="2">
        <v>2003</v>
      </c>
      <c r="C3541" s="2" t="s">
        <v>42</v>
      </c>
      <c r="D3541" s="2">
        <v>1.4E-2</v>
      </c>
      <c r="E3541" s="2">
        <v>0.01</v>
      </c>
      <c r="P3541" s="3">
        <f>E3541*(VLOOKUP(B3541,Price_data!A$1:B$190,2,FALSE))</f>
        <v>9.393176734000001E-3</v>
      </c>
      <c r="Q3541" s="3">
        <f>G3541*(VLOOKUP(B3541,Price_data!A$1:B$190,2,FALSE))</f>
        <v>0</v>
      </c>
      <c r="R3541" s="3">
        <f>I3541*(VLOOKUP(B3541,Price_data!A$1:B$190,2,FALSE))</f>
        <v>0</v>
      </c>
      <c r="S3541" s="4" t="str">
        <f>(VLOOKUP(B3541,Price_data!A$1:C$190,3,FALSE))</f>
        <v>EEZ</v>
      </c>
      <c r="T3541" s="2" t="str">
        <f>IF(C3541="Total", (VLOOKUP(B3541,Recommended_fish_intake!A$4:D$122,4,FALSE)), "NA")</f>
        <v>NA</v>
      </c>
      <c r="U3541" s="2" t="str">
        <f t="shared" si="377"/>
        <v>NA</v>
      </c>
    </row>
    <row r="3542" spans="1:21" ht="14.25" customHeight="1">
      <c r="A3542" s="2" t="s">
        <v>91</v>
      </c>
      <c r="B3542" s="2">
        <v>2003</v>
      </c>
      <c r="C3542" s="2" t="s">
        <v>36</v>
      </c>
      <c r="D3542" s="2">
        <v>0.71199999999999997</v>
      </c>
      <c r="E3542" s="2">
        <v>0.70199999999999996</v>
      </c>
      <c r="P3542" s="3">
        <f>E3542*(VLOOKUP(B3542,Price_data!A$1:B$190,2,FALSE))</f>
        <v>0.65940100672680002</v>
      </c>
      <c r="Q3542" s="3">
        <f>G3542*(VLOOKUP(B3542,Price_data!A$1:B$190,2,FALSE))</f>
        <v>0</v>
      </c>
      <c r="R3542" s="3">
        <f>I3542*(VLOOKUP(B3542,Price_data!A$1:B$190,2,FALSE))</f>
        <v>0</v>
      </c>
      <c r="S3542" s="4" t="str">
        <f>(VLOOKUP(B3542,Price_data!A$1:C$190,3,FALSE))</f>
        <v>EEZ</v>
      </c>
      <c r="T3542" s="2" t="str">
        <f>IF(C3542="Total", (VLOOKUP(B3542,Recommended_fish_intake!A$4:D$122,4,FALSE)), "NA")</f>
        <v>NA</v>
      </c>
      <c r="U3542" s="2" t="str">
        <f t="shared" si="377"/>
        <v>NA</v>
      </c>
    </row>
    <row r="3543" spans="1:21" ht="14.25" customHeight="1">
      <c r="A3543" s="2" t="s">
        <v>91</v>
      </c>
      <c r="B3543" s="2">
        <v>2003</v>
      </c>
      <c r="C3543" s="2" t="s">
        <v>34</v>
      </c>
      <c r="D3543" s="2">
        <v>0.112</v>
      </c>
      <c r="E3543" s="2">
        <v>1.2569999999999999</v>
      </c>
      <c r="P3543" s="3">
        <f>E3543*(VLOOKUP(B3543,Price_data!A$1:B$190,2,FALSE))</f>
        <v>1.1807223154638</v>
      </c>
      <c r="Q3543" s="3">
        <f>G3543*(VLOOKUP(B3543,Price_data!A$1:B$190,2,FALSE))</f>
        <v>0</v>
      </c>
      <c r="R3543" s="3">
        <f>I3543*(VLOOKUP(B3543,Price_data!A$1:B$190,2,FALSE))</f>
        <v>0</v>
      </c>
      <c r="S3543" s="4" t="str">
        <f>(VLOOKUP(B3543,Price_data!A$1:C$190,3,FALSE))</f>
        <v>EEZ</v>
      </c>
      <c r="T3543" s="2" t="str">
        <f>IF(C3543="Total", (VLOOKUP(B3543,Recommended_fish_intake!A$4:D$122,4,FALSE)), "NA")</f>
        <v>NA</v>
      </c>
      <c r="U3543" s="2" t="str">
        <f t="shared" si="377"/>
        <v>NA</v>
      </c>
    </row>
    <row r="3544" spans="1:21" ht="14.25" customHeight="1">
      <c r="A3544" s="2" t="s">
        <v>91</v>
      </c>
      <c r="B3544" s="2">
        <v>2003</v>
      </c>
      <c r="C3544" s="2" t="s">
        <v>35</v>
      </c>
      <c r="D3544" s="2">
        <v>6.3E-2</v>
      </c>
      <c r="E3544" s="2">
        <v>0.23300000000000001</v>
      </c>
      <c r="P3544" s="3">
        <f>E3544*(VLOOKUP(B3544,Price_data!A$1:B$190,2,FALSE))</f>
        <v>0.21886101790220003</v>
      </c>
      <c r="Q3544" s="3">
        <f>G3544*(VLOOKUP(B3544,Price_data!A$1:B$190,2,FALSE))</f>
        <v>0</v>
      </c>
      <c r="R3544" s="3">
        <f>I3544*(VLOOKUP(B3544,Price_data!A$1:B$190,2,FALSE))</f>
        <v>0</v>
      </c>
      <c r="S3544" s="4" t="str">
        <f>(VLOOKUP(B3544,Price_data!A$1:C$190,3,FALSE))</f>
        <v>EEZ</v>
      </c>
      <c r="T3544" s="2" t="str">
        <f>IF(C3544="Total", (VLOOKUP(B3544,Recommended_fish_intake!A$4:D$122,4,FALSE)), "NA")</f>
        <v>NA</v>
      </c>
      <c r="U3544" s="2" t="str">
        <f t="shared" si="377"/>
        <v>NA</v>
      </c>
    </row>
    <row r="3545" spans="1:21" ht="14.25" customHeight="1">
      <c r="A3545" s="2" t="s">
        <v>91</v>
      </c>
      <c r="B3545" s="2">
        <v>2003</v>
      </c>
      <c r="C3545" s="2" t="s">
        <v>52</v>
      </c>
      <c r="D3545" s="2">
        <v>1.4339999999999999</v>
      </c>
      <c r="E3545" s="2">
        <v>0.92900000000000005</v>
      </c>
      <c r="P3545" s="3">
        <f>E3545*(VLOOKUP(B3545,Price_data!A$1:B$190,2,FALSE))</f>
        <v>0.87262611858860006</v>
      </c>
      <c r="Q3545" s="3">
        <f>G3545*(VLOOKUP(B3545,Price_data!A$1:B$190,2,FALSE))</f>
        <v>0</v>
      </c>
      <c r="R3545" s="3">
        <f>I3545*(VLOOKUP(B3545,Price_data!A$1:B$190,2,FALSE))</f>
        <v>0</v>
      </c>
      <c r="S3545" s="4" t="str">
        <f>(VLOOKUP(B3545,Price_data!A$1:C$190,3,FALSE))</f>
        <v>EEZ</v>
      </c>
      <c r="T3545" s="2" t="str">
        <f>IF(C3545="Total", (VLOOKUP(B3545,Recommended_fish_intake!A$4:D$122,4,FALSE)), "NA")</f>
        <v>NA</v>
      </c>
      <c r="U3545" s="2" t="str">
        <f t="shared" si="377"/>
        <v>NA</v>
      </c>
    </row>
    <row r="3546" spans="1:21" ht="14.25" customHeight="1">
      <c r="A3546" s="2" t="s">
        <v>91</v>
      </c>
      <c r="B3546" s="2">
        <v>2003</v>
      </c>
      <c r="C3546" s="2" t="s">
        <v>30</v>
      </c>
      <c r="D3546" s="2">
        <v>0</v>
      </c>
      <c r="E3546" s="2">
        <v>1E-3</v>
      </c>
      <c r="P3546" s="3">
        <f>E3546*(VLOOKUP(B3546,Price_data!A$1:B$190,2,FALSE))</f>
        <v>9.393176734000001E-4</v>
      </c>
      <c r="Q3546" s="3">
        <f>G3546*(VLOOKUP(B3546,Price_data!A$1:B$190,2,FALSE))</f>
        <v>0</v>
      </c>
      <c r="R3546" s="3">
        <f>I3546*(VLOOKUP(B3546,Price_data!A$1:B$190,2,FALSE))</f>
        <v>0</v>
      </c>
      <c r="S3546" s="4" t="str">
        <f>(VLOOKUP(B3546,Price_data!A$1:C$190,3,FALSE))</f>
        <v>EEZ</v>
      </c>
      <c r="T3546" s="2" t="str">
        <f>IF(C3546="Total", (VLOOKUP(B3546,Recommended_fish_intake!A$4:D$122,4,FALSE)), "NA")</f>
        <v>NA</v>
      </c>
      <c r="U3546" s="2" t="str">
        <f t="shared" si="377"/>
        <v>NA</v>
      </c>
    </row>
    <row r="3547" spans="1:21" ht="14.25" customHeight="1">
      <c r="A3547" s="2" t="s">
        <v>91</v>
      </c>
      <c r="B3547" s="2">
        <v>2003</v>
      </c>
      <c r="C3547" s="2" t="s">
        <v>28</v>
      </c>
      <c r="D3547" s="2">
        <v>7.6980000000000004</v>
      </c>
      <c r="E3547" s="2">
        <v>7.8280000000000003</v>
      </c>
      <c r="P3547" s="3">
        <f>E3547*(VLOOKUP(B3547,Price_data!A$1:B$190,2,FALSE))</f>
        <v>7.3529787473752011</v>
      </c>
      <c r="Q3547" s="3">
        <f>G3547*(VLOOKUP(B3547,Price_data!A$1:B$190,2,FALSE))</f>
        <v>0</v>
      </c>
      <c r="R3547" s="3">
        <f>I3547*(VLOOKUP(B3547,Price_data!A$1:B$190,2,FALSE))</f>
        <v>0</v>
      </c>
      <c r="S3547" s="4" t="str">
        <f>(VLOOKUP(B3547,Price_data!A$1:C$190,3,FALSE))</f>
        <v>EEZ</v>
      </c>
      <c r="T3547" s="2" t="str">
        <f>IF(C3547="Total", (VLOOKUP(B3547,Recommended_fish_intake!A$4:D$122,4,FALSE)), "NA")</f>
        <v>NA</v>
      </c>
      <c r="U3547" s="2">
        <f t="shared" si="377"/>
        <v>2.1554400000000005</v>
      </c>
    </row>
    <row r="3548" spans="1:21" ht="14.25" customHeight="1">
      <c r="A3548" s="2" t="s">
        <v>39</v>
      </c>
      <c r="B3548" s="2">
        <v>2003</v>
      </c>
      <c r="C3548" s="2" t="s">
        <v>22</v>
      </c>
      <c r="D3548" s="2">
        <v>8.9640000000000004</v>
      </c>
      <c r="E3548" s="2">
        <v>13.988</v>
      </c>
      <c r="P3548" s="3">
        <f>E3548*(VLOOKUP(B3548,Price_data!A$1:B$190,2,FALSE))</f>
        <v>13.1391756155192</v>
      </c>
      <c r="Q3548" s="3">
        <f>G3548*(VLOOKUP(B3548,Price_data!A$1:B$190,2,FALSE))</f>
        <v>0</v>
      </c>
      <c r="R3548" s="3">
        <f>I3548*(VLOOKUP(B3548,Price_data!A$1:B$190,2,FALSE))</f>
        <v>0</v>
      </c>
      <c r="S3548" s="4" t="str">
        <f>(VLOOKUP(B3548,Price_data!A$1:C$190,3,FALSE))</f>
        <v>EEZ</v>
      </c>
      <c r="T3548" s="2" t="str">
        <f>IF(C3548="Total", (VLOOKUP(B3548,Recommended_fish_intake!A$4:D$122,4,FALSE)), "NA")</f>
        <v>NA</v>
      </c>
      <c r="U3548" s="2" t="str">
        <f t="shared" si="377"/>
        <v>NA</v>
      </c>
    </row>
    <row r="3549" spans="1:21" ht="14.25" customHeight="1">
      <c r="A3549" s="2" t="s">
        <v>39</v>
      </c>
      <c r="B3549" s="2">
        <v>2003</v>
      </c>
      <c r="C3549" s="2" t="s">
        <v>23</v>
      </c>
      <c r="D3549" s="2">
        <v>37.923000000000002</v>
      </c>
      <c r="E3549" s="2">
        <v>25.297999999999998</v>
      </c>
      <c r="P3549" s="3">
        <f>E3549*(VLOOKUP(B3549,Price_data!A$1:B$190,2,FALSE))</f>
        <v>23.7628585016732</v>
      </c>
      <c r="Q3549" s="3">
        <f>G3549*(VLOOKUP(B3549,Price_data!A$1:B$190,2,FALSE))</f>
        <v>0</v>
      </c>
      <c r="R3549" s="3">
        <f>I3549*(VLOOKUP(B3549,Price_data!A$1:B$190,2,FALSE))</f>
        <v>0</v>
      </c>
      <c r="S3549" s="4" t="str">
        <f>(VLOOKUP(B3549,Price_data!A$1:C$190,3,FALSE))</f>
        <v>EEZ</v>
      </c>
      <c r="T3549" s="2" t="str">
        <f>IF(C3549="Total", (VLOOKUP(B3549,Recommended_fish_intake!A$4:D$122,4,FALSE)), "NA")</f>
        <v>NA</v>
      </c>
      <c r="U3549" s="2" t="str">
        <f t="shared" si="377"/>
        <v>NA</v>
      </c>
    </row>
    <row r="3550" spans="1:21" ht="14.25" customHeight="1">
      <c r="A3550" s="2" t="s">
        <v>39</v>
      </c>
      <c r="B3550" s="2">
        <v>2003</v>
      </c>
      <c r="C3550" s="2" t="s">
        <v>58</v>
      </c>
      <c r="D3550" s="2">
        <v>7.3550000000000004</v>
      </c>
      <c r="E3550" s="2">
        <v>14.992000000000001</v>
      </c>
      <c r="P3550" s="3">
        <f>E3550*(VLOOKUP(B3550,Price_data!A$1:B$190,2,FALSE))</f>
        <v>14.082250559612802</v>
      </c>
      <c r="Q3550" s="3">
        <f>G3550*(VLOOKUP(B3550,Price_data!A$1:B$190,2,FALSE))</f>
        <v>0</v>
      </c>
      <c r="R3550" s="3">
        <f>I3550*(VLOOKUP(B3550,Price_data!A$1:B$190,2,FALSE))</f>
        <v>0</v>
      </c>
      <c r="S3550" s="4" t="str">
        <f>(VLOOKUP(B3550,Price_data!A$1:C$190,3,FALSE))</f>
        <v>EEZ</v>
      </c>
      <c r="T3550" s="2" t="str">
        <f>IF(C3550="Total", (VLOOKUP(B3550,Recommended_fish_intake!A$4:D$122,4,FALSE)), "NA")</f>
        <v>NA</v>
      </c>
      <c r="U3550" s="2" t="str">
        <f t="shared" si="377"/>
        <v>NA</v>
      </c>
    </row>
    <row r="3551" spans="1:21" ht="14.25" customHeight="1">
      <c r="A3551" s="2" t="s">
        <v>39</v>
      </c>
      <c r="B3551" s="2">
        <v>2003</v>
      </c>
      <c r="C3551" s="2" t="s">
        <v>24</v>
      </c>
      <c r="D3551" s="2">
        <v>6.51</v>
      </c>
      <c r="E3551" s="2">
        <v>4.2229999999999999</v>
      </c>
      <c r="P3551" s="3">
        <f>E3551*(VLOOKUP(B3551,Price_data!A$1:B$190,2,FALSE))</f>
        <v>3.9667385347682003</v>
      </c>
      <c r="Q3551" s="3">
        <f>G3551*(VLOOKUP(B3551,Price_data!A$1:B$190,2,FALSE))</f>
        <v>0</v>
      </c>
      <c r="R3551" s="3">
        <f>I3551*(VLOOKUP(B3551,Price_data!A$1:B$190,2,FALSE))</f>
        <v>0</v>
      </c>
      <c r="S3551" s="4" t="str">
        <f>(VLOOKUP(B3551,Price_data!A$1:C$190,3,FALSE))</f>
        <v>EEZ</v>
      </c>
      <c r="T3551" s="2" t="str">
        <f>IF(C3551="Total", (VLOOKUP(B3551,Recommended_fish_intake!A$4:D$122,4,FALSE)), "NA")</f>
        <v>NA</v>
      </c>
      <c r="U3551" s="2" t="str">
        <f t="shared" si="377"/>
        <v>NA</v>
      </c>
    </row>
    <row r="3552" spans="1:21" ht="14.25" customHeight="1">
      <c r="A3552" s="2" t="s">
        <v>39</v>
      </c>
      <c r="B3552" s="2">
        <v>2003</v>
      </c>
      <c r="C3552" s="2" t="s">
        <v>41</v>
      </c>
      <c r="D3552" s="2">
        <v>93.793999999999997</v>
      </c>
      <c r="E3552" s="2">
        <v>93.567999999999998</v>
      </c>
      <c r="P3552" s="3">
        <f>E3552*(VLOOKUP(B3552,Price_data!A$1:B$190,2,FALSE))</f>
        <v>87.8900760646912</v>
      </c>
      <c r="Q3552" s="3">
        <f>G3552*(VLOOKUP(B3552,Price_data!A$1:B$190,2,FALSE))</f>
        <v>0</v>
      </c>
      <c r="R3552" s="3">
        <f>I3552*(VLOOKUP(B3552,Price_data!A$1:B$190,2,FALSE))</f>
        <v>0</v>
      </c>
      <c r="S3552" s="4" t="str">
        <f>(VLOOKUP(B3552,Price_data!A$1:C$190,3,FALSE))</f>
        <v>EEZ</v>
      </c>
      <c r="T3552" s="2" t="str">
        <f>IF(C3552="Total", (VLOOKUP(B3552,Recommended_fish_intake!A$4:D$122,4,FALSE)), "NA")</f>
        <v>NA</v>
      </c>
      <c r="U3552" s="2" t="str">
        <f t="shared" si="377"/>
        <v>NA</v>
      </c>
    </row>
    <row r="3553" spans="1:21" ht="14.25" customHeight="1">
      <c r="A3553" s="2" t="s">
        <v>39</v>
      </c>
      <c r="B3553" s="2">
        <v>2003</v>
      </c>
      <c r="C3553" s="2" t="s">
        <v>19</v>
      </c>
      <c r="D3553" s="2">
        <v>51.908999999999999</v>
      </c>
      <c r="E3553" s="2">
        <v>6.4009999999999998</v>
      </c>
      <c r="P3553" s="3">
        <f>E3553*(VLOOKUP(B3553,Price_data!A$1:B$190,2,FALSE))</f>
        <v>6.0125724274334003</v>
      </c>
      <c r="Q3553" s="3">
        <f>G3553*(VLOOKUP(B3553,Price_data!A$1:B$190,2,FALSE))</f>
        <v>0</v>
      </c>
      <c r="R3553" s="3">
        <f>I3553*(VLOOKUP(B3553,Price_data!A$1:B$190,2,FALSE))</f>
        <v>0</v>
      </c>
      <c r="S3553" s="4" t="str">
        <f>(VLOOKUP(B3553,Price_data!A$1:C$190,3,FALSE))</f>
        <v>EEZ</v>
      </c>
      <c r="T3553" s="2" t="str">
        <f>IF(C3553="Total", (VLOOKUP(B3553,Recommended_fish_intake!A$4:D$122,4,FALSE)), "NA")</f>
        <v>NA</v>
      </c>
      <c r="U3553" s="2" t="str">
        <f t="shared" si="377"/>
        <v>NA</v>
      </c>
    </row>
    <row r="3554" spans="1:21" ht="14.25" customHeight="1">
      <c r="A3554" s="2" t="s">
        <v>39</v>
      </c>
      <c r="B3554" s="2">
        <v>2003</v>
      </c>
      <c r="C3554" s="2" t="s">
        <v>20</v>
      </c>
      <c r="D3554" s="2">
        <v>98.45</v>
      </c>
      <c r="E3554" s="2">
        <v>41.472000000000001</v>
      </c>
      <c r="P3554" s="3">
        <f>E3554*(VLOOKUP(B3554,Price_data!A$1:B$190,2,FALSE))</f>
        <v>38.955382551244803</v>
      </c>
      <c r="Q3554" s="3">
        <f>G3554*(VLOOKUP(B3554,Price_data!A$1:B$190,2,FALSE))</f>
        <v>0</v>
      </c>
      <c r="R3554" s="3">
        <f>I3554*(VLOOKUP(B3554,Price_data!A$1:B$190,2,FALSE))</f>
        <v>0</v>
      </c>
      <c r="S3554" s="4" t="str">
        <f>(VLOOKUP(B3554,Price_data!A$1:C$190,3,FALSE))</f>
        <v>EEZ</v>
      </c>
      <c r="T3554" s="2" t="str">
        <f>IF(C3554="Total", (VLOOKUP(B3554,Recommended_fish_intake!A$4:D$122,4,FALSE)), "NA")</f>
        <v>NA</v>
      </c>
      <c r="U3554" s="2" t="str">
        <f t="shared" si="377"/>
        <v>NA</v>
      </c>
    </row>
    <row r="3555" spans="1:21" ht="14.25" customHeight="1">
      <c r="A3555" s="2" t="s">
        <v>39</v>
      </c>
      <c r="B3555" s="2">
        <v>2003</v>
      </c>
      <c r="C3555" s="2" t="s">
        <v>42</v>
      </c>
      <c r="D3555" s="2">
        <v>163.298</v>
      </c>
      <c r="E3555" s="2">
        <v>48.917999999999999</v>
      </c>
      <c r="P3555" s="3">
        <f>E3555*(VLOOKUP(B3555,Price_data!A$1:B$190,2,FALSE))</f>
        <v>45.949541947381199</v>
      </c>
      <c r="Q3555" s="3">
        <f>G3555*(VLOOKUP(B3555,Price_data!A$1:B$190,2,FALSE))</f>
        <v>0</v>
      </c>
      <c r="R3555" s="3">
        <f>I3555*(VLOOKUP(B3555,Price_data!A$1:B$190,2,FALSE))</f>
        <v>0</v>
      </c>
      <c r="S3555" s="4" t="str">
        <f>(VLOOKUP(B3555,Price_data!A$1:C$190,3,FALSE))</f>
        <v>EEZ</v>
      </c>
      <c r="T3555" s="2" t="str">
        <f>IF(C3555="Total", (VLOOKUP(B3555,Recommended_fish_intake!A$4:D$122,4,FALSE)), "NA")</f>
        <v>NA</v>
      </c>
      <c r="U3555" s="2" t="str">
        <f t="shared" si="377"/>
        <v>NA</v>
      </c>
    </row>
    <row r="3556" spans="1:21" ht="14.25" customHeight="1">
      <c r="A3556" s="2" t="s">
        <v>39</v>
      </c>
      <c r="B3556" s="2">
        <v>2003</v>
      </c>
      <c r="C3556" s="2" t="s">
        <v>36</v>
      </c>
      <c r="D3556" s="2">
        <v>10.638999999999999</v>
      </c>
      <c r="E3556" s="2">
        <v>12.718</v>
      </c>
      <c r="P3556" s="3">
        <f>E3556*(VLOOKUP(B3556,Price_data!A$1:B$190,2,FALSE))</f>
        <v>11.946242170301201</v>
      </c>
      <c r="Q3556" s="3">
        <f>G3556*(VLOOKUP(B3556,Price_data!A$1:B$190,2,FALSE))</f>
        <v>0</v>
      </c>
      <c r="R3556" s="3">
        <f>I3556*(VLOOKUP(B3556,Price_data!A$1:B$190,2,FALSE))</f>
        <v>0</v>
      </c>
      <c r="S3556" s="4" t="str">
        <f>(VLOOKUP(B3556,Price_data!A$1:C$190,3,FALSE))</f>
        <v>EEZ</v>
      </c>
      <c r="T3556" s="2" t="str">
        <f>IF(C3556="Total", (VLOOKUP(B3556,Recommended_fish_intake!A$4:D$122,4,FALSE)), "NA")</f>
        <v>NA</v>
      </c>
      <c r="U3556" s="2" t="str">
        <f t="shared" si="377"/>
        <v>NA</v>
      </c>
    </row>
    <row r="3557" spans="1:21" ht="14.25" customHeight="1">
      <c r="A3557" s="2" t="s">
        <v>39</v>
      </c>
      <c r="B3557" s="2">
        <v>2003</v>
      </c>
      <c r="C3557" s="2" t="s">
        <v>34</v>
      </c>
      <c r="D3557" s="2">
        <v>0.39400000000000002</v>
      </c>
      <c r="E3557" s="2">
        <v>4.3710000000000004</v>
      </c>
      <c r="P3557" s="3">
        <f>E3557*(VLOOKUP(B3557,Price_data!A$1:B$190,2,FALSE))</f>
        <v>4.1057575504314006</v>
      </c>
      <c r="Q3557" s="3">
        <f>G3557*(VLOOKUP(B3557,Price_data!A$1:B$190,2,FALSE))</f>
        <v>0</v>
      </c>
      <c r="R3557" s="3">
        <f>I3557*(VLOOKUP(B3557,Price_data!A$1:B$190,2,FALSE))</f>
        <v>0</v>
      </c>
      <c r="S3557" s="4" t="str">
        <f>(VLOOKUP(B3557,Price_data!A$1:C$190,3,FALSE))</f>
        <v>EEZ</v>
      </c>
      <c r="T3557" s="2" t="str">
        <f>IF(C3557="Total", (VLOOKUP(B3557,Recommended_fish_intake!A$4:D$122,4,FALSE)), "NA")</f>
        <v>NA</v>
      </c>
      <c r="U3557" s="2" t="str">
        <f t="shared" si="377"/>
        <v>NA</v>
      </c>
    </row>
    <row r="3558" spans="1:21" ht="14.25" customHeight="1">
      <c r="A3558" s="2" t="s">
        <v>39</v>
      </c>
      <c r="B3558" s="2">
        <v>2003</v>
      </c>
      <c r="C3558" s="2" t="s">
        <v>35</v>
      </c>
      <c r="D3558" s="2">
        <v>20.712</v>
      </c>
      <c r="E3558" s="2">
        <v>52.88</v>
      </c>
      <c r="P3558" s="3">
        <f>E3558*(VLOOKUP(B3558,Price_data!A$1:B$190,2,FALSE))</f>
        <v>49.671118569392007</v>
      </c>
      <c r="Q3558" s="3">
        <f>G3558*(VLOOKUP(B3558,Price_data!A$1:B$190,2,FALSE))</f>
        <v>0</v>
      </c>
      <c r="R3558" s="3">
        <f>I3558*(VLOOKUP(B3558,Price_data!A$1:B$190,2,FALSE))</f>
        <v>0</v>
      </c>
      <c r="S3558" s="4" t="str">
        <f>(VLOOKUP(B3558,Price_data!A$1:C$190,3,FALSE))</f>
        <v>EEZ</v>
      </c>
      <c r="T3558" s="2" t="str">
        <f>IF(C3558="Total", (VLOOKUP(B3558,Recommended_fish_intake!A$4:D$122,4,FALSE)), "NA")</f>
        <v>NA</v>
      </c>
      <c r="U3558" s="2" t="str">
        <f t="shared" si="377"/>
        <v>NA</v>
      </c>
    </row>
    <row r="3559" spans="1:21" ht="14.25" customHeight="1">
      <c r="A3559" s="2" t="s">
        <v>39</v>
      </c>
      <c r="B3559" s="2">
        <v>2003</v>
      </c>
      <c r="C3559" s="2" t="s">
        <v>52</v>
      </c>
      <c r="D3559" s="2">
        <v>14.683</v>
      </c>
      <c r="E3559" s="2">
        <v>17.771000000000001</v>
      </c>
      <c r="P3559" s="3">
        <f>E3559*(VLOOKUP(B3559,Price_data!A$1:B$190,2,FALSE))</f>
        <v>16.6926143739914</v>
      </c>
      <c r="Q3559" s="3">
        <f>G3559*(VLOOKUP(B3559,Price_data!A$1:B$190,2,FALSE))</f>
        <v>0</v>
      </c>
      <c r="R3559" s="3">
        <f>I3559*(VLOOKUP(B3559,Price_data!A$1:B$190,2,FALSE))</f>
        <v>0</v>
      </c>
      <c r="S3559" s="4" t="str">
        <f>(VLOOKUP(B3559,Price_data!A$1:C$190,3,FALSE))</f>
        <v>EEZ</v>
      </c>
      <c r="T3559" s="2" t="str">
        <f>IF(C3559="Total", (VLOOKUP(B3559,Recommended_fish_intake!A$4:D$122,4,FALSE)), "NA")</f>
        <v>NA</v>
      </c>
      <c r="U3559" s="2" t="str">
        <f t="shared" si="377"/>
        <v>NA</v>
      </c>
    </row>
    <row r="3560" spans="1:21" ht="14.25" customHeight="1">
      <c r="A3560" s="2" t="s">
        <v>39</v>
      </c>
      <c r="B3560" s="2">
        <v>2003</v>
      </c>
      <c r="C3560" s="2" t="s">
        <v>30</v>
      </c>
      <c r="D3560" s="2">
        <v>2E-3</v>
      </c>
      <c r="E3560" s="2">
        <v>7.0000000000000001E-3</v>
      </c>
      <c r="P3560" s="3">
        <f>E3560*(VLOOKUP(B3560,Price_data!A$1:B$190,2,FALSE))</f>
        <v>6.5752237138000007E-3</v>
      </c>
      <c r="Q3560" s="3">
        <f>G3560*(VLOOKUP(B3560,Price_data!A$1:B$190,2,FALSE))</f>
        <v>0</v>
      </c>
      <c r="R3560" s="3">
        <f>I3560*(VLOOKUP(B3560,Price_data!A$1:B$190,2,FALSE))</f>
        <v>0</v>
      </c>
      <c r="S3560" s="4" t="str">
        <f>(VLOOKUP(B3560,Price_data!A$1:C$190,3,FALSE))</f>
        <v>EEZ</v>
      </c>
      <c r="T3560" s="2" t="str">
        <f>IF(C3560="Total", (VLOOKUP(B3560,Recommended_fish_intake!A$4:D$122,4,FALSE)), "NA")</f>
        <v>NA</v>
      </c>
      <c r="U3560" s="2" t="str">
        <f t="shared" si="377"/>
        <v>NA</v>
      </c>
    </row>
    <row r="3561" spans="1:21" ht="14.25" customHeight="1">
      <c r="A3561" s="2" t="s">
        <v>39</v>
      </c>
      <c r="B3561" s="2">
        <v>2003</v>
      </c>
      <c r="C3561" s="2" t="s">
        <v>28</v>
      </c>
      <c r="D3561" s="2">
        <v>51.01</v>
      </c>
      <c r="E3561" s="2">
        <v>93.902000000000001</v>
      </c>
      <c r="P3561" s="3">
        <f>E3561*(VLOOKUP(B3561,Price_data!A$1:B$190,2,FALSE))</f>
        <v>88.203808167606809</v>
      </c>
      <c r="Q3561" s="3">
        <f>G3561*(VLOOKUP(B3561,Price_data!A$1:B$190,2,FALSE))</f>
        <v>0</v>
      </c>
      <c r="R3561" s="3">
        <f>I3561*(VLOOKUP(B3561,Price_data!A$1:B$190,2,FALSE))</f>
        <v>0</v>
      </c>
      <c r="S3561" s="4" t="str">
        <f>(VLOOKUP(B3561,Price_data!A$1:C$190,3,FALSE))</f>
        <v>EEZ</v>
      </c>
      <c r="T3561" s="2" t="str">
        <f>IF(C3561="Total", (VLOOKUP(B3561,Recommended_fish_intake!A$4:D$122,4,FALSE)), "NA")</f>
        <v>NA</v>
      </c>
      <c r="U3561" s="2">
        <f t="shared" si="377"/>
        <v>14.2828</v>
      </c>
    </row>
    <row r="3562" spans="1:21" ht="14.25" customHeight="1">
      <c r="A3562" s="2" t="s">
        <v>40</v>
      </c>
      <c r="B3562" s="2">
        <v>2003</v>
      </c>
      <c r="C3562" s="2" t="s">
        <v>22</v>
      </c>
      <c r="D3562" s="2">
        <v>0.436</v>
      </c>
      <c r="E3562" s="2">
        <v>0.74199999999999999</v>
      </c>
      <c r="P3562" s="3">
        <f>E3562*(VLOOKUP(B3562,Price_data!A$1:B$190,2,FALSE))</f>
        <v>0.69697371366280003</v>
      </c>
      <c r="Q3562" s="3">
        <f>G3562*(VLOOKUP(B3562,Price_data!A$1:B$190,2,FALSE))</f>
        <v>0</v>
      </c>
      <c r="R3562" s="3">
        <f>I3562*(VLOOKUP(B3562,Price_data!A$1:B$190,2,FALSE))</f>
        <v>0</v>
      </c>
      <c r="S3562" s="4" t="str">
        <f>(VLOOKUP(B3562,Price_data!A$1:C$190,3,FALSE))</f>
        <v>EEZ</v>
      </c>
      <c r="T3562" s="2" t="str">
        <f>IF(C3562="Total", (VLOOKUP(B3562,Recommended_fish_intake!A$4:D$122,4,FALSE)), "NA")</f>
        <v>NA</v>
      </c>
      <c r="U3562" s="2" t="str">
        <f t="shared" si="377"/>
        <v>NA</v>
      </c>
    </row>
    <row r="3563" spans="1:21" ht="14.25" customHeight="1">
      <c r="A3563" s="2" t="s">
        <v>40</v>
      </c>
      <c r="B3563" s="2">
        <v>2003</v>
      </c>
      <c r="C3563" s="2" t="s">
        <v>23</v>
      </c>
      <c r="D3563" s="2">
        <v>0.23200000000000001</v>
      </c>
      <c r="E3563" s="2">
        <v>0.224</v>
      </c>
      <c r="P3563" s="3">
        <f>E3563*(VLOOKUP(B3563,Price_data!A$1:B$190,2,FALSE))</f>
        <v>0.21040715884160002</v>
      </c>
      <c r="Q3563" s="3">
        <f>G3563*(VLOOKUP(B3563,Price_data!A$1:B$190,2,FALSE))</f>
        <v>0</v>
      </c>
      <c r="R3563" s="3">
        <f>I3563*(VLOOKUP(B3563,Price_data!A$1:B$190,2,FALSE))</f>
        <v>0</v>
      </c>
      <c r="S3563" s="4" t="str">
        <f>(VLOOKUP(B3563,Price_data!A$1:C$190,3,FALSE))</f>
        <v>EEZ</v>
      </c>
      <c r="T3563" s="2" t="str">
        <f>IF(C3563="Total", (VLOOKUP(B3563,Recommended_fish_intake!A$4:D$122,4,FALSE)), "NA")</f>
        <v>NA</v>
      </c>
      <c r="U3563" s="2" t="str">
        <f t="shared" si="377"/>
        <v>NA</v>
      </c>
    </row>
    <row r="3564" spans="1:21" ht="14.25" customHeight="1">
      <c r="A3564" s="2" t="s">
        <v>40</v>
      </c>
      <c r="B3564" s="2">
        <v>2003</v>
      </c>
      <c r="C3564" s="2" t="s">
        <v>58</v>
      </c>
      <c r="D3564" s="2">
        <v>0.192</v>
      </c>
      <c r="E3564" s="2">
        <v>0.34599999999999997</v>
      </c>
      <c r="P3564" s="3">
        <f>E3564*(VLOOKUP(B3564,Price_data!A$1:B$190,2,FALSE))</f>
        <v>0.32500391499639997</v>
      </c>
      <c r="Q3564" s="3">
        <f>G3564*(VLOOKUP(B3564,Price_data!A$1:B$190,2,FALSE))</f>
        <v>0</v>
      </c>
      <c r="R3564" s="3">
        <f>I3564*(VLOOKUP(B3564,Price_data!A$1:B$190,2,FALSE))</f>
        <v>0</v>
      </c>
      <c r="S3564" s="4" t="str">
        <f>(VLOOKUP(B3564,Price_data!A$1:C$190,3,FALSE))</f>
        <v>EEZ</v>
      </c>
      <c r="T3564" s="2" t="str">
        <f>IF(C3564="Total", (VLOOKUP(B3564,Recommended_fish_intake!A$4:D$122,4,FALSE)), "NA")</f>
        <v>NA</v>
      </c>
      <c r="U3564" s="2" t="str">
        <f t="shared" si="377"/>
        <v>NA</v>
      </c>
    </row>
    <row r="3565" spans="1:21" ht="14.25" customHeight="1">
      <c r="A3565" s="2" t="s">
        <v>40</v>
      </c>
      <c r="B3565" s="2">
        <v>2003</v>
      </c>
      <c r="C3565" s="2" t="s">
        <v>24</v>
      </c>
      <c r="D3565" s="2">
        <v>0.13500000000000001</v>
      </c>
      <c r="E3565" s="2">
        <v>7.4999999999999997E-2</v>
      </c>
      <c r="P3565" s="3">
        <f>E3565*(VLOOKUP(B3565,Price_data!A$1:B$190,2,FALSE))</f>
        <v>7.0448825505000007E-2</v>
      </c>
      <c r="Q3565" s="3">
        <f>G3565*(VLOOKUP(B3565,Price_data!A$1:B$190,2,FALSE))</f>
        <v>0</v>
      </c>
      <c r="R3565" s="3">
        <f>I3565*(VLOOKUP(B3565,Price_data!A$1:B$190,2,FALSE))</f>
        <v>0</v>
      </c>
      <c r="S3565" s="4" t="str">
        <f>(VLOOKUP(B3565,Price_data!A$1:C$190,3,FALSE))</f>
        <v>EEZ</v>
      </c>
      <c r="T3565" s="2" t="str">
        <f>IF(C3565="Total", (VLOOKUP(B3565,Recommended_fish_intake!A$4:D$122,4,FALSE)), "NA")</f>
        <v>NA</v>
      </c>
      <c r="U3565" s="2" t="str">
        <f t="shared" si="377"/>
        <v>NA</v>
      </c>
    </row>
    <row r="3566" spans="1:21" ht="14.25" customHeight="1">
      <c r="A3566" s="2" t="s">
        <v>40</v>
      </c>
      <c r="B3566" s="2">
        <v>2003</v>
      </c>
      <c r="C3566" s="2" t="s">
        <v>41</v>
      </c>
      <c r="D3566" s="2">
        <v>5.9290000000000003</v>
      </c>
      <c r="E3566" s="2">
        <v>6.1529999999999996</v>
      </c>
      <c r="P3566" s="3">
        <f>E3566*(VLOOKUP(B3566,Price_data!A$1:B$190,2,FALSE))</f>
        <v>5.7796216444301995</v>
      </c>
      <c r="Q3566" s="3">
        <f>G3566*(VLOOKUP(B3566,Price_data!A$1:B$190,2,FALSE))</f>
        <v>0</v>
      </c>
      <c r="R3566" s="3">
        <f>I3566*(VLOOKUP(B3566,Price_data!A$1:B$190,2,FALSE))</f>
        <v>0</v>
      </c>
      <c r="S3566" s="4" t="str">
        <f>(VLOOKUP(B3566,Price_data!A$1:C$190,3,FALSE))</f>
        <v>EEZ</v>
      </c>
      <c r="T3566" s="2" t="str">
        <f>IF(C3566="Total", (VLOOKUP(B3566,Recommended_fish_intake!A$4:D$122,4,FALSE)), "NA")</f>
        <v>NA</v>
      </c>
      <c r="U3566" s="2" t="str">
        <f t="shared" si="377"/>
        <v>NA</v>
      </c>
    </row>
    <row r="3567" spans="1:21" ht="14.25" customHeight="1">
      <c r="A3567" s="2" t="s">
        <v>40</v>
      </c>
      <c r="B3567" s="2">
        <v>2003</v>
      </c>
      <c r="C3567" s="2" t="s">
        <v>19</v>
      </c>
      <c r="D3567" s="2">
        <v>2.6720000000000002</v>
      </c>
      <c r="E3567" s="2">
        <v>0.26700000000000002</v>
      </c>
      <c r="P3567" s="3">
        <f>E3567*(VLOOKUP(B3567,Price_data!A$1:B$190,2,FALSE))</f>
        <v>0.25079781879780005</v>
      </c>
      <c r="Q3567" s="3">
        <f>G3567*(VLOOKUP(B3567,Price_data!A$1:B$190,2,FALSE))</f>
        <v>0</v>
      </c>
      <c r="R3567" s="3">
        <f>I3567*(VLOOKUP(B3567,Price_data!A$1:B$190,2,FALSE))</f>
        <v>0</v>
      </c>
      <c r="S3567" s="4" t="str">
        <f>(VLOOKUP(B3567,Price_data!A$1:C$190,3,FALSE))</f>
        <v>EEZ</v>
      </c>
      <c r="T3567" s="2" t="str">
        <f>IF(C3567="Total", (VLOOKUP(B3567,Recommended_fish_intake!A$4:D$122,4,FALSE)), "NA")</f>
        <v>NA</v>
      </c>
      <c r="U3567" s="2" t="str">
        <f t="shared" si="377"/>
        <v>NA</v>
      </c>
    </row>
    <row r="3568" spans="1:21" ht="14.25" customHeight="1">
      <c r="A3568" s="2" t="s">
        <v>40</v>
      </c>
      <c r="B3568" s="2">
        <v>2003</v>
      </c>
      <c r="C3568" s="2" t="s">
        <v>20</v>
      </c>
      <c r="D3568" s="2">
        <v>2.073</v>
      </c>
      <c r="E3568" s="2">
        <v>0.74299999999999999</v>
      </c>
      <c r="P3568" s="3">
        <f>E3568*(VLOOKUP(B3568,Price_data!A$1:B$190,2,FALSE))</f>
        <v>0.69791303133620008</v>
      </c>
      <c r="Q3568" s="3">
        <f>G3568*(VLOOKUP(B3568,Price_data!A$1:B$190,2,FALSE))</f>
        <v>0</v>
      </c>
      <c r="R3568" s="3">
        <f>I3568*(VLOOKUP(B3568,Price_data!A$1:B$190,2,FALSE))</f>
        <v>0</v>
      </c>
      <c r="S3568" s="4" t="str">
        <f>(VLOOKUP(B3568,Price_data!A$1:C$190,3,FALSE))</f>
        <v>EEZ</v>
      </c>
      <c r="T3568" s="2" t="str">
        <f>IF(C3568="Total", (VLOOKUP(B3568,Recommended_fish_intake!A$4:D$122,4,FALSE)), "NA")</f>
        <v>NA</v>
      </c>
      <c r="U3568" s="2" t="str">
        <f t="shared" si="377"/>
        <v>NA</v>
      </c>
    </row>
    <row r="3569" spans="1:21" ht="14.25" customHeight="1">
      <c r="A3569" s="2" t="s">
        <v>40</v>
      </c>
      <c r="B3569" s="2">
        <v>2003</v>
      </c>
      <c r="C3569" s="2" t="s">
        <v>42</v>
      </c>
      <c r="D3569" s="2">
        <v>6.4779999999999998</v>
      </c>
      <c r="E3569" s="2">
        <v>1.177</v>
      </c>
      <c r="P3569" s="3">
        <f>E3569*(VLOOKUP(B3569,Price_data!A$1:B$190,2,FALSE))</f>
        <v>1.1055769015918</v>
      </c>
      <c r="Q3569" s="3">
        <f>G3569*(VLOOKUP(B3569,Price_data!A$1:B$190,2,FALSE))</f>
        <v>0</v>
      </c>
      <c r="R3569" s="3">
        <f>I3569*(VLOOKUP(B3569,Price_data!A$1:B$190,2,FALSE))</f>
        <v>0</v>
      </c>
      <c r="S3569" s="4" t="str">
        <f>(VLOOKUP(B3569,Price_data!A$1:C$190,3,FALSE))</f>
        <v>EEZ</v>
      </c>
      <c r="T3569" s="2" t="str">
        <f>IF(C3569="Total", (VLOOKUP(B3569,Recommended_fish_intake!A$4:D$122,4,FALSE)), "NA")</f>
        <v>NA</v>
      </c>
      <c r="U3569" s="2" t="str">
        <f t="shared" si="377"/>
        <v>NA</v>
      </c>
    </row>
    <row r="3570" spans="1:21" ht="14.25" customHeight="1">
      <c r="A3570" s="2" t="s">
        <v>40</v>
      </c>
      <c r="B3570" s="2">
        <v>2003</v>
      </c>
      <c r="C3570" s="2" t="s">
        <v>36</v>
      </c>
      <c r="D3570" s="2">
        <v>0.60599999999999998</v>
      </c>
      <c r="E3570" s="2">
        <v>0.504</v>
      </c>
      <c r="P3570" s="3">
        <f>E3570*(VLOOKUP(B3570,Price_data!A$1:B$190,2,FALSE))</f>
        <v>0.47341610739360002</v>
      </c>
      <c r="Q3570" s="3">
        <f>G3570*(VLOOKUP(B3570,Price_data!A$1:B$190,2,FALSE))</f>
        <v>0</v>
      </c>
      <c r="R3570" s="3">
        <f>I3570*(VLOOKUP(B3570,Price_data!A$1:B$190,2,FALSE))</f>
        <v>0</v>
      </c>
      <c r="S3570" s="4" t="str">
        <f>(VLOOKUP(B3570,Price_data!A$1:C$190,3,FALSE))</f>
        <v>EEZ</v>
      </c>
      <c r="T3570" s="2" t="str">
        <f>IF(C3570="Total", (VLOOKUP(B3570,Recommended_fish_intake!A$4:D$122,4,FALSE)), "NA")</f>
        <v>NA</v>
      </c>
      <c r="U3570" s="2" t="str">
        <f t="shared" si="377"/>
        <v>NA</v>
      </c>
    </row>
    <row r="3571" spans="1:21" ht="14.25" customHeight="1">
      <c r="A3571" s="2" t="s">
        <v>40</v>
      </c>
      <c r="B3571" s="2">
        <v>2003</v>
      </c>
      <c r="C3571" s="2" t="s">
        <v>34</v>
      </c>
      <c r="D3571" s="2">
        <v>1.4999999999999999E-2</v>
      </c>
      <c r="E3571" s="2">
        <v>0.156</v>
      </c>
      <c r="P3571" s="3">
        <f>E3571*(VLOOKUP(B3571,Price_data!A$1:B$190,2,FALSE))</f>
        <v>0.1465335570504</v>
      </c>
      <c r="Q3571" s="3">
        <f>G3571*(VLOOKUP(B3571,Price_data!A$1:B$190,2,FALSE))</f>
        <v>0</v>
      </c>
      <c r="R3571" s="3">
        <f>I3571*(VLOOKUP(B3571,Price_data!A$1:B$190,2,FALSE))</f>
        <v>0</v>
      </c>
      <c r="S3571" s="4" t="str">
        <f>(VLOOKUP(B3571,Price_data!A$1:C$190,3,FALSE))</f>
        <v>EEZ</v>
      </c>
      <c r="T3571" s="2" t="str">
        <f>IF(C3571="Total", (VLOOKUP(B3571,Recommended_fish_intake!A$4:D$122,4,FALSE)), "NA")</f>
        <v>NA</v>
      </c>
      <c r="U3571" s="2" t="str">
        <f t="shared" si="377"/>
        <v>NA</v>
      </c>
    </row>
    <row r="3572" spans="1:21" ht="14.25" customHeight="1">
      <c r="A3572" s="2" t="s">
        <v>40</v>
      </c>
      <c r="B3572" s="2">
        <v>2003</v>
      </c>
      <c r="C3572" s="2" t="s">
        <v>35</v>
      </c>
      <c r="D3572" s="2">
        <v>4.3259999999999996</v>
      </c>
      <c r="E3572" s="2">
        <v>6.5960000000000001</v>
      </c>
      <c r="P3572" s="3">
        <f>E3572*(VLOOKUP(B3572,Price_data!A$1:B$190,2,FALSE))</f>
        <v>6.1957393737464006</v>
      </c>
      <c r="Q3572" s="3">
        <f>G3572*(VLOOKUP(B3572,Price_data!A$1:B$190,2,FALSE))</f>
        <v>0</v>
      </c>
      <c r="R3572" s="3">
        <f>I3572*(VLOOKUP(B3572,Price_data!A$1:B$190,2,FALSE))</f>
        <v>0</v>
      </c>
      <c r="S3572" s="4" t="str">
        <f>(VLOOKUP(B3572,Price_data!A$1:C$190,3,FALSE))</f>
        <v>EEZ</v>
      </c>
      <c r="T3572" s="2" t="str">
        <f>IF(C3572="Total", (VLOOKUP(B3572,Recommended_fish_intake!A$4:D$122,4,FALSE)), "NA")</f>
        <v>NA</v>
      </c>
      <c r="U3572" s="2" t="str">
        <f t="shared" si="377"/>
        <v>NA</v>
      </c>
    </row>
    <row r="3573" spans="1:21" ht="14.25" customHeight="1">
      <c r="A3573" s="2" t="s">
        <v>40</v>
      </c>
      <c r="B3573" s="2">
        <v>2003</v>
      </c>
      <c r="C3573" s="2" t="s">
        <v>52</v>
      </c>
      <c r="D3573" s="2">
        <v>0.75800000000000001</v>
      </c>
      <c r="E3573" s="2">
        <v>0.77</v>
      </c>
      <c r="P3573" s="3">
        <f>E3573*(VLOOKUP(B3573,Price_data!A$1:B$190,2,FALSE))</f>
        <v>0.72327460851800007</v>
      </c>
      <c r="Q3573" s="3">
        <f>G3573*(VLOOKUP(B3573,Price_data!A$1:B$190,2,FALSE))</f>
        <v>0</v>
      </c>
      <c r="R3573" s="3">
        <f>I3573*(VLOOKUP(B3573,Price_data!A$1:B$190,2,FALSE))</f>
        <v>0</v>
      </c>
      <c r="S3573" s="4" t="str">
        <f>(VLOOKUP(B3573,Price_data!A$1:C$190,3,FALSE))</f>
        <v>EEZ</v>
      </c>
      <c r="T3573" s="2" t="str">
        <f>IF(C3573="Total", (VLOOKUP(B3573,Recommended_fish_intake!A$4:D$122,4,FALSE)), "NA")</f>
        <v>NA</v>
      </c>
      <c r="U3573" s="2" t="str">
        <f t="shared" si="377"/>
        <v>NA</v>
      </c>
    </row>
    <row r="3574" spans="1:21" ht="14.25" customHeight="1">
      <c r="A3574" s="2" t="s">
        <v>40</v>
      </c>
      <c r="B3574" s="2">
        <v>2003</v>
      </c>
      <c r="C3574" s="2" t="s">
        <v>30</v>
      </c>
      <c r="D3574" s="2">
        <v>0</v>
      </c>
      <c r="E3574" s="2">
        <v>0</v>
      </c>
      <c r="P3574" s="3">
        <f>E3574*(VLOOKUP(B3574,Price_data!A$1:B$190,2,FALSE))</f>
        <v>0</v>
      </c>
      <c r="Q3574" s="3">
        <f>G3574*(VLOOKUP(B3574,Price_data!A$1:B$190,2,FALSE))</f>
        <v>0</v>
      </c>
      <c r="R3574" s="3">
        <f>I3574*(VLOOKUP(B3574,Price_data!A$1:B$190,2,FALSE))</f>
        <v>0</v>
      </c>
      <c r="S3574" s="4" t="str">
        <f>(VLOOKUP(B3574,Price_data!A$1:C$190,3,FALSE))</f>
        <v>EEZ</v>
      </c>
      <c r="T3574" s="2" t="str">
        <f>IF(C3574="Total", (VLOOKUP(B3574,Recommended_fish_intake!A$4:D$122,4,FALSE)), "NA")</f>
        <v>NA</v>
      </c>
      <c r="U3574" s="2" t="str">
        <f t="shared" si="377"/>
        <v>NA</v>
      </c>
    </row>
    <row r="3575" spans="1:21" ht="14.25" customHeight="1">
      <c r="A3575" s="2" t="s">
        <v>40</v>
      </c>
      <c r="B3575" s="2">
        <v>2003</v>
      </c>
      <c r="C3575" s="2" t="s">
        <v>28</v>
      </c>
      <c r="D3575" s="2">
        <v>5.9269999999999996</v>
      </c>
      <c r="E3575" s="2">
        <v>8.2970000000000006</v>
      </c>
      <c r="P3575" s="3">
        <f>E3575*(VLOOKUP(B3575,Price_data!A$1:B$190,2,FALSE))</f>
        <v>7.7935187361998013</v>
      </c>
      <c r="Q3575" s="3">
        <f>G3575*(VLOOKUP(B3575,Price_data!A$1:B$190,2,FALSE))</f>
        <v>0</v>
      </c>
      <c r="R3575" s="3">
        <f>I3575*(VLOOKUP(B3575,Price_data!A$1:B$190,2,FALSE))</f>
        <v>0</v>
      </c>
      <c r="S3575" s="4" t="str">
        <f>(VLOOKUP(B3575,Price_data!A$1:C$190,3,FALSE))</f>
        <v>EEZ</v>
      </c>
      <c r="T3575" s="2" t="str">
        <f>IF(C3575="Total", (VLOOKUP(B3575,Recommended_fish_intake!A$4:D$122,4,FALSE)), "NA")</f>
        <v>NA</v>
      </c>
      <c r="U3575" s="2">
        <f t="shared" si="377"/>
        <v>1.6595600000000001</v>
      </c>
    </row>
    <row r="3576" spans="1:21" ht="14.25" customHeight="1">
      <c r="A3576" s="2" t="s">
        <v>40</v>
      </c>
      <c r="B3576" s="2">
        <v>2003</v>
      </c>
      <c r="C3576" s="4" t="s">
        <v>37</v>
      </c>
      <c r="D3576" s="3">
        <f>D3448+D3400</f>
        <v>23.117000000000001</v>
      </c>
      <c r="E3576" s="3">
        <f>E3448+E3400</f>
        <v>18.933</v>
      </c>
      <c r="P3576" s="3">
        <f>E3576*(VLOOKUP(B3576,Price_data!A$1:B$190,2,FALSE))</f>
        <v>17.784101510482202</v>
      </c>
      <c r="Q3576" s="3">
        <f>G3576*(VLOOKUP(B3576,Price_data!A$1:B$190,2,FALSE))</f>
        <v>0</v>
      </c>
      <c r="R3576" s="3">
        <f>I3576*(VLOOKUP(B3576,Price_data!A$1:B$190,2,FALSE))</f>
        <v>0</v>
      </c>
      <c r="S3576" s="4" t="str">
        <f>(VLOOKUP(B3576,Price_data!A$1:C$190,3,FALSE))</f>
        <v>EEZ</v>
      </c>
      <c r="T3576" s="2" t="str">
        <f>IF(C3576="Total", (VLOOKUP(B3576,Recommended_fish_intake!A$4:D$122,4,FALSE)), "NA")</f>
        <v>NA</v>
      </c>
      <c r="U3576" s="2">
        <f t="shared" si="377"/>
        <v>11.32733</v>
      </c>
    </row>
    <row r="3577" spans="1:21" ht="14.25" customHeight="1">
      <c r="A3577" s="2" t="s">
        <v>39</v>
      </c>
      <c r="B3577" s="2">
        <v>2003</v>
      </c>
      <c r="C3577" s="4" t="s">
        <v>37</v>
      </c>
      <c r="D3577" s="3">
        <f>D3193+D3145</f>
        <v>329.40199999999999</v>
      </c>
      <c r="E3577" s="3">
        <f>E3193+E3145</f>
        <v>39.817</v>
      </c>
      <c r="P3577" s="3">
        <f>E3577*(VLOOKUP(B3577,Price_data!A$1:B$190,2,FALSE))</f>
        <v>37.400811801767802</v>
      </c>
      <c r="Q3577" s="3">
        <f>G3577*(VLOOKUP(B3577,Price_data!A$1:B$190,2,FALSE))</f>
        <v>0</v>
      </c>
      <c r="R3577" s="3">
        <f>I3577*(VLOOKUP(B3577,Price_data!A$1:B$190,2,FALSE))</f>
        <v>0</v>
      </c>
      <c r="S3577" s="4" t="str">
        <f>(VLOOKUP(B3577,Price_data!A$1:C$190,3,FALSE))</f>
        <v>EEZ</v>
      </c>
      <c r="T3577" s="2" t="str">
        <f>IF(C3577="Total", (VLOOKUP(B3577,Recommended_fish_intake!A$4:D$122,4,FALSE)), "NA")</f>
        <v>NA</v>
      </c>
      <c r="U3577" s="2">
        <f t="shared" si="377"/>
        <v>161.40698</v>
      </c>
    </row>
    <row r="3578" spans="1:21" ht="14.25" customHeight="1">
      <c r="A3578" s="2" t="s">
        <v>18</v>
      </c>
      <c r="B3578" s="2">
        <v>2003</v>
      </c>
      <c r="C3578" s="2" t="s">
        <v>22</v>
      </c>
      <c r="D3578" s="3">
        <f t="shared" ref="D3578:E3591" si="378">D2826+D2586</f>
        <v>25.704999999999998</v>
      </c>
      <c r="E3578" s="3">
        <f t="shared" si="378"/>
        <v>44.951000000000001</v>
      </c>
      <c r="P3578" s="3">
        <f>E3578*(VLOOKUP(B3578,Price_data!A$1:B$190,2,FALSE))</f>
        <v>42.223268737003401</v>
      </c>
      <c r="Q3578" s="3">
        <f>G3578*(VLOOKUP(B3578,Price_data!A$1:B$190,2,FALSE))</f>
        <v>0</v>
      </c>
      <c r="R3578" s="3">
        <f>I3578*(VLOOKUP(B3578,Price_data!A$1:B$190,2,FALSE))</f>
        <v>0</v>
      </c>
      <c r="S3578" s="4" t="str">
        <f>(VLOOKUP(B3578,Price_data!A$1:C$190,3,FALSE))</f>
        <v>EEZ</v>
      </c>
      <c r="T3578" s="2" t="str">
        <f>IF(C3578="Total", (VLOOKUP(B3578,Recommended_fish_intake!A$4:D$122,4,FALSE)), "NA")</f>
        <v>NA</v>
      </c>
      <c r="U3578" s="2" t="str">
        <f t="shared" si="377"/>
        <v>NA</v>
      </c>
    </row>
    <row r="3579" spans="1:21" ht="14.25" customHeight="1">
      <c r="A3579" s="2" t="s">
        <v>18</v>
      </c>
      <c r="B3579" s="2">
        <v>2003</v>
      </c>
      <c r="C3579" s="2" t="s">
        <v>23</v>
      </c>
      <c r="D3579" s="3">
        <f t="shared" si="378"/>
        <v>59.165999999999997</v>
      </c>
      <c r="E3579" s="3">
        <f t="shared" si="378"/>
        <v>55.417999999999999</v>
      </c>
      <c r="P3579" s="3">
        <f>E3579*(VLOOKUP(B3579,Price_data!A$1:B$190,2,FALSE))</f>
        <v>52.0551068244812</v>
      </c>
      <c r="Q3579" s="3">
        <f>G3579*(VLOOKUP(B3579,Price_data!A$1:B$190,2,FALSE))</f>
        <v>0</v>
      </c>
      <c r="R3579" s="3">
        <f>I3579*(VLOOKUP(B3579,Price_data!A$1:B$190,2,FALSE))</f>
        <v>0</v>
      </c>
      <c r="S3579" s="4" t="str">
        <f>(VLOOKUP(B3579,Price_data!A$1:C$190,3,FALSE))</f>
        <v>EEZ</v>
      </c>
      <c r="T3579" s="2" t="str">
        <f>IF(C3579="Total", (VLOOKUP(B3579,Recommended_fish_intake!A$4:D$122,4,FALSE)), "NA")</f>
        <v>NA</v>
      </c>
      <c r="U3579" s="2" t="str">
        <f t="shared" si="377"/>
        <v>NA</v>
      </c>
    </row>
    <row r="3580" spans="1:21" ht="14.25" customHeight="1">
      <c r="A3580" s="2" t="s">
        <v>18</v>
      </c>
      <c r="B3580" s="2">
        <v>2003</v>
      </c>
      <c r="C3580" s="2" t="s">
        <v>58</v>
      </c>
      <c r="D3580" s="3">
        <f t="shared" si="378"/>
        <v>101.277</v>
      </c>
      <c r="E3580" s="3">
        <f t="shared" si="378"/>
        <v>18.005000000000003</v>
      </c>
      <c r="P3580" s="3">
        <f>E3580*(VLOOKUP(B3580,Price_data!A$1:B$190,2,FALSE))</f>
        <v>16.912414709567003</v>
      </c>
      <c r="Q3580" s="3">
        <f>G3580*(VLOOKUP(B3580,Price_data!A$1:B$190,2,FALSE))</f>
        <v>0</v>
      </c>
      <c r="R3580" s="3">
        <f>I3580*(VLOOKUP(B3580,Price_data!A$1:B$190,2,FALSE))</f>
        <v>0</v>
      </c>
      <c r="S3580" s="4" t="str">
        <f>(VLOOKUP(B3580,Price_data!A$1:C$190,3,FALSE))</f>
        <v>EEZ</v>
      </c>
      <c r="T3580" s="2" t="str">
        <f>IF(C3580="Total", (VLOOKUP(B3580,Recommended_fish_intake!A$4:D$122,4,FALSE)), "NA")</f>
        <v>NA</v>
      </c>
      <c r="U3580" s="2" t="str">
        <f t="shared" si="377"/>
        <v>NA</v>
      </c>
    </row>
    <row r="3581" spans="1:21" ht="14.25" customHeight="1">
      <c r="A3581" s="2" t="s">
        <v>18</v>
      </c>
      <c r="B3581" s="2">
        <v>2003</v>
      </c>
      <c r="C3581" s="2" t="s">
        <v>24</v>
      </c>
      <c r="D3581" s="3">
        <f t="shared" si="378"/>
        <v>168.84</v>
      </c>
      <c r="E3581" s="3">
        <f t="shared" si="378"/>
        <v>69.759999999999991</v>
      </c>
      <c r="P3581" s="3">
        <f>E3581*(VLOOKUP(B3581,Price_data!A$1:B$190,2,FALSE))</f>
        <v>65.526800896383989</v>
      </c>
      <c r="Q3581" s="3">
        <f>G3581*(VLOOKUP(B3581,Price_data!A$1:B$190,2,FALSE))</f>
        <v>0</v>
      </c>
      <c r="R3581" s="3">
        <f>I3581*(VLOOKUP(B3581,Price_data!A$1:B$190,2,FALSE))</f>
        <v>0</v>
      </c>
      <c r="S3581" s="4" t="str">
        <f>(VLOOKUP(B3581,Price_data!A$1:C$190,3,FALSE))</f>
        <v>EEZ</v>
      </c>
      <c r="T3581" s="2" t="str">
        <f>IF(C3581="Total", (VLOOKUP(B3581,Recommended_fish_intake!A$4:D$122,4,FALSE)), "NA")</f>
        <v>NA</v>
      </c>
      <c r="U3581" s="2" t="str">
        <f t="shared" si="377"/>
        <v>NA</v>
      </c>
    </row>
    <row r="3582" spans="1:21" ht="14.25" customHeight="1">
      <c r="A3582" s="2" t="s">
        <v>18</v>
      </c>
      <c r="B3582" s="2">
        <v>2003</v>
      </c>
      <c r="C3582" s="2" t="s">
        <v>41</v>
      </c>
      <c r="D3582" s="3">
        <f t="shared" si="378"/>
        <v>9.4</v>
      </c>
      <c r="E3582" s="3">
        <f t="shared" si="378"/>
        <v>5.8000000000000007</v>
      </c>
      <c r="P3582" s="3">
        <f>E3582*(VLOOKUP(B3582,Price_data!A$1:B$190,2,FALSE))</f>
        <v>5.448042505720001</v>
      </c>
      <c r="Q3582" s="3">
        <f>G3582*(VLOOKUP(B3582,Price_data!A$1:B$190,2,FALSE))</f>
        <v>0</v>
      </c>
      <c r="R3582" s="3">
        <f>I3582*(VLOOKUP(B3582,Price_data!A$1:B$190,2,FALSE))</f>
        <v>0</v>
      </c>
      <c r="S3582" s="4" t="str">
        <f>(VLOOKUP(B3582,Price_data!A$1:C$190,3,FALSE))</f>
        <v>EEZ</v>
      </c>
      <c r="T3582" s="2" t="str">
        <f>IF(C3582="Total", (VLOOKUP(B3582,Recommended_fish_intake!A$4:D$122,4,FALSE)), "NA")</f>
        <v>NA</v>
      </c>
      <c r="U3582" s="2" t="str">
        <f t="shared" si="377"/>
        <v>NA</v>
      </c>
    </row>
    <row r="3583" spans="1:21" ht="14.25" customHeight="1">
      <c r="A3583" s="2" t="s">
        <v>18</v>
      </c>
      <c r="B3583" s="2">
        <v>2003</v>
      </c>
      <c r="C3583" s="2" t="s">
        <v>19</v>
      </c>
      <c r="D3583" s="3">
        <f t="shared" si="378"/>
        <v>21.1</v>
      </c>
      <c r="E3583" s="3">
        <f t="shared" si="378"/>
        <v>26.3</v>
      </c>
      <c r="P3583" s="3">
        <f>E3583*(VLOOKUP(B3583,Price_data!A$1:B$190,2,FALSE))</f>
        <v>24.704054810420001</v>
      </c>
      <c r="Q3583" s="3">
        <f>G3583*(VLOOKUP(B3583,Price_data!A$1:B$190,2,FALSE))</f>
        <v>0</v>
      </c>
      <c r="R3583" s="3">
        <f>I3583*(VLOOKUP(B3583,Price_data!A$1:B$190,2,FALSE))</f>
        <v>0</v>
      </c>
      <c r="S3583" s="4" t="str">
        <f>(VLOOKUP(B3583,Price_data!A$1:C$190,3,FALSE))</f>
        <v>EEZ</v>
      </c>
      <c r="T3583" s="2" t="str">
        <f>IF(C3583="Total", (VLOOKUP(B3583,Recommended_fish_intake!A$4:D$122,4,FALSE)), "NA")</f>
        <v>NA</v>
      </c>
      <c r="U3583" s="2" t="str">
        <f t="shared" si="377"/>
        <v>NA</v>
      </c>
    </row>
    <row r="3584" spans="1:21" ht="14.25" customHeight="1">
      <c r="A3584" s="2" t="s">
        <v>18</v>
      </c>
      <c r="B3584" s="2">
        <v>2003</v>
      </c>
      <c r="C3584" s="2" t="s">
        <v>20</v>
      </c>
      <c r="D3584" s="3" t="e">
        <f t="shared" si="378"/>
        <v>#N/A</v>
      </c>
      <c r="E3584" s="3" t="e">
        <f t="shared" si="378"/>
        <v>#N/A</v>
      </c>
      <c r="P3584" s="3" t="e">
        <f>E3584*(VLOOKUP(B3584,Price_data!A$1:B$190,2,FALSE))</f>
        <v>#N/A</v>
      </c>
      <c r="Q3584" s="3">
        <f>G3584*(VLOOKUP(B3584,Price_data!A$1:B$190,2,FALSE))</f>
        <v>0</v>
      </c>
      <c r="R3584" s="3">
        <f>I3584*(VLOOKUP(B3584,Price_data!A$1:B$190,2,FALSE))</f>
        <v>0</v>
      </c>
      <c r="S3584" s="4" t="str">
        <f>(VLOOKUP(B3584,Price_data!A$1:C$190,3,FALSE))</f>
        <v>EEZ</v>
      </c>
      <c r="T3584" s="2" t="str">
        <f>IF(C3584="Total", (VLOOKUP(B3584,Recommended_fish_intake!A$4:D$122,4,FALSE)), "NA")</f>
        <v>NA</v>
      </c>
      <c r="U3584" s="2" t="str">
        <f t="shared" si="377"/>
        <v>NA</v>
      </c>
    </row>
    <row r="3585" spans="1:21" ht="14.25" customHeight="1">
      <c r="A3585" s="2" t="s">
        <v>18</v>
      </c>
      <c r="B3585" s="2">
        <v>2003</v>
      </c>
      <c r="C3585" s="2" t="s">
        <v>42</v>
      </c>
      <c r="D3585" s="3" t="e">
        <f t="shared" si="378"/>
        <v>#N/A</v>
      </c>
      <c r="E3585" s="3" t="e">
        <f t="shared" si="378"/>
        <v>#N/A</v>
      </c>
      <c r="P3585" s="3" t="e">
        <f>E3585*(VLOOKUP(B3585,Price_data!A$1:B$190,2,FALSE))</f>
        <v>#N/A</v>
      </c>
      <c r="Q3585" s="3">
        <f>G3585*(VLOOKUP(B3585,Price_data!A$1:B$190,2,FALSE))</f>
        <v>0</v>
      </c>
      <c r="R3585" s="3">
        <f>I3585*(VLOOKUP(B3585,Price_data!A$1:B$190,2,FALSE))</f>
        <v>0</v>
      </c>
      <c r="S3585" s="4" t="str">
        <f>(VLOOKUP(B3585,Price_data!A$1:C$190,3,FALSE))</f>
        <v>EEZ</v>
      </c>
      <c r="T3585" s="2" t="str">
        <f>IF(C3585="Total", (VLOOKUP(B3585,Recommended_fish_intake!A$4:D$122,4,FALSE)), "NA")</f>
        <v>NA</v>
      </c>
      <c r="U3585" s="2" t="str">
        <f t="shared" si="377"/>
        <v>NA</v>
      </c>
    </row>
    <row r="3586" spans="1:21" ht="14.25" customHeight="1">
      <c r="A3586" s="2" t="s">
        <v>18</v>
      </c>
      <c r="B3586" s="2">
        <v>2003</v>
      </c>
      <c r="C3586" s="2" t="s">
        <v>36</v>
      </c>
      <c r="D3586" s="3">
        <f t="shared" si="378"/>
        <v>32.1</v>
      </c>
      <c r="E3586" s="3">
        <f t="shared" si="378"/>
        <v>29.9</v>
      </c>
      <c r="P3586" s="3">
        <f>E3586*(VLOOKUP(B3586,Price_data!A$1:B$190,2,FALSE))</f>
        <v>28.08559843466</v>
      </c>
      <c r="Q3586" s="3">
        <f>G3586*(VLOOKUP(B3586,Price_data!A$1:B$190,2,FALSE))</f>
        <v>0</v>
      </c>
      <c r="R3586" s="3">
        <f>I3586*(VLOOKUP(B3586,Price_data!A$1:B$190,2,FALSE))</f>
        <v>0</v>
      </c>
      <c r="S3586" s="4" t="str">
        <f>(VLOOKUP(B3586,Price_data!A$1:C$190,3,FALSE))</f>
        <v>EEZ</v>
      </c>
      <c r="T3586" s="2" t="str">
        <f>IF(C3586="Total", (VLOOKUP(B3586,Recommended_fish_intake!A$4:D$122,4,FALSE)), "NA")</f>
        <v>NA</v>
      </c>
      <c r="U3586" s="2" t="str">
        <f t="shared" ref="U3586:U3649" si="379">IF(C3586="Wet fish", D3586*0.49, IF(C3586="Shellfish", D3586*0.28, "NA"))</f>
        <v>NA</v>
      </c>
    </row>
    <row r="3587" spans="1:21" ht="14.25" customHeight="1">
      <c r="A3587" s="2" t="s">
        <v>18</v>
      </c>
      <c r="B3587" s="2">
        <v>2003</v>
      </c>
      <c r="C3587" s="2" t="s">
        <v>34</v>
      </c>
      <c r="D3587" s="3">
        <f t="shared" si="378"/>
        <v>6.9</v>
      </c>
      <c r="E3587" s="3">
        <f t="shared" si="378"/>
        <v>4.8</v>
      </c>
      <c r="P3587" s="3">
        <f>E3587*(VLOOKUP(B3587,Price_data!A$1:B$190,2,FALSE))</f>
        <v>4.5087248323200004</v>
      </c>
      <c r="Q3587" s="3">
        <f>G3587*(VLOOKUP(B3587,Price_data!A$1:B$190,2,FALSE))</f>
        <v>0</v>
      </c>
      <c r="R3587" s="3">
        <f>I3587*(VLOOKUP(B3587,Price_data!A$1:B$190,2,FALSE))</f>
        <v>0</v>
      </c>
      <c r="S3587" s="4" t="str">
        <f>(VLOOKUP(B3587,Price_data!A$1:C$190,3,FALSE))</f>
        <v>EEZ</v>
      </c>
      <c r="T3587" s="2" t="str">
        <f>IF(C3587="Total", (VLOOKUP(B3587,Recommended_fish_intake!A$4:D$122,4,FALSE)), "NA")</f>
        <v>NA</v>
      </c>
      <c r="U3587" s="2" t="str">
        <f t="shared" si="379"/>
        <v>NA</v>
      </c>
    </row>
    <row r="3588" spans="1:21" ht="14.25" customHeight="1">
      <c r="A3588" s="2" t="s">
        <v>18</v>
      </c>
      <c r="B3588" s="2">
        <v>2003</v>
      </c>
      <c r="C3588" s="2" t="s">
        <v>35</v>
      </c>
      <c r="D3588" s="3">
        <f t="shared" si="378"/>
        <v>3.3</v>
      </c>
      <c r="E3588" s="3">
        <f t="shared" si="378"/>
        <v>6.1</v>
      </c>
      <c r="P3588" s="3">
        <f>E3588*(VLOOKUP(B3588,Price_data!A$1:B$190,2,FALSE))</f>
        <v>5.7298378077400001</v>
      </c>
      <c r="Q3588" s="3">
        <f>G3588*(VLOOKUP(B3588,Price_data!A$1:B$190,2,FALSE))</f>
        <v>0</v>
      </c>
      <c r="R3588" s="3">
        <f>I3588*(VLOOKUP(B3588,Price_data!A$1:B$190,2,FALSE))</f>
        <v>0</v>
      </c>
      <c r="S3588" s="4" t="str">
        <f>(VLOOKUP(B3588,Price_data!A$1:C$190,3,FALSE))</f>
        <v>EEZ</v>
      </c>
      <c r="T3588" s="2" t="str">
        <f>IF(C3588="Total", (VLOOKUP(B3588,Recommended_fish_intake!A$4:D$122,4,FALSE)), "NA")</f>
        <v>NA</v>
      </c>
      <c r="U3588" s="2" t="str">
        <f t="shared" si="379"/>
        <v>NA</v>
      </c>
    </row>
    <row r="3589" spans="1:21" ht="14.25" customHeight="1">
      <c r="A3589" s="2" t="s">
        <v>18</v>
      </c>
      <c r="B3589" s="2">
        <v>2003</v>
      </c>
      <c r="C3589" s="2" t="s">
        <v>52</v>
      </c>
      <c r="D3589" s="3">
        <f t="shared" si="378"/>
        <v>5.7</v>
      </c>
      <c r="E3589" s="3">
        <f t="shared" si="378"/>
        <v>3.8</v>
      </c>
      <c r="P3589" s="3">
        <f>E3589*(VLOOKUP(B3589,Price_data!A$1:B$190,2,FALSE))</f>
        <v>3.5694071589199998</v>
      </c>
      <c r="Q3589" s="3">
        <f>G3589*(VLOOKUP(B3589,Price_data!A$1:B$190,2,FALSE))</f>
        <v>0</v>
      </c>
      <c r="R3589" s="3">
        <f>I3589*(VLOOKUP(B3589,Price_data!A$1:B$190,2,FALSE))</f>
        <v>0</v>
      </c>
      <c r="S3589" s="4" t="str">
        <f>(VLOOKUP(B3589,Price_data!A$1:C$190,3,FALSE))</f>
        <v>EEZ</v>
      </c>
      <c r="T3589" s="2" t="str">
        <f>IF(C3589="Total", (VLOOKUP(B3589,Recommended_fish_intake!A$4:D$122,4,FALSE)), "NA")</f>
        <v>NA</v>
      </c>
      <c r="U3589" s="2" t="str">
        <f t="shared" si="379"/>
        <v>NA</v>
      </c>
    </row>
    <row r="3590" spans="1:21" ht="14.25" customHeight="1">
      <c r="A3590" s="2" t="s">
        <v>18</v>
      </c>
      <c r="B3590" s="2">
        <v>2003</v>
      </c>
      <c r="C3590" s="2" t="s">
        <v>30</v>
      </c>
      <c r="D3590" s="3">
        <f t="shared" si="378"/>
        <v>129.9</v>
      </c>
      <c r="E3590" s="3">
        <f t="shared" si="378"/>
        <v>141.80000000000001</v>
      </c>
      <c r="P3590" s="3">
        <f>E3590*(VLOOKUP(B3590,Price_data!A$1:B$190,2,FALSE))</f>
        <v>133.19524608812003</v>
      </c>
      <c r="Q3590" s="3">
        <f>G3590*(VLOOKUP(B3590,Price_data!A$1:B$190,2,FALSE))</f>
        <v>0</v>
      </c>
      <c r="R3590" s="3">
        <f>I3590*(VLOOKUP(B3590,Price_data!A$1:B$190,2,FALSE))</f>
        <v>0</v>
      </c>
      <c r="S3590" s="4" t="str">
        <f>(VLOOKUP(B3590,Price_data!A$1:C$190,3,FALSE))</f>
        <v>EEZ</v>
      </c>
      <c r="T3590" s="2" t="str">
        <f>IF(C3590="Total", (VLOOKUP(B3590,Recommended_fish_intake!A$4:D$122,4,FALSE)), "NA")</f>
        <v>NA</v>
      </c>
      <c r="U3590" s="2" t="str">
        <f t="shared" si="379"/>
        <v>NA</v>
      </c>
    </row>
    <row r="3591" spans="1:21" ht="14.25" customHeight="1">
      <c r="A3591" s="2" t="s">
        <v>18</v>
      </c>
      <c r="B3591" s="2">
        <v>2003</v>
      </c>
      <c r="C3591" s="2" t="s">
        <v>28</v>
      </c>
      <c r="D3591" s="3">
        <f t="shared" si="378"/>
        <v>48.099999999999994</v>
      </c>
      <c r="E3591" s="3">
        <f t="shared" si="378"/>
        <v>64.7</v>
      </c>
      <c r="P3591" s="3">
        <f>E3591*(VLOOKUP(B3591,Price_data!A$1:B$190,2,FALSE))</f>
        <v>60.773853468980008</v>
      </c>
      <c r="Q3591" s="3">
        <f>G3591*(VLOOKUP(B3591,Price_data!A$1:B$190,2,FALSE))</f>
        <v>0</v>
      </c>
      <c r="R3591" s="3">
        <f>I3591*(VLOOKUP(B3591,Price_data!A$1:B$190,2,FALSE))</f>
        <v>0</v>
      </c>
      <c r="S3591" s="4" t="str">
        <f>(VLOOKUP(B3591,Price_data!A$1:C$190,3,FALSE))</f>
        <v>EEZ</v>
      </c>
      <c r="T3591" s="2" t="str">
        <f>IF(C3591="Total", (VLOOKUP(B3591,Recommended_fish_intake!A$4:D$122,4,FALSE)), "NA")</f>
        <v>NA</v>
      </c>
      <c r="U3591" s="2">
        <f t="shared" si="379"/>
        <v>13.468</v>
      </c>
    </row>
    <row r="3592" spans="1:21" ht="14.25" customHeight="1">
      <c r="A3592" s="2" t="s">
        <v>18</v>
      </c>
      <c r="B3592" s="2">
        <v>2003</v>
      </c>
      <c r="C3592" s="2" t="s">
        <v>37</v>
      </c>
      <c r="D3592" s="3">
        <f>D3416+D3464</f>
        <v>16.253</v>
      </c>
      <c r="E3592" s="3">
        <f>E3416+E3464</f>
        <v>35.567999999999998</v>
      </c>
      <c r="P3592" s="3">
        <f>E3592*(VLOOKUP(B3592,Price_data!A$1:B$190,2,FALSE))</f>
        <v>33.409651007491199</v>
      </c>
      <c r="Q3592" s="3">
        <f>G3592*(VLOOKUP(B3592,Price_data!A$1:B$190,2,FALSE))</f>
        <v>0</v>
      </c>
      <c r="R3592" s="3">
        <f>I3592*(VLOOKUP(B3592,Price_data!A$1:B$190,2,FALSE))</f>
        <v>0</v>
      </c>
      <c r="S3592" s="4" t="str">
        <f>(VLOOKUP(B3592,Price_data!A$1:C$190,3,FALSE))</f>
        <v>EEZ</v>
      </c>
      <c r="T3592" s="2" t="str">
        <f>IF(C3592="Total", (VLOOKUP(B3592,Recommended_fish_intake!A$4:D$122,4,FALSE)), "NA")</f>
        <v>NA</v>
      </c>
      <c r="U3592" s="2">
        <f t="shared" si="379"/>
        <v>7.9639699999999998</v>
      </c>
    </row>
    <row r="3593" spans="1:21" ht="14.25" customHeight="1">
      <c r="A3593" s="2" t="s">
        <v>90</v>
      </c>
      <c r="B3593" s="2">
        <v>2003</v>
      </c>
      <c r="C3593" s="2" t="s">
        <v>16</v>
      </c>
      <c r="D3593" s="2">
        <v>115.1</v>
      </c>
      <c r="E3593" s="2">
        <v>133.30000000000001</v>
      </c>
      <c r="P3593" s="3">
        <f>E3593*(VLOOKUP(B3593,Price_data!A$1:B$190,2,FALSE))</f>
        <v>125.21104586422001</v>
      </c>
      <c r="Q3593" s="3">
        <f>G3593*(VLOOKUP(B3593,Price_data!A$1:B$190,2,FALSE))</f>
        <v>0</v>
      </c>
      <c r="R3593" s="3">
        <f>I3593*(VLOOKUP(B3593,Price_data!A$1:B$190,2,FALSE))</f>
        <v>0</v>
      </c>
      <c r="S3593" s="4" t="str">
        <f>(VLOOKUP(B3593,Price_data!A$1:C$190,3,FALSE))</f>
        <v>EEZ</v>
      </c>
      <c r="T3593" s="2">
        <f>IF(C3593="Total", (VLOOKUP(B3593,Recommended_fish_intake!A$4:D$122,4,FALSE)), "NA")</f>
        <v>790.56982793880002</v>
      </c>
      <c r="U3593" s="2" t="str">
        <f t="shared" si="379"/>
        <v>NA</v>
      </c>
    </row>
    <row r="3594" spans="1:21" ht="14.25" customHeight="1">
      <c r="A3594" s="2" t="s">
        <v>91</v>
      </c>
      <c r="B3594" s="2">
        <v>2003</v>
      </c>
      <c r="C3594" s="2" t="s">
        <v>16</v>
      </c>
      <c r="D3594" s="2">
        <v>10.015000000000001</v>
      </c>
      <c r="E3594" s="2">
        <v>11.512</v>
      </c>
      <c r="P3594" s="3">
        <f>E3594*(VLOOKUP(B3594,Price_data!A$1:B$190,2,FALSE))</f>
        <v>10.813425056180801</v>
      </c>
      <c r="Q3594" s="3">
        <f>G3594*(VLOOKUP(B3594,Price_data!A$1:B$190,2,FALSE))</f>
        <v>0</v>
      </c>
      <c r="R3594" s="3">
        <f>I3594*(VLOOKUP(B3594,Price_data!A$1:B$190,2,FALSE))</f>
        <v>0</v>
      </c>
      <c r="S3594" s="4" t="str">
        <f>(VLOOKUP(B3594,Price_data!A$1:C$190,3,FALSE))</f>
        <v>EEZ</v>
      </c>
      <c r="T3594" s="2">
        <f>IF(C3594="Total", (VLOOKUP(B3594,Recommended_fish_intake!A$4:D$122,4,FALSE)), "NA")</f>
        <v>790.56982793880002</v>
      </c>
      <c r="U3594" s="2" t="str">
        <f t="shared" si="379"/>
        <v>NA</v>
      </c>
    </row>
    <row r="3595" spans="1:21" ht="14.25" customHeight="1">
      <c r="A3595" s="2" t="s">
        <v>39</v>
      </c>
      <c r="B3595" s="2">
        <v>2003</v>
      </c>
      <c r="C3595" s="2" t="s">
        <v>16</v>
      </c>
      <c r="D3595" s="2">
        <v>308.10199999999998</v>
      </c>
      <c r="E3595" s="2">
        <v>236.38800000000001</v>
      </c>
      <c r="P3595" s="3">
        <f>E3595*(VLOOKUP(B3595,Price_data!A$1:B$190,2,FALSE))</f>
        <v>222.04342617967922</v>
      </c>
      <c r="Q3595" s="3">
        <f>G3595*(VLOOKUP(B3595,Price_data!A$1:B$190,2,FALSE))</f>
        <v>0</v>
      </c>
      <c r="R3595" s="3">
        <f>I3595*(VLOOKUP(B3595,Price_data!A$1:B$190,2,FALSE))</f>
        <v>0</v>
      </c>
      <c r="S3595" s="4" t="str">
        <f>(VLOOKUP(B3595,Price_data!A$1:C$190,3,FALSE))</f>
        <v>EEZ</v>
      </c>
      <c r="T3595" s="2">
        <f>IF(C3595="Total", (VLOOKUP(B3595,Recommended_fish_intake!A$4:D$122,4,FALSE)), "NA")</f>
        <v>790.56982793880002</v>
      </c>
      <c r="U3595" s="2" t="str">
        <f t="shared" si="379"/>
        <v>NA</v>
      </c>
    </row>
    <row r="3596" spans="1:21" ht="14.25" customHeight="1">
      <c r="A3596" s="2" t="s">
        <v>40</v>
      </c>
      <c r="B3596" s="2">
        <v>2003</v>
      </c>
      <c r="C3596" s="2" t="s">
        <v>16</v>
      </c>
      <c r="D3596" s="2">
        <v>18.334</v>
      </c>
      <c r="E3596" s="2">
        <v>15.627000000000001</v>
      </c>
      <c r="P3596" s="3">
        <f>E3596*(VLOOKUP(B3596,Price_data!A$1:B$190,2,FALSE))</f>
        <v>14.678717282221802</v>
      </c>
      <c r="Q3596" s="3">
        <f>G3596*(VLOOKUP(B3596,Price_data!A$1:B$190,2,FALSE))</f>
        <v>0</v>
      </c>
      <c r="R3596" s="3">
        <f>I3596*(VLOOKUP(B3596,Price_data!A$1:B$190,2,FALSE))</f>
        <v>0</v>
      </c>
      <c r="S3596" s="4" t="str">
        <f>(VLOOKUP(B3596,Price_data!A$1:C$190,3,FALSE))</f>
        <v>EEZ</v>
      </c>
      <c r="T3596" s="2">
        <f>IF(C3596="Total", (VLOOKUP(B3596,Recommended_fish_intake!A$4:D$122,4,FALSE)), "NA")</f>
        <v>790.56982793880002</v>
      </c>
      <c r="U3596" s="2" t="str">
        <f t="shared" si="379"/>
        <v>NA</v>
      </c>
    </row>
    <row r="3597" spans="1:21" ht="14.25" customHeight="1">
      <c r="A3597" s="2" t="s">
        <v>18</v>
      </c>
      <c r="B3597" s="2">
        <v>2003</v>
      </c>
      <c r="C3597" s="2" t="s">
        <v>16</v>
      </c>
      <c r="D3597" s="3">
        <f>D2845+D2605</f>
        <v>520.149</v>
      </c>
      <c r="E3597" s="3">
        <f>E2845+E2605</f>
        <v>258.47399999999999</v>
      </c>
      <c r="P3597" s="3">
        <f>E3597*(VLOOKUP(B3597,Price_data!A$1:B$190,2,FALSE))</f>
        <v>242.7891963143916</v>
      </c>
      <c r="Q3597" s="3">
        <f>G3597*(VLOOKUP(B3597,Price_data!A$1:B$190,2,FALSE))</f>
        <v>0</v>
      </c>
      <c r="R3597" s="3">
        <f>I3597*(VLOOKUP(B3597,Price_data!A$1:B$190,2,FALSE))</f>
        <v>0</v>
      </c>
      <c r="S3597" s="4" t="str">
        <f>(VLOOKUP(B3597,Price_data!A$1:C$190,3,FALSE))</f>
        <v>EEZ</v>
      </c>
      <c r="T3597" s="2">
        <f>IF(C3597="Total", (VLOOKUP(B3597,Recommended_fish_intake!A$4:D$122,4,FALSE)), "NA")</f>
        <v>790.56982793880002</v>
      </c>
      <c r="U3597" s="2" t="str">
        <f t="shared" si="379"/>
        <v>NA</v>
      </c>
    </row>
    <row r="3598" spans="1:21" ht="14.25" customHeight="1">
      <c r="A3598" s="2" t="s">
        <v>15</v>
      </c>
      <c r="B3598" s="2">
        <v>2003</v>
      </c>
      <c r="C3598" s="2" t="s">
        <v>16</v>
      </c>
      <c r="D3598" s="2">
        <v>451.55599999999998</v>
      </c>
      <c r="E3598" s="2">
        <v>396.90199999999999</v>
      </c>
      <c r="F3598" s="2">
        <v>479.5</v>
      </c>
      <c r="G3598" s="2">
        <v>891.4</v>
      </c>
      <c r="H3598" s="2">
        <v>631.5</v>
      </c>
      <c r="I3598" s="6">
        <v>1438.7</v>
      </c>
      <c r="J3598" s="6"/>
      <c r="K3598" s="6"/>
      <c r="P3598" s="3">
        <f>E3598*(VLOOKUP(B3598,Price_data!A$1:B$190,2,FALSE))</f>
        <v>372.81706320780683</v>
      </c>
      <c r="Q3598" s="3">
        <f>G3598*(VLOOKUP(B3598,Price_data!A$1:B$190,2,FALSE))</f>
        <v>837.30777406876007</v>
      </c>
      <c r="R3598" s="3">
        <f>I3598*(VLOOKUP(B3598,Price_data!A$1:B$190,2,FALSE))</f>
        <v>1351.3963367205802</v>
      </c>
      <c r="S3598" s="4" t="str">
        <f>(VLOOKUP(B3598,Price_data!A$1:C$190,3,FALSE))</f>
        <v>EEZ</v>
      </c>
      <c r="T3598" s="2">
        <f>IF(C3598="Total", (VLOOKUP(B3598,Recommended_fish_intake!A$4:D$122,4,FALSE)), "NA")</f>
        <v>790.56982793880002</v>
      </c>
      <c r="U3598" s="2" t="str">
        <f t="shared" si="379"/>
        <v>NA</v>
      </c>
    </row>
    <row r="3599" spans="1:21" ht="14.25" customHeight="1">
      <c r="A3599" s="2" t="s">
        <v>15</v>
      </c>
      <c r="B3599" s="2">
        <v>2003</v>
      </c>
      <c r="C3599" s="2" t="s">
        <v>42</v>
      </c>
      <c r="D3599" s="2">
        <v>181.90700000000001</v>
      </c>
      <c r="E3599" s="2">
        <v>54.02</v>
      </c>
      <c r="F3599" s="2" t="s">
        <v>92</v>
      </c>
      <c r="G3599" s="2" t="s">
        <v>92</v>
      </c>
      <c r="H3599" s="2" t="s">
        <v>92</v>
      </c>
      <c r="I3599" s="2" t="s">
        <v>92</v>
      </c>
      <c r="P3599" s="3">
        <f>E3599*(VLOOKUP(B3599,Price_data!A$1:B$190,2,FALSE))</f>
        <v>50.741940717068005</v>
      </c>
      <c r="Q3599" s="3" t="e">
        <f>G3599*(VLOOKUP(B3599,Price_data!A$1:B$190,2,FALSE))</f>
        <v>#VALUE!</v>
      </c>
      <c r="R3599" s="3" t="e">
        <f>I3599*(VLOOKUP(B3599,Price_data!A$1:B$190,2,FALSE))</f>
        <v>#VALUE!</v>
      </c>
      <c r="S3599" s="4" t="str">
        <f>(VLOOKUP(B3599,Price_data!A$1:C$190,3,FALSE))</f>
        <v>EEZ</v>
      </c>
      <c r="T3599" s="2" t="str">
        <f>IF(C3599="Total", (VLOOKUP(B3599,Recommended_fish_intake!A$4:D$122,4,FALSE)), "NA")</f>
        <v>NA</v>
      </c>
      <c r="U3599" s="2" t="str">
        <f t="shared" si="379"/>
        <v>NA</v>
      </c>
    </row>
    <row r="3600" spans="1:21" ht="14.25" customHeight="1">
      <c r="A3600" s="2" t="s">
        <v>15</v>
      </c>
      <c r="B3600" s="2">
        <v>2003</v>
      </c>
      <c r="C3600" s="2" t="s">
        <v>36</v>
      </c>
      <c r="D3600" s="2">
        <v>25.358000000000001</v>
      </c>
      <c r="E3600" s="2">
        <v>28.065999999999999</v>
      </c>
      <c r="F3600" s="2">
        <v>15.3</v>
      </c>
      <c r="G3600" s="2">
        <v>35.5</v>
      </c>
      <c r="H3600" s="2">
        <v>2.1</v>
      </c>
      <c r="I3600" s="2">
        <v>9.1</v>
      </c>
      <c r="P3600" s="3">
        <f>E3600*(VLOOKUP(B3600,Price_data!A$1:B$190,2,FALSE))</f>
        <v>26.362889821644401</v>
      </c>
      <c r="Q3600" s="3">
        <f>G3600*(VLOOKUP(B3600,Price_data!A$1:B$190,2,FALSE))</f>
        <v>33.345777405700005</v>
      </c>
      <c r="R3600" s="3">
        <f>I3600*(VLOOKUP(B3600,Price_data!A$1:B$190,2,FALSE))</f>
        <v>8.5477908279400001</v>
      </c>
      <c r="S3600" s="4" t="str">
        <f>(VLOOKUP(B3600,Price_data!A$1:C$190,3,FALSE))</f>
        <v>EEZ</v>
      </c>
      <c r="T3600" s="2" t="str">
        <f>IF(C3600="Total", (VLOOKUP(B3600,Recommended_fish_intake!A$4:D$122,4,FALSE)), "NA")</f>
        <v>NA</v>
      </c>
      <c r="U3600" s="2" t="str">
        <f t="shared" si="379"/>
        <v>NA</v>
      </c>
    </row>
    <row r="3601" spans="1:21" ht="14.25" customHeight="1">
      <c r="A3601" s="2" t="s">
        <v>15</v>
      </c>
      <c r="B3601" s="2">
        <v>2003</v>
      </c>
      <c r="C3601" s="2" t="s">
        <v>34</v>
      </c>
      <c r="D3601" s="2">
        <v>1.4039999999999999</v>
      </c>
      <c r="E3601" s="2">
        <v>13.92</v>
      </c>
      <c r="F3601" s="2" t="s">
        <v>92</v>
      </c>
      <c r="G3601" s="2" t="s">
        <v>92</v>
      </c>
      <c r="H3601" s="2" t="s">
        <v>92</v>
      </c>
      <c r="I3601" s="2" t="s">
        <v>92</v>
      </c>
      <c r="P3601" s="3">
        <f>E3601*(VLOOKUP(B3601,Price_data!A$1:B$190,2,FALSE))</f>
        <v>13.075302013728001</v>
      </c>
      <c r="Q3601" s="3" t="e">
        <f>G3601*(VLOOKUP(B3601,Price_data!A$1:B$190,2,FALSE))</f>
        <v>#VALUE!</v>
      </c>
      <c r="R3601" s="3" t="e">
        <f>I3601*(VLOOKUP(B3601,Price_data!A$1:B$190,2,FALSE))</f>
        <v>#VALUE!</v>
      </c>
      <c r="S3601" s="4" t="str">
        <f>(VLOOKUP(B3601,Price_data!A$1:C$190,3,FALSE))</f>
        <v>EEZ</v>
      </c>
      <c r="T3601" s="2" t="str">
        <f>IF(C3601="Total", (VLOOKUP(B3601,Recommended_fish_intake!A$4:D$122,4,FALSE)), "NA")</f>
        <v>NA</v>
      </c>
      <c r="U3601" s="2" t="str">
        <f t="shared" si="379"/>
        <v>NA</v>
      </c>
    </row>
    <row r="3602" spans="1:21" ht="14.25" customHeight="1">
      <c r="A3602" s="2" t="s">
        <v>15</v>
      </c>
      <c r="B3602" s="2">
        <v>2003</v>
      </c>
      <c r="C3602" s="2" t="s">
        <v>35</v>
      </c>
      <c r="D3602" s="2">
        <v>27.724</v>
      </c>
      <c r="E3602" s="2">
        <v>64.787999999999997</v>
      </c>
      <c r="F3602" s="2" t="s">
        <v>92</v>
      </c>
      <c r="G3602" s="2" t="s">
        <v>92</v>
      </c>
      <c r="H3602" s="2" t="s">
        <v>92</v>
      </c>
      <c r="I3602" s="2" t="s">
        <v>92</v>
      </c>
      <c r="P3602" s="3">
        <f>E3602*(VLOOKUP(B3602,Price_data!A$1:B$190,2,FALSE))</f>
        <v>60.856513424239203</v>
      </c>
      <c r="Q3602" s="3" t="e">
        <f>G3602*(VLOOKUP(B3602,Price_data!A$1:B$190,2,FALSE))</f>
        <v>#VALUE!</v>
      </c>
      <c r="R3602" s="3" t="e">
        <f>I3602*(VLOOKUP(B3602,Price_data!A$1:B$190,2,FALSE))</f>
        <v>#VALUE!</v>
      </c>
      <c r="S3602" s="4" t="str">
        <f>(VLOOKUP(B3602,Price_data!A$1:C$190,3,FALSE))</f>
        <v>EEZ</v>
      </c>
      <c r="T3602" s="2" t="str">
        <f>IF(C3602="Total", (VLOOKUP(B3602,Recommended_fish_intake!A$4:D$122,4,FALSE)), "NA")</f>
        <v>NA</v>
      </c>
      <c r="U3602" s="2" t="str">
        <f t="shared" si="379"/>
        <v>NA</v>
      </c>
    </row>
    <row r="3603" spans="1:21" ht="14.25" customHeight="1">
      <c r="A3603" s="2" t="s">
        <v>15</v>
      </c>
      <c r="B3603" s="2">
        <v>2003</v>
      </c>
      <c r="C3603" s="2" t="s">
        <v>52</v>
      </c>
      <c r="D3603" s="2">
        <v>26.626000000000001</v>
      </c>
      <c r="E3603" s="2">
        <v>32.249000000000002</v>
      </c>
      <c r="F3603" s="2" t="s">
        <v>92</v>
      </c>
      <c r="G3603" s="2" t="s">
        <v>92</v>
      </c>
      <c r="H3603" s="2" t="s">
        <v>92</v>
      </c>
      <c r="I3603" s="2" t="s">
        <v>92</v>
      </c>
      <c r="P3603" s="3">
        <f>E3603*(VLOOKUP(B3603,Price_data!A$1:B$190,2,FALSE))</f>
        <v>30.292055649476605</v>
      </c>
      <c r="Q3603" s="3" t="e">
        <f>G3603*(VLOOKUP(B3603,Price_data!A$1:B$190,2,FALSE))</f>
        <v>#VALUE!</v>
      </c>
      <c r="R3603" s="3" t="e">
        <f>I3603*(VLOOKUP(B3603,Price_data!A$1:B$190,2,FALSE))</f>
        <v>#VALUE!</v>
      </c>
      <c r="S3603" s="4" t="str">
        <f>(VLOOKUP(B3603,Price_data!A$1:C$190,3,FALSE))</f>
        <v>EEZ</v>
      </c>
      <c r="T3603" s="2" t="str">
        <f>IF(C3603="Total", (VLOOKUP(B3603,Recommended_fish_intake!A$4:D$122,4,FALSE)), "NA")</f>
        <v>NA</v>
      </c>
      <c r="U3603" s="2" t="str">
        <f t="shared" si="379"/>
        <v>NA</v>
      </c>
    </row>
    <row r="3604" spans="1:21" ht="14.25" customHeight="1">
      <c r="A3604" s="2" t="s">
        <v>15</v>
      </c>
      <c r="B3604" s="2">
        <v>2003</v>
      </c>
      <c r="C3604" s="2" t="s">
        <v>30</v>
      </c>
      <c r="D3604" s="2">
        <v>0.65800000000000003</v>
      </c>
      <c r="E3604" s="2">
        <v>1.081</v>
      </c>
      <c r="F3604" s="2">
        <v>29.4</v>
      </c>
      <c r="G3604" s="2">
        <v>98.2</v>
      </c>
      <c r="H3604" s="2">
        <v>90.7</v>
      </c>
      <c r="I3604" s="2">
        <v>353.59999999999997</v>
      </c>
      <c r="P3604" s="3">
        <f>E3604*(VLOOKUP(B3604,Price_data!A$1:B$190,2,FALSE))</f>
        <v>1.0154024049454</v>
      </c>
      <c r="Q3604" s="3">
        <f>G3604*(VLOOKUP(B3604,Price_data!A$1:B$190,2,FALSE))</f>
        <v>92.240995527880003</v>
      </c>
      <c r="R3604" s="3">
        <f>I3604*(VLOOKUP(B3604,Price_data!A$1:B$190,2,FALSE))</f>
        <v>332.14272931424</v>
      </c>
      <c r="S3604" s="4" t="str">
        <f>(VLOOKUP(B3604,Price_data!A$1:C$190,3,FALSE))</f>
        <v>EEZ</v>
      </c>
      <c r="T3604" s="2" t="str">
        <f>IF(C3604="Total", (VLOOKUP(B3604,Recommended_fish_intake!A$4:D$122,4,FALSE)), "NA")</f>
        <v>NA</v>
      </c>
      <c r="U3604" s="2" t="str">
        <f t="shared" si="379"/>
        <v>NA</v>
      </c>
    </row>
    <row r="3605" spans="1:21" ht="14.25" customHeight="1">
      <c r="A3605" s="2" t="s">
        <v>15</v>
      </c>
      <c r="B3605" s="2">
        <v>2003</v>
      </c>
      <c r="C3605" s="2" t="s">
        <v>28</v>
      </c>
      <c r="D3605" s="2">
        <v>135.745</v>
      </c>
      <c r="E3605" s="2">
        <v>178.494</v>
      </c>
      <c r="F3605" s="2">
        <v>108.5</v>
      </c>
      <c r="G3605" s="2">
        <v>338.2</v>
      </c>
      <c r="H3605" s="2">
        <v>110.5</v>
      </c>
      <c r="I3605" s="2">
        <v>416.2</v>
      </c>
      <c r="P3605" s="3">
        <f>E3605*(VLOOKUP(B3605,Price_data!A$1:B$190,2,FALSE))</f>
        <v>167.66256879585961</v>
      </c>
      <c r="Q3605" s="3">
        <f>G3605*(VLOOKUP(B3605,Price_data!A$1:B$190,2,FALSE))</f>
        <v>317.67723714388001</v>
      </c>
      <c r="R3605" s="3">
        <f>I3605*(VLOOKUP(B3605,Price_data!A$1:B$190,2,FALSE))</f>
        <v>390.94401566907999</v>
      </c>
      <c r="S3605" s="4" t="str">
        <f>(VLOOKUP(B3605,Price_data!A$1:C$190,3,FALSE))</f>
        <v>EEZ</v>
      </c>
      <c r="T3605" s="2" t="str">
        <f>IF(C3605="Total", (VLOOKUP(B3605,Recommended_fish_intake!A$4:D$122,4,FALSE)), "NA")</f>
        <v>NA</v>
      </c>
      <c r="U3605" s="2">
        <f t="shared" si="379"/>
        <v>38.008600000000008</v>
      </c>
    </row>
    <row r="3606" spans="1:21" ht="14.25" customHeight="1">
      <c r="A3606" s="2" t="s">
        <v>15</v>
      </c>
      <c r="B3606" s="2">
        <v>2003</v>
      </c>
      <c r="C3606" s="2" t="s">
        <v>37</v>
      </c>
      <c r="D3606" s="2">
        <f>D3394+D3646</f>
        <v>92.725999999999999</v>
      </c>
      <c r="E3606" s="2">
        <f>E3394+E3646</f>
        <v>120.45900000000002</v>
      </c>
      <c r="F3606" s="3">
        <v>371</v>
      </c>
      <c r="G3606" s="3">
        <v>553.20000000000005</v>
      </c>
      <c r="H3606" s="3">
        <v>521</v>
      </c>
      <c r="I3606" s="7">
        <v>1022.4</v>
      </c>
      <c r="J3606" s="6"/>
      <c r="K3606" s="6"/>
      <c r="P3606" s="3">
        <f>E3606*(VLOOKUP(B3606,Price_data!A$1:B$190,2,FALSE))</f>
        <v>113.14926762009063</v>
      </c>
      <c r="Q3606" s="3">
        <f>G3606*(VLOOKUP(B3606,Price_data!A$1:B$190,2,FALSE))</f>
        <v>519.63053692488006</v>
      </c>
      <c r="R3606" s="3">
        <f>I3606*(VLOOKUP(B3606,Price_data!A$1:B$190,2,FALSE))</f>
        <v>960.35838928416001</v>
      </c>
      <c r="S3606" s="4" t="str">
        <f>(VLOOKUP(B3606,Price_data!A$1:C$190,3,FALSE))</f>
        <v>EEZ</v>
      </c>
      <c r="T3606" s="2" t="str">
        <f>IF(C3606="Total", (VLOOKUP(B3606,Recommended_fish_intake!A$4:D$122,4,FALSE)), "NA")</f>
        <v>NA</v>
      </c>
      <c r="U3606" s="2">
        <f t="shared" si="379"/>
        <v>45.435739999999996</v>
      </c>
    </row>
    <row r="3607" spans="1:21" ht="14.25" customHeight="1">
      <c r="A3607" s="2" t="s">
        <v>15</v>
      </c>
      <c r="B3607" s="2">
        <v>2003</v>
      </c>
      <c r="C3607" s="2" t="s">
        <v>41</v>
      </c>
      <c r="D3607" s="2">
        <v>133.904</v>
      </c>
      <c r="E3607" s="2">
        <v>164.38800000000001</v>
      </c>
      <c r="F3607" s="2" t="s">
        <v>92</v>
      </c>
      <c r="G3607" s="2" t="s">
        <v>92</v>
      </c>
      <c r="H3607" s="2" t="s">
        <v>92</v>
      </c>
      <c r="I3607" s="2" t="s">
        <v>92</v>
      </c>
      <c r="P3607" s="3">
        <f>E3607*(VLOOKUP(B3607,Price_data!A$1:B$190,2,FALSE))</f>
        <v>154.41255369487922</v>
      </c>
      <c r="Q3607" s="3" t="e">
        <f>G3607*(VLOOKUP(B3607,Price_data!A$1:B$190,2,FALSE))</f>
        <v>#VALUE!</v>
      </c>
      <c r="R3607" s="3" t="e">
        <f>I3607*(VLOOKUP(B3607,Price_data!A$1:B$190,2,FALSE))</f>
        <v>#VALUE!</v>
      </c>
      <c r="S3607" s="4" t="str">
        <f>(VLOOKUP(B3607,Price_data!A$1:C$190,3,FALSE))</f>
        <v>EEZ</v>
      </c>
      <c r="T3607" s="2" t="str">
        <f>IF(C3607="Total", (VLOOKUP(B3607,Recommended_fish_intake!A$4:D$122,4,FALSE)), "NA")</f>
        <v>NA</v>
      </c>
      <c r="U3607" s="2" t="str">
        <f t="shared" si="379"/>
        <v>NA</v>
      </c>
    </row>
    <row r="3608" spans="1:21" ht="14.25" customHeight="1">
      <c r="A3608" s="2" t="s">
        <v>15</v>
      </c>
      <c r="B3608" s="2">
        <v>2003</v>
      </c>
      <c r="C3608" s="2" t="s">
        <v>22</v>
      </c>
      <c r="D3608" s="2">
        <v>15.496</v>
      </c>
      <c r="E3608" s="2">
        <v>22.32</v>
      </c>
      <c r="F3608" s="2">
        <v>24.7</v>
      </c>
      <c r="G3608" s="2">
        <v>46.1</v>
      </c>
      <c r="H3608" s="2">
        <v>132.5</v>
      </c>
      <c r="I3608" s="2">
        <v>333.6</v>
      </c>
      <c r="M3608" s="1"/>
      <c r="P3608" s="3">
        <f>E3608*(VLOOKUP(B3608,Price_data!A$1:B$190,2,FALSE))</f>
        <v>20.965570470288</v>
      </c>
      <c r="Q3608" s="3">
        <f>G3608*(VLOOKUP(B3608,Price_data!A$1:B$190,2,FALSE))</f>
        <v>43.30254474374</v>
      </c>
      <c r="R3608" s="3">
        <f>I3608*(VLOOKUP(B3608,Price_data!A$1:B$190,2,FALSE))</f>
        <v>313.35637584624004</v>
      </c>
      <c r="S3608" s="4" t="str">
        <f>(VLOOKUP(B3608,Price_data!A$1:C$190,3,FALSE))</f>
        <v>EEZ</v>
      </c>
      <c r="T3608" s="2" t="str">
        <f>IF(C3608="Total", (VLOOKUP(B3608,Recommended_fish_intake!A$4:D$122,4,FALSE)), "NA")</f>
        <v>NA</v>
      </c>
      <c r="U3608" s="2" t="str">
        <f t="shared" si="379"/>
        <v>NA</v>
      </c>
    </row>
    <row r="3609" spans="1:21" ht="14.25" customHeight="1">
      <c r="A3609" s="2" t="s">
        <v>15</v>
      </c>
      <c r="B3609" s="2">
        <v>2003</v>
      </c>
      <c r="C3609" s="2" t="s">
        <v>20</v>
      </c>
      <c r="D3609" s="2">
        <v>106.43</v>
      </c>
      <c r="E3609" s="2">
        <v>44.325000000000003</v>
      </c>
      <c r="F3609" s="2">
        <v>131.80000000000001</v>
      </c>
      <c r="G3609" s="2">
        <v>85.5</v>
      </c>
      <c r="H3609" s="2">
        <v>17.5</v>
      </c>
      <c r="I3609" s="2">
        <v>18.2</v>
      </c>
      <c r="P3609" s="3">
        <f>E3609*(VLOOKUP(B3609,Price_data!A$1:B$190,2,FALSE))</f>
        <v>41.635255873455002</v>
      </c>
      <c r="Q3609" s="3">
        <f>G3609*(VLOOKUP(B3609,Price_data!A$1:B$190,2,FALSE))</f>
        <v>80.311661075700002</v>
      </c>
      <c r="R3609" s="3">
        <f>I3609*(VLOOKUP(B3609,Price_data!A$1:B$190,2,FALSE))</f>
        <v>17.09558165588</v>
      </c>
      <c r="S3609" s="4" t="str">
        <f>(VLOOKUP(B3609,Price_data!A$1:C$190,3,FALSE))</f>
        <v>EEZ</v>
      </c>
      <c r="T3609" s="2" t="str">
        <f>IF(C3609="Total", (VLOOKUP(B3609,Recommended_fish_intake!A$4:D$122,4,FALSE)), "NA")</f>
        <v>NA</v>
      </c>
      <c r="U3609" s="2" t="str">
        <f t="shared" si="379"/>
        <v>NA</v>
      </c>
    </row>
    <row r="3610" spans="1:21" ht="14.25" customHeight="1">
      <c r="A3610" s="2" t="s">
        <v>15</v>
      </c>
      <c r="B3610" s="2">
        <v>2003</v>
      </c>
      <c r="C3610" s="2" t="s">
        <v>19</v>
      </c>
      <c r="D3610" s="2">
        <v>55.417000000000002</v>
      </c>
      <c r="E3610" s="2">
        <v>7.125</v>
      </c>
      <c r="F3610" s="2">
        <v>42.7</v>
      </c>
      <c r="G3610" s="2">
        <v>14.9</v>
      </c>
      <c r="H3610" s="2">
        <v>4.4000000000000004</v>
      </c>
      <c r="I3610" s="2">
        <v>5</v>
      </c>
      <c r="P3610" s="3">
        <f>E3610*(VLOOKUP(B3610,Price_data!A$1:B$190,2,FALSE))</f>
        <v>6.6926384229750004</v>
      </c>
      <c r="Q3610" s="3">
        <f>G3610*(VLOOKUP(B3610,Price_data!A$1:B$190,2,FALSE))</f>
        <v>13.99583333366</v>
      </c>
      <c r="R3610" s="3">
        <f>I3610*(VLOOKUP(B3610,Price_data!A$1:B$190,2,FALSE))</f>
        <v>4.6965883670000004</v>
      </c>
      <c r="S3610" s="4" t="str">
        <f>(VLOOKUP(B3610,Price_data!A$1:C$190,3,FALSE))</f>
        <v>EEZ</v>
      </c>
      <c r="T3610" s="2" t="str">
        <f>IF(C3610="Total", (VLOOKUP(B3610,Recommended_fish_intake!A$4:D$122,4,FALSE)), "NA")</f>
        <v>NA</v>
      </c>
      <c r="U3610" s="2" t="str">
        <f t="shared" si="379"/>
        <v>NA</v>
      </c>
    </row>
    <row r="3611" spans="1:21" ht="14.25" customHeight="1">
      <c r="A3611" s="2" t="s">
        <v>15</v>
      </c>
      <c r="B3611" s="2">
        <v>2003</v>
      </c>
      <c r="C3611" s="2" t="s">
        <v>24</v>
      </c>
      <c r="D3611" s="2">
        <v>8.1530000000000005</v>
      </c>
      <c r="E3611" s="2">
        <v>5.0709999999999997</v>
      </c>
      <c r="F3611" s="2">
        <v>1.4</v>
      </c>
      <c r="G3611" s="2">
        <v>2.5</v>
      </c>
      <c r="H3611" s="2">
        <v>1.2</v>
      </c>
      <c r="I3611" s="2">
        <v>0.9</v>
      </c>
      <c r="P3611" s="3">
        <f>E3611*(VLOOKUP(B3611,Price_data!A$1:B$190,2,FALSE))</f>
        <v>4.7632799218114004</v>
      </c>
      <c r="Q3611" s="3">
        <f>G3611*(VLOOKUP(B3611,Price_data!A$1:B$190,2,FALSE))</f>
        <v>2.3482941835000002</v>
      </c>
      <c r="R3611" s="3">
        <f>I3611*(VLOOKUP(B3611,Price_data!A$1:B$190,2,FALSE))</f>
        <v>0.84538590606000008</v>
      </c>
      <c r="S3611" s="4" t="str">
        <f>(VLOOKUP(B3611,Price_data!A$1:C$190,3,FALSE))</f>
        <v>EEZ</v>
      </c>
      <c r="T3611" s="2" t="str">
        <f>IF(C3611="Total", (VLOOKUP(B3611,Recommended_fish_intake!A$4:D$122,4,FALSE)), "NA")</f>
        <v>NA</v>
      </c>
      <c r="U3611" s="2" t="str">
        <f t="shared" si="379"/>
        <v>NA</v>
      </c>
    </row>
    <row r="3612" spans="1:21" ht="14.25" customHeight="1">
      <c r="A3612" s="2" t="s">
        <v>15</v>
      </c>
      <c r="B3612" s="2">
        <v>2003</v>
      </c>
      <c r="C3612" s="2" t="s">
        <v>58</v>
      </c>
      <c r="D3612" s="2">
        <v>10.233000000000001</v>
      </c>
      <c r="E3612" s="2">
        <v>20.922999999999998</v>
      </c>
      <c r="F3612" s="2">
        <v>3.2</v>
      </c>
      <c r="G3612" s="2">
        <v>18.399999999999999</v>
      </c>
      <c r="H3612" s="2">
        <v>1.8</v>
      </c>
      <c r="I3612" s="2">
        <v>4.7</v>
      </c>
      <c r="P3612" s="3">
        <f>E3612*(VLOOKUP(B3612,Price_data!A$1:B$190,2,FALSE))</f>
        <v>19.6533436805482</v>
      </c>
      <c r="Q3612" s="3">
        <f>G3612*(VLOOKUP(B3612,Price_data!A$1:B$190,2,FALSE))</f>
        <v>17.283445190559998</v>
      </c>
      <c r="R3612" s="3">
        <f>I3612*(VLOOKUP(B3612,Price_data!A$1:B$190,2,FALSE))</f>
        <v>4.4147930649800005</v>
      </c>
      <c r="S3612" s="4" t="str">
        <f>(VLOOKUP(B3612,Price_data!A$1:C$190,3,FALSE))</f>
        <v>EEZ</v>
      </c>
      <c r="T3612" s="2" t="str">
        <f>IF(C3612="Total", (VLOOKUP(B3612,Recommended_fish_intake!A$4:D$122,4,FALSE)), "NA")</f>
        <v>NA</v>
      </c>
      <c r="U3612" s="2" t="str">
        <f t="shared" si="379"/>
        <v>NA</v>
      </c>
    </row>
    <row r="3613" spans="1:21" ht="14.25" customHeight="1">
      <c r="A3613" s="2" t="s">
        <v>15</v>
      </c>
      <c r="B3613" s="2">
        <v>2003</v>
      </c>
      <c r="C3613" s="2" t="s">
        <v>23</v>
      </c>
      <c r="D3613" s="2">
        <v>40.668999999999997</v>
      </c>
      <c r="E3613" s="2">
        <v>27.515000000000001</v>
      </c>
      <c r="F3613" s="2">
        <v>5.2</v>
      </c>
      <c r="G3613" s="2">
        <v>7.4</v>
      </c>
      <c r="H3613" s="2">
        <v>56.2</v>
      </c>
      <c r="I3613" s="2">
        <v>90.7</v>
      </c>
      <c r="P3613" s="3">
        <f>E3613*(VLOOKUP(B3613,Price_data!A$1:B$190,2,FALSE))</f>
        <v>25.845325783601002</v>
      </c>
      <c r="Q3613" s="3">
        <f>G3613*(VLOOKUP(B3613,Price_data!A$1:B$190,2,FALSE))</f>
        <v>6.9509507831600006</v>
      </c>
      <c r="R3613" s="3">
        <f>I3613*(VLOOKUP(B3613,Price_data!A$1:B$190,2,FALSE))</f>
        <v>85.196112977380011</v>
      </c>
      <c r="S3613" s="4" t="str">
        <f>(VLOOKUP(B3613,Price_data!A$1:C$190,3,FALSE))</f>
        <v>EEZ</v>
      </c>
      <c r="T3613" s="2" t="str">
        <f>IF(C3613="Total", (VLOOKUP(B3613,Recommended_fish_intake!A$4:D$122,4,FALSE)), "NA")</f>
        <v>NA</v>
      </c>
      <c r="U3613" s="2" t="str">
        <f t="shared" si="379"/>
        <v>NA</v>
      </c>
    </row>
    <row r="3614" spans="1:21" ht="14.25" customHeight="1">
      <c r="A3614" s="2" t="s">
        <v>15</v>
      </c>
      <c r="B3614" s="2">
        <v>2003</v>
      </c>
      <c r="C3614" s="2" t="s">
        <v>21</v>
      </c>
      <c r="D3614" s="3">
        <v>5.5</v>
      </c>
      <c r="E3614" s="3">
        <v>0.8</v>
      </c>
      <c r="F3614" s="2" t="s">
        <v>92</v>
      </c>
      <c r="G3614" s="2" t="s">
        <v>92</v>
      </c>
      <c r="H3614" s="2" t="s">
        <v>92</v>
      </c>
      <c r="I3614" s="2" t="s">
        <v>92</v>
      </c>
      <c r="P3614" s="3">
        <f>E3614*(VLOOKUP(B3614,Price_data!A$1:B$190,2,FALSE))</f>
        <v>0.75145413872000011</v>
      </c>
      <c r="Q3614" s="3" t="e">
        <f>G3614*(VLOOKUP(B3614,Price_data!A$1:B$190,2,FALSE))</f>
        <v>#VALUE!</v>
      </c>
      <c r="R3614" s="3" t="e">
        <f>I3614*(VLOOKUP(B3614,Price_data!A$1:B$190,2,FALSE))</f>
        <v>#VALUE!</v>
      </c>
      <c r="S3614" s="4" t="str">
        <f>(VLOOKUP(B3614,Price_data!A$1:C$190,3,FALSE))</f>
        <v>EEZ</v>
      </c>
      <c r="T3614" s="2" t="str">
        <f>IF(C3614="Total", (VLOOKUP(B3614,Recommended_fish_intake!A$4:D$122,4,FALSE)), "NA")</f>
        <v>NA</v>
      </c>
      <c r="U3614" s="2" t="str">
        <f t="shared" si="379"/>
        <v>NA</v>
      </c>
    </row>
    <row r="3615" spans="1:21" ht="14.25" customHeight="1">
      <c r="A3615" s="2" t="s">
        <v>15</v>
      </c>
      <c r="B3615" s="2">
        <v>2003</v>
      </c>
      <c r="C3615" s="2" t="s">
        <v>43</v>
      </c>
      <c r="D3615" s="2" t="s">
        <v>17</v>
      </c>
      <c r="E3615" s="2" t="s">
        <v>17</v>
      </c>
      <c r="F3615" s="2">
        <v>3.2</v>
      </c>
      <c r="G3615" s="2">
        <v>7.2</v>
      </c>
      <c r="H3615" s="2">
        <v>109.1</v>
      </c>
      <c r="I3615" s="2">
        <v>164.7</v>
      </c>
      <c r="P3615" s="3" t="e">
        <f>E3615*(VLOOKUP(B3615,Price_data!A$1:B$190,2,FALSE))</f>
        <v>#VALUE!</v>
      </c>
      <c r="Q3615" s="3">
        <f>G3615*(VLOOKUP(B3615,Price_data!A$1:B$190,2,FALSE))</f>
        <v>6.7630872484800006</v>
      </c>
      <c r="R3615" s="3">
        <f>I3615*(VLOOKUP(B3615,Price_data!A$1:B$190,2,FALSE))</f>
        <v>154.70562080898</v>
      </c>
      <c r="S3615" s="4" t="str">
        <f>(VLOOKUP(B3615,Price_data!A$1:C$190,3,FALSE))</f>
        <v>EEZ</v>
      </c>
      <c r="T3615" s="2" t="str">
        <f>IF(C3615="Total", (VLOOKUP(B3615,Recommended_fish_intake!A$4:D$122,4,FALSE)), "NA")</f>
        <v>NA</v>
      </c>
      <c r="U3615" s="2" t="str">
        <f t="shared" si="379"/>
        <v>NA</v>
      </c>
    </row>
    <row r="3616" spans="1:21" ht="14.25" customHeight="1">
      <c r="A3616" s="2" t="s">
        <v>15</v>
      </c>
      <c r="B3616" s="2">
        <v>2003</v>
      </c>
      <c r="C3616" s="2" t="s">
        <v>29</v>
      </c>
      <c r="D3616" s="2" t="s">
        <v>17</v>
      </c>
      <c r="E3616" s="2" t="s">
        <v>17</v>
      </c>
      <c r="F3616" s="2">
        <v>74.7</v>
      </c>
      <c r="G3616" s="2">
        <v>201.7</v>
      </c>
      <c r="H3616" s="2">
        <v>34.700000000000003</v>
      </c>
      <c r="I3616" s="2">
        <v>93.1</v>
      </c>
      <c r="P3616" s="3" t="e">
        <f>E3616*(VLOOKUP(B3616,Price_data!A$1:B$190,2,FALSE))</f>
        <v>#VALUE!</v>
      </c>
      <c r="Q3616" s="3">
        <f>G3616*(VLOOKUP(B3616,Price_data!A$1:B$190,2,FALSE))</f>
        <v>189.46037472478</v>
      </c>
      <c r="R3616" s="3">
        <f>I3616*(VLOOKUP(B3616,Price_data!A$1:B$190,2,FALSE))</f>
        <v>87.450475393540003</v>
      </c>
      <c r="S3616" s="4" t="str">
        <f>(VLOOKUP(B3616,Price_data!A$1:C$190,3,FALSE))</f>
        <v>EEZ</v>
      </c>
      <c r="T3616" s="2" t="str">
        <f>IF(C3616="Total", (VLOOKUP(B3616,Recommended_fish_intake!A$4:D$122,4,FALSE)), "NA")</f>
        <v>NA</v>
      </c>
      <c r="U3616" s="2" t="str">
        <f t="shared" si="379"/>
        <v>NA</v>
      </c>
    </row>
    <row r="3617" spans="1:21" ht="14.25" customHeight="1">
      <c r="A3617" s="2" t="s">
        <v>15</v>
      </c>
      <c r="B3617" s="2">
        <v>2003</v>
      </c>
      <c r="C3617" s="2" t="s">
        <v>25</v>
      </c>
      <c r="D3617" s="2">
        <v>4.4000000000000004</v>
      </c>
      <c r="E3617" s="2">
        <v>5.2</v>
      </c>
      <c r="F3617" s="4">
        <v>1.8</v>
      </c>
      <c r="G3617" s="4">
        <v>3.1</v>
      </c>
      <c r="H3617" s="4">
        <v>6</v>
      </c>
      <c r="I3617" s="4">
        <v>17.2</v>
      </c>
      <c r="P3617" s="3">
        <f>E3617*(VLOOKUP(B3617,Price_data!A$1:B$190,2,FALSE))</f>
        <v>4.8844519016800003</v>
      </c>
      <c r="Q3617" s="3">
        <f>G3617*(VLOOKUP(B3617,Price_data!A$1:B$190,2,FALSE))</f>
        <v>2.9118847875400005</v>
      </c>
      <c r="R3617" s="3">
        <f>I3617*(VLOOKUP(B3617,Price_data!A$1:B$190,2,FALSE))</f>
        <v>16.156263982479999</v>
      </c>
      <c r="S3617" s="4" t="str">
        <f>(VLOOKUP(B3617,Price_data!A$1:C$190,3,FALSE))</f>
        <v>EEZ</v>
      </c>
      <c r="T3617" s="2" t="str">
        <f>IF(C3617="Total", (VLOOKUP(B3617,Recommended_fish_intake!A$4:D$122,4,FALSE)), "NA")</f>
        <v>NA</v>
      </c>
      <c r="U3617" s="2" t="str">
        <f t="shared" si="379"/>
        <v>NA</v>
      </c>
    </row>
    <row r="3618" spans="1:21" ht="14.25" customHeight="1">
      <c r="A3618" s="2" t="s">
        <v>90</v>
      </c>
      <c r="B3618" s="2">
        <v>2004</v>
      </c>
      <c r="C3618" s="2" t="s">
        <v>22</v>
      </c>
      <c r="D3618" s="2">
        <v>7.4</v>
      </c>
      <c r="E3618" s="2">
        <v>9.1999999999999993</v>
      </c>
      <c r="P3618" s="3">
        <f>E3618*(VLOOKUP(B3618,Price_data!A$1:B$190,2,FALSE))</f>
        <v>8.3917990495199994</v>
      </c>
      <c r="Q3618" s="3">
        <f>G3618*(VLOOKUP(B3618,Price_data!A$1:B$190,2,FALSE))</f>
        <v>0</v>
      </c>
      <c r="R3618" s="3">
        <f>I3618*(VLOOKUP(B3618,Price_data!A$1:B$190,2,FALSE))</f>
        <v>0</v>
      </c>
      <c r="S3618" s="4" t="str">
        <f>(VLOOKUP(B3618,Price_data!A$1:C$190,3,FALSE))</f>
        <v>EEZ</v>
      </c>
      <c r="T3618" s="2" t="str">
        <f>IF(C3618="Total", (VLOOKUP(B3618,Recommended_fish_intake!A$4:D$122,4,FALSE)), "NA")</f>
        <v>NA</v>
      </c>
      <c r="U3618" s="2" t="str">
        <f t="shared" si="379"/>
        <v>NA</v>
      </c>
    </row>
    <row r="3619" spans="1:21" ht="14.25" customHeight="1">
      <c r="A3619" s="2" t="s">
        <v>90</v>
      </c>
      <c r="B3619" s="2">
        <v>2004</v>
      </c>
      <c r="C3619" s="2" t="s">
        <v>23</v>
      </c>
      <c r="D3619" s="2">
        <v>2.2000000000000002</v>
      </c>
      <c r="E3619" s="2">
        <v>1.8</v>
      </c>
      <c r="P3619" s="3">
        <f>E3619*(VLOOKUP(B3619,Price_data!A$1:B$190,2,FALSE))</f>
        <v>1.6418737270800001</v>
      </c>
      <c r="Q3619" s="3">
        <f>G3619*(VLOOKUP(B3619,Price_data!A$1:B$190,2,FALSE))</f>
        <v>0</v>
      </c>
      <c r="R3619" s="3">
        <f>I3619*(VLOOKUP(B3619,Price_data!A$1:B$190,2,FALSE))</f>
        <v>0</v>
      </c>
      <c r="S3619" s="4" t="str">
        <f>(VLOOKUP(B3619,Price_data!A$1:C$190,3,FALSE))</f>
        <v>EEZ</v>
      </c>
      <c r="T3619" s="2" t="str">
        <f>IF(C3619="Total", (VLOOKUP(B3619,Recommended_fish_intake!A$4:D$122,4,FALSE)), "NA")</f>
        <v>NA</v>
      </c>
      <c r="U3619" s="2" t="str">
        <f t="shared" si="379"/>
        <v>NA</v>
      </c>
    </row>
    <row r="3620" spans="1:21" ht="14.25" customHeight="1">
      <c r="A3620" s="2" t="s">
        <v>90</v>
      </c>
      <c r="B3620" s="2">
        <v>2004</v>
      </c>
      <c r="C3620" s="2" t="s">
        <v>58</v>
      </c>
      <c r="D3620" s="2">
        <v>2.4</v>
      </c>
      <c r="E3620" s="2">
        <v>5</v>
      </c>
      <c r="P3620" s="3">
        <f>E3620*(VLOOKUP(B3620,Price_data!A$1:B$190,2,FALSE))</f>
        <v>4.560760353</v>
      </c>
      <c r="Q3620" s="3">
        <f>G3620*(VLOOKUP(B3620,Price_data!A$1:B$190,2,FALSE))</f>
        <v>0</v>
      </c>
      <c r="R3620" s="3">
        <f>I3620*(VLOOKUP(B3620,Price_data!A$1:B$190,2,FALSE))</f>
        <v>0</v>
      </c>
      <c r="S3620" s="4" t="str">
        <f>(VLOOKUP(B3620,Price_data!A$1:C$190,3,FALSE))</f>
        <v>EEZ</v>
      </c>
      <c r="T3620" s="2" t="str">
        <f>IF(C3620="Total", (VLOOKUP(B3620,Recommended_fish_intake!A$4:D$122,4,FALSE)), "NA")</f>
        <v>NA</v>
      </c>
      <c r="U3620" s="2" t="str">
        <f t="shared" si="379"/>
        <v>NA</v>
      </c>
    </row>
    <row r="3621" spans="1:21" ht="14.25" customHeight="1">
      <c r="A3621" s="2" t="s">
        <v>90</v>
      </c>
      <c r="B3621" s="2">
        <v>2004</v>
      </c>
      <c r="C3621" s="2" t="s">
        <v>24</v>
      </c>
      <c r="D3621" s="2">
        <v>1.8</v>
      </c>
      <c r="E3621" s="2">
        <v>1</v>
      </c>
      <c r="P3621" s="3">
        <f>E3621*(VLOOKUP(B3621,Price_data!A$1:B$190,2,FALSE))</f>
        <v>0.91215207060000003</v>
      </c>
      <c r="Q3621" s="3">
        <f>G3621*(VLOOKUP(B3621,Price_data!A$1:B$190,2,FALSE))</f>
        <v>0</v>
      </c>
      <c r="R3621" s="3">
        <f>I3621*(VLOOKUP(B3621,Price_data!A$1:B$190,2,FALSE))</f>
        <v>0</v>
      </c>
      <c r="S3621" s="4" t="str">
        <f>(VLOOKUP(B3621,Price_data!A$1:C$190,3,FALSE))</f>
        <v>EEZ</v>
      </c>
      <c r="T3621" s="2" t="str">
        <f>IF(C3621="Total", (VLOOKUP(B3621,Recommended_fish_intake!A$4:D$122,4,FALSE)), "NA")</f>
        <v>NA</v>
      </c>
      <c r="U3621" s="2" t="str">
        <f t="shared" si="379"/>
        <v>NA</v>
      </c>
    </row>
    <row r="3622" spans="1:21" ht="14.25" customHeight="1">
      <c r="A3622" s="2" t="s">
        <v>90</v>
      </c>
      <c r="B3622" s="2">
        <v>2004</v>
      </c>
      <c r="C3622" s="2" t="s">
        <v>41</v>
      </c>
      <c r="D3622" s="2">
        <v>31.7</v>
      </c>
      <c r="E3622" s="2">
        <v>57.7</v>
      </c>
      <c r="P3622" s="3">
        <f>E3622*(VLOOKUP(B3622,Price_data!A$1:B$190,2,FALSE))</f>
        <v>52.631174473620007</v>
      </c>
      <c r="Q3622" s="3">
        <f>G3622*(VLOOKUP(B3622,Price_data!A$1:B$190,2,FALSE))</f>
        <v>0</v>
      </c>
      <c r="R3622" s="3">
        <f>I3622*(VLOOKUP(B3622,Price_data!A$1:B$190,2,FALSE))</f>
        <v>0</v>
      </c>
      <c r="S3622" s="4" t="str">
        <f>(VLOOKUP(B3622,Price_data!A$1:C$190,3,FALSE))</f>
        <v>EEZ</v>
      </c>
      <c r="T3622" s="2" t="str">
        <f>IF(C3622="Total", (VLOOKUP(B3622,Recommended_fish_intake!A$4:D$122,4,FALSE)), "NA")</f>
        <v>NA</v>
      </c>
      <c r="U3622" s="2" t="str">
        <f t="shared" si="379"/>
        <v>NA</v>
      </c>
    </row>
    <row r="3623" spans="1:21" ht="14.25" customHeight="1">
      <c r="A3623" s="2" t="s">
        <v>90</v>
      </c>
      <c r="B3623" s="2">
        <v>2004</v>
      </c>
      <c r="C3623" s="2" t="s">
        <v>19</v>
      </c>
      <c r="D3623" s="2">
        <v>0.9</v>
      </c>
      <c r="E3623" s="2">
        <v>0.9</v>
      </c>
      <c r="P3623" s="3">
        <f>E3623*(VLOOKUP(B3623,Price_data!A$1:B$190,2,FALSE))</f>
        <v>0.82093686354000006</v>
      </c>
      <c r="Q3623" s="3">
        <f>G3623*(VLOOKUP(B3623,Price_data!A$1:B$190,2,FALSE))</f>
        <v>0</v>
      </c>
      <c r="R3623" s="3">
        <f>I3623*(VLOOKUP(B3623,Price_data!A$1:B$190,2,FALSE))</f>
        <v>0</v>
      </c>
      <c r="S3623" s="4" t="str">
        <f>(VLOOKUP(B3623,Price_data!A$1:C$190,3,FALSE))</f>
        <v>EEZ</v>
      </c>
      <c r="T3623" s="2" t="str">
        <f>IF(C3623="Total", (VLOOKUP(B3623,Recommended_fish_intake!A$4:D$122,4,FALSE)), "NA")</f>
        <v>NA</v>
      </c>
      <c r="U3623" s="2" t="str">
        <f t="shared" si="379"/>
        <v>NA</v>
      </c>
    </row>
    <row r="3624" spans="1:21" ht="14.25" customHeight="1">
      <c r="A3624" s="2" t="s">
        <v>90</v>
      </c>
      <c r="B3624" s="2">
        <v>2004</v>
      </c>
      <c r="C3624" s="2" t="s">
        <v>20</v>
      </c>
      <c r="D3624" s="2">
        <v>3.4</v>
      </c>
      <c r="E3624" s="2">
        <v>1.6</v>
      </c>
      <c r="P3624" s="3">
        <f>E3624*(VLOOKUP(B3624,Price_data!A$1:B$190,2,FALSE))</f>
        <v>1.4594433129600002</v>
      </c>
      <c r="Q3624" s="3">
        <f>G3624*(VLOOKUP(B3624,Price_data!A$1:B$190,2,FALSE))</f>
        <v>0</v>
      </c>
      <c r="R3624" s="3">
        <f>I3624*(VLOOKUP(B3624,Price_data!A$1:B$190,2,FALSE))</f>
        <v>0</v>
      </c>
      <c r="S3624" s="4" t="str">
        <f>(VLOOKUP(B3624,Price_data!A$1:C$190,3,FALSE))</f>
        <v>EEZ</v>
      </c>
      <c r="T3624" s="2" t="str">
        <f>IF(C3624="Total", (VLOOKUP(B3624,Recommended_fish_intake!A$4:D$122,4,FALSE)), "NA")</f>
        <v>NA</v>
      </c>
      <c r="U3624" s="2" t="str">
        <f t="shared" si="379"/>
        <v>NA</v>
      </c>
    </row>
    <row r="3625" spans="1:21" ht="14.25" customHeight="1">
      <c r="A3625" s="2" t="s">
        <v>90</v>
      </c>
      <c r="B3625" s="2">
        <v>2004</v>
      </c>
      <c r="C3625" s="2" t="s">
        <v>42</v>
      </c>
      <c r="D3625" s="2">
        <v>9.4</v>
      </c>
      <c r="E3625" s="2">
        <v>4.0999999999999996</v>
      </c>
      <c r="P3625" s="3">
        <f>E3625*(VLOOKUP(B3625,Price_data!A$1:B$190,2,FALSE))</f>
        <v>3.73982348946</v>
      </c>
      <c r="Q3625" s="3">
        <f>G3625*(VLOOKUP(B3625,Price_data!A$1:B$190,2,FALSE))</f>
        <v>0</v>
      </c>
      <c r="R3625" s="3">
        <f>I3625*(VLOOKUP(B3625,Price_data!A$1:B$190,2,FALSE))</f>
        <v>0</v>
      </c>
      <c r="S3625" s="4" t="str">
        <f>(VLOOKUP(B3625,Price_data!A$1:C$190,3,FALSE))</f>
        <v>EEZ</v>
      </c>
      <c r="T3625" s="2" t="str">
        <f>IF(C3625="Total", (VLOOKUP(B3625,Recommended_fish_intake!A$4:D$122,4,FALSE)), "NA")</f>
        <v>NA</v>
      </c>
      <c r="U3625" s="2" t="str">
        <f t="shared" si="379"/>
        <v>NA</v>
      </c>
    </row>
    <row r="3626" spans="1:21" ht="14.25" customHeight="1">
      <c r="A3626" s="2" t="s">
        <v>90</v>
      </c>
      <c r="B3626" s="2">
        <v>2004</v>
      </c>
      <c r="C3626" s="2" t="s">
        <v>36</v>
      </c>
      <c r="D3626" s="2">
        <v>11.1</v>
      </c>
      <c r="E3626" s="2">
        <v>11.9</v>
      </c>
      <c r="P3626" s="3">
        <f>E3626*(VLOOKUP(B3626,Price_data!A$1:B$190,2,FALSE))</f>
        <v>10.854609640140001</v>
      </c>
      <c r="Q3626" s="3">
        <f>G3626*(VLOOKUP(B3626,Price_data!A$1:B$190,2,FALSE))</f>
        <v>0</v>
      </c>
      <c r="R3626" s="3">
        <f>I3626*(VLOOKUP(B3626,Price_data!A$1:B$190,2,FALSE))</f>
        <v>0</v>
      </c>
      <c r="S3626" s="4" t="str">
        <f>(VLOOKUP(B3626,Price_data!A$1:C$190,3,FALSE))</f>
        <v>EEZ</v>
      </c>
      <c r="T3626" s="2" t="str">
        <f>IF(C3626="Total", (VLOOKUP(B3626,Recommended_fish_intake!A$4:D$122,4,FALSE)), "NA")</f>
        <v>NA</v>
      </c>
      <c r="U3626" s="2" t="str">
        <f t="shared" si="379"/>
        <v>NA</v>
      </c>
    </row>
    <row r="3627" spans="1:21" ht="14.25" customHeight="1">
      <c r="A3627" s="2" t="s">
        <v>90</v>
      </c>
      <c r="B3627" s="2">
        <v>2004</v>
      </c>
      <c r="C3627" s="2" t="s">
        <v>34</v>
      </c>
      <c r="D3627" s="2">
        <v>0.9</v>
      </c>
      <c r="E3627" s="2">
        <v>7.8</v>
      </c>
      <c r="P3627" s="3">
        <f>E3627*(VLOOKUP(B3627,Price_data!A$1:B$190,2,FALSE))</f>
        <v>7.1147861506799996</v>
      </c>
      <c r="Q3627" s="3">
        <f>G3627*(VLOOKUP(B3627,Price_data!A$1:B$190,2,FALSE))</f>
        <v>0</v>
      </c>
      <c r="R3627" s="3">
        <f>I3627*(VLOOKUP(B3627,Price_data!A$1:B$190,2,FALSE))</f>
        <v>0</v>
      </c>
      <c r="S3627" s="4" t="str">
        <f>(VLOOKUP(B3627,Price_data!A$1:C$190,3,FALSE))</f>
        <v>EEZ</v>
      </c>
      <c r="T3627" s="2" t="str">
        <f>IF(C3627="Total", (VLOOKUP(B3627,Recommended_fish_intake!A$4:D$122,4,FALSE)), "NA")</f>
        <v>NA</v>
      </c>
      <c r="U3627" s="2" t="str">
        <f t="shared" si="379"/>
        <v>NA</v>
      </c>
    </row>
    <row r="3628" spans="1:21" ht="14.25" customHeight="1">
      <c r="A3628" s="2" t="s">
        <v>90</v>
      </c>
      <c r="B3628" s="2">
        <v>2004</v>
      </c>
      <c r="C3628" s="2" t="s">
        <v>35</v>
      </c>
      <c r="D3628" s="2">
        <v>2.7</v>
      </c>
      <c r="E3628" s="2">
        <v>5.6</v>
      </c>
      <c r="P3628" s="3">
        <f>E3628*(VLOOKUP(B3628,Price_data!A$1:B$190,2,FALSE))</f>
        <v>5.1080515953600001</v>
      </c>
      <c r="Q3628" s="3">
        <f>G3628*(VLOOKUP(B3628,Price_data!A$1:B$190,2,FALSE))</f>
        <v>0</v>
      </c>
      <c r="R3628" s="3">
        <f>I3628*(VLOOKUP(B3628,Price_data!A$1:B$190,2,FALSE))</f>
        <v>0</v>
      </c>
      <c r="S3628" s="4" t="str">
        <f>(VLOOKUP(B3628,Price_data!A$1:C$190,3,FALSE))</f>
        <v>EEZ</v>
      </c>
      <c r="T3628" s="2" t="str">
        <f>IF(C3628="Total", (VLOOKUP(B3628,Recommended_fish_intake!A$4:D$122,4,FALSE)), "NA")</f>
        <v>NA</v>
      </c>
      <c r="U3628" s="2" t="str">
        <f t="shared" si="379"/>
        <v>NA</v>
      </c>
    </row>
    <row r="3629" spans="1:21" ht="14.25" customHeight="1">
      <c r="A3629" s="2" t="s">
        <v>90</v>
      </c>
      <c r="B3629" s="2">
        <v>2004</v>
      </c>
      <c r="C3629" s="2" t="s">
        <v>52</v>
      </c>
      <c r="D3629" s="2">
        <v>9.9</v>
      </c>
      <c r="E3629" s="2">
        <v>12.1</v>
      </c>
      <c r="P3629" s="3">
        <f>E3629*(VLOOKUP(B3629,Price_data!A$1:B$190,2,FALSE))</f>
        <v>11.03704005426</v>
      </c>
      <c r="Q3629" s="3">
        <f>G3629*(VLOOKUP(B3629,Price_data!A$1:B$190,2,FALSE))</f>
        <v>0</v>
      </c>
      <c r="R3629" s="3">
        <f>I3629*(VLOOKUP(B3629,Price_data!A$1:B$190,2,FALSE))</f>
        <v>0</v>
      </c>
      <c r="S3629" s="4" t="str">
        <f>(VLOOKUP(B3629,Price_data!A$1:C$190,3,FALSE))</f>
        <v>EEZ</v>
      </c>
      <c r="T3629" s="2" t="str">
        <f>IF(C3629="Total", (VLOOKUP(B3629,Recommended_fish_intake!A$4:D$122,4,FALSE)), "NA")</f>
        <v>NA</v>
      </c>
      <c r="U3629" s="2" t="str">
        <f t="shared" si="379"/>
        <v>NA</v>
      </c>
    </row>
    <row r="3630" spans="1:21" ht="14.25" customHeight="1">
      <c r="A3630" s="2" t="s">
        <v>90</v>
      </c>
      <c r="B3630" s="2">
        <v>2004</v>
      </c>
      <c r="C3630" s="2" t="s">
        <v>30</v>
      </c>
      <c r="D3630" s="2">
        <v>0.5</v>
      </c>
      <c r="E3630" s="2">
        <v>0.7</v>
      </c>
      <c r="P3630" s="3">
        <f>E3630*(VLOOKUP(B3630,Price_data!A$1:B$190,2,FALSE))</f>
        <v>0.63850644942000001</v>
      </c>
      <c r="Q3630" s="3">
        <f>G3630*(VLOOKUP(B3630,Price_data!A$1:B$190,2,FALSE))</f>
        <v>0</v>
      </c>
      <c r="R3630" s="3">
        <f>I3630*(VLOOKUP(B3630,Price_data!A$1:B$190,2,FALSE))</f>
        <v>0</v>
      </c>
      <c r="S3630" s="4" t="str">
        <f>(VLOOKUP(B3630,Price_data!A$1:C$190,3,FALSE))</f>
        <v>EEZ</v>
      </c>
      <c r="T3630" s="2" t="str">
        <f>IF(C3630="Total", (VLOOKUP(B3630,Recommended_fish_intake!A$4:D$122,4,FALSE)), "NA")</f>
        <v>NA</v>
      </c>
      <c r="U3630" s="2" t="str">
        <f t="shared" si="379"/>
        <v>NA</v>
      </c>
    </row>
    <row r="3631" spans="1:21" ht="14.25" customHeight="1">
      <c r="A3631" s="2" t="s">
        <v>90</v>
      </c>
      <c r="B3631" s="2">
        <v>2004</v>
      </c>
      <c r="C3631" s="2" t="s">
        <v>28</v>
      </c>
      <c r="D3631" s="2">
        <v>58.1</v>
      </c>
      <c r="E3631" s="2">
        <v>58.5</v>
      </c>
      <c r="P3631" s="3">
        <f>E3631*(VLOOKUP(B3631,Price_data!A$1:B$190,2,FALSE))</f>
        <v>53.360896130100002</v>
      </c>
      <c r="Q3631" s="3">
        <f>G3631*(VLOOKUP(B3631,Price_data!A$1:B$190,2,FALSE))</f>
        <v>0</v>
      </c>
      <c r="R3631" s="3">
        <f>I3631*(VLOOKUP(B3631,Price_data!A$1:B$190,2,FALSE))</f>
        <v>0</v>
      </c>
      <c r="S3631" s="4" t="str">
        <f>(VLOOKUP(B3631,Price_data!A$1:C$190,3,FALSE))</f>
        <v>EEZ</v>
      </c>
      <c r="T3631" s="2" t="str">
        <f>IF(C3631="Total", (VLOOKUP(B3631,Recommended_fish_intake!A$4:D$122,4,FALSE)), "NA")</f>
        <v>NA</v>
      </c>
      <c r="U3631" s="2">
        <f t="shared" si="379"/>
        <v>16.268000000000001</v>
      </c>
    </row>
    <row r="3632" spans="1:21" ht="14.25" customHeight="1">
      <c r="A3632" s="2" t="s">
        <v>91</v>
      </c>
      <c r="B3632" s="2">
        <v>2004</v>
      </c>
      <c r="C3632" s="2" t="s">
        <v>22</v>
      </c>
      <c r="D3632" s="2">
        <v>3.3000000000000002E-2</v>
      </c>
      <c r="E3632" s="2">
        <v>5.3999999999999999E-2</v>
      </c>
      <c r="P3632" s="3">
        <f>E3632*(VLOOKUP(B3632,Price_data!A$1:B$190,2,FALSE))</f>
        <v>4.9256211812400003E-2</v>
      </c>
      <c r="Q3632" s="3">
        <f>G3632*(VLOOKUP(B3632,Price_data!A$1:B$190,2,FALSE))</f>
        <v>0</v>
      </c>
      <c r="R3632" s="3">
        <f>I3632*(VLOOKUP(B3632,Price_data!A$1:B$190,2,FALSE))</f>
        <v>0</v>
      </c>
      <c r="S3632" s="4" t="str">
        <f>(VLOOKUP(B3632,Price_data!A$1:C$190,3,FALSE))</f>
        <v>EEZ</v>
      </c>
      <c r="T3632" s="2" t="str">
        <f>IF(C3632="Total", (VLOOKUP(B3632,Recommended_fish_intake!A$4:D$122,4,FALSE)), "NA")</f>
        <v>NA</v>
      </c>
      <c r="U3632" s="2" t="str">
        <f t="shared" si="379"/>
        <v>NA</v>
      </c>
    </row>
    <row r="3633" spans="1:21" ht="14.25" customHeight="1">
      <c r="A3633" s="2" t="s">
        <v>91</v>
      </c>
      <c r="B3633" s="2">
        <v>2004</v>
      </c>
      <c r="C3633" s="2" t="s">
        <v>23</v>
      </c>
      <c r="D3633" s="2">
        <v>2.1000000000000001E-2</v>
      </c>
      <c r="E3633" s="2">
        <v>0.02</v>
      </c>
      <c r="P3633" s="3">
        <f>E3633*(VLOOKUP(B3633,Price_data!A$1:B$190,2,FALSE))</f>
        <v>1.8243041412000002E-2</v>
      </c>
      <c r="Q3633" s="3">
        <f>G3633*(VLOOKUP(B3633,Price_data!A$1:B$190,2,FALSE))</f>
        <v>0</v>
      </c>
      <c r="R3633" s="3">
        <f>I3633*(VLOOKUP(B3633,Price_data!A$1:B$190,2,FALSE))</f>
        <v>0</v>
      </c>
      <c r="S3633" s="4" t="str">
        <f>(VLOOKUP(B3633,Price_data!A$1:C$190,3,FALSE))</f>
        <v>EEZ</v>
      </c>
      <c r="T3633" s="2" t="str">
        <f>IF(C3633="Total", (VLOOKUP(B3633,Recommended_fish_intake!A$4:D$122,4,FALSE)), "NA")</f>
        <v>NA</v>
      </c>
      <c r="U3633" s="2" t="str">
        <f t="shared" si="379"/>
        <v>NA</v>
      </c>
    </row>
    <row r="3634" spans="1:21" ht="14.25" customHeight="1">
      <c r="A3634" s="2" t="s">
        <v>91</v>
      </c>
      <c r="B3634" s="2">
        <v>2004</v>
      </c>
      <c r="C3634" s="2" t="s">
        <v>58</v>
      </c>
      <c r="D3634" s="2">
        <v>0.40200000000000002</v>
      </c>
      <c r="E3634" s="2">
        <v>1.0069999999999999</v>
      </c>
      <c r="P3634" s="3">
        <f>E3634*(VLOOKUP(B3634,Price_data!A$1:B$190,2,FALSE))</f>
        <v>0.91853713509419999</v>
      </c>
      <c r="Q3634" s="3">
        <f>G3634*(VLOOKUP(B3634,Price_data!A$1:B$190,2,FALSE))</f>
        <v>0</v>
      </c>
      <c r="R3634" s="3">
        <f>I3634*(VLOOKUP(B3634,Price_data!A$1:B$190,2,FALSE))</f>
        <v>0</v>
      </c>
      <c r="S3634" s="4" t="str">
        <f>(VLOOKUP(B3634,Price_data!A$1:C$190,3,FALSE))</f>
        <v>EEZ</v>
      </c>
      <c r="T3634" s="2" t="str">
        <f>IF(C3634="Total", (VLOOKUP(B3634,Recommended_fish_intake!A$4:D$122,4,FALSE)), "NA")</f>
        <v>NA</v>
      </c>
      <c r="U3634" s="2" t="str">
        <f t="shared" si="379"/>
        <v>NA</v>
      </c>
    </row>
    <row r="3635" spans="1:21" ht="14.25" customHeight="1">
      <c r="A3635" s="2" t="s">
        <v>91</v>
      </c>
      <c r="B3635" s="2">
        <v>2004</v>
      </c>
      <c r="C3635" s="2" t="s">
        <v>24</v>
      </c>
      <c r="D3635" s="2">
        <v>0.04</v>
      </c>
      <c r="E3635" s="2">
        <v>1.9E-2</v>
      </c>
      <c r="P3635" s="3">
        <f>E3635*(VLOOKUP(B3635,Price_data!A$1:B$190,2,FALSE))</f>
        <v>1.7330889341400001E-2</v>
      </c>
      <c r="Q3635" s="3">
        <f>G3635*(VLOOKUP(B3635,Price_data!A$1:B$190,2,FALSE))</f>
        <v>0</v>
      </c>
      <c r="R3635" s="3">
        <f>I3635*(VLOOKUP(B3635,Price_data!A$1:B$190,2,FALSE))</f>
        <v>0</v>
      </c>
      <c r="S3635" s="4" t="str">
        <f>(VLOOKUP(B3635,Price_data!A$1:C$190,3,FALSE))</f>
        <v>EEZ</v>
      </c>
      <c r="T3635" s="2" t="str">
        <f>IF(C3635="Total", (VLOOKUP(B3635,Recommended_fish_intake!A$4:D$122,4,FALSE)), "NA")</f>
        <v>NA</v>
      </c>
      <c r="U3635" s="2" t="str">
        <f t="shared" si="379"/>
        <v>NA</v>
      </c>
    </row>
    <row r="3636" spans="1:21" ht="14.25" customHeight="1">
      <c r="A3636" s="2" t="s">
        <v>91</v>
      </c>
      <c r="B3636" s="2">
        <v>2004</v>
      </c>
      <c r="C3636" s="2" t="s">
        <v>41</v>
      </c>
      <c r="D3636" s="2">
        <v>2.0499999999999998</v>
      </c>
      <c r="E3636" s="2">
        <v>3.8460000000000001</v>
      </c>
      <c r="P3636" s="3">
        <f>E3636*(VLOOKUP(B3636,Price_data!A$1:B$190,2,FALSE))</f>
        <v>3.5081368635276</v>
      </c>
      <c r="Q3636" s="3">
        <f>G3636*(VLOOKUP(B3636,Price_data!A$1:B$190,2,FALSE))</f>
        <v>0</v>
      </c>
      <c r="R3636" s="3">
        <f>I3636*(VLOOKUP(B3636,Price_data!A$1:B$190,2,FALSE))</f>
        <v>0</v>
      </c>
      <c r="S3636" s="4" t="str">
        <f>(VLOOKUP(B3636,Price_data!A$1:C$190,3,FALSE))</f>
        <v>EEZ</v>
      </c>
      <c r="T3636" s="2" t="str">
        <f>IF(C3636="Total", (VLOOKUP(B3636,Recommended_fish_intake!A$4:D$122,4,FALSE)), "NA")</f>
        <v>NA</v>
      </c>
      <c r="U3636" s="2" t="str">
        <f t="shared" si="379"/>
        <v>NA</v>
      </c>
    </row>
    <row r="3637" spans="1:21" ht="14.25" customHeight="1">
      <c r="A3637" s="2" t="s">
        <v>91</v>
      </c>
      <c r="B3637" s="2">
        <v>2004</v>
      </c>
      <c r="C3637" s="2" t="s">
        <v>19</v>
      </c>
      <c r="D3637" s="2">
        <v>1E-3</v>
      </c>
      <c r="E3637" s="2">
        <v>1E-3</v>
      </c>
      <c r="P3637" s="3">
        <f>E3637*(VLOOKUP(B3637,Price_data!A$1:B$190,2,FALSE))</f>
        <v>9.1215207060000008E-4</v>
      </c>
      <c r="Q3637" s="3">
        <f>G3637*(VLOOKUP(B3637,Price_data!A$1:B$190,2,FALSE))</f>
        <v>0</v>
      </c>
      <c r="R3637" s="3">
        <f>I3637*(VLOOKUP(B3637,Price_data!A$1:B$190,2,FALSE))</f>
        <v>0</v>
      </c>
      <c r="S3637" s="4" t="str">
        <f>(VLOOKUP(B3637,Price_data!A$1:C$190,3,FALSE))</f>
        <v>EEZ</v>
      </c>
      <c r="T3637" s="2" t="str">
        <f>IF(C3637="Total", (VLOOKUP(B3637,Recommended_fish_intake!A$4:D$122,4,FALSE)), "NA")</f>
        <v>NA</v>
      </c>
      <c r="U3637" s="2" t="str">
        <f t="shared" si="379"/>
        <v>NA</v>
      </c>
    </row>
    <row r="3638" spans="1:21" ht="14.25" customHeight="1">
      <c r="A3638" s="2" t="s">
        <v>91</v>
      </c>
      <c r="B3638" s="2">
        <v>2004</v>
      </c>
      <c r="C3638" s="2" t="s">
        <v>20</v>
      </c>
      <c r="D3638" s="2">
        <v>0</v>
      </c>
      <c r="E3638" s="2">
        <v>0</v>
      </c>
      <c r="P3638" s="3">
        <f>E3638*(VLOOKUP(B3638,Price_data!A$1:B$190,2,FALSE))</f>
        <v>0</v>
      </c>
      <c r="Q3638" s="3">
        <f>G3638*(VLOOKUP(B3638,Price_data!A$1:B$190,2,FALSE))</f>
        <v>0</v>
      </c>
      <c r="R3638" s="3">
        <f>I3638*(VLOOKUP(B3638,Price_data!A$1:B$190,2,FALSE))</f>
        <v>0</v>
      </c>
      <c r="S3638" s="4" t="str">
        <f>(VLOOKUP(B3638,Price_data!A$1:C$190,3,FALSE))</f>
        <v>EEZ</v>
      </c>
      <c r="T3638" s="2" t="str">
        <f>IF(C3638="Total", (VLOOKUP(B3638,Recommended_fish_intake!A$4:D$122,4,FALSE)), "NA")</f>
        <v>NA</v>
      </c>
      <c r="U3638" s="2" t="str">
        <f t="shared" si="379"/>
        <v>NA</v>
      </c>
    </row>
    <row r="3639" spans="1:21" ht="14.25" customHeight="1">
      <c r="A3639" s="2" t="s">
        <v>91</v>
      </c>
      <c r="B3639" s="2">
        <v>2004</v>
      </c>
      <c r="C3639" s="2" t="s">
        <v>42</v>
      </c>
      <c r="D3639" s="2">
        <v>1E-3</v>
      </c>
      <c r="E3639" s="2">
        <v>1E-3</v>
      </c>
      <c r="P3639" s="3">
        <f>E3639*(VLOOKUP(B3639,Price_data!A$1:B$190,2,FALSE))</f>
        <v>9.1215207060000008E-4</v>
      </c>
      <c r="Q3639" s="3">
        <f>G3639*(VLOOKUP(B3639,Price_data!A$1:B$190,2,FALSE))</f>
        <v>0</v>
      </c>
      <c r="R3639" s="3">
        <f>I3639*(VLOOKUP(B3639,Price_data!A$1:B$190,2,FALSE))</f>
        <v>0</v>
      </c>
      <c r="S3639" s="4" t="str">
        <f>(VLOOKUP(B3639,Price_data!A$1:C$190,3,FALSE))</f>
        <v>EEZ</v>
      </c>
      <c r="T3639" s="2" t="str">
        <f>IF(C3639="Total", (VLOOKUP(B3639,Recommended_fish_intake!A$4:D$122,4,FALSE)), "NA")</f>
        <v>NA</v>
      </c>
      <c r="U3639" s="2" t="str">
        <f t="shared" si="379"/>
        <v>NA</v>
      </c>
    </row>
    <row r="3640" spans="1:21" ht="14.25" customHeight="1">
      <c r="A3640" s="2" t="s">
        <v>91</v>
      </c>
      <c r="B3640" s="2">
        <v>2004</v>
      </c>
      <c r="C3640" s="2" t="s">
        <v>36</v>
      </c>
      <c r="D3640" s="2">
        <v>0.378</v>
      </c>
      <c r="E3640" s="2">
        <v>0.33700000000000002</v>
      </c>
      <c r="P3640" s="3">
        <f>E3640*(VLOOKUP(B3640,Price_data!A$1:B$190,2,FALSE))</f>
        <v>0.30739524779220001</v>
      </c>
      <c r="Q3640" s="3">
        <f>G3640*(VLOOKUP(B3640,Price_data!A$1:B$190,2,FALSE))</f>
        <v>0</v>
      </c>
      <c r="R3640" s="3">
        <f>I3640*(VLOOKUP(B3640,Price_data!A$1:B$190,2,FALSE))</f>
        <v>0</v>
      </c>
      <c r="S3640" s="4" t="str">
        <f>(VLOOKUP(B3640,Price_data!A$1:C$190,3,FALSE))</f>
        <v>EEZ</v>
      </c>
      <c r="T3640" s="2" t="str">
        <f>IF(C3640="Total", (VLOOKUP(B3640,Recommended_fish_intake!A$4:D$122,4,FALSE)), "NA")</f>
        <v>NA</v>
      </c>
      <c r="U3640" s="2" t="str">
        <f t="shared" si="379"/>
        <v>NA</v>
      </c>
    </row>
    <row r="3641" spans="1:21" ht="14.25" customHeight="1">
      <c r="A3641" s="2" t="s">
        <v>91</v>
      </c>
      <c r="B3641" s="2">
        <v>2004</v>
      </c>
      <c r="C3641" s="2" t="s">
        <v>34</v>
      </c>
      <c r="D3641" s="2">
        <v>2.9000000000000001E-2</v>
      </c>
      <c r="E3641" s="2">
        <v>0.253</v>
      </c>
      <c r="P3641" s="3">
        <f>E3641*(VLOOKUP(B3641,Price_data!A$1:B$190,2,FALSE))</f>
        <v>0.2307744738618</v>
      </c>
      <c r="Q3641" s="3">
        <f>G3641*(VLOOKUP(B3641,Price_data!A$1:B$190,2,FALSE))</f>
        <v>0</v>
      </c>
      <c r="R3641" s="3">
        <f>I3641*(VLOOKUP(B3641,Price_data!A$1:B$190,2,FALSE))</f>
        <v>0</v>
      </c>
      <c r="S3641" s="4" t="str">
        <f>(VLOOKUP(B3641,Price_data!A$1:C$190,3,FALSE))</f>
        <v>EEZ</v>
      </c>
      <c r="T3641" s="2" t="str">
        <f>IF(C3641="Total", (VLOOKUP(B3641,Recommended_fish_intake!A$4:D$122,4,FALSE)), "NA")</f>
        <v>NA</v>
      </c>
      <c r="U3641" s="2" t="str">
        <f t="shared" si="379"/>
        <v>NA</v>
      </c>
    </row>
    <row r="3642" spans="1:21" ht="14.25" customHeight="1">
      <c r="A3642" s="2" t="s">
        <v>91</v>
      </c>
      <c r="B3642" s="2">
        <v>2004</v>
      </c>
      <c r="C3642" s="2" t="s">
        <v>35</v>
      </c>
      <c r="D3642" s="2">
        <v>7.0000000000000007E-2</v>
      </c>
      <c r="E3642" s="2">
        <v>0.314</v>
      </c>
      <c r="P3642" s="3">
        <f>E3642*(VLOOKUP(B3642,Price_data!A$1:B$190,2,FALSE))</f>
        <v>0.28641575016839999</v>
      </c>
      <c r="Q3642" s="3">
        <f>G3642*(VLOOKUP(B3642,Price_data!A$1:B$190,2,FALSE))</f>
        <v>0</v>
      </c>
      <c r="R3642" s="3">
        <f>I3642*(VLOOKUP(B3642,Price_data!A$1:B$190,2,FALSE))</f>
        <v>0</v>
      </c>
      <c r="S3642" s="4" t="str">
        <f>(VLOOKUP(B3642,Price_data!A$1:C$190,3,FALSE))</f>
        <v>EEZ</v>
      </c>
      <c r="T3642" s="2" t="str">
        <f>IF(C3642="Total", (VLOOKUP(B3642,Recommended_fish_intake!A$4:D$122,4,FALSE)), "NA")</f>
        <v>NA</v>
      </c>
      <c r="U3642" s="2" t="str">
        <f t="shared" si="379"/>
        <v>NA</v>
      </c>
    </row>
    <row r="3643" spans="1:21" ht="14.25" customHeight="1">
      <c r="A3643" s="2" t="s">
        <v>91</v>
      </c>
      <c r="B3643" s="2">
        <v>2004</v>
      </c>
      <c r="C3643" s="2" t="s">
        <v>52</v>
      </c>
      <c r="D3643" s="2">
        <v>1.41</v>
      </c>
      <c r="E3643" s="2">
        <v>1.244</v>
      </c>
      <c r="P3643" s="3">
        <f>E3643*(VLOOKUP(B3643,Price_data!A$1:B$190,2,FALSE))</f>
        <v>1.1347171758264001</v>
      </c>
      <c r="Q3643" s="3">
        <f>G3643*(VLOOKUP(B3643,Price_data!A$1:B$190,2,FALSE))</f>
        <v>0</v>
      </c>
      <c r="R3643" s="3">
        <f>I3643*(VLOOKUP(B3643,Price_data!A$1:B$190,2,FALSE))</f>
        <v>0</v>
      </c>
      <c r="S3643" s="4" t="str">
        <f>(VLOOKUP(B3643,Price_data!A$1:C$190,3,FALSE))</f>
        <v>EEZ</v>
      </c>
      <c r="T3643" s="2" t="str">
        <f>IF(C3643="Total", (VLOOKUP(B3643,Recommended_fish_intake!A$4:D$122,4,FALSE)), "NA")</f>
        <v>NA</v>
      </c>
      <c r="U3643" s="2" t="str">
        <f t="shared" si="379"/>
        <v>NA</v>
      </c>
    </row>
    <row r="3644" spans="1:21" ht="14.25" customHeight="1">
      <c r="A3644" s="2" t="s">
        <v>91</v>
      </c>
      <c r="B3644" s="2">
        <v>2004</v>
      </c>
      <c r="C3644" s="2" t="s">
        <v>30</v>
      </c>
      <c r="D3644" s="2">
        <v>0</v>
      </c>
      <c r="E3644" s="2">
        <v>0</v>
      </c>
      <c r="P3644" s="3">
        <f>E3644*(VLOOKUP(B3644,Price_data!A$1:B$190,2,FALSE))</f>
        <v>0</v>
      </c>
      <c r="Q3644" s="3">
        <f>G3644*(VLOOKUP(B3644,Price_data!A$1:B$190,2,FALSE))</f>
        <v>0</v>
      </c>
      <c r="R3644" s="3">
        <f>I3644*(VLOOKUP(B3644,Price_data!A$1:B$190,2,FALSE))</f>
        <v>0</v>
      </c>
      <c r="S3644" s="4" t="str">
        <f>(VLOOKUP(B3644,Price_data!A$1:C$190,3,FALSE))</f>
        <v>EEZ</v>
      </c>
      <c r="T3644" s="2" t="str">
        <f>IF(C3644="Total", (VLOOKUP(B3644,Recommended_fish_intake!A$4:D$122,4,FALSE)), "NA")</f>
        <v>NA</v>
      </c>
      <c r="U3644" s="2" t="str">
        <f t="shared" si="379"/>
        <v>NA</v>
      </c>
    </row>
    <row r="3645" spans="1:21" ht="14.25" customHeight="1">
      <c r="A3645" s="2" t="s">
        <v>91</v>
      </c>
      <c r="B3645" s="2">
        <v>2004</v>
      </c>
      <c r="C3645" s="2" t="s">
        <v>28</v>
      </c>
      <c r="D3645" s="2">
        <v>9.2430000000000003</v>
      </c>
      <c r="E3645" s="2">
        <v>6.5670000000000002</v>
      </c>
      <c r="P3645" s="3">
        <f>E3645*(VLOOKUP(B3645,Price_data!A$1:B$190,2,FALSE))</f>
        <v>5.9901026476302004</v>
      </c>
      <c r="Q3645" s="3">
        <f>G3645*(VLOOKUP(B3645,Price_data!A$1:B$190,2,FALSE))</f>
        <v>0</v>
      </c>
      <c r="R3645" s="3">
        <f>I3645*(VLOOKUP(B3645,Price_data!A$1:B$190,2,FALSE))</f>
        <v>0</v>
      </c>
      <c r="S3645" s="4" t="str">
        <f>(VLOOKUP(B3645,Price_data!A$1:C$190,3,FALSE))</f>
        <v>EEZ</v>
      </c>
      <c r="T3645" s="2" t="str">
        <f>IF(C3645="Total", (VLOOKUP(B3645,Recommended_fish_intake!A$4:D$122,4,FALSE)), "NA")</f>
        <v>NA</v>
      </c>
      <c r="U3645" s="2">
        <f t="shared" si="379"/>
        <v>2.5880400000000003</v>
      </c>
    </row>
    <row r="3646" spans="1:21" ht="14.25" customHeight="1">
      <c r="A3646" s="2" t="s">
        <v>39</v>
      </c>
      <c r="B3646" s="2">
        <v>2004</v>
      </c>
      <c r="C3646" s="2" t="s">
        <v>22</v>
      </c>
      <c r="D3646" s="2">
        <v>7.1779999999999999</v>
      </c>
      <c r="E3646" s="2">
        <v>12.372999999999999</v>
      </c>
      <c r="P3646" s="3">
        <f>E3646*(VLOOKUP(B3646,Price_data!A$1:B$190,2,FALSE))</f>
        <v>11.286057569533799</v>
      </c>
      <c r="Q3646" s="3">
        <f>G3646*(VLOOKUP(B3646,Price_data!A$1:B$190,2,FALSE))</f>
        <v>0</v>
      </c>
      <c r="R3646" s="3">
        <f>I3646*(VLOOKUP(B3646,Price_data!A$1:B$190,2,FALSE))</f>
        <v>0</v>
      </c>
      <c r="S3646" s="4" t="str">
        <f>(VLOOKUP(B3646,Price_data!A$1:C$190,3,FALSE))</f>
        <v>EEZ</v>
      </c>
      <c r="T3646" s="2" t="str">
        <f>IF(C3646="Total", (VLOOKUP(B3646,Recommended_fish_intake!A$4:D$122,4,FALSE)), "NA")</f>
        <v>NA</v>
      </c>
      <c r="U3646" s="2" t="str">
        <f t="shared" si="379"/>
        <v>NA</v>
      </c>
    </row>
    <row r="3647" spans="1:21" ht="14.25" customHeight="1">
      <c r="A3647" s="2" t="s">
        <v>39</v>
      </c>
      <c r="B3647" s="2">
        <v>2004</v>
      </c>
      <c r="C3647" s="2" t="s">
        <v>23</v>
      </c>
      <c r="D3647" s="2">
        <v>42.695999999999998</v>
      </c>
      <c r="E3647" s="2">
        <v>30.431999999999999</v>
      </c>
      <c r="P3647" s="3">
        <f>E3647*(VLOOKUP(B3647,Price_data!A$1:B$190,2,FALSE))</f>
        <v>27.758611812499201</v>
      </c>
      <c r="Q3647" s="3">
        <f>G3647*(VLOOKUP(B3647,Price_data!A$1:B$190,2,FALSE))</f>
        <v>0</v>
      </c>
      <c r="R3647" s="3">
        <f>I3647*(VLOOKUP(B3647,Price_data!A$1:B$190,2,FALSE))</f>
        <v>0</v>
      </c>
      <c r="S3647" s="4" t="str">
        <f>(VLOOKUP(B3647,Price_data!A$1:C$190,3,FALSE))</f>
        <v>EEZ</v>
      </c>
      <c r="T3647" s="2" t="str">
        <f>IF(C3647="Total", (VLOOKUP(B3647,Recommended_fish_intake!A$4:D$122,4,FALSE)), "NA")</f>
        <v>NA</v>
      </c>
      <c r="U3647" s="2" t="str">
        <f t="shared" si="379"/>
        <v>NA</v>
      </c>
    </row>
    <row r="3648" spans="1:21" ht="14.25" customHeight="1">
      <c r="A3648" s="2" t="s">
        <v>39</v>
      </c>
      <c r="B3648" s="2">
        <v>2004</v>
      </c>
      <c r="C3648" s="2" t="s">
        <v>58</v>
      </c>
      <c r="D3648" s="2">
        <v>7.8079999999999998</v>
      </c>
      <c r="E3648" s="2">
        <v>16.370999999999999</v>
      </c>
      <c r="P3648" s="3">
        <f>E3648*(VLOOKUP(B3648,Price_data!A$1:B$190,2,FALSE))</f>
        <v>14.932841547792599</v>
      </c>
      <c r="Q3648" s="3">
        <f>G3648*(VLOOKUP(B3648,Price_data!A$1:B$190,2,FALSE))</f>
        <v>0</v>
      </c>
      <c r="R3648" s="3">
        <f>I3648*(VLOOKUP(B3648,Price_data!A$1:B$190,2,FALSE))</f>
        <v>0</v>
      </c>
      <c r="S3648" s="4" t="str">
        <f>(VLOOKUP(B3648,Price_data!A$1:C$190,3,FALSE))</f>
        <v>EEZ</v>
      </c>
      <c r="T3648" s="2" t="str">
        <f>IF(C3648="Total", (VLOOKUP(B3648,Recommended_fish_intake!A$4:D$122,4,FALSE)), "NA")</f>
        <v>NA</v>
      </c>
      <c r="U3648" s="2" t="str">
        <f t="shared" si="379"/>
        <v>NA</v>
      </c>
    </row>
    <row r="3649" spans="1:21" ht="14.25" customHeight="1">
      <c r="A3649" s="2" t="s">
        <v>39</v>
      </c>
      <c r="B3649" s="2">
        <v>2004</v>
      </c>
      <c r="C3649" s="2" t="s">
        <v>24</v>
      </c>
      <c r="D3649" s="2">
        <v>5.4720000000000004</v>
      </c>
      <c r="E3649" s="2">
        <v>3.9569999999999999</v>
      </c>
      <c r="P3649" s="3">
        <f>E3649*(VLOOKUP(B3649,Price_data!A$1:B$190,2,FALSE))</f>
        <v>3.6093857433642</v>
      </c>
      <c r="Q3649" s="3">
        <f>G3649*(VLOOKUP(B3649,Price_data!A$1:B$190,2,FALSE))</f>
        <v>0</v>
      </c>
      <c r="R3649" s="3">
        <f>I3649*(VLOOKUP(B3649,Price_data!A$1:B$190,2,FALSE))</f>
        <v>0</v>
      </c>
      <c r="S3649" s="4" t="str">
        <f>(VLOOKUP(B3649,Price_data!A$1:C$190,3,FALSE))</f>
        <v>EEZ</v>
      </c>
      <c r="T3649" s="2" t="str">
        <f>IF(C3649="Total", (VLOOKUP(B3649,Recommended_fish_intake!A$4:D$122,4,FALSE)), "NA")</f>
        <v>NA</v>
      </c>
      <c r="U3649" s="2" t="str">
        <f t="shared" si="379"/>
        <v>NA</v>
      </c>
    </row>
    <row r="3650" spans="1:21" ht="14.25" customHeight="1">
      <c r="A3650" s="2" t="s">
        <v>39</v>
      </c>
      <c r="B3650" s="2">
        <v>2004</v>
      </c>
      <c r="C3650" s="2" t="s">
        <v>41</v>
      </c>
      <c r="D3650" s="2">
        <v>93.174000000000007</v>
      </c>
      <c r="E3650" s="2">
        <v>98.120999999999995</v>
      </c>
      <c r="P3650" s="3">
        <f>E3650*(VLOOKUP(B3650,Price_data!A$1:B$190,2,FALSE))</f>
        <v>89.501273319342602</v>
      </c>
      <c r="Q3650" s="3">
        <f>G3650*(VLOOKUP(B3650,Price_data!A$1:B$190,2,FALSE))</f>
        <v>0</v>
      </c>
      <c r="R3650" s="3">
        <f>I3650*(VLOOKUP(B3650,Price_data!A$1:B$190,2,FALSE))</f>
        <v>0</v>
      </c>
      <c r="S3650" s="4" t="str">
        <f>(VLOOKUP(B3650,Price_data!A$1:C$190,3,FALSE))</f>
        <v>EEZ</v>
      </c>
      <c r="T3650" s="2" t="str">
        <f>IF(C3650="Total", (VLOOKUP(B3650,Recommended_fish_intake!A$4:D$122,4,FALSE)), "NA")</f>
        <v>NA</v>
      </c>
      <c r="U3650" s="2" t="str">
        <f t="shared" ref="U3650:U3713" si="380">IF(C3650="Wet fish", D3650*0.49, IF(C3650="Shellfish", D3650*0.28, "NA"))</f>
        <v>NA</v>
      </c>
    </row>
    <row r="3651" spans="1:21" ht="14.25" customHeight="1">
      <c r="A3651" s="2" t="s">
        <v>39</v>
      </c>
      <c r="B3651" s="2">
        <v>2004</v>
      </c>
      <c r="C3651" s="2" t="s">
        <v>19</v>
      </c>
      <c r="D3651" s="2">
        <v>53.51</v>
      </c>
      <c r="E3651" s="2">
        <v>6.5190000000000001</v>
      </c>
      <c r="P3651" s="3">
        <f>E3651*(VLOOKUP(B3651,Price_data!A$1:B$190,2,FALSE))</f>
        <v>5.9463193482414001</v>
      </c>
      <c r="Q3651" s="3">
        <f>G3651*(VLOOKUP(B3651,Price_data!A$1:B$190,2,FALSE))</f>
        <v>0</v>
      </c>
      <c r="R3651" s="3">
        <f>I3651*(VLOOKUP(B3651,Price_data!A$1:B$190,2,FALSE))</f>
        <v>0</v>
      </c>
      <c r="S3651" s="4" t="str">
        <f>(VLOOKUP(B3651,Price_data!A$1:C$190,3,FALSE))</f>
        <v>EEZ</v>
      </c>
      <c r="T3651" s="2" t="str">
        <f>IF(C3651="Total", (VLOOKUP(B3651,Recommended_fish_intake!A$4:D$122,4,FALSE)), "NA")</f>
        <v>NA</v>
      </c>
      <c r="U3651" s="2" t="str">
        <f t="shared" si="380"/>
        <v>NA</v>
      </c>
    </row>
    <row r="3652" spans="1:21" ht="14.25" customHeight="1">
      <c r="A3652" s="2" t="s">
        <v>39</v>
      </c>
      <c r="B3652" s="2">
        <v>2004</v>
      </c>
      <c r="C3652" s="2" t="s">
        <v>20</v>
      </c>
      <c r="D3652" s="2">
        <v>110.75700000000001</v>
      </c>
      <c r="E3652" s="2">
        <v>55.064999999999998</v>
      </c>
      <c r="P3652" s="3">
        <f>E3652*(VLOOKUP(B3652,Price_data!A$1:B$190,2,FALSE))</f>
        <v>50.227653767588997</v>
      </c>
      <c r="Q3652" s="3">
        <f>G3652*(VLOOKUP(B3652,Price_data!A$1:B$190,2,FALSE))</f>
        <v>0</v>
      </c>
      <c r="R3652" s="3">
        <f>I3652*(VLOOKUP(B3652,Price_data!A$1:B$190,2,FALSE))</f>
        <v>0</v>
      </c>
      <c r="S3652" s="4" t="str">
        <f>(VLOOKUP(B3652,Price_data!A$1:C$190,3,FALSE))</f>
        <v>EEZ</v>
      </c>
      <c r="T3652" s="2" t="str">
        <f>IF(C3652="Total", (VLOOKUP(B3652,Recommended_fish_intake!A$4:D$122,4,FALSE)), "NA")</f>
        <v>NA</v>
      </c>
      <c r="U3652" s="2" t="str">
        <f t="shared" si="380"/>
        <v>NA</v>
      </c>
    </row>
    <row r="3653" spans="1:21" ht="14.25" customHeight="1">
      <c r="A3653" s="2" t="s">
        <v>39</v>
      </c>
      <c r="B3653" s="2">
        <v>2004</v>
      </c>
      <c r="C3653" s="2" t="s">
        <v>42</v>
      </c>
      <c r="D3653" s="2">
        <v>191.55500000000001</v>
      </c>
      <c r="E3653" s="2">
        <v>63.189</v>
      </c>
      <c r="P3653" s="3">
        <f>E3653*(VLOOKUP(B3653,Price_data!A$1:B$190,2,FALSE))</f>
        <v>57.637977189143399</v>
      </c>
      <c r="Q3653" s="3">
        <f>G3653*(VLOOKUP(B3653,Price_data!A$1:B$190,2,FALSE))</f>
        <v>0</v>
      </c>
      <c r="R3653" s="3">
        <f>I3653*(VLOOKUP(B3653,Price_data!A$1:B$190,2,FALSE))</f>
        <v>0</v>
      </c>
      <c r="S3653" s="4" t="str">
        <f>(VLOOKUP(B3653,Price_data!A$1:C$190,3,FALSE))</f>
        <v>EEZ</v>
      </c>
      <c r="T3653" s="2" t="str">
        <f>IF(C3653="Total", (VLOOKUP(B3653,Recommended_fish_intake!A$4:D$122,4,FALSE)), "NA")</f>
        <v>NA</v>
      </c>
      <c r="U3653" s="2" t="str">
        <f t="shared" si="380"/>
        <v>NA</v>
      </c>
    </row>
    <row r="3654" spans="1:21" ht="14.25" customHeight="1">
      <c r="A3654" s="2" t="s">
        <v>39</v>
      </c>
      <c r="B3654" s="2">
        <v>2004</v>
      </c>
      <c r="C3654" s="2" t="s">
        <v>36</v>
      </c>
      <c r="D3654" s="2">
        <v>9.702</v>
      </c>
      <c r="E3654" s="2">
        <v>10.945</v>
      </c>
      <c r="P3654" s="3">
        <f>E3654*(VLOOKUP(B3654,Price_data!A$1:B$190,2,FALSE))</f>
        <v>9.9835044127170001</v>
      </c>
      <c r="Q3654" s="3">
        <f>G3654*(VLOOKUP(B3654,Price_data!A$1:B$190,2,FALSE))</f>
        <v>0</v>
      </c>
      <c r="R3654" s="3">
        <f>I3654*(VLOOKUP(B3654,Price_data!A$1:B$190,2,FALSE))</f>
        <v>0</v>
      </c>
      <c r="S3654" s="4" t="str">
        <f>(VLOOKUP(B3654,Price_data!A$1:C$190,3,FALSE))</f>
        <v>EEZ</v>
      </c>
      <c r="T3654" s="2" t="str">
        <f>IF(C3654="Total", (VLOOKUP(B3654,Recommended_fish_intake!A$4:D$122,4,FALSE)), "NA")</f>
        <v>NA</v>
      </c>
      <c r="U3654" s="2" t="str">
        <f t="shared" si="380"/>
        <v>NA</v>
      </c>
    </row>
    <row r="3655" spans="1:21" ht="14.25" customHeight="1">
      <c r="A3655" s="2" t="s">
        <v>39</v>
      </c>
      <c r="B3655" s="2">
        <v>2004</v>
      </c>
      <c r="C3655" s="2" t="s">
        <v>34</v>
      </c>
      <c r="D3655" s="2">
        <v>0.42599999999999999</v>
      </c>
      <c r="E3655" s="2">
        <v>4.3860000000000001</v>
      </c>
      <c r="P3655" s="3">
        <f>E3655*(VLOOKUP(B3655,Price_data!A$1:B$190,2,FALSE))</f>
        <v>4.0006989816515999</v>
      </c>
      <c r="Q3655" s="3">
        <f>G3655*(VLOOKUP(B3655,Price_data!A$1:B$190,2,FALSE))</f>
        <v>0</v>
      </c>
      <c r="R3655" s="3">
        <f>I3655*(VLOOKUP(B3655,Price_data!A$1:B$190,2,FALSE))</f>
        <v>0</v>
      </c>
      <c r="S3655" s="4" t="str">
        <f>(VLOOKUP(B3655,Price_data!A$1:C$190,3,FALSE))</f>
        <v>EEZ</v>
      </c>
      <c r="T3655" s="2" t="str">
        <f>IF(C3655="Total", (VLOOKUP(B3655,Recommended_fish_intake!A$4:D$122,4,FALSE)), "NA")</f>
        <v>NA</v>
      </c>
      <c r="U3655" s="2" t="str">
        <f t="shared" si="380"/>
        <v>NA</v>
      </c>
    </row>
    <row r="3656" spans="1:21" ht="14.25" customHeight="1">
      <c r="A3656" s="2" t="s">
        <v>39</v>
      </c>
      <c r="B3656" s="2">
        <v>2004</v>
      </c>
      <c r="C3656" s="2" t="s">
        <v>35</v>
      </c>
      <c r="D3656" s="2">
        <v>22.920999999999999</v>
      </c>
      <c r="E3656" s="2">
        <v>57.209000000000003</v>
      </c>
      <c r="P3656" s="3">
        <f>E3656*(VLOOKUP(B3656,Price_data!A$1:B$190,2,FALSE))</f>
        <v>52.183307806955405</v>
      </c>
      <c r="Q3656" s="3">
        <f>G3656*(VLOOKUP(B3656,Price_data!A$1:B$190,2,FALSE))</f>
        <v>0</v>
      </c>
      <c r="R3656" s="3">
        <f>I3656*(VLOOKUP(B3656,Price_data!A$1:B$190,2,FALSE))</f>
        <v>0</v>
      </c>
      <c r="S3656" s="4" t="str">
        <f>(VLOOKUP(B3656,Price_data!A$1:C$190,3,FALSE))</f>
        <v>EEZ</v>
      </c>
      <c r="T3656" s="2" t="str">
        <f>IF(C3656="Total", (VLOOKUP(B3656,Recommended_fish_intake!A$4:D$122,4,FALSE)), "NA")</f>
        <v>NA</v>
      </c>
      <c r="U3656" s="2" t="str">
        <f t="shared" si="380"/>
        <v>NA</v>
      </c>
    </row>
    <row r="3657" spans="1:21" ht="14.25" customHeight="1">
      <c r="A3657" s="2" t="s">
        <v>39</v>
      </c>
      <c r="B3657" s="2">
        <v>2004</v>
      </c>
      <c r="C3657" s="2" t="s">
        <v>52</v>
      </c>
      <c r="D3657" s="2">
        <v>13.948</v>
      </c>
      <c r="E3657" s="2">
        <v>19.445</v>
      </c>
      <c r="P3657" s="3">
        <f>E3657*(VLOOKUP(B3657,Price_data!A$1:B$190,2,FALSE))</f>
        <v>17.736797012817</v>
      </c>
      <c r="Q3657" s="3">
        <f>G3657*(VLOOKUP(B3657,Price_data!A$1:B$190,2,FALSE))</f>
        <v>0</v>
      </c>
      <c r="R3657" s="3">
        <f>I3657*(VLOOKUP(B3657,Price_data!A$1:B$190,2,FALSE))</f>
        <v>0</v>
      </c>
      <c r="S3657" s="4" t="str">
        <f>(VLOOKUP(B3657,Price_data!A$1:C$190,3,FALSE))</f>
        <v>EEZ</v>
      </c>
      <c r="T3657" s="2" t="str">
        <f>IF(C3657="Total", (VLOOKUP(B3657,Recommended_fish_intake!A$4:D$122,4,FALSE)), "NA")</f>
        <v>NA</v>
      </c>
      <c r="U3657" s="2" t="str">
        <f t="shared" si="380"/>
        <v>NA</v>
      </c>
    </row>
    <row r="3658" spans="1:21" ht="14.25" customHeight="1">
      <c r="A3658" s="2" t="s">
        <v>39</v>
      </c>
      <c r="B3658" s="2">
        <v>2004</v>
      </c>
      <c r="C3658" s="2" t="s">
        <v>30</v>
      </c>
      <c r="D3658" s="2">
        <v>0</v>
      </c>
      <c r="E3658" s="2">
        <v>2E-3</v>
      </c>
      <c r="P3658" s="3">
        <f>E3658*(VLOOKUP(B3658,Price_data!A$1:B$190,2,FALSE))</f>
        <v>1.8243041412000002E-3</v>
      </c>
      <c r="Q3658" s="3">
        <f>G3658*(VLOOKUP(B3658,Price_data!A$1:B$190,2,FALSE))</f>
        <v>0</v>
      </c>
      <c r="R3658" s="3">
        <f>I3658*(VLOOKUP(B3658,Price_data!A$1:B$190,2,FALSE))</f>
        <v>0</v>
      </c>
      <c r="S3658" s="4" t="str">
        <f>(VLOOKUP(B3658,Price_data!A$1:C$190,3,FALSE))</f>
        <v>EEZ</v>
      </c>
      <c r="T3658" s="2" t="str">
        <f>IF(C3658="Total", (VLOOKUP(B3658,Recommended_fish_intake!A$4:D$122,4,FALSE)), "NA")</f>
        <v>NA</v>
      </c>
      <c r="U3658" s="2" t="str">
        <f t="shared" si="380"/>
        <v>NA</v>
      </c>
    </row>
    <row r="3659" spans="1:21" ht="14.25" customHeight="1">
      <c r="A3659" s="2" t="s">
        <v>39</v>
      </c>
      <c r="B3659" s="2">
        <v>2004</v>
      </c>
      <c r="C3659" s="2" t="s">
        <v>28</v>
      </c>
      <c r="D3659" s="2">
        <v>52.515999999999998</v>
      </c>
      <c r="E3659" s="2">
        <v>99.191000000000003</v>
      </c>
      <c r="P3659" s="3">
        <f>E3659*(VLOOKUP(B3659,Price_data!A$1:B$190,2,FALSE))</f>
        <v>90.477276034884611</v>
      </c>
      <c r="Q3659" s="3">
        <f>G3659*(VLOOKUP(B3659,Price_data!A$1:B$190,2,FALSE))</f>
        <v>0</v>
      </c>
      <c r="R3659" s="3">
        <f>I3659*(VLOOKUP(B3659,Price_data!A$1:B$190,2,FALSE))</f>
        <v>0</v>
      </c>
      <c r="S3659" s="4" t="str">
        <f>(VLOOKUP(B3659,Price_data!A$1:C$190,3,FALSE))</f>
        <v>EEZ</v>
      </c>
      <c r="T3659" s="2" t="str">
        <f>IF(C3659="Total", (VLOOKUP(B3659,Recommended_fish_intake!A$4:D$122,4,FALSE)), "NA")</f>
        <v>NA</v>
      </c>
      <c r="U3659" s="2">
        <f t="shared" si="380"/>
        <v>14.70448</v>
      </c>
    </row>
    <row r="3660" spans="1:21" ht="14.25" customHeight="1">
      <c r="A3660" s="2" t="s">
        <v>40</v>
      </c>
      <c r="B3660" s="2">
        <v>2004</v>
      </c>
      <c r="C3660" s="2" t="s">
        <v>22</v>
      </c>
      <c r="D3660" s="2">
        <v>0.58299999999999996</v>
      </c>
      <c r="E3660" s="2">
        <v>1.1160000000000001</v>
      </c>
      <c r="P3660" s="3">
        <f>E3660*(VLOOKUP(B3660,Price_data!A$1:B$190,2,FALSE))</f>
        <v>1.0179617107896002</v>
      </c>
      <c r="Q3660" s="3">
        <f>G3660*(VLOOKUP(B3660,Price_data!A$1:B$190,2,FALSE))</f>
        <v>0</v>
      </c>
      <c r="R3660" s="3">
        <f>I3660*(VLOOKUP(B3660,Price_data!A$1:B$190,2,FALSE))</f>
        <v>0</v>
      </c>
      <c r="S3660" s="4" t="str">
        <f>(VLOOKUP(B3660,Price_data!A$1:C$190,3,FALSE))</f>
        <v>EEZ</v>
      </c>
      <c r="T3660" s="2" t="str">
        <f>IF(C3660="Total", (VLOOKUP(B3660,Recommended_fish_intake!A$4:D$122,4,FALSE)), "NA")</f>
        <v>NA</v>
      </c>
      <c r="U3660" s="2" t="str">
        <f t="shared" si="380"/>
        <v>NA</v>
      </c>
    </row>
    <row r="3661" spans="1:21" ht="14.25" customHeight="1">
      <c r="A3661" s="2" t="s">
        <v>40</v>
      </c>
      <c r="B3661" s="2">
        <v>2004</v>
      </c>
      <c r="C3661" s="2" t="s">
        <v>23</v>
      </c>
      <c r="D3661" s="2">
        <v>0.46100000000000002</v>
      </c>
      <c r="E3661" s="2">
        <v>0.5</v>
      </c>
      <c r="P3661" s="3">
        <f>E3661*(VLOOKUP(B3661,Price_data!A$1:B$190,2,FALSE))</f>
        <v>0.45607603530000002</v>
      </c>
      <c r="Q3661" s="3">
        <f>G3661*(VLOOKUP(B3661,Price_data!A$1:B$190,2,FALSE))</f>
        <v>0</v>
      </c>
      <c r="R3661" s="3">
        <f>I3661*(VLOOKUP(B3661,Price_data!A$1:B$190,2,FALSE))</f>
        <v>0</v>
      </c>
      <c r="S3661" s="4" t="str">
        <f>(VLOOKUP(B3661,Price_data!A$1:C$190,3,FALSE))</f>
        <v>EEZ</v>
      </c>
      <c r="T3661" s="2" t="str">
        <f>IF(C3661="Total", (VLOOKUP(B3661,Recommended_fish_intake!A$4:D$122,4,FALSE)), "NA")</f>
        <v>NA</v>
      </c>
      <c r="U3661" s="2" t="str">
        <f t="shared" si="380"/>
        <v>NA</v>
      </c>
    </row>
    <row r="3662" spans="1:21" ht="14.25" customHeight="1">
      <c r="A3662" s="2" t="s">
        <v>40</v>
      </c>
      <c r="B3662" s="2">
        <v>2004</v>
      </c>
      <c r="C3662" s="2" t="s">
        <v>58</v>
      </c>
      <c r="D3662" s="2">
        <v>0.19700000000000001</v>
      </c>
      <c r="E3662" s="2">
        <v>0.33600000000000002</v>
      </c>
      <c r="P3662" s="3">
        <f>E3662*(VLOOKUP(B3662,Price_data!A$1:B$190,2,FALSE))</f>
        <v>0.30648309572160004</v>
      </c>
      <c r="Q3662" s="3">
        <f>G3662*(VLOOKUP(B3662,Price_data!A$1:B$190,2,FALSE))</f>
        <v>0</v>
      </c>
      <c r="R3662" s="3">
        <f>I3662*(VLOOKUP(B3662,Price_data!A$1:B$190,2,FALSE))</f>
        <v>0</v>
      </c>
      <c r="S3662" s="4" t="str">
        <f>(VLOOKUP(B3662,Price_data!A$1:C$190,3,FALSE))</f>
        <v>EEZ</v>
      </c>
      <c r="T3662" s="2" t="str">
        <f>IF(C3662="Total", (VLOOKUP(B3662,Recommended_fish_intake!A$4:D$122,4,FALSE)), "NA")</f>
        <v>NA</v>
      </c>
      <c r="U3662" s="2" t="str">
        <f t="shared" si="380"/>
        <v>NA</v>
      </c>
    </row>
    <row r="3663" spans="1:21" ht="14.25" customHeight="1">
      <c r="A3663" s="2" t="s">
        <v>40</v>
      </c>
      <c r="B3663" s="2">
        <v>2004</v>
      </c>
      <c r="C3663" s="2" t="s">
        <v>24</v>
      </c>
      <c r="D3663" s="2">
        <v>9.4E-2</v>
      </c>
      <c r="E3663" s="2">
        <v>4.9000000000000002E-2</v>
      </c>
      <c r="P3663" s="3">
        <f>E3663*(VLOOKUP(B3663,Price_data!A$1:B$190,2,FALSE))</f>
        <v>4.4695451459400001E-2</v>
      </c>
      <c r="Q3663" s="3">
        <f>G3663*(VLOOKUP(B3663,Price_data!A$1:B$190,2,FALSE))</f>
        <v>0</v>
      </c>
      <c r="R3663" s="3">
        <f>I3663*(VLOOKUP(B3663,Price_data!A$1:B$190,2,FALSE))</f>
        <v>0</v>
      </c>
      <c r="S3663" s="4" t="str">
        <f>(VLOOKUP(B3663,Price_data!A$1:C$190,3,FALSE))</f>
        <v>EEZ</v>
      </c>
      <c r="T3663" s="2" t="str">
        <f>IF(C3663="Total", (VLOOKUP(B3663,Recommended_fish_intake!A$4:D$122,4,FALSE)), "NA")</f>
        <v>NA</v>
      </c>
      <c r="U3663" s="2" t="str">
        <f t="shared" si="380"/>
        <v>NA</v>
      </c>
    </row>
    <row r="3664" spans="1:21" ht="14.25" customHeight="1">
      <c r="A3664" s="2" t="s">
        <v>40</v>
      </c>
      <c r="B3664" s="2">
        <v>2004</v>
      </c>
      <c r="C3664" s="2" t="s">
        <v>41</v>
      </c>
      <c r="D3664" s="2">
        <v>3.859</v>
      </c>
      <c r="E3664" s="2">
        <v>4.8019999999999996</v>
      </c>
      <c r="P3664" s="3">
        <f>E3664*(VLOOKUP(B3664,Price_data!A$1:B$190,2,FALSE))</f>
        <v>4.3801542430211997</v>
      </c>
      <c r="Q3664" s="3">
        <f>G3664*(VLOOKUP(B3664,Price_data!A$1:B$190,2,FALSE))</f>
        <v>0</v>
      </c>
      <c r="R3664" s="3">
        <f>I3664*(VLOOKUP(B3664,Price_data!A$1:B$190,2,FALSE))</f>
        <v>0</v>
      </c>
      <c r="S3664" s="4" t="str">
        <f>(VLOOKUP(B3664,Price_data!A$1:C$190,3,FALSE))</f>
        <v>EEZ</v>
      </c>
      <c r="T3664" s="2" t="str">
        <f>IF(C3664="Total", (VLOOKUP(B3664,Recommended_fish_intake!A$4:D$122,4,FALSE)), "NA")</f>
        <v>NA</v>
      </c>
      <c r="U3664" s="2" t="str">
        <f t="shared" si="380"/>
        <v>NA</v>
      </c>
    </row>
    <row r="3665" spans="1:21" ht="14.25" customHeight="1">
      <c r="A3665" s="2" t="s">
        <v>40</v>
      </c>
      <c r="B3665" s="2">
        <v>2004</v>
      </c>
      <c r="C3665" s="2" t="s">
        <v>19</v>
      </c>
      <c r="D3665" s="2">
        <v>1.772</v>
      </c>
      <c r="E3665" s="2">
        <v>0.17799999999999999</v>
      </c>
      <c r="P3665" s="3">
        <f>E3665*(VLOOKUP(B3665,Price_data!A$1:B$190,2,FALSE))</f>
        <v>0.1623630685668</v>
      </c>
      <c r="Q3665" s="3">
        <f>G3665*(VLOOKUP(B3665,Price_data!A$1:B$190,2,FALSE))</f>
        <v>0</v>
      </c>
      <c r="R3665" s="3">
        <f>I3665*(VLOOKUP(B3665,Price_data!A$1:B$190,2,FALSE))</f>
        <v>0</v>
      </c>
      <c r="S3665" s="4" t="str">
        <f>(VLOOKUP(B3665,Price_data!A$1:C$190,3,FALSE))</f>
        <v>EEZ</v>
      </c>
      <c r="T3665" s="2" t="str">
        <f>IF(C3665="Total", (VLOOKUP(B3665,Recommended_fish_intake!A$4:D$122,4,FALSE)), "NA")</f>
        <v>NA</v>
      </c>
      <c r="U3665" s="2" t="str">
        <f t="shared" si="380"/>
        <v>NA</v>
      </c>
    </row>
    <row r="3666" spans="1:21" ht="14.25" customHeight="1">
      <c r="A3666" s="2" t="s">
        <v>40</v>
      </c>
      <c r="B3666" s="2">
        <v>2004</v>
      </c>
      <c r="C3666" s="2" t="s">
        <v>20</v>
      </c>
      <c r="D3666" s="2">
        <v>1.1259999999999999</v>
      </c>
      <c r="E3666" s="2">
        <v>0.39700000000000002</v>
      </c>
      <c r="P3666" s="3">
        <f>E3666*(VLOOKUP(B3666,Price_data!A$1:B$190,2,FALSE))</f>
        <v>0.36212437202820003</v>
      </c>
      <c r="Q3666" s="3">
        <f>G3666*(VLOOKUP(B3666,Price_data!A$1:B$190,2,FALSE))</f>
        <v>0</v>
      </c>
      <c r="R3666" s="3">
        <f>I3666*(VLOOKUP(B3666,Price_data!A$1:B$190,2,FALSE))</f>
        <v>0</v>
      </c>
      <c r="S3666" s="4" t="str">
        <f>(VLOOKUP(B3666,Price_data!A$1:C$190,3,FALSE))</f>
        <v>EEZ</v>
      </c>
      <c r="T3666" s="2" t="str">
        <f>IF(C3666="Total", (VLOOKUP(B3666,Recommended_fish_intake!A$4:D$122,4,FALSE)), "NA")</f>
        <v>NA</v>
      </c>
      <c r="U3666" s="2" t="str">
        <f t="shared" si="380"/>
        <v>NA</v>
      </c>
    </row>
    <row r="3667" spans="1:21" ht="14.25" customHeight="1">
      <c r="A3667" s="2" t="s">
        <v>40</v>
      </c>
      <c r="B3667" s="2">
        <v>2004</v>
      </c>
      <c r="C3667" s="2" t="s">
        <v>42</v>
      </c>
      <c r="D3667" s="2">
        <v>3.637</v>
      </c>
      <c r="E3667" s="2">
        <v>0.65100000000000002</v>
      </c>
      <c r="P3667" s="3">
        <f>E3667*(VLOOKUP(B3667,Price_data!A$1:B$190,2,FALSE))</f>
        <v>0.5938109979606</v>
      </c>
      <c r="Q3667" s="3">
        <f>G3667*(VLOOKUP(B3667,Price_data!A$1:B$190,2,FALSE))</f>
        <v>0</v>
      </c>
      <c r="R3667" s="3">
        <f>I3667*(VLOOKUP(B3667,Price_data!A$1:B$190,2,FALSE))</f>
        <v>0</v>
      </c>
      <c r="S3667" s="4" t="str">
        <f>(VLOOKUP(B3667,Price_data!A$1:C$190,3,FALSE))</f>
        <v>EEZ</v>
      </c>
      <c r="T3667" s="2" t="str">
        <f>IF(C3667="Total", (VLOOKUP(B3667,Recommended_fish_intake!A$4:D$122,4,FALSE)), "NA")</f>
        <v>NA</v>
      </c>
      <c r="U3667" s="2" t="str">
        <f t="shared" si="380"/>
        <v>NA</v>
      </c>
    </row>
    <row r="3668" spans="1:21" ht="14.25" customHeight="1">
      <c r="A3668" s="2" t="s">
        <v>40</v>
      </c>
      <c r="B3668" s="2">
        <v>2004</v>
      </c>
      <c r="C3668" s="2" t="s">
        <v>36</v>
      </c>
      <c r="D3668" s="2">
        <v>0.499</v>
      </c>
      <c r="E3668" s="2">
        <v>0.38800000000000001</v>
      </c>
      <c r="P3668" s="3">
        <f>E3668*(VLOOKUP(B3668,Price_data!A$1:B$190,2,FALSE))</f>
        <v>0.35391500339280002</v>
      </c>
      <c r="Q3668" s="3">
        <f>G3668*(VLOOKUP(B3668,Price_data!A$1:B$190,2,FALSE))</f>
        <v>0</v>
      </c>
      <c r="R3668" s="3">
        <f>I3668*(VLOOKUP(B3668,Price_data!A$1:B$190,2,FALSE))</f>
        <v>0</v>
      </c>
      <c r="S3668" s="4" t="str">
        <f>(VLOOKUP(B3668,Price_data!A$1:C$190,3,FALSE))</f>
        <v>EEZ</v>
      </c>
      <c r="T3668" s="2" t="str">
        <f>IF(C3668="Total", (VLOOKUP(B3668,Recommended_fish_intake!A$4:D$122,4,FALSE)), "NA")</f>
        <v>NA</v>
      </c>
      <c r="U3668" s="2" t="str">
        <f t="shared" si="380"/>
        <v>NA</v>
      </c>
    </row>
    <row r="3669" spans="1:21" ht="14.25" customHeight="1">
      <c r="A3669" s="2" t="s">
        <v>40</v>
      </c>
      <c r="B3669" s="2">
        <v>2004</v>
      </c>
      <c r="C3669" s="2" t="s">
        <v>34</v>
      </c>
      <c r="D3669" s="2">
        <v>2.1999999999999999E-2</v>
      </c>
      <c r="E3669" s="2">
        <v>0.23699999999999999</v>
      </c>
      <c r="P3669" s="3">
        <f>E3669*(VLOOKUP(B3669,Price_data!A$1:B$190,2,FALSE))</f>
        <v>0.21618004073219999</v>
      </c>
      <c r="Q3669" s="3">
        <f>G3669*(VLOOKUP(B3669,Price_data!A$1:B$190,2,FALSE))</f>
        <v>0</v>
      </c>
      <c r="R3669" s="3">
        <f>I3669*(VLOOKUP(B3669,Price_data!A$1:B$190,2,FALSE))</f>
        <v>0</v>
      </c>
      <c r="S3669" s="4" t="str">
        <f>(VLOOKUP(B3669,Price_data!A$1:C$190,3,FALSE))</f>
        <v>EEZ</v>
      </c>
      <c r="T3669" s="2" t="str">
        <f>IF(C3669="Total", (VLOOKUP(B3669,Recommended_fish_intake!A$4:D$122,4,FALSE)), "NA")</f>
        <v>NA</v>
      </c>
      <c r="U3669" s="2" t="str">
        <f t="shared" si="380"/>
        <v>NA</v>
      </c>
    </row>
    <row r="3670" spans="1:21" ht="14.25" customHeight="1">
      <c r="A3670" s="2" t="s">
        <v>40</v>
      </c>
      <c r="B3670" s="2">
        <v>2004</v>
      </c>
      <c r="C3670" s="2" t="s">
        <v>35</v>
      </c>
      <c r="D3670" s="2">
        <v>4.6769999999999996</v>
      </c>
      <c r="E3670" s="2">
        <v>7.2110000000000003</v>
      </c>
      <c r="P3670" s="3">
        <f>E3670*(VLOOKUP(B3670,Price_data!A$1:B$190,2,FALSE))</f>
        <v>6.5775285810966002</v>
      </c>
      <c r="Q3670" s="3">
        <f>G3670*(VLOOKUP(B3670,Price_data!A$1:B$190,2,FALSE))</f>
        <v>0</v>
      </c>
      <c r="R3670" s="3">
        <f>I3670*(VLOOKUP(B3670,Price_data!A$1:B$190,2,FALSE))</f>
        <v>0</v>
      </c>
      <c r="S3670" s="4" t="str">
        <f>(VLOOKUP(B3670,Price_data!A$1:C$190,3,FALSE))</f>
        <v>EEZ</v>
      </c>
      <c r="T3670" s="2" t="str">
        <f>IF(C3670="Total", (VLOOKUP(B3670,Recommended_fish_intake!A$4:D$122,4,FALSE)), "NA")</f>
        <v>NA</v>
      </c>
      <c r="U3670" s="2" t="str">
        <f t="shared" si="380"/>
        <v>NA</v>
      </c>
    </row>
    <row r="3671" spans="1:21" ht="14.25" customHeight="1">
      <c r="A3671" s="2" t="s">
        <v>40</v>
      </c>
      <c r="B3671" s="2">
        <v>2004</v>
      </c>
      <c r="C3671" s="2" t="s">
        <v>52</v>
      </c>
      <c r="D3671" s="2">
        <v>0.86699999999999999</v>
      </c>
      <c r="E3671" s="2">
        <v>0.88</v>
      </c>
      <c r="P3671" s="3">
        <f>E3671*(VLOOKUP(B3671,Price_data!A$1:B$190,2,FALSE))</f>
        <v>0.802693822128</v>
      </c>
      <c r="Q3671" s="3">
        <f>G3671*(VLOOKUP(B3671,Price_data!A$1:B$190,2,FALSE))</f>
        <v>0</v>
      </c>
      <c r="R3671" s="3">
        <f>I3671*(VLOOKUP(B3671,Price_data!A$1:B$190,2,FALSE))</f>
        <v>0</v>
      </c>
      <c r="S3671" s="4" t="str">
        <f>(VLOOKUP(B3671,Price_data!A$1:C$190,3,FALSE))</f>
        <v>EEZ</v>
      </c>
      <c r="T3671" s="2" t="str">
        <f>IF(C3671="Total", (VLOOKUP(B3671,Recommended_fish_intake!A$4:D$122,4,FALSE)), "NA")</f>
        <v>NA</v>
      </c>
      <c r="U3671" s="2" t="str">
        <f t="shared" si="380"/>
        <v>NA</v>
      </c>
    </row>
    <row r="3672" spans="1:21" ht="14.25" customHeight="1">
      <c r="A3672" s="2" t="s">
        <v>40</v>
      </c>
      <c r="B3672" s="2">
        <v>2004</v>
      </c>
      <c r="C3672" s="2" t="s">
        <v>30</v>
      </c>
      <c r="D3672" s="2">
        <v>0</v>
      </c>
      <c r="E3672" s="2">
        <v>0</v>
      </c>
      <c r="P3672" s="3">
        <f>E3672*(VLOOKUP(B3672,Price_data!A$1:B$190,2,FALSE))</f>
        <v>0</v>
      </c>
      <c r="Q3672" s="3">
        <f>G3672*(VLOOKUP(B3672,Price_data!A$1:B$190,2,FALSE))</f>
        <v>0</v>
      </c>
      <c r="R3672" s="3">
        <f>I3672*(VLOOKUP(B3672,Price_data!A$1:B$190,2,FALSE))</f>
        <v>0</v>
      </c>
      <c r="S3672" s="4" t="str">
        <f>(VLOOKUP(B3672,Price_data!A$1:C$190,3,FALSE))</f>
        <v>EEZ</v>
      </c>
      <c r="T3672" s="2" t="str">
        <f>IF(C3672="Total", (VLOOKUP(B3672,Recommended_fish_intake!A$4:D$122,4,FALSE)), "NA")</f>
        <v>NA</v>
      </c>
      <c r="U3672" s="2" t="str">
        <f t="shared" si="380"/>
        <v>NA</v>
      </c>
    </row>
    <row r="3673" spans="1:21" ht="14.25" customHeight="1">
      <c r="A3673" s="2" t="s">
        <v>40</v>
      </c>
      <c r="B3673" s="2">
        <v>2004</v>
      </c>
      <c r="C3673" s="2" t="s">
        <v>28</v>
      </c>
      <c r="D3673" s="2">
        <v>6.2679999999999998</v>
      </c>
      <c r="E3673" s="2">
        <v>8.8940000000000001</v>
      </c>
      <c r="P3673" s="3">
        <f>E3673*(VLOOKUP(B3673,Price_data!A$1:B$190,2,FALSE))</f>
        <v>8.1126805159164004</v>
      </c>
      <c r="Q3673" s="3">
        <f>G3673*(VLOOKUP(B3673,Price_data!A$1:B$190,2,FALSE))</f>
        <v>0</v>
      </c>
      <c r="R3673" s="3">
        <f>I3673*(VLOOKUP(B3673,Price_data!A$1:B$190,2,FALSE))</f>
        <v>0</v>
      </c>
      <c r="S3673" s="4" t="str">
        <f>(VLOOKUP(B3673,Price_data!A$1:C$190,3,FALSE))</f>
        <v>EEZ</v>
      </c>
      <c r="T3673" s="2" t="str">
        <f>IF(C3673="Total", (VLOOKUP(B3673,Recommended_fish_intake!A$4:D$122,4,FALSE)), "NA")</f>
        <v>NA</v>
      </c>
      <c r="U3673" s="2">
        <f t="shared" si="380"/>
        <v>1.7550400000000002</v>
      </c>
    </row>
    <row r="3674" spans="1:21" ht="14.25" customHeight="1">
      <c r="A3674" s="2" t="s">
        <v>40</v>
      </c>
      <c r="B3674" s="2">
        <v>2004</v>
      </c>
      <c r="C3674" s="4" t="s">
        <v>37</v>
      </c>
      <c r="D3674" s="3">
        <f>D3546+D3498</f>
        <v>19.917999999999999</v>
      </c>
      <c r="E3674" s="3">
        <f>E3546+E3498</f>
        <v>17.652000000000001</v>
      </c>
      <c r="P3674" s="3">
        <f>E3674*(VLOOKUP(B3674,Price_data!A$1:B$190,2,FALSE))</f>
        <v>16.1013083502312</v>
      </c>
      <c r="Q3674" s="3">
        <f>G3674*(VLOOKUP(B3674,Price_data!A$1:B$190,2,FALSE))</f>
        <v>0</v>
      </c>
      <c r="R3674" s="3">
        <f>I3674*(VLOOKUP(B3674,Price_data!A$1:B$190,2,FALSE))</f>
        <v>0</v>
      </c>
      <c r="S3674" s="4" t="str">
        <f>(VLOOKUP(B3674,Price_data!A$1:C$190,3,FALSE))</f>
        <v>EEZ</v>
      </c>
      <c r="T3674" s="2" t="str">
        <f>IF(C3674="Total", (VLOOKUP(B3674,Recommended_fish_intake!A$4:D$122,4,FALSE)), "NA")</f>
        <v>NA</v>
      </c>
      <c r="U3674" s="2">
        <f t="shared" si="380"/>
        <v>9.7598199999999995</v>
      </c>
    </row>
    <row r="3675" spans="1:21" ht="14.25" customHeight="1">
      <c r="A3675" s="2" t="s">
        <v>39</v>
      </c>
      <c r="B3675" s="2">
        <v>2004</v>
      </c>
      <c r="C3675" s="4" t="s">
        <v>37</v>
      </c>
      <c r="D3675" s="3">
        <f>D3291+D3243</f>
        <v>195.578</v>
      </c>
      <c r="E3675" s="3">
        <f>E3291+E3243</f>
        <v>165.48499999999999</v>
      </c>
      <c r="P3675" s="3">
        <f>E3675*(VLOOKUP(B3675,Price_data!A$1:B$190,2,FALSE))</f>
        <v>150.94748540324099</v>
      </c>
      <c r="Q3675" s="3">
        <f>G3675*(VLOOKUP(B3675,Price_data!A$1:B$190,2,FALSE))</f>
        <v>0</v>
      </c>
      <c r="R3675" s="3">
        <f>I3675*(VLOOKUP(B3675,Price_data!A$1:B$190,2,FALSE))</f>
        <v>0</v>
      </c>
      <c r="S3675" s="4" t="str">
        <f>(VLOOKUP(B3675,Price_data!A$1:C$190,3,FALSE))</f>
        <v>EEZ</v>
      </c>
      <c r="T3675" s="2" t="str">
        <f>IF(C3675="Total", (VLOOKUP(B3675,Recommended_fish_intake!A$4:D$122,4,FALSE)), "NA")</f>
        <v>NA</v>
      </c>
      <c r="U3675" s="2">
        <f t="shared" si="380"/>
        <v>95.833219999999997</v>
      </c>
    </row>
    <row r="3676" spans="1:21" ht="14.25" customHeight="1">
      <c r="A3676" s="2" t="s">
        <v>18</v>
      </c>
      <c r="B3676" s="2">
        <v>2004</v>
      </c>
      <c r="C3676" s="2" t="s">
        <v>22</v>
      </c>
      <c r="D3676" s="3">
        <f t="shared" ref="D3676:E3689" si="381">D2924+D2684</f>
        <v>39.230000000000004</v>
      </c>
      <c r="E3676" s="3">
        <f t="shared" si="381"/>
        <v>59.699000000000005</v>
      </c>
      <c r="P3676" s="3">
        <f>E3676*(VLOOKUP(B3676,Price_data!A$1:B$190,2,FALSE))</f>
        <v>54.454566462749405</v>
      </c>
      <c r="Q3676" s="3">
        <f>G3676*(VLOOKUP(B3676,Price_data!A$1:B$190,2,FALSE))</f>
        <v>0</v>
      </c>
      <c r="R3676" s="3">
        <f>I3676*(VLOOKUP(B3676,Price_data!A$1:B$190,2,FALSE))</f>
        <v>0</v>
      </c>
      <c r="S3676" s="4" t="str">
        <f>(VLOOKUP(B3676,Price_data!A$1:C$190,3,FALSE))</f>
        <v>EEZ</v>
      </c>
      <c r="T3676" s="2" t="str">
        <f>IF(C3676="Total", (VLOOKUP(B3676,Recommended_fish_intake!A$4:D$122,4,FALSE)), "NA")</f>
        <v>NA</v>
      </c>
      <c r="U3676" s="2" t="str">
        <f t="shared" si="380"/>
        <v>NA</v>
      </c>
    </row>
    <row r="3677" spans="1:21" ht="14.25" customHeight="1">
      <c r="A3677" s="2" t="s">
        <v>18</v>
      </c>
      <c r="B3677" s="2">
        <v>2004</v>
      </c>
      <c r="C3677" s="2" t="s">
        <v>23</v>
      </c>
      <c r="D3677" s="3">
        <f t="shared" si="381"/>
        <v>40.690999999999995</v>
      </c>
      <c r="E3677" s="3">
        <f t="shared" si="381"/>
        <v>19.32</v>
      </c>
      <c r="P3677" s="3">
        <f>E3677*(VLOOKUP(B3677,Price_data!A$1:B$190,2,FALSE))</f>
        <v>17.622778003992</v>
      </c>
      <c r="Q3677" s="3">
        <f>G3677*(VLOOKUP(B3677,Price_data!A$1:B$190,2,FALSE))</f>
        <v>0</v>
      </c>
      <c r="R3677" s="3">
        <f>I3677*(VLOOKUP(B3677,Price_data!A$1:B$190,2,FALSE))</f>
        <v>0</v>
      </c>
      <c r="S3677" s="4" t="str">
        <f>(VLOOKUP(B3677,Price_data!A$1:C$190,3,FALSE))</f>
        <v>EEZ</v>
      </c>
      <c r="T3677" s="2" t="str">
        <f>IF(C3677="Total", (VLOOKUP(B3677,Recommended_fish_intake!A$4:D$122,4,FALSE)), "NA")</f>
        <v>NA</v>
      </c>
      <c r="U3677" s="2" t="str">
        <f t="shared" si="380"/>
        <v>NA</v>
      </c>
    </row>
    <row r="3678" spans="1:21" ht="14.25" customHeight="1">
      <c r="A3678" s="2" t="s">
        <v>18</v>
      </c>
      <c r="B3678" s="2">
        <v>2004</v>
      </c>
      <c r="C3678" s="2" t="s">
        <v>58</v>
      </c>
      <c r="D3678" s="3">
        <f t="shared" si="381"/>
        <v>73.373000000000005</v>
      </c>
      <c r="E3678" s="3">
        <f t="shared" si="381"/>
        <v>8.8560000000000016</v>
      </c>
      <c r="P3678" s="3">
        <f>E3678*(VLOOKUP(B3678,Price_data!A$1:B$190,2,FALSE))</f>
        <v>8.0780187372336023</v>
      </c>
      <c r="Q3678" s="3">
        <f>G3678*(VLOOKUP(B3678,Price_data!A$1:B$190,2,FALSE))</f>
        <v>0</v>
      </c>
      <c r="R3678" s="3">
        <f>I3678*(VLOOKUP(B3678,Price_data!A$1:B$190,2,FALSE))</f>
        <v>0</v>
      </c>
      <c r="S3678" s="4" t="str">
        <f>(VLOOKUP(B3678,Price_data!A$1:C$190,3,FALSE))</f>
        <v>EEZ</v>
      </c>
      <c r="T3678" s="2" t="str">
        <f>IF(C3678="Total", (VLOOKUP(B3678,Recommended_fish_intake!A$4:D$122,4,FALSE)), "NA")</f>
        <v>NA</v>
      </c>
      <c r="U3678" s="2" t="str">
        <f t="shared" si="380"/>
        <v>NA</v>
      </c>
    </row>
    <row r="3679" spans="1:21" ht="14.25" customHeight="1">
      <c r="A3679" s="2" t="s">
        <v>18</v>
      </c>
      <c r="B3679" s="2">
        <v>2004</v>
      </c>
      <c r="C3679" s="2" t="s">
        <v>24</v>
      </c>
      <c r="D3679" s="3">
        <f t="shared" si="381"/>
        <v>65.429000000000002</v>
      </c>
      <c r="E3679" s="3">
        <f t="shared" si="381"/>
        <v>16.117000000000001</v>
      </c>
      <c r="P3679" s="3">
        <f>E3679*(VLOOKUP(B3679,Price_data!A$1:B$190,2,FALSE))</f>
        <v>14.701154921860201</v>
      </c>
      <c r="Q3679" s="3">
        <f>G3679*(VLOOKUP(B3679,Price_data!A$1:B$190,2,FALSE))</f>
        <v>0</v>
      </c>
      <c r="R3679" s="3">
        <f>I3679*(VLOOKUP(B3679,Price_data!A$1:B$190,2,FALSE))</f>
        <v>0</v>
      </c>
      <c r="S3679" s="4" t="str">
        <f>(VLOOKUP(B3679,Price_data!A$1:C$190,3,FALSE))</f>
        <v>EEZ</v>
      </c>
      <c r="T3679" s="2" t="str">
        <f>IF(C3679="Total", (VLOOKUP(B3679,Recommended_fish_intake!A$4:D$122,4,FALSE)), "NA")</f>
        <v>NA</v>
      </c>
      <c r="U3679" s="2" t="str">
        <f t="shared" si="380"/>
        <v>NA</v>
      </c>
    </row>
    <row r="3680" spans="1:21" ht="14.25" customHeight="1">
      <c r="A3680" s="2" t="s">
        <v>18</v>
      </c>
      <c r="B3680" s="2">
        <v>2004</v>
      </c>
      <c r="C3680" s="2" t="s">
        <v>41</v>
      </c>
      <c r="D3680" s="3">
        <f t="shared" si="381"/>
        <v>7.5330000000000004</v>
      </c>
      <c r="E3680" s="3">
        <f t="shared" si="381"/>
        <v>1.395</v>
      </c>
      <c r="P3680" s="3">
        <f>E3680*(VLOOKUP(B3680,Price_data!A$1:B$190,2,FALSE))</f>
        <v>1.272452138487</v>
      </c>
      <c r="Q3680" s="3">
        <f>G3680*(VLOOKUP(B3680,Price_data!A$1:B$190,2,FALSE))</f>
        <v>0</v>
      </c>
      <c r="R3680" s="3">
        <f>I3680*(VLOOKUP(B3680,Price_data!A$1:B$190,2,FALSE))</f>
        <v>0</v>
      </c>
      <c r="S3680" s="4" t="str">
        <f>(VLOOKUP(B3680,Price_data!A$1:C$190,3,FALSE))</f>
        <v>EEZ</v>
      </c>
      <c r="T3680" s="2" t="str">
        <f>IF(C3680="Total", (VLOOKUP(B3680,Recommended_fish_intake!A$4:D$122,4,FALSE)), "NA")</f>
        <v>NA</v>
      </c>
      <c r="U3680" s="2" t="str">
        <f t="shared" si="380"/>
        <v>NA</v>
      </c>
    </row>
    <row r="3681" spans="1:21" ht="14.25" customHeight="1">
      <c r="A3681" s="2" t="s">
        <v>18</v>
      </c>
      <c r="B3681" s="2">
        <v>2004</v>
      </c>
      <c r="C3681" s="2" t="s">
        <v>19</v>
      </c>
      <c r="D3681" s="3">
        <f t="shared" si="381"/>
        <v>12.5</v>
      </c>
      <c r="E3681" s="3">
        <f t="shared" si="381"/>
        <v>16.129000000000001</v>
      </c>
      <c r="P3681" s="3">
        <f>E3681*(VLOOKUP(B3681,Price_data!A$1:B$190,2,FALSE))</f>
        <v>14.712100746707401</v>
      </c>
      <c r="Q3681" s="3">
        <f>G3681*(VLOOKUP(B3681,Price_data!A$1:B$190,2,FALSE))</f>
        <v>0</v>
      </c>
      <c r="R3681" s="3">
        <f>I3681*(VLOOKUP(B3681,Price_data!A$1:B$190,2,FALSE))</f>
        <v>0</v>
      </c>
      <c r="S3681" s="4" t="str">
        <f>(VLOOKUP(B3681,Price_data!A$1:C$190,3,FALSE))</f>
        <v>EEZ</v>
      </c>
      <c r="T3681" s="2" t="str">
        <f>IF(C3681="Total", (VLOOKUP(B3681,Recommended_fish_intake!A$4:D$122,4,FALSE)), "NA")</f>
        <v>NA</v>
      </c>
      <c r="U3681" s="2" t="str">
        <f t="shared" si="380"/>
        <v>NA</v>
      </c>
    </row>
    <row r="3682" spans="1:21" ht="14.25" customHeight="1">
      <c r="A3682" s="2" t="s">
        <v>18</v>
      </c>
      <c r="B3682" s="2">
        <v>2004</v>
      </c>
      <c r="C3682" s="2" t="s">
        <v>20</v>
      </c>
      <c r="D3682" s="3" t="e">
        <f t="shared" si="381"/>
        <v>#N/A</v>
      </c>
      <c r="E3682" s="3" t="e">
        <f t="shared" si="381"/>
        <v>#N/A</v>
      </c>
      <c r="P3682" s="3" t="e">
        <f>E3682*(VLOOKUP(B3682,Price_data!A$1:B$190,2,FALSE))</f>
        <v>#N/A</v>
      </c>
      <c r="Q3682" s="3">
        <f>G3682*(VLOOKUP(B3682,Price_data!A$1:B$190,2,FALSE))</f>
        <v>0</v>
      </c>
      <c r="R3682" s="3">
        <f>I3682*(VLOOKUP(B3682,Price_data!A$1:B$190,2,FALSE))</f>
        <v>0</v>
      </c>
      <c r="S3682" s="4" t="str">
        <f>(VLOOKUP(B3682,Price_data!A$1:C$190,3,FALSE))</f>
        <v>EEZ</v>
      </c>
      <c r="T3682" s="2" t="str">
        <f>IF(C3682="Total", (VLOOKUP(B3682,Recommended_fish_intake!A$4:D$122,4,FALSE)), "NA")</f>
        <v>NA</v>
      </c>
      <c r="U3682" s="2" t="str">
        <f t="shared" si="380"/>
        <v>NA</v>
      </c>
    </row>
    <row r="3683" spans="1:21" ht="14.25" customHeight="1">
      <c r="A3683" s="2" t="s">
        <v>18</v>
      </c>
      <c r="B3683" s="2">
        <v>2004</v>
      </c>
      <c r="C3683" s="2" t="s">
        <v>42</v>
      </c>
      <c r="D3683" s="3" t="e">
        <f t="shared" si="381"/>
        <v>#N/A</v>
      </c>
      <c r="E3683" s="3" t="e">
        <f t="shared" si="381"/>
        <v>#N/A</v>
      </c>
      <c r="P3683" s="3" t="e">
        <f>E3683*(VLOOKUP(B3683,Price_data!A$1:B$190,2,FALSE))</f>
        <v>#N/A</v>
      </c>
      <c r="Q3683" s="3">
        <f>G3683*(VLOOKUP(B3683,Price_data!A$1:B$190,2,FALSE))</f>
        <v>0</v>
      </c>
      <c r="R3683" s="3">
        <f>I3683*(VLOOKUP(B3683,Price_data!A$1:B$190,2,FALSE))</f>
        <v>0</v>
      </c>
      <c r="S3683" s="4" t="str">
        <f>(VLOOKUP(B3683,Price_data!A$1:C$190,3,FALSE))</f>
        <v>EEZ</v>
      </c>
      <c r="T3683" s="2" t="str">
        <f>IF(C3683="Total", (VLOOKUP(B3683,Recommended_fish_intake!A$4:D$122,4,FALSE)), "NA")</f>
        <v>NA</v>
      </c>
      <c r="U3683" s="2" t="str">
        <f t="shared" si="380"/>
        <v>NA</v>
      </c>
    </row>
    <row r="3684" spans="1:21" ht="14.25" customHeight="1">
      <c r="A3684" s="2" t="s">
        <v>18</v>
      </c>
      <c r="B3684" s="2">
        <v>2004</v>
      </c>
      <c r="C3684" s="2" t="s">
        <v>36</v>
      </c>
      <c r="D3684" s="3">
        <f t="shared" si="381"/>
        <v>31.1</v>
      </c>
      <c r="E3684" s="3">
        <f t="shared" si="381"/>
        <v>28.9</v>
      </c>
      <c r="P3684" s="3">
        <f>E3684*(VLOOKUP(B3684,Price_data!A$1:B$190,2,FALSE))</f>
        <v>26.361194840340001</v>
      </c>
      <c r="Q3684" s="3">
        <f>G3684*(VLOOKUP(B3684,Price_data!A$1:B$190,2,FALSE))</f>
        <v>0</v>
      </c>
      <c r="R3684" s="3">
        <f>I3684*(VLOOKUP(B3684,Price_data!A$1:B$190,2,FALSE))</f>
        <v>0</v>
      </c>
      <c r="S3684" s="4" t="str">
        <f>(VLOOKUP(B3684,Price_data!A$1:C$190,3,FALSE))</f>
        <v>EEZ</v>
      </c>
      <c r="T3684" s="2" t="str">
        <f>IF(C3684="Total", (VLOOKUP(B3684,Recommended_fish_intake!A$4:D$122,4,FALSE)), "NA")</f>
        <v>NA</v>
      </c>
      <c r="U3684" s="2" t="str">
        <f t="shared" si="380"/>
        <v>NA</v>
      </c>
    </row>
    <row r="3685" spans="1:21" ht="14.25" customHeight="1">
      <c r="A3685" s="2" t="s">
        <v>18</v>
      </c>
      <c r="B3685" s="2">
        <v>2004</v>
      </c>
      <c r="C3685" s="2" t="s">
        <v>34</v>
      </c>
      <c r="D3685" s="3">
        <f t="shared" si="381"/>
        <v>12.965999999999999</v>
      </c>
      <c r="E3685" s="3">
        <f t="shared" si="381"/>
        <v>12.851000000000001</v>
      </c>
      <c r="P3685" s="3">
        <f>E3685*(VLOOKUP(B3685,Price_data!A$1:B$190,2,FALSE))</f>
        <v>11.7220662592806</v>
      </c>
      <c r="Q3685" s="3">
        <f>G3685*(VLOOKUP(B3685,Price_data!A$1:B$190,2,FALSE))</f>
        <v>0</v>
      </c>
      <c r="R3685" s="3">
        <f>I3685*(VLOOKUP(B3685,Price_data!A$1:B$190,2,FALSE))</f>
        <v>0</v>
      </c>
      <c r="S3685" s="4" t="str">
        <f>(VLOOKUP(B3685,Price_data!A$1:C$190,3,FALSE))</f>
        <v>EEZ</v>
      </c>
      <c r="T3685" s="2" t="str">
        <f>IF(C3685="Total", (VLOOKUP(B3685,Recommended_fish_intake!A$4:D$122,4,FALSE)), "NA")</f>
        <v>NA</v>
      </c>
      <c r="U3685" s="2" t="str">
        <f t="shared" si="380"/>
        <v>NA</v>
      </c>
    </row>
    <row r="3686" spans="1:21" ht="14.25" customHeight="1">
      <c r="A3686" s="2" t="s">
        <v>18</v>
      </c>
      <c r="B3686" s="2">
        <v>2004</v>
      </c>
      <c r="C3686" s="2" t="s">
        <v>35</v>
      </c>
      <c r="D3686" s="3">
        <f t="shared" si="381"/>
        <v>15.8</v>
      </c>
      <c r="E3686" s="3">
        <f t="shared" si="381"/>
        <v>11.2</v>
      </c>
      <c r="P3686" s="3">
        <f>E3686*(VLOOKUP(B3686,Price_data!A$1:B$190,2,FALSE))</f>
        <v>10.21610319072</v>
      </c>
      <c r="Q3686" s="3">
        <f>G3686*(VLOOKUP(B3686,Price_data!A$1:B$190,2,FALSE))</f>
        <v>0</v>
      </c>
      <c r="R3686" s="3">
        <f>I3686*(VLOOKUP(B3686,Price_data!A$1:B$190,2,FALSE))</f>
        <v>0</v>
      </c>
      <c r="S3686" s="4" t="str">
        <f>(VLOOKUP(B3686,Price_data!A$1:C$190,3,FALSE))</f>
        <v>EEZ</v>
      </c>
      <c r="T3686" s="2" t="str">
        <f>IF(C3686="Total", (VLOOKUP(B3686,Recommended_fish_intake!A$4:D$122,4,FALSE)), "NA")</f>
        <v>NA</v>
      </c>
      <c r="U3686" s="2" t="str">
        <f t="shared" si="380"/>
        <v>NA</v>
      </c>
    </row>
    <row r="3687" spans="1:21" ht="14.25" customHeight="1">
      <c r="A3687" s="2" t="s">
        <v>18</v>
      </c>
      <c r="B3687" s="2">
        <v>2004</v>
      </c>
      <c r="C3687" s="2" t="s">
        <v>52</v>
      </c>
      <c r="D3687" s="3">
        <f t="shared" si="381"/>
        <v>59.360000000000007</v>
      </c>
      <c r="E3687" s="3">
        <f t="shared" si="381"/>
        <v>35.064</v>
      </c>
      <c r="P3687" s="3">
        <f>E3687*(VLOOKUP(B3687,Price_data!A$1:B$190,2,FALSE))</f>
        <v>31.983700203518403</v>
      </c>
      <c r="Q3687" s="3">
        <f>G3687*(VLOOKUP(B3687,Price_data!A$1:B$190,2,FALSE))</f>
        <v>0</v>
      </c>
      <c r="R3687" s="3">
        <f>I3687*(VLOOKUP(B3687,Price_data!A$1:B$190,2,FALSE))</f>
        <v>0</v>
      </c>
      <c r="S3687" s="4" t="str">
        <f>(VLOOKUP(B3687,Price_data!A$1:C$190,3,FALSE))</f>
        <v>EEZ</v>
      </c>
      <c r="T3687" s="2" t="str">
        <f>IF(C3687="Total", (VLOOKUP(B3687,Recommended_fish_intake!A$4:D$122,4,FALSE)), "NA")</f>
        <v>NA</v>
      </c>
      <c r="U3687" s="2" t="str">
        <f t="shared" si="380"/>
        <v>NA</v>
      </c>
    </row>
    <row r="3688" spans="1:21" ht="14.25" customHeight="1">
      <c r="A3688" s="2" t="s">
        <v>18</v>
      </c>
      <c r="B3688" s="2">
        <v>2004</v>
      </c>
      <c r="C3688" s="2" t="s">
        <v>30</v>
      </c>
      <c r="D3688" s="3">
        <f t="shared" si="381"/>
        <v>81.909000000000006</v>
      </c>
      <c r="E3688" s="3">
        <f t="shared" si="381"/>
        <v>108.65599999999999</v>
      </c>
      <c r="P3688" s="3">
        <f>E3688*(VLOOKUP(B3688,Price_data!A$1:B$190,2,FALSE))</f>
        <v>99.110795383113597</v>
      </c>
      <c r="Q3688" s="3">
        <f>G3688*(VLOOKUP(B3688,Price_data!A$1:B$190,2,FALSE))</f>
        <v>0</v>
      </c>
      <c r="R3688" s="3">
        <f>I3688*(VLOOKUP(B3688,Price_data!A$1:B$190,2,FALSE))</f>
        <v>0</v>
      </c>
      <c r="S3688" s="4" t="str">
        <f>(VLOOKUP(B3688,Price_data!A$1:C$190,3,FALSE))</f>
        <v>EEZ</v>
      </c>
      <c r="T3688" s="2" t="str">
        <f>IF(C3688="Total", (VLOOKUP(B3688,Recommended_fish_intake!A$4:D$122,4,FALSE)), "NA")</f>
        <v>NA</v>
      </c>
      <c r="U3688" s="2" t="str">
        <f t="shared" si="380"/>
        <v>NA</v>
      </c>
    </row>
    <row r="3689" spans="1:21" ht="14.25" customHeight="1">
      <c r="A3689" s="2" t="s">
        <v>18</v>
      </c>
      <c r="B3689" s="2">
        <v>2004</v>
      </c>
      <c r="C3689" s="2" t="s">
        <v>28</v>
      </c>
      <c r="D3689" s="3">
        <f t="shared" si="381"/>
        <v>63.304000000000002</v>
      </c>
      <c r="E3689" s="3">
        <f t="shared" si="381"/>
        <v>41.756999999999998</v>
      </c>
      <c r="P3689" s="3">
        <f>E3689*(VLOOKUP(B3689,Price_data!A$1:B$190,2,FALSE))</f>
        <v>38.088734012044199</v>
      </c>
      <c r="Q3689" s="3">
        <f>G3689*(VLOOKUP(B3689,Price_data!A$1:B$190,2,FALSE))</f>
        <v>0</v>
      </c>
      <c r="R3689" s="3">
        <f>I3689*(VLOOKUP(B3689,Price_data!A$1:B$190,2,FALSE))</f>
        <v>0</v>
      </c>
      <c r="S3689" s="4" t="str">
        <f>(VLOOKUP(B3689,Price_data!A$1:C$190,3,FALSE))</f>
        <v>EEZ</v>
      </c>
      <c r="T3689" s="2" t="str">
        <f>IF(C3689="Total", (VLOOKUP(B3689,Recommended_fish_intake!A$4:D$122,4,FALSE)), "NA")</f>
        <v>NA</v>
      </c>
      <c r="U3689" s="2">
        <f t="shared" si="380"/>
        <v>17.725120000000004</v>
      </c>
    </row>
    <row r="3690" spans="1:21" ht="14.25" customHeight="1">
      <c r="A3690" s="2" t="s">
        <v>18</v>
      </c>
      <c r="B3690" s="2">
        <v>2004</v>
      </c>
      <c r="C3690" s="2" t="s">
        <v>37</v>
      </c>
      <c r="D3690" s="3">
        <f>D3514+D3562</f>
        <v>13.555</v>
      </c>
      <c r="E3690" s="3">
        <f>E3514+E3562</f>
        <v>28.669</v>
      </c>
      <c r="P3690" s="3">
        <f>E3690*(VLOOKUP(B3690,Price_data!A$1:B$190,2,FALSE))</f>
        <v>26.150487712031403</v>
      </c>
      <c r="Q3690" s="3">
        <f>G3690*(VLOOKUP(B3690,Price_data!A$1:B$190,2,FALSE))</f>
        <v>0</v>
      </c>
      <c r="R3690" s="3">
        <f>I3690*(VLOOKUP(B3690,Price_data!A$1:B$190,2,FALSE))</f>
        <v>0</v>
      </c>
      <c r="S3690" s="4" t="str">
        <f>(VLOOKUP(B3690,Price_data!A$1:C$190,3,FALSE))</f>
        <v>EEZ</v>
      </c>
      <c r="T3690" s="2" t="str">
        <f>IF(C3690="Total", (VLOOKUP(B3690,Recommended_fish_intake!A$4:D$122,4,FALSE)), "NA")</f>
        <v>NA</v>
      </c>
      <c r="U3690" s="2">
        <f t="shared" si="380"/>
        <v>6.6419499999999996</v>
      </c>
    </row>
    <row r="3691" spans="1:21" ht="14.25" customHeight="1">
      <c r="A3691" s="2" t="s">
        <v>90</v>
      </c>
      <c r="B3691" s="2">
        <v>2004</v>
      </c>
      <c r="C3691" s="2" t="s">
        <v>16</v>
      </c>
      <c r="D3691" s="2">
        <v>99.2</v>
      </c>
      <c r="E3691" s="2">
        <v>120.4</v>
      </c>
      <c r="P3691" s="3">
        <f>E3691*(VLOOKUP(B3691,Price_data!A$1:B$190,2,FALSE))</f>
        <v>109.82310930024001</v>
      </c>
      <c r="Q3691" s="3">
        <f>G3691*(VLOOKUP(B3691,Price_data!A$1:B$190,2,FALSE))</f>
        <v>0</v>
      </c>
      <c r="R3691" s="3">
        <f>I3691*(VLOOKUP(B3691,Price_data!A$1:B$190,2,FALSE))</f>
        <v>0</v>
      </c>
      <c r="S3691" s="4" t="str">
        <f>(VLOOKUP(B3691,Price_data!A$1:C$190,3,FALSE))</f>
        <v>EEZ</v>
      </c>
      <c r="T3691" s="2">
        <f>IF(C3691="Total", (VLOOKUP(B3691,Recommended_fish_intake!A$4:D$122,4,FALSE)), "NA")</f>
        <v>795.42713714646004</v>
      </c>
      <c r="U3691" s="2" t="str">
        <f t="shared" si="380"/>
        <v>NA</v>
      </c>
    </row>
    <row r="3692" spans="1:21" ht="14.25" customHeight="1">
      <c r="A3692" s="2" t="s">
        <v>91</v>
      </c>
      <c r="B3692" s="2">
        <v>2004</v>
      </c>
      <c r="C3692" s="2" t="s">
        <v>16</v>
      </c>
      <c r="D3692" s="2">
        <v>11.295</v>
      </c>
      <c r="E3692" s="2">
        <v>10.414</v>
      </c>
      <c r="P3692" s="3">
        <f>E3692*(VLOOKUP(B3692,Price_data!A$1:B$190,2,FALSE))</f>
        <v>9.4991516632283997</v>
      </c>
      <c r="Q3692" s="3">
        <f>G3692*(VLOOKUP(B3692,Price_data!A$1:B$190,2,FALSE))</f>
        <v>0</v>
      </c>
      <c r="R3692" s="3">
        <f>I3692*(VLOOKUP(B3692,Price_data!A$1:B$190,2,FALSE))</f>
        <v>0</v>
      </c>
      <c r="S3692" s="4" t="str">
        <f>(VLOOKUP(B3692,Price_data!A$1:C$190,3,FALSE))</f>
        <v>EEZ</v>
      </c>
      <c r="T3692" s="2">
        <f>IF(C3692="Total", (VLOOKUP(B3692,Recommended_fish_intake!A$4:D$122,4,FALSE)), "NA")</f>
        <v>795.42713714646004</v>
      </c>
      <c r="U3692" s="2" t="str">
        <f t="shared" si="380"/>
        <v>NA</v>
      </c>
    </row>
    <row r="3693" spans="1:21" ht="14.25" customHeight="1">
      <c r="A3693" s="2" t="s">
        <v>39</v>
      </c>
      <c r="B3693" s="2">
        <v>2004</v>
      </c>
      <c r="C3693" s="2" t="s">
        <v>16</v>
      </c>
      <c r="D3693" s="2">
        <v>337.245</v>
      </c>
      <c r="E3693" s="2">
        <v>260.50099999999998</v>
      </c>
      <c r="P3693" s="3">
        <f>E3693*(VLOOKUP(B3693,Price_data!A$1:B$190,2,FALSE))</f>
        <v>237.61652654337058</v>
      </c>
      <c r="Q3693" s="3">
        <f>G3693*(VLOOKUP(B3693,Price_data!A$1:B$190,2,FALSE))</f>
        <v>0</v>
      </c>
      <c r="R3693" s="3">
        <f>I3693*(VLOOKUP(B3693,Price_data!A$1:B$190,2,FALSE))</f>
        <v>0</v>
      </c>
      <c r="S3693" s="4" t="str">
        <f>(VLOOKUP(B3693,Price_data!A$1:C$190,3,FALSE))</f>
        <v>EEZ</v>
      </c>
      <c r="T3693" s="2">
        <f>IF(C3693="Total", (VLOOKUP(B3693,Recommended_fish_intake!A$4:D$122,4,FALSE)), "NA")</f>
        <v>795.42713714646004</v>
      </c>
      <c r="U3693" s="2" t="str">
        <f t="shared" si="380"/>
        <v>NA</v>
      </c>
    </row>
    <row r="3694" spans="1:21" ht="14.25" customHeight="1">
      <c r="A3694" s="2" t="s">
        <v>40</v>
      </c>
      <c r="B3694" s="2">
        <v>2004</v>
      </c>
      <c r="C3694" s="2" t="s">
        <v>16</v>
      </c>
      <c r="D3694" s="2">
        <v>13.765000000000001</v>
      </c>
      <c r="E3694" s="2">
        <v>14.348000000000001</v>
      </c>
      <c r="P3694" s="3">
        <f>E3694*(VLOOKUP(B3694,Price_data!A$1:B$190,2,FALSE))</f>
        <v>13.087557908968801</v>
      </c>
      <c r="Q3694" s="3">
        <f>G3694*(VLOOKUP(B3694,Price_data!A$1:B$190,2,FALSE))</f>
        <v>0</v>
      </c>
      <c r="R3694" s="3">
        <f>I3694*(VLOOKUP(B3694,Price_data!A$1:B$190,2,FALSE))</f>
        <v>0</v>
      </c>
      <c r="S3694" s="4" t="str">
        <f>(VLOOKUP(B3694,Price_data!A$1:C$190,3,FALSE))</f>
        <v>EEZ</v>
      </c>
      <c r="T3694" s="2">
        <f>IF(C3694="Total", (VLOOKUP(B3694,Recommended_fish_intake!A$4:D$122,4,FALSE)), "NA")</f>
        <v>795.42713714646004</v>
      </c>
      <c r="U3694" s="2" t="str">
        <f t="shared" si="380"/>
        <v>NA</v>
      </c>
    </row>
    <row r="3695" spans="1:21" ht="14.25" customHeight="1">
      <c r="A3695" s="2" t="s">
        <v>15</v>
      </c>
      <c r="B3695" s="2">
        <v>2004</v>
      </c>
      <c r="C3695" s="2" t="s">
        <v>42</v>
      </c>
      <c r="D3695" s="2">
        <v>204.59899999999999</v>
      </c>
      <c r="E3695" s="2">
        <v>67.98</v>
      </c>
      <c r="F3695" s="2" t="s">
        <v>92</v>
      </c>
      <c r="G3695" s="2" t="s">
        <v>92</v>
      </c>
      <c r="H3695" s="2" t="s">
        <v>92</v>
      </c>
      <c r="I3695" s="2" t="s">
        <v>92</v>
      </c>
      <c r="P3695" s="3">
        <f>E3695*(VLOOKUP(B3695,Price_data!A$1:B$190,2,FALSE))</f>
        <v>62.008097759388008</v>
      </c>
      <c r="Q3695" s="3" t="e">
        <f>G3695*(VLOOKUP(B3695,Price_data!A$1:B$190,2,FALSE))</f>
        <v>#VALUE!</v>
      </c>
      <c r="R3695" s="3" t="e">
        <f>I3695*(VLOOKUP(B3695,Price_data!A$1:B$190,2,FALSE))</f>
        <v>#VALUE!</v>
      </c>
      <c r="S3695" s="4" t="str">
        <f>(VLOOKUP(B3695,Price_data!A$1:C$190,3,FALSE))</f>
        <v>EEZ</v>
      </c>
      <c r="T3695" s="2" t="str">
        <f>IF(C3695="Total", (VLOOKUP(B3695,Recommended_fish_intake!A$4:D$122,4,FALSE)), "NA")</f>
        <v>NA</v>
      </c>
      <c r="U3695" s="2" t="str">
        <f t="shared" si="380"/>
        <v>NA</v>
      </c>
    </row>
    <row r="3696" spans="1:21" ht="14.25" customHeight="1">
      <c r="A3696" s="2" t="s">
        <v>15</v>
      </c>
      <c r="B3696" s="2">
        <v>2004</v>
      </c>
      <c r="C3696" s="2" t="s">
        <v>36</v>
      </c>
      <c r="D3696" s="2">
        <v>21.721</v>
      </c>
      <c r="E3696" s="2">
        <v>23.541</v>
      </c>
      <c r="F3696" s="2">
        <v>14.6</v>
      </c>
      <c r="G3696" s="2">
        <v>32.4</v>
      </c>
      <c r="H3696" s="2">
        <v>2</v>
      </c>
      <c r="I3696" s="2">
        <v>8.9</v>
      </c>
      <c r="P3696" s="3">
        <f>E3696*(VLOOKUP(B3696,Price_data!A$1:B$190,2,FALSE))</f>
        <v>21.4729718939946</v>
      </c>
      <c r="Q3696" s="3">
        <f>G3696*(VLOOKUP(B3696,Price_data!A$1:B$190,2,FALSE))</f>
        <v>29.553727087439999</v>
      </c>
      <c r="R3696" s="3">
        <f>I3696*(VLOOKUP(B3696,Price_data!A$1:B$190,2,FALSE))</f>
        <v>8.1181534283400012</v>
      </c>
      <c r="S3696" s="4" t="str">
        <f>(VLOOKUP(B3696,Price_data!A$1:C$190,3,FALSE))</f>
        <v>EEZ</v>
      </c>
      <c r="T3696" s="2" t="str">
        <f>IF(C3696="Total", (VLOOKUP(B3696,Recommended_fish_intake!A$4:D$122,4,FALSE)), "NA")</f>
        <v>NA</v>
      </c>
      <c r="U3696" s="2" t="str">
        <f t="shared" si="380"/>
        <v>NA</v>
      </c>
    </row>
    <row r="3697" spans="1:21" ht="14.25" customHeight="1">
      <c r="A3697" s="2" t="s">
        <v>15</v>
      </c>
      <c r="B3697" s="2">
        <v>2004</v>
      </c>
      <c r="C3697" s="2" t="s">
        <v>34</v>
      </c>
      <c r="D3697" s="2">
        <v>1.3580000000000001</v>
      </c>
      <c r="E3697" s="2">
        <v>12.635999999999999</v>
      </c>
      <c r="F3697" s="2" t="s">
        <v>92</v>
      </c>
      <c r="G3697" s="2" t="s">
        <v>92</v>
      </c>
      <c r="H3697" s="2" t="s">
        <v>92</v>
      </c>
      <c r="I3697" s="2" t="s">
        <v>92</v>
      </c>
      <c r="P3697" s="3">
        <f>E3697*(VLOOKUP(B3697,Price_data!A$1:B$190,2,FALSE))</f>
        <v>11.5259535641016</v>
      </c>
      <c r="Q3697" s="3" t="e">
        <f>G3697*(VLOOKUP(B3697,Price_data!A$1:B$190,2,FALSE))</f>
        <v>#VALUE!</v>
      </c>
      <c r="R3697" s="3" t="e">
        <f>I3697*(VLOOKUP(B3697,Price_data!A$1:B$190,2,FALSE))</f>
        <v>#VALUE!</v>
      </c>
      <c r="S3697" s="4" t="str">
        <f>(VLOOKUP(B3697,Price_data!A$1:C$190,3,FALSE))</f>
        <v>EEZ</v>
      </c>
      <c r="T3697" s="2" t="str">
        <f>IF(C3697="Total", (VLOOKUP(B3697,Recommended_fish_intake!A$4:D$122,4,FALSE)), "NA")</f>
        <v>NA</v>
      </c>
      <c r="U3697" s="2" t="str">
        <f t="shared" si="380"/>
        <v>NA</v>
      </c>
    </row>
    <row r="3698" spans="1:21" ht="14.25" customHeight="1">
      <c r="A3698" s="2" t="s">
        <v>15</v>
      </c>
      <c r="B3698" s="2">
        <v>2004</v>
      </c>
      <c r="C3698" s="2" t="s">
        <v>35</v>
      </c>
      <c r="D3698" s="2">
        <v>30.388999999999999</v>
      </c>
      <c r="E3698" s="2">
        <v>70.296000000000006</v>
      </c>
      <c r="F3698" s="2" t="s">
        <v>92</v>
      </c>
      <c r="G3698" s="2" t="s">
        <v>92</v>
      </c>
      <c r="H3698" s="2" t="s">
        <v>92</v>
      </c>
      <c r="I3698" s="2" t="s">
        <v>92</v>
      </c>
      <c r="P3698" s="3">
        <f>E3698*(VLOOKUP(B3698,Price_data!A$1:B$190,2,FALSE))</f>
        <v>64.120641954897607</v>
      </c>
      <c r="Q3698" s="3" t="e">
        <f>G3698*(VLOOKUP(B3698,Price_data!A$1:B$190,2,FALSE))</f>
        <v>#VALUE!</v>
      </c>
      <c r="R3698" s="3" t="e">
        <f>I3698*(VLOOKUP(B3698,Price_data!A$1:B$190,2,FALSE))</f>
        <v>#VALUE!</v>
      </c>
      <c r="S3698" s="4" t="str">
        <f>(VLOOKUP(B3698,Price_data!A$1:C$190,3,FALSE))</f>
        <v>EEZ</v>
      </c>
      <c r="T3698" s="2" t="str">
        <f>IF(C3698="Total", (VLOOKUP(B3698,Recommended_fish_intake!A$4:D$122,4,FALSE)), "NA")</f>
        <v>NA</v>
      </c>
      <c r="U3698" s="2" t="str">
        <f t="shared" si="380"/>
        <v>NA</v>
      </c>
    </row>
    <row r="3699" spans="1:21" ht="14.25" customHeight="1">
      <c r="A3699" s="2" t="s">
        <v>15</v>
      </c>
      <c r="B3699" s="2">
        <v>2004</v>
      </c>
      <c r="C3699" s="2" t="s">
        <v>52</v>
      </c>
      <c r="D3699" s="2">
        <v>26.178999999999998</v>
      </c>
      <c r="E3699" s="2">
        <v>33.688000000000002</v>
      </c>
      <c r="F3699" s="2" t="s">
        <v>92</v>
      </c>
      <c r="G3699" s="2" t="s">
        <v>92</v>
      </c>
      <c r="H3699" s="2" t="s">
        <v>92</v>
      </c>
      <c r="I3699" s="2" t="s">
        <v>92</v>
      </c>
      <c r="P3699" s="3">
        <f>E3699*(VLOOKUP(B3699,Price_data!A$1:B$190,2,FALSE))</f>
        <v>30.728578954372804</v>
      </c>
      <c r="Q3699" s="3" t="e">
        <f>G3699*(VLOOKUP(B3699,Price_data!A$1:B$190,2,FALSE))</f>
        <v>#VALUE!</v>
      </c>
      <c r="R3699" s="3" t="e">
        <f>I3699*(VLOOKUP(B3699,Price_data!A$1:B$190,2,FALSE))</f>
        <v>#VALUE!</v>
      </c>
      <c r="S3699" s="4" t="str">
        <f>(VLOOKUP(B3699,Price_data!A$1:C$190,3,FALSE))</f>
        <v>EEZ</v>
      </c>
      <c r="T3699" s="2" t="str">
        <f>IF(C3699="Total", (VLOOKUP(B3699,Recommended_fish_intake!A$4:D$122,4,FALSE)), "NA")</f>
        <v>NA</v>
      </c>
      <c r="U3699" s="2" t="str">
        <f t="shared" si="380"/>
        <v>NA</v>
      </c>
    </row>
    <row r="3700" spans="1:21" ht="14.25" customHeight="1">
      <c r="A3700" s="2" t="s">
        <v>15</v>
      </c>
      <c r="B3700" s="2">
        <v>2004</v>
      </c>
      <c r="C3700" s="2" t="s">
        <v>30</v>
      </c>
      <c r="D3700" s="2">
        <v>0.52800000000000002</v>
      </c>
      <c r="E3700" s="2">
        <v>0.68600000000000005</v>
      </c>
      <c r="F3700" s="2">
        <v>25.2</v>
      </c>
      <c r="G3700" s="2">
        <v>84.3</v>
      </c>
      <c r="H3700" s="2">
        <v>91.6</v>
      </c>
      <c r="I3700" s="2">
        <v>339.2</v>
      </c>
      <c r="P3700" s="3">
        <f>E3700*(VLOOKUP(B3700,Price_data!A$1:B$190,2,FALSE))</f>
        <v>0.6257363204316001</v>
      </c>
      <c r="Q3700" s="3">
        <f>G3700*(VLOOKUP(B3700,Price_data!A$1:B$190,2,FALSE))</f>
        <v>76.89441955158</v>
      </c>
      <c r="R3700" s="3">
        <f>I3700*(VLOOKUP(B3700,Price_data!A$1:B$190,2,FALSE))</f>
        <v>309.40198234752</v>
      </c>
      <c r="S3700" s="4" t="str">
        <f>(VLOOKUP(B3700,Price_data!A$1:C$190,3,FALSE))</f>
        <v>EEZ</v>
      </c>
      <c r="T3700" s="2" t="str">
        <f>IF(C3700="Total", (VLOOKUP(B3700,Recommended_fish_intake!A$4:D$122,4,FALSE)), "NA")</f>
        <v>NA</v>
      </c>
      <c r="U3700" s="2" t="str">
        <f t="shared" si="380"/>
        <v>NA</v>
      </c>
    </row>
    <row r="3701" spans="1:21" ht="14.25" customHeight="1">
      <c r="A3701" s="2" t="s">
        <v>15</v>
      </c>
      <c r="B3701" s="2">
        <v>2004</v>
      </c>
      <c r="C3701" s="2" t="s">
        <v>28</v>
      </c>
      <c r="D3701" s="2">
        <v>126.09699999999999</v>
      </c>
      <c r="E3701" s="2">
        <v>173.13900000000001</v>
      </c>
      <c r="F3701" s="2">
        <v>111.6</v>
      </c>
      <c r="G3701" s="2">
        <v>336.8</v>
      </c>
      <c r="H3701" s="2">
        <v>113.7</v>
      </c>
      <c r="I3701" s="2">
        <v>409.6</v>
      </c>
      <c r="P3701" s="3">
        <f>E3701*(VLOOKUP(B3701,Price_data!A$1:B$190,2,FALSE))</f>
        <v>157.92909735161342</v>
      </c>
      <c r="Q3701" s="3">
        <f>G3701*(VLOOKUP(B3701,Price_data!A$1:B$190,2,FALSE))</f>
        <v>307.21281737808005</v>
      </c>
      <c r="R3701" s="3">
        <f>I3701*(VLOOKUP(B3701,Price_data!A$1:B$190,2,FALSE))</f>
        <v>373.61748811776005</v>
      </c>
      <c r="S3701" s="4" t="str">
        <f>(VLOOKUP(B3701,Price_data!A$1:C$190,3,FALSE))</f>
        <v>EEZ</v>
      </c>
      <c r="T3701" s="2" t="str">
        <f>IF(C3701="Total", (VLOOKUP(B3701,Recommended_fish_intake!A$4:D$122,4,FALSE)), "NA")</f>
        <v>NA</v>
      </c>
      <c r="U3701" s="2">
        <f t="shared" si="380"/>
        <v>35.307160000000003</v>
      </c>
    </row>
    <row r="3702" spans="1:21" ht="14.25" customHeight="1">
      <c r="A3702" s="2" t="s">
        <v>18</v>
      </c>
      <c r="B3702" s="2">
        <v>2004</v>
      </c>
      <c r="C3702" s="2" t="s">
        <v>16</v>
      </c>
      <c r="D3702" s="3">
        <f>D2950+D2710</f>
        <v>178.6</v>
      </c>
      <c r="E3702" s="3">
        <f>E2950+E2710</f>
        <v>157.4</v>
      </c>
      <c r="P3702" s="3">
        <f>E3702*(VLOOKUP(B3702,Price_data!A$1:B$190,2,FALSE))</f>
        <v>143.57273591244001</v>
      </c>
      <c r="Q3702" s="3">
        <f>G3702*(VLOOKUP(B3702,Price_data!A$1:B$190,2,FALSE))</f>
        <v>0</v>
      </c>
      <c r="R3702" s="3">
        <f>I3702*(VLOOKUP(B3702,Price_data!A$1:B$190,2,FALSE))</f>
        <v>0</v>
      </c>
      <c r="S3702" s="4" t="str">
        <f>(VLOOKUP(B3702,Price_data!A$1:C$190,3,FALSE))</f>
        <v>EEZ</v>
      </c>
      <c r="T3702" s="2">
        <f>IF(C3702="Total", (VLOOKUP(B3702,Recommended_fish_intake!A$4:D$122,4,FALSE)), "NA")</f>
        <v>795.42713714646004</v>
      </c>
      <c r="U3702" s="2" t="str">
        <f t="shared" si="380"/>
        <v>NA</v>
      </c>
    </row>
    <row r="3703" spans="1:21" ht="14.25" customHeight="1">
      <c r="A3703" s="2" t="s">
        <v>15</v>
      </c>
      <c r="B3703" s="2">
        <v>2004</v>
      </c>
      <c r="C3703" s="2" t="s">
        <v>16</v>
      </c>
      <c r="D3703" s="2">
        <v>461.50299999999999</v>
      </c>
      <c r="E3703" s="2">
        <v>405.63600000000002</v>
      </c>
      <c r="F3703" s="2">
        <v>477.8</v>
      </c>
      <c r="G3703" s="2">
        <v>885.7</v>
      </c>
      <c r="H3703" s="2">
        <v>671.3</v>
      </c>
      <c r="I3703" s="6">
        <v>1473.9</v>
      </c>
      <c r="J3703" s="6"/>
      <c r="K3703" s="6"/>
      <c r="P3703" s="3">
        <f>E3703*(VLOOKUP(B3703,Price_data!A$1:B$190,2,FALSE))</f>
        <v>370.00171730990161</v>
      </c>
      <c r="Q3703" s="3">
        <f>G3703*(VLOOKUP(B3703,Price_data!A$1:B$190,2,FALSE))</f>
        <v>807.89308893042005</v>
      </c>
      <c r="R3703" s="3">
        <f>I3703*(VLOOKUP(B3703,Price_data!A$1:B$190,2,FALSE))</f>
        <v>1344.4209368573402</v>
      </c>
      <c r="S3703" s="4" t="str">
        <f>(VLOOKUP(B3703,Price_data!A$1:C$190,3,FALSE))</f>
        <v>EEZ</v>
      </c>
      <c r="T3703" s="2">
        <f>IF(C3703="Total", (VLOOKUP(B3703,Recommended_fish_intake!A$4:D$122,4,FALSE)), "NA")</f>
        <v>795.42713714646004</v>
      </c>
      <c r="U3703" s="2" t="str">
        <f t="shared" si="380"/>
        <v>NA</v>
      </c>
    </row>
    <row r="3704" spans="1:21" ht="14.25" customHeight="1">
      <c r="A3704" s="2" t="s">
        <v>15</v>
      </c>
      <c r="B3704" s="2">
        <v>2004</v>
      </c>
      <c r="C3704" s="2" t="s">
        <v>37</v>
      </c>
      <c r="D3704" s="2" t="e">
        <f>D3492+D3744</f>
        <v>#N/A</v>
      </c>
      <c r="E3704" s="2" t="e">
        <f>E3492+E3744</f>
        <v>#N/A</v>
      </c>
      <c r="F3704" s="3">
        <v>366.2</v>
      </c>
      <c r="G3704" s="3">
        <v>548.9</v>
      </c>
      <c r="H3704" s="3">
        <v>557.6</v>
      </c>
      <c r="I3704" s="7">
        <v>1064.2</v>
      </c>
      <c r="J3704" s="6"/>
      <c r="K3704" s="6"/>
      <c r="P3704" s="3" t="e">
        <f>E3704*(VLOOKUP(B3704,Price_data!A$1:B$190,2,FALSE))</f>
        <v>#N/A</v>
      </c>
      <c r="Q3704" s="3">
        <f>G3704*(VLOOKUP(B3704,Price_data!A$1:B$190,2,FALSE))</f>
        <v>500.68027155234</v>
      </c>
      <c r="R3704" s="3">
        <f>I3704*(VLOOKUP(B3704,Price_data!A$1:B$190,2,FALSE))</f>
        <v>970.71223353252003</v>
      </c>
      <c r="S3704" s="4" t="str">
        <f>(VLOOKUP(B3704,Price_data!A$1:C$190,3,FALSE))</f>
        <v>EEZ</v>
      </c>
      <c r="T3704" s="2" t="str">
        <f>IF(C3704="Total", (VLOOKUP(B3704,Recommended_fish_intake!A$4:D$122,4,FALSE)), "NA")</f>
        <v>NA</v>
      </c>
      <c r="U3704" s="2" t="e">
        <f t="shared" si="380"/>
        <v>#N/A</v>
      </c>
    </row>
    <row r="3705" spans="1:21" ht="14.25" customHeight="1">
      <c r="A3705" s="2" t="s">
        <v>15</v>
      </c>
      <c r="B3705" s="2">
        <v>2004</v>
      </c>
      <c r="C3705" s="2" t="s">
        <v>41</v>
      </c>
      <c r="D3705" s="2">
        <v>130.80799999999999</v>
      </c>
      <c r="E3705" s="2">
        <v>164.517</v>
      </c>
      <c r="F3705" s="2" t="s">
        <v>92</v>
      </c>
      <c r="G3705" s="2" t="s">
        <v>92</v>
      </c>
      <c r="H3705" s="2" t="s">
        <v>92</v>
      </c>
      <c r="I3705" s="2" t="s">
        <v>92</v>
      </c>
      <c r="P3705" s="3">
        <f>E3705*(VLOOKUP(B3705,Price_data!A$1:B$190,2,FALSE))</f>
        <v>150.06452219890019</v>
      </c>
      <c r="Q3705" s="3" t="e">
        <f>G3705*(VLOOKUP(B3705,Price_data!A$1:B$190,2,FALSE))</f>
        <v>#VALUE!</v>
      </c>
      <c r="R3705" s="3" t="e">
        <f>I3705*(VLOOKUP(B3705,Price_data!A$1:B$190,2,FALSE))</f>
        <v>#VALUE!</v>
      </c>
      <c r="S3705" s="4" t="str">
        <f>(VLOOKUP(B3705,Price_data!A$1:C$190,3,FALSE))</f>
        <v>EEZ</v>
      </c>
      <c r="T3705" s="2" t="str">
        <f>IF(C3705="Total", (VLOOKUP(B3705,Recommended_fish_intake!A$4:D$122,4,FALSE)), "NA")</f>
        <v>NA</v>
      </c>
      <c r="U3705" s="2" t="str">
        <f t="shared" si="380"/>
        <v>NA</v>
      </c>
    </row>
    <row r="3706" spans="1:21" ht="14.25" customHeight="1">
      <c r="A3706" s="2" t="s">
        <v>15</v>
      </c>
      <c r="B3706" s="2">
        <v>2004</v>
      </c>
      <c r="C3706" s="2" t="s">
        <v>22</v>
      </c>
      <c r="D3706" s="2">
        <v>15.193</v>
      </c>
      <c r="E3706" s="2">
        <v>22.727</v>
      </c>
      <c r="F3706" s="2">
        <v>33.6</v>
      </c>
      <c r="G3706" s="2">
        <v>61.1</v>
      </c>
      <c r="H3706" s="2">
        <v>132.1</v>
      </c>
      <c r="I3706" s="2">
        <v>329.4</v>
      </c>
      <c r="M3706" s="1"/>
      <c r="P3706" s="3">
        <f>E3706*(VLOOKUP(B3706,Price_data!A$1:B$190,2,FALSE))</f>
        <v>20.730480108526201</v>
      </c>
      <c r="Q3706" s="3">
        <f>G3706*(VLOOKUP(B3706,Price_data!A$1:B$190,2,FALSE))</f>
        <v>55.732491513660001</v>
      </c>
      <c r="R3706" s="3">
        <f>I3706*(VLOOKUP(B3706,Price_data!A$1:B$190,2,FALSE))</f>
        <v>300.46289205564</v>
      </c>
      <c r="S3706" s="4" t="str">
        <f>(VLOOKUP(B3706,Price_data!A$1:C$190,3,FALSE))</f>
        <v>EEZ</v>
      </c>
      <c r="T3706" s="2" t="str">
        <f>IF(C3706="Total", (VLOOKUP(B3706,Recommended_fish_intake!A$4:D$122,4,FALSE)), "NA")</f>
        <v>NA</v>
      </c>
      <c r="U3706" s="2" t="str">
        <f t="shared" si="380"/>
        <v>NA</v>
      </c>
    </row>
    <row r="3707" spans="1:21" ht="14.25" customHeight="1">
      <c r="A3707" s="2" t="s">
        <v>15</v>
      </c>
      <c r="B3707" s="2">
        <v>2004</v>
      </c>
      <c r="C3707" s="2" t="s">
        <v>20</v>
      </c>
      <c r="D3707" s="2">
        <v>115.303</v>
      </c>
      <c r="E3707" s="2">
        <v>57.018999999999998</v>
      </c>
      <c r="F3707" s="2">
        <v>120.5</v>
      </c>
      <c r="G3707" s="2">
        <v>89.3</v>
      </c>
      <c r="H3707" s="2">
        <v>21.6</v>
      </c>
      <c r="I3707" s="2">
        <v>20.399999999999999</v>
      </c>
      <c r="P3707" s="3">
        <f>E3707*(VLOOKUP(B3707,Price_data!A$1:B$190,2,FALSE))</f>
        <v>52.009998913541402</v>
      </c>
      <c r="Q3707" s="3">
        <f>G3707*(VLOOKUP(B3707,Price_data!A$1:B$190,2,FALSE))</f>
        <v>81.455179904580007</v>
      </c>
      <c r="R3707" s="3">
        <f>I3707*(VLOOKUP(B3707,Price_data!A$1:B$190,2,FALSE))</f>
        <v>18.607902240239998</v>
      </c>
      <c r="S3707" s="4" t="str">
        <f>(VLOOKUP(B3707,Price_data!A$1:C$190,3,FALSE))</f>
        <v>EEZ</v>
      </c>
      <c r="T3707" s="2" t="str">
        <f>IF(C3707="Total", (VLOOKUP(B3707,Recommended_fish_intake!A$4:D$122,4,FALSE)), "NA")</f>
        <v>NA</v>
      </c>
      <c r="U3707" s="2" t="str">
        <f t="shared" si="380"/>
        <v>NA</v>
      </c>
    </row>
    <row r="3708" spans="1:21" ht="14.25" customHeight="1">
      <c r="A3708" s="2" t="s">
        <v>15</v>
      </c>
      <c r="B3708" s="2">
        <v>2004</v>
      </c>
      <c r="C3708" s="2" t="s">
        <v>19</v>
      </c>
      <c r="D3708" s="2">
        <v>56.23</v>
      </c>
      <c r="E3708" s="2">
        <v>7.6459999999999999</v>
      </c>
      <c r="F3708" s="2">
        <v>55.1</v>
      </c>
      <c r="G3708" s="2">
        <v>23.1</v>
      </c>
      <c r="H3708" s="2">
        <v>6</v>
      </c>
      <c r="I3708" s="2">
        <v>6.3</v>
      </c>
      <c r="P3708" s="3">
        <f>E3708*(VLOOKUP(B3708,Price_data!A$1:B$190,2,FALSE))</f>
        <v>6.9743147318076</v>
      </c>
      <c r="Q3708" s="3">
        <f>G3708*(VLOOKUP(B3708,Price_data!A$1:B$190,2,FALSE))</f>
        <v>21.070712830860003</v>
      </c>
      <c r="R3708" s="3">
        <f>I3708*(VLOOKUP(B3708,Price_data!A$1:B$190,2,FALSE))</f>
        <v>5.7465580447800004</v>
      </c>
      <c r="S3708" s="4" t="str">
        <f>(VLOOKUP(B3708,Price_data!A$1:C$190,3,FALSE))</f>
        <v>EEZ</v>
      </c>
      <c r="T3708" s="2" t="str">
        <f>IF(C3708="Total", (VLOOKUP(B3708,Recommended_fish_intake!A$4:D$122,4,FALSE)), "NA")</f>
        <v>NA</v>
      </c>
      <c r="U3708" s="2" t="str">
        <f t="shared" si="380"/>
        <v>NA</v>
      </c>
    </row>
    <row r="3709" spans="1:21" ht="14.25" customHeight="1">
      <c r="A3709" s="2" t="s">
        <v>15</v>
      </c>
      <c r="B3709" s="2">
        <v>2004</v>
      </c>
      <c r="C3709" s="2" t="s">
        <v>24</v>
      </c>
      <c r="D3709" s="2">
        <v>7.4029999999999996</v>
      </c>
      <c r="E3709" s="2">
        <v>5.0019999999999998</v>
      </c>
      <c r="F3709" s="2">
        <v>1.7</v>
      </c>
      <c r="G3709" s="2">
        <v>3.4</v>
      </c>
      <c r="H3709" s="2">
        <v>1.5</v>
      </c>
      <c r="I3709" s="2">
        <v>1.6</v>
      </c>
      <c r="P3709" s="3">
        <f>E3709*(VLOOKUP(B3709,Price_data!A$1:B$190,2,FALSE))</f>
        <v>4.5625846571412003</v>
      </c>
      <c r="Q3709" s="3">
        <f>G3709*(VLOOKUP(B3709,Price_data!A$1:B$190,2,FALSE))</f>
        <v>3.1013170400400001</v>
      </c>
      <c r="R3709" s="3">
        <f>I3709*(VLOOKUP(B3709,Price_data!A$1:B$190,2,FALSE))</f>
        <v>1.4594433129600002</v>
      </c>
      <c r="S3709" s="4" t="str">
        <f>(VLOOKUP(B3709,Price_data!A$1:C$190,3,FALSE))</f>
        <v>EEZ</v>
      </c>
      <c r="T3709" s="2" t="str">
        <f>IF(C3709="Total", (VLOOKUP(B3709,Recommended_fish_intake!A$4:D$122,4,FALSE)), "NA")</f>
        <v>NA</v>
      </c>
      <c r="U3709" s="2" t="str">
        <f t="shared" si="380"/>
        <v>NA</v>
      </c>
    </row>
    <row r="3710" spans="1:21" ht="14.25" customHeight="1">
      <c r="A3710" s="2" t="s">
        <v>15</v>
      </c>
      <c r="B3710" s="2">
        <v>2004</v>
      </c>
      <c r="C3710" s="2" t="s">
        <v>58</v>
      </c>
      <c r="D3710" s="2">
        <v>10.804</v>
      </c>
      <c r="E3710" s="2">
        <v>22.731999999999999</v>
      </c>
      <c r="F3710" s="2">
        <v>3.4</v>
      </c>
      <c r="G3710" s="2">
        <v>19</v>
      </c>
      <c r="H3710" s="2">
        <v>2.5</v>
      </c>
      <c r="I3710" s="2">
        <v>6.1</v>
      </c>
      <c r="P3710" s="3">
        <f>E3710*(VLOOKUP(B3710,Price_data!A$1:B$190,2,FALSE))</f>
        <v>20.735040868879199</v>
      </c>
      <c r="Q3710" s="3">
        <f>G3710*(VLOOKUP(B3710,Price_data!A$1:B$190,2,FALSE))</f>
        <v>17.330889341399999</v>
      </c>
      <c r="R3710" s="3">
        <f>I3710*(VLOOKUP(B3710,Price_data!A$1:B$190,2,FALSE))</f>
        <v>5.5641276306599998</v>
      </c>
      <c r="S3710" s="4" t="str">
        <f>(VLOOKUP(B3710,Price_data!A$1:C$190,3,FALSE))</f>
        <v>EEZ</v>
      </c>
      <c r="T3710" s="2" t="str">
        <f>IF(C3710="Total", (VLOOKUP(B3710,Recommended_fish_intake!A$4:D$122,4,FALSE)), "NA")</f>
        <v>NA</v>
      </c>
      <c r="U3710" s="2" t="str">
        <f t="shared" si="380"/>
        <v>NA</v>
      </c>
    </row>
    <row r="3711" spans="1:21" ht="14.25" customHeight="1">
      <c r="A3711" s="2" t="s">
        <v>15</v>
      </c>
      <c r="B3711" s="2">
        <v>2004</v>
      </c>
      <c r="C3711" s="2" t="s">
        <v>23</v>
      </c>
      <c r="D3711" s="2">
        <v>45.38</v>
      </c>
      <c r="E3711" s="2">
        <v>32.731999999999999</v>
      </c>
      <c r="F3711" s="2">
        <v>5.2</v>
      </c>
      <c r="G3711" s="2">
        <v>9.6999999999999993</v>
      </c>
      <c r="H3711" s="2">
        <v>64.5</v>
      </c>
      <c r="I3711" s="2">
        <v>101.1</v>
      </c>
      <c r="P3711" s="3">
        <f>E3711*(VLOOKUP(B3711,Price_data!A$1:B$190,2,FALSE))</f>
        <v>29.856561574879201</v>
      </c>
      <c r="Q3711" s="3">
        <f>G3711*(VLOOKUP(B3711,Price_data!A$1:B$190,2,FALSE))</f>
        <v>8.8478750848200001</v>
      </c>
      <c r="R3711" s="3">
        <f>I3711*(VLOOKUP(B3711,Price_data!A$1:B$190,2,FALSE))</f>
        <v>92.218574337660002</v>
      </c>
      <c r="S3711" s="4" t="str">
        <f>(VLOOKUP(B3711,Price_data!A$1:C$190,3,FALSE))</f>
        <v>EEZ</v>
      </c>
      <c r="T3711" s="2" t="str">
        <f>IF(C3711="Total", (VLOOKUP(B3711,Recommended_fish_intake!A$4:D$122,4,FALSE)), "NA")</f>
        <v>NA</v>
      </c>
      <c r="U3711" s="2" t="str">
        <f t="shared" si="380"/>
        <v>NA</v>
      </c>
    </row>
    <row r="3712" spans="1:21" ht="14.25" customHeight="1">
      <c r="A3712" s="2" t="s">
        <v>15</v>
      </c>
      <c r="B3712" s="2">
        <v>2004</v>
      </c>
      <c r="C3712" s="2" t="s">
        <v>21</v>
      </c>
      <c r="D3712" s="3">
        <v>3.9</v>
      </c>
      <c r="E3712" s="3">
        <v>0.7</v>
      </c>
      <c r="F3712" s="2" t="s">
        <v>92</v>
      </c>
      <c r="G3712" s="2" t="s">
        <v>92</v>
      </c>
      <c r="H3712" s="2" t="s">
        <v>92</v>
      </c>
      <c r="I3712" s="2" t="s">
        <v>92</v>
      </c>
      <c r="P3712" s="3">
        <f>E3712*(VLOOKUP(B3712,Price_data!A$1:B$190,2,FALSE))</f>
        <v>0.63850644942000001</v>
      </c>
      <c r="Q3712" s="3" t="e">
        <f>G3712*(VLOOKUP(B3712,Price_data!A$1:B$190,2,FALSE))</f>
        <v>#VALUE!</v>
      </c>
      <c r="R3712" s="3" t="e">
        <f>I3712*(VLOOKUP(B3712,Price_data!A$1:B$190,2,FALSE))</f>
        <v>#VALUE!</v>
      </c>
      <c r="S3712" s="4" t="str">
        <f>(VLOOKUP(B3712,Price_data!A$1:C$190,3,FALSE))</f>
        <v>EEZ</v>
      </c>
      <c r="T3712" s="2" t="str">
        <f>IF(C3712="Total", (VLOOKUP(B3712,Recommended_fish_intake!A$4:D$122,4,FALSE)), "NA")</f>
        <v>NA</v>
      </c>
      <c r="U3712" s="2" t="str">
        <f t="shared" si="380"/>
        <v>NA</v>
      </c>
    </row>
    <row r="3713" spans="1:21" ht="14.25" customHeight="1">
      <c r="A3713" s="2" t="s">
        <v>15</v>
      </c>
      <c r="B3713" s="2">
        <v>2004</v>
      </c>
      <c r="C3713" s="2" t="s">
        <v>43</v>
      </c>
      <c r="D3713" s="2" t="s">
        <v>17</v>
      </c>
      <c r="E3713" s="2" t="s">
        <v>17</v>
      </c>
      <c r="F3713" s="2">
        <v>3.2</v>
      </c>
      <c r="G3713" s="2">
        <v>7.5</v>
      </c>
      <c r="H3713" s="2">
        <v>107.5</v>
      </c>
      <c r="I3713" s="2">
        <v>151.30000000000001</v>
      </c>
      <c r="P3713" s="3" t="e">
        <f>E3713*(VLOOKUP(B3713,Price_data!A$1:B$190,2,FALSE))</f>
        <v>#VALUE!</v>
      </c>
      <c r="Q3713" s="3">
        <f>G3713*(VLOOKUP(B3713,Price_data!A$1:B$190,2,FALSE))</f>
        <v>6.8411405295000005</v>
      </c>
      <c r="R3713" s="3">
        <f>I3713*(VLOOKUP(B3713,Price_data!A$1:B$190,2,FALSE))</f>
        <v>138.00860828178003</v>
      </c>
      <c r="S3713" s="4" t="str">
        <f>(VLOOKUP(B3713,Price_data!A$1:C$190,3,FALSE))</f>
        <v>EEZ</v>
      </c>
      <c r="T3713" s="2" t="str">
        <f>IF(C3713="Total", (VLOOKUP(B3713,Recommended_fish_intake!A$4:D$122,4,FALSE)), "NA")</f>
        <v>NA</v>
      </c>
      <c r="U3713" s="2" t="str">
        <f t="shared" si="380"/>
        <v>NA</v>
      </c>
    </row>
    <row r="3714" spans="1:21" ht="14.25" customHeight="1">
      <c r="A3714" s="2" t="s">
        <v>15</v>
      </c>
      <c r="B3714" s="2">
        <v>2004</v>
      </c>
      <c r="C3714" s="2" t="s">
        <v>60</v>
      </c>
      <c r="D3714" s="2">
        <v>2.1</v>
      </c>
      <c r="E3714" s="2">
        <v>2.7</v>
      </c>
      <c r="F3714" s="2" t="s">
        <v>17</v>
      </c>
      <c r="G3714" s="2" t="s">
        <v>17</v>
      </c>
      <c r="H3714" s="2" t="s">
        <v>17</v>
      </c>
      <c r="I3714" s="2" t="s">
        <v>17</v>
      </c>
      <c r="P3714" s="3">
        <f>E3714*(VLOOKUP(B3714,Price_data!A$1:B$190,2,FALSE))</f>
        <v>2.4628105906200002</v>
      </c>
      <c r="Q3714" s="3" t="e">
        <f>G3714*(VLOOKUP(B3714,Price_data!A$1:B$190,2,FALSE))</f>
        <v>#VALUE!</v>
      </c>
      <c r="R3714" s="3" t="e">
        <f>I3714*(VLOOKUP(B3714,Price_data!A$1:B$190,2,FALSE))</f>
        <v>#VALUE!</v>
      </c>
      <c r="S3714" s="4" t="str">
        <f>(VLOOKUP(B3714,Price_data!A$1:C$190,3,FALSE))</f>
        <v>EEZ</v>
      </c>
      <c r="T3714" s="2" t="str">
        <f>IF(C3714="Total", (VLOOKUP(B3714,Recommended_fish_intake!A$4:D$122,4,FALSE)), "NA")</f>
        <v>NA</v>
      </c>
      <c r="U3714" s="2" t="str">
        <f t="shared" ref="U3714:U3777" si="382">IF(C3714="Wet fish", D3714*0.49, IF(C3714="Shellfish", D3714*0.28, "NA"))</f>
        <v>NA</v>
      </c>
    </row>
    <row r="3715" spans="1:21" ht="14.25" customHeight="1">
      <c r="A3715" s="2" t="s">
        <v>15</v>
      </c>
      <c r="B3715" s="2">
        <v>2004</v>
      </c>
      <c r="C3715" s="2" t="s">
        <v>29</v>
      </c>
      <c r="D3715" s="2" t="s">
        <v>17</v>
      </c>
      <c r="E3715" s="2" t="s">
        <v>17</v>
      </c>
      <c r="F3715" s="2">
        <v>66.5</v>
      </c>
      <c r="G3715" s="2">
        <v>180.4</v>
      </c>
      <c r="H3715" s="2">
        <v>44.7</v>
      </c>
      <c r="I3715" s="2">
        <v>107.9</v>
      </c>
      <c r="P3715" s="3" t="e">
        <f>E3715*(VLOOKUP(B3715,Price_data!A$1:B$190,2,FALSE))</f>
        <v>#VALUE!</v>
      </c>
      <c r="Q3715" s="3">
        <f>G3715*(VLOOKUP(B3715,Price_data!A$1:B$190,2,FALSE))</f>
        <v>164.55223353624001</v>
      </c>
      <c r="R3715" s="3">
        <f>I3715*(VLOOKUP(B3715,Price_data!A$1:B$190,2,FALSE))</f>
        <v>98.421208417740004</v>
      </c>
      <c r="S3715" s="4" t="str">
        <f>(VLOOKUP(B3715,Price_data!A$1:C$190,3,FALSE))</f>
        <v>EEZ</v>
      </c>
      <c r="T3715" s="2" t="str">
        <f>IF(C3715="Total", (VLOOKUP(B3715,Recommended_fish_intake!A$4:D$122,4,FALSE)), "NA")</f>
        <v>NA</v>
      </c>
      <c r="U3715" s="2" t="str">
        <f t="shared" si="382"/>
        <v>NA</v>
      </c>
    </row>
    <row r="3716" spans="1:21" ht="14.25" customHeight="1">
      <c r="A3716" s="2" t="s">
        <v>15</v>
      </c>
      <c r="B3716" s="2">
        <v>2004</v>
      </c>
      <c r="C3716" s="2" t="s">
        <v>25</v>
      </c>
      <c r="D3716" s="2">
        <v>3.5</v>
      </c>
      <c r="E3716" s="2">
        <v>4.3</v>
      </c>
      <c r="F3716" s="4">
        <v>1.1000000000000001</v>
      </c>
      <c r="G3716" s="4">
        <v>1.6</v>
      </c>
      <c r="H3716" s="4">
        <v>7.2</v>
      </c>
      <c r="I3716" s="4">
        <v>20.5</v>
      </c>
      <c r="P3716" s="3">
        <f>E3716*(VLOOKUP(B3716,Price_data!A$1:B$190,2,FALSE))</f>
        <v>3.9222539035800001</v>
      </c>
      <c r="Q3716" s="3">
        <f>G3716*(VLOOKUP(B3716,Price_data!A$1:B$190,2,FALSE))</f>
        <v>1.4594433129600002</v>
      </c>
      <c r="R3716" s="3">
        <f>I3716*(VLOOKUP(B3716,Price_data!A$1:B$190,2,FALSE))</f>
        <v>18.699117447300001</v>
      </c>
      <c r="S3716" s="4" t="str">
        <f>(VLOOKUP(B3716,Price_data!A$1:C$190,3,FALSE))</f>
        <v>EEZ</v>
      </c>
      <c r="T3716" s="2" t="str">
        <f>IF(C3716="Total", (VLOOKUP(B3716,Recommended_fish_intake!A$4:D$122,4,FALSE)), "NA")</f>
        <v>NA</v>
      </c>
      <c r="U3716" s="2" t="str">
        <f t="shared" si="382"/>
        <v>NA</v>
      </c>
    </row>
    <row r="3717" spans="1:21" ht="14.25" customHeight="1">
      <c r="A3717" s="2" t="s">
        <v>90</v>
      </c>
      <c r="B3717" s="2">
        <v>2005</v>
      </c>
      <c r="C3717" s="2" t="s">
        <v>22</v>
      </c>
      <c r="D3717" s="2">
        <v>5.9</v>
      </c>
      <c r="E3717" s="2">
        <v>7.7</v>
      </c>
      <c r="P3717" s="3">
        <f>E3717*(VLOOKUP(B3717,Price_data!A$1:B$190,2,FALSE))</f>
        <v>6.8306615608000003</v>
      </c>
      <c r="Q3717" s="3">
        <f>G3717*(VLOOKUP(B3717,Price_data!A$1:B$190,2,FALSE))</f>
        <v>0</v>
      </c>
      <c r="R3717" s="3">
        <f>I3717*(VLOOKUP(B3717,Price_data!A$1:B$190,2,FALSE))</f>
        <v>0</v>
      </c>
      <c r="S3717" s="4" t="str">
        <f>(VLOOKUP(B3717,Price_data!A$1:C$190,3,FALSE))</f>
        <v>EEZ</v>
      </c>
      <c r="T3717" s="2" t="str">
        <f>IF(C3717="Total", (VLOOKUP(B3717,Recommended_fish_intake!A$4:D$122,4,FALSE)), "NA")</f>
        <v>NA</v>
      </c>
      <c r="U3717" s="2" t="str">
        <f t="shared" si="382"/>
        <v>NA</v>
      </c>
    </row>
    <row r="3718" spans="1:21" ht="14.25" customHeight="1">
      <c r="A3718" s="2" t="s">
        <v>90</v>
      </c>
      <c r="B3718" s="2">
        <v>2005</v>
      </c>
      <c r="C3718" s="2" t="s">
        <v>23</v>
      </c>
      <c r="D3718" s="2">
        <v>1.9</v>
      </c>
      <c r="E3718" s="2">
        <v>1.5</v>
      </c>
      <c r="P3718" s="3">
        <f>E3718*(VLOOKUP(B3718,Price_data!A$1:B$190,2,FALSE))</f>
        <v>1.330648356</v>
      </c>
      <c r="Q3718" s="3">
        <f>G3718*(VLOOKUP(B3718,Price_data!A$1:B$190,2,FALSE))</f>
        <v>0</v>
      </c>
      <c r="R3718" s="3">
        <f>I3718*(VLOOKUP(B3718,Price_data!A$1:B$190,2,FALSE))</f>
        <v>0</v>
      </c>
      <c r="S3718" s="4" t="str">
        <f>(VLOOKUP(B3718,Price_data!A$1:C$190,3,FALSE))</f>
        <v>EEZ</v>
      </c>
      <c r="T3718" s="2" t="str">
        <f>IF(C3718="Total", (VLOOKUP(B3718,Recommended_fish_intake!A$4:D$122,4,FALSE)), "NA")</f>
        <v>NA</v>
      </c>
      <c r="U3718" s="2" t="str">
        <f t="shared" si="382"/>
        <v>NA</v>
      </c>
    </row>
    <row r="3719" spans="1:21" ht="14.25" customHeight="1">
      <c r="A3719" s="2" t="s">
        <v>90</v>
      </c>
      <c r="B3719" s="2">
        <v>2005</v>
      </c>
      <c r="C3719" s="2" t="s">
        <v>58</v>
      </c>
      <c r="D3719" s="2">
        <v>2.4</v>
      </c>
      <c r="E3719" s="2">
        <v>5.3</v>
      </c>
      <c r="P3719" s="3">
        <f>E3719*(VLOOKUP(B3719,Price_data!A$1:B$190,2,FALSE))</f>
        <v>4.7016241911999996</v>
      </c>
      <c r="Q3719" s="3">
        <f>G3719*(VLOOKUP(B3719,Price_data!A$1:B$190,2,FALSE))</f>
        <v>0</v>
      </c>
      <c r="R3719" s="3">
        <f>I3719*(VLOOKUP(B3719,Price_data!A$1:B$190,2,FALSE))</f>
        <v>0</v>
      </c>
      <c r="S3719" s="4" t="str">
        <f>(VLOOKUP(B3719,Price_data!A$1:C$190,3,FALSE))</f>
        <v>EEZ</v>
      </c>
      <c r="T3719" s="2" t="str">
        <f>IF(C3719="Total", (VLOOKUP(B3719,Recommended_fish_intake!A$4:D$122,4,FALSE)), "NA")</f>
        <v>NA</v>
      </c>
      <c r="U3719" s="2" t="str">
        <f t="shared" si="382"/>
        <v>NA</v>
      </c>
    </row>
    <row r="3720" spans="1:21" ht="14.25" customHeight="1">
      <c r="A3720" s="2" t="s">
        <v>90</v>
      </c>
      <c r="B3720" s="2">
        <v>2005</v>
      </c>
      <c r="C3720" s="2" t="s">
        <v>24</v>
      </c>
      <c r="D3720" s="2">
        <v>3</v>
      </c>
      <c r="E3720" s="2">
        <v>1.4</v>
      </c>
      <c r="P3720" s="3">
        <f>E3720*(VLOOKUP(B3720,Price_data!A$1:B$190,2,FALSE))</f>
        <v>1.2419384655999999</v>
      </c>
      <c r="Q3720" s="3">
        <f>G3720*(VLOOKUP(B3720,Price_data!A$1:B$190,2,FALSE))</f>
        <v>0</v>
      </c>
      <c r="R3720" s="3">
        <f>I3720*(VLOOKUP(B3720,Price_data!A$1:B$190,2,FALSE))</f>
        <v>0</v>
      </c>
      <c r="S3720" s="4" t="str">
        <f>(VLOOKUP(B3720,Price_data!A$1:C$190,3,FALSE))</f>
        <v>EEZ</v>
      </c>
      <c r="T3720" s="2" t="str">
        <f>IF(C3720="Total", (VLOOKUP(B3720,Recommended_fish_intake!A$4:D$122,4,FALSE)), "NA")</f>
        <v>NA</v>
      </c>
      <c r="U3720" s="2" t="str">
        <f t="shared" si="382"/>
        <v>NA</v>
      </c>
    </row>
    <row r="3721" spans="1:21" ht="14.25" customHeight="1">
      <c r="A3721" s="2" t="s">
        <v>90</v>
      </c>
      <c r="B3721" s="2">
        <v>2005</v>
      </c>
      <c r="C3721" s="2" t="s">
        <v>41</v>
      </c>
      <c r="D3721" s="2">
        <v>29.3</v>
      </c>
      <c r="E3721" s="2">
        <v>56</v>
      </c>
      <c r="P3721" s="3">
        <f>E3721*(VLOOKUP(B3721,Price_data!A$1:B$190,2,FALSE))</f>
        <v>49.677538624</v>
      </c>
      <c r="Q3721" s="3">
        <f>G3721*(VLOOKUP(B3721,Price_data!A$1:B$190,2,FALSE))</f>
        <v>0</v>
      </c>
      <c r="R3721" s="3">
        <f>I3721*(VLOOKUP(B3721,Price_data!A$1:B$190,2,FALSE))</f>
        <v>0</v>
      </c>
      <c r="S3721" s="4" t="str">
        <f>(VLOOKUP(B3721,Price_data!A$1:C$190,3,FALSE))</f>
        <v>EEZ</v>
      </c>
      <c r="T3721" s="2" t="str">
        <f>IF(C3721="Total", (VLOOKUP(B3721,Recommended_fish_intake!A$4:D$122,4,FALSE)), "NA")</f>
        <v>NA</v>
      </c>
      <c r="U3721" s="2" t="str">
        <f t="shared" si="382"/>
        <v>NA</v>
      </c>
    </row>
    <row r="3722" spans="1:21" ht="14.25" customHeight="1">
      <c r="A3722" s="2" t="s">
        <v>90</v>
      </c>
      <c r="B3722" s="2">
        <v>2005</v>
      </c>
      <c r="C3722" s="2" t="s">
        <v>19</v>
      </c>
      <c r="D3722" s="2">
        <v>1.2</v>
      </c>
      <c r="E3722" s="2">
        <v>0.4</v>
      </c>
      <c r="P3722" s="3">
        <f>E3722*(VLOOKUP(B3722,Price_data!A$1:B$190,2,FALSE))</f>
        <v>0.35483956160000002</v>
      </c>
      <c r="Q3722" s="3">
        <f>G3722*(VLOOKUP(B3722,Price_data!A$1:B$190,2,FALSE))</f>
        <v>0</v>
      </c>
      <c r="R3722" s="3">
        <f>I3722*(VLOOKUP(B3722,Price_data!A$1:B$190,2,FALSE))</f>
        <v>0</v>
      </c>
      <c r="S3722" s="4" t="str">
        <f>(VLOOKUP(B3722,Price_data!A$1:C$190,3,FALSE))</f>
        <v>EEZ</v>
      </c>
      <c r="T3722" s="2" t="str">
        <f>IF(C3722="Total", (VLOOKUP(B3722,Recommended_fish_intake!A$4:D$122,4,FALSE)), "NA")</f>
        <v>NA</v>
      </c>
      <c r="U3722" s="2" t="str">
        <f t="shared" si="382"/>
        <v>NA</v>
      </c>
    </row>
    <row r="3723" spans="1:21" ht="14.25" customHeight="1">
      <c r="A3723" s="2" t="s">
        <v>90</v>
      </c>
      <c r="B3723" s="2">
        <v>2005</v>
      </c>
      <c r="C3723" s="2" t="s">
        <v>20</v>
      </c>
      <c r="D3723" s="2">
        <v>3.4</v>
      </c>
      <c r="E3723" s="2">
        <v>1.6</v>
      </c>
      <c r="P3723" s="3">
        <f>E3723*(VLOOKUP(B3723,Price_data!A$1:B$190,2,FALSE))</f>
        <v>1.4193582464000001</v>
      </c>
      <c r="Q3723" s="3">
        <f>G3723*(VLOOKUP(B3723,Price_data!A$1:B$190,2,FALSE))</f>
        <v>0</v>
      </c>
      <c r="R3723" s="3">
        <f>I3723*(VLOOKUP(B3723,Price_data!A$1:B$190,2,FALSE))</f>
        <v>0</v>
      </c>
      <c r="S3723" s="4" t="str">
        <f>(VLOOKUP(B3723,Price_data!A$1:C$190,3,FALSE))</f>
        <v>EEZ</v>
      </c>
      <c r="T3723" s="2" t="str">
        <f>IF(C3723="Total", (VLOOKUP(B3723,Recommended_fish_intake!A$4:D$122,4,FALSE)), "NA")</f>
        <v>NA</v>
      </c>
      <c r="U3723" s="2" t="str">
        <f t="shared" si="382"/>
        <v>NA</v>
      </c>
    </row>
    <row r="3724" spans="1:21" ht="14.25" customHeight="1">
      <c r="A3724" s="2" t="s">
        <v>90</v>
      </c>
      <c r="B3724" s="2">
        <v>2005</v>
      </c>
      <c r="C3724" s="2" t="s">
        <v>42</v>
      </c>
      <c r="D3724" s="2">
        <v>14.9</v>
      </c>
      <c r="E3724" s="2">
        <v>5.4</v>
      </c>
      <c r="P3724" s="3">
        <f>E3724*(VLOOKUP(B3724,Price_data!A$1:B$190,2,FALSE))</f>
        <v>4.7903340816000002</v>
      </c>
      <c r="Q3724" s="3">
        <f>G3724*(VLOOKUP(B3724,Price_data!A$1:B$190,2,FALSE))</f>
        <v>0</v>
      </c>
      <c r="R3724" s="3">
        <f>I3724*(VLOOKUP(B3724,Price_data!A$1:B$190,2,FALSE))</f>
        <v>0</v>
      </c>
      <c r="S3724" s="4" t="str">
        <f>(VLOOKUP(B3724,Price_data!A$1:C$190,3,FALSE))</f>
        <v>EEZ</v>
      </c>
      <c r="T3724" s="2" t="str">
        <f>IF(C3724="Total", (VLOOKUP(B3724,Recommended_fish_intake!A$4:D$122,4,FALSE)), "NA")</f>
        <v>NA</v>
      </c>
      <c r="U3724" s="2" t="str">
        <f t="shared" si="382"/>
        <v>NA</v>
      </c>
    </row>
    <row r="3725" spans="1:21" ht="14.25" customHeight="1">
      <c r="A3725" s="2" t="s">
        <v>90</v>
      </c>
      <c r="B3725" s="2">
        <v>2005</v>
      </c>
      <c r="C3725" s="2" t="s">
        <v>36</v>
      </c>
      <c r="D3725" s="2">
        <v>8.6999999999999993</v>
      </c>
      <c r="E3725" s="2">
        <v>10.6</v>
      </c>
      <c r="P3725" s="3">
        <f>E3725*(VLOOKUP(B3725,Price_data!A$1:B$190,2,FALSE))</f>
        <v>9.4032483823999993</v>
      </c>
      <c r="Q3725" s="3">
        <f>G3725*(VLOOKUP(B3725,Price_data!A$1:B$190,2,FALSE))</f>
        <v>0</v>
      </c>
      <c r="R3725" s="3">
        <f>I3725*(VLOOKUP(B3725,Price_data!A$1:B$190,2,FALSE))</f>
        <v>0</v>
      </c>
      <c r="S3725" s="4" t="str">
        <f>(VLOOKUP(B3725,Price_data!A$1:C$190,3,FALSE))</f>
        <v>EEZ</v>
      </c>
      <c r="T3725" s="2" t="str">
        <f>IF(C3725="Total", (VLOOKUP(B3725,Recommended_fish_intake!A$4:D$122,4,FALSE)), "NA")</f>
        <v>NA</v>
      </c>
      <c r="U3725" s="2" t="str">
        <f t="shared" si="382"/>
        <v>NA</v>
      </c>
    </row>
    <row r="3726" spans="1:21" ht="14.25" customHeight="1">
      <c r="A3726" s="2" t="s">
        <v>90</v>
      </c>
      <c r="B3726" s="2">
        <v>2005</v>
      </c>
      <c r="C3726" s="2" t="s">
        <v>34</v>
      </c>
      <c r="D3726" s="2">
        <v>0.9</v>
      </c>
      <c r="E3726" s="2">
        <v>7.1</v>
      </c>
      <c r="P3726" s="3">
        <f>E3726*(VLOOKUP(B3726,Price_data!A$1:B$190,2,FALSE))</f>
        <v>6.2984022183999997</v>
      </c>
      <c r="Q3726" s="3">
        <f>G3726*(VLOOKUP(B3726,Price_data!A$1:B$190,2,FALSE))</f>
        <v>0</v>
      </c>
      <c r="R3726" s="3">
        <f>I3726*(VLOOKUP(B3726,Price_data!A$1:B$190,2,FALSE))</f>
        <v>0</v>
      </c>
      <c r="S3726" s="4" t="str">
        <f>(VLOOKUP(B3726,Price_data!A$1:C$190,3,FALSE))</f>
        <v>EEZ</v>
      </c>
      <c r="T3726" s="2" t="str">
        <f>IF(C3726="Total", (VLOOKUP(B3726,Recommended_fish_intake!A$4:D$122,4,FALSE)), "NA")</f>
        <v>NA</v>
      </c>
      <c r="U3726" s="2" t="str">
        <f t="shared" si="382"/>
        <v>NA</v>
      </c>
    </row>
    <row r="3727" spans="1:21" ht="14.25" customHeight="1">
      <c r="A3727" s="2" t="s">
        <v>90</v>
      </c>
      <c r="B3727" s="2">
        <v>2005</v>
      </c>
      <c r="C3727" s="2" t="s">
        <v>35</v>
      </c>
      <c r="D3727" s="2">
        <v>3.8</v>
      </c>
      <c r="E3727" s="2">
        <v>7.6</v>
      </c>
      <c r="P3727" s="3">
        <f>E3727*(VLOOKUP(B3727,Price_data!A$1:B$190,2,FALSE))</f>
        <v>6.7419516703999998</v>
      </c>
      <c r="Q3727" s="3">
        <f>G3727*(VLOOKUP(B3727,Price_data!A$1:B$190,2,FALSE))</f>
        <v>0</v>
      </c>
      <c r="R3727" s="3">
        <f>I3727*(VLOOKUP(B3727,Price_data!A$1:B$190,2,FALSE))</f>
        <v>0</v>
      </c>
      <c r="S3727" s="4" t="str">
        <f>(VLOOKUP(B3727,Price_data!A$1:C$190,3,FALSE))</f>
        <v>EEZ</v>
      </c>
      <c r="T3727" s="2" t="str">
        <f>IF(C3727="Total", (VLOOKUP(B3727,Recommended_fish_intake!A$4:D$122,4,FALSE)), "NA")</f>
        <v>NA</v>
      </c>
      <c r="U3727" s="2" t="str">
        <f t="shared" si="382"/>
        <v>NA</v>
      </c>
    </row>
    <row r="3728" spans="1:21" ht="14.25" customHeight="1">
      <c r="A3728" s="2" t="s">
        <v>90</v>
      </c>
      <c r="B3728" s="2">
        <v>2005</v>
      </c>
      <c r="C3728" s="2" t="s">
        <v>52</v>
      </c>
      <c r="D3728" s="2">
        <v>10.4</v>
      </c>
      <c r="E3728" s="2">
        <v>15.1</v>
      </c>
      <c r="P3728" s="3">
        <f>E3728*(VLOOKUP(B3728,Price_data!A$1:B$190,2,FALSE))</f>
        <v>13.395193450400001</v>
      </c>
      <c r="Q3728" s="3">
        <f>G3728*(VLOOKUP(B3728,Price_data!A$1:B$190,2,FALSE))</f>
        <v>0</v>
      </c>
      <c r="R3728" s="3">
        <f>I3728*(VLOOKUP(B3728,Price_data!A$1:B$190,2,FALSE))</f>
        <v>0</v>
      </c>
      <c r="S3728" s="4" t="str">
        <f>(VLOOKUP(B3728,Price_data!A$1:C$190,3,FALSE))</f>
        <v>EEZ</v>
      </c>
      <c r="T3728" s="2" t="str">
        <f>IF(C3728="Total", (VLOOKUP(B3728,Recommended_fish_intake!A$4:D$122,4,FALSE)), "NA")</f>
        <v>NA</v>
      </c>
      <c r="U3728" s="2" t="str">
        <f t="shared" si="382"/>
        <v>NA</v>
      </c>
    </row>
    <row r="3729" spans="1:21" ht="14.25" customHeight="1">
      <c r="A3729" s="2" t="s">
        <v>90</v>
      </c>
      <c r="B3729" s="2">
        <v>2005</v>
      </c>
      <c r="C3729" s="2" t="s">
        <v>30</v>
      </c>
      <c r="D3729" s="2">
        <v>0.5</v>
      </c>
      <c r="E3729" s="2">
        <v>0.9</v>
      </c>
      <c r="P3729" s="3">
        <f>E3729*(VLOOKUP(B3729,Price_data!A$1:B$190,2,FALSE))</f>
        <v>0.79838901360000003</v>
      </c>
      <c r="Q3729" s="3">
        <f>G3729*(VLOOKUP(B3729,Price_data!A$1:B$190,2,FALSE))</f>
        <v>0</v>
      </c>
      <c r="R3729" s="3">
        <f>I3729*(VLOOKUP(B3729,Price_data!A$1:B$190,2,FALSE))</f>
        <v>0</v>
      </c>
      <c r="S3729" s="4" t="str">
        <f>(VLOOKUP(B3729,Price_data!A$1:C$190,3,FALSE))</f>
        <v>EEZ</v>
      </c>
      <c r="T3729" s="2" t="str">
        <f>IF(C3729="Total", (VLOOKUP(B3729,Recommended_fish_intake!A$4:D$122,4,FALSE)), "NA")</f>
        <v>NA</v>
      </c>
      <c r="U3729" s="2" t="str">
        <f t="shared" si="382"/>
        <v>NA</v>
      </c>
    </row>
    <row r="3730" spans="1:21" ht="14.25" customHeight="1">
      <c r="A3730" s="2" t="s">
        <v>90</v>
      </c>
      <c r="B3730" s="2">
        <v>2005</v>
      </c>
      <c r="C3730" s="2" t="s">
        <v>28</v>
      </c>
      <c r="D3730" s="2">
        <v>56.1</v>
      </c>
      <c r="E3730" s="2">
        <v>58.5</v>
      </c>
      <c r="P3730" s="3">
        <f>E3730*(VLOOKUP(B3730,Price_data!A$1:B$190,2,FALSE))</f>
        <v>51.895285884000003</v>
      </c>
      <c r="Q3730" s="3">
        <f>G3730*(VLOOKUP(B3730,Price_data!A$1:B$190,2,FALSE))</f>
        <v>0</v>
      </c>
      <c r="R3730" s="3">
        <f>I3730*(VLOOKUP(B3730,Price_data!A$1:B$190,2,FALSE))</f>
        <v>0</v>
      </c>
      <c r="S3730" s="4" t="str">
        <f>(VLOOKUP(B3730,Price_data!A$1:C$190,3,FALSE))</f>
        <v>EEZ</v>
      </c>
      <c r="T3730" s="2" t="str">
        <f>IF(C3730="Total", (VLOOKUP(B3730,Recommended_fish_intake!A$4:D$122,4,FALSE)), "NA")</f>
        <v>NA</v>
      </c>
      <c r="U3730" s="2">
        <f t="shared" si="382"/>
        <v>15.708000000000002</v>
      </c>
    </row>
    <row r="3731" spans="1:21" ht="14.25" customHeight="1">
      <c r="A3731" s="2" t="s">
        <v>91</v>
      </c>
      <c r="B3731" s="2">
        <v>2005</v>
      </c>
      <c r="C3731" s="2" t="s">
        <v>22</v>
      </c>
      <c r="D3731" s="2">
        <v>2.1000000000000001E-2</v>
      </c>
      <c r="E3731" s="2">
        <v>3.5000000000000003E-2</v>
      </c>
      <c r="P3731" s="3">
        <f>E3731*(VLOOKUP(B3731,Price_data!A$1:B$190,2,FALSE))</f>
        <v>3.1048461640000004E-2</v>
      </c>
      <c r="Q3731" s="3">
        <f>G3731*(VLOOKUP(B3731,Price_data!A$1:B$190,2,FALSE))</f>
        <v>0</v>
      </c>
      <c r="R3731" s="3">
        <f>I3731*(VLOOKUP(B3731,Price_data!A$1:B$190,2,FALSE))</f>
        <v>0</v>
      </c>
      <c r="S3731" s="4" t="str">
        <f>(VLOOKUP(B3731,Price_data!A$1:C$190,3,FALSE))</f>
        <v>EEZ</v>
      </c>
      <c r="T3731" s="2" t="str">
        <f>IF(C3731="Total", (VLOOKUP(B3731,Recommended_fish_intake!A$4:D$122,4,FALSE)), "NA")</f>
        <v>NA</v>
      </c>
      <c r="U3731" s="2" t="str">
        <f t="shared" si="382"/>
        <v>NA</v>
      </c>
    </row>
    <row r="3732" spans="1:21" ht="14.25" customHeight="1">
      <c r="A3732" s="2" t="s">
        <v>91</v>
      </c>
      <c r="B3732" s="2">
        <v>2005</v>
      </c>
      <c r="C3732" s="2" t="s">
        <v>23</v>
      </c>
      <c r="D3732" s="2">
        <v>1.0999999999999999E-2</v>
      </c>
      <c r="E3732" s="2">
        <v>8.9999999999999993E-3</v>
      </c>
      <c r="P3732" s="3">
        <f>E3732*(VLOOKUP(B3732,Price_data!A$1:B$190,2,FALSE))</f>
        <v>7.9838901359999999E-3</v>
      </c>
      <c r="Q3732" s="3">
        <f>G3732*(VLOOKUP(B3732,Price_data!A$1:B$190,2,FALSE))</f>
        <v>0</v>
      </c>
      <c r="R3732" s="3">
        <f>I3732*(VLOOKUP(B3732,Price_data!A$1:B$190,2,FALSE))</f>
        <v>0</v>
      </c>
      <c r="S3732" s="4" t="str">
        <f>(VLOOKUP(B3732,Price_data!A$1:C$190,3,FALSE))</f>
        <v>EEZ</v>
      </c>
      <c r="T3732" s="2" t="str">
        <f>IF(C3732="Total", (VLOOKUP(B3732,Recommended_fish_intake!A$4:D$122,4,FALSE)), "NA")</f>
        <v>NA</v>
      </c>
      <c r="U3732" s="2" t="str">
        <f t="shared" si="382"/>
        <v>NA</v>
      </c>
    </row>
    <row r="3733" spans="1:21" ht="14.25" customHeight="1">
      <c r="A3733" s="2" t="s">
        <v>91</v>
      </c>
      <c r="B3733" s="2">
        <v>2005</v>
      </c>
      <c r="C3733" s="2" t="s">
        <v>58</v>
      </c>
      <c r="D3733" s="2">
        <v>0.441</v>
      </c>
      <c r="E3733" s="2">
        <v>1.0589999999999999</v>
      </c>
      <c r="P3733" s="3">
        <f>E3733*(VLOOKUP(B3733,Price_data!A$1:B$190,2,FALSE))</f>
        <v>0.93943773933599994</v>
      </c>
      <c r="Q3733" s="3">
        <f>G3733*(VLOOKUP(B3733,Price_data!A$1:B$190,2,FALSE))</f>
        <v>0</v>
      </c>
      <c r="R3733" s="3">
        <f>I3733*(VLOOKUP(B3733,Price_data!A$1:B$190,2,FALSE))</f>
        <v>0</v>
      </c>
      <c r="S3733" s="4" t="str">
        <f>(VLOOKUP(B3733,Price_data!A$1:C$190,3,FALSE))</f>
        <v>EEZ</v>
      </c>
      <c r="T3733" s="2" t="str">
        <f>IF(C3733="Total", (VLOOKUP(B3733,Recommended_fish_intake!A$4:D$122,4,FALSE)), "NA")</f>
        <v>NA</v>
      </c>
      <c r="U3733" s="2" t="str">
        <f t="shared" si="382"/>
        <v>NA</v>
      </c>
    </row>
    <row r="3734" spans="1:21" ht="14.25" customHeight="1">
      <c r="A3734" s="2" t="s">
        <v>91</v>
      </c>
      <c r="B3734" s="2">
        <v>2005</v>
      </c>
      <c r="C3734" s="2" t="s">
        <v>24</v>
      </c>
      <c r="D3734" s="2">
        <v>2.5999999999999999E-2</v>
      </c>
      <c r="E3734" s="2">
        <v>1.6E-2</v>
      </c>
      <c r="P3734" s="3">
        <f>E3734*(VLOOKUP(B3734,Price_data!A$1:B$190,2,FALSE))</f>
        <v>1.4193582464000001E-2</v>
      </c>
      <c r="Q3734" s="3">
        <f>G3734*(VLOOKUP(B3734,Price_data!A$1:B$190,2,FALSE))</f>
        <v>0</v>
      </c>
      <c r="R3734" s="3">
        <f>I3734*(VLOOKUP(B3734,Price_data!A$1:B$190,2,FALSE))</f>
        <v>0</v>
      </c>
      <c r="S3734" s="4" t="str">
        <f>(VLOOKUP(B3734,Price_data!A$1:C$190,3,FALSE))</f>
        <v>EEZ</v>
      </c>
      <c r="T3734" s="2" t="str">
        <f>IF(C3734="Total", (VLOOKUP(B3734,Recommended_fish_intake!A$4:D$122,4,FALSE)), "NA")</f>
        <v>NA</v>
      </c>
      <c r="U3734" s="2" t="str">
        <f t="shared" si="382"/>
        <v>NA</v>
      </c>
    </row>
    <row r="3735" spans="1:21" ht="14.25" customHeight="1">
      <c r="A3735" s="2" t="s">
        <v>91</v>
      </c>
      <c r="B3735" s="2">
        <v>2005</v>
      </c>
      <c r="C3735" s="2" t="s">
        <v>41</v>
      </c>
      <c r="D3735" s="2">
        <v>2.4380000000000002</v>
      </c>
      <c r="E3735" s="2">
        <v>4.7750000000000004</v>
      </c>
      <c r="P3735" s="3">
        <f>E3735*(VLOOKUP(B3735,Price_data!A$1:B$190,2,FALSE))</f>
        <v>4.2358972666000003</v>
      </c>
      <c r="Q3735" s="3">
        <f>G3735*(VLOOKUP(B3735,Price_data!A$1:B$190,2,FALSE))</f>
        <v>0</v>
      </c>
      <c r="R3735" s="3">
        <f>I3735*(VLOOKUP(B3735,Price_data!A$1:B$190,2,FALSE))</f>
        <v>0</v>
      </c>
      <c r="S3735" s="4" t="str">
        <f>(VLOOKUP(B3735,Price_data!A$1:C$190,3,FALSE))</f>
        <v>EEZ</v>
      </c>
      <c r="T3735" s="2" t="str">
        <f>IF(C3735="Total", (VLOOKUP(B3735,Recommended_fish_intake!A$4:D$122,4,FALSE)), "NA")</f>
        <v>NA</v>
      </c>
      <c r="U3735" s="2" t="str">
        <f t="shared" si="382"/>
        <v>NA</v>
      </c>
    </row>
    <row r="3736" spans="1:21" ht="14.25" customHeight="1">
      <c r="A3736" s="2" t="s">
        <v>91</v>
      </c>
      <c r="B3736" s="2">
        <v>2005</v>
      </c>
      <c r="C3736" s="2" t="s">
        <v>19</v>
      </c>
      <c r="D3736" s="2">
        <v>1E-3</v>
      </c>
      <c r="E3736" s="2">
        <v>0</v>
      </c>
      <c r="P3736" s="3">
        <f>E3736*(VLOOKUP(B3736,Price_data!A$1:B$190,2,FALSE))</f>
        <v>0</v>
      </c>
      <c r="Q3736" s="3">
        <f>G3736*(VLOOKUP(B3736,Price_data!A$1:B$190,2,FALSE))</f>
        <v>0</v>
      </c>
      <c r="R3736" s="3">
        <f>I3736*(VLOOKUP(B3736,Price_data!A$1:B$190,2,FALSE))</f>
        <v>0</v>
      </c>
      <c r="S3736" s="4" t="str">
        <f>(VLOOKUP(B3736,Price_data!A$1:C$190,3,FALSE))</f>
        <v>EEZ</v>
      </c>
      <c r="T3736" s="2" t="str">
        <f>IF(C3736="Total", (VLOOKUP(B3736,Recommended_fish_intake!A$4:D$122,4,FALSE)), "NA")</f>
        <v>NA</v>
      </c>
      <c r="U3736" s="2" t="str">
        <f t="shared" si="382"/>
        <v>NA</v>
      </c>
    </row>
    <row r="3737" spans="1:21" ht="14.25" customHeight="1">
      <c r="A3737" s="2" t="s">
        <v>91</v>
      </c>
      <c r="B3737" s="2">
        <v>2005</v>
      </c>
      <c r="C3737" s="2" t="s">
        <v>20</v>
      </c>
      <c r="D3737" s="2">
        <v>0</v>
      </c>
      <c r="E3737" s="2">
        <v>0</v>
      </c>
      <c r="P3737" s="3">
        <f>E3737*(VLOOKUP(B3737,Price_data!A$1:B$190,2,FALSE))</f>
        <v>0</v>
      </c>
      <c r="Q3737" s="3">
        <f>G3737*(VLOOKUP(B3737,Price_data!A$1:B$190,2,FALSE))</f>
        <v>0</v>
      </c>
      <c r="R3737" s="3">
        <f>I3737*(VLOOKUP(B3737,Price_data!A$1:B$190,2,FALSE))</f>
        <v>0</v>
      </c>
      <c r="S3737" s="4" t="str">
        <f>(VLOOKUP(B3737,Price_data!A$1:C$190,3,FALSE))</f>
        <v>EEZ</v>
      </c>
      <c r="T3737" s="2" t="str">
        <f>IF(C3737="Total", (VLOOKUP(B3737,Recommended_fish_intake!A$4:D$122,4,FALSE)), "NA")</f>
        <v>NA</v>
      </c>
      <c r="U3737" s="2" t="str">
        <f t="shared" si="382"/>
        <v>NA</v>
      </c>
    </row>
    <row r="3738" spans="1:21" ht="14.25" customHeight="1">
      <c r="A3738" s="2" t="s">
        <v>91</v>
      </c>
      <c r="B3738" s="2">
        <v>2005</v>
      </c>
      <c r="C3738" s="2" t="s">
        <v>42</v>
      </c>
      <c r="D3738" s="2">
        <v>1E-3</v>
      </c>
      <c r="E3738" s="2">
        <v>0</v>
      </c>
      <c r="P3738" s="3">
        <f>E3738*(VLOOKUP(B3738,Price_data!A$1:B$190,2,FALSE))</f>
        <v>0</v>
      </c>
      <c r="Q3738" s="3">
        <f>G3738*(VLOOKUP(B3738,Price_data!A$1:B$190,2,FALSE))</f>
        <v>0</v>
      </c>
      <c r="R3738" s="3">
        <f>I3738*(VLOOKUP(B3738,Price_data!A$1:B$190,2,FALSE))</f>
        <v>0</v>
      </c>
      <c r="S3738" s="4" t="str">
        <f>(VLOOKUP(B3738,Price_data!A$1:C$190,3,FALSE))</f>
        <v>EEZ</v>
      </c>
      <c r="T3738" s="2" t="str">
        <f>IF(C3738="Total", (VLOOKUP(B3738,Recommended_fish_intake!A$4:D$122,4,FALSE)), "NA")</f>
        <v>NA</v>
      </c>
      <c r="U3738" s="2" t="str">
        <f t="shared" si="382"/>
        <v>NA</v>
      </c>
    </row>
    <row r="3739" spans="1:21" ht="14.25" customHeight="1">
      <c r="A3739" s="2" t="s">
        <v>91</v>
      </c>
      <c r="B3739" s="2">
        <v>2005</v>
      </c>
      <c r="C3739" s="2" t="s">
        <v>36</v>
      </c>
      <c r="D3739" s="2">
        <v>0.374</v>
      </c>
      <c r="E3739" s="2">
        <v>0.32900000000000001</v>
      </c>
      <c r="P3739" s="3">
        <f>E3739*(VLOOKUP(B3739,Price_data!A$1:B$190,2,FALSE))</f>
        <v>0.29185553941600001</v>
      </c>
      <c r="Q3739" s="3">
        <f>G3739*(VLOOKUP(B3739,Price_data!A$1:B$190,2,FALSE))</f>
        <v>0</v>
      </c>
      <c r="R3739" s="3">
        <f>I3739*(VLOOKUP(B3739,Price_data!A$1:B$190,2,FALSE))</f>
        <v>0</v>
      </c>
      <c r="S3739" s="4" t="str">
        <f>(VLOOKUP(B3739,Price_data!A$1:C$190,3,FALSE))</f>
        <v>EEZ</v>
      </c>
      <c r="T3739" s="2" t="str">
        <f>IF(C3739="Total", (VLOOKUP(B3739,Recommended_fish_intake!A$4:D$122,4,FALSE)), "NA")</f>
        <v>NA</v>
      </c>
      <c r="U3739" s="2" t="str">
        <f t="shared" si="382"/>
        <v>NA</v>
      </c>
    </row>
    <row r="3740" spans="1:21" ht="14.25" customHeight="1">
      <c r="A3740" s="2" t="s">
        <v>91</v>
      </c>
      <c r="B3740" s="2">
        <v>2005</v>
      </c>
      <c r="C3740" s="2" t="s">
        <v>34</v>
      </c>
      <c r="D3740" s="2">
        <v>3.5999999999999997E-2</v>
      </c>
      <c r="E3740" s="2">
        <v>0.53100000000000003</v>
      </c>
      <c r="P3740" s="3">
        <f>E3740*(VLOOKUP(B3740,Price_data!A$1:B$190,2,FALSE))</f>
        <v>0.47104951802400002</v>
      </c>
      <c r="Q3740" s="3">
        <f>G3740*(VLOOKUP(B3740,Price_data!A$1:B$190,2,FALSE))</f>
        <v>0</v>
      </c>
      <c r="R3740" s="3">
        <f>I3740*(VLOOKUP(B3740,Price_data!A$1:B$190,2,FALSE))</f>
        <v>0</v>
      </c>
      <c r="S3740" s="4" t="str">
        <f>(VLOOKUP(B3740,Price_data!A$1:C$190,3,FALSE))</f>
        <v>EEZ</v>
      </c>
      <c r="T3740" s="2" t="str">
        <f>IF(C3740="Total", (VLOOKUP(B3740,Recommended_fish_intake!A$4:D$122,4,FALSE)), "NA")</f>
        <v>NA</v>
      </c>
      <c r="U3740" s="2" t="str">
        <f t="shared" si="382"/>
        <v>NA</v>
      </c>
    </row>
    <row r="3741" spans="1:21" ht="14.25" customHeight="1">
      <c r="A3741" s="2" t="s">
        <v>91</v>
      </c>
      <c r="B3741" s="2">
        <v>2005</v>
      </c>
      <c r="C3741" s="2" t="s">
        <v>35</v>
      </c>
      <c r="D3741" s="2">
        <v>9.8000000000000004E-2</v>
      </c>
      <c r="E3741" s="2">
        <v>0.49199999999999999</v>
      </c>
      <c r="P3741" s="3">
        <f>E3741*(VLOOKUP(B3741,Price_data!A$1:B$190,2,FALSE))</f>
        <v>0.43645266076799999</v>
      </c>
      <c r="Q3741" s="3">
        <f>G3741*(VLOOKUP(B3741,Price_data!A$1:B$190,2,FALSE))</f>
        <v>0</v>
      </c>
      <c r="R3741" s="3">
        <f>I3741*(VLOOKUP(B3741,Price_data!A$1:B$190,2,FALSE))</f>
        <v>0</v>
      </c>
      <c r="S3741" s="4" t="str">
        <f>(VLOOKUP(B3741,Price_data!A$1:C$190,3,FALSE))</f>
        <v>EEZ</v>
      </c>
      <c r="T3741" s="2" t="str">
        <f>IF(C3741="Total", (VLOOKUP(B3741,Recommended_fish_intake!A$4:D$122,4,FALSE)), "NA")</f>
        <v>NA</v>
      </c>
      <c r="U3741" s="2" t="str">
        <f t="shared" si="382"/>
        <v>NA</v>
      </c>
    </row>
    <row r="3742" spans="1:21" ht="14.25" customHeight="1">
      <c r="A3742" s="2" t="s">
        <v>91</v>
      </c>
      <c r="B3742" s="2">
        <v>2005</v>
      </c>
      <c r="C3742" s="2" t="s">
        <v>52</v>
      </c>
      <c r="D3742" s="2">
        <v>1.0389999999999999</v>
      </c>
      <c r="E3742" s="2">
        <v>0.96899999999999997</v>
      </c>
      <c r="P3742" s="3">
        <f>E3742*(VLOOKUP(B3742,Price_data!A$1:B$190,2,FALSE))</f>
        <v>0.85959883797600001</v>
      </c>
      <c r="Q3742" s="3">
        <f>G3742*(VLOOKUP(B3742,Price_data!A$1:B$190,2,FALSE))</f>
        <v>0</v>
      </c>
      <c r="R3742" s="3">
        <f>I3742*(VLOOKUP(B3742,Price_data!A$1:B$190,2,FALSE))</f>
        <v>0</v>
      </c>
      <c r="S3742" s="4" t="str">
        <f>(VLOOKUP(B3742,Price_data!A$1:C$190,3,FALSE))</f>
        <v>EEZ</v>
      </c>
      <c r="T3742" s="2" t="str">
        <f>IF(C3742="Total", (VLOOKUP(B3742,Recommended_fish_intake!A$4:D$122,4,FALSE)), "NA")</f>
        <v>NA</v>
      </c>
      <c r="U3742" s="2" t="str">
        <f t="shared" si="382"/>
        <v>NA</v>
      </c>
    </row>
    <row r="3743" spans="1:21" ht="14.25" customHeight="1">
      <c r="A3743" s="2" t="s">
        <v>91</v>
      </c>
      <c r="B3743" s="2">
        <v>2005</v>
      </c>
      <c r="C3743" s="2" t="s">
        <v>30</v>
      </c>
      <c r="D3743" s="2">
        <v>0</v>
      </c>
      <c r="E3743" s="2">
        <v>0</v>
      </c>
      <c r="P3743" s="3">
        <f>E3743*(VLOOKUP(B3743,Price_data!A$1:B$190,2,FALSE))</f>
        <v>0</v>
      </c>
      <c r="Q3743" s="3">
        <f>G3743*(VLOOKUP(B3743,Price_data!A$1:B$190,2,FALSE))</f>
        <v>0</v>
      </c>
      <c r="R3743" s="3">
        <f>I3743*(VLOOKUP(B3743,Price_data!A$1:B$190,2,FALSE))</f>
        <v>0</v>
      </c>
      <c r="S3743" s="4" t="str">
        <f>(VLOOKUP(B3743,Price_data!A$1:C$190,3,FALSE))</f>
        <v>EEZ</v>
      </c>
      <c r="T3743" s="2" t="str">
        <f>IF(C3743="Total", (VLOOKUP(B3743,Recommended_fish_intake!A$4:D$122,4,FALSE)), "NA")</f>
        <v>NA</v>
      </c>
      <c r="U3743" s="2" t="str">
        <f t="shared" si="382"/>
        <v>NA</v>
      </c>
    </row>
    <row r="3744" spans="1:21" ht="14.25" customHeight="1">
      <c r="A3744" s="2" t="s">
        <v>91</v>
      </c>
      <c r="B3744" s="2">
        <v>2005</v>
      </c>
      <c r="C3744" s="2" t="s">
        <v>28</v>
      </c>
      <c r="D3744" s="2">
        <v>15.206</v>
      </c>
      <c r="E3744" s="2">
        <v>11.170999999999999</v>
      </c>
      <c r="P3744" s="3">
        <f>E3744*(VLOOKUP(B3744,Price_data!A$1:B$190,2,FALSE))</f>
        <v>9.909781856583999</v>
      </c>
      <c r="Q3744" s="3">
        <f>G3744*(VLOOKUP(B3744,Price_data!A$1:B$190,2,FALSE))</f>
        <v>0</v>
      </c>
      <c r="R3744" s="3">
        <f>I3744*(VLOOKUP(B3744,Price_data!A$1:B$190,2,FALSE))</f>
        <v>0</v>
      </c>
      <c r="S3744" s="4" t="str">
        <f>(VLOOKUP(B3744,Price_data!A$1:C$190,3,FALSE))</f>
        <v>EEZ</v>
      </c>
      <c r="T3744" s="2" t="str">
        <f>IF(C3744="Total", (VLOOKUP(B3744,Recommended_fish_intake!A$4:D$122,4,FALSE)), "NA")</f>
        <v>NA</v>
      </c>
      <c r="U3744" s="2">
        <f t="shared" si="382"/>
        <v>4.2576800000000006</v>
      </c>
    </row>
    <row r="3745" spans="1:21" ht="14.25" customHeight="1">
      <c r="A3745" s="2" t="s">
        <v>39</v>
      </c>
      <c r="B3745" s="2">
        <v>2005</v>
      </c>
      <c r="C3745" s="2" t="s">
        <v>22</v>
      </c>
      <c r="D3745" s="2">
        <v>7.3230000000000004</v>
      </c>
      <c r="E3745" s="2">
        <v>13.01</v>
      </c>
      <c r="P3745" s="3">
        <f>E3745*(VLOOKUP(B3745,Price_data!A$1:B$190,2,FALSE))</f>
        <v>11.54115674104</v>
      </c>
      <c r="Q3745" s="3">
        <f>G3745*(VLOOKUP(B3745,Price_data!A$1:B$190,2,FALSE))</f>
        <v>0</v>
      </c>
      <c r="R3745" s="3">
        <f>I3745*(VLOOKUP(B3745,Price_data!A$1:B$190,2,FALSE))</f>
        <v>0</v>
      </c>
      <c r="S3745" s="4" t="str">
        <f>(VLOOKUP(B3745,Price_data!A$1:C$190,3,FALSE))</f>
        <v>EEZ</v>
      </c>
      <c r="T3745" s="2" t="str">
        <f>IF(C3745="Total", (VLOOKUP(B3745,Recommended_fish_intake!A$4:D$122,4,FALSE)), "NA")</f>
        <v>NA</v>
      </c>
      <c r="U3745" s="2" t="str">
        <f t="shared" si="382"/>
        <v>NA</v>
      </c>
    </row>
    <row r="3746" spans="1:21" ht="14.25" customHeight="1">
      <c r="A3746" s="2" t="s">
        <v>39</v>
      </c>
      <c r="B3746" s="2">
        <v>2005</v>
      </c>
      <c r="C3746" s="2" t="s">
        <v>23</v>
      </c>
      <c r="D3746" s="2">
        <v>45.280999999999999</v>
      </c>
      <c r="E3746" s="2">
        <v>36.741999999999997</v>
      </c>
      <c r="P3746" s="3">
        <f>E3746*(VLOOKUP(B3746,Price_data!A$1:B$190,2,FALSE))</f>
        <v>32.593787930767995</v>
      </c>
      <c r="Q3746" s="3">
        <f>G3746*(VLOOKUP(B3746,Price_data!A$1:B$190,2,FALSE))</f>
        <v>0</v>
      </c>
      <c r="R3746" s="3">
        <f>I3746*(VLOOKUP(B3746,Price_data!A$1:B$190,2,FALSE))</f>
        <v>0</v>
      </c>
      <c r="S3746" s="4" t="str">
        <f>(VLOOKUP(B3746,Price_data!A$1:C$190,3,FALSE))</f>
        <v>EEZ</v>
      </c>
      <c r="T3746" s="2" t="str">
        <f>IF(C3746="Total", (VLOOKUP(B3746,Recommended_fish_intake!A$4:D$122,4,FALSE)), "NA")</f>
        <v>NA</v>
      </c>
      <c r="U3746" s="2" t="str">
        <f t="shared" si="382"/>
        <v>NA</v>
      </c>
    </row>
    <row r="3747" spans="1:21" ht="14.25" customHeight="1">
      <c r="A3747" s="2" t="s">
        <v>39</v>
      </c>
      <c r="B3747" s="2">
        <v>2005</v>
      </c>
      <c r="C3747" s="2" t="s">
        <v>58</v>
      </c>
      <c r="D3747" s="2">
        <v>9.6329999999999991</v>
      </c>
      <c r="E3747" s="2">
        <v>24.013999999999999</v>
      </c>
      <c r="P3747" s="3">
        <f>E3747*(VLOOKUP(B3747,Price_data!A$1:B$190,2,FALSE))</f>
        <v>21.302793080655999</v>
      </c>
      <c r="Q3747" s="3">
        <f>G3747*(VLOOKUP(B3747,Price_data!A$1:B$190,2,FALSE))</f>
        <v>0</v>
      </c>
      <c r="R3747" s="3">
        <f>I3747*(VLOOKUP(B3747,Price_data!A$1:B$190,2,FALSE))</f>
        <v>0</v>
      </c>
      <c r="S3747" s="4" t="str">
        <f>(VLOOKUP(B3747,Price_data!A$1:C$190,3,FALSE))</f>
        <v>EEZ</v>
      </c>
      <c r="T3747" s="2" t="str">
        <f>IF(C3747="Total", (VLOOKUP(B3747,Recommended_fish_intake!A$4:D$122,4,FALSE)), "NA")</f>
        <v>NA</v>
      </c>
      <c r="U3747" s="2" t="str">
        <f t="shared" si="382"/>
        <v>NA</v>
      </c>
    </row>
    <row r="3748" spans="1:21" ht="14.25" customHeight="1">
      <c r="A3748" s="2" t="s">
        <v>39</v>
      </c>
      <c r="B3748" s="2">
        <v>2005</v>
      </c>
      <c r="C3748" s="2" t="s">
        <v>24</v>
      </c>
      <c r="D3748" s="2">
        <v>5.7539999999999996</v>
      </c>
      <c r="E3748" s="2">
        <v>4.16</v>
      </c>
      <c r="P3748" s="3">
        <f>E3748*(VLOOKUP(B3748,Price_data!A$1:B$190,2,FALSE))</f>
        <v>3.6903314406400001</v>
      </c>
      <c r="Q3748" s="3">
        <f>G3748*(VLOOKUP(B3748,Price_data!A$1:B$190,2,FALSE))</f>
        <v>0</v>
      </c>
      <c r="R3748" s="3">
        <f>I3748*(VLOOKUP(B3748,Price_data!A$1:B$190,2,FALSE))</f>
        <v>0</v>
      </c>
      <c r="S3748" s="4" t="str">
        <f>(VLOOKUP(B3748,Price_data!A$1:C$190,3,FALSE))</f>
        <v>EEZ</v>
      </c>
      <c r="T3748" s="2" t="str">
        <f>IF(C3748="Total", (VLOOKUP(B3748,Recommended_fish_intake!A$4:D$122,4,FALSE)), "NA")</f>
        <v>NA</v>
      </c>
      <c r="U3748" s="2" t="str">
        <f t="shared" si="382"/>
        <v>NA</v>
      </c>
    </row>
    <row r="3749" spans="1:21" ht="14.25" customHeight="1">
      <c r="A3749" s="2" t="s">
        <v>39</v>
      </c>
      <c r="B3749" s="2">
        <v>2005</v>
      </c>
      <c r="C3749" s="2" t="s">
        <v>41</v>
      </c>
      <c r="D3749" s="2">
        <v>94.584000000000003</v>
      </c>
      <c r="E3749" s="2">
        <v>108.288</v>
      </c>
      <c r="P3749" s="3">
        <f>E3749*(VLOOKUP(B3749,Price_data!A$1:B$190,2,FALSE))</f>
        <v>96.062166116352003</v>
      </c>
      <c r="Q3749" s="3">
        <f>G3749*(VLOOKUP(B3749,Price_data!A$1:B$190,2,FALSE))</f>
        <v>0</v>
      </c>
      <c r="R3749" s="3">
        <f>I3749*(VLOOKUP(B3749,Price_data!A$1:B$190,2,FALSE))</f>
        <v>0</v>
      </c>
      <c r="S3749" s="4" t="str">
        <f>(VLOOKUP(B3749,Price_data!A$1:C$190,3,FALSE))</f>
        <v>EEZ</v>
      </c>
      <c r="T3749" s="2" t="str">
        <f>IF(C3749="Total", (VLOOKUP(B3749,Recommended_fish_intake!A$4:D$122,4,FALSE)), "NA")</f>
        <v>NA</v>
      </c>
      <c r="U3749" s="2" t="str">
        <f t="shared" si="382"/>
        <v>NA</v>
      </c>
    </row>
    <row r="3750" spans="1:21" ht="14.25" customHeight="1">
      <c r="A3750" s="2" t="s">
        <v>39</v>
      </c>
      <c r="B3750" s="2">
        <v>2005</v>
      </c>
      <c r="C3750" s="2" t="s">
        <v>19</v>
      </c>
      <c r="D3750" s="2">
        <v>71.385000000000005</v>
      </c>
      <c r="E3750" s="2">
        <v>14.446</v>
      </c>
      <c r="P3750" s="3">
        <f>E3750*(VLOOKUP(B3750,Price_data!A$1:B$190,2,FALSE))</f>
        <v>12.815030767184</v>
      </c>
      <c r="Q3750" s="3">
        <f>G3750*(VLOOKUP(B3750,Price_data!A$1:B$190,2,FALSE))</f>
        <v>0</v>
      </c>
      <c r="R3750" s="3">
        <f>I3750*(VLOOKUP(B3750,Price_data!A$1:B$190,2,FALSE))</f>
        <v>0</v>
      </c>
      <c r="S3750" s="4" t="str">
        <f>(VLOOKUP(B3750,Price_data!A$1:C$190,3,FALSE))</f>
        <v>EEZ</v>
      </c>
      <c r="T3750" s="2" t="str">
        <f>IF(C3750="Total", (VLOOKUP(B3750,Recommended_fish_intake!A$4:D$122,4,FALSE)), "NA")</f>
        <v>NA</v>
      </c>
      <c r="U3750" s="2" t="str">
        <f t="shared" si="382"/>
        <v>NA</v>
      </c>
    </row>
    <row r="3751" spans="1:21" ht="14.25" customHeight="1">
      <c r="A3751" s="2" t="s">
        <v>39</v>
      </c>
      <c r="B3751" s="2">
        <v>2005</v>
      </c>
      <c r="C3751" s="2" t="s">
        <v>20</v>
      </c>
      <c r="D3751" s="2">
        <v>116.226</v>
      </c>
      <c r="E3751" s="2">
        <v>75.938999999999993</v>
      </c>
      <c r="P3751" s="3">
        <f>E3751*(VLOOKUP(B3751,Price_data!A$1:B$190,2,FALSE))</f>
        <v>67.365403670855997</v>
      </c>
      <c r="Q3751" s="3">
        <f>G3751*(VLOOKUP(B3751,Price_data!A$1:B$190,2,FALSE))</f>
        <v>0</v>
      </c>
      <c r="R3751" s="3">
        <f>I3751*(VLOOKUP(B3751,Price_data!A$1:B$190,2,FALSE))</f>
        <v>0</v>
      </c>
      <c r="S3751" s="4" t="str">
        <f>(VLOOKUP(B3751,Price_data!A$1:C$190,3,FALSE))</f>
        <v>EEZ</v>
      </c>
      <c r="T3751" s="2" t="str">
        <f>IF(C3751="Total", (VLOOKUP(B3751,Recommended_fish_intake!A$4:D$122,4,FALSE)), "NA")</f>
        <v>NA</v>
      </c>
      <c r="U3751" s="2" t="str">
        <f t="shared" si="382"/>
        <v>NA</v>
      </c>
    </row>
    <row r="3752" spans="1:21" ht="14.25" customHeight="1">
      <c r="A3752" s="2" t="s">
        <v>39</v>
      </c>
      <c r="B3752" s="2">
        <v>2005</v>
      </c>
      <c r="C3752" s="2" t="s">
        <v>42</v>
      </c>
      <c r="D3752" s="2">
        <v>217.46199999999999</v>
      </c>
      <c r="E3752" s="2">
        <v>91.899000000000001</v>
      </c>
      <c r="P3752" s="3">
        <f>E3752*(VLOOKUP(B3752,Price_data!A$1:B$190,2,FALSE))</f>
        <v>81.523502178696006</v>
      </c>
      <c r="Q3752" s="3">
        <f>G3752*(VLOOKUP(B3752,Price_data!A$1:B$190,2,FALSE))</f>
        <v>0</v>
      </c>
      <c r="R3752" s="3">
        <f>I3752*(VLOOKUP(B3752,Price_data!A$1:B$190,2,FALSE))</f>
        <v>0</v>
      </c>
      <c r="S3752" s="4" t="str">
        <f>(VLOOKUP(B3752,Price_data!A$1:C$190,3,FALSE))</f>
        <v>EEZ</v>
      </c>
      <c r="T3752" s="2" t="str">
        <f>IF(C3752="Total", (VLOOKUP(B3752,Recommended_fish_intake!A$4:D$122,4,FALSE)), "NA")</f>
        <v>NA</v>
      </c>
      <c r="U3752" s="2" t="str">
        <f t="shared" si="382"/>
        <v>NA</v>
      </c>
    </row>
    <row r="3753" spans="1:21" ht="14.25" customHeight="1">
      <c r="A3753" s="2" t="s">
        <v>39</v>
      </c>
      <c r="B3753" s="2">
        <v>2005</v>
      </c>
      <c r="C3753" s="2" t="s">
        <v>36</v>
      </c>
      <c r="D3753" s="2">
        <v>10.243</v>
      </c>
      <c r="E3753" s="2">
        <v>11.93</v>
      </c>
      <c r="P3753" s="3">
        <f>E3753*(VLOOKUP(B3753,Price_data!A$1:B$190,2,FALSE))</f>
        <v>10.583089924719999</v>
      </c>
      <c r="Q3753" s="3">
        <f>G3753*(VLOOKUP(B3753,Price_data!A$1:B$190,2,FALSE))</f>
        <v>0</v>
      </c>
      <c r="R3753" s="3">
        <f>I3753*(VLOOKUP(B3753,Price_data!A$1:B$190,2,FALSE))</f>
        <v>0</v>
      </c>
      <c r="S3753" s="4" t="str">
        <f>(VLOOKUP(B3753,Price_data!A$1:C$190,3,FALSE))</f>
        <v>EEZ</v>
      </c>
      <c r="T3753" s="2" t="str">
        <f>IF(C3753="Total", (VLOOKUP(B3753,Recommended_fish_intake!A$4:D$122,4,FALSE)), "NA")</f>
        <v>NA</v>
      </c>
      <c r="U3753" s="2" t="str">
        <f t="shared" si="382"/>
        <v>NA</v>
      </c>
    </row>
    <row r="3754" spans="1:21" ht="14.25" customHeight="1">
      <c r="A3754" s="2" t="s">
        <v>39</v>
      </c>
      <c r="B3754" s="2">
        <v>2005</v>
      </c>
      <c r="C3754" s="2" t="s">
        <v>34</v>
      </c>
      <c r="D3754" s="2">
        <v>0.41499999999999998</v>
      </c>
      <c r="E3754" s="2">
        <v>4.3570000000000002</v>
      </c>
      <c r="P3754" s="3">
        <f>E3754*(VLOOKUP(B3754,Price_data!A$1:B$190,2,FALSE))</f>
        <v>3.8650899247280002</v>
      </c>
      <c r="Q3754" s="3">
        <f>G3754*(VLOOKUP(B3754,Price_data!A$1:B$190,2,FALSE))</f>
        <v>0</v>
      </c>
      <c r="R3754" s="3">
        <f>I3754*(VLOOKUP(B3754,Price_data!A$1:B$190,2,FALSE))</f>
        <v>0</v>
      </c>
      <c r="S3754" s="4" t="str">
        <f>(VLOOKUP(B3754,Price_data!A$1:C$190,3,FALSE))</f>
        <v>EEZ</v>
      </c>
      <c r="T3754" s="2" t="str">
        <f>IF(C3754="Total", (VLOOKUP(B3754,Recommended_fish_intake!A$4:D$122,4,FALSE)), "NA")</f>
        <v>NA</v>
      </c>
      <c r="U3754" s="2" t="str">
        <f t="shared" si="382"/>
        <v>NA</v>
      </c>
    </row>
    <row r="3755" spans="1:21" ht="14.25" customHeight="1">
      <c r="A3755" s="2" t="s">
        <v>39</v>
      </c>
      <c r="B3755" s="2">
        <v>2005</v>
      </c>
      <c r="C3755" s="2" t="s">
        <v>35</v>
      </c>
      <c r="D3755" s="2">
        <v>25.195</v>
      </c>
      <c r="E3755" s="2">
        <v>67.849999999999994</v>
      </c>
      <c r="P3755" s="3">
        <f>E3755*(VLOOKUP(B3755,Price_data!A$1:B$190,2,FALSE))</f>
        <v>60.189660636399999</v>
      </c>
      <c r="Q3755" s="3">
        <f>G3755*(VLOOKUP(B3755,Price_data!A$1:B$190,2,FALSE))</f>
        <v>0</v>
      </c>
      <c r="R3755" s="3">
        <f>I3755*(VLOOKUP(B3755,Price_data!A$1:B$190,2,FALSE))</f>
        <v>0</v>
      </c>
      <c r="S3755" s="4" t="str">
        <f>(VLOOKUP(B3755,Price_data!A$1:C$190,3,FALSE))</f>
        <v>EEZ</v>
      </c>
      <c r="T3755" s="2" t="str">
        <f>IF(C3755="Total", (VLOOKUP(B3755,Recommended_fish_intake!A$4:D$122,4,FALSE)), "NA")</f>
        <v>NA</v>
      </c>
      <c r="U3755" s="2" t="str">
        <f t="shared" si="382"/>
        <v>NA</v>
      </c>
    </row>
    <row r="3756" spans="1:21" ht="14.25" customHeight="1">
      <c r="A3756" s="2" t="s">
        <v>39</v>
      </c>
      <c r="B3756" s="2">
        <v>2005</v>
      </c>
      <c r="C3756" s="2" t="s">
        <v>52</v>
      </c>
      <c r="D3756" s="2">
        <v>13.938000000000001</v>
      </c>
      <c r="E3756" s="2">
        <v>17.32</v>
      </c>
      <c r="P3756" s="3">
        <f>E3756*(VLOOKUP(B3756,Price_data!A$1:B$190,2,FALSE))</f>
        <v>15.36455301728</v>
      </c>
      <c r="Q3756" s="3">
        <f>G3756*(VLOOKUP(B3756,Price_data!A$1:B$190,2,FALSE))</f>
        <v>0</v>
      </c>
      <c r="R3756" s="3">
        <f>I3756*(VLOOKUP(B3756,Price_data!A$1:B$190,2,FALSE))</f>
        <v>0</v>
      </c>
      <c r="S3756" s="4" t="str">
        <f>(VLOOKUP(B3756,Price_data!A$1:C$190,3,FALSE))</f>
        <v>EEZ</v>
      </c>
      <c r="T3756" s="2" t="str">
        <f>IF(C3756="Total", (VLOOKUP(B3756,Recommended_fish_intake!A$4:D$122,4,FALSE)), "NA")</f>
        <v>NA</v>
      </c>
      <c r="U3756" s="2" t="str">
        <f t="shared" si="382"/>
        <v>NA</v>
      </c>
    </row>
    <row r="3757" spans="1:21" ht="14.25" customHeight="1">
      <c r="A3757" s="2" t="s">
        <v>39</v>
      </c>
      <c r="B3757" s="2">
        <v>2005</v>
      </c>
      <c r="C3757" s="2" t="s">
        <v>30</v>
      </c>
      <c r="D3757" s="2">
        <v>2E-3</v>
      </c>
      <c r="E3757" s="2">
        <v>5.0000000000000001E-3</v>
      </c>
      <c r="P3757" s="3">
        <f>E3757*(VLOOKUP(B3757,Price_data!A$1:B$190,2,FALSE))</f>
        <v>4.4354945200000004E-3</v>
      </c>
      <c r="Q3757" s="3">
        <f>G3757*(VLOOKUP(B3757,Price_data!A$1:B$190,2,FALSE))</f>
        <v>0</v>
      </c>
      <c r="R3757" s="3">
        <f>I3757*(VLOOKUP(B3757,Price_data!A$1:B$190,2,FALSE))</f>
        <v>0</v>
      </c>
      <c r="S3757" s="4" t="str">
        <f>(VLOOKUP(B3757,Price_data!A$1:C$190,3,FALSE))</f>
        <v>EEZ</v>
      </c>
      <c r="T3757" s="2" t="str">
        <f>IF(C3757="Total", (VLOOKUP(B3757,Recommended_fish_intake!A$4:D$122,4,FALSE)), "NA")</f>
        <v>NA</v>
      </c>
      <c r="U3757" s="2" t="str">
        <f t="shared" si="382"/>
        <v>NA</v>
      </c>
    </row>
    <row r="3758" spans="1:21" ht="14.25" customHeight="1">
      <c r="A3758" s="2" t="s">
        <v>39</v>
      </c>
      <c r="B3758" s="2">
        <v>2005</v>
      </c>
      <c r="C3758" s="2" t="s">
        <v>28</v>
      </c>
      <c r="D3758" s="2">
        <v>54.161999999999999</v>
      </c>
      <c r="E3758" s="2">
        <v>107.497</v>
      </c>
      <c r="P3758" s="3">
        <f>E3758*(VLOOKUP(B3758,Price_data!A$1:B$190,2,FALSE))</f>
        <v>95.360470883288002</v>
      </c>
      <c r="Q3758" s="3">
        <f>G3758*(VLOOKUP(B3758,Price_data!A$1:B$190,2,FALSE))</f>
        <v>0</v>
      </c>
      <c r="R3758" s="3">
        <f>I3758*(VLOOKUP(B3758,Price_data!A$1:B$190,2,FALSE))</f>
        <v>0</v>
      </c>
      <c r="S3758" s="4" t="str">
        <f>(VLOOKUP(B3758,Price_data!A$1:C$190,3,FALSE))</f>
        <v>EEZ</v>
      </c>
      <c r="T3758" s="2" t="str">
        <f>IF(C3758="Total", (VLOOKUP(B3758,Recommended_fish_intake!A$4:D$122,4,FALSE)), "NA")</f>
        <v>NA</v>
      </c>
      <c r="U3758" s="2">
        <f t="shared" si="382"/>
        <v>15.165360000000002</v>
      </c>
    </row>
    <row r="3759" spans="1:21" ht="14.25" customHeight="1">
      <c r="A3759" s="2" t="s">
        <v>40</v>
      </c>
      <c r="B3759" s="2">
        <v>2005</v>
      </c>
      <c r="C3759" s="2" t="s">
        <v>22</v>
      </c>
      <c r="D3759" s="2">
        <v>0.54700000000000004</v>
      </c>
      <c r="E3759" s="2">
        <v>1.081</v>
      </c>
      <c r="P3759" s="3">
        <f>E3759*(VLOOKUP(B3759,Price_data!A$1:B$190,2,FALSE))</f>
        <v>0.95895391522399998</v>
      </c>
      <c r="Q3759" s="3">
        <f>G3759*(VLOOKUP(B3759,Price_data!A$1:B$190,2,FALSE))</f>
        <v>0</v>
      </c>
      <c r="R3759" s="3">
        <f>I3759*(VLOOKUP(B3759,Price_data!A$1:B$190,2,FALSE))</f>
        <v>0</v>
      </c>
      <c r="S3759" s="4" t="str">
        <f>(VLOOKUP(B3759,Price_data!A$1:C$190,3,FALSE))</f>
        <v>EEZ</v>
      </c>
      <c r="T3759" s="2" t="str">
        <f>IF(C3759="Total", (VLOOKUP(B3759,Recommended_fish_intake!A$4:D$122,4,FALSE)), "NA")</f>
        <v>NA</v>
      </c>
      <c r="U3759" s="2" t="str">
        <f t="shared" si="382"/>
        <v>NA</v>
      </c>
    </row>
    <row r="3760" spans="1:21" ht="14.25" customHeight="1">
      <c r="A3760" s="2" t="s">
        <v>40</v>
      </c>
      <c r="B3760" s="2">
        <v>2005</v>
      </c>
      <c r="C3760" s="2" t="s">
        <v>23</v>
      </c>
      <c r="D3760" s="2">
        <v>0.36499999999999999</v>
      </c>
      <c r="E3760" s="2">
        <v>0.4</v>
      </c>
      <c r="P3760" s="3">
        <f>E3760*(VLOOKUP(B3760,Price_data!A$1:B$190,2,FALSE))</f>
        <v>0.35483956160000002</v>
      </c>
      <c r="Q3760" s="3">
        <f>G3760*(VLOOKUP(B3760,Price_data!A$1:B$190,2,FALSE))</f>
        <v>0</v>
      </c>
      <c r="R3760" s="3">
        <f>I3760*(VLOOKUP(B3760,Price_data!A$1:B$190,2,FALSE))</f>
        <v>0</v>
      </c>
      <c r="S3760" s="4" t="str">
        <f>(VLOOKUP(B3760,Price_data!A$1:C$190,3,FALSE))</f>
        <v>EEZ</v>
      </c>
      <c r="T3760" s="2" t="str">
        <f>IF(C3760="Total", (VLOOKUP(B3760,Recommended_fish_intake!A$4:D$122,4,FALSE)), "NA")</f>
        <v>NA</v>
      </c>
      <c r="U3760" s="2" t="str">
        <f t="shared" si="382"/>
        <v>NA</v>
      </c>
    </row>
    <row r="3761" spans="1:21" ht="14.25" customHeight="1">
      <c r="A3761" s="2" t="s">
        <v>40</v>
      </c>
      <c r="B3761" s="2">
        <v>2005</v>
      </c>
      <c r="C3761" s="2" t="s">
        <v>58</v>
      </c>
      <c r="D3761" s="2">
        <v>0.14299999999999999</v>
      </c>
      <c r="E3761" s="2">
        <v>0.27</v>
      </c>
      <c r="P3761" s="3">
        <f>E3761*(VLOOKUP(B3761,Price_data!A$1:B$190,2,FALSE))</f>
        <v>0.23951670408000003</v>
      </c>
      <c r="Q3761" s="3">
        <f>G3761*(VLOOKUP(B3761,Price_data!A$1:B$190,2,FALSE))</f>
        <v>0</v>
      </c>
      <c r="R3761" s="3">
        <f>I3761*(VLOOKUP(B3761,Price_data!A$1:B$190,2,FALSE))</f>
        <v>0</v>
      </c>
      <c r="S3761" s="4" t="str">
        <f>(VLOOKUP(B3761,Price_data!A$1:C$190,3,FALSE))</f>
        <v>EEZ</v>
      </c>
      <c r="T3761" s="2" t="str">
        <f>IF(C3761="Total", (VLOOKUP(B3761,Recommended_fish_intake!A$4:D$122,4,FALSE)), "NA")</f>
        <v>NA</v>
      </c>
      <c r="U3761" s="2" t="str">
        <f t="shared" si="382"/>
        <v>NA</v>
      </c>
    </row>
    <row r="3762" spans="1:21" ht="14.25" customHeight="1">
      <c r="A3762" s="2" t="s">
        <v>40</v>
      </c>
      <c r="B3762" s="2">
        <v>2005</v>
      </c>
      <c r="C3762" s="2" t="s">
        <v>24</v>
      </c>
      <c r="D3762" s="2">
        <v>4.8000000000000001E-2</v>
      </c>
      <c r="E3762" s="2">
        <v>2.7E-2</v>
      </c>
      <c r="P3762" s="3">
        <f>E3762*(VLOOKUP(B3762,Price_data!A$1:B$190,2,FALSE))</f>
        <v>2.3951670408E-2</v>
      </c>
      <c r="Q3762" s="3">
        <f>G3762*(VLOOKUP(B3762,Price_data!A$1:B$190,2,FALSE))</f>
        <v>0</v>
      </c>
      <c r="R3762" s="3">
        <f>I3762*(VLOOKUP(B3762,Price_data!A$1:B$190,2,FALSE))</f>
        <v>0</v>
      </c>
      <c r="S3762" s="4" t="str">
        <f>(VLOOKUP(B3762,Price_data!A$1:C$190,3,FALSE))</f>
        <v>EEZ</v>
      </c>
      <c r="T3762" s="2" t="str">
        <f>IF(C3762="Total", (VLOOKUP(B3762,Recommended_fish_intake!A$4:D$122,4,FALSE)), "NA")</f>
        <v>NA</v>
      </c>
      <c r="U3762" s="2" t="str">
        <f t="shared" si="382"/>
        <v>NA</v>
      </c>
    </row>
    <row r="3763" spans="1:21" ht="14.25" customHeight="1">
      <c r="A3763" s="2" t="s">
        <v>40</v>
      </c>
      <c r="B3763" s="2">
        <v>2005</v>
      </c>
      <c r="C3763" s="2" t="s">
        <v>41</v>
      </c>
      <c r="D3763" s="2">
        <v>2.6970000000000001</v>
      </c>
      <c r="E3763" s="2">
        <v>3.5950000000000002</v>
      </c>
      <c r="P3763" s="3">
        <f>E3763*(VLOOKUP(B3763,Price_data!A$1:B$190,2,FALSE))</f>
        <v>3.1891205598800001</v>
      </c>
      <c r="Q3763" s="3">
        <f>G3763*(VLOOKUP(B3763,Price_data!A$1:B$190,2,FALSE))</f>
        <v>0</v>
      </c>
      <c r="R3763" s="3">
        <f>I3763*(VLOOKUP(B3763,Price_data!A$1:B$190,2,FALSE))</f>
        <v>0</v>
      </c>
      <c r="S3763" s="4" t="str">
        <f>(VLOOKUP(B3763,Price_data!A$1:C$190,3,FALSE))</f>
        <v>EEZ</v>
      </c>
      <c r="T3763" s="2" t="str">
        <f>IF(C3763="Total", (VLOOKUP(B3763,Recommended_fish_intake!A$4:D$122,4,FALSE)), "NA")</f>
        <v>NA</v>
      </c>
      <c r="U3763" s="2" t="str">
        <f t="shared" si="382"/>
        <v>NA</v>
      </c>
    </row>
    <row r="3764" spans="1:21" ht="14.25" customHeight="1">
      <c r="A3764" s="2" t="s">
        <v>40</v>
      </c>
      <c r="B3764" s="2">
        <v>2005</v>
      </c>
      <c r="C3764" s="2" t="s">
        <v>19</v>
      </c>
      <c r="D3764" s="2">
        <v>3.8690000000000002</v>
      </c>
      <c r="E3764" s="2">
        <v>1.0489999999999999</v>
      </c>
      <c r="P3764" s="3">
        <f>E3764*(VLOOKUP(B3764,Price_data!A$1:B$190,2,FALSE))</f>
        <v>0.930566750296</v>
      </c>
      <c r="Q3764" s="3">
        <f>G3764*(VLOOKUP(B3764,Price_data!A$1:B$190,2,FALSE))</f>
        <v>0</v>
      </c>
      <c r="R3764" s="3">
        <f>I3764*(VLOOKUP(B3764,Price_data!A$1:B$190,2,FALSE))</f>
        <v>0</v>
      </c>
      <c r="S3764" s="4" t="str">
        <f>(VLOOKUP(B3764,Price_data!A$1:C$190,3,FALSE))</f>
        <v>EEZ</v>
      </c>
      <c r="T3764" s="2" t="str">
        <f>IF(C3764="Total", (VLOOKUP(B3764,Recommended_fish_intake!A$4:D$122,4,FALSE)), "NA")</f>
        <v>NA</v>
      </c>
      <c r="U3764" s="2" t="str">
        <f t="shared" si="382"/>
        <v>NA</v>
      </c>
    </row>
    <row r="3765" spans="1:21" ht="14.25" customHeight="1">
      <c r="A3765" s="2" t="s">
        <v>40</v>
      </c>
      <c r="B3765" s="2">
        <v>2005</v>
      </c>
      <c r="C3765" s="2" t="s">
        <v>20</v>
      </c>
      <c r="D3765" s="2">
        <v>1.23</v>
      </c>
      <c r="E3765" s="2">
        <v>0.80200000000000005</v>
      </c>
      <c r="P3765" s="3">
        <f>E3765*(VLOOKUP(B3765,Price_data!A$1:B$190,2,FALSE))</f>
        <v>0.71145332100800007</v>
      </c>
      <c r="Q3765" s="3">
        <f>G3765*(VLOOKUP(B3765,Price_data!A$1:B$190,2,FALSE))</f>
        <v>0</v>
      </c>
      <c r="R3765" s="3">
        <f>I3765*(VLOOKUP(B3765,Price_data!A$1:B$190,2,FALSE))</f>
        <v>0</v>
      </c>
      <c r="S3765" s="4" t="str">
        <f>(VLOOKUP(B3765,Price_data!A$1:C$190,3,FALSE))</f>
        <v>EEZ</v>
      </c>
      <c r="T3765" s="2" t="str">
        <f>IF(C3765="Total", (VLOOKUP(B3765,Recommended_fish_intake!A$4:D$122,4,FALSE)), "NA")</f>
        <v>NA</v>
      </c>
      <c r="U3765" s="2" t="str">
        <f t="shared" si="382"/>
        <v>NA</v>
      </c>
    </row>
    <row r="3766" spans="1:21" ht="14.25" customHeight="1">
      <c r="A3766" s="2" t="s">
        <v>40</v>
      </c>
      <c r="B3766" s="2">
        <v>2005</v>
      </c>
      <c r="C3766" s="2" t="s">
        <v>42</v>
      </c>
      <c r="D3766" s="2">
        <v>6.3070000000000004</v>
      </c>
      <c r="E3766" s="2">
        <v>2.0510000000000002</v>
      </c>
      <c r="P3766" s="3">
        <f>E3766*(VLOOKUP(B3766,Price_data!A$1:B$190,2,FALSE))</f>
        <v>1.8194398521040003</v>
      </c>
      <c r="Q3766" s="3">
        <f>G3766*(VLOOKUP(B3766,Price_data!A$1:B$190,2,FALSE))</f>
        <v>0</v>
      </c>
      <c r="R3766" s="3">
        <f>I3766*(VLOOKUP(B3766,Price_data!A$1:B$190,2,FALSE))</f>
        <v>0</v>
      </c>
      <c r="S3766" s="4" t="str">
        <f>(VLOOKUP(B3766,Price_data!A$1:C$190,3,FALSE))</f>
        <v>EEZ</v>
      </c>
      <c r="T3766" s="2" t="str">
        <f>IF(C3766="Total", (VLOOKUP(B3766,Recommended_fish_intake!A$4:D$122,4,FALSE)), "NA")</f>
        <v>NA</v>
      </c>
      <c r="U3766" s="2" t="str">
        <f t="shared" si="382"/>
        <v>NA</v>
      </c>
    </row>
    <row r="3767" spans="1:21" ht="14.25" customHeight="1">
      <c r="A3767" s="2" t="s">
        <v>40</v>
      </c>
      <c r="B3767" s="2">
        <v>2005</v>
      </c>
      <c r="C3767" s="2" t="s">
        <v>36</v>
      </c>
      <c r="D3767" s="2">
        <v>0.44800000000000001</v>
      </c>
      <c r="E3767" s="2">
        <v>0.33900000000000002</v>
      </c>
      <c r="P3767" s="3">
        <f>E3767*(VLOOKUP(B3767,Price_data!A$1:B$190,2,FALSE))</f>
        <v>0.30072652845600001</v>
      </c>
      <c r="Q3767" s="3">
        <f>G3767*(VLOOKUP(B3767,Price_data!A$1:B$190,2,FALSE))</f>
        <v>0</v>
      </c>
      <c r="R3767" s="3">
        <f>I3767*(VLOOKUP(B3767,Price_data!A$1:B$190,2,FALSE))</f>
        <v>0</v>
      </c>
      <c r="S3767" s="4" t="str">
        <f>(VLOOKUP(B3767,Price_data!A$1:C$190,3,FALSE))</f>
        <v>EEZ</v>
      </c>
      <c r="T3767" s="2" t="str">
        <f>IF(C3767="Total", (VLOOKUP(B3767,Recommended_fish_intake!A$4:D$122,4,FALSE)), "NA")</f>
        <v>NA</v>
      </c>
      <c r="U3767" s="2" t="str">
        <f t="shared" si="382"/>
        <v>NA</v>
      </c>
    </row>
    <row r="3768" spans="1:21" ht="14.25" customHeight="1">
      <c r="A3768" s="2" t="s">
        <v>40</v>
      </c>
      <c r="B3768" s="2">
        <v>2005</v>
      </c>
      <c r="C3768" s="2" t="s">
        <v>34</v>
      </c>
      <c r="D3768" s="2">
        <v>1.2E-2</v>
      </c>
      <c r="E3768" s="2">
        <v>0.13100000000000001</v>
      </c>
      <c r="P3768" s="3">
        <f>E3768*(VLOOKUP(B3768,Price_data!A$1:B$190,2,FALSE))</f>
        <v>0.116209956424</v>
      </c>
      <c r="Q3768" s="3">
        <f>G3768*(VLOOKUP(B3768,Price_data!A$1:B$190,2,FALSE))</f>
        <v>0</v>
      </c>
      <c r="R3768" s="3">
        <f>I3768*(VLOOKUP(B3768,Price_data!A$1:B$190,2,FALSE))</f>
        <v>0</v>
      </c>
      <c r="S3768" s="4" t="str">
        <f>(VLOOKUP(B3768,Price_data!A$1:C$190,3,FALSE))</f>
        <v>EEZ</v>
      </c>
      <c r="T3768" s="2" t="str">
        <f>IF(C3768="Total", (VLOOKUP(B3768,Recommended_fish_intake!A$4:D$122,4,FALSE)), "NA")</f>
        <v>NA</v>
      </c>
      <c r="U3768" s="2" t="str">
        <f t="shared" si="382"/>
        <v>NA</v>
      </c>
    </row>
    <row r="3769" spans="1:21" ht="14.25" customHeight="1">
      <c r="A3769" s="2" t="s">
        <v>40</v>
      </c>
      <c r="B3769" s="2">
        <v>2005</v>
      </c>
      <c r="C3769" s="2" t="s">
        <v>35</v>
      </c>
      <c r="D3769" s="2">
        <v>4.6340000000000003</v>
      </c>
      <c r="E3769" s="2">
        <v>7.6909999999999998</v>
      </c>
      <c r="P3769" s="3">
        <f>E3769*(VLOOKUP(B3769,Price_data!A$1:B$190,2,FALSE))</f>
        <v>6.8226776706640004</v>
      </c>
      <c r="Q3769" s="3">
        <f>G3769*(VLOOKUP(B3769,Price_data!A$1:B$190,2,FALSE))</f>
        <v>0</v>
      </c>
      <c r="R3769" s="3">
        <f>I3769*(VLOOKUP(B3769,Price_data!A$1:B$190,2,FALSE))</f>
        <v>0</v>
      </c>
      <c r="S3769" s="4" t="str">
        <f>(VLOOKUP(B3769,Price_data!A$1:C$190,3,FALSE))</f>
        <v>EEZ</v>
      </c>
      <c r="T3769" s="2" t="str">
        <f>IF(C3769="Total", (VLOOKUP(B3769,Recommended_fish_intake!A$4:D$122,4,FALSE)), "NA")</f>
        <v>NA</v>
      </c>
      <c r="U3769" s="2" t="str">
        <f t="shared" si="382"/>
        <v>NA</v>
      </c>
    </row>
    <row r="3770" spans="1:21" ht="14.25" customHeight="1">
      <c r="A3770" s="2" t="s">
        <v>40</v>
      </c>
      <c r="B3770" s="2">
        <v>2005</v>
      </c>
      <c r="C3770" s="2" t="s">
        <v>52</v>
      </c>
      <c r="D3770" s="2">
        <v>0.59499999999999997</v>
      </c>
      <c r="E3770" s="2">
        <v>0.68400000000000005</v>
      </c>
      <c r="P3770" s="3">
        <f>E3770*(VLOOKUP(B3770,Price_data!A$1:B$190,2,FALSE))</f>
        <v>0.60677565033600012</v>
      </c>
      <c r="Q3770" s="3">
        <f>G3770*(VLOOKUP(B3770,Price_data!A$1:B$190,2,FALSE))</f>
        <v>0</v>
      </c>
      <c r="R3770" s="3">
        <f>I3770*(VLOOKUP(B3770,Price_data!A$1:B$190,2,FALSE))</f>
        <v>0</v>
      </c>
      <c r="S3770" s="4" t="str">
        <f>(VLOOKUP(B3770,Price_data!A$1:C$190,3,FALSE))</f>
        <v>EEZ</v>
      </c>
      <c r="T3770" s="2" t="str">
        <f>IF(C3770="Total", (VLOOKUP(B3770,Recommended_fish_intake!A$4:D$122,4,FALSE)), "NA")</f>
        <v>NA</v>
      </c>
      <c r="U3770" s="2" t="str">
        <f t="shared" si="382"/>
        <v>NA</v>
      </c>
    </row>
    <row r="3771" spans="1:21" ht="14.25" customHeight="1">
      <c r="A3771" s="2" t="s">
        <v>40</v>
      </c>
      <c r="B3771" s="2">
        <v>2005</v>
      </c>
      <c r="C3771" s="2" t="s">
        <v>30</v>
      </c>
      <c r="D3771" s="2">
        <v>0</v>
      </c>
      <c r="E3771" s="2">
        <v>0</v>
      </c>
      <c r="P3771" s="3">
        <f>E3771*(VLOOKUP(B3771,Price_data!A$1:B$190,2,FALSE))</f>
        <v>0</v>
      </c>
      <c r="Q3771" s="3">
        <f>G3771*(VLOOKUP(B3771,Price_data!A$1:B$190,2,FALSE))</f>
        <v>0</v>
      </c>
      <c r="R3771" s="3">
        <f>I3771*(VLOOKUP(B3771,Price_data!A$1:B$190,2,FALSE))</f>
        <v>0</v>
      </c>
      <c r="S3771" s="4" t="str">
        <f>(VLOOKUP(B3771,Price_data!A$1:C$190,3,FALSE))</f>
        <v>EEZ</v>
      </c>
      <c r="T3771" s="2" t="str">
        <f>IF(C3771="Total", (VLOOKUP(B3771,Recommended_fish_intake!A$4:D$122,4,FALSE)), "NA")</f>
        <v>NA</v>
      </c>
      <c r="U3771" s="2" t="str">
        <f t="shared" si="382"/>
        <v>NA</v>
      </c>
    </row>
    <row r="3772" spans="1:21" ht="14.25" customHeight="1">
      <c r="A3772" s="2" t="s">
        <v>40</v>
      </c>
      <c r="B3772" s="2">
        <v>2005</v>
      </c>
      <c r="C3772" s="2" t="s">
        <v>28</v>
      </c>
      <c r="D3772" s="2">
        <v>5.9210000000000003</v>
      </c>
      <c r="E3772" s="2">
        <v>8.9949999999999992</v>
      </c>
      <c r="P3772" s="3">
        <f>E3772*(VLOOKUP(B3772,Price_data!A$1:B$190,2,FALSE))</f>
        <v>7.9794546414799994</v>
      </c>
      <c r="Q3772" s="3">
        <f>G3772*(VLOOKUP(B3772,Price_data!A$1:B$190,2,FALSE))</f>
        <v>0</v>
      </c>
      <c r="R3772" s="3">
        <f>I3772*(VLOOKUP(B3772,Price_data!A$1:B$190,2,FALSE))</f>
        <v>0</v>
      </c>
      <c r="S3772" s="4" t="str">
        <f>(VLOOKUP(B3772,Price_data!A$1:C$190,3,FALSE))</f>
        <v>EEZ</v>
      </c>
      <c r="T3772" s="2" t="str">
        <f>IF(C3772="Total", (VLOOKUP(B3772,Recommended_fish_intake!A$4:D$122,4,FALSE)), "NA")</f>
        <v>NA</v>
      </c>
      <c r="U3772" s="2">
        <f t="shared" si="382"/>
        <v>1.6578800000000002</v>
      </c>
    </row>
    <row r="3773" spans="1:21" ht="14.25" customHeight="1">
      <c r="A3773" s="2" t="s">
        <v>40</v>
      </c>
      <c r="B3773" s="2">
        <v>2005</v>
      </c>
      <c r="C3773" s="4" t="s">
        <v>37</v>
      </c>
      <c r="D3773" s="3">
        <f>D3645+D3597</f>
        <v>529.39200000000005</v>
      </c>
      <c r="E3773" s="3">
        <f>E3645+E3597</f>
        <v>265.041</v>
      </c>
      <c r="P3773" s="3">
        <f>E3773*(VLOOKUP(B3773,Price_data!A$1:B$190,2,FALSE))</f>
        <v>235.11758061506401</v>
      </c>
      <c r="Q3773" s="3">
        <f>G3773*(VLOOKUP(B3773,Price_data!A$1:B$190,2,FALSE))</f>
        <v>0</v>
      </c>
      <c r="R3773" s="3">
        <f>I3773*(VLOOKUP(B3773,Price_data!A$1:B$190,2,FALSE))</f>
        <v>0</v>
      </c>
      <c r="S3773" s="4" t="str">
        <f>(VLOOKUP(B3773,Price_data!A$1:C$190,3,FALSE))</f>
        <v>EEZ</v>
      </c>
      <c r="T3773" s="2" t="str">
        <f>IF(C3773="Total", (VLOOKUP(B3773,Recommended_fish_intake!A$4:D$122,4,FALSE)), "NA")</f>
        <v>NA</v>
      </c>
      <c r="U3773" s="2">
        <f t="shared" si="382"/>
        <v>259.40208000000001</v>
      </c>
    </row>
    <row r="3774" spans="1:21" ht="14.25" customHeight="1">
      <c r="A3774" s="2" t="s">
        <v>39</v>
      </c>
      <c r="B3774" s="2">
        <v>2005</v>
      </c>
      <c r="C3774" s="4" t="s">
        <v>37</v>
      </c>
      <c r="D3774" s="3">
        <f>D3390+D3342</f>
        <v>69.760000000000005</v>
      </c>
      <c r="E3774" s="3">
        <f>E3390+E3342</f>
        <v>88.911000000000001</v>
      </c>
      <c r="P3774" s="3">
        <f>E3774*(VLOOKUP(B3774,Price_data!A$1:B$190,2,FALSE))</f>
        <v>78.872850653544006</v>
      </c>
      <c r="Q3774" s="3">
        <f>G3774*(VLOOKUP(B3774,Price_data!A$1:B$190,2,FALSE))</f>
        <v>0</v>
      </c>
      <c r="R3774" s="3">
        <f>I3774*(VLOOKUP(B3774,Price_data!A$1:B$190,2,FALSE))</f>
        <v>0</v>
      </c>
      <c r="S3774" s="4" t="str">
        <f>(VLOOKUP(B3774,Price_data!A$1:C$190,3,FALSE))</f>
        <v>EEZ</v>
      </c>
      <c r="T3774" s="2" t="str">
        <f>IF(C3774="Total", (VLOOKUP(B3774,Recommended_fish_intake!A$4:D$122,4,FALSE)), "NA")</f>
        <v>NA</v>
      </c>
      <c r="U3774" s="2">
        <f t="shared" si="382"/>
        <v>34.182400000000001</v>
      </c>
    </row>
    <row r="3775" spans="1:21" ht="14.25" customHeight="1">
      <c r="A3775" s="2" t="s">
        <v>18</v>
      </c>
      <c r="B3775" s="2">
        <v>2005</v>
      </c>
      <c r="C3775" s="2" t="s">
        <v>22</v>
      </c>
      <c r="D3775" s="3">
        <f t="shared" ref="D3775:E3788" si="383">D3023+D2783</f>
        <v>38.900000000000006</v>
      </c>
      <c r="E3775" s="3">
        <f t="shared" si="383"/>
        <v>16.398</v>
      </c>
      <c r="P3775" s="3">
        <f>E3775*(VLOOKUP(B3775,Price_data!A$1:B$190,2,FALSE))</f>
        <v>14.546647827792</v>
      </c>
      <c r="Q3775" s="3">
        <f>G3775*(VLOOKUP(B3775,Price_data!A$1:B$190,2,FALSE))</f>
        <v>0</v>
      </c>
      <c r="R3775" s="3">
        <f>I3775*(VLOOKUP(B3775,Price_data!A$1:B$190,2,FALSE))</f>
        <v>0</v>
      </c>
      <c r="S3775" s="4" t="str">
        <f>(VLOOKUP(B3775,Price_data!A$1:C$190,3,FALSE))</f>
        <v>EEZ</v>
      </c>
      <c r="T3775" s="2" t="str">
        <f>IF(C3775="Total", (VLOOKUP(B3775,Recommended_fish_intake!A$4:D$122,4,FALSE)), "NA")</f>
        <v>NA</v>
      </c>
      <c r="U3775" s="2" t="str">
        <f t="shared" si="382"/>
        <v>NA</v>
      </c>
    </row>
    <row r="3776" spans="1:21" ht="14.25" customHeight="1">
      <c r="A3776" s="2" t="s">
        <v>18</v>
      </c>
      <c r="B3776" s="2">
        <v>2005</v>
      </c>
      <c r="C3776" s="2" t="s">
        <v>23</v>
      </c>
      <c r="D3776" s="3">
        <f t="shared" si="383"/>
        <v>57.529999999999994</v>
      </c>
      <c r="E3776" s="3">
        <f t="shared" si="383"/>
        <v>6.54</v>
      </c>
      <c r="P3776" s="3">
        <f>E3776*(VLOOKUP(B3776,Price_data!A$1:B$190,2,FALSE))</f>
        <v>5.8016268321600002</v>
      </c>
      <c r="Q3776" s="3">
        <f>G3776*(VLOOKUP(B3776,Price_data!A$1:B$190,2,FALSE))</f>
        <v>0</v>
      </c>
      <c r="R3776" s="3">
        <f>I3776*(VLOOKUP(B3776,Price_data!A$1:B$190,2,FALSE))</f>
        <v>0</v>
      </c>
      <c r="S3776" s="4" t="str">
        <f>(VLOOKUP(B3776,Price_data!A$1:C$190,3,FALSE))</f>
        <v>EEZ</v>
      </c>
      <c r="T3776" s="2" t="str">
        <f>IF(C3776="Total", (VLOOKUP(B3776,Recommended_fish_intake!A$4:D$122,4,FALSE)), "NA")</f>
        <v>NA</v>
      </c>
      <c r="U3776" s="2" t="str">
        <f t="shared" si="382"/>
        <v>NA</v>
      </c>
    </row>
    <row r="3777" spans="1:21" ht="14.25" customHeight="1">
      <c r="A3777" s="2" t="s">
        <v>18</v>
      </c>
      <c r="B3777" s="2">
        <v>2005</v>
      </c>
      <c r="C3777" s="2" t="s">
        <v>58</v>
      </c>
      <c r="D3777" s="3">
        <f t="shared" si="383"/>
        <v>67.819000000000003</v>
      </c>
      <c r="E3777" s="3">
        <f t="shared" si="383"/>
        <v>20.39</v>
      </c>
      <c r="P3777" s="3">
        <f>E3777*(VLOOKUP(B3777,Price_data!A$1:B$190,2,FALSE))</f>
        <v>18.087946652559999</v>
      </c>
      <c r="Q3777" s="3">
        <f>G3777*(VLOOKUP(B3777,Price_data!A$1:B$190,2,FALSE))</f>
        <v>0</v>
      </c>
      <c r="R3777" s="3">
        <f>I3777*(VLOOKUP(B3777,Price_data!A$1:B$190,2,FALSE))</f>
        <v>0</v>
      </c>
      <c r="S3777" s="4" t="str">
        <f>(VLOOKUP(B3777,Price_data!A$1:C$190,3,FALSE))</f>
        <v>EEZ</v>
      </c>
      <c r="T3777" s="2" t="str">
        <f>IF(C3777="Total", (VLOOKUP(B3777,Recommended_fish_intake!A$4:D$122,4,FALSE)), "NA")</f>
        <v>NA</v>
      </c>
      <c r="U3777" s="2" t="str">
        <f t="shared" si="382"/>
        <v>NA</v>
      </c>
    </row>
    <row r="3778" spans="1:21" ht="14.25" customHeight="1">
      <c r="A3778" s="2" t="s">
        <v>18</v>
      </c>
      <c r="B3778" s="2">
        <v>2005</v>
      </c>
      <c r="C3778" s="2" t="s">
        <v>24</v>
      </c>
      <c r="D3778" s="3">
        <f t="shared" si="383"/>
        <v>8.8250000000000011</v>
      </c>
      <c r="E3778" s="3">
        <f t="shared" si="383"/>
        <v>1.718</v>
      </c>
      <c r="P3778" s="3">
        <f>E3778*(VLOOKUP(B3778,Price_data!A$1:B$190,2,FALSE))</f>
        <v>1.5240359170719999</v>
      </c>
      <c r="Q3778" s="3">
        <f>G3778*(VLOOKUP(B3778,Price_data!A$1:B$190,2,FALSE))</f>
        <v>0</v>
      </c>
      <c r="R3778" s="3">
        <f>I3778*(VLOOKUP(B3778,Price_data!A$1:B$190,2,FALSE))</f>
        <v>0</v>
      </c>
      <c r="S3778" s="4" t="str">
        <f>(VLOOKUP(B3778,Price_data!A$1:C$190,3,FALSE))</f>
        <v>EEZ</v>
      </c>
      <c r="T3778" s="2" t="str">
        <f>IF(C3778="Total", (VLOOKUP(B3778,Recommended_fish_intake!A$4:D$122,4,FALSE)), "NA")</f>
        <v>NA</v>
      </c>
      <c r="U3778" s="2" t="str">
        <f t="shared" ref="U3778:U3841" si="384">IF(C3778="Wet fish", D3778*0.49, IF(C3778="Shellfish", D3778*0.28, "NA"))</f>
        <v>NA</v>
      </c>
    </row>
    <row r="3779" spans="1:21" ht="14.25" customHeight="1">
      <c r="A3779" s="2" t="s">
        <v>18</v>
      </c>
      <c r="B3779" s="2">
        <v>2005</v>
      </c>
      <c r="C3779" s="2" t="s">
        <v>41</v>
      </c>
      <c r="D3779" s="3">
        <f t="shared" si="383"/>
        <v>12.9</v>
      </c>
      <c r="E3779" s="3">
        <f t="shared" si="383"/>
        <v>15.686</v>
      </c>
      <c r="P3779" s="3">
        <f>E3779*(VLOOKUP(B3779,Price_data!A$1:B$190,2,FALSE))</f>
        <v>13.915033408144</v>
      </c>
      <c r="Q3779" s="3">
        <f>G3779*(VLOOKUP(B3779,Price_data!A$1:B$190,2,FALSE))</f>
        <v>0</v>
      </c>
      <c r="R3779" s="3">
        <f>I3779*(VLOOKUP(B3779,Price_data!A$1:B$190,2,FALSE))</f>
        <v>0</v>
      </c>
      <c r="S3779" s="4" t="str">
        <f>(VLOOKUP(B3779,Price_data!A$1:C$190,3,FALSE))</f>
        <v>EEZ</v>
      </c>
      <c r="T3779" s="2" t="str">
        <f>IF(C3779="Total", (VLOOKUP(B3779,Recommended_fish_intake!A$4:D$122,4,FALSE)), "NA")</f>
        <v>NA</v>
      </c>
      <c r="U3779" s="2" t="str">
        <f t="shared" si="384"/>
        <v>NA</v>
      </c>
    </row>
    <row r="3780" spans="1:21" ht="14.25" customHeight="1">
      <c r="A3780" s="2" t="s">
        <v>18</v>
      </c>
      <c r="B3780" s="2">
        <v>2005</v>
      </c>
      <c r="C3780" s="2" t="s">
        <v>19</v>
      </c>
      <c r="D3780" s="3" t="e">
        <f t="shared" si="383"/>
        <v>#N/A</v>
      </c>
      <c r="E3780" s="3" t="e">
        <f t="shared" si="383"/>
        <v>#N/A</v>
      </c>
      <c r="P3780" s="3" t="e">
        <f>E3780*(VLOOKUP(B3780,Price_data!A$1:B$190,2,FALSE))</f>
        <v>#N/A</v>
      </c>
      <c r="Q3780" s="3">
        <f>G3780*(VLOOKUP(B3780,Price_data!A$1:B$190,2,FALSE))</f>
        <v>0</v>
      </c>
      <c r="R3780" s="3">
        <f>I3780*(VLOOKUP(B3780,Price_data!A$1:B$190,2,FALSE))</f>
        <v>0</v>
      </c>
      <c r="S3780" s="4" t="str">
        <f>(VLOOKUP(B3780,Price_data!A$1:C$190,3,FALSE))</f>
        <v>EEZ</v>
      </c>
      <c r="T3780" s="2" t="str">
        <f>IF(C3780="Total", (VLOOKUP(B3780,Recommended_fish_intake!A$4:D$122,4,FALSE)), "NA")</f>
        <v>NA</v>
      </c>
      <c r="U3780" s="2" t="str">
        <f t="shared" si="384"/>
        <v>NA</v>
      </c>
    </row>
    <row r="3781" spans="1:21" ht="14.25" customHeight="1">
      <c r="A3781" s="2" t="s">
        <v>18</v>
      </c>
      <c r="B3781" s="2">
        <v>2005</v>
      </c>
      <c r="C3781" s="2" t="s">
        <v>20</v>
      </c>
      <c r="D3781" s="3" t="e">
        <f t="shared" si="383"/>
        <v>#N/A</v>
      </c>
      <c r="E3781" s="3" t="e">
        <f t="shared" si="383"/>
        <v>#N/A</v>
      </c>
      <c r="P3781" s="3" t="e">
        <f>E3781*(VLOOKUP(B3781,Price_data!A$1:B$190,2,FALSE))</f>
        <v>#N/A</v>
      </c>
      <c r="Q3781" s="3">
        <f>G3781*(VLOOKUP(B3781,Price_data!A$1:B$190,2,FALSE))</f>
        <v>0</v>
      </c>
      <c r="R3781" s="3">
        <f>I3781*(VLOOKUP(B3781,Price_data!A$1:B$190,2,FALSE))</f>
        <v>0</v>
      </c>
      <c r="S3781" s="4" t="str">
        <f>(VLOOKUP(B3781,Price_data!A$1:C$190,3,FALSE))</f>
        <v>EEZ</v>
      </c>
      <c r="T3781" s="2" t="str">
        <f>IF(C3781="Total", (VLOOKUP(B3781,Recommended_fish_intake!A$4:D$122,4,FALSE)), "NA")</f>
        <v>NA</v>
      </c>
      <c r="U3781" s="2" t="str">
        <f t="shared" si="384"/>
        <v>NA</v>
      </c>
    </row>
    <row r="3782" spans="1:21" ht="14.25" customHeight="1">
      <c r="A3782" s="2" t="s">
        <v>18</v>
      </c>
      <c r="B3782" s="2">
        <v>2005</v>
      </c>
      <c r="C3782" s="2" t="s">
        <v>42</v>
      </c>
      <c r="D3782" s="3">
        <f t="shared" si="383"/>
        <v>30.7</v>
      </c>
      <c r="E3782" s="3">
        <f t="shared" si="383"/>
        <v>32.4</v>
      </c>
      <c r="P3782" s="3">
        <f>E3782*(VLOOKUP(B3782,Price_data!A$1:B$190,2,FALSE))</f>
        <v>28.742004489599999</v>
      </c>
      <c r="Q3782" s="3">
        <f>G3782*(VLOOKUP(B3782,Price_data!A$1:B$190,2,FALSE))</f>
        <v>0</v>
      </c>
      <c r="R3782" s="3">
        <f>I3782*(VLOOKUP(B3782,Price_data!A$1:B$190,2,FALSE))</f>
        <v>0</v>
      </c>
      <c r="S3782" s="4" t="str">
        <f>(VLOOKUP(B3782,Price_data!A$1:C$190,3,FALSE))</f>
        <v>EEZ</v>
      </c>
      <c r="T3782" s="2" t="str">
        <f>IF(C3782="Total", (VLOOKUP(B3782,Recommended_fish_intake!A$4:D$122,4,FALSE)), "NA")</f>
        <v>NA</v>
      </c>
      <c r="U3782" s="2" t="str">
        <f t="shared" si="384"/>
        <v>NA</v>
      </c>
    </row>
    <row r="3783" spans="1:21" ht="14.25" customHeight="1">
      <c r="A3783" s="2" t="s">
        <v>18</v>
      </c>
      <c r="B3783" s="2">
        <v>2005</v>
      </c>
      <c r="C3783" s="2" t="s">
        <v>36</v>
      </c>
      <c r="D3783" s="3">
        <f t="shared" si="383"/>
        <v>11.966000000000001</v>
      </c>
      <c r="E3783" s="3">
        <f t="shared" si="383"/>
        <v>13.3</v>
      </c>
      <c r="P3783" s="3">
        <f>E3783*(VLOOKUP(B3783,Price_data!A$1:B$190,2,FALSE))</f>
        <v>11.798415423200002</v>
      </c>
      <c r="Q3783" s="3">
        <f>G3783*(VLOOKUP(B3783,Price_data!A$1:B$190,2,FALSE))</f>
        <v>0</v>
      </c>
      <c r="R3783" s="3">
        <f>I3783*(VLOOKUP(B3783,Price_data!A$1:B$190,2,FALSE))</f>
        <v>0</v>
      </c>
      <c r="S3783" s="4" t="str">
        <f>(VLOOKUP(B3783,Price_data!A$1:C$190,3,FALSE))</f>
        <v>EEZ</v>
      </c>
      <c r="T3783" s="2" t="str">
        <f>IF(C3783="Total", (VLOOKUP(B3783,Recommended_fish_intake!A$4:D$122,4,FALSE)), "NA")</f>
        <v>NA</v>
      </c>
      <c r="U3783" s="2" t="str">
        <f t="shared" si="384"/>
        <v>NA</v>
      </c>
    </row>
    <row r="3784" spans="1:21" ht="14.25" customHeight="1">
      <c r="A3784" s="2" t="s">
        <v>18</v>
      </c>
      <c r="B3784" s="2">
        <v>2005</v>
      </c>
      <c r="C3784" s="2" t="s">
        <v>34</v>
      </c>
      <c r="D3784" s="3">
        <f t="shared" si="383"/>
        <v>3</v>
      </c>
      <c r="E3784" s="3">
        <f t="shared" si="383"/>
        <v>5.9</v>
      </c>
      <c r="P3784" s="3">
        <f>E3784*(VLOOKUP(B3784,Price_data!A$1:B$190,2,FALSE))</f>
        <v>5.2338835336000002</v>
      </c>
      <c r="Q3784" s="3">
        <f>G3784*(VLOOKUP(B3784,Price_data!A$1:B$190,2,FALSE))</f>
        <v>0</v>
      </c>
      <c r="R3784" s="3">
        <f>I3784*(VLOOKUP(B3784,Price_data!A$1:B$190,2,FALSE))</f>
        <v>0</v>
      </c>
      <c r="S3784" s="4" t="str">
        <f>(VLOOKUP(B3784,Price_data!A$1:C$190,3,FALSE))</f>
        <v>EEZ</v>
      </c>
      <c r="T3784" s="2" t="str">
        <f>IF(C3784="Total", (VLOOKUP(B3784,Recommended_fish_intake!A$4:D$122,4,FALSE)), "NA")</f>
        <v>NA</v>
      </c>
      <c r="U3784" s="2" t="str">
        <f t="shared" si="384"/>
        <v>NA</v>
      </c>
    </row>
    <row r="3785" spans="1:21" ht="14.25" customHeight="1">
      <c r="A3785" s="2" t="s">
        <v>18</v>
      </c>
      <c r="B3785" s="2">
        <v>2005</v>
      </c>
      <c r="C3785" s="2" t="s">
        <v>35</v>
      </c>
      <c r="D3785" s="3">
        <f t="shared" si="383"/>
        <v>19.084</v>
      </c>
      <c r="E3785" s="3">
        <f t="shared" si="383"/>
        <v>23.166</v>
      </c>
      <c r="P3785" s="3">
        <f>E3785*(VLOOKUP(B3785,Price_data!A$1:B$190,2,FALSE))</f>
        <v>20.550533210064</v>
      </c>
      <c r="Q3785" s="3">
        <f>G3785*(VLOOKUP(B3785,Price_data!A$1:B$190,2,FALSE))</f>
        <v>0</v>
      </c>
      <c r="R3785" s="3">
        <f>I3785*(VLOOKUP(B3785,Price_data!A$1:B$190,2,FALSE))</f>
        <v>0</v>
      </c>
      <c r="S3785" s="4" t="str">
        <f>(VLOOKUP(B3785,Price_data!A$1:C$190,3,FALSE))</f>
        <v>EEZ</v>
      </c>
      <c r="T3785" s="2" t="str">
        <f>IF(C3785="Total", (VLOOKUP(B3785,Recommended_fish_intake!A$4:D$122,4,FALSE)), "NA")</f>
        <v>NA</v>
      </c>
      <c r="U3785" s="2" t="str">
        <f t="shared" si="384"/>
        <v>NA</v>
      </c>
    </row>
    <row r="3786" spans="1:21" ht="14.25" customHeight="1">
      <c r="A3786" s="2" t="s">
        <v>18</v>
      </c>
      <c r="B3786" s="2">
        <v>2005</v>
      </c>
      <c r="C3786" s="2" t="s">
        <v>52</v>
      </c>
      <c r="D3786" s="3">
        <f t="shared" si="383"/>
        <v>456.36500000000001</v>
      </c>
      <c r="E3786" s="3">
        <f t="shared" si="383"/>
        <v>205.89800000000002</v>
      </c>
      <c r="P3786" s="3">
        <f>E3786*(VLOOKUP(B3786,Price_data!A$1:B$190,2,FALSE))</f>
        <v>182.65189013579203</v>
      </c>
      <c r="Q3786" s="3">
        <f>G3786*(VLOOKUP(B3786,Price_data!A$1:B$190,2,FALSE))</f>
        <v>0</v>
      </c>
      <c r="R3786" s="3">
        <f>I3786*(VLOOKUP(B3786,Price_data!A$1:B$190,2,FALSE))</f>
        <v>0</v>
      </c>
      <c r="S3786" s="4" t="str">
        <f>(VLOOKUP(B3786,Price_data!A$1:C$190,3,FALSE))</f>
        <v>EEZ</v>
      </c>
      <c r="T3786" s="2" t="str">
        <f>IF(C3786="Total", (VLOOKUP(B3786,Recommended_fish_intake!A$4:D$122,4,FALSE)), "NA")</f>
        <v>NA</v>
      </c>
      <c r="U3786" s="2" t="str">
        <f t="shared" si="384"/>
        <v>NA</v>
      </c>
    </row>
    <row r="3787" spans="1:21" ht="14.25" customHeight="1">
      <c r="A3787" s="2" t="s">
        <v>18</v>
      </c>
      <c r="B3787" s="2">
        <v>2005</v>
      </c>
      <c r="C3787" s="2" t="s">
        <v>30</v>
      </c>
      <c r="D3787" s="3">
        <f t="shared" si="383"/>
        <v>1033.6020000000001</v>
      </c>
      <c r="E3787" s="3">
        <f t="shared" si="383"/>
        <v>354.48500000000001</v>
      </c>
      <c r="P3787" s="3">
        <f>E3787*(VLOOKUP(B3787,Price_data!A$1:B$190,2,FALSE))</f>
        <v>314.46325498444003</v>
      </c>
      <c r="Q3787" s="3">
        <f>G3787*(VLOOKUP(B3787,Price_data!A$1:B$190,2,FALSE))</f>
        <v>0</v>
      </c>
      <c r="R3787" s="3">
        <f>I3787*(VLOOKUP(B3787,Price_data!A$1:B$190,2,FALSE))</f>
        <v>0</v>
      </c>
      <c r="S3787" s="4" t="str">
        <f>(VLOOKUP(B3787,Price_data!A$1:C$190,3,FALSE))</f>
        <v>EEZ</v>
      </c>
      <c r="T3787" s="2" t="str">
        <f>IF(C3787="Total", (VLOOKUP(B3787,Recommended_fish_intake!A$4:D$122,4,FALSE)), "NA")</f>
        <v>NA</v>
      </c>
      <c r="U3787" s="2" t="str">
        <f t="shared" si="384"/>
        <v>NA</v>
      </c>
    </row>
    <row r="3788" spans="1:21" ht="14.25" customHeight="1">
      <c r="A3788" s="2" t="s">
        <v>18</v>
      </c>
      <c r="B3788" s="2">
        <v>2005</v>
      </c>
      <c r="C3788" s="2" t="s">
        <v>28</v>
      </c>
      <c r="D3788" s="3">
        <f t="shared" si="383"/>
        <v>36.363999999999997</v>
      </c>
      <c r="E3788" s="3">
        <f t="shared" si="383"/>
        <v>16.244</v>
      </c>
      <c r="P3788" s="3">
        <f>E3788*(VLOOKUP(B3788,Price_data!A$1:B$190,2,FALSE))</f>
        <v>14.410034596576001</v>
      </c>
      <c r="Q3788" s="3">
        <f>G3788*(VLOOKUP(B3788,Price_data!A$1:B$190,2,FALSE))</f>
        <v>0</v>
      </c>
      <c r="R3788" s="3">
        <f>I3788*(VLOOKUP(B3788,Price_data!A$1:B$190,2,FALSE))</f>
        <v>0</v>
      </c>
      <c r="S3788" s="4" t="str">
        <f>(VLOOKUP(B3788,Price_data!A$1:C$190,3,FALSE))</f>
        <v>EEZ</v>
      </c>
      <c r="T3788" s="2" t="str">
        <f>IF(C3788="Total", (VLOOKUP(B3788,Recommended_fish_intake!A$4:D$122,4,FALSE)), "NA")</f>
        <v>NA</v>
      </c>
      <c r="U3788" s="2">
        <f t="shared" si="384"/>
        <v>10.18192</v>
      </c>
    </row>
    <row r="3789" spans="1:21" ht="14.25" customHeight="1">
      <c r="A3789" s="2" t="s">
        <v>18</v>
      </c>
      <c r="B3789" s="2">
        <v>2005</v>
      </c>
      <c r="C3789" s="2" t="s">
        <v>37</v>
      </c>
      <c r="D3789" s="3">
        <f>D3613+D3661</f>
        <v>41.129999999999995</v>
      </c>
      <c r="E3789" s="3">
        <f>E3613+E3661</f>
        <v>28.015000000000001</v>
      </c>
      <c r="P3789" s="3">
        <f>E3789*(VLOOKUP(B3789,Price_data!A$1:B$190,2,FALSE))</f>
        <v>24.852075795560001</v>
      </c>
      <c r="Q3789" s="3">
        <f>G3789*(VLOOKUP(B3789,Price_data!A$1:B$190,2,FALSE))</f>
        <v>0</v>
      </c>
      <c r="R3789" s="3">
        <f>I3789*(VLOOKUP(B3789,Price_data!A$1:B$190,2,FALSE))</f>
        <v>0</v>
      </c>
      <c r="S3789" s="4" t="str">
        <f>(VLOOKUP(B3789,Price_data!A$1:C$190,3,FALSE))</f>
        <v>EEZ</v>
      </c>
      <c r="T3789" s="2" t="str">
        <f>IF(C3789="Total", (VLOOKUP(B3789,Recommended_fish_intake!A$4:D$122,4,FALSE)), "NA")</f>
        <v>NA</v>
      </c>
      <c r="U3789" s="2">
        <f t="shared" si="384"/>
        <v>20.153699999999997</v>
      </c>
    </row>
    <row r="3790" spans="1:21" ht="14.25" customHeight="1">
      <c r="A3790" s="2" t="s">
        <v>15</v>
      </c>
      <c r="B3790" s="2">
        <v>2005</v>
      </c>
      <c r="C3790" s="2" t="s">
        <v>42</v>
      </c>
      <c r="D3790" s="2">
        <v>238.7</v>
      </c>
      <c r="E3790" s="2">
        <v>99.313000000000002</v>
      </c>
      <c r="F3790" s="2" t="s">
        <v>92</v>
      </c>
      <c r="G3790" s="2" t="s">
        <v>92</v>
      </c>
      <c r="H3790" s="2" t="s">
        <v>92</v>
      </c>
      <c r="I3790" s="2" t="s">
        <v>92</v>
      </c>
      <c r="P3790" s="3">
        <f>E3790*(VLOOKUP(B3790,Price_data!A$1:B$190,2,FALSE))</f>
        <v>88.10045345295201</v>
      </c>
      <c r="Q3790" s="3" t="e">
        <f>G3790*(VLOOKUP(B3790,Price_data!A$1:B$190,2,FALSE))</f>
        <v>#VALUE!</v>
      </c>
      <c r="R3790" s="3" t="e">
        <f>I3790*(VLOOKUP(B3790,Price_data!A$1:B$190,2,FALSE))</f>
        <v>#VALUE!</v>
      </c>
      <c r="S3790" s="4" t="str">
        <f>(VLOOKUP(B3790,Price_data!A$1:C$190,3,FALSE))</f>
        <v>EEZ</v>
      </c>
      <c r="T3790" s="2" t="str">
        <f>IF(C3790="Total", (VLOOKUP(B3790,Recommended_fish_intake!A$4:D$122,4,FALSE)), "NA")</f>
        <v>NA</v>
      </c>
      <c r="U3790" s="2" t="str">
        <f t="shared" si="384"/>
        <v>NA</v>
      </c>
    </row>
    <row r="3791" spans="1:21" ht="14.25" customHeight="1">
      <c r="A3791" s="2" t="s">
        <v>15</v>
      </c>
      <c r="B3791" s="2">
        <v>2005</v>
      </c>
      <c r="C3791" s="2" t="s">
        <v>36</v>
      </c>
      <c r="D3791" s="2">
        <v>19.744</v>
      </c>
      <c r="E3791" s="2">
        <v>23.241</v>
      </c>
      <c r="F3791" s="2">
        <v>15.5</v>
      </c>
      <c r="G3791" s="2">
        <v>34</v>
      </c>
      <c r="H3791" s="2">
        <v>2.2000000000000002</v>
      </c>
      <c r="I3791" s="2">
        <v>10</v>
      </c>
      <c r="P3791" s="3">
        <f>E3791*(VLOOKUP(B3791,Price_data!A$1:B$190,2,FALSE))</f>
        <v>20.617065627864001</v>
      </c>
      <c r="Q3791" s="3">
        <f>G3791*(VLOOKUP(B3791,Price_data!A$1:B$190,2,FALSE))</f>
        <v>30.161362736000001</v>
      </c>
      <c r="R3791" s="3">
        <f>I3791*(VLOOKUP(B3791,Price_data!A$1:B$190,2,FALSE))</f>
        <v>8.8709890399999995</v>
      </c>
      <c r="S3791" s="4" t="str">
        <f>(VLOOKUP(B3791,Price_data!A$1:C$190,3,FALSE))</f>
        <v>EEZ</v>
      </c>
      <c r="T3791" s="2" t="str">
        <f>IF(C3791="Total", (VLOOKUP(B3791,Recommended_fish_intake!A$4:D$122,4,FALSE)), "NA")</f>
        <v>NA</v>
      </c>
      <c r="U3791" s="2" t="str">
        <f t="shared" si="384"/>
        <v>NA</v>
      </c>
    </row>
    <row r="3792" spans="1:21" ht="14.25" customHeight="1">
      <c r="A3792" s="2" t="s">
        <v>15</v>
      </c>
      <c r="B3792" s="2">
        <v>2005</v>
      </c>
      <c r="C3792" s="2" t="s">
        <v>34</v>
      </c>
      <c r="D3792" s="2">
        <v>1.325</v>
      </c>
      <c r="E3792" s="2">
        <v>12.125999999999999</v>
      </c>
      <c r="F3792" s="2" t="s">
        <v>92</v>
      </c>
      <c r="G3792" s="2" t="s">
        <v>92</v>
      </c>
      <c r="H3792" s="2" t="s">
        <v>92</v>
      </c>
      <c r="I3792" s="2" t="s">
        <v>92</v>
      </c>
      <c r="P3792" s="3">
        <f>E3792*(VLOOKUP(B3792,Price_data!A$1:B$190,2,FALSE))</f>
        <v>10.756961309904</v>
      </c>
      <c r="Q3792" s="3" t="e">
        <f>G3792*(VLOOKUP(B3792,Price_data!A$1:B$190,2,FALSE))</f>
        <v>#VALUE!</v>
      </c>
      <c r="R3792" s="3" t="e">
        <f>I3792*(VLOOKUP(B3792,Price_data!A$1:B$190,2,FALSE))</f>
        <v>#VALUE!</v>
      </c>
      <c r="S3792" s="4" t="str">
        <f>(VLOOKUP(B3792,Price_data!A$1:C$190,3,FALSE))</f>
        <v>EEZ</v>
      </c>
      <c r="T3792" s="2" t="str">
        <f>IF(C3792="Total", (VLOOKUP(B3792,Recommended_fish_intake!A$4:D$122,4,FALSE)), "NA")</f>
        <v>NA</v>
      </c>
      <c r="U3792" s="2" t="str">
        <f t="shared" si="384"/>
        <v>NA</v>
      </c>
    </row>
    <row r="3793" spans="1:21" ht="14.25" customHeight="1">
      <c r="A3793" s="2" t="s">
        <v>15</v>
      </c>
      <c r="B3793" s="2">
        <v>2005</v>
      </c>
      <c r="C3793" s="2" t="s">
        <v>35</v>
      </c>
      <c r="D3793" s="2">
        <v>33.713999999999999</v>
      </c>
      <c r="E3793" s="2">
        <v>83.603999999999999</v>
      </c>
      <c r="F3793" s="2" t="s">
        <v>92</v>
      </c>
      <c r="G3793" s="2" t="s">
        <v>92</v>
      </c>
      <c r="H3793" s="2" t="s">
        <v>92</v>
      </c>
      <c r="I3793" s="2" t="s">
        <v>92</v>
      </c>
      <c r="P3793" s="3">
        <f>E3793*(VLOOKUP(B3793,Price_data!A$1:B$190,2,FALSE))</f>
        <v>74.165016770015995</v>
      </c>
      <c r="Q3793" s="3" t="e">
        <f>G3793*(VLOOKUP(B3793,Price_data!A$1:B$190,2,FALSE))</f>
        <v>#VALUE!</v>
      </c>
      <c r="R3793" s="3" t="e">
        <f>I3793*(VLOOKUP(B3793,Price_data!A$1:B$190,2,FALSE))</f>
        <v>#VALUE!</v>
      </c>
      <c r="S3793" s="4" t="str">
        <f>(VLOOKUP(B3793,Price_data!A$1:C$190,3,FALSE))</f>
        <v>EEZ</v>
      </c>
      <c r="T3793" s="2" t="str">
        <f>IF(C3793="Total", (VLOOKUP(B3793,Recommended_fish_intake!A$4:D$122,4,FALSE)), "NA")</f>
        <v>NA</v>
      </c>
      <c r="U3793" s="2" t="str">
        <f t="shared" si="384"/>
        <v>NA</v>
      </c>
    </row>
    <row r="3794" spans="1:21" ht="14.25" customHeight="1">
      <c r="A3794" s="2" t="s">
        <v>15</v>
      </c>
      <c r="B3794" s="2">
        <v>2005</v>
      </c>
      <c r="C3794" s="2" t="s">
        <v>52</v>
      </c>
      <c r="D3794" s="2">
        <v>25.994</v>
      </c>
      <c r="E3794" s="2">
        <v>34.109000000000002</v>
      </c>
      <c r="F3794" s="2" t="s">
        <v>92</v>
      </c>
      <c r="G3794" s="2" t="s">
        <v>92</v>
      </c>
      <c r="H3794" s="2" t="s">
        <v>92</v>
      </c>
      <c r="I3794" s="2" t="s">
        <v>92</v>
      </c>
      <c r="P3794" s="3">
        <f>E3794*(VLOOKUP(B3794,Price_data!A$1:B$190,2,FALSE))</f>
        <v>30.258056516536001</v>
      </c>
      <c r="Q3794" s="3" t="e">
        <f>G3794*(VLOOKUP(B3794,Price_data!A$1:B$190,2,FALSE))</f>
        <v>#VALUE!</v>
      </c>
      <c r="R3794" s="3" t="e">
        <f>I3794*(VLOOKUP(B3794,Price_data!A$1:B$190,2,FALSE))</f>
        <v>#VALUE!</v>
      </c>
      <c r="S3794" s="4" t="str">
        <f>(VLOOKUP(B3794,Price_data!A$1:C$190,3,FALSE))</f>
        <v>EEZ</v>
      </c>
      <c r="T3794" s="2" t="str">
        <f>IF(C3794="Total", (VLOOKUP(B3794,Recommended_fish_intake!A$4:D$122,4,FALSE)), "NA")</f>
        <v>NA</v>
      </c>
      <c r="U3794" s="2" t="str">
        <f t="shared" si="384"/>
        <v>NA</v>
      </c>
    </row>
    <row r="3795" spans="1:21" ht="14.25" customHeight="1">
      <c r="A3795" s="2" t="s">
        <v>15</v>
      </c>
      <c r="B3795" s="2">
        <v>2005</v>
      </c>
      <c r="C3795" s="2" t="s">
        <v>30</v>
      </c>
      <c r="D3795" s="2">
        <v>0.54</v>
      </c>
      <c r="E3795" s="2">
        <v>0.86899999999999999</v>
      </c>
      <c r="F3795" s="2">
        <v>23</v>
      </c>
      <c r="G3795" s="2">
        <v>81.599999999999994</v>
      </c>
      <c r="H3795" s="2">
        <v>90.5</v>
      </c>
      <c r="I3795" s="2">
        <v>338.6</v>
      </c>
      <c r="P3795" s="3">
        <f>E3795*(VLOOKUP(B3795,Price_data!A$1:B$190,2,FALSE))</f>
        <v>0.77088894757600002</v>
      </c>
      <c r="Q3795" s="3">
        <f>G3795*(VLOOKUP(B3795,Price_data!A$1:B$190,2,FALSE))</f>
        <v>72.387270566399991</v>
      </c>
      <c r="R3795" s="3">
        <f>I3795*(VLOOKUP(B3795,Price_data!A$1:B$190,2,FALSE))</f>
        <v>300.37168889440005</v>
      </c>
      <c r="S3795" s="4" t="str">
        <f>(VLOOKUP(B3795,Price_data!A$1:C$190,3,FALSE))</f>
        <v>EEZ</v>
      </c>
      <c r="T3795" s="2" t="str">
        <f>IF(C3795="Total", (VLOOKUP(B3795,Recommended_fish_intake!A$4:D$122,4,FALSE)), "NA")</f>
        <v>NA</v>
      </c>
      <c r="U3795" s="2" t="str">
        <f t="shared" si="384"/>
        <v>NA</v>
      </c>
    </row>
    <row r="3796" spans="1:21" ht="14.25" customHeight="1">
      <c r="A3796" s="2" t="s">
        <v>15</v>
      </c>
      <c r="B3796" s="2">
        <v>2005</v>
      </c>
      <c r="C3796" s="2" t="s">
        <v>28</v>
      </c>
      <c r="D3796" s="2">
        <v>131.47499999999999</v>
      </c>
      <c r="E3796" s="2">
        <v>186.191</v>
      </c>
      <c r="F3796" s="2">
        <v>103.1</v>
      </c>
      <c r="G3796" s="2">
        <v>350.5</v>
      </c>
      <c r="H3796" s="2">
        <v>115.4</v>
      </c>
      <c r="I3796" s="2">
        <v>424.9</v>
      </c>
      <c r="P3796" s="3">
        <f>E3796*(VLOOKUP(B3796,Price_data!A$1:B$190,2,FALSE))</f>
        <v>165.16983203466401</v>
      </c>
      <c r="Q3796" s="3">
        <f>G3796*(VLOOKUP(B3796,Price_data!A$1:B$190,2,FALSE))</f>
        <v>310.92816585200001</v>
      </c>
      <c r="R3796" s="3">
        <f>I3796*(VLOOKUP(B3796,Price_data!A$1:B$190,2,FALSE))</f>
        <v>376.92832430959999</v>
      </c>
      <c r="S3796" s="4" t="str">
        <f>(VLOOKUP(B3796,Price_data!A$1:C$190,3,FALSE))</f>
        <v>EEZ</v>
      </c>
      <c r="T3796" s="2" t="str">
        <f>IF(C3796="Total", (VLOOKUP(B3796,Recommended_fish_intake!A$4:D$122,4,FALSE)), "NA")</f>
        <v>NA</v>
      </c>
      <c r="U3796" s="2">
        <f t="shared" si="384"/>
        <v>36.813000000000002</v>
      </c>
    </row>
    <row r="3797" spans="1:21" ht="14.25" customHeight="1">
      <c r="A3797" s="2" t="s">
        <v>90</v>
      </c>
      <c r="B3797" s="2">
        <v>2005</v>
      </c>
      <c r="C3797" s="2" t="s">
        <v>16</v>
      </c>
      <c r="D3797" s="2">
        <v>100.4</v>
      </c>
      <c r="E3797" s="2">
        <v>119.9</v>
      </c>
      <c r="P3797" s="3">
        <f>E3797*(VLOOKUP(B3797,Price_data!A$1:B$190,2,FALSE))</f>
        <v>106.3631585896</v>
      </c>
      <c r="Q3797" s="3">
        <f>G3797*(VLOOKUP(B3797,Price_data!A$1:B$190,2,FALSE))</f>
        <v>0</v>
      </c>
      <c r="R3797" s="3">
        <f>I3797*(VLOOKUP(B3797,Price_data!A$1:B$190,2,FALSE))</f>
        <v>0</v>
      </c>
      <c r="S3797" s="4" t="str">
        <f>(VLOOKUP(B3797,Price_data!A$1:C$190,3,FALSE))</f>
        <v>EEZ</v>
      </c>
      <c r="T3797" s="2">
        <f>IF(C3797="Total", (VLOOKUP(B3797,Recommended_fish_intake!A$4:D$122,4,FALSE)), "NA")</f>
        <v>802.41914010258006</v>
      </c>
      <c r="U3797" s="2" t="str">
        <f t="shared" si="384"/>
        <v>NA</v>
      </c>
    </row>
    <row r="3798" spans="1:21" ht="14.25" customHeight="1">
      <c r="A3798" s="2" t="s">
        <v>91</v>
      </c>
      <c r="B3798" s="2">
        <v>2005</v>
      </c>
      <c r="C3798" s="2" t="s">
        <v>16</v>
      </c>
      <c r="D3798" s="2">
        <v>17.645</v>
      </c>
      <c r="E3798" s="2">
        <v>15.946</v>
      </c>
      <c r="P3798" s="3">
        <f>E3798*(VLOOKUP(B3798,Price_data!A$1:B$190,2,FALSE))</f>
        <v>14.145679123183999</v>
      </c>
      <c r="Q3798" s="3">
        <f>G3798*(VLOOKUP(B3798,Price_data!A$1:B$190,2,FALSE))</f>
        <v>0</v>
      </c>
      <c r="R3798" s="3">
        <f>I3798*(VLOOKUP(B3798,Price_data!A$1:B$190,2,FALSE))</f>
        <v>0</v>
      </c>
      <c r="S3798" s="4" t="str">
        <f>(VLOOKUP(B3798,Price_data!A$1:C$190,3,FALSE))</f>
        <v>EEZ</v>
      </c>
      <c r="T3798" s="2">
        <f>IF(C3798="Total", (VLOOKUP(B3798,Recommended_fish_intake!A$4:D$122,4,FALSE)), "NA")</f>
        <v>802.41914010258006</v>
      </c>
      <c r="U3798" s="2" t="str">
        <f t="shared" si="384"/>
        <v>NA</v>
      </c>
    </row>
    <row r="3799" spans="1:21" ht="14.25" customHeight="1">
      <c r="A3799" s="2" t="s">
        <v>39</v>
      </c>
      <c r="B3799" s="2">
        <v>2005</v>
      </c>
      <c r="C3799" s="2" t="s">
        <v>16</v>
      </c>
      <c r="D3799" s="2">
        <v>366.20800000000003</v>
      </c>
      <c r="E3799" s="2">
        <v>307.68299999999999</v>
      </c>
      <c r="P3799" s="3">
        <f>E3799*(VLOOKUP(B3799,Price_data!A$1:B$190,2,FALSE))</f>
        <v>272.94525207943201</v>
      </c>
      <c r="Q3799" s="3">
        <f>G3799*(VLOOKUP(B3799,Price_data!A$1:B$190,2,FALSE))</f>
        <v>0</v>
      </c>
      <c r="R3799" s="3">
        <f>I3799*(VLOOKUP(B3799,Price_data!A$1:B$190,2,FALSE))</f>
        <v>0</v>
      </c>
      <c r="S3799" s="4" t="str">
        <f>(VLOOKUP(B3799,Price_data!A$1:C$190,3,FALSE))</f>
        <v>EEZ</v>
      </c>
      <c r="T3799" s="2">
        <f>IF(C3799="Total", (VLOOKUP(B3799,Recommended_fish_intake!A$4:D$122,4,FALSE)), "NA")</f>
        <v>802.41914010258006</v>
      </c>
      <c r="U3799" s="2" t="str">
        <f t="shared" si="384"/>
        <v>NA</v>
      </c>
    </row>
    <row r="3800" spans="1:21" ht="14.25" customHeight="1">
      <c r="A3800" s="2" t="s">
        <v>40</v>
      </c>
      <c r="B3800" s="2">
        <v>2005</v>
      </c>
      <c r="C3800" s="2" t="s">
        <v>16</v>
      </c>
      <c r="D3800" s="2">
        <v>14.925000000000001</v>
      </c>
      <c r="E3800" s="2">
        <v>14.641</v>
      </c>
      <c r="P3800" s="3">
        <f>E3800*(VLOOKUP(B3800,Price_data!A$1:B$190,2,FALSE))</f>
        <v>12.988015053464</v>
      </c>
      <c r="Q3800" s="3">
        <f>G3800*(VLOOKUP(B3800,Price_data!A$1:B$190,2,FALSE))</f>
        <v>0</v>
      </c>
      <c r="R3800" s="3">
        <f>I3800*(VLOOKUP(B3800,Price_data!A$1:B$190,2,FALSE))</f>
        <v>0</v>
      </c>
      <c r="S3800" s="4" t="str">
        <f>(VLOOKUP(B3800,Price_data!A$1:C$190,3,FALSE))</f>
        <v>EEZ</v>
      </c>
      <c r="T3800" s="2">
        <f>IF(C3800="Total", (VLOOKUP(B3800,Recommended_fish_intake!A$4:D$122,4,FALSE)), "NA")</f>
        <v>802.41914010258006</v>
      </c>
      <c r="U3800" s="2" t="str">
        <f t="shared" si="384"/>
        <v>NA</v>
      </c>
    </row>
    <row r="3801" spans="1:21" ht="14.25" customHeight="1">
      <c r="A3801" s="2" t="s">
        <v>18</v>
      </c>
      <c r="B3801" s="2">
        <v>2005</v>
      </c>
      <c r="C3801" s="2" t="s">
        <v>16</v>
      </c>
      <c r="D3801" s="3">
        <f>D3049+D2809</f>
        <v>0</v>
      </c>
      <c r="E3801" s="3">
        <f>E3049+E2809</f>
        <v>0</v>
      </c>
      <c r="P3801" s="3">
        <f>E3801*(VLOOKUP(B3801,Price_data!A$1:B$190,2,FALSE))</f>
        <v>0</v>
      </c>
      <c r="Q3801" s="3">
        <f>G3801*(VLOOKUP(B3801,Price_data!A$1:B$190,2,FALSE))</f>
        <v>0</v>
      </c>
      <c r="R3801" s="3">
        <f>I3801*(VLOOKUP(B3801,Price_data!A$1:B$190,2,FALSE))</f>
        <v>0</v>
      </c>
      <c r="S3801" s="4" t="str">
        <f>(VLOOKUP(B3801,Price_data!A$1:C$190,3,FALSE))</f>
        <v>EEZ</v>
      </c>
      <c r="T3801" s="2">
        <f>IF(C3801="Total", (VLOOKUP(B3801,Recommended_fish_intake!A$4:D$122,4,FALSE)), "NA")</f>
        <v>802.41914010258006</v>
      </c>
      <c r="U3801" s="2" t="str">
        <f t="shared" si="384"/>
        <v>NA</v>
      </c>
    </row>
    <row r="3802" spans="1:21" ht="14.25" customHeight="1">
      <c r="A3802" s="2" t="s">
        <v>15</v>
      </c>
      <c r="B3802" s="2">
        <v>2005</v>
      </c>
      <c r="C3802" s="2" t="s">
        <v>16</v>
      </c>
      <c r="D3802" s="2">
        <v>499.17200000000003</v>
      </c>
      <c r="E3802" s="2">
        <v>458.17399999999998</v>
      </c>
      <c r="F3802" s="2">
        <v>460.6</v>
      </c>
      <c r="G3802" s="2">
        <v>936.7</v>
      </c>
      <c r="H3802" s="2">
        <v>719.7</v>
      </c>
      <c r="I3802" s="6">
        <v>1694.9</v>
      </c>
      <c r="J3802" s="6"/>
      <c r="K3802" s="6"/>
      <c r="P3802" s="3">
        <f>E3802*(VLOOKUP(B3802,Price_data!A$1:B$190,2,FALSE))</f>
        <v>406.44565324129599</v>
      </c>
      <c r="Q3802" s="3">
        <f>G3802*(VLOOKUP(B3802,Price_data!A$1:B$190,2,FALSE))</f>
        <v>830.94554337680006</v>
      </c>
      <c r="R3802" s="3">
        <f>I3802*(VLOOKUP(B3802,Price_data!A$1:B$190,2,FALSE))</f>
        <v>1503.5439323896001</v>
      </c>
      <c r="S3802" s="4" t="str">
        <f>(VLOOKUP(B3802,Price_data!A$1:C$190,3,FALSE))</f>
        <v>EEZ</v>
      </c>
      <c r="T3802" s="2">
        <f>IF(C3802="Total", (VLOOKUP(B3802,Recommended_fish_intake!A$4:D$122,4,FALSE)), "NA")</f>
        <v>802.41914010258006</v>
      </c>
      <c r="U3802" s="2" t="str">
        <f t="shared" si="384"/>
        <v>NA</v>
      </c>
    </row>
    <row r="3803" spans="1:21" ht="14.25" customHeight="1">
      <c r="A3803" s="2" t="s">
        <v>15</v>
      </c>
      <c r="B3803" s="2">
        <v>2005</v>
      </c>
      <c r="C3803" s="2" t="s">
        <v>37</v>
      </c>
      <c r="D3803" s="2">
        <f>D3591+D3843</f>
        <v>61.051999999999992</v>
      </c>
      <c r="E3803" s="2">
        <f>E3591+E3843</f>
        <v>74.807000000000002</v>
      </c>
      <c r="F3803" s="3">
        <v>357.5</v>
      </c>
      <c r="G3803" s="3">
        <v>586.1</v>
      </c>
      <c r="H3803" s="3">
        <v>604.29999999999995</v>
      </c>
      <c r="I3803" s="7">
        <v>1270</v>
      </c>
      <c r="J3803" s="6"/>
      <c r="K3803" s="6"/>
      <c r="P3803" s="3">
        <f>E3803*(VLOOKUP(B3803,Price_data!A$1:B$190,2,FALSE))</f>
        <v>66.36120771152801</v>
      </c>
      <c r="Q3803" s="3">
        <f>G3803*(VLOOKUP(B3803,Price_data!A$1:B$190,2,FALSE))</f>
        <v>519.92866763440009</v>
      </c>
      <c r="R3803" s="3">
        <f>I3803*(VLOOKUP(B3803,Price_data!A$1:B$190,2,FALSE))</f>
        <v>1126.6156080800001</v>
      </c>
      <c r="S3803" s="4" t="str">
        <f>(VLOOKUP(B3803,Price_data!A$1:C$190,3,FALSE))</f>
        <v>EEZ</v>
      </c>
      <c r="T3803" s="2" t="str">
        <f>IF(C3803="Total", (VLOOKUP(B3803,Recommended_fish_intake!A$4:D$122,4,FALSE)), "NA")</f>
        <v>NA</v>
      </c>
      <c r="U3803" s="2">
        <f t="shared" si="384"/>
        <v>29.915479999999995</v>
      </c>
    </row>
    <row r="3804" spans="1:21" ht="14.25" customHeight="1">
      <c r="A3804" s="2" t="s">
        <v>15</v>
      </c>
      <c r="B3804" s="2">
        <v>2005</v>
      </c>
      <c r="C3804" s="2" t="s">
        <v>41</v>
      </c>
      <c r="D3804" s="2">
        <v>128.99700000000001</v>
      </c>
      <c r="E3804" s="2">
        <v>172.67</v>
      </c>
      <c r="F3804" s="2" t="s">
        <v>92</v>
      </c>
      <c r="G3804" s="2" t="s">
        <v>92</v>
      </c>
      <c r="H3804" s="2" t="s">
        <v>92</v>
      </c>
      <c r="I3804" s="2" t="s">
        <v>92</v>
      </c>
      <c r="P3804" s="3">
        <f>E3804*(VLOOKUP(B3804,Price_data!A$1:B$190,2,FALSE))</f>
        <v>153.17536775367998</v>
      </c>
      <c r="Q3804" s="3" t="e">
        <f>G3804*(VLOOKUP(B3804,Price_data!A$1:B$190,2,FALSE))</f>
        <v>#VALUE!</v>
      </c>
      <c r="R3804" s="3" t="e">
        <f>I3804*(VLOOKUP(B3804,Price_data!A$1:B$190,2,FALSE))</f>
        <v>#VALUE!</v>
      </c>
      <c r="S3804" s="4" t="str">
        <f>(VLOOKUP(B3804,Price_data!A$1:C$190,3,FALSE))</f>
        <v>EEZ</v>
      </c>
      <c r="T3804" s="2" t="str">
        <f>IF(C3804="Total", (VLOOKUP(B3804,Recommended_fish_intake!A$4:D$122,4,FALSE)), "NA")</f>
        <v>NA</v>
      </c>
      <c r="U3804" s="2" t="str">
        <f t="shared" si="384"/>
        <v>NA</v>
      </c>
    </row>
    <row r="3805" spans="1:21" ht="14.25" customHeight="1">
      <c r="A3805" s="2" t="s">
        <v>15</v>
      </c>
      <c r="B3805" s="2">
        <v>2005</v>
      </c>
      <c r="C3805" s="2" t="s">
        <v>22</v>
      </c>
      <c r="D3805" s="2">
        <v>13.784000000000001</v>
      </c>
      <c r="E3805" s="2">
        <v>21.85</v>
      </c>
      <c r="F3805" s="2">
        <v>41.6</v>
      </c>
      <c r="G3805" s="2">
        <v>100.4</v>
      </c>
      <c r="H3805" s="2">
        <v>138.4</v>
      </c>
      <c r="I3805" s="2">
        <v>376.3</v>
      </c>
      <c r="P3805" s="3">
        <f>E3805*(VLOOKUP(B3805,Price_data!A$1:B$190,2,FALSE))</f>
        <v>19.3831110524</v>
      </c>
      <c r="Q3805" s="3">
        <f>G3805*(VLOOKUP(B3805,Price_data!A$1:B$190,2,FALSE))</f>
        <v>89.064729961600008</v>
      </c>
      <c r="R3805" s="3">
        <f>I3805*(VLOOKUP(B3805,Price_data!A$1:B$190,2,FALSE))</f>
        <v>333.81531757520003</v>
      </c>
      <c r="S3805" s="4" t="str">
        <f>(VLOOKUP(B3805,Price_data!A$1:C$190,3,FALSE))</f>
        <v>EEZ</v>
      </c>
      <c r="T3805" s="2" t="str">
        <f>IF(C3805="Total", (VLOOKUP(B3805,Recommended_fish_intake!A$4:D$122,4,FALSE)), "NA")</f>
        <v>NA</v>
      </c>
      <c r="U3805" s="2" t="str">
        <f t="shared" si="384"/>
        <v>NA</v>
      </c>
    </row>
    <row r="3806" spans="1:21" ht="14.25" customHeight="1">
      <c r="A3806" s="2" t="s">
        <v>15</v>
      </c>
      <c r="B3806" s="2">
        <v>2005</v>
      </c>
      <c r="C3806" s="2" t="s">
        <v>20</v>
      </c>
      <c r="D3806" s="2">
        <v>120.852</v>
      </c>
      <c r="E3806" s="2">
        <v>78.322999999999993</v>
      </c>
      <c r="F3806" s="2">
        <v>100.8</v>
      </c>
      <c r="G3806" s="2">
        <v>89.4</v>
      </c>
      <c r="H3806" s="2">
        <v>27.1</v>
      </c>
      <c r="I3806" s="2">
        <v>35.299999999999997</v>
      </c>
      <c r="P3806" s="3">
        <f>E3806*(VLOOKUP(B3806,Price_data!A$1:B$190,2,FALSE))</f>
        <v>69.480247457991993</v>
      </c>
      <c r="Q3806" s="3">
        <f>G3806*(VLOOKUP(B3806,Price_data!A$1:B$190,2,FALSE))</f>
        <v>79.306642017600012</v>
      </c>
      <c r="R3806" s="3">
        <f>I3806*(VLOOKUP(B3806,Price_data!A$1:B$190,2,FALSE))</f>
        <v>31.314591311199997</v>
      </c>
      <c r="S3806" s="4" t="str">
        <f>(VLOOKUP(B3806,Price_data!A$1:C$190,3,FALSE))</f>
        <v>EEZ</v>
      </c>
      <c r="T3806" s="2" t="str">
        <f>IF(C3806="Total", (VLOOKUP(B3806,Recommended_fish_intake!A$4:D$122,4,FALSE)), "NA")</f>
        <v>NA</v>
      </c>
      <c r="U3806" s="2" t="str">
        <f t="shared" si="384"/>
        <v>NA</v>
      </c>
    </row>
    <row r="3807" spans="1:21" ht="14.25" customHeight="1">
      <c r="A3807" s="2" t="s">
        <v>15</v>
      </c>
      <c r="B3807" s="2">
        <v>2005</v>
      </c>
      <c r="C3807" s="2" t="s">
        <v>19</v>
      </c>
      <c r="D3807" s="2">
        <v>76.423000000000002</v>
      </c>
      <c r="E3807" s="2">
        <v>15.939</v>
      </c>
      <c r="F3807" s="2">
        <v>69.099999999999994</v>
      </c>
      <c r="G3807" s="2">
        <v>28.3</v>
      </c>
      <c r="H3807" s="2">
        <v>15.6</v>
      </c>
      <c r="I3807" s="2">
        <v>8.5</v>
      </c>
      <c r="P3807" s="3">
        <f>E3807*(VLOOKUP(B3807,Price_data!A$1:B$190,2,FALSE))</f>
        <v>14.139469430856</v>
      </c>
      <c r="Q3807" s="3">
        <f>G3807*(VLOOKUP(B3807,Price_data!A$1:B$190,2,FALSE))</f>
        <v>25.104898983200002</v>
      </c>
      <c r="R3807" s="3">
        <f>I3807*(VLOOKUP(B3807,Price_data!A$1:B$190,2,FALSE))</f>
        <v>7.5403406840000002</v>
      </c>
      <c r="S3807" s="4" t="str">
        <f>(VLOOKUP(B3807,Price_data!A$1:C$190,3,FALSE))</f>
        <v>EEZ</v>
      </c>
      <c r="T3807" s="2" t="str">
        <f>IF(C3807="Total", (VLOOKUP(B3807,Recommended_fish_intake!A$4:D$122,4,FALSE)), "NA")</f>
        <v>NA</v>
      </c>
      <c r="U3807" s="2" t="str">
        <f t="shared" si="384"/>
        <v>NA</v>
      </c>
    </row>
    <row r="3808" spans="1:21" ht="14.25" customHeight="1">
      <c r="A3808" s="2" t="s">
        <v>15</v>
      </c>
      <c r="B3808" s="2">
        <v>2005</v>
      </c>
      <c r="C3808" s="2" t="s">
        <v>24</v>
      </c>
      <c r="D3808" s="2">
        <v>8.8699999999999992</v>
      </c>
      <c r="E3808" s="2">
        <v>5.6319999999999997</v>
      </c>
      <c r="F3808" s="2">
        <v>1.5</v>
      </c>
      <c r="G3808" s="2">
        <v>2.8</v>
      </c>
      <c r="H3808" s="2">
        <v>1.9</v>
      </c>
      <c r="I3808" s="2">
        <v>2.4</v>
      </c>
      <c r="P3808" s="3">
        <f>E3808*(VLOOKUP(B3808,Price_data!A$1:B$190,2,FALSE))</f>
        <v>4.996141027328</v>
      </c>
      <c r="Q3808" s="3">
        <f>G3808*(VLOOKUP(B3808,Price_data!A$1:B$190,2,FALSE))</f>
        <v>2.4838769311999997</v>
      </c>
      <c r="R3808" s="3">
        <f>I3808*(VLOOKUP(B3808,Price_data!A$1:B$190,2,FALSE))</f>
        <v>2.1290373695999998</v>
      </c>
      <c r="S3808" s="4" t="str">
        <f>(VLOOKUP(B3808,Price_data!A$1:C$190,3,FALSE))</f>
        <v>EEZ</v>
      </c>
      <c r="T3808" s="2" t="str">
        <f>IF(C3808="Total", (VLOOKUP(B3808,Recommended_fish_intake!A$4:D$122,4,FALSE)), "NA")</f>
        <v>NA</v>
      </c>
      <c r="U3808" s="2" t="str">
        <f t="shared" si="384"/>
        <v>NA</v>
      </c>
    </row>
    <row r="3809" spans="1:21" ht="14.25" customHeight="1">
      <c r="A3809" s="2" t="s">
        <v>15</v>
      </c>
      <c r="B3809" s="2">
        <v>2005</v>
      </c>
      <c r="C3809" s="2" t="s">
        <v>58</v>
      </c>
      <c r="D3809" s="2">
        <v>12.601000000000001</v>
      </c>
      <c r="E3809" s="2">
        <v>30.667999999999999</v>
      </c>
      <c r="F3809" s="2">
        <v>4.5999999999999996</v>
      </c>
      <c r="G3809" s="2">
        <v>19.899999999999999</v>
      </c>
      <c r="H3809" s="2">
        <v>3.3</v>
      </c>
      <c r="I3809" s="2">
        <v>9.3000000000000007</v>
      </c>
      <c r="P3809" s="3">
        <f>E3809*(VLOOKUP(B3809,Price_data!A$1:B$190,2,FALSE))</f>
        <v>27.205549187871998</v>
      </c>
      <c r="Q3809" s="3">
        <f>G3809*(VLOOKUP(B3809,Price_data!A$1:B$190,2,FALSE))</f>
        <v>17.653268189599999</v>
      </c>
      <c r="R3809" s="3">
        <f>I3809*(VLOOKUP(B3809,Price_data!A$1:B$190,2,FALSE))</f>
        <v>8.2500198072000011</v>
      </c>
      <c r="S3809" s="4" t="str">
        <f>(VLOOKUP(B3809,Price_data!A$1:C$190,3,FALSE))</f>
        <v>EEZ</v>
      </c>
      <c r="T3809" s="2" t="str">
        <f>IF(C3809="Total", (VLOOKUP(B3809,Recommended_fish_intake!A$4:D$122,4,FALSE)), "NA")</f>
        <v>NA</v>
      </c>
      <c r="U3809" s="2" t="str">
        <f t="shared" si="384"/>
        <v>NA</v>
      </c>
    </row>
    <row r="3810" spans="1:21" ht="14.25" customHeight="1">
      <c r="A3810" s="2" t="s">
        <v>15</v>
      </c>
      <c r="B3810" s="2">
        <v>2005</v>
      </c>
      <c r="C3810" s="2" t="s">
        <v>23</v>
      </c>
      <c r="D3810" s="2">
        <v>47.552999999999997</v>
      </c>
      <c r="E3810" s="2">
        <v>38.671999999999997</v>
      </c>
      <c r="F3810" s="2">
        <v>6.3</v>
      </c>
      <c r="G3810" s="2">
        <v>12</v>
      </c>
      <c r="H3810" s="2">
        <v>67.599999999999994</v>
      </c>
      <c r="I3810" s="2">
        <v>126.3</v>
      </c>
      <c r="P3810" s="3">
        <f>E3810*(VLOOKUP(B3810,Price_data!A$1:B$190,2,FALSE))</f>
        <v>34.305888815487997</v>
      </c>
      <c r="Q3810" s="3">
        <f>G3810*(VLOOKUP(B3810,Price_data!A$1:B$190,2,FALSE))</f>
        <v>10.645186848</v>
      </c>
      <c r="R3810" s="3">
        <f>I3810*(VLOOKUP(B3810,Price_data!A$1:B$190,2,FALSE))</f>
        <v>112.0405915752</v>
      </c>
      <c r="S3810" s="4" t="str">
        <f>(VLOOKUP(B3810,Price_data!A$1:C$190,3,FALSE))</f>
        <v>EEZ</v>
      </c>
      <c r="T3810" s="2" t="str">
        <f>IF(C3810="Total", (VLOOKUP(B3810,Recommended_fish_intake!A$4:D$122,4,FALSE)), "NA")</f>
        <v>NA</v>
      </c>
      <c r="U3810" s="2" t="str">
        <f t="shared" si="384"/>
        <v>NA</v>
      </c>
    </row>
    <row r="3811" spans="1:21" ht="14.25" customHeight="1">
      <c r="A3811" s="2" t="s">
        <v>15</v>
      </c>
      <c r="B3811" s="2">
        <v>2005</v>
      </c>
      <c r="C3811" s="2" t="s">
        <v>21</v>
      </c>
      <c r="D3811" s="3">
        <v>4.7</v>
      </c>
      <c r="E3811" s="3">
        <v>1.6</v>
      </c>
      <c r="F3811" s="2" t="s">
        <v>92</v>
      </c>
      <c r="G3811" s="2" t="s">
        <v>92</v>
      </c>
      <c r="H3811" s="2" t="s">
        <v>92</v>
      </c>
      <c r="I3811" s="2" t="s">
        <v>92</v>
      </c>
      <c r="P3811" s="3">
        <f>E3811*(VLOOKUP(B3811,Price_data!A$1:B$190,2,FALSE))</f>
        <v>1.4193582464000001</v>
      </c>
      <c r="Q3811" s="3" t="e">
        <f>G3811*(VLOOKUP(B3811,Price_data!A$1:B$190,2,FALSE))</f>
        <v>#VALUE!</v>
      </c>
      <c r="R3811" s="3" t="e">
        <f>I3811*(VLOOKUP(B3811,Price_data!A$1:B$190,2,FALSE))</f>
        <v>#VALUE!</v>
      </c>
      <c r="S3811" s="4" t="str">
        <f>(VLOOKUP(B3811,Price_data!A$1:C$190,3,FALSE))</f>
        <v>EEZ</v>
      </c>
      <c r="T3811" s="2" t="str">
        <f>IF(C3811="Total", (VLOOKUP(B3811,Recommended_fish_intake!A$4:D$122,4,FALSE)), "NA")</f>
        <v>NA</v>
      </c>
      <c r="U3811" s="2" t="str">
        <f t="shared" si="384"/>
        <v>NA</v>
      </c>
    </row>
    <row r="3812" spans="1:21" ht="14.25" customHeight="1">
      <c r="A3812" s="2" t="s">
        <v>15</v>
      </c>
      <c r="B3812" s="2">
        <v>2005</v>
      </c>
      <c r="C3812" s="2" t="s">
        <v>43</v>
      </c>
      <c r="D3812" s="2" t="s">
        <v>17</v>
      </c>
      <c r="E3812" s="2" t="s">
        <v>17</v>
      </c>
      <c r="F3812" s="2">
        <v>3.6</v>
      </c>
      <c r="G3812" s="2">
        <v>8.5</v>
      </c>
      <c r="H3812" s="2">
        <v>103.2</v>
      </c>
      <c r="I3812" s="2">
        <v>154.30000000000001</v>
      </c>
      <c r="P3812" s="3" t="e">
        <f>E3812*(VLOOKUP(B3812,Price_data!A$1:B$190,2,FALSE))</f>
        <v>#VALUE!</v>
      </c>
      <c r="Q3812" s="3">
        <f>G3812*(VLOOKUP(B3812,Price_data!A$1:B$190,2,FALSE))</f>
        <v>7.5403406840000002</v>
      </c>
      <c r="R3812" s="3">
        <f>I3812*(VLOOKUP(B3812,Price_data!A$1:B$190,2,FALSE))</f>
        <v>136.87936088720002</v>
      </c>
      <c r="S3812" s="4" t="str">
        <f>(VLOOKUP(B3812,Price_data!A$1:C$190,3,FALSE))</f>
        <v>EEZ</v>
      </c>
      <c r="T3812" s="2" t="str">
        <f>IF(C3812="Total", (VLOOKUP(B3812,Recommended_fish_intake!A$4:D$122,4,FALSE)), "NA")</f>
        <v>NA</v>
      </c>
      <c r="U3812" s="2" t="str">
        <f t="shared" si="384"/>
        <v>NA</v>
      </c>
    </row>
    <row r="3813" spans="1:21" ht="14.25" customHeight="1">
      <c r="A3813" s="2" t="s">
        <v>15</v>
      </c>
      <c r="B3813" s="2">
        <v>2005</v>
      </c>
      <c r="C3813" s="2" t="s">
        <v>60</v>
      </c>
      <c r="D3813" s="2">
        <v>2</v>
      </c>
      <c r="E3813" s="2">
        <v>2.8</v>
      </c>
      <c r="F3813" s="2" t="s">
        <v>17</v>
      </c>
      <c r="G3813" s="2" t="s">
        <v>17</v>
      </c>
      <c r="H3813" s="2" t="s">
        <v>17</v>
      </c>
      <c r="I3813" s="2" t="s">
        <v>17</v>
      </c>
      <c r="P3813" s="3">
        <f>E3813*(VLOOKUP(B3813,Price_data!A$1:B$190,2,FALSE))</f>
        <v>2.4838769311999997</v>
      </c>
      <c r="Q3813" s="3" t="e">
        <f>G3813*(VLOOKUP(B3813,Price_data!A$1:B$190,2,FALSE))</f>
        <v>#VALUE!</v>
      </c>
      <c r="R3813" s="3" t="e">
        <f>I3813*(VLOOKUP(B3813,Price_data!A$1:B$190,2,FALSE))</f>
        <v>#VALUE!</v>
      </c>
      <c r="S3813" s="4" t="str">
        <f>(VLOOKUP(B3813,Price_data!A$1:C$190,3,FALSE))</f>
        <v>EEZ</v>
      </c>
      <c r="T3813" s="2" t="str">
        <f>IF(C3813="Total", (VLOOKUP(B3813,Recommended_fish_intake!A$4:D$122,4,FALSE)), "NA")</f>
        <v>NA</v>
      </c>
      <c r="U3813" s="2" t="str">
        <f t="shared" si="384"/>
        <v>NA</v>
      </c>
    </row>
    <row r="3814" spans="1:21" ht="14.25" customHeight="1">
      <c r="A3814" s="2" t="s">
        <v>15</v>
      </c>
      <c r="B3814" s="2">
        <v>2005</v>
      </c>
      <c r="C3814" s="2" t="s">
        <v>29</v>
      </c>
      <c r="D3814" s="2" t="s">
        <v>17</v>
      </c>
      <c r="E3814" s="2" t="s">
        <v>17</v>
      </c>
      <c r="F3814" s="2">
        <v>49.7</v>
      </c>
      <c r="G3814" s="2">
        <v>163.19999999999999</v>
      </c>
      <c r="H3814" s="2">
        <v>54.9</v>
      </c>
      <c r="I3814" s="2">
        <v>151.19999999999999</v>
      </c>
      <c r="P3814" s="3" t="e">
        <f>E3814*(VLOOKUP(B3814,Price_data!A$1:B$190,2,FALSE))</f>
        <v>#VALUE!</v>
      </c>
      <c r="Q3814" s="3">
        <f>G3814*(VLOOKUP(B3814,Price_data!A$1:B$190,2,FALSE))</f>
        <v>144.77454113279998</v>
      </c>
      <c r="R3814" s="3">
        <f>I3814*(VLOOKUP(B3814,Price_data!A$1:B$190,2,FALSE))</f>
        <v>134.1293542848</v>
      </c>
      <c r="S3814" s="4" t="str">
        <f>(VLOOKUP(B3814,Price_data!A$1:C$190,3,FALSE))</f>
        <v>EEZ</v>
      </c>
      <c r="T3814" s="2" t="str">
        <f>IF(C3814="Total", (VLOOKUP(B3814,Recommended_fish_intake!A$4:D$122,4,FALSE)), "NA")</f>
        <v>NA</v>
      </c>
      <c r="U3814" s="2" t="str">
        <f t="shared" si="384"/>
        <v>NA</v>
      </c>
    </row>
    <row r="3815" spans="1:21" ht="14.25" customHeight="1">
      <c r="A3815" s="2" t="s">
        <v>15</v>
      </c>
      <c r="B3815" s="2">
        <v>2005</v>
      </c>
      <c r="C3815" s="2" t="s">
        <v>25</v>
      </c>
      <c r="D3815" s="2">
        <v>3.1</v>
      </c>
      <c r="E3815" s="2">
        <v>4</v>
      </c>
      <c r="F3815" s="4">
        <v>0.8</v>
      </c>
      <c r="G3815" s="4">
        <v>1.2</v>
      </c>
      <c r="H3815" s="4">
        <v>7.6</v>
      </c>
      <c r="I3815" s="4">
        <v>23.8</v>
      </c>
      <c r="P3815" s="3">
        <f>E3815*(VLOOKUP(B3815,Price_data!A$1:B$190,2,FALSE))</f>
        <v>3.5483956160000001</v>
      </c>
      <c r="Q3815" s="3">
        <f>G3815*(VLOOKUP(B3815,Price_data!A$1:B$190,2,FALSE))</f>
        <v>1.0645186847999999</v>
      </c>
      <c r="R3815" s="3">
        <f>I3815*(VLOOKUP(B3815,Price_data!A$1:B$190,2,FALSE))</f>
        <v>21.112953915200002</v>
      </c>
      <c r="S3815" s="4" t="str">
        <f>(VLOOKUP(B3815,Price_data!A$1:C$190,3,FALSE))</f>
        <v>EEZ</v>
      </c>
      <c r="T3815" s="2" t="str">
        <f>IF(C3815="Total", (VLOOKUP(B3815,Recommended_fish_intake!A$4:D$122,4,FALSE)), "NA")</f>
        <v>NA</v>
      </c>
      <c r="U3815" s="2" t="str">
        <f t="shared" si="384"/>
        <v>NA</v>
      </c>
    </row>
    <row r="3816" spans="1:21" ht="14.25" customHeight="1">
      <c r="A3816" s="2" t="s">
        <v>90</v>
      </c>
      <c r="B3816" s="2">
        <v>2006</v>
      </c>
      <c r="C3816" s="2" t="s">
        <v>22</v>
      </c>
      <c r="D3816" s="2">
        <v>5</v>
      </c>
      <c r="E3816" s="2">
        <v>5.4</v>
      </c>
      <c r="P3816" s="3">
        <f>E3816*(VLOOKUP(B3816,Price_data!A$1:B$190,2,FALSE))</f>
        <v>4.6419961609800007</v>
      </c>
      <c r="Q3816" s="3">
        <f>G3816*(VLOOKUP(B3816,Price_data!A$1:B$190,2,FALSE))</f>
        <v>0</v>
      </c>
      <c r="R3816" s="3">
        <f>I3816*(VLOOKUP(B3816,Price_data!A$1:B$190,2,FALSE))</f>
        <v>0</v>
      </c>
      <c r="S3816" s="4" t="str">
        <f>(VLOOKUP(B3816,Price_data!A$1:C$190,3,FALSE))</f>
        <v>EEZ</v>
      </c>
      <c r="T3816" s="2" t="str">
        <f>IF(C3816="Total", (VLOOKUP(B3816,Recommended_fish_intake!A$4:D$122,4,FALSE)), "NA")</f>
        <v>NA</v>
      </c>
      <c r="U3816" s="2" t="str">
        <f t="shared" si="384"/>
        <v>NA</v>
      </c>
    </row>
    <row r="3817" spans="1:21" ht="14.25" customHeight="1">
      <c r="A3817" s="2" t="s">
        <v>90</v>
      </c>
      <c r="B3817" s="2">
        <v>2006</v>
      </c>
      <c r="C3817" s="2" t="s">
        <v>23</v>
      </c>
      <c r="D3817" s="2">
        <v>1</v>
      </c>
      <c r="E3817" s="2">
        <v>1.1000000000000001</v>
      </c>
      <c r="P3817" s="3">
        <f>E3817*(VLOOKUP(B3817,Price_data!A$1:B$190,2,FALSE))</f>
        <v>0.94559181057000008</v>
      </c>
      <c r="Q3817" s="3">
        <f>G3817*(VLOOKUP(B3817,Price_data!A$1:B$190,2,FALSE))</f>
        <v>0</v>
      </c>
      <c r="R3817" s="3">
        <f>I3817*(VLOOKUP(B3817,Price_data!A$1:B$190,2,FALSE))</f>
        <v>0</v>
      </c>
      <c r="S3817" s="4" t="str">
        <f>(VLOOKUP(B3817,Price_data!A$1:C$190,3,FALSE))</f>
        <v>EEZ</v>
      </c>
      <c r="T3817" s="2" t="str">
        <f>IF(C3817="Total", (VLOOKUP(B3817,Recommended_fish_intake!A$4:D$122,4,FALSE)), "NA")</f>
        <v>NA</v>
      </c>
      <c r="U3817" s="2" t="str">
        <f t="shared" si="384"/>
        <v>NA</v>
      </c>
    </row>
    <row r="3818" spans="1:21" ht="14.25" customHeight="1">
      <c r="A3818" s="2" t="s">
        <v>90</v>
      </c>
      <c r="B3818" s="2">
        <v>2006</v>
      </c>
      <c r="C3818" s="2" t="s">
        <v>58</v>
      </c>
      <c r="D3818" s="2">
        <v>2.2999999999999998</v>
      </c>
      <c r="E3818" s="2">
        <v>5.8</v>
      </c>
      <c r="P3818" s="3">
        <f>E3818*(VLOOKUP(B3818,Price_data!A$1:B$190,2,FALSE))</f>
        <v>4.9858477284599996</v>
      </c>
      <c r="Q3818" s="3">
        <f>G3818*(VLOOKUP(B3818,Price_data!A$1:B$190,2,FALSE))</f>
        <v>0</v>
      </c>
      <c r="R3818" s="3">
        <f>I3818*(VLOOKUP(B3818,Price_data!A$1:B$190,2,FALSE))</f>
        <v>0</v>
      </c>
      <c r="S3818" s="4" t="str">
        <f>(VLOOKUP(B3818,Price_data!A$1:C$190,3,FALSE))</f>
        <v>EEZ</v>
      </c>
      <c r="T3818" s="2" t="str">
        <f>IF(C3818="Total", (VLOOKUP(B3818,Recommended_fish_intake!A$4:D$122,4,FALSE)), "NA")</f>
        <v>NA</v>
      </c>
      <c r="U3818" s="2" t="str">
        <f t="shared" si="384"/>
        <v>NA</v>
      </c>
    </row>
    <row r="3819" spans="1:21" ht="14.25" customHeight="1">
      <c r="A3819" s="2" t="s">
        <v>90</v>
      </c>
      <c r="B3819" s="2">
        <v>2006</v>
      </c>
      <c r="C3819" s="2" t="s">
        <v>24</v>
      </c>
      <c r="D3819" s="2">
        <v>3.9</v>
      </c>
      <c r="E3819" s="2">
        <v>2.2000000000000002</v>
      </c>
      <c r="P3819" s="3">
        <f>E3819*(VLOOKUP(B3819,Price_data!A$1:B$190,2,FALSE))</f>
        <v>1.8911836211400002</v>
      </c>
      <c r="Q3819" s="3">
        <f>G3819*(VLOOKUP(B3819,Price_data!A$1:B$190,2,FALSE))</f>
        <v>0</v>
      </c>
      <c r="R3819" s="3">
        <f>I3819*(VLOOKUP(B3819,Price_data!A$1:B$190,2,FALSE))</f>
        <v>0</v>
      </c>
      <c r="S3819" s="4" t="str">
        <f>(VLOOKUP(B3819,Price_data!A$1:C$190,3,FALSE))</f>
        <v>EEZ</v>
      </c>
      <c r="T3819" s="2" t="str">
        <f>IF(C3819="Total", (VLOOKUP(B3819,Recommended_fish_intake!A$4:D$122,4,FALSE)), "NA")</f>
        <v>NA</v>
      </c>
      <c r="U3819" s="2" t="str">
        <f t="shared" si="384"/>
        <v>NA</v>
      </c>
    </row>
    <row r="3820" spans="1:21" ht="14.25" customHeight="1">
      <c r="A3820" s="2" t="s">
        <v>90</v>
      </c>
      <c r="B3820" s="2">
        <v>2006</v>
      </c>
      <c r="C3820" s="2" t="s">
        <v>41</v>
      </c>
      <c r="D3820" s="2">
        <v>27.3</v>
      </c>
      <c r="E3820" s="2">
        <v>54.3</v>
      </c>
      <c r="P3820" s="3">
        <f>E3820*(VLOOKUP(B3820,Price_data!A$1:B$190,2,FALSE))</f>
        <v>46.677850285409995</v>
      </c>
      <c r="Q3820" s="3">
        <f>G3820*(VLOOKUP(B3820,Price_data!A$1:B$190,2,FALSE))</f>
        <v>0</v>
      </c>
      <c r="R3820" s="3">
        <f>I3820*(VLOOKUP(B3820,Price_data!A$1:B$190,2,FALSE))</f>
        <v>0</v>
      </c>
      <c r="S3820" s="4" t="str">
        <f>(VLOOKUP(B3820,Price_data!A$1:C$190,3,FALSE))</f>
        <v>EEZ</v>
      </c>
      <c r="T3820" s="2" t="str">
        <f>IF(C3820="Total", (VLOOKUP(B3820,Recommended_fish_intake!A$4:D$122,4,FALSE)), "NA")</f>
        <v>NA</v>
      </c>
      <c r="U3820" s="2" t="str">
        <f t="shared" si="384"/>
        <v>NA</v>
      </c>
    </row>
    <row r="3821" spans="1:21" ht="14.25" customHeight="1">
      <c r="A3821" s="2" t="s">
        <v>90</v>
      </c>
      <c r="B3821" s="2">
        <v>2006</v>
      </c>
      <c r="C3821" s="2" t="s">
        <v>19</v>
      </c>
      <c r="D3821" s="2">
        <v>0.6</v>
      </c>
      <c r="E3821" s="2">
        <v>0.3</v>
      </c>
      <c r="P3821" s="3">
        <f>E3821*(VLOOKUP(B3821,Price_data!A$1:B$190,2,FALSE))</f>
        <v>0.25788867561000001</v>
      </c>
      <c r="Q3821" s="3">
        <f>G3821*(VLOOKUP(B3821,Price_data!A$1:B$190,2,FALSE))</f>
        <v>0</v>
      </c>
      <c r="R3821" s="3">
        <f>I3821*(VLOOKUP(B3821,Price_data!A$1:B$190,2,FALSE))</f>
        <v>0</v>
      </c>
      <c r="S3821" s="4" t="str">
        <f>(VLOOKUP(B3821,Price_data!A$1:C$190,3,FALSE))</f>
        <v>EEZ</v>
      </c>
      <c r="T3821" s="2" t="str">
        <f>IF(C3821="Total", (VLOOKUP(B3821,Recommended_fish_intake!A$4:D$122,4,FALSE)), "NA")</f>
        <v>NA</v>
      </c>
      <c r="U3821" s="2" t="str">
        <f t="shared" si="384"/>
        <v>NA</v>
      </c>
    </row>
    <row r="3822" spans="1:21" ht="14.25" customHeight="1">
      <c r="A3822" s="2" t="s">
        <v>90</v>
      </c>
      <c r="B3822" s="2">
        <v>2006</v>
      </c>
      <c r="C3822" s="2" t="s">
        <v>20</v>
      </c>
      <c r="D3822" s="2">
        <v>4</v>
      </c>
      <c r="E3822" s="2">
        <v>2.7</v>
      </c>
      <c r="P3822" s="3">
        <f>E3822*(VLOOKUP(B3822,Price_data!A$1:B$190,2,FALSE))</f>
        <v>2.3209980804900003</v>
      </c>
      <c r="Q3822" s="3">
        <f>G3822*(VLOOKUP(B3822,Price_data!A$1:B$190,2,FALSE))</f>
        <v>0</v>
      </c>
      <c r="R3822" s="3">
        <f>I3822*(VLOOKUP(B3822,Price_data!A$1:B$190,2,FALSE))</f>
        <v>0</v>
      </c>
      <c r="S3822" s="4" t="str">
        <f>(VLOOKUP(B3822,Price_data!A$1:C$190,3,FALSE))</f>
        <v>EEZ</v>
      </c>
      <c r="T3822" s="2" t="str">
        <f>IF(C3822="Total", (VLOOKUP(B3822,Recommended_fish_intake!A$4:D$122,4,FALSE)), "NA")</f>
        <v>NA</v>
      </c>
      <c r="U3822" s="2" t="str">
        <f t="shared" si="384"/>
        <v>NA</v>
      </c>
    </row>
    <row r="3823" spans="1:21" ht="14.25" customHeight="1">
      <c r="A3823" s="2" t="s">
        <v>90</v>
      </c>
      <c r="B3823" s="2">
        <v>2006</v>
      </c>
      <c r="C3823" s="2" t="s">
        <v>42</v>
      </c>
      <c r="D3823" s="2">
        <v>12.5</v>
      </c>
      <c r="E3823" s="2">
        <v>5</v>
      </c>
      <c r="P3823" s="3">
        <f>E3823*(VLOOKUP(B3823,Price_data!A$1:B$190,2,FALSE))</f>
        <v>4.2981445935</v>
      </c>
      <c r="Q3823" s="3">
        <f>G3823*(VLOOKUP(B3823,Price_data!A$1:B$190,2,FALSE))</f>
        <v>0</v>
      </c>
      <c r="R3823" s="3">
        <f>I3823*(VLOOKUP(B3823,Price_data!A$1:B$190,2,FALSE))</f>
        <v>0</v>
      </c>
      <c r="S3823" s="4" t="str">
        <f>(VLOOKUP(B3823,Price_data!A$1:C$190,3,FALSE))</f>
        <v>EEZ</v>
      </c>
      <c r="T3823" s="2" t="str">
        <f>IF(C3823="Total", (VLOOKUP(B3823,Recommended_fish_intake!A$4:D$122,4,FALSE)), "NA")</f>
        <v>NA</v>
      </c>
      <c r="U3823" s="2" t="str">
        <f t="shared" si="384"/>
        <v>NA</v>
      </c>
    </row>
    <row r="3824" spans="1:21" ht="14.25" customHeight="1">
      <c r="A3824" s="2" t="s">
        <v>90</v>
      </c>
      <c r="B3824" s="2">
        <v>2006</v>
      </c>
      <c r="C3824" s="2" t="s">
        <v>36</v>
      </c>
      <c r="D3824" s="2">
        <v>11.5</v>
      </c>
      <c r="E3824" s="2">
        <v>14.7</v>
      </c>
      <c r="P3824" s="3">
        <f>E3824*(VLOOKUP(B3824,Price_data!A$1:B$190,2,FALSE))</f>
        <v>12.636545104890001</v>
      </c>
      <c r="Q3824" s="3">
        <f>G3824*(VLOOKUP(B3824,Price_data!A$1:B$190,2,FALSE))</f>
        <v>0</v>
      </c>
      <c r="R3824" s="3">
        <f>I3824*(VLOOKUP(B3824,Price_data!A$1:B$190,2,FALSE))</f>
        <v>0</v>
      </c>
      <c r="S3824" s="4" t="str">
        <f>(VLOOKUP(B3824,Price_data!A$1:C$190,3,FALSE))</f>
        <v>EEZ</v>
      </c>
      <c r="T3824" s="2" t="str">
        <f>IF(C3824="Total", (VLOOKUP(B3824,Recommended_fish_intake!A$4:D$122,4,FALSE)), "NA")</f>
        <v>NA</v>
      </c>
      <c r="U3824" s="2" t="str">
        <f t="shared" si="384"/>
        <v>NA</v>
      </c>
    </row>
    <row r="3825" spans="1:21" ht="14.25" customHeight="1">
      <c r="A3825" s="2" t="s">
        <v>90</v>
      </c>
      <c r="B3825" s="2">
        <v>2006</v>
      </c>
      <c r="C3825" s="2" t="s">
        <v>34</v>
      </c>
      <c r="D3825" s="2">
        <v>1.4</v>
      </c>
      <c r="E3825" s="2">
        <v>15.2</v>
      </c>
      <c r="P3825" s="3">
        <f>E3825*(VLOOKUP(B3825,Price_data!A$1:B$190,2,FALSE))</f>
        <v>13.066359564239999</v>
      </c>
      <c r="Q3825" s="3">
        <f>G3825*(VLOOKUP(B3825,Price_data!A$1:B$190,2,FALSE))</f>
        <v>0</v>
      </c>
      <c r="R3825" s="3">
        <f>I3825*(VLOOKUP(B3825,Price_data!A$1:B$190,2,FALSE))</f>
        <v>0</v>
      </c>
      <c r="S3825" s="4" t="str">
        <f>(VLOOKUP(B3825,Price_data!A$1:C$190,3,FALSE))</f>
        <v>EEZ</v>
      </c>
      <c r="T3825" s="2" t="str">
        <f>IF(C3825="Total", (VLOOKUP(B3825,Recommended_fish_intake!A$4:D$122,4,FALSE)), "NA")</f>
        <v>NA</v>
      </c>
      <c r="U3825" s="2" t="str">
        <f t="shared" si="384"/>
        <v>NA</v>
      </c>
    </row>
    <row r="3826" spans="1:21" ht="14.25" customHeight="1">
      <c r="A3826" s="2" t="s">
        <v>90</v>
      </c>
      <c r="B3826" s="2">
        <v>2006</v>
      </c>
      <c r="C3826" s="2" t="s">
        <v>35</v>
      </c>
      <c r="D3826" s="2">
        <v>5.4</v>
      </c>
      <c r="E3826" s="2">
        <v>12.4</v>
      </c>
      <c r="P3826" s="3">
        <f>E3826*(VLOOKUP(B3826,Price_data!A$1:B$190,2,FALSE))</f>
        <v>10.65939859188</v>
      </c>
      <c r="Q3826" s="3">
        <f>G3826*(VLOOKUP(B3826,Price_data!A$1:B$190,2,FALSE))</f>
        <v>0</v>
      </c>
      <c r="R3826" s="3">
        <f>I3826*(VLOOKUP(B3826,Price_data!A$1:B$190,2,FALSE))</f>
        <v>0</v>
      </c>
      <c r="S3826" s="4" t="str">
        <f>(VLOOKUP(B3826,Price_data!A$1:C$190,3,FALSE))</f>
        <v>EEZ</v>
      </c>
      <c r="T3826" s="2" t="str">
        <f>IF(C3826="Total", (VLOOKUP(B3826,Recommended_fish_intake!A$4:D$122,4,FALSE)), "NA")</f>
        <v>NA</v>
      </c>
      <c r="U3826" s="2" t="str">
        <f t="shared" si="384"/>
        <v>NA</v>
      </c>
    </row>
    <row r="3827" spans="1:21" ht="14.25" customHeight="1">
      <c r="A3827" s="2" t="s">
        <v>90</v>
      </c>
      <c r="B3827" s="2">
        <v>2006</v>
      </c>
      <c r="C3827" s="2" t="s">
        <v>52</v>
      </c>
      <c r="D3827" s="2">
        <v>11.4</v>
      </c>
      <c r="E3827" s="2">
        <v>15.1</v>
      </c>
      <c r="P3827" s="3">
        <f>E3827*(VLOOKUP(B3827,Price_data!A$1:B$190,2,FALSE))</f>
        <v>12.98039667237</v>
      </c>
      <c r="Q3827" s="3">
        <f>G3827*(VLOOKUP(B3827,Price_data!A$1:B$190,2,FALSE))</f>
        <v>0</v>
      </c>
      <c r="R3827" s="3">
        <f>I3827*(VLOOKUP(B3827,Price_data!A$1:B$190,2,FALSE))</f>
        <v>0</v>
      </c>
      <c r="S3827" s="4" t="str">
        <f>(VLOOKUP(B3827,Price_data!A$1:C$190,3,FALSE))</f>
        <v>EEZ</v>
      </c>
      <c r="T3827" s="2" t="str">
        <f>IF(C3827="Total", (VLOOKUP(B3827,Recommended_fish_intake!A$4:D$122,4,FALSE)), "NA")</f>
        <v>NA</v>
      </c>
      <c r="U3827" s="2" t="str">
        <f t="shared" si="384"/>
        <v>NA</v>
      </c>
    </row>
    <row r="3828" spans="1:21" ht="14.25" customHeight="1">
      <c r="A3828" s="2" t="s">
        <v>90</v>
      </c>
      <c r="B3828" s="2">
        <v>2006</v>
      </c>
      <c r="C3828" s="2" t="s">
        <v>30</v>
      </c>
      <c r="D3828" s="2">
        <v>0.5</v>
      </c>
      <c r="E3828" s="2">
        <v>0.8</v>
      </c>
      <c r="P3828" s="3">
        <f>E3828*(VLOOKUP(B3828,Price_data!A$1:B$190,2,FALSE))</f>
        <v>0.68770313496000002</v>
      </c>
      <c r="Q3828" s="3">
        <f>G3828*(VLOOKUP(B3828,Price_data!A$1:B$190,2,FALSE))</f>
        <v>0</v>
      </c>
      <c r="R3828" s="3">
        <f>I3828*(VLOOKUP(B3828,Price_data!A$1:B$190,2,FALSE))</f>
        <v>0</v>
      </c>
      <c r="S3828" s="4" t="str">
        <f>(VLOOKUP(B3828,Price_data!A$1:C$190,3,FALSE))</f>
        <v>EEZ</v>
      </c>
      <c r="T3828" s="2" t="str">
        <f>IF(C3828="Total", (VLOOKUP(B3828,Recommended_fish_intake!A$4:D$122,4,FALSE)), "NA")</f>
        <v>NA</v>
      </c>
      <c r="U3828" s="2" t="str">
        <f t="shared" si="384"/>
        <v>NA</v>
      </c>
    </row>
    <row r="3829" spans="1:21" ht="14.25" customHeight="1">
      <c r="A3829" s="2" t="s">
        <v>90</v>
      </c>
      <c r="B3829" s="2">
        <v>2006</v>
      </c>
      <c r="C3829" s="2" t="s">
        <v>28</v>
      </c>
      <c r="D3829" s="2">
        <v>55.2</v>
      </c>
      <c r="E3829" s="2">
        <v>75.2</v>
      </c>
      <c r="P3829" s="3">
        <f>E3829*(VLOOKUP(B3829,Price_data!A$1:B$190,2,FALSE))</f>
        <v>64.64409468624001</v>
      </c>
      <c r="Q3829" s="3">
        <f>G3829*(VLOOKUP(B3829,Price_data!A$1:B$190,2,FALSE))</f>
        <v>0</v>
      </c>
      <c r="R3829" s="3">
        <f>I3829*(VLOOKUP(B3829,Price_data!A$1:B$190,2,FALSE))</f>
        <v>0</v>
      </c>
      <c r="S3829" s="4" t="str">
        <f>(VLOOKUP(B3829,Price_data!A$1:C$190,3,FALSE))</f>
        <v>EEZ</v>
      </c>
      <c r="T3829" s="2" t="str">
        <f>IF(C3829="Total", (VLOOKUP(B3829,Recommended_fish_intake!A$4:D$122,4,FALSE)), "NA")</f>
        <v>NA</v>
      </c>
      <c r="U3829" s="2">
        <f t="shared" si="384"/>
        <v>15.456000000000003</v>
      </c>
    </row>
    <row r="3830" spans="1:21" ht="14.25" customHeight="1">
      <c r="A3830" s="2" t="s">
        <v>91</v>
      </c>
      <c r="B3830" s="2">
        <v>2006</v>
      </c>
      <c r="C3830" s="2" t="s">
        <v>22</v>
      </c>
      <c r="D3830" s="2">
        <v>3.5999999999999997E-2</v>
      </c>
      <c r="E3830" s="2">
        <v>5.2999999999999999E-2</v>
      </c>
      <c r="P3830" s="3">
        <f>E3830*(VLOOKUP(B3830,Price_data!A$1:B$190,2,FALSE))</f>
        <v>4.5560332691099999E-2</v>
      </c>
      <c r="Q3830" s="3">
        <f>G3830*(VLOOKUP(B3830,Price_data!A$1:B$190,2,FALSE))</f>
        <v>0</v>
      </c>
      <c r="R3830" s="3">
        <f>I3830*(VLOOKUP(B3830,Price_data!A$1:B$190,2,FALSE))</f>
        <v>0</v>
      </c>
      <c r="S3830" s="4" t="str">
        <f>(VLOOKUP(B3830,Price_data!A$1:C$190,3,FALSE))</f>
        <v>EEZ</v>
      </c>
      <c r="T3830" s="2" t="str">
        <f>IF(C3830="Total", (VLOOKUP(B3830,Recommended_fish_intake!A$4:D$122,4,FALSE)), "NA")</f>
        <v>NA</v>
      </c>
      <c r="U3830" s="2" t="str">
        <f t="shared" si="384"/>
        <v>NA</v>
      </c>
    </row>
    <row r="3831" spans="1:21" ht="14.25" customHeight="1">
      <c r="A3831" s="2" t="s">
        <v>91</v>
      </c>
      <c r="B3831" s="2">
        <v>2006</v>
      </c>
      <c r="C3831" s="2" t="s">
        <v>23</v>
      </c>
      <c r="D3831" s="2">
        <v>2.1000000000000001E-2</v>
      </c>
      <c r="E3831" s="2">
        <v>1.6E-2</v>
      </c>
      <c r="P3831" s="3">
        <f>E3831*(VLOOKUP(B3831,Price_data!A$1:B$190,2,FALSE))</f>
        <v>1.3754062699200001E-2</v>
      </c>
      <c r="Q3831" s="3">
        <f>G3831*(VLOOKUP(B3831,Price_data!A$1:B$190,2,FALSE))</f>
        <v>0</v>
      </c>
      <c r="R3831" s="3">
        <f>I3831*(VLOOKUP(B3831,Price_data!A$1:B$190,2,FALSE))</f>
        <v>0</v>
      </c>
      <c r="S3831" s="4" t="str">
        <f>(VLOOKUP(B3831,Price_data!A$1:C$190,3,FALSE))</f>
        <v>EEZ</v>
      </c>
      <c r="T3831" s="2" t="str">
        <f>IF(C3831="Total", (VLOOKUP(B3831,Recommended_fish_intake!A$4:D$122,4,FALSE)), "NA")</f>
        <v>NA</v>
      </c>
      <c r="U3831" s="2" t="str">
        <f t="shared" si="384"/>
        <v>NA</v>
      </c>
    </row>
    <row r="3832" spans="1:21" ht="14.25" customHeight="1">
      <c r="A3832" s="2" t="s">
        <v>91</v>
      </c>
      <c r="B3832" s="2">
        <v>2006</v>
      </c>
      <c r="C3832" s="2" t="s">
        <v>58</v>
      </c>
      <c r="D3832" s="2">
        <v>0.42399999999999999</v>
      </c>
      <c r="E3832" s="2">
        <v>0.96799999999999997</v>
      </c>
      <c r="P3832" s="3">
        <f>E3832*(VLOOKUP(B3832,Price_data!A$1:B$190,2,FALSE))</f>
        <v>0.83212079330160005</v>
      </c>
      <c r="Q3832" s="3">
        <f>G3832*(VLOOKUP(B3832,Price_data!A$1:B$190,2,FALSE))</f>
        <v>0</v>
      </c>
      <c r="R3832" s="3">
        <f>I3832*(VLOOKUP(B3832,Price_data!A$1:B$190,2,FALSE))</f>
        <v>0</v>
      </c>
      <c r="S3832" s="4" t="str">
        <f>(VLOOKUP(B3832,Price_data!A$1:C$190,3,FALSE))</f>
        <v>EEZ</v>
      </c>
      <c r="T3832" s="2" t="str">
        <f>IF(C3832="Total", (VLOOKUP(B3832,Recommended_fish_intake!A$4:D$122,4,FALSE)), "NA")</f>
        <v>NA</v>
      </c>
      <c r="U3832" s="2" t="str">
        <f t="shared" si="384"/>
        <v>NA</v>
      </c>
    </row>
    <row r="3833" spans="1:21" ht="14.25" customHeight="1">
      <c r="A3833" s="2" t="s">
        <v>91</v>
      </c>
      <c r="B3833" s="2">
        <v>2006</v>
      </c>
      <c r="C3833" s="2" t="s">
        <v>24</v>
      </c>
      <c r="D3833" s="2">
        <v>1.7999999999999999E-2</v>
      </c>
      <c r="E3833" s="2">
        <v>8.9999999999999993E-3</v>
      </c>
      <c r="P3833" s="3">
        <f>E3833*(VLOOKUP(B3833,Price_data!A$1:B$190,2,FALSE))</f>
        <v>7.7366602682999996E-3</v>
      </c>
      <c r="Q3833" s="3">
        <f>G3833*(VLOOKUP(B3833,Price_data!A$1:B$190,2,FALSE))</f>
        <v>0</v>
      </c>
      <c r="R3833" s="3">
        <f>I3833*(VLOOKUP(B3833,Price_data!A$1:B$190,2,FALSE))</f>
        <v>0</v>
      </c>
      <c r="S3833" s="4" t="str">
        <f>(VLOOKUP(B3833,Price_data!A$1:C$190,3,FALSE))</f>
        <v>EEZ</v>
      </c>
      <c r="T3833" s="2" t="str">
        <f>IF(C3833="Total", (VLOOKUP(B3833,Recommended_fish_intake!A$4:D$122,4,FALSE)), "NA")</f>
        <v>NA</v>
      </c>
      <c r="U3833" s="2" t="str">
        <f t="shared" si="384"/>
        <v>NA</v>
      </c>
    </row>
    <row r="3834" spans="1:21" ht="14.25" customHeight="1">
      <c r="A3834" s="2" t="s">
        <v>91</v>
      </c>
      <c r="B3834" s="2">
        <v>2006</v>
      </c>
      <c r="C3834" s="2" t="s">
        <v>41</v>
      </c>
      <c r="D3834" s="2">
        <v>2.117</v>
      </c>
      <c r="E3834" s="2">
        <v>4.383</v>
      </c>
      <c r="P3834" s="3">
        <f>E3834*(VLOOKUP(B3834,Price_data!A$1:B$190,2,FALSE))</f>
        <v>3.7677535506621003</v>
      </c>
      <c r="Q3834" s="3">
        <f>G3834*(VLOOKUP(B3834,Price_data!A$1:B$190,2,FALSE))</f>
        <v>0</v>
      </c>
      <c r="R3834" s="3">
        <f>I3834*(VLOOKUP(B3834,Price_data!A$1:B$190,2,FALSE))</f>
        <v>0</v>
      </c>
      <c r="S3834" s="4" t="str">
        <f>(VLOOKUP(B3834,Price_data!A$1:C$190,3,FALSE))</f>
        <v>EEZ</v>
      </c>
      <c r="T3834" s="2" t="str">
        <f>IF(C3834="Total", (VLOOKUP(B3834,Recommended_fish_intake!A$4:D$122,4,FALSE)), "NA")</f>
        <v>NA</v>
      </c>
      <c r="U3834" s="2" t="str">
        <f t="shared" si="384"/>
        <v>NA</v>
      </c>
    </row>
    <row r="3835" spans="1:21" ht="14.25" customHeight="1">
      <c r="A3835" s="2" t="s">
        <v>91</v>
      </c>
      <c r="B3835" s="2">
        <v>2006</v>
      </c>
      <c r="C3835" s="2" t="s">
        <v>19</v>
      </c>
      <c r="D3835" s="2">
        <v>5.0000000000000001E-3</v>
      </c>
      <c r="E3835" s="2">
        <v>3.0000000000000001E-3</v>
      </c>
      <c r="P3835" s="3">
        <f>E3835*(VLOOKUP(B3835,Price_data!A$1:B$190,2,FALSE))</f>
        <v>2.5788867561000002E-3</v>
      </c>
      <c r="Q3835" s="3">
        <f>G3835*(VLOOKUP(B3835,Price_data!A$1:B$190,2,FALSE))</f>
        <v>0</v>
      </c>
      <c r="R3835" s="3">
        <f>I3835*(VLOOKUP(B3835,Price_data!A$1:B$190,2,FALSE))</f>
        <v>0</v>
      </c>
      <c r="S3835" s="4" t="str">
        <f>(VLOOKUP(B3835,Price_data!A$1:C$190,3,FALSE))</f>
        <v>EEZ</v>
      </c>
      <c r="T3835" s="2" t="str">
        <f>IF(C3835="Total", (VLOOKUP(B3835,Recommended_fish_intake!A$4:D$122,4,FALSE)), "NA")</f>
        <v>NA</v>
      </c>
      <c r="U3835" s="2" t="str">
        <f t="shared" si="384"/>
        <v>NA</v>
      </c>
    </row>
    <row r="3836" spans="1:21" ht="14.25" customHeight="1">
      <c r="A3836" s="2" t="s">
        <v>91</v>
      </c>
      <c r="B3836" s="2">
        <v>2006</v>
      </c>
      <c r="C3836" s="2" t="s">
        <v>20</v>
      </c>
      <c r="D3836" s="2">
        <v>1E-3</v>
      </c>
      <c r="E3836" s="2">
        <v>1E-3</v>
      </c>
      <c r="P3836" s="3">
        <f>E3836*(VLOOKUP(B3836,Price_data!A$1:B$190,2,FALSE))</f>
        <v>8.5962891870000006E-4</v>
      </c>
      <c r="Q3836" s="3">
        <f>G3836*(VLOOKUP(B3836,Price_data!A$1:B$190,2,FALSE))</f>
        <v>0</v>
      </c>
      <c r="R3836" s="3">
        <f>I3836*(VLOOKUP(B3836,Price_data!A$1:B$190,2,FALSE))</f>
        <v>0</v>
      </c>
      <c r="S3836" s="4" t="str">
        <f>(VLOOKUP(B3836,Price_data!A$1:C$190,3,FALSE))</f>
        <v>EEZ</v>
      </c>
      <c r="T3836" s="2" t="str">
        <f>IF(C3836="Total", (VLOOKUP(B3836,Recommended_fish_intake!A$4:D$122,4,FALSE)), "NA")</f>
        <v>NA</v>
      </c>
      <c r="U3836" s="2" t="str">
        <f t="shared" si="384"/>
        <v>NA</v>
      </c>
    </row>
    <row r="3837" spans="1:21" ht="14.25" customHeight="1">
      <c r="A3837" s="2" t="s">
        <v>91</v>
      </c>
      <c r="B3837" s="2">
        <v>2006</v>
      </c>
      <c r="C3837" s="2" t="s">
        <v>42</v>
      </c>
      <c r="D3837" s="2">
        <v>6.0000000000000001E-3</v>
      </c>
      <c r="E3837" s="2">
        <v>3.0000000000000001E-3</v>
      </c>
      <c r="P3837" s="3">
        <f>E3837*(VLOOKUP(B3837,Price_data!A$1:B$190,2,FALSE))</f>
        <v>2.5788867561000002E-3</v>
      </c>
      <c r="Q3837" s="3">
        <f>G3837*(VLOOKUP(B3837,Price_data!A$1:B$190,2,FALSE))</f>
        <v>0</v>
      </c>
      <c r="R3837" s="3">
        <f>I3837*(VLOOKUP(B3837,Price_data!A$1:B$190,2,FALSE))</f>
        <v>0</v>
      </c>
      <c r="S3837" s="4" t="str">
        <f>(VLOOKUP(B3837,Price_data!A$1:C$190,3,FALSE))</f>
        <v>EEZ</v>
      </c>
      <c r="T3837" s="2" t="str">
        <f>IF(C3837="Total", (VLOOKUP(B3837,Recommended_fish_intake!A$4:D$122,4,FALSE)), "NA")</f>
        <v>NA</v>
      </c>
      <c r="U3837" s="2" t="str">
        <f t="shared" si="384"/>
        <v>NA</v>
      </c>
    </row>
    <row r="3838" spans="1:21" ht="14.25" customHeight="1">
      <c r="A3838" s="2" t="s">
        <v>91</v>
      </c>
      <c r="B3838" s="2">
        <v>2006</v>
      </c>
      <c r="C3838" s="2" t="s">
        <v>36</v>
      </c>
      <c r="D3838" s="2">
        <v>1.069</v>
      </c>
      <c r="E3838" s="2">
        <v>1.5740000000000001</v>
      </c>
      <c r="P3838" s="3">
        <f>E3838*(VLOOKUP(B3838,Price_data!A$1:B$190,2,FALSE))</f>
        <v>1.3530559180338</v>
      </c>
      <c r="Q3838" s="3">
        <f>G3838*(VLOOKUP(B3838,Price_data!A$1:B$190,2,FALSE))</f>
        <v>0</v>
      </c>
      <c r="R3838" s="3">
        <f>I3838*(VLOOKUP(B3838,Price_data!A$1:B$190,2,FALSE))</f>
        <v>0</v>
      </c>
      <c r="S3838" s="4" t="str">
        <f>(VLOOKUP(B3838,Price_data!A$1:C$190,3,FALSE))</f>
        <v>EEZ</v>
      </c>
      <c r="T3838" s="2" t="str">
        <f>IF(C3838="Total", (VLOOKUP(B3838,Recommended_fish_intake!A$4:D$122,4,FALSE)), "NA")</f>
        <v>NA</v>
      </c>
      <c r="U3838" s="2" t="str">
        <f t="shared" si="384"/>
        <v>NA</v>
      </c>
    </row>
    <row r="3839" spans="1:21" ht="14.25" customHeight="1">
      <c r="A3839" s="2" t="s">
        <v>91</v>
      </c>
      <c r="B3839" s="2">
        <v>2006</v>
      </c>
      <c r="C3839" s="2" t="s">
        <v>34</v>
      </c>
      <c r="D3839" s="2">
        <v>0.19400000000000001</v>
      </c>
      <c r="E3839" s="2">
        <v>3.4369999999999998</v>
      </c>
      <c r="P3839" s="3">
        <f>E3839*(VLOOKUP(B3839,Price_data!A$1:B$190,2,FALSE))</f>
        <v>2.9545445935718999</v>
      </c>
      <c r="Q3839" s="3">
        <f>G3839*(VLOOKUP(B3839,Price_data!A$1:B$190,2,FALSE))</f>
        <v>0</v>
      </c>
      <c r="R3839" s="3">
        <f>I3839*(VLOOKUP(B3839,Price_data!A$1:B$190,2,FALSE))</f>
        <v>0</v>
      </c>
      <c r="S3839" s="4" t="str">
        <f>(VLOOKUP(B3839,Price_data!A$1:C$190,3,FALSE))</f>
        <v>EEZ</v>
      </c>
      <c r="T3839" s="2" t="str">
        <f>IF(C3839="Total", (VLOOKUP(B3839,Recommended_fish_intake!A$4:D$122,4,FALSE)), "NA")</f>
        <v>NA</v>
      </c>
      <c r="U3839" s="2" t="str">
        <f t="shared" si="384"/>
        <v>NA</v>
      </c>
    </row>
    <row r="3840" spans="1:21" ht="14.25" customHeight="1">
      <c r="A3840" s="2" t="s">
        <v>91</v>
      </c>
      <c r="B3840" s="2">
        <v>2006</v>
      </c>
      <c r="C3840" s="2" t="s">
        <v>35</v>
      </c>
      <c r="D3840" s="2">
        <v>5.6000000000000001E-2</v>
      </c>
      <c r="E3840" s="2">
        <v>0.39800000000000002</v>
      </c>
      <c r="P3840" s="3">
        <f>E3840*(VLOOKUP(B3840,Price_data!A$1:B$190,2,FALSE))</f>
        <v>0.34213230964260005</v>
      </c>
      <c r="Q3840" s="3">
        <f>G3840*(VLOOKUP(B3840,Price_data!A$1:B$190,2,FALSE))</f>
        <v>0</v>
      </c>
      <c r="R3840" s="3">
        <f>I3840*(VLOOKUP(B3840,Price_data!A$1:B$190,2,FALSE))</f>
        <v>0</v>
      </c>
      <c r="S3840" s="4" t="str">
        <f>(VLOOKUP(B3840,Price_data!A$1:C$190,3,FALSE))</f>
        <v>EEZ</v>
      </c>
      <c r="T3840" s="2" t="str">
        <f>IF(C3840="Total", (VLOOKUP(B3840,Recommended_fish_intake!A$4:D$122,4,FALSE)), "NA")</f>
        <v>NA</v>
      </c>
      <c r="U3840" s="2" t="str">
        <f t="shared" si="384"/>
        <v>NA</v>
      </c>
    </row>
    <row r="3841" spans="1:21" ht="14.25" customHeight="1">
      <c r="A3841" s="2" t="s">
        <v>91</v>
      </c>
      <c r="B3841" s="2">
        <v>2006</v>
      </c>
      <c r="C3841" s="2" t="s">
        <v>52</v>
      </c>
      <c r="D3841" s="2">
        <v>0.997</v>
      </c>
      <c r="E3841" s="2">
        <v>1.3520000000000001</v>
      </c>
      <c r="P3841" s="3">
        <f>E3841*(VLOOKUP(B3841,Price_data!A$1:B$190,2,FALSE))</f>
        <v>1.1622182980824001</v>
      </c>
      <c r="Q3841" s="3">
        <f>G3841*(VLOOKUP(B3841,Price_data!A$1:B$190,2,FALSE))</f>
        <v>0</v>
      </c>
      <c r="R3841" s="3">
        <f>I3841*(VLOOKUP(B3841,Price_data!A$1:B$190,2,FALSE))</f>
        <v>0</v>
      </c>
      <c r="S3841" s="4" t="str">
        <f>(VLOOKUP(B3841,Price_data!A$1:C$190,3,FALSE))</f>
        <v>EEZ</v>
      </c>
      <c r="T3841" s="2" t="str">
        <f>IF(C3841="Total", (VLOOKUP(B3841,Recommended_fish_intake!A$4:D$122,4,FALSE)), "NA")</f>
        <v>NA</v>
      </c>
      <c r="U3841" s="2" t="str">
        <f t="shared" si="384"/>
        <v>NA</v>
      </c>
    </row>
    <row r="3842" spans="1:21" ht="14.25" customHeight="1">
      <c r="A3842" s="2" t="s">
        <v>91</v>
      </c>
      <c r="B3842" s="2">
        <v>2006</v>
      </c>
      <c r="C3842" s="2" t="s">
        <v>30</v>
      </c>
      <c r="D3842" s="2">
        <v>0</v>
      </c>
      <c r="E3842" s="2">
        <v>0</v>
      </c>
      <c r="P3842" s="3">
        <f>E3842*(VLOOKUP(B3842,Price_data!A$1:B$190,2,FALSE))</f>
        <v>0</v>
      </c>
      <c r="Q3842" s="3">
        <f>G3842*(VLOOKUP(B3842,Price_data!A$1:B$190,2,FALSE))</f>
        <v>0</v>
      </c>
      <c r="R3842" s="3">
        <f>I3842*(VLOOKUP(B3842,Price_data!A$1:B$190,2,FALSE))</f>
        <v>0</v>
      </c>
      <c r="S3842" s="4" t="str">
        <f>(VLOOKUP(B3842,Price_data!A$1:C$190,3,FALSE))</f>
        <v>EEZ</v>
      </c>
      <c r="T3842" s="2" t="str">
        <f>IF(C3842="Total", (VLOOKUP(B3842,Recommended_fish_intake!A$4:D$122,4,FALSE)), "NA")</f>
        <v>NA</v>
      </c>
      <c r="U3842" s="2" t="str">
        <f t="shared" ref="U3842:U3905" si="385">IF(C3842="Wet fish", D3842*0.49, IF(C3842="Shellfish", D3842*0.28, "NA"))</f>
        <v>NA</v>
      </c>
    </row>
    <row r="3843" spans="1:21" ht="14.25" customHeight="1">
      <c r="A3843" s="2" t="s">
        <v>91</v>
      </c>
      <c r="B3843" s="2">
        <v>2006</v>
      </c>
      <c r="C3843" s="2" t="s">
        <v>28</v>
      </c>
      <c r="D3843" s="2">
        <v>12.952</v>
      </c>
      <c r="E3843" s="2">
        <v>10.106999999999999</v>
      </c>
      <c r="P3843" s="3">
        <f>E3843*(VLOOKUP(B3843,Price_data!A$1:B$190,2,FALSE))</f>
        <v>8.6882694813008996</v>
      </c>
      <c r="Q3843" s="3">
        <f>G3843*(VLOOKUP(B3843,Price_data!A$1:B$190,2,FALSE))</f>
        <v>0</v>
      </c>
      <c r="R3843" s="3">
        <f>I3843*(VLOOKUP(B3843,Price_data!A$1:B$190,2,FALSE))</f>
        <v>0</v>
      </c>
      <c r="S3843" s="4" t="str">
        <f>(VLOOKUP(B3843,Price_data!A$1:C$190,3,FALSE))</f>
        <v>EEZ</v>
      </c>
      <c r="T3843" s="2" t="str">
        <f>IF(C3843="Total", (VLOOKUP(B3843,Recommended_fish_intake!A$4:D$122,4,FALSE)), "NA")</f>
        <v>NA</v>
      </c>
      <c r="U3843" s="2">
        <f t="shared" si="385"/>
        <v>3.6265600000000004</v>
      </c>
    </row>
    <row r="3844" spans="1:21" ht="14.25" customHeight="1">
      <c r="A3844" s="2" t="s">
        <v>39</v>
      </c>
      <c r="B3844" s="2">
        <v>2006</v>
      </c>
      <c r="C3844" s="2" t="s">
        <v>22</v>
      </c>
      <c r="D3844" s="2">
        <v>7.2930000000000001</v>
      </c>
      <c r="E3844" s="2">
        <v>13.984999999999999</v>
      </c>
      <c r="P3844" s="3">
        <f>E3844*(VLOOKUP(B3844,Price_data!A$1:B$190,2,FALSE))</f>
        <v>12.021910428019499</v>
      </c>
      <c r="Q3844" s="3">
        <f>G3844*(VLOOKUP(B3844,Price_data!A$1:B$190,2,FALSE))</f>
        <v>0</v>
      </c>
      <c r="R3844" s="3">
        <f>I3844*(VLOOKUP(B3844,Price_data!A$1:B$190,2,FALSE))</f>
        <v>0</v>
      </c>
      <c r="S3844" s="4" t="str">
        <f>(VLOOKUP(B3844,Price_data!A$1:C$190,3,FALSE))</f>
        <v>EEZ</v>
      </c>
      <c r="T3844" s="2" t="str">
        <f>IF(C3844="Total", (VLOOKUP(B3844,Recommended_fish_intake!A$4:D$122,4,FALSE)), "NA")</f>
        <v>NA</v>
      </c>
      <c r="U3844" s="2" t="str">
        <f t="shared" si="385"/>
        <v>NA</v>
      </c>
    </row>
    <row r="3845" spans="1:21" ht="14.25" customHeight="1">
      <c r="A3845" s="2" t="s">
        <v>39</v>
      </c>
      <c r="B3845" s="2">
        <v>2006</v>
      </c>
      <c r="C3845" s="2" t="s">
        <v>23</v>
      </c>
      <c r="D3845" s="2">
        <v>37.396999999999998</v>
      </c>
      <c r="E3845" s="2">
        <v>43.847000000000001</v>
      </c>
      <c r="P3845" s="3">
        <f>E3845*(VLOOKUP(B3845,Price_data!A$1:B$190,2,FALSE))</f>
        <v>37.692149198238901</v>
      </c>
      <c r="Q3845" s="3">
        <f>G3845*(VLOOKUP(B3845,Price_data!A$1:B$190,2,FALSE))</f>
        <v>0</v>
      </c>
      <c r="R3845" s="3">
        <f>I3845*(VLOOKUP(B3845,Price_data!A$1:B$190,2,FALSE))</f>
        <v>0</v>
      </c>
      <c r="S3845" s="4" t="str">
        <f>(VLOOKUP(B3845,Price_data!A$1:C$190,3,FALSE))</f>
        <v>EEZ</v>
      </c>
      <c r="T3845" s="2" t="str">
        <f>IF(C3845="Total", (VLOOKUP(B3845,Recommended_fish_intake!A$4:D$122,4,FALSE)), "NA")</f>
        <v>NA</v>
      </c>
      <c r="U3845" s="2" t="str">
        <f t="shared" si="385"/>
        <v>NA</v>
      </c>
    </row>
    <row r="3846" spans="1:21" ht="14.25" customHeight="1">
      <c r="A3846" s="2" t="s">
        <v>39</v>
      </c>
      <c r="B3846" s="2">
        <v>2006</v>
      </c>
      <c r="C3846" s="2" t="s">
        <v>58</v>
      </c>
      <c r="D3846" s="2">
        <v>9.3089999999999993</v>
      </c>
      <c r="E3846" s="2">
        <v>24.832000000000001</v>
      </c>
      <c r="P3846" s="3">
        <f>E3846*(VLOOKUP(B3846,Price_data!A$1:B$190,2,FALSE))</f>
        <v>21.346305309158399</v>
      </c>
      <c r="Q3846" s="3">
        <f>G3846*(VLOOKUP(B3846,Price_data!A$1:B$190,2,FALSE))</f>
        <v>0</v>
      </c>
      <c r="R3846" s="3">
        <f>I3846*(VLOOKUP(B3846,Price_data!A$1:B$190,2,FALSE))</f>
        <v>0</v>
      </c>
      <c r="S3846" s="4" t="str">
        <f>(VLOOKUP(B3846,Price_data!A$1:C$190,3,FALSE))</f>
        <v>EEZ</v>
      </c>
      <c r="T3846" s="2" t="str">
        <f>IF(C3846="Total", (VLOOKUP(B3846,Recommended_fish_intake!A$4:D$122,4,FALSE)), "NA")</f>
        <v>NA</v>
      </c>
      <c r="U3846" s="2" t="str">
        <f t="shared" si="385"/>
        <v>NA</v>
      </c>
    </row>
    <row r="3847" spans="1:21" ht="14.25" customHeight="1">
      <c r="A3847" s="2" t="s">
        <v>39</v>
      </c>
      <c r="B3847" s="2">
        <v>2006</v>
      </c>
      <c r="C3847" s="2" t="s">
        <v>24</v>
      </c>
      <c r="D3847" s="2">
        <v>8.2750000000000004</v>
      </c>
      <c r="E3847" s="2">
        <v>7.4119999999999999</v>
      </c>
      <c r="P3847" s="3">
        <f>E3847*(VLOOKUP(B3847,Price_data!A$1:B$190,2,FALSE))</f>
        <v>6.3715695454043999</v>
      </c>
      <c r="Q3847" s="3">
        <f>G3847*(VLOOKUP(B3847,Price_data!A$1:B$190,2,FALSE))</f>
        <v>0</v>
      </c>
      <c r="R3847" s="3">
        <f>I3847*(VLOOKUP(B3847,Price_data!A$1:B$190,2,FALSE))</f>
        <v>0</v>
      </c>
      <c r="S3847" s="4" t="str">
        <f>(VLOOKUP(B3847,Price_data!A$1:C$190,3,FALSE))</f>
        <v>EEZ</v>
      </c>
      <c r="T3847" s="2" t="str">
        <f>IF(C3847="Total", (VLOOKUP(B3847,Recommended_fish_intake!A$4:D$122,4,FALSE)), "NA")</f>
        <v>NA</v>
      </c>
      <c r="U3847" s="2" t="str">
        <f t="shared" si="385"/>
        <v>NA</v>
      </c>
    </row>
    <row r="3848" spans="1:21" ht="14.25" customHeight="1">
      <c r="A3848" s="2" t="s">
        <v>39</v>
      </c>
      <c r="B3848" s="2">
        <v>2006</v>
      </c>
      <c r="C3848" s="2" t="s">
        <v>41</v>
      </c>
      <c r="D3848" s="2">
        <v>87.965999999999994</v>
      </c>
      <c r="E3848" s="2">
        <v>118.96899999999999</v>
      </c>
      <c r="P3848" s="3">
        <f>E3848*(VLOOKUP(B3848,Price_data!A$1:B$190,2,FALSE))</f>
        <v>102.26919282882029</v>
      </c>
      <c r="Q3848" s="3">
        <f>G3848*(VLOOKUP(B3848,Price_data!A$1:B$190,2,FALSE))</f>
        <v>0</v>
      </c>
      <c r="R3848" s="3">
        <f>I3848*(VLOOKUP(B3848,Price_data!A$1:B$190,2,FALSE))</f>
        <v>0</v>
      </c>
      <c r="S3848" s="4" t="str">
        <f>(VLOOKUP(B3848,Price_data!A$1:C$190,3,FALSE))</f>
        <v>EEZ</v>
      </c>
      <c r="T3848" s="2" t="str">
        <f>IF(C3848="Total", (VLOOKUP(B3848,Recommended_fish_intake!A$4:D$122,4,FALSE)), "NA")</f>
        <v>NA</v>
      </c>
      <c r="U3848" s="2" t="str">
        <f t="shared" si="385"/>
        <v>NA</v>
      </c>
    </row>
    <row r="3849" spans="1:21" ht="14.25" customHeight="1">
      <c r="A3849" s="2" t="s">
        <v>39</v>
      </c>
      <c r="B3849" s="2">
        <v>2006</v>
      </c>
      <c r="C3849" s="2" t="s">
        <v>19</v>
      </c>
      <c r="D3849" s="2">
        <v>57.081000000000003</v>
      </c>
      <c r="E3849" s="2">
        <v>13.169</v>
      </c>
      <c r="P3849" s="3">
        <f>E3849*(VLOOKUP(B3849,Price_data!A$1:B$190,2,FALSE))</f>
        <v>11.3204532303603</v>
      </c>
      <c r="Q3849" s="3">
        <f>G3849*(VLOOKUP(B3849,Price_data!A$1:B$190,2,FALSE))</f>
        <v>0</v>
      </c>
      <c r="R3849" s="3">
        <f>I3849*(VLOOKUP(B3849,Price_data!A$1:B$190,2,FALSE))</f>
        <v>0</v>
      </c>
      <c r="S3849" s="4" t="str">
        <f>(VLOOKUP(B3849,Price_data!A$1:C$190,3,FALSE))</f>
        <v>EEZ</v>
      </c>
      <c r="T3849" s="2" t="str">
        <f>IF(C3849="Total", (VLOOKUP(B3849,Recommended_fish_intake!A$4:D$122,4,FALSE)), "NA")</f>
        <v>NA</v>
      </c>
      <c r="U3849" s="2" t="str">
        <f t="shared" si="385"/>
        <v>NA</v>
      </c>
    </row>
    <row r="3850" spans="1:21" ht="14.25" customHeight="1">
      <c r="A3850" s="2" t="s">
        <v>39</v>
      </c>
      <c r="B3850" s="2">
        <v>2006</v>
      </c>
      <c r="C3850" s="2" t="s">
        <v>20</v>
      </c>
      <c r="D3850" s="2">
        <v>64.588999999999999</v>
      </c>
      <c r="E3850" s="2">
        <v>50.401000000000003</v>
      </c>
      <c r="P3850" s="3">
        <f>E3850*(VLOOKUP(B3850,Price_data!A$1:B$190,2,FALSE))</f>
        <v>43.326157131398702</v>
      </c>
      <c r="Q3850" s="3">
        <f>G3850*(VLOOKUP(B3850,Price_data!A$1:B$190,2,FALSE))</f>
        <v>0</v>
      </c>
      <c r="R3850" s="3">
        <f>I3850*(VLOOKUP(B3850,Price_data!A$1:B$190,2,FALSE))</f>
        <v>0</v>
      </c>
      <c r="S3850" s="4" t="str">
        <f>(VLOOKUP(B3850,Price_data!A$1:C$190,3,FALSE))</f>
        <v>EEZ</v>
      </c>
      <c r="T3850" s="2" t="str">
        <f>IF(C3850="Total", (VLOOKUP(B3850,Recommended_fish_intake!A$4:D$122,4,FALSE)), "NA")</f>
        <v>NA</v>
      </c>
      <c r="U3850" s="2" t="str">
        <f t="shared" si="385"/>
        <v>NA</v>
      </c>
    </row>
    <row r="3851" spans="1:21" ht="14.25" customHeight="1">
      <c r="A3851" s="2" t="s">
        <v>39</v>
      </c>
      <c r="B3851" s="2">
        <v>2006</v>
      </c>
      <c r="C3851" s="2" t="s">
        <v>42</v>
      </c>
      <c r="D3851" s="2">
        <v>143.988</v>
      </c>
      <c r="E3851" s="2">
        <v>65.512</v>
      </c>
      <c r="P3851" s="3">
        <f>E3851*(VLOOKUP(B3851,Price_data!A$1:B$190,2,FALSE))</f>
        <v>56.316009721874401</v>
      </c>
      <c r="Q3851" s="3">
        <f>G3851*(VLOOKUP(B3851,Price_data!A$1:B$190,2,FALSE))</f>
        <v>0</v>
      </c>
      <c r="R3851" s="3">
        <f>I3851*(VLOOKUP(B3851,Price_data!A$1:B$190,2,FALSE))</f>
        <v>0</v>
      </c>
      <c r="S3851" s="4" t="str">
        <f>(VLOOKUP(B3851,Price_data!A$1:C$190,3,FALSE))</f>
        <v>EEZ</v>
      </c>
      <c r="T3851" s="2" t="str">
        <f>IF(C3851="Total", (VLOOKUP(B3851,Recommended_fish_intake!A$4:D$122,4,FALSE)), "NA")</f>
        <v>NA</v>
      </c>
      <c r="U3851" s="2" t="str">
        <f t="shared" si="385"/>
        <v>NA</v>
      </c>
    </row>
    <row r="3852" spans="1:21" ht="14.25" customHeight="1">
      <c r="A3852" s="2" t="s">
        <v>39</v>
      </c>
      <c r="B3852" s="2">
        <v>2006</v>
      </c>
      <c r="C3852" s="2" t="s">
        <v>36</v>
      </c>
      <c r="D3852" s="2">
        <v>12.676</v>
      </c>
      <c r="E3852" s="2">
        <v>16.896999999999998</v>
      </c>
      <c r="P3852" s="3">
        <f>E3852*(VLOOKUP(B3852,Price_data!A$1:B$190,2,FALSE))</f>
        <v>14.525149839273899</v>
      </c>
      <c r="Q3852" s="3">
        <f>G3852*(VLOOKUP(B3852,Price_data!A$1:B$190,2,FALSE))</f>
        <v>0</v>
      </c>
      <c r="R3852" s="3">
        <f>I3852*(VLOOKUP(B3852,Price_data!A$1:B$190,2,FALSE))</f>
        <v>0</v>
      </c>
      <c r="S3852" s="4" t="str">
        <f>(VLOOKUP(B3852,Price_data!A$1:C$190,3,FALSE))</f>
        <v>EEZ</v>
      </c>
      <c r="T3852" s="2" t="str">
        <f>IF(C3852="Total", (VLOOKUP(B3852,Recommended_fish_intake!A$4:D$122,4,FALSE)), "NA")</f>
        <v>NA</v>
      </c>
      <c r="U3852" s="2" t="str">
        <f t="shared" si="385"/>
        <v>NA</v>
      </c>
    </row>
    <row r="3853" spans="1:21" ht="14.25" customHeight="1">
      <c r="A3853" s="2" t="s">
        <v>39</v>
      </c>
      <c r="B3853" s="2">
        <v>2006</v>
      </c>
      <c r="C3853" s="2" t="s">
        <v>34</v>
      </c>
      <c r="D3853" s="2">
        <v>0.71199999999999997</v>
      </c>
      <c r="E3853" s="2">
        <v>7.742</v>
      </c>
      <c r="P3853" s="3">
        <f>E3853*(VLOOKUP(B3853,Price_data!A$1:B$190,2,FALSE))</f>
        <v>6.6552470885754005</v>
      </c>
      <c r="Q3853" s="3">
        <f>G3853*(VLOOKUP(B3853,Price_data!A$1:B$190,2,FALSE))</f>
        <v>0</v>
      </c>
      <c r="R3853" s="3">
        <f>I3853*(VLOOKUP(B3853,Price_data!A$1:B$190,2,FALSE))</f>
        <v>0</v>
      </c>
      <c r="S3853" s="4" t="str">
        <f>(VLOOKUP(B3853,Price_data!A$1:C$190,3,FALSE))</f>
        <v>EEZ</v>
      </c>
      <c r="T3853" s="2" t="str">
        <f>IF(C3853="Total", (VLOOKUP(B3853,Recommended_fish_intake!A$4:D$122,4,FALSE)), "NA")</f>
        <v>NA</v>
      </c>
      <c r="U3853" s="2" t="str">
        <f t="shared" si="385"/>
        <v>NA</v>
      </c>
    </row>
    <row r="3854" spans="1:21" ht="14.25" customHeight="1">
      <c r="A3854" s="2" t="s">
        <v>39</v>
      </c>
      <c r="B3854" s="2">
        <v>2006</v>
      </c>
      <c r="C3854" s="2" t="s">
        <v>35</v>
      </c>
      <c r="D3854" s="2">
        <v>29.605</v>
      </c>
      <c r="E3854" s="2">
        <v>90.381</v>
      </c>
      <c r="P3854" s="3">
        <f>E3854*(VLOOKUP(B3854,Price_data!A$1:B$190,2,FALSE))</f>
        <v>77.694121301024708</v>
      </c>
      <c r="Q3854" s="3">
        <f>G3854*(VLOOKUP(B3854,Price_data!A$1:B$190,2,FALSE))</f>
        <v>0</v>
      </c>
      <c r="R3854" s="3">
        <f>I3854*(VLOOKUP(B3854,Price_data!A$1:B$190,2,FALSE))</f>
        <v>0</v>
      </c>
      <c r="S3854" s="4" t="str">
        <f>(VLOOKUP(B3854,Price_data!A$1:C$190,3,FALSE))</f>
        <v>EEZ</v>
      </c>
      <c r="T3854" s="2" t="str">
        <f>IF(C3854="Total", (VLOOKUP(B3854,Recommended_fish_intake!A$4:D$122,4,FALSE)), "NA")</f>
        <v>NA</v>
      </c>
      <c r="U3854" s="2" t="str">
        <f t="shared" si="385"/>
        <v>NA</v>
      </c>
    </row>
    <row r="3855" spans="1:21" ht="14.25" customHeight="1">
      <c r="A3855" s="2" t="s">
        <v>39</v>
      </c>
      <c r="B3855" s="2">
        <v>2006</v>
      </c>
      <c r="C3855" s="2" t="s">
        <v>52</v>
      </c>
      <c r="D3855" s="2">
        <v>11.048999999999999</v>
      </c>
      <c r="E3855" s="2">
        <v>20.027999999999999</v>
      </c>
      <c r="P3855" s="3">
        <f>E3855*(VLOOKUP(B3855,Price_data!A$1:B$190,2,FALSE))</f>
        <v>17.2166479837236</v>
      </c>
      <c r="Q3855" s="3">
        <f>G3855*(VLOOKUP(B3855,Price_data!A$1:B$190,2,FALSE))</f>
        <v>0</v>
      </c>
      <c r="R3855" s="3">
        <f>I3855*(VLOOKUP(B3855,Price_data!A$1:B$190,2,FALSE))</f>
        <v>0</v>
      </c>
      <c r="S3855" s="4" t="str">
        <f>(VLOOKUP(B3855,Price_data!A$1:C$190,3,FALSE))</f>
        <v>EEZ</v>
      </c>
      <c r="T3855" s="2" t="str">
        <f>IF(C3855="Total", (VLOOKUP(B3855,Recommended_fish_intake!A$4:D$122,4,FALSE)), "NA")</f>
        <v>NA</v>
      </c>
      <c r="U3855" s="2" t="str">
        <f t="shared" si="385"/>
        <v>NA</v>
      </c>
    </row>
    <row r="3856" spans="1:21" ht="14.25" customHeight="1">
      <c r="A3856" s="2" t="s">
        <v>39</v>
      </c>
      <c r="B3856" s="2">
        <v>2006</v>
      </c>
      <c r="C3856" s="2" t="s">
        <v>30</v>
      </c>
      <c r="D3856" s="2">
        <v>0</v>
      </c>
      <c r="E3856" s="2">
        <v>7.0000000000000001E-3</v>
      </c>
      <c r="P3856" s="3">
        <f>E3856*(VLOOKUP(B3856,Price_data!A$1:B$190,2,FALSE))</f>
        <v>6.0174024309000004E-3</v>
      </c>
      <c r="Q3856" s="3">
        <f>G3856*(VLOOKUP(B3856,Price_data!A$1:B$190,2,FALSE))</f>
        <v>0</v>
      </c>
      <c r="R3856" s="3">
        <f>I3856*(VLOOKUP(B3856,Price_data!A$1:B$190,2,FALSE))</f>
        <v>0</v>
      </c>
      <c r="S3856" s="4" t="str">
        <f>(VLOOKUP(B3856,Price_data!A$1:C$190,3,FALSE))</f>
        <v>EEZ</v>
      </c>
      <c r="T3856" s="2" t="str">
        <f>IF(C3856="Total", (VLOOKUP(B3856,Recommended_fish_intake!A$4:D$122,4,FALSE)), "NA")</f>
        <v>NA</v>
      </c>
      <c r="U3856" s="2" t="str">
        <f t="shared" si="385"/>
        <v>NA</v>
      </c>
    </row>
    <row r="3857" spans="1:21" ht="14.25" customHeight="1">
      <c r="A3857" s="2" t="s">
        <v>39</v>
      </c>
      <c r="B3857" s="2">
        <v>2006</v>
      </c>
      <c r="C3857" s="2" t="s">
        <v>28</v>
      </c>
      <c r="D3857" s="2">
        <v>57.3</v>
      </c>
      <c r="E3857" s="2">
        <v>139.04499999999999</v>
      </c>
      <c r="P3857" s="3">
        <f>E3857*(VLOOKUP(B3857,Price_data!A$1:B$190,2,FALSE))</f>
        <v>119.52710300064149</v>
      </c>
      <c r="Q3857" s="3">
        <f>G3857*(VLOOKUP(B3857,Price_data!A$1:B$190,2,FALSE))</f>
        <v>0</v>
      </c>
      <c r="R3857" s="3">
        <f>I3857*(VLOOKUP(B3857,Price_data!A$1:B$190,2,FALSE))</f>
        <v>0</v>
      </c>
      <c r="S3857" s="4" t="str">
        <f>(VLOOKUP(B3857,Price_data!A$1:C$190,3,FALSE))</f>
        <v>EEZ</v>
      </c>
      <c r="T3857" s="2" t="str">
        <f>IF(C3857="Total", (VLOOKUP(B3857,Recommended_fish_intake!A$4:D$122,4,FALSE)), "NA")</f>
        <v>NA</v>
      </c>
      <c r="U3857" s="2">
        <f t="shared" si="385"/>
        <v>16.044</v>
      </c>
    </row>
    <row r="3858" spans="1:21" ht="14.25" customHeight="1">
      <c r="A3858" s="2" t="s">
        <v>40</v>
      </c>
      <c r="B3858" s="2">
        <v>2006</v>
      </c>
      <c r="C3858" s="2" t="s">
        <v>22</v>
      </c>
      <c r="D3858" s="2">
        <v>0.56499999999999995</v>
      </c>
      <c r="E3858" s="2">
        <v>1.268</v>
      </c>
      <c r="P3858" s="3">
        <f>E3858*(VLOOKUP(B3858,Price_data!A$1:B$190,2,FALSE))</f>
        <v>1.0900094689116</v>
      </c>
      <c r="Q3858" s="3">
        <f>G3858*(VLOOKUP(B3858,Price_data!A$1:B$190,2,FALSE))</f>
        <v>0</v>
      </c>
      <c r="R3858" s="3">
        <f>I3858*(VLOOKUP(B3858,Price_data!A$1:B$190,2,FALSE))</f>
        <v>0</v>
      </c>
      <c r="S3858" s="4" t="str">
        <f>(VLOOKUP(B3858,Price_data!A$1:C$190,3,FALSE))</f>
        <v>EEZ</v>
      </c>
      <c r="T3858" s="2" t="str">
        <f>IF(C3858="Total", (VLOOKUP(B3858,Recommended_fish_intake!A$4:D$122,4,FALSE)), "NA")</f>
        <v>NA</v>
      </c>
      <c r="U3858" s="2" t="str">
        <f t="shared" si="385"/>
        <v>NA</v>
      </c>
    </row>
    <row r="3859" spans="1:21" ht="14.25" customHeight="1">
      <c r="A3859" s="2" t="s">
        <v>40</v>
      </c>
      <c r="B3859" s="2">
        <v>2006</v>
      </c>
      <c r="C3859" s="2" t="s">
        <v>23</v>
      </c>
      <c r="D3859" s="2">
        <v>0.41</v>
      </c>
      <c r="E3859" s="2">
        <v>0.33700000000000002</v>
      </c>
      <c r="P3859" s="3">
        <f>E3859*(VLOOKUP(B3859,Price_data!A$1:B$190,2,FALSE))</f>
        <v>0.28969494560190001</v>
      </c>
      <c r="Q3859" s="3">
        <f>G3859*(VLOOKUP(B3859,Price_data!A$1:B$190,2,FALSE))</f>
        <v>0</v>
      </c>
      <c r="R3859" s="3">
        <f>I3859*(VLOOKUP(B3859,Price_data!A$1:B$190,2,FALSE))</f>
        <v>0</v>
      </c>
      <c r="S3859" s="4" t="str">
        <f>(VLOOKUP(B3859,Price_data!A$1:C$190,3,FALSE))</f>
        <v>EEZ</v>
      </c>
      <c r="T3859" s="2" t="str">
        <f>IF(C3859="Total", (VLOOKUP(B3859,Recommended_fish_intake!A$4:D$122,4,FALSE)), "NA")</f>
        <v>NA</v>
      </c>
      <c r="U3859" s="2" t="str">
        <f t="shared" si="385"/>
        <v>NA</v>
      </c>
    </row>
    <row r="3860" spans="1:21" ht="14.25" customHeight="1">
      <c r="A3860" s="2" t="s">
        <v>40</v>
      </c>
      <c r="B3860" s="2">
        <v>2006</v>
      </c>
      <c r="C3860" s="2" t="s">
        <v>58</v>
      </c>
      <c r="D3860" s="2">
        <v>0.13800000000000001</v>
      </c>
      <c r="E3860" s="2">
        <v>0.27900000000000003</v>
      </c>
      <c r="P3860" s="3">
        <f>E3860*(VLOOKUP(B3860,Price_data!A$1:B$190,2,FALSE))</f>
        <v>0.23983646831730002</v>
      </c>
      <c r="Q3860" s="3">
        <f>G3860*(VLOOKUP(B3860,Price_data!A$1:B$190,2,FALSE))</f>
        <v>0</v>
      </c>
      <c r="R3860" s="3">
        <f>I3860*(VLOOKUP(B3860,Price_data!A$1:B$190,2,FALSE))</f>
        <v>0</v>
      </c>
      <c r="S3860" s="4" t="str">
        <f>(VLOOKUP(B3860,Price_data!A$1:C$190,3,FALSE))</f>
        <v>EEZ</v>
      </c>
      <c r="T3860" s="2" t="str">
        <f>IF(C3860="Total", (VLOOKUP(B3860,Recommended_fish_intake!A$4:D$122,4,FALSE)), "NA")</f>
        <v>NA</v>
      </c>
      <c r="U3860" s="2" t="str">
        <f t="shared" si="385"/>
        <v>NA</v>
      </c>
    </row>
    <row r="3861" spans="1:21" ht="14.25" customHeight="1">
      <c r="A3861" s="2" t="s">
        <v>40</v>
      </c>
      <c r="B3861" s="2">
        <v>2006</v>
      </c>
      <c r="C3861" s="2" t="s">
        <v>24</v>
      </c>
      <c r="D3861" s="2">
        <v>3.6999999999999998E-2</v>
      </c>
      <c r="E3861" s="2">
        <v>3.4000000000000002E-2</v>
      </c>
      <c r="P3861" s="3">
        <f>E3861*(VLOOKUP(B3861,Price_data!A$1:B$190,2,FALSE))</f>
        <v>2.9227383235800004E-2</v>
      </c>
      <c r="Q3861" s="3">
        <f>G3861*(VLOOKUP(B3861,Price_data!A$1:B$190,2,FALSE))</f>
        <v>0</v>
      </c>
      <c r="R3861" s="3">
        <f>I3861*(VLOOKUP(B3861,Price_data!A$1:B$190,2,FALSE))</f>
        <v>0</v>
      </c>
      <c r="S3861" s="4" t="str">
        <f>(VLOOKUP(B3861,Price_data!A$1:C$190,3,FALSE))</f>
        <v>EEZ</v>
      </c>
      <c r="T3861" s="2" t="str">
        <f>IF(C3861="Total", (VLOOKUP(B3861,Recommended_fish_intake!A$4:D$122,4,FALSE)), "NA")</f>
        <v>NA</v>
      </c>
      <c r="U3861" s="2" t="str">
        <f t="shared" si="385"/>
        <v>NA</v>
      </c>
    </row>
    <row r="3862" spans="1:21" ht="14.25" customHeight="1">
      <c r="A3862" s="2" t="s">
        <v>40</v>
      </c>
      <c r="B3862" s="2">
        <v>2006</v>
      </c>
      <c r="C3862" s="2" t="s">
        <v>41</v>
      </c>
      <c r="D3862" s="2">
        <v>2.0339999999999998</v>
      </c>
      <c r="E3862" s="2">
        <v>3.3140000000000001</v>
      </c>
      <c r="P3862" s="3">
        <f>E3862*(VLOOKUP(B3862,Price_data!A$1:B$190,2,FALSE))</f>
        <v>2.8488102365718002</v>
      </c>
      <c r="Q3862" s="3">
        <f>G3862*(VLOOKUP(B3862,Price_data!A$1:B$190,2,FALSE))</f>
        <v>0</v>
      </c>
      <c r="R3862" s="3">
        <f>I3862*(VLOOKUP(B3862,Price_data!A$1:B$190,2,FALSE))</f>
        <v>0</v>
      </c>
      <c r="S3862" s="4" t="str">
        <f>(VLOOKUP(B3862,Price_data!A$1:C$190,3,FALSE))</f>
        <v>EEZ</v>
      </c>
      <c r="T3862" s="2" t="str">
        <f>IF(C3862="Total", (VLOOKUP(B3862,Recommended_fish_intake!A$4:D$122,4,FALSE)), "NA")</f>
        <v>NA</v>
      </c>
      <c r="U3862" s="2" t="str">
        <f t="shared" si="385"/>
        <v>NA</v>
      </c>
    </row>
    <row r="3863" spans="1:21" ht="14.25" customHeight="1">
      <c r="A3863" s="2" t="s">
        <v>40</v>
      </c>
      <c r="B3863" s="2">
        <v>2006</v>
      </c>
      <c r="C3863" s="2" t="s">
        <v>19</v>
      </c>
      <c r="D3863" s="2">
        <v>4.4580000000000002</v>
      </c>
      <c r="E3863" s="2">
        <v>1.0780000000000001</v>
      </c>
      <c r="P3863" s="3">
        <f>E3863*(VLOOKUP(B3863,Price_data!A$1:B$190,2,FALSE))</f>
        <v>0.92667997435860006</v>
      </c>
      <c r="Q3863" s="3">
        <f>G3863*(VLOOKUP(B3863,Price_data!A$1:B$190,2,FALSE))</f>
        <v>0</v>
      </c>
      <c r="R3863" s="3">
        <f>I3863*(VLOOKUP(B3863,Price_data!A$1:B$190,2,FALSE))</f>
        <v>0</v>
      </c>
      <c r="S3863" s="4" t="str">
        <f>(VLOOKUP(B3863,Price_data!A$1:C$190,3,FALSE))</f>
        <v>EEZ</v>
      </c>
      <c r="T3863" s="2" t="str">
        <f>IF(C3863="Total", (VLOOKUP(B3863,Recommended_fish_intake!A$4:D$122,4,FALSE)), "NA")</f>
        <v>NA</v>
      </c>
      <c r="U3863" s="2" t="str">
        <f t="shared" si="385"/>
        <v>NA</v>
      </c>
    </row>
    <row r="3864" spans="1:21" ht="14.25" customHeight="1">
      <c r="A3864" s="2" t="s">
        <v>40</v>
      </c>
      <c r="B3864" s="2">
        <v>2006</v>
      </c>
      <c r="C3864" s="2" t="s">
        <v>20</v>
      </c>
      <c r="D3864" s="2">
        <v>1.78</v>
      </c>
      <c r="E3864" s="2">
        <v>1.855</v>
      </c>
      <c r="P3864" s="3">
        <f>E3864*(VLOOKUP(B3864,Price_data!A$1:B$190,2,FALSE))</f>
        <v>1.5946116441885001</v>
      </c>
      <c r="Q3864" s="3">
        <f>G3864*(VLOOKUP(B3864,Price_data!A$1:B$190,2,FALSE))</f>
        <v>0</v>
      </c>
      <c r="R3864" s="3">
        <f>I3864*(VLOOKUP(B3864,Price_data!A$1:B$190,2,FALSE))</f>
        <v>0</v>
      </c>
      <c r="S3864" s="4" t="str">
        <f>(VLOOKUP(B3864,Price_data!A$1:C$190,3,FALSE))</f>
        <v>EEZ</v>
      </c>
      <c r="T3864" s="2" t="str">
        <f>IF(C3864="Total", (VLOOKUP(B3864,Recommended_fish_intake!A$4:D$122,4,FALSE)), "NA")</f>
        <v>NA</v>
      </c>
      <c r="U3864" s="2" t="str">
        <f t="shared" si="385"/>
        <v>NA</v>
      </c>
    </row>
    <row r="3865" spans="1:21" ht="14.25" customHeight="1">
      <c r="A3865" s="2" t="s">
        <v>40</v>
      </c>
      <c r="B3865" s="2">
        <v>2006</v>
      </c>
      <c r="C3865" s="2" t="s">
        <v>42</v>
      </c>
      <c r="D3865" s="2">
        <v>7.0250000000000004</v>
      </c>
      <c r="E3865" s="2">
        <v>3.077</v>
      </c>
      <c r="P3865" s="3">
        <f>E3865*(VLOOKUP(B3865,Price_data!A$1:B$190,2,FALSE))</f>
        <v>2.6450781828398999</v>
      </c>
      <c r="Q3865" s="3">
        <f>G3865*(VLOOKUP(B3865,Price_data!A$1:B$190,2,FALSE))</f>
        <v>0</v>
      </c>
      <c r="R3865" s="3">
        <f>I3865*(VLOOKUP(B3865,Price_data!A$1:B$190,2,FALSE))</f>
        <v>0</v>
      </c>
      <c r="S3865" s="4" t="str">
        <f>(VLOOKUP(B3865,Price_data!A$1:C$190,3,FALSE))</f>
        <v>EEZ</v>
      </c>
      <c r="T3865" s="2" t="str">
        <f>IF(C3865="Total", (VLOOKUP(B3865,Recommended_fish_intake!A$4:D$122,4,FALSE)), "NA")</f>
        <v>NA</v>
      </c>
      <c r="U3865" s="2" t="str">
        <f t="shared" si="385"/>
        <v>NA</v>
      </c>
    </row>
    <row r="3866" spans="1:21" ht="14.25" customHeight="1">
      <c r="A3866" s="2" t="s">
        <v>40</v>
      </c>
      <c r="B3866" s="2">
        <v>2006</v>
      </c>
      <c r="C3866" s="2" t="s">
        <v>36</v>
      </c>
      <c r="D3866" s="2">
        <v>1.165</v>
      </c>
      <c r="E3866" s="2">
        <v>1.0209999999999999</v>
      </c>
      <c r="P3866" s="3">
        <f>E3866*(VLOOKUP(B3866,Price_data!A$1:B$190,2,FALSE))</f>
        <v>0.87768112599269998</v>
      </c>
      <c r="Q3866" s="3">
        <f>G3866*(VLOOKUP(B3866,Price_data!A$1:B$190,2,FALSE))</f>
        <v>0</v>
      </c>
      <c r="R3866" s="3">
        <f>I3866*(VLOOKUP(B3866,Price_data!A$1:B$190,2,FALSE))</f>
        <v>0</v>
      </c>
      <c r="S3866" s="4" t="str">
        <f>(VLOOKUP(B3866,Price_data!A$1:C$190,3,FALSE))</f>
        <v>EEZ</v>
      </c>
      <c r="T3866" s="2" t="str">
        <f>IF(C3866="Total", (VLOOKUP(B3866,Recommended_fish_intake!A$4:D$122,4,FALSE)), "NA")</f>
        <v>NA</v>
      </c>
      <c r="U3866" s="2" t="str">
        <f t="shared" si="385"/>
        <v>NA</v>
      </c>
    </row>
    <row r="3867" spans="1:21" ht="14.25" customHeight="1">
      <c r="A3867" s="2" t="s">
        <v>40</v>
      </c>
      <c r="B3867" s="2">
        <v>2006</v>
      </c>
      <c r="C3867" s="2" t="s">
        <v>34</v>
      </c>
      <c r="D3867" s="2">
        <v>5.1999999999999998E-2</v>
      </c>
      <c r="E3867" s="2">
        <v>0.48599999999999999</v>
      </c>
      <c r="P3867" s="3">
        <f>E3867*(VLOOKUP(B3867,Price_data!A$1:B$190,2,FALSE))</f>
        <v>0.41777965448819998</v>
      </c>
      <c r="Q3867" s="3">
        <f>G3867*(VLOOKUP(B3867,Price_data!A$1:B$190,2,FALSE))</f>
        <v>0</v>
      </c>
      <c r="R3867" s="3">
        <f>I3867*(VLOOKUP(B3867,Price_data!A$1:B$190,2,FALSE))</f>
        <v>0</v>
      </c>
      <c r="S3867" s="4" t="str">
        <f>(VLOOKUP(B3867,Price_data!A$1:C$190,3,FALSE))</f>
        <v>EEZ</v>
      </c>
      <c r="T3867" s="2" t="str">
        <f>IF(C3867="Total", (VLOOKUP(B3867,Recommended_fish_intake!A$4:D$122,4,FALSE)), "NA")</f>
        <v>NA</v>
      </c>
      <c r="U3867" s="2" t="str">
        <f t="shared" si="385"/>
        <v>NA</v>
      </c>
    </row>
    <row r="3868" spans="1:21" ht="14.25" customHeight="1">
      <c r="A3868" s="2" t="s">
        <v>40</v>
      </c>
      <c r="B3868" s="2">
        <v>2006</v>
      </c>
      <c r="C3868" s="2" t="s">
        <v>35</v>
      </c>
      <c r="D3868" s="2">
        <v>5.859</v>
      </c>
      <c r="E3868" s="2">
        <v>10.744999999999999</v>
      </c>
      <c r="P3868" s="3">
        <f>E3868*(VLOOKUP(B3868,Price_data!A$1:B$190,2,FALSE))</f>
        <v>9.2367127314314992</v>
      </c>
      <c r="Q3868" s="3">
        <f>G3868*(VLOOKUP(B3868,Price_data!A$1:B$190,2,FALSE))</f>
        <v>0</v>
      </c>
      <c r="R3868" s="3">
        <f>I3868*(VLOOKUP(B3868,Price_data!A$1:B$190,2,FALSE))</f>
        <v>0</v>
      </c>
      <c r="S3868" s="4" t="str">
        <f>(VLOOKUP(B3868,Price_data!A$1:C$190,3,FALSE))</f>
        <v>EEZ</v>
      </c>
      <c r="T3868" s="2" t="str">
        <f>IF(C3868="Total", (VLOOKUP(B3868,Recommended_fish_intake!A$4:D$122,4,FALSE)), "NA")</f>
        <v>NA</v>
      </c>
      <c r="U3868" s="2" t="str">
        <f t="shared" si="385"/>
        <v>NA</v>
      </c>
    </row>
    <row r="3869" spans="1:21" ht="14.25" customHeight="1">
      <c r="A3869" s="2" t="s">
        <v>40</v>
      </c>
      <c r="B3869" s="2">
        <v>2006</v>
      </c>
      <c r="C3869" s="2" t="s">
        <v>52</v>
      </c>
      <c r="D3869" s="2">
        <v>0.74099999999999999</v>
      </c>
      <c r="E3869" s="2">
        <v>0.67600000000000005</v>
      </c>
      <c r="P3869" s="3">
        <f>E3869*(VLOOKUP(B3869,Price_data!A$1:B$190,2,FALSE))</f>
        <v>0.58110914904120003</v>
      </c>
      <c r="Q3869" s="3">
        <f>G3869*(VLOOKUP(B3869,Price_data!A$1:B$190,2,FALSE))</f>
        <v>0</v>
      </c>
      <c r="R3869" s="3">
        <f>I3869*(VLOOKUP(B3869,Price_data!A$1:B$190,2,FALSE))</f>
        <v>0</v>
      </c>
      <c r="S3869" s="4" t="str">
        <f>(VLOOKUP(B3869,Price_data!A$1:C$190,3,FALSE))</f>
        <v>EEZ</v>
      </c>
      <c r="T3869" s="2" t="str">
        <f>IF(C3869="Total", (VLOOKUP(B3869,Recommended_fish_intake!A$4:D$122,4,FALSE)), "NA")</f>
        <v>NA</v>
      </c>
      <c r="U3869" s="2" t="str">
        <f t="shared" si="385"/>
        <v>NA</v>
      </c>
    </row>
    <row r="3870" spans="1:21" ht="14.25" customHeight="1">
      <c r="A3870" s="2" t="s">
        <v>40</v>
      </c>
      <c r="B3870" s="2">
        <v>2006</v>
      </c>
      <c r="C3870" s="2" t="s">
        <v>30</v>
      </c>
      <c r="D3870" s="2">
        <v>0</v>
      </c>
      <c r="E3870" s="2">
        <v>1E-3</v>
      </c>
      <c r="P3870" s="3">
        <f>E3870*(VLOOKUP(B3870,Price_data!A$1:B$190,2,FALSE))</f>
        <v>8.5962891870000006E-4</v>
      </c>
      <c r="Q3870" s="3">
        <f>G3870*(VLOOKUP(B3870,Price_data!A$1:B$190,2,FALSE))</f>
        <v>0</v>
      </c>
      <c r="R3870" s="3">
        <f>I3870*(VLOOKUP(B3870,Price_data!A$1:B$190,2,FALSE))</f>
        <v>0</v>
      </c>
      <c r="S3870" s="4" t="str">
        <f>(VLOOKUP(B3870,Price_data!A$1:C$190,3,FALSE))</f>
        <v>EEZ</v>
      </c>
      <c r="T3870" s="2" t="str">
        <f>IF(C3870="Total", (VLOOKUP(B3870,Recommended_fish_intake!A$4:D$122,4,FALSE)), "NA")</f>
        <v>NA</v>
      </c>
      <c r="U3870" s="2" t="str">
        <f t="shared" si="385"/>
        <v>NA</v>
      </c>
    </row>
    <row r="3871" spans="1:21" ht="14.25" customHeight="1">
      <c r="A3871" s="2" t="s">
        <v>40</v>
      </c>
      <c r="B3871" s="2">
        <v>2006</v>
      </c>
      <c r="C3871" s="2" t="s">
        <v>28</v>
      </c>
      <c r="D3871" s="2">
        <v>8.6189999999999998</v>
      </c>
      <c r="E3871" s="2">
        <v>13.361000000000001</v>
      </c>
      <c r="P3871" s="3">
        <f>E3871*(VLOOKUP(B3871,Price_data!A$1:B$190,2,FALSE))</f>
        <v>11.485501982750701</v>
      </c>
      <c r="Q3871" s="3">
        <f>G3871*(VLOOKUP(B3871,Price_data!A$1:B$190,2,FALSE))</f>
        <v>0</v>
      </c>
      <c r="R3871" s="3">
        <f>I3871*(VLOOKUP(B3871,Price_data!A$1:B$190,2,FALSE))</f>
        <v>0</v>
      </c>
      <c r="S3871" s="4" t="str">
        <f>(VLOOKUP(B3871,Price_data!A$1:C$190,3,FALSE))</f>
        <v>EEZ</v>
      </c>
      <c r="T3871" s="2" t="str">
        <f>IF(C3871="Total", (VLOOKUP(B3871,Recommended_fish_intake!A$4:D$122,4,FALSE)), "NA")</f>
        <v>NA</v>
      </c>
      <c r="U3871" s="2">
        <f t="shared" si="385"/>
        <v>2.4133200000000001</v>
      </c>
    </row>
    <row r="3872" spans="1:21" ht="14.25" customHeight="1">
      <c r="A3872" s="2" t="s">
        <v>40</v>
      </c>
      <c r="B3872" s="2">
        <v>2006</v>
      </c>
      <c r="C3872" s="4" t="s">
        <v>37</v>
      </c>
      <c r="D3872" s="3">
        <f>D3744+D3696</f>
        <v>36.927</v>
      </c>
      <c r="E3872" s="3">
        <f>E3744+E3696</f>
        <v>34.712000000000003</v>
      </c>
      <c r="P3872" s="3">
        <f>E3872*(VLOOKUP(B3872,Price_data!A$1:B$190,2,FALSE))</f>
        <v>29.839439025914405</v>
      </c>
      <c r="Q3872" s="3">
        <f>G3872*(VLOOKUP(B3872,Price_data!A$1:B$190,2,FALSE))</f>
        <v>0</v>
      </c>
      <c r="R3872" s="3">
        <f>I3872*(VLOOKUP(B3872,Price_data!A$1:B$190,2,FALSE))</f>
        <v>0</v>
      </c>
      <c r="S3872" s="4" t="str">
        <f>(VLOOKUP(B3872,Price_data!A$1:C$190,3,FALSE))</f>
        <v>EEZ</v>
      </c>
      <c r="T3872" s="2" t="str">
        <f>IF(C3872="Total", (VLOOKUP(B3872,Recommended_fish_intake!A$4:D$122,4,FALSE)), "NA")</f>
        <v>NA</v>
      </c>
      <c r="U3872" s="2">
        <f t="shared" si="385"/>
        <v>18.09423</v>
      </c>
    </row>
    <row r="3873" spans="1:21" ht="14.25" customHeight="1">
      <c r="A3873" s="2" t="s">
        <v>39</v>
      </c>
      <c r="B3873" s="2">
        <v>2006</v>
      </c>
      <c r="C3873" s="4" t="s">
        <v>37</v>
      </c>
      <c r="D3873" s="3">
        <f>D3489+D3441</f>
        <v>132</v>
      </c>
      <c r="E3873" s="3">
        <f>E3489+E3441</f>
        <v>21</v>
      </c>
      <c r="P3873" s="3">
        <f>E3873*(VLOOKUP(B3873,Price_data!A$1:B$190,2,FALSE))</f>
        <v>18.0522072927</v>
      </c>
      <c r="Q3873" s="3">
        <f>G3873*(VLOOKUP(B3873,Price_data!A$1:B$190,2,FALSE))</f>
        <v>0</v>
      </c>
      <c r="R3873" s="3">
        <f>I3873*(VLOOKUP(B3873,Price_data!A$1:B$190,2,FALSE))</f>
        <v>0</v>
      </c>
      <c r="S3873" s="4" t="str">
        <f>(VLOOKUP(B3873,Price_data!A$1:C$190,3,FALSE))</f>
        <v>EEZ</v>
      </c>
      <c r="T3873" s="2" t="str">
        <f>IF(C3873="Total", (VLOOKUP(B3873,Recommended_fish_intake!A$4:D$122,4,FALSE)), "NA")</f>
        <v>NA</v>
      </c>
      <c r="U3873" s="2">
        <f t="shared" si="385"/>
        <v>64.679999999999993</v>
      </c>
    </row>
    <row r="3874" spans="1:21" ht="14.25" customHeight="1">
      <c r="A3874" s="2" t="s">
        <v>18</v>
      </c>
      <c r="B3874" s="2">
        <v>2006</v>
      </c>
      <c r="C3874" s="2" t="s">
        <v>22</v>
      </c>
      <c r="D3874" s="3">
        <f t="shared" ref="D3874:E3887" si="386">D3122+D2882</f>
        <v>40.774000000000001</v>
      </c>
      <c r="E3874" s="3">
        <f t="shared" si="386"/>
        <v>5.1470000000000002</v>
      </c>
      <c r="P3874" s="3">
        <f>E3874*(VLOOKUP(B3874,Price_data!A$1:B$190,2,FALSE))</f>
        <v>4.4245100445489003</v>
      </c>
      <c r="Q3874" s="3">
        <f>G3874*(VLOOKUP(B3874,Price_data!A$1:B$190,2,FALSE))</f>
        <v>0</v>
      </c>
      <c r="R3874" s="3">
        <f>I3874*(VLOOKUP(B3874,Price_data!A$1:B$190,2,FALSE))</f>
        <v>0</v>
      </c>
      <c r="S3874" s="4" t="str">
        <f>(VLOOKUP(B3874,Price_data!A$1:C$190,3,FALSE))</f>
        <v>EEZ</v>
      </c>
      <c r="T3874" s="2" t="str">
        <f>IF(C3874="Total", (VLOOKUP(B3874,Recommended_fish_intake!A$4:D$122,4,FALSE)), "NA")</f>
        <v>NA</v>
      </c>
      <c r="U3874" s="2" t="str">
        <f t="shared" si="385"/>
        <v>NA</v>
      </c>
    </row>
    <row r="3875" spans="1:21" ht="14.25" customHeight="1">
      <c r="A3875" s="2" t="s">
        <v>18</v>
      </c>
      <c r="B3875" s="2">
        <v>2006</v>
      </c>
      <c r="C3875" s="2" t="s">
        <v>23</v>
      </c>
      <c r="D3875" s="3">
        <f t="shared" si="386"/>
        <v>64.027999999999992</v>
      </c>
      <c r="E3875" s="3">
        <f t="shared" si="386"/>
        <v>22.975000000000001</v>
      </c>
      <c r="P3875" s="3">
        <f>E3875*(VLOOKUP(B3875,Price_data!A$1:B$190,2,FALSE))</f>
        <v>19.749974407132502</v>
      </c>
      <c r="Q3875" s="3">
        <f>G3875*(VLOOKUP(B3875,Price_data!A$1:B$190,2,FALSE))</f>
        <v>0</v>
      </c>
      <c r="R3875" s="3">
        <f>I3875*(VLOOKUP(B3875,Price_data!A$1:B$190,2,FALSE))</f>
        <v>0</v>
      </c>
      <c r="S3875" s="4" t="str">
        <f>(VLOOKUP(B3875,Price_data!A$1:C$190,3,FALSE))</f>
        <v>EEZ</v>
      </c>
      <c r="T3875" s="2" t="str">
        <f>IF(C3875="Total", (VLOOKUP(B3875,Recommended_fish_intake!A$4:D$122,4,FALSE)), "NA")</f>
        <v>NA</v>
      </c>
      <c r="U3875" s="2" t="str">
        <f t="shared" si="385"/>
        <v>NA</v>
      </c>
    </row>
    <row r="3876" spans="1:21" ht="14.25" customHeight="1">
      <c r="A3876" s="2" t="s">
        <v>18</v>
      </c>
      <c r="B3876" s="2">
        <v>2006</v>
      </c>
      <c r="C3876" s="2" t="s">
        <v>58</v>
      </c>
      <c r="D3876" s="3">
        <f t="shared" si="386"/>
        <v>5.306</v>
      </c>
      <c r="E3876" s="3">
        <f t="shared" si="386"/>
        <v>1.3310000000000002</v>
      </c>
      <c r="P3876" s="3">
        <f>E3876*(VLOOKUP(B3876,Price_data!A$1:B$190,2,FALSE))</f>
        <v>1.1441660907897002</v>
      </c>
      <c r="Q3876" s="3">
        <f>G3876*(VLOOKUP(B3876,Price_data!A$1:B$190,2,FALSE))</f>
        <v>0</v>
      </c>
      <c r="R3876" s="3">
        <f>I3876*(VLOOKUP(B3876,Price_data!A$1:B$190,2,FALSE))</f>
        <v>0</v>
      </c>
      <c r="S3876" s="4" t="str">
        <f>(VLOOKUP(B3876,Price_data!A$1:C$190,3,FALSE))</f>
        <v>EEZ</v>
      </c>
      <c r="T3876" s="2" t="str">
        <f>IF(C3876="Total", (VLOOKUP(B3876,Recommended_fish_intake!A$4:D$122,4,FALSE)), "NA")</f>
        <v>NA</v>
      </c>
      <c r="U3876" s="2" t="str">
        <f t="shared" si="385"/>
        <v>NA</v>
      </c>
    </row>
    <row r="3877" spans="1:21" ht="14.25" customHeight="1">
      <c r="A3877" s="2" t="s">
        <v>18</v>
      </c>
      <c r="B3877" s="2">
        <v>2006</v>
      </c>
      <c r="C3877" s="2" t="s">
        <v>24</v>
      </c>
      <c r="D3877" s="3">
        <f t="shared" si="386"/>
        <v>11.5</v>
      </c>
      <c r="E3877" s="3">
        <f t="shared" si="386"/>
        <v>13.331999999999999</v>
      </c>
      <c r="P3877" s="3">
        <f>E3877*(VLOOKUP(B3877,Price_data!A$1:B$190,2,FALSE))</f>
        <v>11.460572744108399</v>
      </c>
      <c r="Q3877" s="3">
        <f>G3877*(VLOOKUP(B3877,Price_data!A$1:B$190,2,FALSE))</f>
        <v>0</v>
      </c>
      <c r="R3877" s="3">
        <f>I3877*(VLOOKUP(B3877,Price_data!A$1:B$190,2,FALSE))</f>
        <v>0</v>
      </c>
      <c r="S3877" s="4" t="str">
        <f>(VLOOKUP(B3877,Price_data!A$1:C$190,3,FALSE))</f>
        <v>EEZ</v>
      </c>
      <c r="T3877" s="2" t="str">
        <f>IF(C3877="Total", (VLOOKUP(B3877,Recommended_fish_intake!A$4:D$122,4,FALSE)), "NA")</f>
        <v>NA</v>
      </c>
      <c r="U3877" s="2" t="str">
        <f t="shared" si="385"/>
        <v>NA</v>
      </c>
    </row>
    <row r="3878" spans="1:21" ht="14.25" customHeight="1">
      <c r="A3878" s="2" t="s">
        <v>18</v>
      </c>
      <c r="B3878" s="2">
        <v>2006</v>
      </c>
      <c r="C3878" s="2" t="s">
        <v>41</v>
      </c>
      <c r="D3878" s="3" t="e">
        <f t="shared" si="386"/>
        <v>#N/A</v>
      </c>
      <c r="E3878" s="3" t="e">
        <f t="shared" si="386"/>
        <v>#N/A</v>
      </c>
      <c r="P3878" s="3" t="e">
        <f>E3878*(VLOOKUP(B3878,Price_data!A$1:B$190,2,FALSE))</f>
        <v>#N/A</v>
      </c>
      <c r="Q3878" s="3">
        <f>G3878*(VLOOKUP(B3878,Price_data!A$1:B$190,2,FALSE))</f>
        <v>0</v>
      </c>
      <c r="R3878" s="3">
        <f>I3878*(VLOOKUP(B3878,Price_data!A$1:B$190,2,FALSE))</f>
        <v>0</v>
      </c>
      <c r="S3878" s="4" t="str">
        <f>(VLOOKUP(B3878,Price_data!A$1:C$190,3,FALSE))</f>
        <v>EEZ</v>
      </c>
      <c r="T3878" s="2" t="str">
        <f>IF(C3878="Total", (VLOOKUP(B3878,Recommended_fish_intake!A$4:D$122,4,FALSE)), "NA")</f>
        <v>NA</v>
      </c>
      <c r="U3878" s="2" t="str">
        <f t="shared" si="385"/>
        <v>NA</v>
      </c>
    </row>
    <row r="3879" spans="1:21" ht="14.25" customHeight="1">
      <c r="A3879" s="2" t="s">
        <v>18</v>
      </c>
      <c r="B3879" s="2">
        <v>2006</v>
      </c>
      <c r="C3879" s="2" t="s">
        <v>19</v>
      </c>
      <c r="D3879" s="3" t="e">
        <f t="shared" si="386"/>
        <v>#N/A</v>
      </c>
      <c r="E3879" s="3" t="e">
        <f t="shared" si="386"/>
        <v>#N/A</v>
      </c>
      <c r="P3879" s="3" t="e">
        <f>E3879*(VLOOKUP(B3879,Price_data!A$1:B$190,2,FALSE))</f>
        <v>#N/A</v>
      </c>
      <c r="Q3879" s="3">
        <f>G3879*(VLOOKUP(B3879,Price_data!A$1:B$190,2,FALSE))</f>
        <v>0</v>
      </c>
      <c r="R3879" s="3">
        <f>I3879*(VLOOKUP(B3879,Price_data!A$1:B$190,2,FALSE))</f>
        <v>0</v>
      </c>
      <c r="S3879" s="4" t="str">
        <f>(VLOOKUP(B3879,Price_data!A$1:C$190,3,FALSE))</f>
        <v>EEZ</v>
      </c>
      <c r="T3879" s="2" t="str">
        <f>IF(C3879="Total", (VLOOKUP(B3879,Recommended_fish_intake!A$4:D$122,4,FALSE)), "NA")</f>
        <v>NA</v>
      </c>
      <c r="U3879" s="2" t="str">
        <f t="shared" si="385"/>
        <v>NA</v>
      </c>
    </row>
    <row r="3880" spans="1:21" ht="14.25" customHeight="1">
      <c r="A3880" s="2" t="s">
        <v>18</v>
      </c>
      <c r="B3880" s="2">
        <v>2006</v>
      </c>
      <c r="C3880" s="2" t="s">
        <v>20</v>
      </c>
      <c r="D3880" s="3">
        <f t="shared" si="386"/>
        <v>19</v>
      </c>
      <c r="E3880" s="3">
        <f t="shared" si="386"/>
        <v>24.8</v>
      </c>
      <c r="P3880" s="3">
        <f>E3880*(VLOOKUP(B3880,Price_data!A$1:B$190,2,FALSE))</f>
        <v>21.318797183760001</v>
      </c>
      <c r="Q3880" s="3">
        <f>G3880*(VLOOKUP(B3880,Price_data!A$1:B$190,2,FALSE))</f>
        <v>0</v>
      </c>
      <c r="R3880" s="3">
        <f>I3880*(VLOOKUP(B3880,Price_data!A$1:B$190,2,FALSE))</f>
        <v>0</v>
      </c>
      <c r="S3880" s="4" t="str">
        <f>(VLOOKUP(B3880,Price_data!A$1:C$190,3,FALSE))</f>
        <v>EEZ</v>
      </c>
      <c r="T3880" s="2" t="str">
        <f>IF(C3880="Total", (VLOOKUP(B3880,Recommended_fish_intake!A$4:D$122,4,FALSE)), "NA")</f>
        <v>NA</v>
      </c>
      <c r="U3880" s="2" t="str">
        <f t="shared" si="385"/>
        <v>NA</v>
      </c>
    </row>
    <row r="3881" spans="1:21" ht="14.25" customHeight="1">
      <c r="A3881" s="2" t="s">
        <v>18</v>
      </c>
      <c r="B3881" s="2">
        <v>2006</v>
      </c>
      <c r="C3881" s="2" t="s">
        <v>42</v>
      </c>
      <c r="D3881" s="3">
        <f t="shared" si="386"/>
        <v>10.28</v>
      </c>
      <c r="E3881" s="3">
        <f t="shared" si="386"/>
        <v>12.800999999999998</v>
      </c>
      <c r="P3881" s="3">
        <f>E3881*(VLOOKUP(B3881,Price_data!A$1:B$190,2,FALSE))</f>
        <v>11.004109788278699</v>
      </c>
      <c r="Q3881" s="3">
        <f>G3881*(VLOOKUP(B3881,Price_data!A$1:B$190,2,FALSE))</f>
        <v>0</v>
      </c>
      <c r="R3881" s="3">
        <f>I3881*(VLOOKUP(B3881,Price_data!A$1:B$190,2,FALSE))</f>
        <v>0</v>
      </c>
      <c r="S3881" s="4" t="str">
        <f>(VLOOKUP(B3881,Price_data!A$1:C$190,3,FALSE))</f>
        <v>EEZ</v>
      </c>
      <c r="T3881" s="2" t="str">
        <f>IF(C3881="Total", (VLOOKUP(B3881,Recommended_fish_intake!A$4:D$122,4,FALSE)), "NA")</f>
        <v>NA</v>
      </c>
      <c r="U3881" s="2" t="str">
        <f t="shared" si="385"/>
        <v>NA</v>
      </c>
    </row>
    <row r="3882" spans="1:21" ht="14.25" customHeight="1">
      <c r="A3882" s="2" t="s">
        <v>18</v>
      </c>
      <c r="B3882" s="2">
        <v>2006</v>
      </c>
      <c r="C3882" s="2" t="s">
        <v>36</v>
      </c>
      <c r="D3882" s="3">
        <f t="shared" si="386"/>
        <v>76.027000000000001</v>
      </c>
      <c r="E3882" s="3">
        <f t="shared" si="386"/>
        <v>42.573</v>
      </c>
      <c r="P3882" s="3">
        <f>E3882*(VLOOKUP(B3882,Price_data!A$1:B$190,2,FALSE))</f>
        <v>36.596981955815103</v>
      </c>
      <c r="Q3882" s="3">
        <f>G3882*(VLOOKUP(B3882,Price_data!A$1:B$190,2,FALSE))</f>
        <v>0</v>
      </c>
      <c r="R3882" s="3">
        <f>I3882*(VLOOKUP(B3882,Price_data!A$1:B$190,2,FALSE))</f>
        <v>0</v>
      </c>
      <c r="S3882" s="4" t="str">
        <f>(VLOOKUP(B3882,Price_data!A$1:C$190,3,FALSE))</f>
        <v>EEZ</v>
      </c>
      <c r="T3882" s="2" t="str">
        <f>IF(C3882="Total", (VLOOKUP(B3882,Recommended_fish_intake!A$4:D$122,4,FALSE)), "NA")</f>
        <v>NA</v>
      </c>
      <c r="U3882" s="2" t="str">
        <f t="shared" si="385"/>
        <v>NA</v>
      </c>
    </row>
    <row r="3883" spans="1:21" ht="14.25" customHeight="1">
      <c r="A3883" s="2" t="s">
        <v>18</v>
      </c>
      <c r="B3883" s="2">
        <v>2006</v>
      </c>
      <c r="C3883" s="2" t="s">
        <v>34</v>
      </c>
      <c r="D3883" s="3">
        <f t="shared" si="386"/>
        <v>231.7</v>
      </c>
      <c r="E3883" s="3">
        <f t="shared" si="386"/>
        <v>28.599999999999998</v>
      </c>
      <c r="P3883" s="3">
        <f>E3883*(VLOOKUP(B3883,Price_data!A$1:B$190,2,FALSE))</f>
        <v>24.585387074819998</v>
      </c>
      <c r="Q3883" s="3">
        <f>G3883*(VLOOKUP(B3883,Price_data!A$1:B$190,2,FALSE))</f>
        <v>0</v>
      </c>
      <c r="R3883" s="3">
        <f>I3883*(VLOOKUP(B3883,Price_data!A$1:B$190,2,FALSE))</f>
        <v>0</v>
      </c>
      <c r="S3883" s="4" t="str">
        <f>(VLOOKUP(B3883,Price_data!A$1:C$190,3,FALSE))</f>
        <v>EEZ</v>
      </c>
      <c r="T3883" s="2" t="str">
        <f>IF(C3883="Total", (VLOOKUP(B3883,Recommended_fish_intake!A$4:D$122,4,FALSE)), "NA")</f>
        <v>NA</v>
      </c>
      <c r="U3883" s="2" t="str">
        <f t="shared" si="385"/>
        <v>NA</v>
      </c>
    </row>
    <row r="3884" spans="1:21" ht="14.25" customHeight="1">
      <c r="A3884" s="2" t="s">
        <v>18</v>
      </c>
      <c r="B3884" s="2">
        <v>2006</v>
      </c>
      <c r="C3884" s="2" t="s">
        <v>35</v>
      </c>
      <c r="D3884" s="3">
        <f t="shared" si="386"/>
        <v>576.64400000000001</v>
      </c>
      <c r="E3884" s="3">
        <f t="shared" si="386"/>
        <v>284.47399999999999</v>
      </c>
      <c r="P3884" s="3">
        <f>E3884*(VLOOKUP(B3884,Price_data!A$1:B$190,2,FALSE))</f>
        <v>244.5420770182638</v>
      </c>
      <c r="Q3884" s="3">
        <f>G3884*(VLOOKUP(B3884,Price_data!A$1:B$190,2,FALSE))</f>
        <v>0</v>
      </c>
      <c r="R3884" s="3">
        <f>I3884*(VLOOKUP(B3884,Price_data!A$1:B$190,2,FALSE))</f>
        <v>0</v>
      </c>
      <c r="S3884" s="4" t="str">
        <f>(VLOOKUP(B3884,Price_data!A$1:C$190,3,FALSE))</f>
        <v>EEZ</v>
      </c>
      <c r="T3884" s="2" t="str">
        <f>IF(C3884="Total", (VLOOKUP(B3884,Recommended_fish_intake!A$4:D$122,4,FALSE)), "NA")</f>
        <v>NA</v>
      </c>
      <c r="U3884" s="2" t="str">
        <f t="shared" si="385"/>
        <v>NA</v>
      </c>
    </row>
    <row r="3885" spans="1:21" ht="14.25" customHeight="1">
      <c r="A3885" s="2" t="s">
        <v>18</v>
      </c>
      <c r="B3885" s="2">
        <v>2006</v>
      </c>
      <c r="C3885" s="2" t="s">
        <v>52</v>
      </c>
      <c r="D3885" s="3">
        <f t="shared" si="386"/>
        <v>14.842000000000001</v>
      </c>
      <c r="E3885" s="3">
        <f t="shared" si="386"/>
        <v>4.8479999999999999</v>
      </c>
      <c r="P3885" s="3">
        <f>E3885*(VLOOKUP(B3885,Price_data!A$1:B$190,2,FALSE))</f>
        <v>4.1674809978576004</v>
      </c>
      <c r="Q3885" s="3">
        <f>G3885*(VLOOKUP(B3885,Price_data!A$1:B$190,2,FALSE))</f>
        <v>0</v>
      </c>
      <c r="R3885" s="3">
        <f>I3885*(VLOOKUP(B3885,Price_data!A$1:B$190,2,FALSE))</f>
        <v>0</v>
      </c>
      <c r="S3885" s="4" t="str">
        <f>(VLOOKUP(B3885,Price_data!A$1:C$190,3,FALSE))</f>
        <v>EEZ</v>
      </c>
      <c r="T3885" s="2" t="str">
        <f>IF(C3885="Total", (VLOOKUP(B3885,Recommended_fish_intake!A$4:D$122,4,FALSE)), "NA")</f>
        <v>NA</v>
      </c>
      <c r="U3885" s="2" t="str">
        <f t="shared" si="385"/>
        <v>NA</v>
      </c>
    </row>
    <row r="3886" spans="1:21" ht="14.25" customHeight="1">
      <c r="A3886" s="2" t="s">
        <v>18</v>
      </c>
      <c r="B3886" s="2">
        <v>2006</v>
      </c>
      <c r="C3886" s="2" t="s">
        <v>30</v>
      </c>
      <c r="D3886" s="3">
        <f t="shared" si="386"/>
        <v>10.315</v>
      </c>
      <c r="E3886" s="3">
        <f t="shared" si="386"/>
        <v>7.0410000000000004</v>
      </c>
      <c r="P3886" s="3">
        <f>E3886*(VLOOKUP(B3886,Price_data!A$1:B$190,2,FALSE))</f>
        <v>6.0526472165667009</v>
      </c>
      <c r="Q3886" s="3">
        <f>G3886*(VLOOKUP(B3886,Price_data!A$1:B$190,2,FALSE))</f>
        <v>0</v>
      </c>
      <c r="R3886" s="3">
        <f>I3886*(VLOOKUP(B3886,Price_data!A$1:B$190,2,FALSE))</f>
        <v>0</v>
      </c>
      <c r="S3886" s="4" t="str">
        <f>(VLOOKUP(B3886,Price_data!A$1:C$190,3,FALSE))</f>
        <v>EEZ</v>
      </c>
      <c r="T3886" s="2" t="str">
        <f>IF(C3886="Total", (VLOOKUP(B3886,Recommended_fish_intake!A$4:D$122,4,FALSE)), "NA")</f>
        <v>NA</v>
      </c>
      <c r="U3886" s="2" t="str">
        <f t="shared" si="385"/>
        <v>NA</v>
      </c>
    </row>
    <row r="3887" spans="1:21" ht="14.25" customHeight="1">
      <c r="A3887" s="2" t="s">
        <v>18</v>
      </c>
      <c r="B3887" s="2">
        <v>2006</v>
      </c>
      <c r="C3887" s="2" t="s">
        <v>28</v>
      </c>
      <c r="D3887" s="3">
        <f t="shared" si="386"/>
        <v>36.65</v>
      </c>
      <c r="E3887" s="3">
        <f t="shared" si="386"/>
        <v>34.019999999999996</v>
      </c>
      <c r="P3887" s="3">
        <f>E3887*(VLOOKUP(B3887,Price_data!A$1:B$190,2,FALSE))</f>
        <v>29.244575814173999</v>
      </c>
      <c r="Q3887" s="3">
        <f>G3887*(VLOOKUP(B3887,Price_data!A$1:B$190,2,FALSE))</f>
        <v>0</v>
      </c>
      <c r="R3887" s="3">
        <f>I3887*(VLOOKUP(B3887,Price_data!A$1:B$190,2,FALSE))</f>
        <v>0</v>
      </c>
      <c r="S3887" s="4" t="str">
        <f>(VLOOKUP(B3887,Price_data!A$1:C$190,3,FALSE))</f>
        <v>EEZ</v>
      </c>
      <c r="T3887" s="2" t="str">
        <f>IF(C3887="Total", (VLOOKUP(B3887,Recommended_fish_intake!A$4:D$122,4,FALSE)), "NA")</f>
        <v>NA</v>
      </c>
      <c r="U3887" s="2">
        <f t="shared" si="385"/>
        <v>10.262</v>
      </c>
    </row>
    <row r="3888" spans="1:21" ht="14.25" customHeight="1">
      <c r="A3888" s="2" t="s">
        <v>18</v>
      </c>
      <c r="B3888" s="2">
        <v>2006</v>
      </c>
      <c r="C3888" s="2" t="s">
        <v>37</v>
      </c>
      <c r="D3888" s="3">
        <f>D3712+D3760</f>
        <v>4.2649999999999997</v>
      </c>
      <c r="E3888" s="3">
        <f>E3712+E3760</f>
        <v>1.1000000000000001</v>
      </c>
      <c r="P3888" s="3">
        <f>E3888*(VLOOKUP(B3888,Price_data!A$1:B$190,2,FALSE))</f>
        <v>0.94559181057000008</v>
      </c>
      <c r="Q3888" s="3">
        <f>G3888*(VLOOKUP(B3888,Price_data!A$1:B$190,2,FALSE))</f>
        <v>0</v>
      </c>
      <c r="R3888" s="3">
        <f>I3888*(VLOOKUP(B3888,Price_data!A$1:B$190,2,FALSE))</f>
        <v>0</v>
      </c>
      <c r="S3888" s="4" t="str">
        <f>(VLOOKUP(B3888,Price_data!A$1:C$190,3,FALSE))</f>
        <v>EEZ</v>
      </c>
      <c r="T3888" s="2" t="str">
        <f>IF(C3888="Total", (VLOOKUP(B3888,Recommended_fish_intake!A$4:D$122,4,FALSE)), "NA")</f>
        <v>NA</v>
      </c>
      <c r="U3888" s="2">
        <f t="shared" si="385"/>
        <v>2.0898499999999998</v>
      </c>
    </row>
    <row r="3889" spans="1:21" ht="14.25" customHeight="1">
      <c r="A3889" s="2" t="s">
        <v>15</v>
      </c>
      <c r="B3889" s="2">
        <v>2006</v>
      </c>
      <c r="C3889" s="2" t="s">
        <v>42</v>
      </c>
      <c r="D3889" s="2">
        <v>163.541</v>
      </c>
      <c r="E3889" s="2">
        <v>73.64</v>
      </c>
      <c r="F3889" s="2" t="s">
        <v>92</v>
      </c>
      <c r="G3889" s="2" t="s">
        <v>92</v>
      </c>
      <c r="H3889" s="2" t="s">
        <v>92</v>
      </c>
      <c r="I3889" s="2" t="s">
        <v>92</v>
      </c>
      <c r="P3889" s="3">
        <f>E3889*(VLOOKUP(B3889,Price_data!A$1:B$190,2,FALSE))</f>
        <v>63.303073573068005</v>
      </c>
      <c r="Q3889" s="3" t="e">
        <f>G3889*(VLOOKUP(B3889,Price_data!A$1:B$190,2,FALSE))</f>
        <v>#VALUE!</v>
      </c>
      <c r="R3889" s="3" t="e">
        <f>I3889*(VLOOKUP(B3889,Price_data!A$1:B$190,2,FALSE))</f>
        <v>#VALUE!</v>
      </c>
      <c r="S3889" s="4" t="str">
        <f>(VLOOKUP(B3889,Price_data!A$1:C$190,3,FALSE))</f>
        <v>EEZ</v>
      </c>
      <c r="T3889" s="2" t="str">
        <f>IF(C3889="Total", (VLOOKUP(B3889,Recommended_fish_intake!A$4:D$122,4,FALSE)), "NA")</f>
        <v>NA</v>
      </c>
      <c r="U3889" s="2" t="str">
        <f t="shared" si="385"/>
        <v>NA</v>
      </c>
    </row>
    <row r="3890" spans="1:21" ht="14.25" customHeight="1">
      <c r="A3890" s="2" t="s">
        <v>15</v>
      </c>
      <c r="B3890" s="2">
        <v>2006</v>
      </c>
      <c r="C3890" s="2" t="s">
        <v>36</v>
      </c>
      <c r="D3890" s="2">
        <v>26.366</v>
      </c>
      <c r="E3890" s="2">
        <v>34.154000000000003</v>
      </c>
      <c r="F3890" s="2">
        <v>15.2</v>
      </c>
      <c r="G3890" s="2">
        <v>37.4</v>
      </c>
      <c r="H3890" s="2">
        <v>2.6</v>
      </c>
      <c r="I3890" s="2">
        <v>11.8</v>
      </c>
      <c r="P3890" s="3">
        <f>E3890*(VLOOKUP(B3890,Price_data!A$1:B$190,2,FALSE))</f>
        <v>29.359766089279805</v>
      </c>
      <c r="Q3890" s="3">
        <f>G3890*(VLOOKUP(B3890,Price_data!A$1:B$190,2,FALSE))</f>
        <v>32.150121559379997</v>
      </c>
      <c r="R3890" s="3">
        <f>I3890*(VLOOKUP(B3890,Price_data!A$1:B$190,2,FALSE))</f>
        <v>10.143621240660002</v>
      </c>
      <c r="S3890" s="4" t="str">
        <f>(VLOOKUP(B3890,Price_data!A$1:C$190,3,FALSE))</f>
        <v>EEZ</v>
      </c>
      <c r="T3890" s="2" t="str">
        <f>IF(C3890="Total", (VLOOKUP(B3890,Recommended_fish_intake!A$4:D$122,4,FALSE)), "NA")</f>
        <v>NA</v>
      </c>
      <c r="U3890" s="2" t="str">
        <f t="shared" si="385"/>
        <v>NA</v>
      </c>
    </row>
    <row r="3891" spans="1:21" ht="14.25" customHeight="1">
      <c r="A3891" s="2" t="s">
        <v>15</v>
      </c>
      <c r="B3891" s="2">
        <v>2006</v>
      </c>
      <c r="C3891" s="2" t="s">
        <v>34</v>
      </c>
      <c r="D3891" s="2">
        <v>2.335</v>
      </c>
      <c r="E3891" s="2">
        <v>26.831</v>
      </c>
      <c r="F3891" s="2" t="s">
        <v>92</v>
      </c>
      <c r="G3891" s="2" t="s">
        <v>92</v>
      </c>
      <c r="H3891" s="2" t="s">
        <v>92</v>
      </c>
      <c r="I3891" s="2" t="s">
        <v>92</v>
      </c>
      <c r="P3891" s="3">
        <f>E3891*(VLOOKUP(B3891,Price_data!A$1:B$190,2,FALSE))</f>
        <v>23.0647035176397</v>
      </c>
      <c r="Q3891" s="3" t="e">
        <f>G3891*(VLOOKUP(B3891,Price_data!A$1:B$190,2,FALSE))</f>
        <v>#VALUE!</v>
      </c>
      <c r="R3891" s="3" t="e">
        <f>I3891*(VLOOKUP(B3891,Price_data!A$1:B$190,2,FALSE))</f>
        <v>#VALUE!</v>
      </c>
      <c r="S3891" s="4" t="str">
        <f>(VLOOKUP(B3891,Price_data!A$1:C$190,3,FALSE))</f>
        <v>EEZ</v>
      </c>
      <c r="T3891" s="2" t="str">
        <f>IF(C3891="Total", (VLOOKUP(B3891,Recommended_fish_intake!A$4:D$122,4,FALSE)), "NA")</f>
        <v>NA</v>
      </c>
      <c r="U3891" s="2" t="str">
        <f t="shared" si="385"/>
        <v>NA</v>
      </c>
    </row>
    <row r="3892" spans="1:21" ht="14.25" customHeight="1">
      <c r="A3892" s="2" t="s">
        <v>15</v>
      </c>
      <c r="B3892" s="2">
        <v>2006</v>
      </c>
      <c r="C3892" s="2" t="s">
        <v>35</v>
      </c>
      <c r="D3892" s="2">
        <v>40.942999999999998</v>
      </c>
      <c r="E3892" s="2">
        <v>113.952</v>
      </c>
      <c r="F3892" s="2" t="s">
        <v>92</v>
      </c>
      <c r="G3892" s="2" t="s">
        <v>92</v>
      </c>
      <c r="H3892" s="2" t="s">
        <v>92</v>
      </c>
      <c r="I3892" s="2" t="s">
        <v>92</v>
      </c>
      <c r="P3892" s="3">
        <f>E3892*(VLOOKUP(B3892,Price_data!A$1:B$190,2,FALSE))</f>
        <v>97.9564345437024</v>
      </c>
      <c r="Q3892" s="3" t="e">
        <f>G3892*(VLOOKUP(B3892,Price_data!A$1:B$190,2,FALSE))</f>
        <v>#VALUE!</v>
      </c>
      <c r="R3892" s="3" t="e">
        <f>I3892*(VLOOKUP(B3892,Price_data!A$1:B$190,2,FALSE))</f>
        <v>#VALUE!</v>
      </c>
      <c r="S3892" s="4" t="str">
        <f>(VLOOKUP(B3892,Price_data!A$1:C$190,3,FALSE))</f>
        <v>EEZ</v>
      </c>
      <c r="T3892" s="2" t="str">
        <f>IF(C3892="Total", (VLOOKUP(B3892,Recommended_fish_intake!A$4:D$122,4,FALSE)), "NA")</f>
        <v>NA</v>
      </c>
      <c r="U3892" s="2" t="str">
        <f t="shared" si="385"/>
        <v>NA</v>
      </c>
    </row>
    <row r="3893" spans="1:21" ht="14.25" customHeight="1">
      <c r="A3893" s="2" t="s">
        <v>15</v>
      </c>
      <c r="B3893" s="2">
        <v>2006</v>
      </c>
      <c r="C3893" s="2" t="s">
        <v>52</v>
      </c>
      <c r="D3893" s="2">
        <v>24.163</v>
      </c>
      <c r="E3893" s="2">
        <v>37.213999999999999</v>
      </c>
      <c r="F3893" s="2" t="s">
        <v>92</v>
      </c>
      <c r="G3893" s="2" t="s">
        <v>92</v>
      </c>
      <c r="H3893" s="2" t="s">
        <v>92</v>
      </c>
      <c r="I3893" s="2" t="s">
        <v>92</v>
      </c>
      <c r="P3893" s="3">
        <f>E3893*(VLOOKUP(B3893,Price_data!A$1:B$190,2,FALSE))</f>
        <v>31.990230580501798</v>
      </c>
      <c r="Q3893" s="3" t="e">
        <f>G3893*(VLOOKUP(B3893,Price_data!A$1:B$190,2,FALSE))</f>
        <v>#VALUE!</v>
      </c>
      <c r="R3893" s="3" t="e">
        <f>I3893*(VLOOKUP(B3893,Price_data!A$1:B$190,2,FALSE))</f>
        <v>#VALUE!</v>
      </c>
      <c r="S3893" s="4" t="str">
        <f>(VLOOKUP(B3893,Price_data!A$1:C$190,3,FALSE))</f>
        <v>EEZ</v>
      </c>
      <c r="T3893" s="2" t="str">
        <f>IF(C3893="Total", (VLOOKUP(B3893,Recommended_fish_intake!A$4:D$122,4,FALSE)), "NA")</f>
        <v>NA</v>
      </c>
      <c r="U3893" s="2" t="str">
        <f t="shared" si="385"/>
        <v>NA</v>
      </c>
    </row>
    <row r="3894" spans="1:21" ht="14.25" customHeight="1">
      <c r="A3894" s="2" t="s">
        <v>15</v>
      </c>
      <c r="B3894" s="2">
        <v>2006</v>
      </c>
      <c r="C3894" s="2" t="s">
        <v>30</v>
      </c>
      <c r="D3894" s="2">
        <v>0.47799999999999998</v>
      </c>
      <c r="E3894" s="2">
        <v>0.83899999999999997</v>
      </c>
      <c r="F3894" s="2">
        <v>22.8</v>
      </c>
      <c r="G3894" s="2">
        <v>81.100000000000009</v>
      </c>
      <c r="H3894" s="2">
        <v>89.4</v>
      </c>
      <c r="I3894" s="2">
        <v>337.3</v>
      </c>
      <c r="P3894" s="3">
        <f>E3894*(VLOOKUP(B3894,Price_data!A$1:B$190,2,FALSE))</f>
        <v>0.72122866278929998</v>
      </c>
      <c r="Q3894" s="3">
        <f>G3894*(VLOOKUP(B3894,Price_data!A$1:B$190,2,FALSE))</f>
        <v>69.715905306570008</v>
      </c>
      <c r="R3894" s="3">
        <f>I3894*(VLOOKUP(B3894,Price_data!A$1:B$190,2,FALSE))</f>
        <v>289.95283427751002</v>
      </c>
      <c r="S3894" s="4" t="str">
        <f>(VLOOKUP(B3894,Price_data!A$1:C$190,3,FALSE))</f>
        <v>EEZ</v>
      </c>
      <c r="T3894" s="2" t="str">
        <f>IF(C3894="Total", (VLOOKUP(B3894,Recommended_fish_intake!A$4:D$122,4,FALSE)), "NA")</f>
        <v>NA</v>
      </c>
      <c r="U3894" s="2" t="str">
        <f t="shared" si="385"/>
        <v>NA</v>
      </c>
    </row>
    <row r="3895" spans="1:21" ht="14.25" customHeight="1">
      <c r="A3895" s="2" t="s">
        <v>15</v>
      </c>
      <c r="B3895" s="2">
        <v>2006</v>
      </c>
      <c r="C3895" s="2" t="s">
        <v>28</v>
      </c>
      <c r="D3895" s="2">
        <v>134.04599999999999</v>
      </c>
      <c r="E3895" s="2">
        <v>237.76900000000001</v>
      </c>
      <c r="F3895" s="2">
        <v>103.8</v>
      </c>
      <c r="G3895" s="2">
        <v>370.9</v>
      </c>
      <c r="H3895" s="2">
        <v>116.3</v>
      </c>
      <c r="I3895" s="2">
        <v>426.5</v>
      </c>
      <c r="P3895" s="3">
        <f>E3895*(VLOOKUP(B3895,Price_data!A$1:B$190,2,FALSE))</f>
        <v>204.3931083703803</v>
      </c>
      <c r="Q3895" s="3">
        <f>G3895*(VLOOKUP(B3895,Price_data!A$1:B$190,2,FALSE))</f>
        <v>318.83636594582998</v>
      </c>
      <c r="R3895" s="3">
        <f>I3895*(VLOOKUP(B3895,Price_data!A$1:B$190,2,FALSE))</f>
        <v>366.63173382554999</v>
      </c>
      <c r="S3895" s="4" t="str">
        <f>(VLOOKUP(B3895,Price_data!A$1:C$190,3,FALSE))</f>
        <v>EEZ</v>
      </c>
      <c r="T3895" s="2" t="str">
        <f>IF(C3895="Total", (VLOOKUP(B3895,Recommended_fish_intake!A$4:D$122,4,FALSE)), "NA")</f>
        <v>NA</v>
      </c>
      <c r="U3895" s="2">
        <f t="shared" si="385"/>
        <v>37.532879999999999</v>
      </c>
    </row>
    <row r="3896" spans="1:21" ht="14.25" customHeight="1">
      <c r="A3896" s="2" t="s">
        <v>90</v>
      </c>
      <c r="B3896" s="2">
        <v>2006</v>
      </c>
      <c r="C3896" s="2" t="s">
        <v>16</v>
      </c>
      <c r="D3896" s="2">
        <v>95</v>
      </c>
      <c r="E3896" s="2">
        <v>134.6</v>
      </c>
      <c r="P3896" s="3">
        <f>E3896*(VLOOKUP(B3896,Price_data!A$1:B$190,2,FALSE))</f>
        <v>115.70605245701999</v>
      </c>
      <c r="Q3896" s="3">
        <f>G3896*(VLOOKUP(B3896,Price_data!A$1:B$190,2,FALSE))</f>
        <v>0</v>
      </c>
      <c r="R3896" s="3">
        <f>I3896*(VLOOKUP(B3896,Price_data!A$1:B$190,2,FALSE))</f>
        <v>0</v>
      </c>
      <c r="S3896" s="4" t="str">
        <f>(VLOOKUP(B3896,Price_data!A$1:C$190,3,FALSE))</f>
        <v>EEZ</v>
      </c>
      <c r="T3896" s="2">
        <f>IF(C3896="Total", (VLOOKUP(B3896,Recommended_fish_intake!A$4:D$122,4,FALSE)), "NA")</f>
        <v>808.7323871991</v>
      </c>
      <c r="U3896" s="2" t="str">
        <f t="shared" si="385"/>
        <v>NA</v>
      </c>
    </row>
    <row r="3897" spans="1:21" ht="14.25" customHeight="1">
      <c r="A3897" s="2" t="s">
        <v>91</v>
      </c>
      <c r="B3897" s="2">
        <v>2006</v>
      </c>
      <c r="C3897" s="2" t="s">
        <v>16</v>
      </c>
      <c r="D3897" s="2">
        <v>15.074999999999999</v>
      </c>
      <c r="E3897" s="2">
        <v>14.493</v>
      </c>
      <c r="P3897" s="3">
        <f>E3897*(VLOOKUP(B3897,Price_data!A$1:B$190,2,FALSE))</f>
        <v>12.458601918719101</v>
      </c>
      <c r="Q3897" s="3">
        <f>G3897*(VLOOKUP(B3897,Price_data!A$1:B$190,2,FALSE))</f>
        <v>0</v>
      </c>
      <c r="R3897" s="3">
        <f>I3897*(VLOOKUP(B3897,Price_data!A$1:B$190,2,FALSE))</f>
        <v>0</v>
      </c>
      <c r="S3897" s="4" t="str">
        <f>(VLOOKUP(B3897,Price_data!A$1:C$190,3,FALSE))</f>
        <v>EEZ</v>
      </c>
      <c r="T3897" s="2">
        <f>IF(C3897="Total", (VLOOKUP(B3897,Recommended_fish_intake!A$4:D$122,4,FALSE)), "NA")</f>
        <v>808.7323871991</v>
      </c>
      <c r="U3897" s="2" t="str">
        <f t="shared" si="385"/>
        <v>NA</v>
      </c>
    </row>
    <row r="3898" spans="1:21" ht="14.25" customHeight="1">
      <c r="A3898" s="2" t="s">
        <v>39</v>
      </c>
      <c r="B3898" s="2">
        <v>2006</v>
      </c>
      <c r="C3898" s="2" t="s">
        <v>16</v>
      </c>
      <c r="D3898" s="2">
        <v>289.25299999999999</v>
      </c>
      <c r="E3898" s="2">
        <v>323.52499999999998</v>
      </c>
      <c r="P3898" s="3">
        <f>E3898*(VLOOKUP(B3898,Price_data!A$1:B$190,2,FALSE))</f>
        <v>278.11144592241749</v>
      </c>
      <c r="Q3898" s="3">
        <f>G3898*(VLOOKUP(B3898,Price_data!A$1:B$190,2,FALSE))</f>
        <v>0</v>
      </c>
      <c r="R3898" s="3">
        <f>I3898*(VLOOKUP(B3898,Price_data!A$1:B$190,2,FALSE))</f>
        <v>0</v>
      </c>
      <c r="S3898" s="4" t="str">
        <f>(VLOOKUP(B3898,Price_data!A$1:C$190,3,FALSE))</f>
        <v>EEZ</v>
      </c>
      <c r="T3898" s="2">
        <f>IF(C3898="Total", (VLOOKUP(B3898,Recommended_fish_intake!A$4:D$122,4,FALSE)), "NA")</f>
        <v>808.7323871991</v>
      </c>
      <c r="U3898" s="2" t="str">
        <f t="shared" si="385"/>
        <v>NA</v>
      </c>
    </row>
    <row r="3899" spans="1:21" ht="14.25" customHeight="1">
      <c r="A3899" s="2" t="s">
        <v>40</v>
      </c>
      <c r="B3899" s="2">
        <v>2006</v>
      </c>
      <c r="C3899" s="2" t="s">
        <v>16</v>
      </c>
      <c r="D3899" s="2">
        <v>17.678000000000001</v>
      </c>
      <c r="E3899" s="2">
        <v>19.751999999999999</v>
      </c>
      <c r="P3899" s="3">
        <f>E3899*(VLOOKUP(B3899,Price_data!A$1:B$190,2,FALSE))</f>
        <v>16.979390402162398</v>
      </c>
      <c r="Q3899" s="3">
        <f>G3899*(VLOOKUP(B3899,Price_data!A$1:B$190,2,FALSE))</f>
        <v>0</v>
      </c>
      <c r="R3899" s="3">
        <f>I3899*(VLOOKUP(B3899,Price_data!A$1:B$190,2,FALSE))</f>
        <v>0</v>
      </c>
      <c r="S3899" s="4" t="str">
        <f>(VLOOKUP(B3899,Price_data!A$1:C$190,3,FALSE))</f>
        <v>EEZ</v>
      </c>
      <c r="T3899" s="2">
        <f>IF(C3899="Total", (VLOOKUP(B3899,Recommended_fish_intake!A$4:D$122,4,FALSE)), "NA")</f>
        <v>808.7323871991</v>
      </c>
      <c r="U3899" s="2" t="str">
        <f t="shared" si="385"/>
        <v>NA</v>
      </c>
    </row>
    <row r="3900" spans="1:21" ht="14.25" customHeight="1">
      <c r="A3900" s="2" t="s">
        <v>18</v>
      </c>
      <c r="B3900" s="2">
        <v>2006</v>
      </c>
      <c r="C3900" s="2" t="s">
        <v>16</v>
      </c>
      <c r="D3900" s="3">
        <f>D3148+D2908</f>
        <v>7.8659999999999997</v>
      </c>
      <c r="E3900" s="3">
        <f>E3148+E2908</f>
        <v>1.8140000000000001</v>
      </c>
      <c r="P3900" s="3">
        <f>E3900*(VLOOKUP(B3900,Price_data!A$1:B$190,2,FALSE))</f>
        <v>1.5593668585218001</v>
      </c>
      <c r="Q3900" s="3">
        <f>G3900*(VLOOKUP(B3900,Price_data!A$1:B$190,2,FALSE))</f>
        <v>0</v>
      </c>
      <c r="R3900" s="3">
        <f>I3900*(VLOOKUP(B3900,Price_data!A$1:B$190,2,FALSE))</f>
        <v>0</v>
      </c>
      <c r="S3900" s="4" t="str">
        <f>(VLOOKUP(B3900,Price_data!A$1:C$190,3,FALSE))</f>
        <v>EEZ</v>
      </c>
      <c r="T3900" s="2">
        <f>IF(C3900="Total", (VLOOKUP(B3900,Recommended_fish_intake!A$4:D$122,4,FALSE)), "NA")</f>
        <v>808.7323871991</v>
      </c>
      <c r="U3900" s="2" t="str">
        <f t="shared" si="385"/>
        <v>NA</v>
      </c>
    </row>
    <row r="3901" spans="1:21" ht="14.25" customHeight="1">
      <c r="A3901" s="2" t="s">
        <v>15</v>
      </c>
      <c r="B3901" s="2">
        <v>2006</v>
      </c>
      <c r="C3901" s="2" t="s">
        <v>16</v>
      </c>
      <c r="D3901" s="2">
        <v>416.98099999999999</v>
      </c>
      <c r="E3901" s="2">
        <v>492.40899999999999</v>
      </c>
      <c r="F3901" s="2">
        <v>415.6</v>
      </c>
      <c r="G3901" s="2">
        <v>942.2</v>
      </c>
      <c r="H3901" s="2">
        <v>753.3</v>
      </c>
      <c r="I3901" s="6">
        <v>1920.6</v>
      </c>
      <c r="J3901" s="6"/>
      <c r="K3901" s="6"/>
      <c r="P3901" s="3">
        <f>E3901*(VLOOKUP(B3901,Price_data!A$1:B$190,2,FALSE))</f>
        <v>423.28901622814828</v>
      </c>
      <c r="Q3901" s="3">
        <f>G3901*(VLOOKUP(B3901,Price_data!A$1:B$190,2,FALSE))</f>
        <v>809.94236719914011</v>
      </c>
      <c r="R3901" s="3">
        <f>I3901*(VLOOKUP(B3901,Price_data!A$1:B$190,2,FALSE))</f>
        <v>1651.0033012552199</v>
      </c>
      <c r="S3901" s="4" t="str">
        <f>(VLOOKUP(B3901,Price_data!A$1:C$190,3,FALSE))</f>
        <v>EEZ</v>
      </c>
      <c r="T3901" s="2">
        <f>IF(C3901="Total", (VLOOKUP(B3901,Recommended_fish_intake!A$4:D$122,4,FALSE)), "NA")</f>
        <v>808.7323871991</v>
      </c>
      <c r="U3901" s="2" t="str">
        <f t="shared" si="385"/>
        <v>NA</v>
      </c>
    </row>
    <row r="3902" spans="1:21" ht="14.25" customHeight="1">
      <c r="A3902" s="2" t="s">
        <v>15</v>
      </c>
      <c r="B3902" s="2">
        <v>2006</v>
      </c>
      <c r="C3902" s="2" t="s">
        <v>37</v>
      </c>
      <c r="D3902" s="2">
        <f>D3690+D3942</f>
        <v>21.088000000000001</v>
      </c>
      <c r="E3902" s="2">
        <f>E3690+E3942</f>
        <v>39.254000000000005</v>
      </c>
      <c r="F3902" s="3">
        <v>311.7</v>
      </c>
      <c r="G3902" s="3">
        <v>571.20000000000005</v>
      </c>
      <c r="H3902" s="3">
        <v>637</v>
      </c>
      <c r="I3902" s="7">
        <v>1494.2</v>
      </c>
      <c r="J3902" s="6"/>
      <c r="K3902" s="6"/>
      <c r="P3902" s="3">
        <f>E3902*(VLOOKUP(B3902,Price_data!A$1:B$190,2,FALSE))</f>
        <v>33.743873574649804</v>
      </c>
      <c r="Q3902" s="3">
        <f>G3902*(VLOOKUP(B3902,Price_data!A$1:B$190,2,FALSE))</f>
        <v>491.02003836144007</v>
      </c>
      <c r="R3902" s="3">
        <f>I3902*(VLOOKUP(B3902,Price_data!A$1:B$190,2,FALSE))</f>
        <v>1284.4575303215402</v>
      </c>
      <c r="S3902" s="4" t="str">
        <f>(VLOOKUP(B3902,Price_data!A$1:C$190,3,FALSE))</f>
        <v>EEZ</v>
      </c>
      <c r="T3902" s="2" t="str">
        <f>IF(C3902="Total", (VLOOKUP(B3902,Recommended_fish_intake!A$4:D$122,4,FALSE)), "NA")</f>
        <v>NA</v>
      </c>
      <c r="U3902" s="2">
        <f t="shared" si="385"/>
        <v>10.333120000000001</v>
      </c>
    </row>
    <row r="3903" spans="1:21" ht="14.25" customHeight="1">
      <c r="A3903" s="2" t="s">
        <v>15</v>
      </c>
      <c r="B3903" s="2">
        <v>2006</v>
      </c>
      <c r="C3903" s="2" t="s">
        <v>41</v>
      </c>
      <c r="D3903" s="2">
        <v>119.39400000000001</v>
      </c>
      <c r="E3903" s="2">
        <v>181</v>
      </c>
      <c r="F3903" s="2" t="s">
        <v>92</v>
      </c>
      <c r="G3903" s="2" t="s">
        <v>92</v>
      </c>
      <c r="H3903" s="2" t="s">
        <v>92</v>
      </c>
      <c r="I3903" s="2" t="s">
        <v>92</v>
      </c>
      <c r="P3903" s="3">
        <f>E3903*(VLOOKUP(B3903,Price_data!A$1:B$190,2,FALSE))</f>
        <v>155.59283428470002</v>
      </c>
      <c r="Q3903" s="3" t="e">
        <f>G3903*(VLOOKUP(B3903,Price_data!A$1:B$190,2,FALSE))</f>
        <v>#VALUE!</v>
      </c>
      <c r="R3903" s="3" t="e">
        <f>I3903*(VLOOKUP(B3903,Price_data!A$1:B$190,2,FALSE))</f>
        <v>#VALUE!</v>
      </c>
      <c r="S3903" s="4" t="str">
        <f>(VLOOKUP(B3903,Price_data!A$1:C$190,3,FALSE))</f>
        <v>EEZ</v>
      </c>
      <c r="T3903" s="2" t="str">
        <f>IF(C3903="Total", (VLOOKUP(B3903,Recommended_fish_intake!A$4:D$122,4,FALSE)), "NA")</f>
        <v>NA</v>
      </c>
      <c r="U3903" s="2" t="str">
        <f t="shared" si="385"/>
        <v>NA</v>
      </c>
    </row>
    <row r="3904" spans="1:21" ht="14.25" customHeight="1">
      <c r="A3904" s="2" t="s">
        <v>15</v>
      </c>
      <c r="B3904" s="2">
        <v>2006</v>
      </c>
      <c r="C3904" s="2" t="s">
        <v>22</v>
      </c>
      <c r="D3904" s="2">
        <v>12.851000000000001</v>
      </c>
      <c r="E3904" s="2">
        <v>20.742000000000001</v>
      </c>
      <c r="F3904" s="2">
        <v>25.3</v>
      </c>
      <c r="G3904" s="2">
        <v>59.5</v>
      </c>
      <c r="H3904" s="2">
        <v>136</v>
      </c>
      <c r="I3904" s="2">
        <v>444</v>
      </c>
      <c r="P3904" s="3">
        <f>E3904*(VLOOKUP(B3904,Price_data!A$1:B$190,2,FALSE))</f>
        <v>17.830423031675402</v>
      </c>
      <c r="Q3904" s="3">
        <f>G3904*(VLOOKUP(B3904,Price_data!A$1:B$190,2,FALSE))</f>
        <v>51.147920662650002</v>
      </c>
      <c r="R3904" s="3">
        <f>I3904*(VLOOKUP(B3904,Price_data!A$1:B$190,2,FALSE))</f>
        <v>381.6752399028</v>
      </c>
      <c r="S3904" s="4" t="str">
        <f>(VLOOKUP(B3904,Price_data!A$1:C$190,3,FALSE))</f>
        <v>EEZ</v>
      </c>
      <c r="T3904" s="2" t="str">
        <f>IF(C3904="Total", (VLOOKUP(B3904,Recommended_fish_intake!A$4:D$122,4,FALSE)), "NA")</f>
        <v>NA</v>
      </c>
      <c r="U3904" s="2" t="str">
        <f t="shared" si="385"/>
        <v>NA</v>
      </c>
    </row>
    <row r="3905" spans="1:21" ht="14.25" customHeight="1">
      <c r="A3905" s="2" t="s">
        <v>15</v>
      </c>
      <c r="B3905" s="2">
        <v>2006</v>
      </c>
      <c r="C3905" s="2" t="s">
        <v>20</v>
      </c>
      <c r="D3905" s="2">
        <v>70.400000000000006</v>
      </c>
      <c r="E3905" s="2">
        <v>54.911000000000001</v>
      </c>
      <c r="F3905" s="2">
        <v>74.599999999999994</v>
      </c>
      <c r="G3905" s="2">
        <v>83.4</v>
      </c>
      <c r="H3905" s="2">
        <v>32.6</v>
      </c>
      <c r="I3905" s="2">
        <v>40.9</v>
      </c>
      <c r="P3905" s="3">
        <f>E3905*(VLOOKUP(B3905,Price_data!A$1:B$190,2,FALSE))</f>
        <v>47.203083554735706</v>
      </c>
      <c r="Q3905" s="3">
        <f>G3905*(VLOOKUP(B3905,Price_data!A$1:B$190,2,FALSE))</f>
        <v>71.693051819580006</v>
      </c>
      <c r="R3905" s="3">
        <f>I3905*(VLOOKUP(B3905,Price_data!A$1:B$190,2,FALSE))</f>
        <v>35.15882277483</v>
      </c>
      <c r="S3905" s="4" t="str">
        <f>(VLOOKUP(B3905,Price_data!A$1:C$190,3,FALSE))</f>
        <v>EEZ</v>
      </c>
      <c r="T3905" s="2" t="str">
        <f>IF(C3905="Total", (VLOOKUP(B3905,Recommended_fish_intake!A$4:D$122,4,FALSE)), "NA")</f>
        <v>NA</v>
      </c>
      <c r="U3905" s="2" t="str">
        <f t="shared" si="385"/>
        <v>NA</v>
      </c>
    </row>
    <row r="3906" spans="1:21" ht="14.25" customHeight="1">
      <c r="A3906" s="2" t="s">
        <v>15</v>
      </c>
      <c r="B3906" s="2">
        <v>2006</v>
      </c>
      <c r="C3906" s="2" t="s">
        <v>19</v>
      </c>
      <c r="D3906" s="2">
        <v>62.12</v>
      </c>
      <c r="E3906" s="2">
        <v>14.539</v>
      </c>
      <c r="F3906" s="2">
        <v>57.6</v>
      </c>
      <c r="G3906" s="2">
        <v>24.2</v>
      </c>
      <c r="H3906" s="2">
        <v>19</v>
      </c>
      <c r="I3906" s="2">
        <v>10.3</v>
      </c>
      <c r="P3906" s="3">
        <f>E3906*(VLOOKUP(B3906,Price_data!A$1:B$190,2,FALSE))</f>
        <v>12.498144848979299</v>
      </c>
      <c r="Q3906" s="3">
        <f>G3906*(VLOOKUP(B3906,Price_data!A$1:B$190,2,FALSE))</f>
        <v>20.803019832539999</v>
      </c>
      <c r="R3906" s="3">
        <f>I3906*(VLOOKUP(B3906,Price_data!A$1:B$190,2,FALSE))</f>
        <v>8.8541778626100012</v>
      </c>
      <c r="S3906" s="4" t="str">
        <f>(VLOOKUP(B3906,Price_data!A$1:C$190,3,FALSE))</f>
        <v>EEZ</v>
      </c>
      <c r="T3906" s="2" t="str">
        <f>IF(C3906="Total", (VLOOKUP(B3906,Recommended_fish_intake!A$4:D$122,4,FALSE)), "NA")</f>
        <v>NA</v>
      </c>
      <c r="U3906" s="2" t="str">
        <f t="shared" ref="U3906:U3969" si="387">IF(C3906="Wet fish", D3906*0.49, IF(C3906="Shellfish", D3906*0.28, "NA"))</f>
        <v>NA</v>
      </c>
    </row>
    <row r="3907" spans="1:21" ht="14.25" customHeight="1">
      <c r="A3907" s="2" t="s">
        <v>15</v>
      </c>
      <c r="B3907" s="2">
        <v>2006</v>
      </c>
      <c r="C3907" s="2" t="s">
        <v>24</v>
      </c>
      <c r="D3907" s="2">
        <v>12.250999999999999</v>
      </c>
      <c r="E3907" s="2">
        <v>9.6820000000000004</v>
      </c>
      <c r="F3907" s="2">
        <v>1.5</v>
      </c>
      <c r="G3907" s="2">
        <v>3.4</v>
      </c>
      <c r="H3907" s="2">
        <v>1.7</v>
      </c>
      <c r="I3907" s="2">
        <v>2.6</v>
      </c>
      <c r="P3907" s="3">
        <f>E3907*(VLOOKUP(B3907,Price_data!A$1:B$190,2,FALSE))</f>
        <v>8.3229271908534006</v>
      </c>
      <c r="Q3907" s="3">
        <f>G3907*(VLOOKUP(B3907,Price_data!A$1:B$190,2,FALSE))</f>
        <v>2.92273832358</v>
      </c>
      <c r="R3907" s="3">
        <f>I3907*(VLOOKUP(B3907,Price_data!A$1:B$190,2,FALSE))</f>
        <v>2.2350351886199999</v>
      </c>
      <c r="S3907" s="4" t="str">
        <f>(VLOOKUP(B3907,Price_data!A$1:C$190,3,FALSE))</f>
        <v>EEZ</v>
      </c>
      <c r="T3907" s="2" t="str">
        <f>IF(C3907="Total", (VLOOKUP(B3907,Recommended_fish_intake!A$4:D$122,4,FALSE)), "NA")</f>
        <v>NA</v>
      </c>
      <c r="U3907" s="2" t="str">
        <f t="shared" si="387"/>
        <v>NA</v>
      </c>
    </row>
    <row r="3908" spans="1:21" ht="14.25" customHeight="1">
      <c r="A3908" s="2" t="s">
        <v>15</v>
      </c>
      <c r="B3908" s="2">
        <v>2006</v>
      </c>
      <c r="C3908" s="2" t="s">
        <v>58</v>
      </c>
      <c r="D3908" s="2">
        <v>12.209</v>
      </c>
      <c r="E3908" s="2">
        <v>31.859000000000002</v>
      </c>
      <c r="F3908" s="2">
        <v>3.8</v>
      </c>
      <c r="G3908" s="2">
        <v>25</v>
      </c>
      <c r="H3908" s="2">
        <v>3.5</v>
      </c>
      <c r="I3908" s="2">
        <v>11.7</v>
      </c>
      <c r="P3908" s="3">
        <f>E3908*(VLOOKUP(B3908,Price_data!A$1:B$190,2,FALSE))</f>
        <v>27.386917720863302</v>
      </c>
      <c r="Q3908" s="3">
        <f>G3908*(VLOOKUP(B3908,Price_data!A$1:B$190,2,FALSE))</f>
        <v>21.490722967500002</v>
      </c>
      <c r="R3908" s="3">
        <f>I3908*(VLOOKUP(B3908,Price_data!A$1:B$190,2,FALSE))</f>
        <v>10.05765834879</v>
      </c>
      <c r="S3908" s="4" t="str">
        <f>(VLOOKUP(B3908,Price_data!A$1:C$190,3,FALSE))</f>
        <v>EEZ</v>
      </c>
      <c r="T3908" s="2" t="str">
        <f>IF(C3908="Total", (VLOOKUP(B3908,Recommended_fish_intake!A$4:D$122,4,FALSE)), "NA")</f>
        <v>NA</v>
      </c>
      <c r="U3908" s="2" t="str">
        <f t="shared" si="387"/>
        <v>NA</v>
      </c>
    </row>
    <row r="3909" spans="1:21" ht="14.25" customHeight="1">
      <c r="A3909" s="2" t="s">
        <v>15</v>
      </c>
      <c r="B3909" s="2">
        <v>2006</v>
      </c>
      <c r="C3909" s="2" t="s">
        <v>23</v>
      </c>
      <c r="D3909" s="2">
        <v>38.872</v>
      </c>
      <c r="E3909" s="2">
        <v>45.298999999999999</v>
      </c>
      <c r="F3909" s="2">
        <v>5.4</v>
      </c>
      <c r="G3909" s="2">
        <v>10.6</v>
      </c>
      <c r="H3909" s="2">
        <v>65.599999999999994</v>
      </c>
      <c r="I3909" s="2">
        <v>156.30000000000001</v>
      </c>
      <c r="P3909" s="3">
        <f>E3909*(VLOOKUP(B3909,Price_data!A$1:B$190,2,FALSE))</f>
        <v>38.940330388191299</v>
      </c>
      <c r="Q3909" s="3">
        <f>G3909*(VLOOKUP(B3909,Price_data!A$1:B$190,2,FALSE))</f>
        <v>9.1120665382200006</v>
      </c>
      <c r="R3909" s="3">
        <f>I3909*(VLOOKUP(B3909,Price_data!A$1:B$190,2,FALSE))</f>
        <v>134.35999999281</v>
      </c>
      <c r="S3909" s="4" t="str">
        <f>(VLOOKUP(B3909,Price_data!A$1:C$190,3,FALSE))</f>
        <v>EEZ</v>
      </c>
      <c r="T3909" s="2" t="str">
        <f>IF(C3909="Total", (VLOOKUP(B3909,Recommended_fish_intake!A$4:D$122,4,FALSE)), "NA")</f>
        <v>NA</v>
      </c>
      <c r="U3909" s="2" t="str">
        <f t="shared" si="387"/>
        <v>NA</v>
      </c>
    </row>
    <row r="3910" spans="1:21" ht="14.25" customHeight="1">
      <c r="A3910" s="2" t="s">
        <v>15</v>
      </c>
      <c r="B3910" s="2">
        <v>2006</v>
      </c>
      <c r="C3910" s="2" t="s">
        <v>93</v>
      </c>
      <c r="D3910" s="2">
        <v>1.6</v>
      </c>
      <c r="E3910" s="2">
        <v>0.6</v>
      </c>
      <c r="F3910" s="2">
        <v>11</v>
      </c>
      <c r="G3910" s="2">
        <v>7</v>
      </c>
      <c r="H3910" s="2">
        <v>15.5</v>
      </c>
      <c r="I3910" s="2">
        <v>26.6</v>
      </c>
      <c r="P3910" s="3">
        <f>E3910*(VLOOKUP(B3910,Price_data!A$1:B$190,2,FALSE))</f>
        <v>0.51577735122000001</v>
      </c>
      <c r="Q3910" s="3">
        <f>G3910*(VLOOKUP(B3910,Price_data!A$1:B$190,2,FALSE))</f>
        <v>6.0174024308999998</v>
      </c>
      <c r="R3910" s="3">
        <f>I3910*(VLOOKUP(B3910,Price_data!A$1:B$190,2,FALSE))</f>
        <v>22.866129237420001</v>
      </c>
      <c r="S3910" s="4" t="str">
        <f>(VLOOKUP(B3910,Price_data!A$1:C$190,3,FALSE))</f>
        <v>EEZ</v>
      </c>
      <c r="T3910" s="2" t="str">
        <f>IF(C3910="Total", (VLOOKUP(B3910,Recommended_fish_intake!A$4:D$122,4,FALSE)), "NA")</f>
        <v>NA</v>
      </c>
      <c r="U3910" s="2" t="str">
        <f t="shared" si="387"/>
        <v>NA</v>
      </c>
    </row>
    <row r="3911" spans="1:21" ht="14.25" customHeight="1">
      <c r="A3911" s="2" t="s">
        <v>15</v>
      </c>
      <c r="B3911" s="2">
        <v>2006</v>
      </c>
      <c r="C3911" s="2" t="s">
        <v>43</v>
      </c>
      <c r="D3911" s="2" t="s">
        <v>17</v>
      </c>
      <c r="E3911" s="2" t="s">
        <v>17</v>
      </c>
      <c r="F3911" s="2">
        <v>2</v>
      </c>
      <c r="G3911" s="2">
        <v>5.3</v>
      </c>
      <c r="H3911" s="2">
        <v>101.4</v>
      </c>
      <c r="I3911" s="2">
        <v>158.19999999999999</v>
      </c>
      <c r="P3911" s="3" t="e">
        <f>E3911*(VLOOKUP(B3911,Price_data!A$1:B$190,2,FALSE))</f>
        <v>#VALUE!</v>
      </c>
      <c r="Q3911" s="3">
        <f>G3911*(VLOOKUP(B3911,Price_data!A$1:B$190,2,FALSE))</f>
        <v>4.5560332691100003</v>
      </c>
      <c r="R3911" s="3">
        <f>I3911*(VLOOKUP(B3911,Price_data!A$1:B$190,2,FALSE))</f>
        <v>135.99329493834</v>
      </c>
      <c r="S3911" s="4" t="str">
        <f>(VLOOKUP(B3911,Price_data!A$1:C$190,3,FALSE))</f>
        <v>EEZ</v>
      </c>
      <c r="T3911" s="2" t="str">
        <f>IF(C3911="Total", (VLOOKUP(B3911,Recommended_fish_intake!A$4:D$122,4,FALSE)), "NA")</f>
        <v>NA</v>
      </c>
      <c r="U3911" s="2" t="str">
        <f t="shared" si="387"/>
        <v>NA</v>
      </c>
    </row>
    <row r="3912" spans="1:21" ht="14.25" customHeight="1">
      <c r="A3912" s="2" t="s">
        <v>15</v>
      </c>
      <c r="B3912" s="2">
        <v>2006</v>
      </c>
      <c r="C3912" s="2" t="s">
        <v>60</v>
      </c>
      <c r="D3912" s="2">
        <v>1.8</v>
      </c>
      <c r="E3912" s="2">
        <v>2.7</v>
      </c>
      <c r="F3912" s="2" t="s">
        <v>17</v>
      </c>
      <c r="G3912" s="2" t="s">
        <v>17</v>
      </c>
      <c r="H3912" s="2" t="s">
        <v>17</v>
      </c>
      <c r="I3912" s="2" t="s">
        <v>17</v>
      </c>
      <c r="P3912" s="3">
        <f>E3912*(VLOOKUP(B3912,Price_data!A$1:B$190,2,FALSE))</f>
        <v>2.3209980804900003</v>
      </c>
      <c r="Q3912" s="3" t="e">
        <f>G3912*(VLOOKUP(B3912,Price_data!A$1:B$190,2,FALSE))</f>
        <v>#VALUE!</v>
      </c>
      <c r="R3912" s="3" t="e">
        <f>I3912*(VLOOKUP(B3912,Price_data!A$1:B$190,2,FALSE))</f>
        <v>#VALUE!</v>
      </c>
      <c r="S3912" s="4" t="str">
        <f>(VLOOKUP(B3912,Price_data!A$1:C$190,3,FALSE))</f>
        <v>EEZ</v>
      </c>
      <c r="T3912" s="2" t="str">
        <f>IF(C3912="Total", (VLOOKUP(B3912,Recommended_fish_intake!A$4:D$122,4,FALSE)), "NA")</f>
        <v>NA</v>
      </c>
      <c r="U3912" s="2" t="str">
        <f t="shared" si="387"/>
        <v>NA</v>
      </c>
    </row>
    <row r="3913" spans="1:21" ht="14.25" customHeight="1">
      <c r="A3913" s="2" t="s">
        <v>15</v>
      </c>
      <c r="B3913" s="2">
        <v>2006</v>
      </c>
      <c r="C3913" s="2" t="s">
        <v>29</v>
      </c>
      <c r="D3913" s="2" t="s">
        <v>17</v>
      </c>
      <c r="E3913" s="2" t="s">
        <v>17</v>
      </c>
      <c r="F3913" s="2">
        <v>54.8</v>
      </c>
      <c r="G3913" s="2">
        <v>202.7</v>
      </c>
      <c r="H3913" s="2">
        <v>65.599999999999994</v>
      </c>
      <c r="I3913" s="2">
        <v>205.1</v>
      </c>
      <c r="P3913" s="3" t="e">
        <f>E3913*(VLOOKUP(B3913,Price_data!A$1:B$190,2,FALSE))</f>
        <v>#VALUE!</v>
      </c>
      <c r="Q3913" s="3">
        <f>G3913*(VLOOKUP(B3913,Price_data!A$1:B$190,2,FALSE))</f>
        <v>174.24678182048999</v>
      </c>
      <c r="R3913" s="3">
        <f>I3913*(VLOOKUP(B3913,Price_data!A$1:B$190,2,FALSE))</f>
        <v>176.30989122537</v>
      </c>
      <c r="S3913" s="4" t="str">
        <f>(VLOOKUP(B3913,Price_data!A$1:C$190,3,FALSE))</f>
        <v>EEZ</v>
      </c>
      <c r="T3913" s="2" t="str">
        <f>IF(C3913="Total", (VLOOKUP(B3913,Recommended_fish_intake!A$4:D$122,4,FALSE)), "NA")</f>
        <v>NA</v>
      </c>
      <c r="U3913" s="2" t="str">
        <f t="shared" si="387"/>
        <v>NA</v>
      </c>
    </row>
    <row r="3914" spans="1:21" ht="14.25" customHeight="1">
      <c r="A3914" s="2" t="s">
        <v>15</v>
      </c>
      <c r="B3914" s="2">
        <v>2006</v>
      </c>
      <c r="C3914" s="2" t="s">
        <v>25</v>
      </c>
      <c r="D3914" s="2">
        <v>3.5</v>
      </c>
      <c r="E3914" s="2">
        <v>4.0999999999999996</v>
      </c>
      <c r="F3914" s="4">
        <v>1</v>
      </c>
      <c r="G3914" s="4">
        <v>1.4</v>
      </c>
      <c r="H3914" s="4">
        <v>7.3</v>
      </c>
      <c r="I3914" s="4">
        <v>24.9</v>
      </c>
      <c r="P3914" s="3">
        <f>E3914*(VLOOKUP(B3914,Price_data!A$1:B$190,2,FALSE))</f>
        <v>3.5244785666699996</v>
      </c>
      <c r="Q3914" s="3">
        <f>G3914*(VLOOKUP(B3914,Price_data!A$1:B$190,2,FALSE))</f>
        <v>1.2034804861799999</v>
      </c>
      <c r="R3914" s="3">
        <f>I3914*(VLOOKUP(B3914,Price_data!A$1:B$190,2,FALSE))</f>
        <v>21.404760075629998</v>
      </c>
      <c r="S3914" s="4" t="str">
        <f>(VLOOKUP(B3914,Price_data!A$1:C$190,3,FALSE))</f>
        <v>EEZ</v>
      </c>
      <c r="T3914" s="2" t="str">
        <f>IF(C3914="Total", (VLOOKUP(B3914,Recommended_fish_intake!A$4:D$122,4,FALSE)), "NA")</f>
        <v>NA</v>
      </c>
      <c r="U3914" s="2" t="str">
        <f t="shared" si="387"/>
        <v>NA</v>
      </c>
    </row>
    <row r="3915" spans="1:21" ht="14.25" customHeight="1">
      <c r="A3915" s="2" t="s">
        <v>90</v>
      </c>
      <c r="B3915" s="2">
        <v>2007</v>
      </c>
      <c r="C3915" s="2" t="s">
        <v>22</v>
      </c>
      <c r="D3915" s="2">
        <v>5.2</v>
      </c>
      <c r="E3915" s="2">
        <v>6.1</v>
      </c>
      <c r="P3915" s="3">
        <f>E3915*(VLOOKUP(B3915,Price_data!A$1:B$190,2,FALSE))</f>
        <v>5.0281963188500001</v>
      </c>
      <c r="Q3915" s="3">
        <f>G3915*(VLOOKUP(B3915,Price_data!A$1:B$190,2,FALSE))</f>
        <v>0</v>
      </c>
      <c r="R3915" s="3">
        <f>I3915*(VLOOKUP(B3915,Price_data!A$1:B$190,2,FALSE))</f>
        <v>0</v>
      </c>
      <c r="S3915" s="4" t="str">
        <f>(VLOOKUP(B3915,Price_data!A$1:C$190,3,FALSE))</f>
        <v>EEZ</v>
      </c>
      <c r="T3915" s="2" t="str">
        <f>IF(C3915="Total", (VLOOKUP(B3915,Recommended_fish_intake!A$4:D$122,4,FALSE)), "NA")</f>
        <v>NA</v>
      </c>
      <c r="U3915" s="2" t="str">
        <f t="shared" si="387"/>
        <v>NA</v>
      </c>
    </row>
    <row r="3916" spans="1:21" ht="14.25" customHeight="1">
      <c r="A3916" s="2" t="s">
        <v>90</v>
      </c>
      <c r="B3916" s="2">
        <v>2007</v>
      </c>
      <c r="C3916" s="2" t="s">
        <v>23</v>
      </c>
      <c r="D3916" s="2">
        <v>2.2999999999999998</v>
      </c>
      <c r="E3916" s="2">
        <v>1.8</v>
      </c>
      <c r="P3916" s="3">
        <f>E3916*(VLOOKUP(B3916,Price_data!A$1:B$190,2,FALSE))</f>
        <v>1.4837300613000002</v>
      </c>
      <c r="Q3916" s="3">
        <f>G3916*(VLOOKUP(B3916,Price_data!A$1:B$190,2,FALSE))</f>
        <v>0</v>
      </c>
      <c r="R3916" s="3">
        <f>I3916*(VLOOKUP(B3916,Price_data!A$1:B$190,2,FALSE))</f>
        <v>0</v>
      </c>
      <c r="S3916" s="4" t="str">
        <f>(VLOOKUP(B3916,Price_data!A$1:C$190,3,FALSE))</f>
        <v>EEZ</v>
      </c>
      <c r="T3916" s="2" t="str">
        <f>IF(C3916="Total", (VLOOKUP(B3916,Recommended_fish_intake!A$4:D$122,4,FALSE)), "NA")</f>
        <v>NA</v>
      </c>
      <c r="U3916" s="2" t="str">
        <f t="shared" si="387"/>
        <v>NA</v>
      </c>
    </row>
    <row r="3917" spans="1:21" ht="14.25" customHeight="1">
      <c r="A3917" s="2" t="s">
        <v>90</v>
      </c>
      <c r="B3917" s="2">
        <v>2007</v>
      </c>
      <c r="C3917" s="2" t="s">
        <v>58</v>
      </c>
      <c r="D3917" s="2">
        <v>2.9</v>
      </c>
      <c r="E3917" s="2">
        <v>6.9</v>
      </c>
      <c r="P3917" s="3">
        <f>E3917*(VLOOKUP(B3917,Price_data!A$1:B$190,2,FALSE))</f>
        <v>5.6876319016500005</v>
      </c>
      <c r="Q3917" s="3">
        <f>G3917*(VLOOKUP(B3917,Price_data!A$1:B$190,2,FALSE))</f>
        <v>0</v>
      </c>
      <c r="R3917" s="3">
        <f>I3917*(VLOOKUP(B3917,Price_data!A$1:B$190,2,FALSE))</f>
        <v>0</v>
      </c>
      <c r="S3917" s="4" t="str">
        <f>(VLOOKUP(B3917,Price_data!A$1:C$190,3,FALSE))</f>
        <v>EEZ</v>
      </c>
      <c r="T3917" s="2" t="str">
        <f>IF(C3917="Total", (VLOOKUP(B3917,Recommended_fish_intake!A$4:D$122,4,FALSE)), "NA")</f>
        <v>NA</v>
      </c>
      <c r="U3917" s="2" t="str">
        <f t="shared" si="387"/>
        <v>NA</v>
      </c>
    </row>
    <row r="3918" spans="1:21" ht="14.25" customHeight="1">
      <c r="A3918" s="2" t="s">
        <v>90</v>
      </c>
      <c r="B3918" s="2">
        <v>2007</v>
      </c>
      <c r="C3918" s="2" t="s">
        <v>24</v>
      </c>
      <c r="D3918" s="2">
        <v>3.7</v>
      </c>
      <c r="E3918" s="2">
        <v>2.5</v>
      </c>
      <c r="P3918" s="3">
        <f>E3918*(VLOOKUP(B3918,Price_data!A$1:B$190,2,FALSE))</f>
        <v>2.0607361962500002</v>
      </c>
      <c r="Q3918" s="3">
        <f>G3918*(VLOOKUP(B3918,Price_data!A$1:B$190,2,FALSE))</f>
        <v>0</v>
      </c>
      <c r="R3918" s="3">
        <f>I3918*(VLOOKUP(B3918,Price_data!A$1:B$190,2,FALSE))</f>
        <v>0</v>
      </c>
      <c r="S3918" s="4" t="str">
        <f>(VLOOKUP(B3918,Price_data!A$1:C$190,3,FALSE))</f>
        <v>EEZ</v>
      </c>
      <c r="T3918" s="2" t="str">
        <f>IF(C3918="Total", (VLOOKUP(B3918,Recommended_fish_intake!A$4:D$122,4,FALSE)), "NA")</f>
        <v>NA</v>
      </c>
      <c r="U3918" s="2" t="str">
        <f t="shared" si="387"/>
        <v>NA</v>
      </c>
    </row>
    <row r="3919" spans="1:21" ht="14.25" customHeight="1">
      <c r="A3919" s="2" t="s">
        <v>90</v>
      </c>
      <c r="B3919" s="2">
        <v>2007</v>
      </c>
      <c r="C3919" s="2" t="s">
        <v>41</v>
      </c>
      <c r="D3919" s="2">
        <v>29.4</v>
      </c>
      <c r="E3919" s="2">
        <v>58.7</v>
      </c>
      <c r="P3919" s="3">
        <f>E3919*(VLOOKUP(B3919,Price_data!A$1:B$190,2,FALSE))</f>
        <v>48.386085887950003</v>
      </c>
      <c r="Q3919" s="3">
        <f>G3919*(VLOOKUP(B3919,Price_data!A$1:B$190,2,FALSE))</f>
        <v>0</v>
      </c>
      <c r="R3919" s="3">
        <f>I3919*(VLOOKUP(B3919,Price_data!A$1:B$190,2,FALSE))</f>
        <v>0</v>
      </c>
      <c r="S3919" s="4" t="str">
        <f>(VLOOKUP(B3919,Price_data!A$1:C$190,3,FALSE))</f>
        <v>EEZ</v>
      </c>
      <c r="T3919" s="2" t="str">
        <f>IF(C3919="Total", (VLOOKUP(B3919,Recommended_fish_intake!A$4:D$122,4,FALSE)), "NA")</f>
        <v>NA</v>
      </c>
      <c r="U3919" s="2" t="str">
        <f t="shared" si="387"/>
        <v>NA</v>
      </c>
    </row>
    <row r="3920" spans="1:21" ht="14.25" customHeight="1">
      <c r="A3920" s="2" t="s">
        <v>90</v>
      </c>
      <c r="B3920" s="2">
        <v>2007</v>
      </c>
      <c r="C3920" s="2" t="s">
        <v>19</v>
      </c>
      <c r="D3920" s="2">
        <v>0.5</v>
      </c>
      <c r="E3920" s="2">
        <v>0.2</v>
      </c>
      <c r="P3920" s="3">
        <f>E3920*(VLOOKUP(B3920,Price_data!A$1:B$190,2,FALSE))</f>
        <v>0.16485889570000001</v>
      </c>
      <c r="Q3920" s="3">
        <f>G3920*(VLOOKUP(B3920,Price_data!A$1:B$190,2,FALSE))</f>
        <v>0</v>
      </c>
      <c r="R3920" s="3">
        <f>I3920*(VLOOKUP(B3920,Price_data!A$1:B$190,2,FALSE))</f>
        <v>0</v>
      </c>
      <c r="S3920" s="4" t="str">
        <f>(VLOOKUP(B3920,Price_data!A$1:C$190,3,FALSE))</f>
        <v>EEZ</v>
      </c>
      <c r="T3920" s="2" t="str">
        <f>IF(C3920="Total", (VLOOKUP(B3920,Recommended_fish_intake!A$4:D$122,4,FALSE)), "NA")</f>
        <v>NA</v>
      </c>
      <c r="U3920" s="2" t="str">
        <f t="shared" si="387"/>
        <v>NA</v>
      </c>
    </row>
    <row r="3921" spans="1:21" ht="14.25" customHeight="1">
      <c r="A3921" s="2" t="s">
        <v>90</v>
      </c>
      <c r="B3921" s="2">
        <v>2007</v>
      </c>
      <c r="C3921" s="2" t="s">
        <v>20</v>
      </c>
      <c r="D3921" s="2">
        <v>2.9</v>
      </c>
      <c r="E3921" s="2">
        <v>2.2000000000000002</v>
      </c>
      <c r="P3921" s="3">
        <f>E3921*(VLOOKUP(B3921,Price_data!A$1:B$190,2,FALSE))</f>
        <v>1.8134478527000002</v>
      </c>
      <c r="Q3921" s="3">
        <f>G3921*(VLOOKUP(B3921,Price_data!A$1:B$190,2,FALSE))</f>
        <v>0</v>
      </c>
      <c r="R3921" s="3">
        <f>I3921*(VLOOKUP(B3921,Price_data!A$1:B$190,2,FALSE))</f>
        <v>0</v>
      </c>
      <c r="S3921" s="4" t="str">
        <f>(VLOOKUP(B3921,Price_data!A$1:C$190,3,FALSE))</f>
        <v>EEZ</v>
      </c>
      <c r="T3921" s="2" t="str">
        <f>IF(C3921="Total", (VLOOKUP(B3921,Recommended_fish_intake!A$4:D$122,4,FALSE)), "NA")</f>
        <v>NA</v>
      </c>
      <c r="U3921" s="2" t="str">
        <f t="shared" si="387"/>
        <v>NA</v>
      </c>
    </row>
    <row r="3922" spans="1:21" ht="14.25" customHeight="1">
      <c r="A3922" s="2" t="s">
        <v>90</v>
      </c>
      <c r="B3922" s="2">
        <v>2007</v>
      </c>
      <c r="C3922" s="2" t="s">
        <v>42</v>
      </c>
      <c r="D3922" s="2">
        <v>14.5</v>
      </c>
      <c r="E3922" s="2">
        <v>6.6</v>
      </c>
      <c r="P3922" s="3">
        <f>E3922*(VLOOKUP(B3922,Price_data!A$1:B$190,2,FALSE))</f>
        <v>5.4403435581000004</v>
      </c>
      <c r="Q3922" s="3">
        <f>G3922*(VLOOKUP(B3922,Price_data!A$1:B$190,2,FALSE))</f>
        <v>0</v>
      </c>
      <c r="R3922" s="3">
        <f>I3922*(VLOOKUP(B3922,Price_data!A$1:B$190,2,FALSE))</f>
        <v>0</v>
      </c>
      <c r="S3922" s="4" t="str">
        <f>(VLOOKUP(B3922,Price_data!A$1:C$190,3,FALSE))</f>
        <v>EEZ</v>
      </c>
      <c r="T3922" s="2" t="str">
        <f>IF(C3922="Total", (VLOOKUP(B3922,Recommended_fish_intake!A$4:D$122,4,FALSE)), "NA")</f>
        <v>NA</v>
      </c>
      <c r="U3922" s="2" t="str">
        <f t="shared" si="387"/>
        <v>NA</v>
      </c>
    </row>
    <row r="3923" spans="1:21" ht="14.25" customHeight="1">
      <c r="A3923" s="2" t="s">
        <v>90</v>
      </c>
      <c r="B3923" s="2">
        <v>2007</v>
      </c>
      <c r="C3923" s="2" t="s">
        <v>36</v>
      </c>
      <c r="D3923" s="2">
        <v>11.6</v>
      </c>
      <c r="E3923" s="2">
        <v>15.3</v>
      </c>
      <c r="P3923" s="3">
        <f>E3923*(VLOOKUP(B3923,Price_data!A$1:B$190,2,FALSE))</f>
        <v>12.611705521050002</v>
      </c>
      <c r="Q3923" s="3">
        <f>G3923*(VLOOKUP(B3923,Price_data!A$1:B$190,2,FALSE))</f>
        <v>0</v>
      </c>
      <c r="R3923" s="3">
        <f>I3923*(VLOOKUP(B3923,Price_data!A$1:B$190,2,FALSE))</f>
        <v>0</v>
      </c>
      <c r="S3923" s="4" t="str">
        <f>(VLOOKUP(B3923,Price_data!A$1:C$190,3,FALSE))</f>
        <v>EEZ</v>
      </c>
      <c r="T3923" s="2" t="str">
        <f>IF(C3923="Total", (VLOOKUP(B3923,Recommended_fish_intake!A$4:D$122,4,FALSE)), "NA")</f>
        <v>NA</v>
      </c>
      <c r="U3923" s="2" t="str">
        <f t="shared" si="387"/>
        <v>NA</v>
      </c>
    </row>
    <row r="3924" spans="1:21" ht="14.25" customHeight="1">
      <c r="A3924" s="2" t="s">
        <v>90</v>
      </c>
      <c r="B3924" s="2">
        <v>2007</v>
      </c>
      <c r="C3924" s="2" t="s">
        <v>34</v>
      </c>
      <c r="D3924" s="2">
        <v>1.5</v>
      </c>
      <c r="E3924" s="2">
        <v>17.2</v>
      </c>
      <c r="P3924" s="3">
        <f>E3924*(VLOOKUP(B3924,Price_data!A$1:B$190,2,FALSE))</f>
        <v>14.1778650302</v>
      </c>
      <c r="Q3924" s="3">
        <f>G3924*(VLOOKUP(B3924,Price_data!A$1:B$190,2,FALSE))</f>
        <v>0</v>
      </c>
      <c r="R3924" s="3">
        <f>I3924*(VLOOKUP(B3924,Price_data!A$1:B$190,2,FALSE))</f>
        <v>0</v>
      </c>
      <c r="S3924" s="4" t="str">
        <f>(VLOOKUP(B3924,Price_data!A$1:C$190,3,FALSE))</f>
        <v>EEZ</v>
      </c>
      <c r="T3924" s="2" t="str">
        <f>IF(C3924="Total", (VLOOKUP(B3924,Recommended_fish_intake!A$4:D$122,4,FALSE)), "NA")</f>
        <v>NA</v>
      </c>
      <c r="U3924" s="2" t="str">
        <f t="shared" si="387"/>
        <v>NA</v>
      </c>
    </row>
    <row r="3925" spans="1:21" ht="14.25" customHeight="1">
      <c r="A3925" s="2" t="s">
        <v>90</v>
      </c>
      <c r="B3925" s="2">
        <v>2007</v>
      </c>
      <c r="C3925" s="2" t="s">
        <v>35</v>
      </c>
      <c r="D3925" s="2">
        <v>4.0999999999999996</v>
      </c>
      <c r="E3925" s="2">
        <v>10.1</v>
      </c>
      <c r="P3925" s="3">
        <f>E3925*(VLOOKUP(B3925,Price_data!A$1:B$190,2,FALSE))</f>
        <v>8.3253742328500007</v>
      </c>
      <c r="Q3925" s="3">
        <f>G3925*(VLOOKUP(B3925,Price_data!A$1:B$190,2,FALSE))</f>
        <v>0</v>
      </c>
      <c r="R3925" s="3">
        <f>I3925*(VLOOKUP(B3925,Price_data!A$1:B$190,2,FALSE))</f>
        <v>0</v>
      </c>
      <c r="S3925" s="4" t="str">
        <f>(VLOOKUP(B3925,Price_data!A$1:C$190,3,FALSE))</f>
        <v>EEZ</v>
      </c>
      <c r="T3925" s="2" t="str">
        <f>IF(C3925="Total", (VLOOKUP(B3925,Recommended_fish_intake!A$4:D$122,4,FALSE)), "NA")</f>
        <v>NA</v>
      </c>
      <c r="U3925" s="2" t="str">
        <f t="shared" si="387"/>
        <v>NA</v>
      </c>
    </row>
    <row r="3926" spans="1:21" ht="14.25" customHeight="1">
      <c r="A3926" s="2" t="s">
        <v>90</v>
      </c>
      <c r="B3926" s="2">
        <v>2007</v>
      </c>
      <c r="C3926" s="2" t="s">
        <v>52</v>
      </c>
      <c r="D3926" s="2">
        <v>11.7</v>
      </c>
      <c r="E3926" s="2">
        <v>16.600000000000001</v>
      </c>
      <c r="P3926" s="3">
        <f>E3926*(VLOOKUP(B3926,Price_data!A$1:B$190,2,FALSE))</f>
        <v>13.683288343100001</v>
      </c>
      <c r="Q3926" s="3">
        <f>G3926*(VLOOKUP(B3926,Price_data!A$1:B$190,2,FALSE))</f>
        <v>0</v>
      </c>
      <c r="R3926" s="3">
        <f>I3926*(VLOOKUP(B3926,Price_data!A$1:B$190,2,FALSE))</f>
        <v>0</v>
      </c>
      <c r="S3926" s="4" t="str">
        <f>(VLOOKUP(B3926,Price_data!A$1:C$190,3,FALSE))</f>
        <v>EEZ</v>
      </c>
      <c r="T3926" s="2" t="str">
        <f>IF(C3926="Total", (VLOOKUP(B3926,Recommended_fish_intake!A$4:D$122,4,FALSE)), "NA")</f>
        <v>NA</v>
      </c>
      <c r="U3926" s="2" t="str">
        <f t="shared" si="387"/>
        <v>NA</v>
      </c>
    </row>
    <row r="3927" spans="1:21" ht="14.25" customHeight="1">
      <c r="A3927" s="2" t="s">
        <v>90</v>
      </c>
      <c r="B3927" s="2">
        <v>2007</v>
      </c>
      <c r="C3927" s="2" t="s">
        <v>30</v>
      </c>
      <c r="D3927" s="2">
        <v>1.4</v>
      </c>
      <c r="E3927" s="2">
        <v>3.6</v>
      </c>
      <c r="P3927" s="3">
        <f>E3927*(VLOOKUP(B3927,Price_data!A$1:B$190,2,FALSE))</f>
        <v>2.9674601226000004</v>
      </c>
      <c r="Q3927" s="3">
        <f>G3927*(VLOOKUP(B3927,Price_data!A$1:B$190,2,FALSE))</f>
        <v>0</v>
      </c>
      <c r="R3927" s="3">
        <f>I3927*(VLOOKUP(B3927,Price_data!A$1:B$190,2,FALSE))</f>
        <v>0</v>
      </c>
      <c r="S3927" s="4" t="str">
        <f>(VLOOKUP(B3927,Price_data!A$1:C$190,3,FALSE))</f>
        <v>EEZ</v>
      </c>
      <c r="T3927" s="2" t="str">
        <f>IF(C3927="Total", (VLOOKUP(B3927,Recommended_fish_intake!A$4:D$122,4,FALSE)), "NA")</f>
        <v>NA</v>
      </c>
      <c r="U3927" s="2" t="str">
        <f t="shared" si="387"/>
        <v>NA</v>
      </c>
    </row>
    <row r="3928" spans="1:21" ht="14.25" customHeight="1">
      <c r="A3928" s="2" t="s">
        <v>90</v>
      </c>
      <c r="B3928" s="2">
        <v>2007</v>
      </c>
      <c r="C3928" s="2" t="s">
        <v>28</v>
      </c>
      <c r="D3928" s="2">
        <v>57.7</v>
      </c>
      <c r="E3928" s="2">
        <v>84.2</v>
      </c>
      <c r="P3928" s="3">
        <f>E3928*(VLOOKUP(B3928,Price_data!A$1:B$190,2,FALSE))</f>
        <v>69.4055950897</v>
      </c>
      <c r="Q3928" s="3">
        <f>G3928*(VLOOKUP(B3928,Price_data!A$1:B$190,2,FALSE))</f>
        <v>0</v>
      </c>
      <c r="R3928" s="3">
        <f>I3928*(VLOOKUP(B3928,Price_data!A$1:B$190,2,FALSE))</f>
        <v>0</v>
      </c>
      <c r="S3928" s="4" t="str">
        <f>(VLOOKUP(B3928,Price_data!A$1:C$190,3,FALSE))</f>
        <v>EEZ</v>
      </c>
      <c r="T3928" s="2" t="str">
        <f>IF(C3928="Total", (VLOOKUP(B3928,Recommended_fish_intake!A$4:D$122,4,FALSE)), "NA")</f>
        <v>NA</v>
      </c>
      <c r="U3928" s="2">
        <f t="shared" si="387"/>
        <v>16.156000000000002</v>
      </c>
    </row>
    <row r="3929" spans="1:21" ht="14.25" customHeight="1">
      <c r="A3929" s="2" t="s">
        <v>91</v>
      </c>
      <c r="B3929" s="2">
        <v>2007</v>
      </c>
      <c r="C3929" s="2" t="s">
        <v>22</v>
      </c>
      <c r="D3929" s="2">
        <v>1.7999999999999999E-2</v>
      </c>
      <c r="E3929" s="2">
        <v>2.9000000000000001E-2</v>
      </c>
      <c r="P3929" s="3">
        <f>E3929*(VLOOKUP(B3929,Price_data!A$1:B$190,2,FALSE))</f>
        <v>2.3904539876500003E-2</v>
      </c>
      <c r="Q3929" s="3">
        <f>G3929*(VLOOKUP(B3929,Price_data!A$1:B$190,2,FALSE))</f>
        <v>0</v>
      </c>
      <c r="R3929" s="3">
        <f>I3929*(VLOOKUP(B3929,Price_data!A$1:B$190,2,FALSE))</f>
        <v>0</v>
      </c>
      <c r="S3929" s="4" t="str">
        <f>(VLOOKUP(B3929,Price_data!A$1:C$190,3,FALSE))</f>
        <v>EEZ</v>
      </c>
      <c r="T3929" s="2" t="str">
        <f>IF(C3929="Total", (VLOOKUP(B3929,Recommended_fish_intake!A$4:D$122,4,FALSE)), "NA")</f>
        <v>NA</v>
      </c>
      <c r="U3929" s="2" t="str">
        <f t="shared" si="387"/>
        <v>NA</v>
      </c>
    </row>
    <row r="3930" spans="1:21" ht="14.25" customHeight="1">
      <c r="A3930" s="2" t="s">
        <v>91</v>
      </c>
      <c r="B3930" s="2">
        <v>2007</v>
      </c>
      <c r="C3930" s="2" t="s">
        <v>23</v>
      </c>
      <c r="D3930" s="2">
        <v>2.1999999999999999E-2</v>
      </c>
      <c r="E3930" s="2">
        <v>1.7000000000000001E-2</v>
      </c>
      <c r="P3930" s="3">
        <f>E3930*(VLOOKUP(B3930,Price_data!A$1:B$190,2,FALSE))</f>
        <v>1.4013006134500001E-2</v>
      </c>
      <c r="Q3930" s="3">
        <f>G3930*(VLOOKUP(B3930,Price_data!A$1:B$190,2,FALSE))</f>
        <v>0</v>
      </c>
      <c r="R3930" s="3">
        <f>I3930*(VLOOKUP(B3930,Price_data!A$1:B$190,2,FALSE))</f>
        <v>0</v>
      </c>
      <c r="S3930" s="4" t="str">
        <f>(VLOOKUP(B3930,Price_data!A$1:C$190,3,FALSE))</f>
        <v>EEZ</v>
      </c>
      <c r="T3930" s="2" t="str">
        <f>IF(C3930="Total", (VLOOKUP(B3930,Recommended_fish_intake!A$4:D$122,4,FALSE)), "NA")</f>
        <v>NA</v>
      </c>
      <c r="U3930" s="2" t="str">
        <f t="shared" si="387"/>
        <v>NA</v>
      </c>
    </row>
    <row r="3931" spans="1:21" ht="14.25" customHeight="1">
      <c r="A3931" s="2" t="s">
        <v>91</v>
      </c>
      <c r="B3931" s="2">
        <v>2007</v>
      </c>
      <c r="C3931" s="2" t="s">
        <v>58</v>
      </c>
      <c r="D3931" s="2">
        <v>0.52500000000000002</v>
      </c>
      <c r="E3931" s="2">
        <v>1.3779999999999999</v>
      </c>
      <c r="P3931" s="3">
        <f>E3931*(VLOOKUP(B3931,Price_data!A$1:B$190,2,FALSE))</f>
        <v>1.135877791373</v>
      </c>
      <c r="Q3931" s="3">
        <f>G3931*(VLOOKUP(B3931,Price_data!A$1:B$190,2,FALSE))</f>
        <v>0</v>
      </c>
      <c r="R3931" s="3">
        <f>I3931*(VLOOKUP(B3931,Price_data!A$1:B$190,2,FALSE))</f>
        <v>0</v>
      </c>
      <c r="S3931" s="4" t="str">
        <f>(VLOOKUP(B3931,Price_data!A$1:C$190,3,FALSE))</f>
        <v>EEZ</v>
      </c>
      <c r="T3931" s="2" t="str">
        <f>IF(C3931="Total", (VLOOKUP(B3931,Recommended_fish_intake!A$4:D$122,4,FALSE)), "NA")</f>
        <v>NA</v>
      </c>
      <c r="U3931" s="2" t="str">
        <f t="shared" si="387"/>
        <v>NA</v>
      </c>
    </row>
    <row r="3932" spans="1:21" ht="14.25" customHeight="1">
      <c r="A3932" s="2" t="s">
        <v>91</v>
      </c>
      <c r="B3932" s="2">
        <v>2007</v>
      </c>
      <c r="C3932" s="2" t="s">
        <v>24</v>
      </c>
      <c r="D3932" s="2">
        <v>8.0000000000000002E-3</v>
      </c>
      <c r="E3932" s="2">
        <v>6.0000000000000001E-3</v>
      </c>
      <c r="P3932" s="3">
        <f>E3932*(VLOOKUP(B3932,Price_data!A$1:B$190,2,FALSE))</f>
        <v>4.9457668710000003E-3</v>
      </c>
      <c r="Q3932" s="3">
        <f>G3932*(VLOOKUP(B3932,Price_data!A$1:B$190,2,FALSE))</f>
        <v>0</v>
      </c>
      <c r="R3932" s="3">
        <f>I3932*(VLOOKUP(B3932,Price_data!A$1:B$190,2,FALSE))</f>
        <v>0</v>
      </c>
      <c r="S3932" s="4" t="str">
        <f>(VLOOKUP(B3932,Price_data!A$1:C$190,3,FALSE))</f>
        <v>EEZ</v>
      </c>
      <c r="T3932" s="2" t="str">
        <f>IF(C3932="Total", (VLOOKUP(B3932,Recommended_fish_intake!A$4:D$122,4,FALSE)), "NA")</f>
        <v>NA</v>
      </c>
      <c r="U3932" s="2" t="str">
        <f t="shared" si="387"/>
        <v>NA</v>
      </c>
    </row>
    <row r="3933" spans="1:21" ht="14.25" customHeight="1">
      <c r="A3933" s="2" t="s">
        <v>91</v>
      </c>
      <c r="B3933" s="2">
        <v>2007</v>
      </c>
      <c r="C3933" s="2" t="s">
        <v>41</v>
      </c>
      <c r="D3933" s="2">
        <v>2.2450000000000001</v>
      </c>
      <c r="E3933" s="2">
        <v>5.0170000000000003</v>
      </c>
      <c r="P3933" s="3">
        <f>E3933*(VLOOKUP(B3933,Price_data!A$1:B$190,2,FALSE))</f>
        <v>4.1354853986345006</v>
      </c>
      <c r="Q3933" s="3">
        <f>G3933*(VLOOKUP(B3933,Price_data!A$1:B$190,2,FALSE))</f>
        <v>0</v>
      </c>
      <c r="R3933" s="3">
        <f>I3933*(VLOOKUP(B3933,Price_data!A$1:B$190,2,FALSE))</f>
        <v>0</v>
      </c>
      <c r="S3933" s="4" t="str">
        <f>(VLOOKUP(B3933,Price_data!A$1:C$190,3,FALSE))</f>
        <v>EEZ</v>
      </c>
      <c r="T3933" s="2" t="str">
        <f>IF(C3933="Total", (VLOOKUP(B3933,Recommended_fish_intake!A$4:D$122,4,FALSE)), "NA")</f>
        <v>NA</v>
      </c>
      <c r="U3933" s="2" t="str">
        <f t="shared" si="387"/>
        <v>NA</v>
      </c>
    </row>
    <row r="3934" spans="1:21" ht="14.25" customHeight="1">
      <c r="A3934" s="2" t="s">
        <v>91</v>
      </c>
      <c r="B3934" s="2">
        <v>2007</v>
      </c>
      <c r="C3934" s="2" t="s">
        <v>19</v>
      </c>
      <c r="D3934" s="2">
        <v>0</v>
      </c>
      <c r="E3934" s="2">
        <v>0</v>
      </c>
      <c r="P3934" s="3">
        <f>E3934*(VLOOKUP(B3934,Price_data!A$1:B$190,2,FALSE))</f>
        <v>0</v>
      </c>
      <c r="Q3934" s="3">
        <f>G3934*(VLOOKUP(B3934,Price_data!A$1:B$190,2,FALSE))</f>
        <v>0</v>
      </c>
      <c r="R3934" s="3">
        <f>I3934*(VLOOKUP(B3934,Price_data!A$1:B$190,2,FALSE))</f>
        <v>0</v>
      </c>
      <c r="S3934" s="4" t="str">
        <f>(VLOOKUP(B3934,Price_data!A$1:C$190,3,FALSE))</f>
        <v>EEZ</v>
      </c>
      <c r="T3934" s="2" t="str">
        <f>IF(C3934="Total", (VLOOKUP(B3934,Recommended_fish_intake!A$4:D$122,4,FALSE)), "NA")</f>
        <v>NA</v>
      </c>
      <c r="U3934" s="2" t="str">
        <f t="shared" si="387"/>
        <v>NA</v>
      </c>
    </row>
    <row r="3935" spans="1:21" ht="14.25" customHeight="1">
      <c r="A3935" s="2" t="s">
        <v>91</v>
      </c>
      <c r="B3935" s="2">
        <v>2007</v>
      </c>
      <c r="C3935" s="2" t="s">
        <v>20</v>
      </c>
      <c r="D3935" s="2">
        <v>1E-3</v>
      </c>
      <c r="E3935" s="2">
        <v>1E-3</v>
      </c>
      <c r="P3935" s="3">
        <f>E3935*(VLOOKUP(B3935,Price_data!A$1:B$190,2,FALSE))</f>
        <v>8.2429447850000009E-4</v>
      </c>
      <c r="Q3935" s="3">
        <f>G3935*(VLOOKUP(B3935,Price_data!A$1:B$190,2,FALSE))</f>
        <v>0</v>
      </c>
      <c r="R3935" s="3">
        <f>I3935*(VLOOKUP(B3935,Price_data!A$1:B$190,2,FALSE))</f>
        <v>0</v>
      </c>
      <c r="S3935" s="4" t="str">
        <f>(VLOOKUP(B3935,Price_data!A$1:C$190,3,FALSE))</f>
        <v>EEZ</v>
      </c>
      <c r="T3935" s="2" t="str">
        <f>IF(C3935="Total", (VLOOKUP(B3935,Recommended_fish_intake!A$4:D$122,4,FALSE)), "NA")</f>
        <v>NA</v>
      </c>
      <c r="U3935" s="2" t="str">
        <f t="shared" si="387"/>
        <v>NA</v>
      </c>
    </row>
    <row r="3936" spans="1:21" ht="14.25" customHeight="1">
      <c r="A3936" s="2" t="s">
        <v>91</v>
      </c>
      <c r="B3936" s="2">
        <v>2007</v>
      </c>
      <c r="C3936" s="2" t="s">
        <v>42</v>
      </c>
      <c r="D3936" s="2">
        <v>1E-3</v>
      </c>
      <c r="E3936" s="2">
        <v>1E-3</v>
      </c>
      <c r="P3936" s="3">
        <f>E3936*(VLOOKUP(B3936,Price_data!A$1:B$190,2,FALSE))</f>
        <v>8.2429447850000009E-4</v>
      </c>
      <c r="Q3936" s="3">
        <f>G3936*(VLOOKUP(B3936,Price_data!A$1:B$190,2,FALSE))</f>
        <v>0</v>
      </c>
      <c r="R3936" s="3">
        <f>I3936*(VLOOKUP(B3936,Price_data!A$1:B$190,2,FALSE))</f>
        <v>0</v>
      </c>
      <c r="S3936" s="4" t="str">
        <f>(VLOOKUP(B3936,Price_data!A$1:C$190,3,FALSE))</f>
        <v>EEZ</v>
      </c>
      <c r="T3936" s="2" t="str">
        <f>IF(C3936="Total", (VLOOKUP(B3936,Recommended_fish_intake!A$4:D$122,4,FALSE)), "NA")</f>
        <v>NA</v>
      </c>
      <c r="U3936" s="2" t="str">
        <f t="shared" si="387"/>
        <v>NA</v>
      </c>
    </row>
    <row r="3937" spans="1:21" ht="14.25" customHeight="1">
      <c r="A3937" s="2" t="s">
        <v>91</v>
      </c>
      <c r="B3937" s="2">
        <v>2007</v>
      </c>
      <c r="C3937" s="2" t="s">
        <v>36</v>
      </c>
      <c r="D3937" s="2">
        <v>1.0189999999999999</v>
      </c>
      <c r="E3937" s="2">
        <v>1.4970000000000001</v>
      </c>
      <c r="P3937" s="3">
        <f>E3937*(VLOOKUP(B3937,Price_data!A$1:B$190,2,FALSE))</f>
        <v>1.2339688343145001</v>
      </c>
      <c r="Q3937" s="3">
        <f>G3937*(VLOOKUP(B3937,Price_data!A$1:B$190,2,FALSE))</f>
        <v>0</v>
      </c>
      <c r="R3937" s="3">
        <f>I3937*(VLOOKUP(B3937,Price_data!A$1:B$190,2,FALSE))</f>
        <v>0</v>
      </c>
      <c r="S3937" s="4" t="str">
        <f>(VLOOKUP(B3937,Price_data!A$1:C$190,3,FALSE))</f>
        <v>EEZ</v>
      </c>
      <c r="T3937" s="2" t="str">
        <f>IF(C3937="Total", (VLOOKUP(B3937,Recommended_fish_intake!A$4:D$122,4,FALSE)), "NA")</f>
        <v>NA</v>
      </c>
      <c r="U3937" s="2" t="str">
        <f t="shared" si="387"/>
        <v>NA</v>
      </c>
    </row>
    <row r="3938" spans="1:21" ht="14.25" customHeight="1">
      <c r="A3938" s="2" t="s">
        <v>91</v>
      </c>
      <c r="B3938" s="2">
        <v>2007</v>
      </c>
      <c r="C3938" s="2" t="s">
        <v>34</v>
      </c>
      <c r="D3938" s="2">
        <v>0.20799999999999999</v>
      </c>
      <c r="E3938" s="2">
        <v>3.569</v>
      </c>
      <c r="P3938" s="3">
        <f>E3938*(VLOOKUP(B3938,Price_data!A$1:B$190,2,FALSE))</f>
        <v>2.9419069937665001</v>
      </c>
      <c r="Q3938" s="3">
        <f>G3938*(VLOOKUP(B3938,Price_data!A$1:B$190,2,FALSE))</f>
        <v>0</v>
      </c>
      <c r="R3938" s="3">
        <f>I3938*(VLOOKUP(B3938,Price_data!A$1:B$190,2,FALSE))</f>
        <v>0</v>
      </c>
      <c r="S3938" s="4" t="str">
        <f>(VLOOKUP(B3938,Price_data!A$1:C$190,3,FALSE))</f>
        <v>EEZ</v>
      </c>
      <c r="T3938" s="2" t="str">
        <f>IF(C3938="Total", (VLOOKUP(B3938,Recommended_fish_intake!A$4:D$122,4,FALSE)), "NA")</f>
        <v>NA</v>
      </c>
      <c r="U3938" s="2" t="str">
        <f t="shared" si="387"/>
        <v>NA</v>
      </c>
    </row>
    <row r="3939" spans="1:21" ht="14.25" customHeight="1">
      <c r="A3939" s="2" t="s">
        <v>91</v>
      </c>
      <c r="B3939" s="2">
        <v>2007</v>
      </c>
      <c r="C3939" s="2" t="s">
        <v>35</v>
      </c>
      <c r="D3939" s="2">
        <v>3.3000000000000002E-2</v>
      </c>
      <c r="E3939" s="2">
        <v>0.23400000000000001</v>
      </c>
      <c r="P3939" s="3">
        <f>E3939*(VLOOKUP(B3939,Price_data!A$1:B$190,2,FALSE))</f>
        <v>0.19288490796900001</v>
      </c>
      <c r="Q3939" s="3">
        <f>G3939*(VLOOKUP(B3939,Price_data!A$1:B$190,2,FALSE))</f>
        <v>0</v>
      </c>
      <c r="R3939" s="3">
        <f>I3939*(VLOOKUP(B3939,Price_data!A$1:B$190,2,FALSE))</f>
        <v>0</v>
      </c>
      <c r="S3939" s="4" t="str">
        <f>(VLOOKUP(B3939,Price_data!A$1:C$190,3,FALSE))</f>
        <v>EEZ</v>
      </c>
      <c r="T3939" s="2" t="str">
        <f>IF(C3939="Total", (VLOOKUP(B3939,Recommended_fish_intake!A$4:D$122,4,FALSE)), "NA")</f>
        <v>NA</v>
      </c>
      <c r="U3939" s="2" t="str">
        <f t="shared" si="387"/>
        <v>NA</v>
      </c>
    </row>
    <row r="3940" spans="1:21" ht="14.25" customHeight="1">
      <c r="A3940" s="2" t="s">
        <v>91</v>
      </c>
      <c r="B3940" s="2">
        <v>2007</v>
      </c>
      <c r="C3940" s="2" t="s">
        <v>52</v>
      </c>
      <c r="D3940" s="2">
        <v>1.327</v>
      </c>
      <c r="E3940" s="2">
        <v>1.77</v>
      </c>
      <c r="P3940" s="3">
        <f>E3940*(VLOOKUP(B3940,Price_data!A$1:B$190,2,FALSE))</f>
        <v>1.4590012269450001</v>
      </c>
      <c r="Q3940" s="3">
        <f>G3940*(VLOOKUP(B3940,Price_data!A$1:B$190,2,FALSE))</f>
        <v>0</v>
      </c>
      <c r="R3940" s="3">
        <f>I3940*(VLOOKUP(B3940,Price_data!A$1:B$190,2,FALSE))</f>
        <v>0</v>
      </c>
      <c r="S3940" s="4" t="str">
        <f>(VLOOKUP(B3940,Price_data!A$1:C$190,3,FALSE))</f>
        <v>EEZ</v>
      </c>
      <c r="T3940" s="2" t="str">
        <f>IF(C3940="Total", (VLOOKUP(B3940,Recommended_fish_intake!A$4:D$122,4,FALSE)), "NA")</f>
        <v>NA</v>
      </c>
      <c r="U3940" s="2" t="str">
        <f t="shared" si="387"/>
        <v>NA</v>
      </c>
    </row>
    <row r="3941" spans="1:21" ht="14.25" customHeight="1">
      <c r="A3941" s="2" t="s">
        <v>91</v>
      </c>
      <c r="B3941" s="2">
        <v>2007</v>
      </c>
      <c r="C3941" s="2" t="s">
        <v>30</v>
      </c>
      <c r="D3941" s="2">
        <v>3.0000000000000001E-3</v>
      </c>
      <c r="E3941" s="2">
        <v>6.0000000000000001E-3</v>
      </c>
      <c r="P3941" s="3">
        <f>E3941*(VLOOKUP(B3941,Price_data!A$1:B$190,2,FALSE))</f>
        <v>4.9457668710000003E-3</v>
      </c>
      <c r="Q3941" s="3">
        <f>G3941*(VLOOKUP(B3941,Price_data!A$1:B$190,2,FALSE))</f>
        <v>0</v>
      </c>
      <c r="R3941" s="3">
        <f>I3941*(VLOOKUP(B3941,Price_data!A$1:B$190,2,FALSE))</f>
        <v>0</v>
      </c>
      <c r="S3941" s="4" t="str">
        <f>(VLOOKUP(B3941,Price_data!A$1:C$190,3,FALSE))</f>
        <v>EEZ</v>
      </c>
      <c r="T3941" s="2" t="str">
        <f>IF(C3941="Total", (VLOOKUP(B3941,Recommended_fish_intake!A$4:D$122,4,FALSE)), "NA")</f>
        <v>NA</v>
      </c>
      <c r="U3941" s="2" t="str">
        <f t="shared" si="387"/>
        <v>NA</v>
      </c>
    </row>
    <row r="3942" spans="1:21" ht="14.25" customHeight="1">
      <c r="A3942" s="2" t="s">
        <v>91</v>
      </c>
      <c r="B3942" s="2">
        <v>2007</v>
      </c>
      <c r="C3942" s="2" t="s">
        <v>28</v>
      </c>
      <c r="D3942" s="2">
        <v>7.5330000000000004</v>
      </c>
      <c r="E3942" s="2">
        <v>10.585000000000001</v>
      </c>
      <c r="P3942" s="3">
        <f>E3942*(VLOOKUP(B3942,Price_data!A$1:B$190,2,FALSE))</f>
        <v>8.7251570549225015</v>
      </c>
      <c r="Q3942" s="3">
        <f>G3942*(VLOOKUP(B3942,Price_data!A$1:B$190,2,FALSE))</f>
        <v>0</v>
      </c>
      <c r="R3942" s="3">
        <f>I3942*(VLOOKUP(B3942,Price_data!A$1:B$190,2,FALSE))</f>
        <v>0</v>
      </c>
      <c r="S3942" s="4" t="str">
        <f>(VLOOKUP(B3942,Price_data!A$1:C$190,3,FALSE))</f>
        <v>EEZ</v>
      </c>
      <c r="T3942" s="2" t="str">
        <f>IF(C3942="Total", (VLOOKUP(B3942,Recommended_fish_intake!A$4:D$122,4,FALSE)), "NA")</f>
        <v>NA</v>
      </c>
      <c r="U3942" s="2">
        <f t="shared" si="387"/>
        <v>2.1092400000000002</v>
      </c>
    </row>
    <row r="3943" spans="1:21" ht="14.25" customHeight="1">
      <c r="A3943" s="2" t="s">
        <v>39</v>
      </c>
      <c r="B3943" s="2">
        <v>2007</v>
      </c>
      <c r="C3943" s="2" t="s">
        <v>22</v>
      </c>
      <c r="D3943" s="2">
        <v>7.1150000000000002</v>
      </c>
      <c r="E3943" s="2">
        <v>14.648999999999999</v>
      </c>
      <c r="P3943" s="3">
        <f>E3943*(VLOOKUP(B3943,Price_data!A$1:B$190,2,FALSE))</f>
        <v>12.0750898155465</v>
      </c>
      <c r="Q3943" s="3">
        <f>G3943*(VLOOKUP(B3943,Price_data!A$1:B$190,2,FALSE))</f>
        <v>0</v>
      </c>
      <c r="R3943" s="3">
        <f>I3943*(VLOOKUP(B3943,Price_data!A$1:B$190,2,FALSE))</f>
        <v>0</v>
      </c>
      <c r="S3943" s="4" t="str">
        <f>(VLOOKUP(B3943,Price_data!A$1:C$190,3,FALSE))</f>
        <v>EEZ</v>
      </c>
      <c r="T3943" s="2" t="str">
        <f>IF(C3943="Total", (VLOOKUP(B3943,Recommended_fish_intake!A$4:D$122,4,FALSE)), "NA")</f>
        <v>NA</v>
      </c>
      <c r="U3943" s="2" t="str">
        <f t="shared" si="387"/>
        <v>NA</v>
      </c>
    </row>
    <row r="3944" spans="1:21" ht="14.25" customHeight="1">
      <c r="A3944" s="2" t="s">
        <v>39</v>
      </c>
      <c r="B3944" s="2">
        <v>2007</v>
      </c>
      <c r="C3944" s="2" t="s">
        <v>23</v>
      </c>
      <c r="D3944" s="2">
        <v>29.509</v>
      </c>
      <c r="E3944" s="2">
        <v>37.585000000000001</v>
      </c>
      <c r="P3944" s="3">
        <f>E3944*(VLOOKUP(B3944,Price_data!A$1:B$190,2,FALSE))</f>
        <v>30.981107974422503</v>
      </c>
      <c r="Q3944" s="3">
        <f>G3944*(VLOOKUP(B3944,Price_data!A$1:B$190,2,FALSE))</f>
        <v>0</v>
      </c>
      <c r="R3944" s="3">
        <f>I3944*(VLOOKUP(B3944,Price_data!A$1:B$190,2,FALSE))</f>
        <v>0</v>
      </c>
      <c r="S3944" s="4" t="str">
        <f>(VLOOKUP(B3944,Price_data!A$1:C$190,3,FALSE))</f>
        <v>EEZ</v>
      </c>
      <c r="T3944" s="2" t="str">
        <f>IF(C3944="Total", (VLOOKUP(B3944,Recommended_fish_intake!A$4:D$122,4,FALSE)), "NA")</f>
        <v>NA</v>
      </c>
      <c r="U3944" s="2" t="str">
        <f t="shared" si="387"/>
        <v>NA</v>
      </c>
    </row>
    <row r="3945" spans="1:21" ht="14.25" customHeight="1">
      <c r="A3945" s="2" t="s">
        <v>39</v>
      </c>
      <c r="B3945" s="2">
        <v>2007</v>
      </c>
      <c r="C3945" s="2" t="s">
        <v>58</v>
      </c>
      <c r="D3945" s="2">
        <v>10.255000000000001</v>
      </c>
      <c r="E3945" s="2">
        <v>25.524999999999999</v>
      </c>
      <c r="P3945" s="3">
        <f>E3945*(VLOOKUP(B3945,Price_data!A$1:B$190,2,FALSE))</f>
        <v>21.040116563712498</v>
      </c>
      <c r="Q3945" s="3">
        <f>G3945*(VLOOKUP(B3945,Price_data!A$1:B$190,2,FALSE))</f>
        <v>0</v>
      </c>
      <c r="R3945" s="3">
        <f>I3945*(VLOOKUP(B3945,Price_data!A$1:B$190,2,FALSE))</f>
        <v>0</v>
      </c>
      <c r="S3945" s="4" t="str">
        <f>(VLOOKUP(B3945,Price_data!A$1:C$190,3,FALSE))</f>
        <v>EEZ</v>
      </c>
      <c r="T3945" s="2" t="str">
        <f>IF(C3945="Total", (VLOOKUP(B3945,Recommended_fish_intake!A$4:D$122,4,FALSE)), "NA")</f>
        <v>NA</v>
      </c>
      <c r="U3945" s="2" t="str">
        <f t="shared" si="387"/>
        <v>NA</v>
      </c>
    </row>
    <row r="3946" spans="1:21" ht="14.25" customHeight="1">
      <c r="A3946" s="2" t="s">
        <v>39</v>
      </c>
      <c r="B3946" s="2">
        <v>2007</v>
      </c>
      <c r="C3946" s="2" t="s">
        <v>24</v>
      </c>
      <c r="D3946" s="2">
        <v>9.3930000000000007</v>
      </c>
      <c r="E3946" s="2">
        <v>9.1890000000000001</v>
      </c>
      <c r="P3946" s="3">
        <f>E3946*(VLOOKUP(B3946,Price_data!A$1:B$190,2,FALSE))</f>
        <v>7.5744419629365005</v>
      </c>
      <c r="Q3946" s="3">
        <f>G3946*(VLOOKUP(B3946,Price_data!A$1:B$190,2,FALSE))</f>
        <v>0</v>
      </c>
      <c r="R3946" s="3">
        <f>I3946*(VLOOKUP(B3946,Price_data!A$1:B$190,2,FALSE))</f>
        <v>0</v>
      </c>
      <c r="S3946" s="4" t="str">
        <f>(VLOOKUP(B3946,Price_data!A$1:C$190,3,FALSE))</f>
        <v>EEZ</v>
      </c>
      <c r="T3946" s="2" t="str">
        <f>IF(C3946="Total", (VLOOKUP(B3946,Recommended_fish_intake!A$4:D$122,4,FALSE)), "NA")</f>
        <v>NA</v>
      </c>
      <c r="U3946" s="2" t="str">
        <f t="shared" si="387"/>
        <v>NA</v>
      </c>
    </row>
    <row r="3947" spans="1:21" ht="14.25" customHeight="1">
      <c r="A3947" s="2" t="s">
        <v>39</v>
      </c>
      <c r="B3947" s="2">
        <v>2007</v>
      </c>
      <c r="C3947" s="2" t="s">
        <v>41</v>
      </c>
      <c r="D3947" s="2">
        <v>79.98</v>
      </c>
      <c r="E3947" s="2">
        <v>113.84099999999999</v>
      </c>
      <c r="P3947" s="3">
        <f>E3947*(VLOOKUP(B3947,Price_data!A$1:B$190,2,FALSE))</f>
        <v>93.838507726918493</v>
      </c>
      <c r="Q3947" s="3">
        <f>G3947*(VLOOKUP(B3947,Price_data!A$1:B$190,2,FALSE))</f>
        <v>0</v>
      </c>
      <c r="R3947" s="3">
        <f>I3947*(VLOOKUP(B3947,Price_data!A$1:B$190,2,FALSE))</f>
        <v>0</v>
      </c>
      <c r="S3947" s="4" t="str">
        <f>(VLOOKUP(B3947,Price_data!A$1:C$190,3,FALSE))</f>
        <v>EEZ</v>
      </c>
      <c r="T3947" s="2" t="str">
        <f>IF(C3947="Total", (VLOOKUP(B3947,Recommended_fish_intake!A$4:D$122,4,FALSE)), "NA")</f>
        <v>NA</v>
      </c>
      <c r="U3947" s="2" t="str">
        <f t="shared" si="387"/>
        <v>NA</v>
      </c>
    </row>
    <row r="3948" spans="1:21" ht="14.25" customHeight="1">
      <c r="A3948" s="2" t="s">
        <v>39</v>
      </c>
      <c r="B3948" s="2">
        <v>2007</v>
      </c>
      <c r="C3948" s="2" t="s">
        <v>19</v>
      </c>
      <c r="D3948" s="2">
        <v>45.164000000000001</v>
      </c>
      <c r="E3948" s="2">
        <v>8.3870000000000005</v>
      </c>
      <c r="P3948" s="3">
        <f>E3948*(VLOOKUP(B3948,Price_data!A$1:B$190,2,FALSE))</f>
        <v>6.913357791179501</v>
      </c>
      <c r="Q3948" s="3">
        <f>G3948*(VLOOKUP(B3948,Price_data!A$1:B$190,2,FALSE))</f>
        <v>0</v>
      </c>
      <c r="R3948" s="3">
        <f>I3948*(VLOOKUP(B3948,Price_data!A$1:B$190,2,FALSE))</f>
        <v>0</v>
      </c>
      <c r="S3948" s="4" t="str">
        <f>(VLOOKUP(B3948,Price_data!A$1:C$190,3,FALSE))</f>
        <v>EEZ</v>
      </c>
      <c r="T3948" s="2" t="str">
        <f>IF(C3948="Total", (VLOOKUP(B3948,Recommended_fish_intake!A$4:D$122,4,FALSE)), "NA")</f>
        <v>NA</v>
      </c>
      <c r="U3948" s="2" t="str">
        <f t="shared" si="387"/>
        <v>NA</v>
      </c>
    </row>
    <row r="3949" spans="1:21" ht="14.25" customHeight="1">
      <c r="A3949" s="2" t="s">
        <v>39</v>
      </c>
      <c r="B3949" s="2">
        <v>2007</v>
      </c>
      <c r="C3949" s="2" t="s">
        <v>20</v>
      </c>
      <c r="D3949" s="2">
        <v>95.784999999999997</v>
      </c>
      <c r="E3949" s="2">
        <v>63.747999999999998</v>
      </c>
      <c r="P3949" s="3">
        <f>E3949*(VLOOKUP(B3949,Price_data!A$1:B$190,2,FALSE))</f>
        <v>52.547124415417997</v>
      </c>
      <c r="Q3949" s="3">
        <f>G3949*(VLOOKUP(B3949,Price_data!A$1:B$190,2,FALSE))</f>
        <v>0</v>
      </c>
      <c r="R3949" s="3">
        <f>I3949*(VLOOKUP(B3949,Price_data!A$1:B$190,2,FALSE))</f>
        <v>0</v>
      </c>
      <c r="S3949" s="4" t="str">
        <f>(VLOOKUP(B3949,Price_data!A$1:C$190,3,FALSE))</f>
        <v>EEZ</v>
      </c>
      <c r="T3949" s="2" t="str">
        <f>IF(C3949="Total", (VLOOKUP(B3949,Recommended_fish_intake!A$4:D$122,4,FALSE)), "NA")</f>
        <v>NA</v>
      </c>
      <c r="U3949" s="2" t="str">
        <f t="shared" si="387"/>
        <v>NA</v>
      </c>
    </row>
    <row r="3950" spans="1:21" ht="14.25" customHeight="1">
      <c r="A3950" s="2" t="s">
        <v>39</v>
      </c>
      <c r="B3950" s="2">
        <v>2007</v>
      </c>
      <c r="C3950" s="2" t="s">
        <v>42</v>
      </c>
      <c r="D3950" s="2">
        <v>165.214</v>
      </c>
      <c r="E3950" s="2">
        <v>75.230999999999995</v>
      </c>
      <c r="P3950" s="3">
        <f>E3950*(VLOOKUP(B3950,Price_data!A$1:B$190,2,FALSE))</f>
        <v>62.012497912033496</v>
      </c>
      <c r="Q3950" s="3">
        <f>G3950*(VLOOKUP(B3950,Price_data!A$1:B$190,2,FALSE))</f>
        <v>0</v>
      </c>
      <c r="R3950" s="3">
        <f>I3950*(VLOOKUP(B3950,Price_data!A$1:B$190,2,FALSE))</f>
        <v>0</v>
      </c>
      <c r="S3950" s="4" t="str">
        <f>(VLOOKUP(B3950,Price_data!A$1:C$190,3,FALSE))</f>
        <v>EEZ</v>
      </c>
      <c r="T3950" s="2" t="str">
        <f>IF(C3950="Total", (VLOOKUP(B3950,Recommended_fish_intake!A$4:D$122,4,FALSE)), "NA")</f>
        <v>NA</v>
      </c>
      <c r="U3950" s="2" t="str">
        <f t="shared" si="387"/>
        <v>NA</v>
      </c>
    </row>
    <row r="3951" spans="1:21" ht="14.25" customHeight="1">
      <c r="A3951" s="2" t="s">
        <v>39</v>
      </c>
      <c r="B3951" s="2">
        <v>2007</v>
      </c>
      <c r="C3951" s="2" t="s">
        <v>36</v>
      </c>
      <c r="D3951" s="2">
        <v>14.731</v>
      </c>
      <c r="E3951" s="2">
        <v>19.899000000000001</v>
      </c>
      <c r="P3951" s="3">
        <f>E3951*(VLOOKUP(B3951,Price_data!A$1:B$190,2,FALSE))</f>
        <v>16.402635827671503</v>
      </c>
      <c r="Q3951" s="3">
        <f>G3951*(VLOOKUP(B3951,Price_data!A$1:B$190,2,FALSE))</f>
        <v>0</v>
      </c>
      <c r="R3951" s="3">
        <f>I3951*(VLOOKUP(B3951,Price_data!A$1:B$190,2,FALSE))</f>
        <v>0</v>
      </c>
      <c r="S3951" s="4" t="str">
        <f>(VLOOKUP(B3951,Price_data!A$1:C$190,3,FALSE))</f>
        <v>EEZ</v>
      </c>
      <c r="T3951" s="2" t="str">
        <f>IF(C3951="Total", (VLOOKUP(B3951,Recommended_fish_intake!A$4:D$122,4,FALSE)), "NA")</f>
        <v>NA</v>
      </c>
      <c r="U3951" s="2" t="str">
        <f t="shared" si="387"/>
        <v>NA</v>
      </c>
    </row>
    <row r="3952" spans="1:21" ht="14.25" customHeight="1">
      <c r="A3952" s="2" t="s">
        <v>39</v>
      </c>
      <c r="B3952" s="2">
        <v>2007</v>
      </c>
      <c r="C3952" s="2" t="s">
        <v>34</v>
      </c>
      <c r="D3952" s="2">
        <v>0.89700000000000002</v>
      </c>
      <c r="E3952" s="2">
        <v>9.8729999999999993</v>
      </c>
      <c r="P3952" s="3">
        <f>E3952*(VLOOKUP(B3952,Price_data!A$1:B$190,2,FALSE))</f>
        <v>8.1382593862304997</v>
      </c>
      <c r="Q3952" s="3">
        <f>G3952*(VLOOKUP(B3952,Price_data!A$1:B$190,2,FALSE))</f>
        <v>0</v>
      </c>
      <c r="R3952" s="3">
        <f>I3952*(VLOOKUP(B3952,Price_data!A$1:B$190,2,FALSE))</f>
        <v>0</v>
      </c>
      <c r="S3952" s="4" t="str">
        <f>(VLOOKUP(B3952,Price_data!A$1:C$190,3,FALSE))</f>
        <v>EEZ</v>
      </c>
      <c r="T3952" s="2" t="str">
        <f>IF(C3952="Total", (VLOOKUP(B3952,Recommended_fish_intake!A$4:D$122,4,FALSE)), "NA")</f>
        <v>NA</v>
      </c>
      <c r="U3952" s="2" t="str">
        <f t="shared" si="387"/>
        <v>NA</v>
      </c>
    </row>
    <row r="3953" spans="1:21" ht="14.25" customHeight="1">
      <c r="A3953" s="2" t="s">
        <v>39</v>
      </c>
      <c r="B3953" s="2">
        <v>2007</v>
      </c>
      <c r="C3953" s="2" t="s">
        <v>35</v>
      </c>
      <c r="D3953" s="2">
        <v>33.784999999999997</v>
      </c>
      <c r="E3953" s="2">
        <v>104.252</v>
      </c>
      <c r="P3953" s="3">
        <f>E3953*(VLOOKUP(B3953,Price_data!A$1:B$190,2,FALSE))</f>
        <v>85.934347972582003</v>
      </c>
      <c r="Q3953" s="3">
        <f>G3953*(VLOOKUP(B3953,Price_data!A$1:B$190,2,FALSE))</f>
        <v>0</v>
      </c>
      <c r="R3953" s="3">
        <f>I3953*(VLOOKUP(B3953,Price_data!A$1:B$190,2,FALSE))</f>
        <v>0</v>
      </c>
      <c r="S3953" s="4" t="str">
        <f>(VLOOKUP(B3953,Price_data!A$1:C$190,3,FALSE))</f>
        <v>EEZ</v>
      </c>
      <c r="T3953" s="2" t="str">
        <f>IF(C3953="Total", (VLOOKUP(B3953,Recommended_fish_intake!A$4:D$122,4,FALSE)), "NA")</f>
        <v>NA</v>
      </c>
      <c r="U3953" s="2" t="str">
        <f t="shared" si="387"/>
        <v>NA</v>
      </c>
    </row>
    <row r="3954" spans="1:21" ht="14.25" customHeight="1">
      <c r="A3954" s="2" t="s">
        <v>39</v>
      </c>
      <c r="B3954" s="2">
        <v>2007</v>
      </c>
      <c r="C3954" s="2" t="s">
        <v>52</v>
      </c>
      <c r="D3954" s="2">
        <v>13.038</v>
      </c>
      <c r="E3954" s="2">
        <v>19.891999999999999</v>
      </c>
      <c r="P3954" s="3">
        <f>E3954*(VLOOKUP(B3954,Price_data!A$1:B$190,2,FALSE))</f>
        <v>16.396865766322001</v>
      </c>
      <c r="Q3954" s="3">
        <f>G3954*(VLOOKUP(B3954,Price_data!A$1:B$190,2,FALSE))</f>
        <v>0</v>
      </c>
      <c r="R3954" s="3">
        <f>I3954*(VLOOKUP(B3954,Price_data!A$1:B$190,2,FALSE))</f>
        <v>0</v>
      </c>
      <c r="S3954" s="4" t="str">
        <f>(VLOOKUP(B3954,Price_data!A$1:C$190,3,FALSE))</f>
        <v>EEZ</v>
      </c>
      <c r="T3954" s="2" t="str">
        <f>IF(C3954="Total", (VLOOKUP(B3954,Recommended_fish_intake!A$4:D$122,4,FALSE)), "NA")</f>
        <v>NA</v>
      </c>
      <c r="U3954" s="2" t="str">
        <f t="shared" si="387"/>
        <v>NA</v>
      </c>
    </row>
    <row r="3955" spans="1:21" ht="14.25" customHeight="1">
      <c r="A3955" s="2" t="s">
        <v>39</v>
      </c>
      <c r="B3955" s="2">
        <v>2007</v>
      </c>
      <c r="C3955" s="2" t="s">
        <v>30</v>
      </c>
      <c r="D3955" s="2">
        <v>1E-3</v>
      </c>
      <c r="E3955" s="2">
        <v>1.7999999999999999E-2</v>
      </c>
      <c r="P3955" s="3">
        <f>E3955*(VLOOKUP(B3955,Price_data!A$1:B$190,2,FALSE))</f>
        <v>1.4837300612999999E-2</v>
      </c>
      <c r="Q3955" s="3">
        <f>G3955*(VLOOKUP(B3955,Price_data!A$1:B$190,2,FALSE))</f>
        <v>0</v>
      </c>
      <c r="R3955" s="3">
        <f>I3955*(VLOOKUP(B3955,Price_data!A$1:B$190,2,FALSE))</f>
        <v>0</v>
      </c>
      <c r="S3955" s="4" t="str">
        <f>(VLOOKUP(B3955,Price_data!A$1:C$190,3,FALSE))</f>
        <v>EEZ</v>
      </c>
      <c r="T3955" s="2" t="str">
        <f>IF(C3955="Total", (VLOOKUP(B3955,Recommended_fish_intake!A$4:D$122,4,FALSE)), "NA")</f>
        <v>NA</v>
      </c>
      <c r="U3955" s="2" t="str">
        <f t="shared" si="387"/>
        <v>NA</v>
      </c>
    </row>
    <row r="3956" spans="1:21" ht="14.25" customHeight="1">
      <c r="A3956" s="2" t="s">
        <v>39</v>
      </c>
      <c r="B3956" s="2">
        <v>2007</v>
      </c>
      <c r="C3956" s="2" t="s">
        <v>28</v>
      </c>
      <c r="D3956" s="2">
        <v>65.778000000000006</v>
      </c>
      <c r="E3956" s="2">
        <v>159.114</v>
      </c>
      <c r="P3956" s="3">
        <f>E3956*(VLOOKUP(B3956,Price_data!A$1:B$190,2,FALSE))</f>
        <v>131.15679165204901</v>
      </c>
      <c r="Q3956" s="3">
        <f>G3956*(VLOOKUP(B3956,Price_data!A$1:B$190,2,FALSE))</f>
        <v>0</v>
      </c>
      <c r="R3956" s="3">
        <f>I3956*(VLOOKUP(B3956,Price_data!A$1:B$190,2,FALSE))</f>
        <v>0</v>
      </c>
      <c r="S3956" s="4" t="str">
        <f>(VLOOKUP(B3956,Price_data!A$1:C$190,3,FALSE))</f>
        <v>EEZ</v>
      </c>
      <c r="T3956" s="2" t="str">
        <f>IF(C3956="Total", (VLOOKUP(B3956,Recommended_fish_intake!A$4:D$122,4,FALSE)), "NA")</f>
        <v>NA</v>
      </c>
      <c r="U3956" s="2">
        <f t="shared" si="387"/>
        <v>18.417840000000002</v>
      </c>
    </row>
    <row r="3957" spans="1:21" ht="14.25" customHeight="1">
      <c r="A3957" s="2" t="s">
        <v>40</v>
      </c>
      <c r="B3957" s="2">
        <v>2007</v>
      </c>
      <c r="C3957" s="2" t="s">
        <v>22</v>
      </c>
      <c r="D3957" s="2">
        <v>0.40500000000000003</v>
      </c>
      <c r="E3957" s="2">
        <v>0.94199999999999995</v>
      </c>
      <c r="P3957" s="3">
        <f>E3957*(VLOOKUP(B3957,Price_data!A$1:B$190,2,FALSE))</f>
        <v>0.77648539874699996</v>
      </c>
      <c r="Q3957" s="3">
        <f>G3957*(VLOOKUP(B3957,Price_data!A$1:B$190,2,FALSE))</f>
        <v>0</v>
      </c>
      <c r="R3957" s="3">
        <f>I3957*(VLOOKUP(B3957,Price_data!A$1:B$190,2,FALSE))</f>
        <v>0</v>
      </c>
      <c r="S3957" s="4" t="str">
        <f>(VLOOKUP(B3957,Price_data!A$1:C$190,3,FALSE))</f>
        <v>EEZ</v>
      </c>
      <c r="T3957" s="2" t="str">
        <f>IF(C3957="Total", (VLOOKUP(B3957,Recommended_fish_intake!A$4:D$122,4,FALSE)), "NA")</f>
        <v>NA</v>
      </c>
      <c r="U3957" s="2" t="str">
        <f t="shared" si="387"/>
        <v>NA</v>
      </c>
    </row>
    <row r="3958" spans="1:21" ht="14.25" customHeight="1">
      <c r="A3958" s="2" t="s">
        <v>40</v>
      </c>
      <c r="B3958" s="2">
        <v>2007</v>
      </c>
      <c r="C3958" s="2" t="s">
        <v>23</v>
      </c>
      <c r="D3958" s="2">
        <v>0.52100000000000002</v>
      </c>
      <c r="E3958" s="2">
        <v>0.50800000000000001</v>
      </c>
      <c r="P3958" s="3">
        <f>E3958*(VLOOKUP(B3958,Price_data!A$1:B$190,2,FALSE))</f>
        <v>0.41874159507800002</v>
      </c>
      <c r="Q3958" s="3">
        <f>G3958*(VLOOKUP(B3958,Price_data!A$1:B$190,2,FALSE))</f>
        <v>0</v>
      </c>
      <c r="R3958" s="3">
        <f>I3958*(VLOOKUP(B3958,Price_data!A$1:B$190,2,FALSE))</f>
        <v>0</v>
      </c>
      <c r="S3958" s="4" t="str">
        <f>(VLOOKUP(B3958,Price_data!A$1:C$190,3,FALSE))</f>
        <v>EEZ</v>
      </c>
      <c r="T3958" s="2" t="str">
        <f>IF(C3958="Total", (VLOOKUP(B3958,Recommended_fish_intake!A$4:D$122,4,FALSE)), "NA")</f>
        <v>NA</v>
      </c>
      <c r="U3958" s="2" t="str">
        <f t="shared" si="387"/>
        <v>NA</v>
      </c>
    </row>
    <row r="3959" spans="1:21" ht="14.25" customHeight="1">
      <c r="A3959" s="2" t="s">
        <v>40</v>
      </c>
      <c r="B3959" s="2">
        <v>2007</v>
      </c>
      <c r="C3959" s="2" t="s">
        <v>58</v>
      </c>
      <c r="D3959" s="2">
        <v>0.13800000000000001</v>
      </c>
      <c r="E3959" s="2">
        <v>0.29099999999999998</v>
      </c>
      <c r="P3959" s="3">
        <f>E3959*(VLOOKUP(B3959,Price_data!A$1:B$190,2,FALSE))</f>
        <v>0.23986969324349999</v>
      </c>
      <c r="Q3959" s="3">
        <f>G3959*(VLOOKUP(B3959,Price_data!A$1:B$190,2,FALSE))</f>
        <v>0</v>
      </c>
      <c r="R3959" s="3">
        <f>I3959*(VLOOKUP(B3959,Price_data!A$1:B$190,2,FALSE))</f>
        <v>0</v>
      </c>
      <c r="S3959" s="4" t="str">
        <f>(VLOOKUP(B3959,Price_data!A$1:C$190,3,FALSE))</f>
        <v>EEZ</v>
      </c>
      <c r="T3959" s="2" t="str">
        <f>IF(C3959="Total", (VLOOKUP(B3959,Recommended_fish_intake!A$4:D$122,4,FALSE)), "NA")</f>
        <v>NA</v>
      </c>
      <c r="U3959" s="2" t="str">
        <f t="shared" si="387"/>
        <v>NA</v>
      </c>
    </row>
    <row r="3960" spans="1:21" ht="14.25" customHeight="1">
      <c r="A3960" s="2" t="s">
        <v>40</v>
      </c>
      <c r="B3960" s="2">
        <v>2007</v>
      </c>
      <c r="C3960" s="2" t="s">
        <v>24</v>
      </c>
      <c r="D3960" s="2">
        <v>4.0000000000000001E-3</v>
      </c>
      <c r="E3960" s="2">
        <v>3.0000000000000001E-3</v>
      </c>
      <c r="P3960" s="3">
        <f>E3960*(VLOOKUP(B3960,Price_data!A$1:B$190,2,FALSE))</f>
        <v>2.4728834355000002E-3</v>
      </c>
      <c r="Q3960" s="3">
        <f>G3960*(VLOOKUP(B3960,Price_data!A$1:B$190,2,FALSE))</f>
        <v>0</v>
      </c>
      <c r="R3960" s="3">
        <f>I3960*(VLOOKUP(B3960,Price_data!A$1:B$190,2,FALSE))</f>
        <v>0</v>
      </c>
      <c r="S3960" s="4" t="str">
        <f>(VLOOKUP(B3960,Price_data!A$1:C$190,3,FALSE))</f>
        <v>EEZ</v>
      </c>
      <c r="T3960" s="2" t="str">
        <f>IF(C3960="Total", (VLOOKUP(B3960,Recommended_fish_intake!A$4:D$122,4,FALSE)), "NA")</f>
        <v>NA</v>
      </c>
      <c r="U3960" s="2" t="str">
        <f t="shared" si="387"/>
        <v>NA</v>
      </c>
    </row>
    <row r="3961" spans="1:21" ht="14.25" customHeight="1">
      <c r="A3961" s="2" t="s">
        <v>40</v>
      </c>
      <c r="B3961" s="2">
        <v>2007</v>
      </c>
      <c r="C3961" s="2" t="s">
        <v>41</v>
      </c>
      <c r="D3961" s="2">
        <v>1.653</v>
      </c>
      <c r="E3961" s="2">
        <v>2.6110000000000002</v>
      </c>
      <c r="P3961" s="3">
        <f>E3961*(VLOOKUP(B3961,Price_data!A$1:B$190,2,FALSE))</f>
        <v>2.1522328833635003</v>
      </c>
      <c r="Q3961" s="3">
        <f>G3961*(VLOOKUP(B3961,Price_data!A$1:B$190,2,FALSE))</f>
        <v>0</v>
      </c>
      <c r="R3961" s="3">
        <f>I3961*(VLOOKUP(B3961,Price_data!A$1:B$190,2,FALSE))</f>
        <v>0</v>
      </c>
      <c r="S3961" s="4" t="str">
        <f>(VLOOKUP(B3961,Price_data!A$1:C$190,3,FALSE))</f>
        <v>EEZ</v>
      </c>
      <c r="T3961" s="2" t="str">
        <f>IF(C3961="Total", (VLOOKUP(B3961,Recommended_fish_intake!A$4:D$122,4,FALSE)), "NA")</f>
        <v>NA</v>
      </c>
      <c r="U3961" s="2" t="str">
        <f t="shared" si="387"/>
        <v>NA</v>
      </c>
    </row>
    <row r="3962" spans="1:21" ht="14.25" customHeight="1">
      <c r="A3962" s="2" t="s">
        <v>40</v>
      </c>
      <c r="B3962" s="2">
        <v>2007</v>
      </c>
      <c r="C3962" s="2" t="s">
        <v>19</v>
      </c>
      <c r="D3962" s="2">
        <v>5.0880000000000001</v>
      </c>
      <c r="E3962" s="2">
        <v>0.86399999999999999</v>
      </c>
      <c r="P3962" s="3">
        <f>E3962*(VLOOKUP(B3962,Price_data!A$1:B$190,2,FALSE))</f>
        <v>0.71219042942400002</v>
      </c>
      <c r="Q3962" s="3">
        <f>G3962*(VLOOKUP(B3962,Price_data!A$1:B$190,2,FALSE))</f>
        <v>0</v>
      </c>
      <c r="R3962" s="3">
        <f>I3962*(VLOOKUP(B3962,Price_data!A$1:B$190,2,FALSE))</f>
        <v>0</v>
      </c>
      <c r="S3962" s="4" t="str">
        <f>(VLOOKUP(B3962,Price_data!A$1:C$190,3,FALSE))</f>
        <v>EEZ</v>
      </c>
      <c r="T3962" s="2" t="str">
        <f>IF(C3962="Total", (VLOOKUP(B3962,Recommended_fish_intake!A$4:D$122,4,FALSE)), "NA")</f>
        <v>NA</v>
      </c>
      <c r="U3962" s="2" t="str">
        <f t="shared" si="387"/>
        <v>NA</v>
      </c>
    </row>
    <row r="3963" spans="1:21" ht="14.25" customHeight="1">
      <c r="A3963" s="2" t="s">
        <v>40</v>
      </c>
      <c r="B3963" s="2">
        <v>2007</v>
      </c>
      <c r="C3963" s="2" t="s">
        <v>20</v>
      </c>
      <c r="D3963" s="2">
        <v>1.5860000000000001</v>
      </c>
      <c r="E3963" s="2">
        <v>1.1659999999999999</v>
      </c>
      <c r="P3963" s="3">
        <f>E3963*(VLOOKUP(B3963,Price_data!A$1:B$190,2,FALSE))</f>
        <v>0.96112736193100001</v>
      </c>
      <c r="Q3963" s="3">
        <f>G3963*(VLOOKUP(B3963,Price_data!A$1:B$190,2,FALSE))</f>
        <v>0</v>
      </c>
      <c r="R3963" s="3">
        <f>I3963*(VLOOKUP(B3963,Price_data!A$1:B$190,2,FALSE))</f>
        <v>0</v>
      </c>
      <c r="S3963" s="4" t="str">
        <f>(VLOOKUP(B3963,Price_data!A$1:C$190,3,FALSE))</f>
        <v>EEZ</v>
      </c>
      <c r="T3963" s="2" t="str">
        <f>IF(C3963="Total", (VLOOKUP(B3963,Recommended_fish_intake!A$4:D$122,4,FALSE)), "NA")</f>
        <v>NA</v>
      </c>
      <c r="U3963" s="2" t="str">
        <f t="shared" si="387"/>
        <v>NA</v>
      </c>
    </row>
    <row r="3964" spans="1:21" ht="14.25" customHeight="1">
      <c r="A3964" s="2" t="s">
        <v>40</v>
      </c>
      <c r="B3964" s="2">
        <v>2007</v>
      </c>
      <c r="C3964" s="2" t="s">
        <v>42</v>
      </c>
      <c r="D3964" s="2">
        <v>6.6740000000000004</v>
      </c>
      <c r="E3964" s="2">
        <v>2.0310000000000001</v>
      </c>
      <c r="P3964" s="3">
        <f>E3964*(VLOOKUP(B3964,Price_data!A$1:B$190,2,FALSE))</f>
        <v>1.6741420858335001</v>
      </c>
      <c r="Q3964" s="3">
        <f>G3964*(VLOOKUP(B3964,Price_data!A$1:B$190,2,FALSE))</f>
        <v>0</v>
      </c>
      <c r="R3964" s="3">
        <f>I3964*(VLOOKUP(B3964,Price_data!A$1:B$190,2,FALSE))</f>
        <v>0</v>
      </c>
      <c r="S3964" s="4" t="str">
        <f>(VLOOKUP(B3964,Price_data!A$1:C$190,3,FALSE))</f>
        <v>EEZ</v>
      </c>
      <c r="T3964" s="2" t="str">
        <f>IF(C3964="Total", (VLOOKUP(B3964,Recommended_fish_intake!A$4:D$122,4,FALSE)), "NA")</f>
        <v>NA</v>
      </c>
      <c r="U3964" s="2" t="str">
        <f t="shared" si="387"/>
        <v>NA</v>
      </c>
    </row>
    <row r="3965" spans="1:21" ht="14.25" customHeight="1">
      <c r="A3965" s="2" t="s">
        <v>40</v>
      </c>
      <c r="B3965" s="2">
        <v>2007</v>
      </c>
      <c r="C3965" s="2" t="s">
        <v>36</v>
      </c>
      <c r="D3965" s="2">
        <v>1.4179999999999999</v>
      </c>
      <c r="E3965" s="2">
        <v>1.3340000000000001</v>
      </c>
      <c r="P3965" s="3">
        <f>E3965*(VLOOKUP(B3965,Price_data!A$1:B$190,2,FALSE))</f>
        <v>1.099608834319</v>
      </c>
      <c r="Q3965" s="3">
        <f>G3965*(VLOOKUP(B3965,Price_data!A$1:B$190,2,FALSE))</f>
        <v>0</v>
      </c>
      <c r="R3965" s="3">
        <f>I3965*(VLOOKUP(B3965,Price_data!A$1:B$190,2,FALSE))</f>
        <v>0</v>
      </c>
      <c r="S3965" s="4" t="str">
        <f>(VLOOKUP(B3965,Price_data!A$1:C$190,3,FALSE))</f>
        <v>EEZ</v>
      </c>
      <c r="T3965" s="2" t="str">
        <f>IF(C3965="Total", (VLOOKUP(B3965,Recommended_fish_intake!A$4:D$122,4,FALSE)), "NA")</f>
        <v>NA</v>
      </c>
      <c r="U3965" s="2" t="str">
        <f t="shared" si="387"/>
        <v>NA</v>
      </c>
    </row>
    <row r="3966" spans="1:21" ht="14.25" customHeight="1">
      <c r="A3966" s="2" t="s">
        <v>40</v>
      </c>
      <c r="B3966" s="2">
        <v>2007</v>
      </c>
      <c r="C3966" s="2" t="s">
        <v>34</v>
      </c>
      <c r="D3966" s="2">
        <v>5.8999999999999997E-2</v>
      </c>
      <c r="E3966" s="2">
        <v>0.57999999999999996</v>
      </c>
      <c r="P3966" s="3">
        <f>E3966*(VLOOKUP(B3966,Price_data!A$1:B$190,2,FALSE))</f>
        <v>0.47809079753</v>
      </c>
      <c r="Q3966" s="3">
        <f>G3966*(VLOOKUP(B3966,Price_data!A$1:B$190,2,FALSE))</f>
        <v>0</v>
      </c>
      <c r="R3966" s="3">
        <f>I3966*(VLOOKUP(B3966,Price_data!A$1:B$190,2,FALSE))</f>
        <v>0</v>
      </c>
      <c r="S3966" s="4" t="str">
        <f>(VLOOKUP(B3966,Price_data!A$1:C$190,3,FALSE))</f>
        <v>EEZ</v>
      </c>
      <c r="T3966" s="2" t="str">
        <f>IF(C3966="Total", (VLOOKUP(B3966,Recommended_fish_intake!A$4:D$122,4,FALSE)), "NA")</f>
        <v>NA</v>
      </c>
      <c r="U3966" s="2" t="str">
        <f t="shared" si="387"/>
        <v>NA</v>
      </c>
    </row>
    <row r="3967" spans="1:21" ht="14.25" customHeight="1">
      <c r="A3967" s="2" t="s">
        <v>40</v>
      </c>
      <c r="B3967" s="2">
        <v>2007</v>
      </c>
      <c r="C3967" s="2" t="s">
        <v>35</v>
      </c>
      <c r="D3967" s="2">
        <v>6.1920000000000002</v>
      </c>
      <c r="E3967" s="2">
        <v>11.613</v>
      </c>
      <c r="P3967" s="3">
        <f>E3967*(VLOOKUP(B3967,Price_data!A$1:B$190,2,FALSE))</f>
        <v>9.5725317788204993</v>
      </c>
      <c r="Q3967" s="3">
        <f>G3967*(VLOOKUP(B3967,Price_data!A$1:B$190,2,FALSE))</f>
        <v>0</v>
      </c>
      <c r="R3967" s="3">
        <f>I3967*(VLOOKUP(B3967,Price_data!A$1:B$190,2,FALSE))</f>
        <v>0</v>
      </c>
      <c r="S3967" s="4" t="str">
        <f>(VLOOKUP(B3967,Price_data!A$1:C$190,3,FALSE))</f>
        <v>EEZ</v>
      </c>
      <c r="T3967" s="2" t="str">
        <f>IF(C3967="Total", (VLOOKUP(B3967,Recommended_fish_intake!A$4:D$122,4,FALSE)), "NA")</f>
        <v>NA</v>
      </c>
      <c r="U3967" s="2" t="str">
        <f t="shared" si="387"/>
        <v>NA</v>
      </c>
    </row>
    <row r="3968" spans="1:21" ht="14.25" customHeight="1">
      <c r="A3968" s="2" t="s">
        <v>40</v>
      </c>
      <c r="B3968" s="2">
        <v>2007</v>
      </c>
      <c r="C3968" s="2" t="s">
        <v>52</v>
      </c>
      <c r="D3968" s="2">
        <v>0.56499999999999995</v>
      </c>
      <c r="E3968" s="2">
        <v>0.67300000000000004</v>
      </c>
      <c r="P3968" s="3">
        <f>E3968*(VLOOKUP(B3968,Price_data!A$1:B$190,2,FALSE))</f>
        <v>0.55475018403050003</v>
      </c>
      <c r="Q3968" s="3">
        <f>G3968*(VLOOKUP(B3968,Price_data!A$1:B$190,2,FALSE))</f>
        <v>0</v>
      </c>
      <c r="R3968" s="3">
        <f>I3968*(VLOOKUP(B3968,Price_data!A$1:B$190,2,FALSE))</f>
        <v>0</v>
      </c>
      <c r="S3968" s="4" t="str">
        <f>(VLOOKUP(B3968,Price_data!A$1:C$190,3,FALSE))</f>
        <v>EEZ</v>
      </c>
      <c r="T3968" s="2" t="str">
        <f>IF(C3968="Total", (VLOOKUP(B3968,Recommended_fish_intake!A$4:D$122,4,FALSE)), "NA")</f>
        <v>NA</v>
      </c>
      <c r="U3968" s="2" t="str">
        <f t="shared" si="387"/>
        <v>NA</v>
      </c>
    </row>
    <row r="3969" spans="1:21" ht="14.25" customHeight="1">
      <c r="A3969" s="2" t="s">
        <v>40</v>
      </c>
      <c r="B3969" s="2">
        <v>2007</v>
      </c>
      <c r="C3969" s="2" t="s">
        <v>30</v>
      </c>
      <c r="D3969" s="2">
        <v>0</v>
      </c>
      <c r="E3969" s="2">
        <v>4.0000000000000001E-3</v>
      </c>
      <c r="P3969" s="3">
        <f>E3969*(VLOOKUP(B3969,Price_data!A$1:B$190,2,FALSE))</f>
        <v>3.2971779140000003E-3</v>
      </c>
      <c r="Q3969" s="3">
        <f>G3969*(VLOOKUP(B3969,Price_data!A$1:B$190,2,FALSE))</f>
        <v>0</v>
      </c>
      <c r="R3969" s="3">
        <f>I3969*(VLOOKUP(B3969,Price_data!A$1:B$190,2,FALSE))</f>
        <v>0</v>
      </c>
      <c r="S3969" s="4" t="str">
        <f>(VLOOKUP(B3969,Price_data!A$1:C$190,3,FALSE))</f>
        <v>EEZ</v>
      </c>
      <c r="T3969" s="2" t="str">
        <f>IF(C3969="Total", (VLOOKUP(B3969,Recommended_fish_intake!A$4:D$122,4,FALSE)), "NA")</f>
        <v>NA</v>
      </c>
      <c r="U3969" s="2" t="str">
        <f t="shared" si="387"/>
        <v>NA</v>
      </c>
    </row>
    <row r="3970" spans="1:21" ht="14.25" customHeight="1">
      <c r="A3970" s="2" t="s">
        <v>40</v>
      </c>
      <c r="B3970" s="2">
        <v>2007</v>
      </c>
      <c r="C3970" s="2" t="s">
        <v>28</v>
      </c>
      <c r="D3970" s="2">
        <v>9.4239999999999995</v>
      </c>
      <c r="E3970" s="2">
        <v>14.712</v>
      </c>
      <c r="P3970" s="3">
        <f>E3970*(VLOOKUP(B3970,Price_data!A$1:B$190,2,FALSE))</f>
        <v>12.127020367692001</v>
      </c>
      <c r="Q3970" s="3">
        <f>G3970*(VLOOKUP(B3970,Price_data!A$1:B$190,2,FALSE))</f>
        <v>0</v>
      </c>
      <c r="R3970" s="3">
        <f>I3970*(VLOOKUP(B3970,Price_data!A$1:B$190,2,FALSE))</f>
        <v>0</v>
      </c>
      <c r="S3970" s="4" t="str">
        <f>(VLOOKUP(B3970,Price_data!A$1:C$190,3,FALSE))</f>
        <v>EEZ</v>
      </c>
      <c r="T3970" s="2" t="str">
        <f>IF(C3970="Total", (VLOOKUP(B3970,Recommended_fish_intake!A$4:D$122,4,FALSE)), "NA")</f>
        <v>NA</v>
      </c>
      <c r="U3970" s="2">
        <f t="shared" ref="U3970:U4033" si="388">IF(C3970="Wet fish", D3970*0.49, IF(C3970="Shellfish", D3970*0.28, "NA"))</f>
        <v>2.6387200000000002</v>
      </c>
    </row>
    <row r="3971" spans="1:21" ht="14.25" customHeight="1">
      <c r="A3971" s="2" t="s">
        <v>40</v>
      </c>
      <c r="B3971" s="2">
        <v>2007</v>
      </c>
      <c r="C3971" s="4" t="s">
        <v>37</v>
      </c>
      <c r="D3971" s="3">
        <f>D3843+D3795</f>
        <v>13.492000000000001</v>
      </c>
      <c r="E3971" s="3">
        <f>E3843+E3795</f>
        <v>10.975999999999999</v>
      </c>
      <c r="P3971" s="3">
        <f>E3971*(VLOOKUP(B3971,Price_data!A$1:B$190,2,FALSE))</f>
        <v>9.0474561960160003</v>
      </c>
      <c r="Q3971" s="3">
        <f>G3971*(VLOOKUP(B3971,Price_data!A$1:B$190,2,FALSE))</f>
        <v>0</v>
      </c>
      <c r="R3971" s="3">
        <f>I3971*(VLOOKUP(B3971,Price_data!A$1:B$190,2,FALSE))</f>
        <v>0</v>
      </c>
      <c r="S3971" s="4" t="str">
        <f>(VLOOKUP(B3971,Price_data!A$1:C$190,3,FALSE))</f>
        <v>EEZ</v>
      </c>
      <c r="T3971" s="2" t="str">
        <f>IF(C3971="Total", (VLOOKUP(B3971,Recommended_fish_intake!A$4:D$122,4,FALSE)), "NA")</f>
        <v>NA</v>
      </c>
      <c r="U3971" s="2">
        <f t="shared" si="388"/>
        <v>6.6110800000000003</v>
      </c>
    </row>
    <row r="3972" spans="1:21" ht="14.25" customHeight="1">
      <c r="A3972" s="2" t="s">
        <v>39</v>
      </c>
      <c r="B3972" s="2">
        <v>2007</v>
      </c>
      <c r="C3972" s="4" t="s">
        <v>37</v>
      </c>
      <c r="D3972" s="3">
        <f>D3588+D3540</f>
        <v>3.3</v>
      </c>
      <c r="E3972" s="3">
        <f>E3588+E3540</f>
        <v>6.1</v>
      </c>
      <c r="P3972" s="3">
        <f>E3972*(VLOOKUP(B3972,Price_data!A$1:B$190,2,FALSE))</f>
        <v>5.0281963188500001</v>
      </c>
      <c r="Q3972" s="3">
        <f>G3972*(VLOOKUP(B3972,Price_data!A$1:B$190,2,FALSE))</f>
        <v>0</v>
      </c>
      <c r="R3972" s="3">
        <f>I3972*(VLOOKUP(B3972,Price_data!A$1:B$190,2,FALSE))</f>
        <v>0</v>
      </c>
      <c r="S3972" s="4" t="str">
        <f>(VLOOKUP(B3972,Price_data!A$1:C$190,3,FALSE))</f>
        <v>EEZ</v>
      </c>
      <c r="T3972" s="2" t="str">
        <f>IF(C3972="Total", (VLOOKUP(B3972,Recommended_fish_intake!A$4:D$122,4,FALSE)), "NA")</f>
        <v>NA</v>
      </c>
      <c r="U3972" s="2">
        <f t="shared" si="388"/>
        <v>1.617</v>
      </c>
    </row>
    <row r="3973" spans="1:21" ht="14.25" customHeight="1">
      <c r="A3973" s="2" t="s">
        <v>18</v>
      </c>
      <c r="B3973" s="2">
        <v>2007</v>
      </c>
      <c r="C3973" s="2" t="s">
        <v>22</v>
      </c>
      <c r="D3973" s="3">
        <f t="shared" ref="D3973:E3986" si="389">D3221+D2981</f>
        <v>50.808</v>
      </c>
      <c r="E3973" s="3">
        <f t="shared" si="389"/>
        <v>10.639000000000001</v>
      </c>
      <c r="P3973" s="3">
        <f>E3973*(VLOOKUP(B3973,Price_data!A$1:B$190,2,FALSE))</f>
        <v>8.7696689567615014</v>
      </c>
      <c r="Q3973" s="3">
        <f>G3973*(VLOOKUP(B3973,Price_data!A$1:B$190,2,FALSE))</f>
        <v>0</v>
      </c>
      <c r="R3973" s="3">
        <f>I3973*(VLOOKUP(B3973,Price_data!A$1:B$190,2,FALSE))</f>
        <v>0</v>
      </c>
      <c r="S3973" s="4" t="str">
        <f>(VLOOKUP(B3973,Price_data!A$1:C$190,3,FALSE))</f>
        <v>EEZ</v>
      </c>
      <c r="T3973" s="2" t="str">
        <f>IF(C3973="Total", (VLOOKUP(B3973,Recommended_fish_intake!A$4:D$122,4,FALSE)), "NA")</f>
        <v>NA</v>
      </c>
      <c r="U3973" s="2" t="str">
        <f t="shared" si="388"/>
        <v>NA</v>
      </c>
    </row>
    <row r="3974" spans="1:21" ht="14.25" customHeight="1">
      <c r="A3974" s="2" t="s">
        <v>18</v>
      </c>
      <c r="B3974" s="2">
        <v>2007</v>
      </c>
      <c r="C3974" s="2" t="s">
        <v>23</v>
      </c>
      <c r="D3974" s="3">
        <f t="shared" si="389"/>
        <v>14.527000000000001</v>
      </c>
      <c r="E3974" s="3">
        <f t="shared" si="389"/>
        <v>2.2850000000000001</v>
      </c>
      <c r="P3974" s="3">
        <f>E3974*(VLOOKUP(B3974,Price_data!A$1:B$190,2,FALSE))</f>
        <v>1.8835128833725001</v>
      </c>
      <c r="Q3974" s="3">
        <f>G3974*(VLOOKUP(B3974,Price_data!A$1:B$190,2,FALSE))</f>
        <v>0</v>
      </c>
      <c r="R3974" s="3">
        <f>I3974*(VLOOKUP(B3974,Price_data!A$1:B$190,2,FALSE))</f>
        <v>0</v>
      </c>
      <c r="S3974" s="4" t="str">
        <f>(VLOOKUP(B3974,Price_data!A$1:C$190,3,FALSE))</f>
        <v>EEZ</v>
      </c>
      <c r="T3974" s="2" t="str">
        <f>IF(C3974="Total", (VLOOKUP(B3974,Recommended_fish_intake!A$4:D$122,4,FALSE)), "NA")</f>
        <v>NA</v>
      </c>
      <c r="U3974" s="2" t="str">
        <f t="shared" si="388"/>
        <v>NA</v>
      </c>
    </row>
    <row r="3975" spans="1:21" ht="14.25" customHeight="1">
      <c r="A3975" s="2" t="s">
        <v>18</v>
      </c>
      <c r="B3975" s="2">
        <v>2007</v>
      </c>
      <c r="C3975" s="2" t="s">
        <v>58</v>
      </c>
      <c r="D3975" s="3">
        <f t="shared" si="389"/>
        <v>9.5</v>
      </c>
      <c r="E3975" s="3">
        <f t="shared" si="389"/>
        <v>12.597</v>
      </c>
      <c r="P3975" s="3">
        <f>E3975*(VLOOKUP(B3975,Price_data!A$1:B$190,2,FALSE))</f>
        <v>10.3836375456645</v>
      </c>
      <c r="Q3975" s="3">
        <f>G3975*(VLOOKUP(B3975,Price_data!A$1:B$190,2,FALSE))</f>
        <v>0</v>
      </c>
      <c r="R3975" s="3">
        <f>I3975*(VLOOKUP(B3975,Price_data!A$1:B$190,2,FALSE))</f>
        <v>0</v>
      </c>
      <c r="S3975" s="4" t="str">
        <f>(VLOOKUP(B3975,Price_data!A$1:C$190,3,FALSE))</f>
        <v>EEZ</v>
      </c>
      <c r="T3975" s="2" t="str">
        <f>IF(C3975="Total", (VLOOKUP(B3975,Recommended_fish_intake!A$4:D$122,4,FALSE)), "NA")</f>
        <v>NA</v>
      </c>
      <c r="U3975" s="2" t="str">
        <f t="shared" si="388"/>
        <v>NA</v>
      </c>
    </row>
    <row r="3976" spans="1:21" ht="14.25" customHeight="1">
      <c r="A3976" s="2" t="s">
        <v>18</v>
      </c>
      <c r="B3976" s="2">
        <v>2007</v>
      </c>
      <c r="C3976" s="2" t="s">
        <v>24</v>
      </c>
      <c r="D3976" s="3" t="e">
        <f t="shared" si="389"/>
        <v>#N/A</v>
      </c>
      <c r="E3976" s="3" t="e">
        <f t="shared" si="389"/>
        <v>#N/A</v>
      </c>
      <c r="P3976" s="3" t="e">
        <f>E3976*(VLOOKUP(B3976,Price_data!A$1:B$190,2,FALSE))</f>
        <v>#N/A</v>
      </c>
      <c r="Q3976" s="3">
        <f>G3976*(VLOOKUP(B3976,Price_data!A$1:B$190,2,FALSE))</f>
        <v>0</v>
      </c>
      <c r="R3976" s="3">
        <f>I3976*(VLOOKUP(B3976,Price_data!A$1:B$190,2,FALSE))</f>
        <v>0</v>
      </c>
      <c r="S3976" s="4" t="str">
        <f>(VLOOKUP(B3976,Price_data!A$1:C$190,3,FALSE))</f>
        <v>EEZ</v>
      </c>
      <c r="T3976" s="2" t="str">
        <f>IF(C3976="Total", (VLOOKUP(B3976,Recommended_fish_intake!A$4:D$122,4,FALSE)), "NA")</f>
        <v>NA</v>
      </c>
      <c r="U3976" s="2" t="str">
        <f t="shared" si="388"/>
        <v>NA</v>
      </c>
    </row>
    <row r="3977" spans="1:21" ht="14.25" customHeight="1">
      <c r="A3977" s="2" t="s">
        <v>18</v>
      </c>
      <c r="B3977" s="2">
        <v>2007</v>
      </c>
      <c r="C3977" s="2" t="s">
        <v>41</v>
      </c>
      <c r="D3977" s="3" t="e">
        <f t="shared" si="389"/>
        <v>#N/A</v>
      </c>
      <c r="E3977" s="3" t="e">
        <f t="shared" si="389"/>
        <v>#N/A</v>
      </c>
      <c r="P3977" s="3" t="e">
        <f>E3977*(VLOOKUP(B3977,Price_data!A$1:B$190,2,FALSE))</f>
        <v>#N/A</v>
      </c>
      <c r="Q3977" s="3">
        <f>G3977*(VLOOKUP(B3977,Price_data!A$1:B$190,2,FALSE))</f>
        <v>0</v>
      </c>
      <c r="R3977" s="3">
        <f>I3977*(VLOOKUP(B3977,Price_data!A$1:B$190,2,FALSE))</f>
        <v>0</v>
      </c>
      <c r="S3977" s="4" t="str">
        <f>(VLOOKUP(B3977,Price_data!A$1:C$190,3,FALSE))</f>
        <v>EEZ</v>
      </c>
      <c r="T3977" s="2" t="str">
        <f>IF(C3977="Total", (VLOOKUP(B3977,Recommended_fish_intake!A$4:D$122,4,FALSE)), "NA")</f>
        <v>NA</v>
      </c>
      <c r="U3977" s="2" t="str">
        <f t="shared" si="388"/>
        <v>NA</v>
      </c>
    </row>
    <row r="3978" spans="1:21" ht="14.25" customHeight="1">
      <c r="A3978" s="2" t="s">
        <v>18</v>
      </c>
      <c r="B3978" s="2">
        <v>2007</v>
      </c>
      <c r="C3978" s="2" t="s">
        <v>19</v>
      </c>
      <c r="D3978" s="3">
        <f t="shared" si="389"/>
        <v>12.8</v>
      </c>
      <c r="E3978" s="3">
        <f t="shared" si="389"/>
        <v>16.3</v>
      </c>
      <c r="P3978" s="3">
        <f>E3978*(VLOOKUP(B3978,Price_data!A$1:B$190,2,FALSE))</f>
        <v>13.435999999550001</v>
      </c>
      <c r="Q3978" s="3">
        <f>G3978*(VLOOKUP(B3978,Price_data!A$1:B$190,2,FALSE))</f>
        <v>0</v>
      </c>
      <c r="R3978" s="3">
        <f>I3978*(VLOOKUP(B3978,Price_data!A$1:B$190,2,FALSE))</f>
        <v>0</v>
      </c>
      <c r="S3978" s="4" t="str">
        <f>(VLOOKUP(B3978,Price_data!A$1:C$190,3,FALSE))</f>
        <v>EEZ</v>
      </c>
      <c r="T3978" s="2" t="str">
        <f>IF(C3978="Total", (VLOOKUP(B3978,Recommended_fish_intake!A$4:D$122,4,FALSE)), "NA")</f>
        <v>NA</v>
      </c>
      <c r="U3978" s="2" t="str">
        <f t="shared" si="388"/>
        <v>NA</v>
      </c>
    </row>
    <row r="3979" spans="1:21" ht="14.25" customHeight="1">
      <c r="A3979" s="2" t="s">
        <v>18</v>
      </c>
      <c r="B3979" s="2">
        <v>2007</v>
      </c>
      <c r="C3979" s="2" t="s">
        <v>20</v>
      </c>
      <c r="D3979" s="3">
        <f t="shared" si="389"/>
        <v>10.581</v>
      </c>
      <c r="E3979" s="3">
        <f t="shared" si="389"/>
        <v>14.745000000000001</v>
      </c>
      <c r="P3979" s="3">
        <f>E3979*(VLOOKUP(B3979,Price_data!A$1:B$190,2,FALSE))</f>
        <v>12.154222085482502</v>
      </c>
      <c r="Q3979" s="3">
        <f>G3979*(VLOOKUP(B3979,Price_data!A$1:B$190,2,FALSE))</f>
        <v>0</v>
      </c>
      <c r="R3979" s="3">
        <f>I3979*(VLOOKUP(B3979,Price_data!A$1:B$190,2,FALSE))</f>
        <v>0</v>
      </c>
      <c r="S3979" s="4" t="str">
        <f>(VLOOKUP(B3979,Price_data!A$1:C$190,3,FALSE))</f>
        <v>EEZ</v>
      </c>
      <c r="T3979" s="2" t="str">
        <f>IF(C3979="Total", (VLOOKUP(B3979,Recommended_fish_intake!A$4:D$122,4,FALSE)), "NA")</f>
        <v>NA</v>
      </c>
      <c r="U3979" s="2" t="str">
        <f t="shared" si="388"/>
        <v>NA</v>
      </c>
    </row>
    <row r="3980" spans="1:21" ht="14.25" customHeight="1">
      <c r="A3980" s="2" t="s">
        <v>18</v>
      </c>
      <c r="B3980" s="2">
        <v>2007</v>
      </c>
      <c r="C3980" s="2" t="s">
        <v>42</v>
      </c>
      <c r="D3980" s="3">
        <f t="shared" si="389"/>
        <v>10.189</v>
      </c>
      <c r="E3980" s="3">
        <f t="shared" si="389"/>
        <v>8.597999999999999</v>
      </c>
      <c r="P3980" s="3">
        <f>E3980*(VLOOKUP(B3980,Price_data!A$1:B$190,2,FALSE))</f>
        <v>7.0872839261429998</v>
      </c>
      <c r="Q3980" s="3">
        <f>G3980*(VLOOKUP(B3980,Price_data!A$1:B$190,2,FALSE))</f>
        <v>0</v>
      </c>
      <c r="R3980" s="3">
        <f>I3980*(VLOOKUP(B3980,Price_data!A$1:B$190,2,FALSE))</f>
        <v>0</v>
      </c>
      <c r="S3980" s="4" t="str">
        <f>(VLOOKUP(B3980,Price_data!A$1:C$190,3,FALSE))</f>
        <v>EEZ</v>
      </c>
      <c r="T3980" s="2" t="str">
        <f>IF(C3980="Total", (VLOOKUP(B3980,Recommended_fish_intake!A$4:D$122,4,FALSE)), "NA")</f>
        <v>NA</v>
      </c>
      <c r="U3980" s="2" t="str">
        <f t="shared" si="388"/>
        <v>NA</v>
      </c>
    </row>
    <row r="3981" spans="1:21" ht="14.25" customHeight="1">
      <c r="A3981" s="2" t="s">
        <v>18</v>
      </c>
      <c r="B3981" s="2">
        <v>2007</v>
      </c>
      <c r="C3981" s="2" t="s">
        <v>36</v>
      </c>
      <c r="D3981" s="3">
        <f t="shared" si="389"/>
        <v>516.04899999999998</v>
      </c>
      <c r="E3981" s="3">
        <f t="shared" si="389"/>
        <v>249.67400000000001</v>
      </c>
      <c r="P3981" s="3">
        <f>E3981*(VLOOKUP(B3981,Price_data!A$1:B$190,2,FALSE))</f>
        <v>205.80489962500903</v>
      </c>
      <c r="Q3981" s="3">
        <f>G3981*(VLOOKUP(B3981,Price_data!A$1:B$190,2,FALSE))</f>
        <v>0</v>
      </c>
      <c r="R3981" s="3">
        <f>I3981*(VLOOKUP(B3981,Price_data!A$1:B$190,2,FALSE))</f>
        <v>0</v>
      </c>
      <c r="S3981" s="4" t="str">
        <f>(VLOOKUP(B3981,Price_data!A$1:C$190,3,FALSE))</f>
        <v>EEZ</v>
      </c>
      <c r="T3981" s="2" t="str">
        <f>IF(C3981="Total", (VLOOKUP(B3981,Recommended_fish_intake!A$4:D$122,4,FALSE)), "NA")</f>
        <v>NA</v>
      </c>
      <c r="U3981" s="2" t="str">
        <f t="shared" si="388"/>
        <v>NA</v>
      </c>
    </row>
    <row r="3982" spans="1:21" ht="14.25" customHeight="1">
      <c r="A3982" s="2" t="s">
        <v>18</v>
      </c>
      <c r="B3982" s="2">
        <v>2007</v>
      </c>
      <c r="C3982" s="2" t="s">
        <v>34</v>
      </c>
      <c r="D3982" s="3">
        <f t="shared" si="389"/>
        <v>248.24299999999999</v>
      </c>
      <c r="E3982" s="3">
        <f t="shared" si="389"/>
        <v>228.33999999999997</v>
      </c>
      <c r="P3982" s="3">
        <f>E3982*(VLOOKUP(B3982,Price_data!A$1:B$190,2,FALSE))</f>
        <v>188.21940122068997</v>
      </c>
      <c r="Q3982" s="3">
        <f>G3982*(VLOOKUP(B3982,Price_data!A$1:B$190,2,FALSE))</f>
        <v>0</v>
      </c>
      <c r="R3982" s="3">
        <f>I3982*(VLOOKUP(B3982,Price_data!A$1:B$190,2,FALSE))</f>
        <v>0</v>
      </c>
      <c r="S3982" s="4" t="str">
        <f>(VLOOKUP(B3982,Price_data!A$1:C$190,3,FALSE))</f>
        <v>EEZ</v>
      </c>
      <c r="T3982" s="2" t="str">
        <f>IF(C3982="Total", (VLOOKUP(B3982,Recommended_fish_intake!A$4:D$122,4,FALSE)), "NA")</f>
        <v>NA</v>
      </c>
      <c r="U3982" s="2" t="str">
        <f t="shared" si="388"/>
        <v>NA</v>
      </c>
    </row>
    <row r="3983" spans="1:21" ht="14.25" customHeight="1">
      <c r="A3983" s="2" t="s">
        <v>18</v>
      </c>
      <c r="B3983" s="2">
        <v>2007</v>
      </c>
      <c r="C3983" s="2" t="s">
        <v>35</v>
      </c>
      <c r="D3983" s="3">
        <f t="shared" si="389"/>
        <v>605.45899999999995</v>
      </c>
      <c r="E3983" s="3">
        <f t="shared" si="389"/>
        <v>276.84499999999997</v>
      </c>
      <c r="P3983" s="3">
        <f>E3983*(VLOOKUP(B3983,Price_data!A$1:B$190,2,FALSE))</f>
        <v>228.20180490033249</v>
      </c>
      <c r="Q3983" s="3">
        <f>G3983*(VLOOKUP(B3983,Price_data!A$1:B$190,2,FALSE))</f>
        <v>0</v>
      </c>
      <c r="R3983" s="3">
        <f>I3983*(VLOOKUP(B3983,Price_data!A$1:B$190,2,FALSE))</f>
        <v>0</v>
      </c>
      <c r="S3983" s="4" t="str">
        <f>(VLOOKUP(B3983,Price_data!A$1:C$190,3,FALSE))</f>
        <v>EEZ</v>
      </c>
      <c r="T3983" s="2" t="str">
        <f>IF(C3983="Total", (VLOOKUP(B3983,Recommended_fish_intake!A$4:D$122,4,FALSE)), "NA")</f>
        <v>NA</v>
      </c>
      <c r="U3983" s="2" t="str">
        <f t="shared" si="388"/>
        <v>NA</v>
      </c>
    </row>
    <row r="3984" spans="1:21" ht="14.25" customHeight="1">
      <c r="A3984" s="2" t="s">
        <v>18</v>
      </c>
      <c r="B3984" s="2">
        <v>2007</v>
      </c>
      <c r="C3984" s="2" t="s">
        <v>52</v>
      </c>
      <c r="D3984" s="3">
        <f t="shared" si="389"/>
        <v>31.648000000000003</v>
      </c>
      <c r="E3984" s="3">
        <f t="shared" si="389"/>
        <v>18.146999999999998</v>
      </c>
      <c r="P3984" s="3">
        <f>E3984*(VLOOKUP(B3984,Price_data!A$1:B$190,2,FALSE))</f>
        <v>14.9584719013395</v>
      </c>
      <c r="Q3984" s="3">
        <f>G3984*(VLOOKUP(B3984,Price_data!A$1:B$190,2,FALSE))</f>
        <v>0</v>
      </c>
      <c r="R3984" s="3">
        <f>I3984*(VLOOKUP(B3984,Price_data!A$1:B$190,2,FALSE))</f>
        <v>0</v>
      </c>
      <c r="S3984" s="4" t="str">
        <f>(VLOOKUP(B3984,Price_data!A$1:C$190,3,FALSE))</f>
        <v>EEZ</v>
      </c>
      <c r="T3984" s="2" t="str">
        <f>IF(C3984="Total", (VLOOKUP(B3984,Recommended_fish_intake!A$4:D$122,4,FALSE)), "NA")</f>
        <v>NA</v>
      </c>
      <c r="U3984" s="2" t="str">
        <f t="shared" si="388"/>
        <v>NA</v>
      </c>
    </row>
    <row r="3985" spans="1:21" ht="14.25" customHeight="1">
      <c r="A3985" s="2" t="s">
        <v>18</v>
      </c>
      <c r="B3985" s="2">
        <v>2007</v>
      </c>
      <c r="C3985" s="2" t="s">
        <v>30</v>
      </c>
      <c r="D3985" s="3">
        <f t="shared" si="389"/>
        <v>944.553</v>
      </c>
      <c r="E3985" s="3">
        <f t="shared" si="389"/>
        <v>515.25400000000002</v>
      </c>
      <c r="P3985" s="3">
        <f>E3985*(VLOOKUP(B3985,Price_data!A$1:B$190,2,FALSE))</f>
        <v>424.72102722503905</v>
      </c>
      <c r="Q3985" s="3">
        <f>G3985*(VLOOKUP(B3985,Price_data!A$1:B$190,2,FALSE))</f>
        <v>0</v>
      </c>
      <c r="R3985" s="3">
        <f>I3985*(VLOOKUP(B3985,Price_data!A$1:B$190,2,FALSE))</f>
        <v>0</v>
      </c>
      <c r="S3985" s="4" t="str">
        <f>(VLOOKUP(B3985,Price_data!A$1:C$190,3,FALSE))</f>
        <v>EEZ</v>
      </c>
      <c r="T3985" s="2" t="str">
        <f>IF(C3985="Total", (VLOOKUP(B3985,Recommended_fish_intake!A$4:D$122,4,FALSE)), "NA")</f>
        <v>NA</v>
      </c>
      <c r="U3985" s="2" t="str">
        <f t="shared" si="388"/>
        <v>NA</v>
      </c>
    </row>
    <row r="3986" spans="1:21" ht="14.25" customHeight="1">
      <c r="A3986" s="2" t="s">
        <v>18</v>
      </c>
      <c r="B3986" s="2">
        <v>2007</v>
      </c>
      <c r="C3986" s="2" t="s">
        <v>28</v>
      </c>
      <c r="D3986" s="3">
        <f t="shared" si="389"/>
        <v>25.603000000000002</v>
      </c>
      <c r="E3986" s="3">
        <f t="shared" si="389"/>
        <v>20.63</v>
      </c>
      <c r="P3986" s="3">
        <f>E3986*(VLOOKUP(B3986,Price_data!A$1:B$190,2,FALSE))</f>
        <v>17.005195091455001</v>
      </c>
      <c r="Q3986" s="3">
        <f>G3986*(VLOOKUP(B3986,Price_data!A$1:B$190,2,FALSE))</f>
        <v>0</v>
      </c>
      <c r="R3986" s="3">
        <f>I3986*(VLOOKUP(B3986,Price_data!A$1:B$190,2,FALSE))</f>
        <v>0</v>
      </c>
      <c r="S3986" s="4" t="str">
        <f>(VLOOKUP(B3986,Price_data!A$1:C$190,3,FALSE))</f>
        <v>EEZ</v>
      </c>
      <c r="T3986" s="2" t="str">
        <f>IF(C3986="Total", (VLOOKUP(B3986,Recommended_fish_intake!A$4:D$122,4,FALSE)), "NA")</f>
        <v>NA</v>
      </c>
      <c r="U3986" s="2">
        <f t="shared" si="388"/>
        <v>7.1688400000000012</v>
      </c>
    </row>
    <row r="3987" spans="1:21" ht="14.25" customHeight="1">
      <c r="A3987" s="2" t="s">
        <v>18</v>
      </c>
      <c r="B3987" s="2">
        <v>2007</v>
      </c>
      <c r="C3987" s="2" t="s">
        <v>37</v>
      </c>
      <c r="D3987" s="3">
        <f>D3811+D3859</f>
        <v>5.1100000000000003</v>
      </c>
      <c r="E3987" s="3">
        <f>E3811+E3859</f>
        <v>1.9370000000000001</v>
      </c>
      <c r="P3987" s="3">
        <f>E3987*(VLOOKUP(B3987,Price_data!A$1:B$190,2,FALSE))</f>
        <v>1.5966584048545001</v>
      </c>
      <c r="Q3987" s="3">
        <f>G3987*(VLOOKUP(B3987,Price_data!A$1:B$190,2,FALSE))</f>
        <v>0</v>
      </c>
      <c r="R3987" s="3">
        <f>I3987*(VLOOKUP(B3987,Price_data!A$1:B$190,2,FALSE))</f>
        <v>0</v>
      </c>
      <c r="S3987" s="4" t="str">
        <f>(VLOOKUP(B3987,Price_data!A$1:C$190,3,FALSE))</f>
        <v>EEZ</v>
      </c>
      <c r="T3987" s="2" t="str">
        <f>IF(C3987="Total", (VLOOKUP(B3987,Recommended_fish_intake!A$4:D$122,4,FALSE)), "NA")</f>
        <v>NA</v>
      </c>
      <c r="U3987" s="2">
        <f t="shared" si="388"/>
        <v>2.5039000000000002</v>
      </c>
    </row>
    <row r="3988" spans="1:21" ht="14.25" customHeight="1">
      <c r="A3988" s="2" t="s">
        <v>15</v>
      </c>
      <c r="B3988" s="2">
        <v>2007</v>
      </c>
      <c r="C3988" s="2" t="s">
        <v>42</v>
      </c>
      <c r="D3988" s="2">
        <v>186.43700000000001</v>
      </c>
      <c r="E3988" s="2">
        <v>83.911000000000001</v>
      </c>
      <c r="F3988" s="2" t="s">
        <v>92</v>
      </c>
      <c r="G3988" s="2" t="s">
        <v>92</v>
      </c>
      <c r="H3988" s="2" t="s">
        <v>92</v>
      </c>
      <c r="I3988" s="2" t="s">
        <v>92</v>
      </c>
      <c r="P3988" s="3">
        <f>E3988*(VLOOKUP(B3988,Price_data!A$1:B$190,2,FALSE))</f>
        <v>69.167373985413505</v>
      </c>
      <c r="Q3988" s="3" t="e">
        <f>G3988*(VLOOKUP(B3988,Price_data!A$1:B$190,2,FALSE))</f>
        <v>#VALUE!</v>
      </c>
      <c r="R3988" s="3" t="e">
        <f>I3988*(VLOOKUP(B3988,Price_data!A$1:B$190,2,FALSE))</f>
        <v>#VALUE!</v>
      </c>
      <c r="S3988" s="4" t="str">
        <f>(VLOOKUP(B3988,Price_data!A$1:C$190,3,FALSE))</f>
        <v>EEZ</v>
      </c>
      <c r="T3988" s="2" t="str">
        <f>IF(C3988="Total", (VLOOKUP(B3988,Recommended_fish_intake!A$4:D$122,4,FALSE)), "NA")</f>
        <v>NA</v>
      </c>
      <c r="U3988" s="2" t="str">
        <f t="shared" si="388"/>
        <v>NA</v>
      </c>
    </row>
    <row r="3989" spans="1:21" ht="14.25" customHeight="1">
      <c r="A3989" s="2" t="s">
        <v>15</v>
      </c>
      <c r="B3989" s="2">
        <v>2007</v>
      </c>
      <c r="C3989" s="2" t="s">
        <v>36</v>
      </c>
      <c r="D3989" s="2">
        <v>28.797999999999998</v>
      </c>
      <c r="E3989" s="2">
        <v>38.026000000000003</v>
      </c>
      <c r="F3989" s="2">
        <v>14.8</v>
      </c>
      <c r="G3989" s="2">
        <v>37.700000000000003</v>
      </c>
      <c r="H3989" s="2">
        <v>2.4</v>
      </c>
      <c r="I3989" s="2">
        <v>11.2</v>
      </c>
      <c r="P3989" s="3">
        <f>E3989*(VLOOKUP(B3989,Price_data!A$1:B$190,2,FALSE))</f>
        <v>31.344621839441004</v>
      </c>
      <c r="Q3989" s="3">
        <f>G3989*(VLOOKUP(B3989,Price_data!A$1:B$190,2,FALSE))</f>
        <v>31.075901839450005</v>
      </c>
      <c r="R3989" s="3">
        <f>I3989*(VLOOKUP(B3989,Price_data!A$1:B$190,2,FALSE))</f>
        <v>9.2320981591999995</v>
      </c>
      <c r="S3989" s="4" t="str">
        <f>(VLOOKUP(B3989,Price_data!A$1:C$190,3,FALSE))</f>
        <v>EEZ</v>
      </c>
      <c r="T3989" s="2" t="str">
        <f>IF(C3989="Total", (VLOOKUP(B3989,Recommended_fish_intake!A$4:D$122,4,FALSE)), "NA")</f>
        <v>NA</v>
      </c>
      <c r="U3989" s="2" t="str">
        <f t="shared" si="388"/>
        <v>NA</v>
      </c>
    </row>
    <row r="3990" spans="1:21" ht="14.25" customHeight="1">
      <c r="A3990" s="2" t="s">
        <v>15</v>
      </c>
      <c r="B3990" s="2">
        <v>2007</v>
      </c>
      <c r="C3990" s="2" t="s">
        <v>34</v>
      </c>
      <c r="D3990" s="2">
        <v>2.6429999999999998</v>
      </c>
      <c r="E3990" s="2">
        <v>31.210999999999999</v>
      </c>
      <c r="F3990" s="2">
        <v>1.7</v>
      </c>
      <c r="G3990" s="2">
        <v>22.8</v>
      </c>
      <c r="H3990" s="2">
        <v>1.8</v>
      </c>
      <c r="I3990" s="2">
        <v>16</v>
      </c>
      <c r="P3990" s="3">
        <f>E3990*(VLOOKUP(B3990,Price_data!A$1:B$190,2,FALSE))</f>
        <v>25.727054968463499</v>
      </c>
      <c r="Q3990" s="3">
        <f>G3990*(VLOOKUP(B3990,Price_data!A$1:B$190,2,FALSE))</f>
        <v>18.793914109800003</v>
      </c>
      <c r="R3990" s="3">
        <f>I3990*(VLOOKUP(B3990,Price_data!A$1:B$190,2,FALSE))</f>
        <v>13.188711656000001</v>
      </c>
      <c r="S3990" s="4" t="str">
        <f>(VLOOKUP(B3990,Price_data!A$1:C$190,3,FALSE))</f>
        <v>EEZ</v>
      </c>
      <c r="T3990" s="2" t="str">
        <f>IF(C3990="Total", (VLOOKUP(B3990,Recommended_fish_intake!A$4:D$122,4,FALSE)), "NA")</f>
        <v>NA</v>
      </c>
      <c r="U3990" s="2" t="str">
        <f t="shared" si="388"/>
        <v>NA</v>
      </c>
    </row>
    <row r="3991" spans="1:21" ht="14.25" customHeight="1">
      <c r="A3991" s="2" t="s">
        <v>15</v>
      </c>
      <c r="B3991" s="2">
        <v>2007</v>
      </c>
      <c r="C3991" s="2" t="s">
        <v>35</v>
      </c>
      <c r="D3991" s="2">
        <v>44.075000000000003</v>
      </c>
      <c r="E3991" s="2">
        <v>126.226</v>
      </c>
      <c r="F3991" s="2">
        <v>22</v>
      </c>
      <c r="G3991" s="2">
        <v>125.6</v>
      </c>
      <c r="H3991" s="2">
        <v>3.5</v>
      </c>
      <c r="I3991" s="2">
        <v>7</v>
      </c>
      <c r="P3991" s="3">
        <f>E3991*(VLOOKUP(B3991,Price_data!A$1:B$190,2,FALSE))</f>
        <v>104.04739484314101</v>
      </c>
      <c r="Q3991" s="3">
        <f>G3991*(VLOOKUP(B3991,Price_data!A$1:B$190,2,FALSE))</f>
        <v>103.5313864996</v>
      </c>
      <c r="R3991" s="3">
        <f>I3991*(VLOOKUP(B3991,Price_data!A$1:B$190,2,FALSE))</f>
        <v>5.7700613495000006</v>
      </c>
      <c r="S3991" s="4" t="str">
        <f>(VLOOKUP(B3991,Price_data!A$1:C$190,3,FALSE))</f>
        <v>EEZ</v>
      </c>
      <c r="T3991" s="2" t="str">
        <f>IF(C3991="Total", (VLOOKUP(B3991,Recommended_fish_intake!A$4:D$122,4,FALSE)), "NA")</f>
        <v>NA</v>
      </c>
      <c r="U3991" s="2" t="str">
        <f t="shared" si="388"/>
        <v>NA</v>
      </c>
    </row>
    <row r="3992" spans="1:21" ht="14.25" customHeight="1">
      <c r="A3992" s="2" t="s">
        <v>15</v>
      </c>
      <c r="B3992" s="2">
        <v>2007</v>
      </c>
      <c r="C3992" s="2" t="s">
        <v>52</v>
      </c>
      <c r="D3992" s="2">
        <v>26.651</v>
      </c>
      <c r="E3992" s="2">
        <v>38.948999999999998</v>
      </c>
      <c r="F3992" s="2">
        <v>10.7</v>
      </c>
      <c r="G3992" s="2">
        <v>56.1</v>
      </c>
      <c r="H3992" s="2">
        <v>2.5</v>
      </c>
      <c r="I3992" s="2">
        <v>15.5</v>
      </c>
      <c r="P3992" s="3">
        <f>E3992*(VLOOKUP(B3992,Price_data!A$1:B$190,2,FALSE))</f>
        <v>32.105445643096502</v>
      </c>
      <c r="Q3992" s="3">
        <f>G3992*(VLOOKUP(B3992,Price_data!A$1:B$190,2,FALSE))</f>
        <v>46.242920243850001</v>
      </c>
      <c r="R3992" s="3">
        <f>I3992*(VLOOKUP(B3992,Price_data!A$1:B$190,2,FALSE))</f>
        <v>12.77656441675</v>
      </c>
      <c r="S3992" s="4" t="str">
        <f>(VLOOKUP(B3992,Price_data!A$1:C$190,3,FALSE))</f>
        <v>EEZ</v>
      </c>
      <c r="T3992" s="2" t="str">
        <f>IF(C3992="Total", (VLOOKUP(B3992,Recommended_fish_intake!A$4:D$122,4,FALSE)), "NA")</f>
        <v>NA</v>
      </c>
      <c r="U3992" s="2" t="str">
        <f t="shared" si="388"/>
        <v>NA</v>
      </c>
    </row>
    <row r="3993" spans="1:21" ht="14.25" customHeight="1">
      <c r="A3993" s="2" t="s">
        <v>15</v>
      </c>
      <c r="B3993" s="2">
        <v>2007</v>
      </c>
      <c r="C3993" s="2" t="s">
        <v>30</v>
      </c>
      <c r="D3993" s="2">
        <v>1.403</v>
      </c>
      <c r="E3993" s="2">
        <v>3.6139999999999999</v>
      </c>
      <c r="F3993" s="2">
        <v>22.900000000000002</v>
      </c>
      <c r="G3993" s="2">
        <v>86.6</v>
      </c>
      <c r="H3993" s="2">
        <v>87.5</v>
      </c>
      <c r="I3993" s="2">
        <v>326</v>
      </c>
      <c r="P3993" s="3">
        <f>E3993*(VLOOKUP(B3993,Price_data!A$1:B$190,2,FALSE))</f>
        <v>2.9790002452989999</v>
      </c>
      <c r="Q3993" s="3">
        <f>G3993*(VLOOKUP(B3993,Price_data!A$1:B$190,2,FALSE))</f>
        <v>71.383901838100002</v>
      </c>
      <c r="R3993" s="3">
        <f>I3993*(VLOOKUP(B3993,Price_data!A$1:B$190,2,FALSE))</f>
        <v>268.71999999100001</v>
      </c>
      <c r="S3993" s="4" t="str">
        <f>(VLOOKUP(B3993,Price_data!A$1:C$190,3,FALSE))</f>
        <v>EEZ</v>
      </c>
      <c r="T3993" s="2" t="str">
        <f>IF(C3993="Total", (VLOOKUP(B3993,Recommended_fish_intake!A$4:D$122,4,FALSE)), "NA")</f>
        <v>NA</v>
      </c>
      <c r="U3993" s="2" t="str">
        <f t="shared" si="388"/>
        <v>NA</v>
      </c>
    </row>
    <row r="3994" spans="1:21" ht="14.25" customHeight="1">
      <c r="A3994" s="2" t="s">
        <v>15</v>
      </c>
      <c r="B3994" s="2">
        <v>2007</v>
      </c>
      <c r="C3994" s="2" t="s">
        <v>28</v>
      </c>
      <c r="D3994" s="2">
        <v>140.40100000000001</v>
      </c>
      <c r="E3994" s="2">
        <v>268.64999999999998</v>
      </c>
      <c r="F3994" s="2">
        <v>106.8</v>
      </c>
      <c r="G3994" s="2">
        <v>397</v>
      </c>
      <c r="H3994" s="2">
        <v>119.2</v>
      </c>
      <c r="I3994" s="2">
        <v>422.4</v>
      </c>
      <c r="P3994" s="3">
        <f>E3994*(VLOOKUP(B3994,Price_data!A$1:B$190,2,FALSE))</f>
        <v>221.44671164902499</v>
      </c>
      <c r="Q3994" s="3">
        <f>G3994*(VLOOKUP(B3994,Price_data!A$1:B$190,2,FALSE))</f>
        <v>327.24490796449999</v>
      </c>
      <c r="R3994" s="3">
        <f>I3994*(VLOOKUP(B3994,Price_data!A$1:B$190,2,FALSE))</f>
        <v>348.18198771840002</v>
      </c>
      <c r="S3994" s="4" t="str">
        <f>(VLOOKUP(B3994,Price_data!A$1:C$190,3,FALSE))</f>
        <v>EEZ</v>
      </c>
      <c r="T3994" s="2" t="str">
        <f>IF(C3994="Total", (VLOOKUP(B3994,Recommended_fish_intake!A$4:D$122,4,FALSE)), "NA")</f>
        <v>NA</v>
      </c>
      <c r="U3994" s="2">
        <f t="shared" si="388"/>
        <v>39.312280000000008</v>
      </c>
    </row>
    <row r="3995" spans="1:21" ht="14.25" customHeight="1">
      <c r="A3995" s="2" t="s">
        <v>90</v>
      </c>
      <c r="B3995" s="2">
        <v>2007</v>
      </c>
      <c r="C3995" s="2" t="s">
        <v>16</v>
      </c>
      <c r="D3995" s="2">
        <v>101.6</v>
      </c>
      <c r="E3995" s="2">
        <v>149.6</v>
      </c>
      <c r="P3995" s="3">
        <f>E3995*(VLOOKUP(B3995,Price_data!A$1:B$190,2,FALSE))</f>
        <v>123.3144539836</v>
      </c>
      <c r="Q3995" s="3">
        <f>G3995*(VLOOKUP(B3995,Price_data!A$1:B$190,2,FALSE))</f>
        <v>0</v>
      </c>
      <c r="R3995" s="3">
        <f>I3995*(VLOOKUP(B3995,Price_data!A$1:B$190,2,FALSE))</f>
        <v>0</v>
      </c>
      <c r="S3995" s="4" t="str">
        <f>(VLOOKUP(B3995,Price_data!A$1:C$190,3,FALSE))</f>
        <v>EEZ</v>
      </c>
      <c r="T3995" s="2">
        <f>IF(C3995="Total", (VLOOKUP(B3995,Recommended_fish_intake!A$4:D$122,4,FALSE)), "NA")</f>
        <v>815.80107686532006</v>
      </c>
      <c r="U3995" s="2" t="str">
        <f t="shared" si="388"/>
        <v>NA</v>
      </c>
    </row>
    <row r="3996" spans="1:21" ht="14.25" customHeight="1">
      <c r="A3996" s="2" t="s">
        <v>91</v>
      </c>
      <c r="B3996" s="2">
        <v>2007</v>
      </c>
      <c r="C3996" s="2" t="s">
        <v>16</v>
      </c>
      <c r="D3996" s="2">
        <v>9.7780000000000005</v>
      </c>
      <c r="E3996" s="2">
        <v>15.603</v>
      </c>
      <c r="P3996" s="3">
        <f>E3996*(VLOOKUP(B3996,Price_data!A$1:B$190,2,FALSE))</f>
        <v>12.8614667480355</v>
      </c>
      <c r="Q3996" s="3">
        <f>G3996*(VLOOKUP(B3996,Price_data!A$1:B$190,2,FALSE))</f>
        <v>0</v>
      </c>
      <c r="R3996" s="3">
        <f>I3996*(VLOOKUP(B3996,Price_data!A$1:B$190,2,FALSE))</f>
        <v>0</v>
      </c>
      <c r="S3996" s="4" t="str">
        <f>(VLOOKUP(B3996,Price_data!A$1:C$190,3,FALSE))</f>
        <v>EEZ</v>
      </c>
      <c r="T3996" s="2">
        <f>IF(C3996="Total", (VLOOKUP(B3996,Recommended_fish_intake!A$4:D$122,4,FALSE)), "NA")</f>
        <v>815.80107686532006</v>
      </c>
      <c r="U3996" s="2" t="str">
        <f t="shared" si="388"/>
        <v>NA</v>
      </c>
    </row>
    <row r="3997" spans="1:21" ht="14.25" customHeight="1">
      <c r="A3997" s="2" t="s">
        <v>39</v>
      </c>
      <c r="B3997" s="2">
        <v>2007</v>
      </c>
      <c r="C3997" s="2" t="s">
        <v>16</v>
      </c>
      <c r="D3997" s="2">
        <v>310.97300000000001</v>
      </c>
      <c r="E3997" s="2">
        <v>348.185</v>
      </c>
      <c r="P3997" s="3">
        <f>E3997*(VLOOKUP(B3997,Price_data!A$1:B$190,2,FALSE))</f>
        <v>287.00697299652251</v>
      </c>
      <c r="Q3997" s="3">
        <f>G3997*(VLOOKUP(B3997,Price_data!A$1:B$190,2,FALSE))</f>
        <v>0</v>
      </c>
      <c r="R3997" s="3">
        <f>I3997*(VLOOKUP(B3997,Price_data!A$1:B$190,2,FALSE))</f>
        <v>0</v>
      </c>
      <c r="S3997" s="4" t="str">
        <f>(VLOOKUP(B3997,Price_data!A$1:C$190,3,FALSE))</f>
        <v>EEZ</v>
      </c>
      <c r="T3997" s="2">
        <f>IF(C3997="Total", (VLOOKUP(B3997,Recommended_fish_intake!A$4:D$122,4,FALSE)), "NA")</f>
        <v>815.80107686532006</v>
      </c>
      <c r="U3997" s="2" t="str">
        <f t="shared" si="388"/>
        <v>NA</v>
      </c>
    </row>
    <row r="3998" spans="1:21" ht="14.25" customHeight="1">
      <c r="A3998" s="2" t="s">
        <v>40</v>
      </c>
      <c r="B3998" s="2">
        <v>2007</v>
      </c>
      <c r="C3998" s="2" t="s">
        <v>16</v>
      </c>
      <c r="D3998" s="2">
        <v>17.751000000000001</v>
      </c>
      <c r="E3998" s="2">
        <v>19.353000000000002</v>
      </c>
      <c r="P3998" s="3">
        <f>E3998*(VLOOKUP(B3998,Price_data!A$1:B$190,2,FALSE))</f>
        <v>15.952571042410502</v>
      </c>
      <c r="Q3998" s="3">
        <f>G3998*(VLOOKUP(B3998,Price_data!A$1:B$190,2,FALSE))</f>
        <v>0</v>
      </c>
      <c r="R3998" s="3">
        <f>I3998*(VLOOKUP(B3998,Price_data!A$1:B$190,2,FALSE))</f>
        <v>0</v>
      </c>
      <c r="S3998" s="4" t="str">
        <f>(VLOOKUP(B3998,Price_data!A$1:C$190,3,FALSE))</f>
        <v>EEZ</v>
      </c>
      <c r="T3998" s="2">
        <f>IF(C3998="Total", (VLOOKUP(B3998,Recommended_fish_intake!A$4:D$122,4,FALSE)), "NA")</f>
        <v>815.80107686532006</v>
      </c>
      <c r="U3998" s="2" t="str">
        <f t="shared" si="388"/>
        <v>NA</v>
      </c>
    </row>
    <row r="3999" spans="1:21" ht="14.25" customHeight="1">
      <c r="A3999" s="2" t="s">
        <v>18</v>
      </c>
      <c r="B3999" s="2">
        <v>2007</v>
      </c>
      <c r="C3999" s="2" t="s">
        <v>16</v>
      </c>
      <c r="D3999" s="3">
        <f>D3247+D3007</f>
        <v>386.358</v>
      </c>
      <c r="E3999" s="3">
        <f>E3247+E3007</f>
        <v>278.63400000000001</v>
      </c>
      <c r="P3999" s="3">
        <f>E3999*(VLOOKUP(B3999,Price_data!A$1:B$190,2,FALSE))</f>
        <v>229.67646772236901</v>
      </c>
      <c r="Q3999" s="3">
        <f>G3999*(VLOOKUP(B3999,Price_data!A$1:B$190,2,FALSE))</f>
        <v>0</v>
      </c>
      <c r="R3999" s="3">
        <f>I3999*(VLOOKUP(B3999,Price_data!A$1:B$190,2,FALSE))</f>
        <v>0</v>
      </c>
      <c r="S3999" s="4" t="str">
        <f>(VLOOKUP(B3999,Price_data!A$1:C$190,3,FALSE))</f>
        <v>EEZ</v>
      </c>
      <c r="T3999" s="2">
        <f>IF(C3999="Total", (VLOOKUP(B3999,Recommended_fish_intake!A$4:D$122,4,FALSE)), "NA")</f>
        <v>815.80107686532006</v>
      </c>
      <c r="U3999" s="2" t="str">
        <f t="shared" si="388"/>
        <v>NA</v>
      </c>
    </row>
    <row r="4000" spans="1:21" ht="14.25" customHeight="1">
      <c r="A4000" s="2" t="s">
        <v>15</v>
      </c>
      <c r="B4000" s="2">
        <v>2007</v>
      </c>
      <c r="C4000" s="2" t="s">
        <v>16</v>
      </c>
      <c r="D4000" s="2">
        <v>440.07600000000002</v>
      </c>
      <c r="E4000" s="2">
        <v>532.74800000000005</v>
      </c>
      <c r="F4000" s="2">
        <v>466.9</v>
      </c>
      <c r="G4000" s="2">
        <v>982</v>
      </c>
      <c r="H4000" s="2">
        <v>747.9</v>
      </c>
      <c r="I4000" s="6">
        <v>1993.9</v>
      </c>
      <c r="J4000" s="6"/>
      <c r="K4000" s="6"/>
      <c r="P4000" s="3">
        <f>E4000*(VLOOKUP(B4000,Price_data!A$1:B$190,2,FALSE))</f>
        <v>439.14123483191804</v>
      </c>
      <c r="Q4000" s="3">
        <f>G4000*(VLOOKUP(B4000,Price_data!A$1:B$190,2,FALSE))</f>
        <v>809.45717788700006</v>
      </c>
      <c r="R4000" s="3">
        <f>I4000*(VLOOKUP(B4000,Price_data!A$1:B$190,2,FALSE))</f>
        <v>1643.5607606811502</v>
      </c>
      <c r="S4000" s="4" t="str">
        <f>(VLOOKUP(B4000,Price_data!A$1:C$190,3,FALSE))</f>
        <v>EEZ</v>
      </c>
      <c r="T4000" s="2">
        <f>IF(C4000="Total", (VLOOKUP(B4000,Recommended_fish_intake!A$4:D$122,4,FALSE)), "NA")</f>
        <v>815.80107686532006</v>
      </c>
      <c r="U4000" s="2" t="str">
        <f t="shared" si="388"/>
        <v>NA</v>
      </c>
    </row>
    <row r="4001" spans="1:21" ht="14.25" customHeight="1">
      <c r="A4001" s="2" t="s">
        <v>15</v>
      </c>
      <c r="B4001" s="2">
        <v>2007</v>
      </c>
      <c r="C4001" s="2" t="s">
        <v>37</v>
      </c>
      <c r="D4001" s="2">
        <f>D3789+D4041</f>
        <v>55.832999999999998</v>
      </c>
      <c r="E4001" s="2">
        <f>E3789+E4041</f>
        <v>42.221000000000004</v>
      </c>
      <c r="F4001" s="3">
        <v>360.1</v>
      </c>
      <c r="G4001" s="3">
        <v>585</v>
      </c>
      <c r="H4001" s="3">
        <v>628.70000000000005</v>
      </c>
      <c r="I4001" s="7">
        <v>1571.5</v>
      </c>
      <c r="J4001" s="6"/>
      <c r="K4001" s="6"/>
      <c r="P4001" s="3">
        <f>E4001*(VLOOKUP(B4001,Price_data!A$1:B$190,2,FALSE))</f>
        <v>34.802537176748501</v>
      </c>
      <c r="Q4001" s="3">
        <f>G4001*(VLOOKUP(B4001,Price_data!A$1:B$190,2,FALSE))</f>
        <v>482.21226992250001</v>
      </c>
      <c r="R4001" s="3">
        <f>I4001*(VLOOKUP(B4001,Price_data!A$1:B$190,2,FALSE))</f>
        <v>1295.37877296275</v>
      </c>
      <c r="S4001" s="4" t="str">
        <f>(VLOOKUP(B4001,Price_data!A$1:C$190,3,FALSE))</f>
        <v>EEZ</v>
      </c>
      <c r="T4001" s="2" t="str">
        <f>IF(C4001="Total", (VLOOKUP(B4001,Recommended_fish_intake!A$4:D$122,4,FALSE)), "NA")</f>
        <v>NA</v>
      </c>
      <c r="U4001" s="2">
        <f t="shared" si="388"/>
        <v>27.358169999999998</v>
      </c>
    </row>
    <row r="4002" spans="1:21" ht="14.25" customHeight="1">
      <c r="A4002" s="2" t="s">
        <v>15</v>
      </c>
      <c r="B4002" s="2">
        <v>2007</v>
      </c>
      <c r="C4002" s="2" t="s">
        <v>41</v>
      </c>
      <c r="D4002" s="2">
        <v>113.238</v>
      </c>
      <c r="E4002" s="2">
        <v>180.18799999999999</v>
      </c>
      <c r="F4002" s="2" t="s">
        <v>92</v>
      </c>
      <c r="G4002" s="2" t="s">
        <v>92</v>
      </c>
      <c r="H4002" s="2" t="s">
        <v>92</v>
      </c>
      <c r="I4002" s="2" t="s">
        <v>92</v>
      </c>
      <c r="P4002" s="3">
        <f>E4002*(VLOOKUP(B4002,Price_data!A$1:B$190,2,FALSE))</f>
        <v>148.52797349195799</v>
      </c>
      <c r="Q4002" s="3" t="e">
        <f>G4002*(VLOOKUP(B4002,Price_data!A$1:B$190,2,FALSE))</f>
        <v>#VALUE!</v>
      </c>
      <c r="R4002" s="3" t="e">
        <f>I4002*(VLOOKUP(B4002,Price_data!A$1:B$190,2,FALSE))</f>
        <v>#VALUE!</v>
      </c>
      <c r="S4002" s="4" t="str">
        <f>(VLOOKUP(B4002,Price_data!A$1:C$190,3,FALSE))</f>
        <v>EEZ</v>
      </c>
      <c r="T4002" s="2" t="str">
        <f>IF(C4002="Total", (VLOOKUP(B4002,Recommended_fish_intake!A$4:D$122,4,FALSE)), "NA")</f>
        <v>NA</v>
      </c>
      <c r="U4002" s="2" t="str">
        <f t="shared" si="388"/>
        <v>NA</v>
      </c>
    </row>
    <row r="4003" spans="1:21" ht="14.25" customHeight="1">
      <c r="A4003" s="2" t="s">
        <v>15</v>
      </c>
      <c r="B4003" s="2">
        <v>2007</v>
      </c>
      <c r="C4003" s="2" t="s">
        <v>22</v>
      </c>
      <c r="D4003" s="2">
        <v>12.75</v>
      </c>
      <c r="E4003" s="2">
        <v>21.728000000000002</v>
      </c>
      <c r="F4003" s="2">
        <v>16</v>
      </c>
      <c r="G4003" s="2">
        <v>46.6</v>
      </c>
      <c r="H4003" s="2">
        <v>115.4</v>
      </c>
      <c r="I4003" s="2">
        <v>435.6</v>
      </c>
      <c r="P4003" s="3">
        <f>E4003*(VLOOKUP(B4003,Price_data!A$1:B$190,2,FALSE))</f>
        <v>17.910270428848001</v>
      </c>
      <c r="Q4003" s="3">
        <f>G4003*(VLOOKUP(B4003,Price_data!A$1:B$190,2,FALSE))</f>
        <v>38.412122698100006</v>
      </c>
      <c r="R4003" s="3">
        <f>I4003*(VLOOKUP(B4003,Price_data!A$1:B$190,2,FALSE))</f>
        <v>359.06267483460005</v>
      </c>
      <c r="S4003" s="4" t="str">
        <f>(VLOOKUP(B4003,Price_data!A$1:C$190,3,FALSE))</f>
        <v>EEZ</v>
      </c>
      <c r="T4003" s="2" t="str">
        <f>IF(C4003="Total", (VLOOKUP(B4003,Recommended_fish_intake!A$4:D$122,4,FALSE)), "NA")</f>
        <v>NA</v>
      </c>
      <c r="U4003" s="2" t="str">
        <f t="shared" si="388"/>
        <v>NA</v>
      </c>
    </row>
    <row r="4004" spans="1:21" ht="14.25" customHeight="1">
      <c r="A4004" s="2" t="s">
        <v>15</v>
      </c>
      <c r="B4004" s="2">
        <v>2007</v>
      </c>
      <c r="C4004" s="2" t="s">
        <v>20</v>
      </c>
      <c r="D4004" s="2">
        <v>100.301</v>
      </c>
      <c r="E4004" s="2">
        <v>67.147000000000006</v>
      </c>
      <c r="F4004" s="2">
        <v>99.7</v>
      </c>
      <c r="G4004" s="2">
        <v>85.5</v>
      </c>
      <c r="H4004" s="2">
        <v>31</v>
      </c>
      <c r="I4004" s="2">
        <v>35.5</v>
      </c>
      <c r="P4004" s="3">
        <f>E4004*(VLOOKUP(B4004,Price_data!A$1:B$190,2,FALSE))</f>
        <v>55.348901347839508</v>
      </c>
      <c r="Q4004" s="3">
        <f>G4004*(VLOOKUP(B4004,Price_data!A$1:B$190,2,FALSE))</f>
        <v>70.477177911750005</v>
      </c>
      <c r="R4004" s="3">
        <f>I4004*(VLOOKUP(B4004,Price_data!A$1:B$190,2,FALSE))</f>
        <v>29.26245398675</v>
      </c>
      <c r="S4004" s="4" t="str">
        <f>(VLOOKUP(B4004,Price_data!A$1:C$190,3,FALSE))</f>
        <v>EEZ</v>
      </c>
      <c r="T4004" s="2" t="str">
        <f>IF(C4004="Total", (VLOOKUP(B4004,Recommended_fish_intake!A$4:D$122,4,FALSE)), "NA")</f>
        <v>NA</v>
      </c>
      <c r="U4004" s="2" t="str">
        <f t="shared" si="388"/>
        <v>NA</v>
      </c>
    </row>
    <row r="4005" spans="1:21" ht="14.25" customHeight="1">
      <c r="A4005" s="2" t="s">
        <v>15</v>
      </c>
      <c r="B4005" s="2">
        <v>2007</v>
      </c>
      <c r="C4005" s="2" t="s">
        <v>19</v>
      </c>
      <c r="D4005" s="2">
        <v>50.75</v>
      </c>
      <c r="E4005" s="2">
        <v>9.4670000000000005</v>
      </c>
      <c r="F4005" s="2">
        <v>66.7</v>
      </c>
      <c r="G4005" s="2">
        <v>27.2</v>
      </c>
      <c r="H4005" s="2">
        <v>8.6</v>
      </c>
      <c r="I4005" s="2">
        <v>7.4</v>
      </c>
      <c r="P4005" s="3">
        <f>E4005*(VLOOKUP(B4005,Price_data!A$1:B$190,2,FALSE))</f>
        <v>7.8035958279595006</v>
      </c>
      <c r="Q4005" s="3">
        <f>G4005*(VLOOKUP(B4005,Price_data!A$1:B$190,2,FALSE))</f>
        <v>22.420809815200002</v>
      </c>
      <c r="R4005" s="3">
        <f>I4005*(VLOOKUP(B4005,Price_data!A$1:B$190,2,FALSE))</f>
        <v>6.0997791409000008</v>
      </c>
      <c r="S4005" s="4" t="str">
        <f>(VLOOKUP(B4005,Price_data!A$1:C$190,3,FALSE))</f>
        <v>EEZ</v>
      </c>
      <c r="T4005" s="2" t="str">
        <f>IF(C4005="Total", (VLOOKUP(B4005,Recommended_fish_intake!A$4:D$122,4,FALSE)), "NA")</f>
        <v>NA</v>
      </c>
      <c r="U4005" s="2" t="str">
        <f t="shared" si="388"/>
        <v>NA</v>
      </c>
    </row>
    <row r="4006" spans="1:21" ht="14.25" customHeight="1">
      <c r="A4006" s="2" t="s">
        <v>15</v>
      </c>
      <c r="B4006" s="2">
        <v>2007</v>
      </c>
      <c r="C4006" s="2" t="s">
        <v>24</v>
      </c>
      <c r="D4006" s="2">
        <v>13.144</v>
      </c>
      <c r="E4006" s="2">
        <v>11.744</v>
      </c>
      <c r="F4006" s="2">
        <v>1.3</v>
      </c>
      <c r="G4006" s="2">
        <v>2.1</v>
      </c>
      <c r="H4006" s="2">
        <v>1.2</v>
      </c>
      <c r="I4006" s="2">
        <v>1.8</v>
      </c>
      <c r="P4006" s="3">
        <f>E4006*(VLOOKUP(B4006,Price_data!A$1:B$190,2,FALSE))</f>
        <v>9.6805143555040001</v>
      </c>
      <c r="Q4006" s="3">
        <f>G4006*(VLOOKUP(B4006,Price_data!A$1:B$190,2,FALSE))</f>
        <v>1.7310184048500001</v>
      </c>
      <c r="R4006" s="3">
        <f>I4006*(VLOOKUP(B4006,Price_data!A$1:B$190,2,FALSE))</f>
        <v>1.4837300613000002</v>
      </c>
      <c r="S4006" s="4" t="str">
        <f>(VLOOKUP(B4006,Price_data!A$1:C$190,3,FALSE))</f>
        <v>EEZ</v>
      </c>
      <c r="T4006" s="2" t="str">
        <f>IF(C4006="Total", (VLOOKUP(B4006,Recommended_fish_intake!A$4:D$122,4,FALSE)), "NA")</f>
        <v>NA</v>
      </c>
      <c r="U4006" s="2" t="str">
        <f t="shared" si="388"/>
        <v>NA</v>
      </c>
    </row>
    <row r="4007" spans="1:21" ht="14.25" customHeight="1">
      <c r="A4007" s="2" t="s">
        <v>15</v>
      </c>
      <c r="B4007" s="2">
        <v>2007</v>
      </c>
      <c r="C4007" s="2" t="s">
        <v>58</v>
      </c>
      <c r="D4007" s="2">
        <v>13.794</v>
      </c>
      <c r="E4007" s="2">
        <v>34.115000000000002</v>
      </c>
      <c r="F4007" s="2">
        <v>3.6</v>
      </c>
      <c r="G4007" s="2">
        <v>24.8</v>
      </c>
      <c r="H4007" s="2">
        <v>2.8</v>
      </c>
      <c r="I4007" s="2">
        <v>8.6999999999999993</v>
      </c>
      <c r="P4007" s="3">
        <f>E4007*(VLOOKUP(B4007,Price_data!A$1:B$190,2,FALSE))</f>
        <v>28.120806134027504</v>
      </c>
      <c r="Q4007" s="3">
        <f>G4007*(VLOOKUP(B4007,Price_data!A$1:B$190,2,FALSE))</f>
        <v>20.442503066800001</v>
      </c>
      <c r="R4007" s="3">
        <f>I4007*(VLOOKUP(B4007,Price_data!A$1:B$190,2,FALSE))</f>
        <v>7.1713619629499998</v>
      </c>
      <c r="S4007" s="4" t="str">
        <f>(VLOOKUP(B4007,Price_data!A$1:C$190,3,FALSE))</f>
        <v>EEZ</v>
      </c>
      <c r="T4007" s="2" t="str">
        <f>IF(C4007="Total", (VLOOKUP(B4007,Recommended_fish_intake!A$4:D$122,4,FALSE)), "NA")</f>
        <v>NA</v>
      </c>
      <c r="U4007" s="2" t="str">
        <f t="shared" si="388"/>
        <v>NA</v>
      </c>
    </row>
    <row r="4008" spans="1:21" ht="14.25" customHeight="1">
      <c r="A4008" s="2" t="s">
        <v>15</v>
      </c>
      <c r="B4008" s="2">
        <v>2007</v>
      </c>
      <c r="C4008" s="2" t="s">
        <v>23</v>
      </c>
      <c r="D4008" s="2">
        <v>32.302</v>
      </c>
      <c r="E4008" s="2">
        <v>39.872</v>
      </c>
      <c r="F4008" s="2">
        <v>3.7</v>
      </c>
      <c r="G4008" s="2">
        <v>9.3000000000000007</v>
      </c>
      <c r="H4008" s="2">
        <v>69.599999999999994</v>
      </c>
      <c r="I4008" s="2">
        <v>183.3</v>
      </c>
      <c r="P4008" s="3">
        <f>E4008*(VLOOKUP(B4008,Price_data!A$1:B$190,2,FALSE))</f>
        <v>32.866269446752</v>
      </c>
      <c r="Q4008" s="3">
        <f>G4008*(VLOOKUP(B4008,Price_data!A$1:B$190,2,FALSE))</f>
        <v>7.6659386500500011</v>
      </c>
      <c r="R4008" s="3">
        <f>I4008*(VLOOKUP(B4008,Price_data!A$1:B$190,2,FALSE))</f>
        <v>151.09317790905001</v>
      </c>
      <c r="S4008" s="4" t="str">
        <f>(VLOOKUP(B4008,Price_data!A$1:C$190,3,FALSE))</f>
        <v>EEZ</v>
      </c>
      <c r="T4008" s="2" t="str">
        <f>IF(C4008="Total", (VLOOKUP(B4008,Recommended_fish_intake!A$4:D$122,4,FALSE)), "NA")</f>
        <v>NA</v>
      </c>
      <c r="U4008" s="2" t="str">
        <f t="shared" si="388"/>
        <v>NA</v>
      </c>
    </row>
    <row r="4009" spans="1:21" ht="14.25" customHeight="1">
      <c r="A4009" s="2" t="s">
        <v>15</v>
      </c>
      <c r="B4009" s="2">
        <v>2007</v>
      </c>
      <c r="C4009" s="2" t="s">
        <v>93</v>
      </c>
      <c r="D4009" s="2">
        <v>2.5</v>
      </c>
      <c r="E4009" s="2">
        <v>1</v>
      </c>
      <c r="F4009" s="2">
        <v>14.8</v>
      </c>
      <c r="G4009" s="2">
        <v>7.8</v>
      </c>
      <c r="H4009" s="2">
        <v>17.399999999999999</v>
      </c>
      <c r="I4009" s="2">
        <v>30.7</v>
      </c>
      <c r="P4009" s="3">
        <f>E4009*(VLOOKUP(B4009,Price_data!A$1:B$190,2,FALSE))</f>
        <v>0.82429447850000004</v>
      </c>
      <c r="Q4009" s="3">
        <f>G4009*(VLOOKUP(B4009,Price_data!A$1:B$190,2,FALSE))</f>
        <v>6.4294969323000002</v>
      </c>
      <c r="R4009" s="3">
        <f>I4009*(VLOOKUP(B4009,Price_data!A$1:B$190,2,FALSE))</f>
        <v>25.30584048995</v>
      </c>
      <c r="S4009" s="4" t="str">
        <f>(VLOOKUP(B4009,Price_data!A$1:C$190,3,FALSE))</f>
        <v>EEZ</v>
      </c>
      <c r="T4009" s="2" t="str">
        <f>IF(C4009="Total", (VLOOKUP(B4009,Recommended_fish_intake!A$4:D$122,4,FALSE)), "NA")</f>
        <v>NA</v>
      </c>
      <c r="U4009" s="2" t="str">
        <f t="shared" si="388"/>
        <v>NA</v>
      </c>
    </row>
    <row r="4010" spans="1:21" ht="14.25" customHeight="1">
      <c r="A4010" s="2" t="s">
        <v>15</v>
      </c>
      <c r="B4010" s="2">
        <v>2007</v>
      </c>
      <c r="C4010" s="2" t="s">
        <v>43</v>
      </c>
      <c r="D4010" s="2" t="s">
        <v>17</v>
      </c>
      <c r="E4010" s="2" t="s">
        <v>17</v>
      </c>
      <c r="F4010" s="2">
        <v>4.0999999999999996</v>
      </c>
      <c r="G4010" s="2">
        <v>9.3000000000000007</v>
      </c>
      <c r="H4010" s="2">
        <v>101.6</v>
      </c>
      <c r="I4010" s="2">
        <v>176.4</v>
      </c>
      <c r="P4010" s="3" t="e">
        <f>E4010*(VLOOKUP(B4010,Price_data!A$1:B$190,2,FALSE))</f>
        <v>#VALUE!</v>
      </c>
      <c r="Q4010" s="3">
        <f>G4010*(VLOOKUP(B4010,Price_data!A$1:B$190,2,FALSE))</f>
        <v>7.6659386500500011</v>
      </c>
      <c r="R4010" s="3">
        <f>I4010*(VLOOKUP(B4010,Price_data!A$1:B$190,2,FALSE))</f>
        <v>145.40554600740001</v>
      </c>
      <c r="S4010" s="4" t="str">
        <f>(VLOOKUP(B4010,Price_data!A$1:C$190,3,FALSE))</f>
        <v>EEZ</v>
      </c>
      <c r="T4010" s="2" t="str">
        <f>IF(C4010="Total", (VLOOKUP(B4010,Recommended_fish_intake!A$4:D$122,4,FALSE)), "NA")</f>
        <v>NA</v>
      </c>
      <c r="U4010" s="2" t="str">
        <f t="shared" si="388"/>
        <v>NA</v>
      </c>
    </row>
    <row r="4011" spans="1:21" ht="14.25" customHeight="1">
      <c r="A4011" s="2" t="s">
        <v>15</v>
      </c>
      <c r="B4011" s="2">
        <v>2007</v>
      </c>
      <c r="C4011" s="2" t="s">
        <v>60</v>
      </c>
      <c r="D4011" s="2">
        <v>2.5</v>
      </c>
      <c r="E4011" s="2">
        <v>3.8</v>
      </c>
      <c r="F4011" s="2">
        <v>2.8</v>
      </c>
      <c r="G4011" s="2">
        <v>5.7</v>
      </c>
      <c r="H4011" s="2">
        <v>23.2</v>
      </c>
      <c r="I4011" s="2">
        <v>34</v>
      </c>
      <c r="P4011" s="3">
        <f>E4011*(VLOOKUP(B4011,Price_data!A$1:B$190,2,FALSE))</f>
        <v>3.1323190183</v>
      </c>
      <c r="Q4011" s="3">
        <f>G4011*(VLOOKUP(B4011,Price_data!A$1:B$190,2,FALSE))</f>
        <v>4.6984785274500007</v>
      </c>
      <c r="R4011" s="3">
        <f>I4011*(VLOOKUP(B4011,Price_data!A$1:B$190,2,FALSE))</f>
        <v>28.026012269000002</v>
      </c>
      <c r="S4011" s="4" t="str">
        <f>(VLOOKUP(B4011,Price_data!A$1:C$190,3,FALSE))</f>
        <v>EEZ</v>
      </c>
      <c r="T4011" s="2" t="str">
        <f>IF(C4011="Total", (VLOOKUP(B4011,Recommended_fish_intake!A$4:D$122,4,FALSE)), "NA")</f>
        <v>NA</v>
      </c>
      <c r="U4011" s="2" t="str">
        <f t="shared" si="388"/>
        <v>NA</v>
      </c>
    </row>
    <row r="4012" spans="1:21" ht="14.25" customHeight="1">
      <c r="A4012" s="2" t="s">
        <v>15</v>
      </c>
      <c r="B4012" s="2">
        <v>2007</v>
      </c>
      <c r="C4012" s="2" t="s">
        <v>29</v>
      </c>
      <c r="D4012" s="2" t="s">
        <v>17</v>
      </c>
      <c r="E4012" s="2" t="s">
        <v>17</v>
      </c>
      <c r="F4012" s="2">
        <v>61.4</v>
      </c>
      <c r="G4012" s="2">
        <v>201.5</v>
      </c>
      <c r="H4012" s="2">
        <v>62.6</v>
      </c>
      <c r="I4012" s="2">
        <v>185.4</v>
      </c>
      <c r="P4012" s="3" t="e">
        <f>E4012*(VLOOKUP(B4012,Price_data!A$1:B$190,2,FALSE))</f>
        <v>#VALUE!</v>
      </c>
      <c r="Q4012" s="3">
        <f>G4012*(VLOOKUP(B4012,Price_data!A$1:B$190,2,FALSE))</f>
        <v>166.09533741775002</v>
      </c>
      <c r="R4012" s="3">
        <f>I4012*(VLOOKUP(B4012,Price_data!A$1:B$190,2,FALSE))</f>
        <v>152.82419631390002</v>
      </c>
      <c r="S4012" s="4" t="str">
        <f>(VLOOKUP(B4012,Price_data!A$1:C$190,3,FALSE))</f>
        <v>EEZ</v>
      </c>
      <c r="T4012" s="2" t="str">
        <f>IF(C4012="Total", (VLOOKUP(B4012,Recommended_fish_intake!A$4:D$122,4,FALSE)), "NA")</f>
        <v>NA</v>
      </c>
      <c r="U4012" s="2" t="str">
        <f t="shared" si="388"/>
        <v>NA</v>
      </c>
    </row>
    <row r="4013" spans="1:21" ht="14.25" customHeight="1">
      <c r="A4013" s="2" t="s">
        <v>15</v>
      </c>
      <c r="B4013" s="2">
        <v>2007</v>
      </c>
      <c r="C4013" s="2" t="s">
        <v>25</v>
      </c>
      <c r="D4013" s="2">
        <v>2.8</v>
      </c>
      <c r="E4013" s="2">
        <v>3.5</v>
      </c>
      <c r="F4013" s="4">
        <v>0.6</v>
      </c>
      <c r="G4013" s="4">
        <v>0.9</v>
      </c>
      <c r="H4013" s="4">
        <v>7.1</v>
      </c>
      <c r="I4013" s="4">
        <v>24.5</v>
      </c>
      <c r="P4013" s="3">
        <f>E4013*(VLOOKUP(B4013,Price_data!A$1:B$190,2,FALSE))</f>
        <v>2.8850306747500003</v>
      </c>
      <c r="Q4013" s="3">
        <f>G4013*(VLOOKUP(B4013,Price_data!A$1:B$190,2,FALSE))</f>
        <v>0.74186503065000009</v>
      </c>
      <c r="R4013" s="3">
        <f>I4013*(VLOOKUP(B4013,Price_data!A$1:B$190,2,FALSE))</f>
        <v>20.19521472325</v>
      </c>
      <c r="S4013" s="4" t="str">
        <f>(VLOOKUP(B4013,Price_data!A$1:C$190,3,FALSE))</f>
        <v>EEZ</v>
      </c>
      <c r="T4013" s="2" t="str">
        <f>IF(C4013="Total", (VLOOKUP(B4013,Recommended_fish_intake!A$4:D$122,4,FALSE)), "NA")</f>
        <v>NA</v>
      </c>
      <c r="U4013" s="2" t="str">
        <f t="shared" si="388"/>
        <v>NA</v>
      </c>
    </row>
    <row r="4014" spans="1:21" ht="14.25" customHeight="1">
      <c r="A4014" s="2" t="s">
        <v>90</v>
      </c>
      <c r="B4014" s="2">
        <v>2008</v>
      </c>
      <c r="C4014" s="2" t="s">
        <v>22</v>
      </c>
      <c r="D4014" s="2">
        <v>1.6</v>
      </c>
      <c r="E4014" s="2">
        <v>3</v>
      </c>
      <c r="P4014" s="3">
        <f>E4014*(VLOOKUP(B4014,Price_data!A$1:B$190,2,FALSE))</f>
        <v>2.3780530974</v>
      </c>
      <c r="Q4014" s="3">
        <f>G4014*(VLOOKUP(B4014,Price_data!A$1:B$190,2,FALSE))</f>
        <v>0</v>
      </c>
      <c r="R4014" s="3">
        <f>I4014*(VLOOKUP(B4014,Price_data!A$1:B$190,2,FALSE))</f>
        <v>0</v>
      </c>
      <c r="S4014" s="4" t="str">
        <f>(VLOOKUP(B4014,Price_data!A$1:C$190,3,FALSE))</f>
        <v>EEZ</v>
      </c>
      <c r="T4014" s="2" t="str">
        <f>IF(C4014="Total", (VLOOKUP(B4014,Recommended_fish_intake!A$4:D$122,4,FALSE)), "NA")</f>
        <v>NA</v>
      </c>
      <c r="U4014" s="2" t="str">
        <f t="shared" si="388"/>
        <v>NA</v>
      </c>
    </row>
    <row r="4015" spans="1:21" ht="14.25" customHeight="1">
      <c r="A4015" s="2" t="s">
        <v>90</v>
      </c>
      <c r="B4015" s="2">
        <v>2008</v>
      </c>
      <c r="C4015" s="2" t="s">
        <v>23</v>
      </c>
      <c r="D4015" s="2">
        <v>1.9</v>
      </c>
      <c r="E4015" s="2">
        <v>1.8</v>
      </c>
      <c r="P4015" s="3">
        <f>E4015*(VLOOKUP(B4015,Price_data!A$1:B$190,2,FALSE))</f>
        <v>1.4268318584400002</v>
      </c>
      <c r="Q4015" s="3">
        <f>G4015*(VLOOKUP(B4015,Price_data!A$1:B$190,2,FALSE))</f>
        <v>0</v>
      </c>
      <c r="R4015" s="3">
        <f>I4015*(VLOOKUP(B4015,Price_data!A$1:B$190,2,FALSE))</f>
        <v>0</v>
      </c>
      <c r="S4015" s="4" t="str">
        <f>(VLOOKUP(B4015,Price_data!A$1:C$190,3,FALSE))</f>
        <v>EEZ</v>
      </c>
      <c r="T4015" s="2" t="str">
        <f>IF(C4015="Total", (VLOOKUP(B4015,Recommended_fish_intake!A$4:D$122,4,FALSE)), "NA")</f>
        <v>NA</v>
      </c>
      <c r="U4015" s="2" t="str">
        <f t="shared" si="388"/>
        <v>NA</v>
      </c>
    </row>
    <row r="4016" spans="1:21" ht="14.25" customHeight="1">
      <c r="A4016" s="2" t="s">
        <v>90</v>
      </c>
      <c r="B4016" s="2">
        <v>2008</v>
      </c>
      <c r="C4016" s="2" t="s">
        <v>58</v>
      </c>
      <c r="D4016" s="2">
        <v>2.4</v>
      </c>
      <c r="E4016" s="2">
        <v>6.7</v>
      </c>
      <c r="P4016" s="3">
        <f>E4016*(VLOOKUP(B4016,Price_data!A$1:B$190,2,FALSE))</f>
        <v>5.31098525086</v>
      </c>
      <c r="Q4016" s="3">
        <f>G4016*(VLOOKUP(B4016,Price_data!A$1:B$190,2,FALSE))</f>
        <v>0</v>
      </c>
      <c r="R4016" s="3">
        <f>I4016*(VLOOKUP(B4016,Price_data!A$1:B$190,2,FALSE))</f>
        <v>0</v>
      </c>
      <c r="S4016" s="4" t="str">
        <f>(VLOOKUP(B4016,Price_data!A$1:C$190,3,FALSE))</f>
        <v>EEZ</v>
      </c>
      <c r="T4016" s="2" t="str">
        <f>IF(C4016="Total", (VLOOKUP(B4016,Recommended_fish_intake!A$4:D$122,4,FALSE)), "NA")</f>
        <v>NA</v>
      </c>
      <c r="U4016" s="2" t="str">
        <f t="shared" si="388"/>
        <v>NA</v>
      </c>
    </row>
    <row r="4017" spans="1:21" ht="14.25" customHeight="1">
      <c r="A4017" s="2" t="s">
        <v>90</v>
      </c>
      <c r="B4017" s="2">
        <v>2008</v>
      </c>
      <c r="C4017" s="2" t="s">
        <v>24</v>
      </c>
      <c r="D4017" s="2">
        <v>2.2000000000000002</v>
      </c>
      <c r="E4017" s="2">
        <v>1.5</v>
      </c>
      <c r="P4017" s="3">
        <f>E4017*(VLOOKUP(B4017,Price_data!A$1:B$190,2,FALSE))</f>
        <v>1.1890265487</v>
      </c>
      <c r="Q4017" s="3">
        <f>G4017*(VLOOKUP(B4017,Price_data!A$1:B$190,2,FALSE))</f>
        <v>0</v>
      </c>
      <c r="R4017" s="3">
        <f>I4017*(VLOOKUP(B4017,Price_data!A$1:B$190,2,FALSE))</f>
        <v>0</v>
      </c>
      <c r="S4017" s="4" t="str">
        <f>(VLOOKUP(B4017,Price_data!A$1:C$190,3,FALSE))</f>
        <v>EEZ</v>
      </c>
      <c r="T4017" s="2" t="str">
        <f>IF(C4017="Total", (VLOOKUP(B4017,Recommended_fish_intake!A$4:D$122,4,FALSE)), "NA")</f>
        <v>NA</v>
      </c>
      <c r="U4017" s="2" t="str">
        <f t="shared" si="388"/>
        <v>NA</v>
      </c>
    </row>
    <row r="4018" spans="1:21" ht="14.25" customHeight="1">
      <c r="A4018" s="2" t="s">
        <v>90</v>
      </c>
      <c r="B4018" s="2">
        <v>2008</v>
      </c>
      <c r="C4018" s="2" t="s">
        <v>41</v>
      </c>
      <c r="D4018" s="2">
        <v>22</v>
      </c>
      <c r="E4018" s="2">
        <v>52</v>
      </c>
      <c r="P4018" s="3">
        <f>E4018*(VLOOKUP(B4018,Price_data!A$1:B$190,2,FALSE))</f>
        <v>41.219587021599999</v>
      </c>
      <c r="Q4018" s="3">
        <f>G4018*(VLOOKUP(B4018,Price_data!A$1:B$190,2,FALSE))</f>
        <v>0</v>
      </c>
      <c r="R4018" s="3">
        <f>I4018*(VLOOKUP(B4018,Price_data!A$1:B$190,2,FALSE))</f>
        <v>0</v>
      </c>
      <c r="S4018" s="4" t="str">
        <f>(VLOOKUP(B4018,Price_data!A$1:C$190,3,FALSE))</f>
        <v>EEZ</v>
      </c>
      <c r="T4018" s="2" t="str">
        <f>IF(C4018="Total", (VLOOKUP(B4018,Recommended_fish_intake!A$4:D$122,4,FALSE)), "NA")</f>
        <v>NA</v>
      </c>
      <c r="U4018" s="2" t="str">
        <f t="shared" si="388"/>
        <v>NA</v>
      </c>
    </row>
    <row r="4019" spans="1:21" ht="14.25" customHeight="1">
      <c r="A4019" s="2" t="s">
        <v>90</v>
      </c>
      <c r="B4019" s="2">
        <v>2008</v>
      </c>
      <c r="C4019" s="2" t="s">
        <v>19</v>
      </c>
      <c r="D4019" s="2">
        <v>0.1</v>
      </c>
      <c r="E4019" s="2">
        <v>0.1</v>
      </c>
      <c r="P4019" s="3">
        <f>E4019*(VLOOKUP(B4019,Price_data!A$1:B$190,2,FALSE))</f>
        <v>7.9268436580000004E-2</v>
      </c>
      <c r="Q4019" s="3">
        <f>G4019*(VLOOKUP(B4019,Price_data!A$1:B$190,2,FALSE))</f>
        <v>0</v>
      </c>
      <c r="R4019" s="3">
        <f>I4019*(VLOOKUP(B4019,Price_data!A$1:B$190,2,FALSE))</f>
        <v>0</v>
      </c>
      <c r="S4019" s="4" t="str">
        <f>(VLOOKUP(B4019,Price_data!A$1:C$190,3,FALSE))</f>
        <v>EEZ</v>
      </c>
      <c r="T4019" s="2" t="str">
        <f>IF(C4019="Total", (VLOOKUP(B4019,Recommended_fish_intake!A$4:D$122,4,FALSE)), "NA")</f>
        <v>NA</v>
      </c>
      <c r="U4019" s="2" t="str">
        <f t="shared" si="388"/>
        <v>NA</v>
      </c>
    </row>
    <row r="4020" spans="1:21" ht="14.25" customHeight="1">
      <c r="A4020" s="2" t="s">
        <v>90</v>
      </c>
      <c r="B4020" s="2">
        <v>2008</v>
      </c>
      <c r="C4020" s="2" t="s">
        <v>20</v>
      </c>
      <c r="D4020" s="2">
        <v>2.2999999999999998</v>
      </c>
      <c r="E4020" s="2">
        <v>1.9</v>
      </c>
      <c r="P4020" s="3">
        <f>E4020*(VLOOKUP(B4020,Price_data!A$1:B$190,2,FALSE))</f>
        <v>1.50610029502</v>
      </c>
      <c r="Q4020" s="3">
        <f>G4020*(VLOOKUP(B4020,Price_data!A$1:B$190,2,FALSE))</f>
        <v>0</v>
      </c>
      <c r="R4020" s="3">
        <f>I4020*(VLOOKUP(B4020,Price_data!A$1:B$190,2,FALSE))</f>
        <v>0</v>
      </c>
      <c r="S4020" s="4" t="str">
        <f>(VLOOKUP(B4020,Price_data!A$1:C$190,3,FALSE))</f>
        <v>EEZ</v>
      </c>
      <c r="T4020" s="2" t="str">
        <f>IF(C4020="Total", (VLOOKUP(B4020,Recommended_fish_intake!A$4:D$122,4,FALSE)), "NA")</f>
        <v>NA</v>
      </c>
      <c r="U4020" s="2" t="str">
        <f t="shared" si="388"/>
        <v>NA</v>
      </c>
    </row>
    <row r="4021" spans="1:21" ht="14.25" customHeight="1">
      <c r="A4021" s="2" t="s">
        <v>90</v>
      </c>
      <c r="B4021" s="2">
        <v>2008</v>
      </c>
      <c r="C4021" s="2" t="s">
        <v>42</v>
      </c>
      <c r="D4021" s="2">
        <v>14</v>
      </c>
      <c r="E4021" s="2">
        <v>5.6</v>
      </c>
      <c r="P4021" s="3">
        <f>E4021*(VLOOKUP(B4021,Price_data!A$1:B$190,2,FALSE))</f>
        <v>4.4390324484799999</v>
      </c>
      <c r="Q4021" s="3">
        <f>G4021*(VLOOKUP(B4021,Price_data!A$1:B$190,2,FALSE))</f>
        <v>0</v>
      </c>
      <c r="R4021" s="3">
        <f>I4021*(VLOOKUP(B4021,Price_data!A$1:B$190,2,FALSE))</f>
        <v>0</v>
      </c>
      <c r="S4021" s="4" t="str">
        <f>(VLOOKUP(B4021,Price_data!A$1:C$190,3,FALSE))</f>
        <v>EEZ</v>
      </c>
      <c r="T4021" s="2" t="str">
        <f>IF(C4021="Total", (VLOOKUP(B4021,Recommended_fish_intake!A$4:D$122,4,FALSE)), "NA")</f>
        <v>NA</v>
      </c>
      <c r="U4021" s="2" t="str">
        <f t="shared" si="388"/>
        <v>NA</v>
      </c>
    </row>
    <row r="4022" spans="1:21" ht="14.25" customHeight="1">
      <c r="A4022" s="2" t="s">
        <v>90</v>
      </c>
      <c r="B4022" s="2">
        <v>2008</v>
      </c>
      <c r="C4022" s="2" t="s">
        <v>36</v>
      </c>
      <c r="D4022" s="2">
        <v>10.8</v>
      </c>
      <c r="E4022" s="2">
        <v>14</v>
      </c>
      <c r="P4022" s="3">
        <f>E4022*(VLOOKUP(B4022,Price_data!A$1:B$190,2,FALSE))</f>
        <v>11.097581121200001</v>
      </c>
      <c r="Q4022" s="3">
        <f>G4022*(VLOOKUP(B4022,Price_data!A$1:B$190,2,FALSE))</f>
        <v>0</v>
      </c>
      <c r="R4022" s="3">
        <f>I4022*(VLOOKUP(B4022,Price_data!A$1:B$190,2,FALSE))</f>
        <v>0</v>
      </c>
      <c r="S4022" s="4" t="str">
        <f>(VLOOKUP(B4022,Price_data!A$1:C$190,3,FALSE))</f>
        <v>EEZ</v>
      </c>
      <c r="T4022" s="2" t="str">
        <f>IF(C4022="Total", (VLOOKUP(B4022,Recommended_fish_intake!A$4:D$122,4,FALSE)), "NA")</f>
        <v>NA</v>
      </c>
      <c r="U4022" s="2" t="str">
        <f t="shared" si="388"/>
        <v>NA</v>
      </c>
    </row>
    <row r="4023" spans="1:21" ht="14.25" customHeight="1">
      <c r="A4023" s="2" t="s">
        <v>90</v>
      </c>
      <c r="B4023" s="2">
        <v>2008</v>
      </c>
      <c r="C4023" s="2" t="s">
        <v>34</v>
      </c>
      <c r="D4023" s="2">
        <v>1.5</v>
      </c>
      <c r="E4023" s="2">
        <v>16.899999999999999</v>
      </c>
      <c r="P4023" s="3">
        <f>E4023*(VLOOKUP(B4023,Price_data!A$1:B$190,2,FALSE))</f>
        <v>13.396365782019998</v>
      </c>
      <c r="Q4023" s="3">
        <f>G4023*(VLOOKUP(B4023,Price_data!A$1:B$190,2,FALSE))</f>
        <v>0</v>
      </c>
      <c r="R4023" s="3">
        <f>I4023*(VLOOKUP(B4023,Price_data!A$1:B$190,2,FALSE))</f>
        <v>0</v>
      </c>
      <c r="S4023" s="4" t="str">
        <f>(VLOOKUP(B4023,Price_data!A$1:C$190,3,FALSE))</f>
        <v>EEZ</v>
      </c>
      <c r="T4023" s="2" t="str">
        <f>IF(C4023="Total", (VLOOKUP(B4023,Recommended_fish_intake!A$4:D$122,4,FALSE)), "NA")</f>
        <v>NA</v>
      </c>
      <c r="U4023" s="2" t="str">
        <f t="shared" si="388"/>
        <v>NA</v>
      </c>
    </row>
    <row r="4024" spans="1:21" ht="14.25" customHeight="1">
      <c r="A4024" s="2" t="s">
        <v>90</v>
      </c>
      <c r="B4024" s="2">
        <v>2008</v>
      </c>
      <c r="C4024" s="2" t="s">
        <v>35</v>
      </c>
      <c r="D4024" s="2">
        <v>2.2999999999999998</v>
      </c>
      <c r="E4024" s="2">
        <v>5.3</v>
      </c>
      <c r="P4024" s="3">
        <f>E4024*(VLOOKUP(B4024,Price_data!A$1:B$190,2,FALSE))</f>
        <v>4.2012271387400002</v>
      </c>
      <c r="Q4024" s="3">
        <f>G4024*(VLOOKUP(B4024,Price_data!A$1:B$190,2,FALSE))</f>
        <v>0</v>
      </c>
      <c r="R4024" s="3">
        <f>I4024*(VLOOKUP(B4024,Price_data!A$1:B$190,2,FALSE))</f>
        <v>0</v>
      </c>
      <c r="S4024" s="4" t="str">
        <f>(VLOOKUP(B4024,Price_data!A$1:C$190,3,FALSE))</f>
        <v>EEZ</v>
      </c>
      <c r="T4024" s="2" t="str">
        <f>IF(C4024="Total", (VLOOKUP(B4024,Recommended_fish_intake!A$4:D$122,4,FALSE)), "NA")</f>
        <v>NA</v>
      </c>
      <c r="U4024" s="2" t="str">
        <f t="shared" si="388"/>
        <v>NA</v>
      </c>
    </row>
    <row r="4025" spans="1:21" ht="14.25" customHeight="1">
      <c r="A4025" s="2" t="s">
        <v>90</v>
      </c>
      <c r="B4025" s="2">
        <v>2008</v>
      </c>
      <c r="C4025" s="2" t="s">
        <v>52</v>
      </c>
      <c r="D4025" s="2">
        <v>9.3000000000000007</v>
      </c>
      <c r="E4025" s="2">
        <v>14.1</v>
      </c>
      <c r="P4025" s="3">
        <f>E4025*(VLOOKUP(B4025,Price_data!A$1:B$190,2,FALSE))</f>
        <v>11.176849557780001</v>
      </c>
      <c r="Q4025" s="3">
        <f>G4025*(VLOOKUP(B4025,Price_data!A$1:B$190,2,FALSE))</f>
        <v>0</v>
      </c>
      <c r="R4025" s="3">
        <f>I4025*(VLOOKUP(B4025,Price_data!A$1:B$190,2,FALSE))</f>
        <v>0</v>
      </c>
      <c r="S4025" s="4" t="str">
        <f>(VLOOKUP(B4025,Price_data!A$1:C$190,3,FALSE))</f>
        <v>EEZ</v>
      </c>
      <c r="T4025" s="2" t="str">
        <f>IF(C4025="Total", (VLOOKUP(B4025,Recommended_fish_intake!A$4:D$122,4,FALSE)), "NA")</f>
        <v>NA</v>
      </c>
      <c r="U4025" s="2" t="str">
        <f t="shared" si="388"/>
        <v>NA</v>
      </c>
    </row>
    <row r="4026" spans="1:21" ht="14.25" customHeight="1">
      <c r="A4026" s="2" t="s">
        <v>90</v>
      </c>
      <c r="B4026" s="2">
        <v>2008</v>
      </c>
      <c r="C4026" s="2" t="s">
        <v>30</v>
      </c>
      <c r="D4026" s="2">
        <v>0.9</v>
      </c>
      <c r="E4026" s="2">
        <v>2.7</v>
      </c>
      <c r="P4026" s="3">
        <f>E4026*(VLOOKUP(B4026,Price_data!A$1:B$190,2,FALSE))</f>
        <v>2.1402477876600003</v>
      </c>
      <c r="Q4026" s="3">
        <f>G4026*(VLOOKUP(B4026,Price_data!A$1:B$190,2,FALSE))</f>
        <v>0</v>
      </c>
      <c r="R4026" s="3">
        <f>I4026*(VLOOKUP(B4026,Price_data!A$1:B$190,2,FALSE))</f>
        <v>0</v>
      </c>
      <c r="S4026" s="4" t="str">
        <f>(VLOOKUP(B4026,Price_data!A$1:C$190,3,FALSE))</f>
        <v>EEZ</v>
      </c>
      <c r="T4026" s="2" t="str">
        <f>IF(C4026="Total", (VLOOKUP(B4026,Recommended_fish_intake!A$4:D$122,4,FALSE)), "NA")</f>
        <v>NA</v>
      </c>
      <c r="U4026" s="2" t="str">
        <f t="shared" si="388"/>
        <v>NA</v>
      </c>
    </row>
    <row r="4027" spans="1:21" ht="14.25" customHeight="1">
      <c r="A4027" s="2" t="s">
        <v>90</v>
      </c>
      <c r="B4027" s="2">
        <v>2008</v>
      </c>
      <c r="C4027" s="2" t="s">
        <v>28</v>
      </c>
      <c r="D4027" s="2">
        <v>53.3</v>
      </c>
      <c r="E4027" s="2">
        <v>73.599999999999994</v>
      </c>
      <c r="P4027" s="3">
        <f>E4027*(VLOOKUP(B4027,Price_data!A$1:B$190,2,FALSE))</f>
        <v>58.341569322879998</v>
      </c>
      <c r="Q4027" s="3">
        <f>G4027*(VLOOKUP(B4027,Price_data!A$1:B$190,2,FALSE))</f>
        <v>0</v>
      </c>
      <c r="R4027" s="3">
        <f>I4027*(VLOOKUP(B4027,Price_data!A$1:B$190,2,FALSE))</f>
        <v>0</v>
      </c>
      <c r="S4027" s="4" t="str">
        <f>(VLOOKUP(B4027,Price_data!A$1:C$190,3,FALSE))</f>
        <v>EEZ</v>
      </c>
      <c r="T4027" s="2" t="str">
        <f>IF(C4027="Total", (VLOOKUP(B4027,Recommended_fish_intake!A$4:D$122,4,FALSE)), "NA")</f>
        <v>NA</v>
      </c>
      <c r="U4027" s="2">
        <f t="shared" si="388"/>
        <v>14.924000000000001</v>
      </c>
    </row>
    <row r="4028" spans="1:21" ht="14.25" customHeight="1">
      <c r="A4028" s="2" t="s">
        <v>91</v>
      </c>
      <c r="B4028" s="2">
        <v>2008</v>
      </c>
      <c r="C4028" s="2" t="s">
        <v>22</v>
      </c>
      <c r="D4028" s="2">
        <v>1.7000000000000001E-2</v>
      </c>
      <c r="E4028" s="2">
        <v>3.3000000000000002E-2</v>
      </c>
      <c r="P4028" s="3">
        <f>E4028*(VLOOKUP(B4028,Price_data!A$1:B$190,2,FALSE))</f>
        <v>2.6158584071400003E-2</v>
      </c>
      <c r="Q4028" s="3">
        <f>G4028*(VLOOKUP(B4028,Price_data!A$1:B$190,2,FALSE))</f>
        <v>0</v>
      </c>
      <c r="R4028" s="3">
        <f>I4028*(VLOOKUP(B4028,Price_data!A$1:B$190,2,FALSE))</f>
        <v>0</v>
      </c>
      <c r="S4028" s="4" t="str">
        <f>(VLOOKUP(B4028,Price_data!A$1:C$190,3,FALSE))</f>
        <v>EEZ</v>
      </c>
      <c r="T4028" s="2" t="str">
        <f>IF(C4028="Total", (VLOOKUP(B4028,Recommended_fish_intake!A$4:D$122,4,FALSE)), "NA")</f>
        <v>NA</v>
      </c>
      <c r="U4028" s="2" t="str">
        <f t="shared" si="388"/>
        <v>NA</v>
      </c>
    </row>
    <row r="4029" spans="1:21" ht="14.25" customHeight="1">
      <c r="A4029" s="2" t="s">
        <v>91</v>
      </c>
      <c r="B4029" s="2">
        <v>2008</v>
      </c>
      <c r="C4029" s="2" t="s">
        <v>23</v>
      </c>
      <c r="D4029" s="2">
        <v>1.9E-2</v>
      </c>
      <c r="E4029" s="2">
        <v>1.6E-2</v>
      </c>
      <c r="P4029" s="3">
        <f>E4029*(VLOOKUP(B4029,Price_data!A$1:B$190,2,FALSE))</f>
        <v>1.26829498528E-2</v>
      </c>
      <c r="Q4029" s="3">
        <f>G4029*(VLOOKUP(B4029,Price_data!A$1:B$190,2,FALSE))</f>
        <v>0</v>
      </c>
      <c r="R4029" s="3">
        <f>I4029*(VLOOKUP(B4029,Price_data!A$1:B$190,2,FALSE))</f>
        <v>0</v>
      </c>
      <c r="S4029" s="4" t="str">
        <f>(VLOOKUP(B4029,Price_data!A$1:C$190,3,FALSE))</f>
        <v>EEZ</v>
      </c>
      <c r="T4029" s="2" t="str">
        <f>IF(C4029="Total", (VLOOKUP(B4029,Recommended_fish_intake!A$4:D$122,4,FALSE)), "NA")</f>
        <v>NA</v>
      </c>
      <c r="U4029" s="2" t="str">
        <f t="shared" si="388"/>
        <v>NA</v>
      </c>
    </row>
    <row r="4030" spans="1:21" ht="14.25" customHeight="1">
      <c r="A4030" s="2" t="s">
        <v>91</v>
      </c>
      <c r="B4030" s="2">
        <v>2008</v>
      </c>
      <c r="C4030" s="2" t="s">
        <v>58</v>
      </c>
      <c r="D4030" s="2">
        <v>0.38800000000000001</v>
      </c>
      <c r="E4030" s="2">
        <v>1.1679999999999999</v>
      </c>
      <c r="P4030" s="3">
        <f>E4030*(VLOOKUP(B4030,Price_data!A$1:B$190,2,FALSE))</f>
        <v>0.9258553392544</v>
      </c>
      <c r="Q4030" s="3">
        <f>G4030*(VLOOKUP(B4030,Price_data!A$1:B$190,2,FALSE))</f>
        <v>0</v>
      </c>
      <c r="R4030" s="3">
        <f>I4030*(VLOOKUP(B4030,Price_data!A$1:B$190,2,FALSE))</f>
        <v>0</v>
      </c>
      <c r="S4030" s="4" t="str">
        <f>(VLOOKUP(B4030,Price_data!A$1:C$190,3,FALSE))</f>
        <v>EEZ</v>
      </c>
      <c r="T4030" s="2" t="str">
        <f>IF(C4030="Total", (VLOOKUP(B4030,Recommended_fish_intake!A$4:D$122,4,FALSE)), "NA")</f>
        <v>NA</v>
      </c>
      <c r="U4030" s="2" t="str">
        <f t="shared" si="388"/>
        <v>NA</v>
      </c>
    </row>
    <row r="4031" spans="1:21" ht="14.25" customHeight="1">
      <c r="A4031" s="2" t="s">
        <v>91</v>
      </c>
      <c r="B4031" s="2">
        <v>2008</v>
      </c>
      <c r="C4031" s="2" t="s">
        <v>24</v>
      </c>
      <c r="D4031" s="2">
        <v>0.01</v>
      </c>
      <c r="E4031" s="2">
        <v>7.0000000000000001E-3</v>
      </c>
      <c r="P4031" s="3">
        <f>E4031*(VLOOKUP(B4031,Price_data!A$1:B$190,2,FALSE))</f>
        <v>5.5487905606000001E-3</v>
      </c>
      <c r="Q4031" s="3">
        <f>G4031*(VLOOKUP(B4031,Price_data!A$1:B$190,2,FALSE))</f>
        <v>0</v>
      </c>
      <c r="R4031" s="3">
        <f>I4031*(VLOOKUP(B4031,Price_data!A$1:B$190,2,FALSE))</f>
        <v>0</v>
      </c>
      <c r="S4031" s="4" t="str">
        <f>(VLOOKUP(B4031,Price_data!A$1:C$190,3,FALSE))</f>
        <v>EEZ</v>
      </c>
      <c r="T4031" s="2" t="str">
        <f>IF(C4031="Total", (VLOOKUP(B4031,Recommended_fish_intake!A$4:D$122,4,FALSE)), "NA")</f>
        <v>NA</v>
      </c>
      <c r="U4031" s="2" t="str">
        <f t="shared" si="388"/>
        <v>NA</v>
      </c>
    </row>
    <row r="4032" spans="1:21" ht="14.25" customHeight="1">
      <c r="A4032" s="2" t="s">
        <v>91</v>
      </c>
      <c r="B4032" s="2">
        <v>2008</v>
      </c>
      <c r="C4032" s="2" t="s">
        <v>41</v>
      </c>
      <c r="D4032" s="2">
        <v>1.66</v>
      </c>
      <c r="E4032" s="2">
        <v>4.2430000000000003</v>
      </c>
      <c r="P4032" s="3">
        <f>E4032*(VLOOKUP(B4032,Price_data!A$1:B$190,2,FALSE))</f>
        <v>3.3633597640894002</v>
      </c>
      <c r="Q4032" s="3">
        <f>G4032*(VLOOKUP(B4032,Price_data!A$1:B$190,2,FALSE))</f>
        <v>0</v>
      </c>
      <c r="R4032" s="3">
        <f>I4032*(VLOOKUP(B4032,Price_data!A$1:B$190,2,FALSE))</f>
        <v>0</v>
      </c>
      <c r="S4032" s="4" t="str">
        <f>(VLOOKUP(B4032,Price_data!A$1:C$190,3,FALSE))</f>
        <v>EEZ</v>
      </c>
      <c r="T4032" s="2" t="str">
        <f>IF(C4032="Total", (VLOOKUP(B4032,Recommended_fish_intake!A$4:D$122,4,FALSE)), "NA")</f>
        <v>NA</v>
      </c>
      <c r="U4032" s="2" t="str">
        <f t="shared" si="388"/>
        <v>NA</v>
      </c>
    </row>
    <row r="4033" spans="1:21" ht="14.25" customHeight="1">
      <c r="A4033" s="2" t="s">
        <v>91</v>
      </c>
      <c r="B4033" s="2">
        <v>2008</v>
      </c>
      <c r="C4033" s="2" t="s">
        <v>19</v>
      </c>
      <c r="D4033" s="2">
        <v>0</v>
      </c>
      <c r="E4033" s="2">
        <v>0</v>
      </c>
      <c r="P4033" s="3">
        <f>E4033*(VLOOKUP(B4033,Price_data!A$1:B$190,2,FALSE))</f>
        <v>0</v>
      </c>
      <c r="Q4033" s="3">
        <f>G4033*(VLOOKUP(B4033,Price_data!A$1:B$190,2,FALSE))</f>
        <v>0</v>
      </c>
      <c r="R4033" s="3">
        <f>I4033*(VLOOKUP(B4033,Price_data!A$1:B$190,2,FALSE))</f>
        <v>0</v>
      </c>
      <c r="S4033" s="4" t="str">
        <f>(VLOOKUP(B4033,Price_data!A$1:C$190,3,FALSE))</f>
        <v>EEZ</v>
      </c>
      <c r="T4033" s="2" t="str">
        <f>IF(C4033="Total", (VLOOKUP(B4033,Recommended_fish_intake!A$4:D$122,4,FALSE)), "NA")</f>
        <v>NA</v>
      </c>
      <c r="U4033" s="2" t="str">
        <f t="shared" si="388"/>
        <v>NA</v>
      </c>
    </row>
    <row r="4034" spans="1:21" ht="14.25" customHeight="1">
      <c r="A4034" s="2" t="s">
        <v>91</v>
      </c>
      <c r="B4034" s="2">
        <v>2008</v>
      </c>
      <c r="C4034" s="2" t="s">
        <v>20</v>
      </c>
      <c r="D4034" s="2">
        <v>0</v>
      </c>
      <c r="E4034" s="2">
        <v>1E-3</v>
      </c>
      <c r="P4034" s="3">
        <f>E4034*(VLOOKUP(B4034,Price_data!A$1:B$190,2,FALSE))</f>
        <v>7.9268436579999998E-4</v>
      </c>
      <c r="Q4034" s="3">
        <f>G4034*(VLOOKUP(B4034,Price_data!A$1:B$190,2,FALSE))</f>
        <v>0</v>
      </c>
      <c r="R4034" s="3">
        <f>I4034*(VLOOKUP(B4034,Price_data!A$1:B$190,2,FALSE))</f>
        <v>0</v>
      </c>
      <c r="S4034" s="4" t="str">
        <f>(VLOOKUP(B4034,Price_data!A$1:C$190,3,FALSE))</f>
        <v>EEZ</v>
      </c>
      <c r="T4034" s="2" t="str">
        <f>IF(C4034="Total", (VLOOKUP(B4034,Recommended_fish_intake!A$4:D$122,4,FALSE)), "NA")</f>
        <v>NA</v>
      </c>
      <c r="U4034" s="2" t="str">
        <f t="shared" ref="U4034:U4097" si="390">IF(C4034="Wet fish", D4034*0.49, IF(C4034="Shellfish", D4034*0.28, "NA"))</f>
        <v>NA</v>
      </c>
    </row>
    <row r="4035" spans="1:21" ht="14.25" customHeight="1">
      <c r="A4035" s="2" t="s">
        <v>91</v>
      </c>
      <c r="B4035" s="2">
        <v>2008</v>
      </c>
      <c r="C4035" s="2" t="s">
        <v>42</v>
      </c>
      <c r="D4035" s="2">
        <v>1E-3</v>
      </c>
      <c r="E4035" s="2">
        <v>1E-3</v>
      </c>
      <c r="P4035" s="3">
        <f>E4035*(VLOOKUP(B4035,Price_data!A$1:B$190,2,FALSE))</f>
        <v>7.9268436579999998E-4</v>
      </c>
      <c r="Q4035" s="3">
        <f>G4035*(VLOOKUP(B4035,Price_data!A$1:B$190,2,FALSE))</f>
        <v>0</v>
      </c>
      <c r="R4035" s="3">
        <f>I4035*(VLOOKUP(B4035,Price_data!A$1:B$190,2,FALSE))</f>
        <v>0</v>
      </c>
      <c r="S4035" s="4" t="str">
        <f>(VLOOKUP(B4035,Price_data!A$1:C$190,3,FALSE))</f>
        <v>EEZ</v>
      </c>
      <c r="T4035" s="2" t="str">
        <f>IF(C4035="Total", (VLOOKUP(B4035,Recommended_fish_intake!A$4:D$122,4,FALSE)), "NA")</f>
        <v>NA</v>
      </c>
      <c r="U4035" s="2" t="str">
        <f t="shared" si="390"/>
        <v>NA</v>
      </c>
    </row>
    <row r="4036" spans="1:21" ht="14.25" customHeight="1">
      <c r="A4036" s="2" t="s">
        <v>91</v>
      </c>
      <c r="B4036" s="2">
        <v>2008</v>
      </c>
      <c r="C4036" s="2" t="s">
        <v>36</v>
      </c>
      <c r="D4036" s="2">
        <v>1.0569999999999999</v>
      </c>
      <c r="E4036" s="2">
        <v>1.5249999999999999</v>
      </c>
      <c r="P4036" s="3">
        <f>E4036*(VLOOKUP(B4036,Price_data!A$1:B$190,2,FALSE))</f>
        <v>1.2088436578449999</v>
      </c>
      <c r="Q4036" s="3">
        <f>G4036*(VLOOKUP(B4036,Price_data!A$1:B$190,2,FALSE))</f>
        <v>0</v>
      </c>
      <c r="R4036" s="3">
        <f>I4036*(VLOOKUP(B4036,Price_data!A$1:B$190,2,FALSE))</f>
        <v>0</v>
      </c>
      <c r="S4036" s="4" t="str">
        <f>(VLOOKUP(B4036,Price_data!A$1:C$190,3,FALSE))</f>
        <v>EEZ</v>
      </c>
      <c r="T4036" s="2" t="str">
        <f>IF(C4036="Total", (VLOOKUP(B4036,Recommended_fish_intake!A$4:D$122,4,FALSE)), "NA")</f>
        <v>NA</v>
      </c>
      <c r="U4036" s="2" t="str">
        <f t="shared" si="390"/>
        <v>NA</v>
      </c>
    </row>
    <row r="4037" spans="1:21" ht="14.25" customHeight="1">
      <c r="A4037" s="2" t="s">
        <v>91</v>
      </c>
      <c r="B4037" s="2">
        <v>2008</v>
      </c>
      <c r="C4037" s="2" t="s">
        <v>34</v>
      </c>
      <c r="D4037" s="2">
        <v>0.188</v>
      </c>
      <c r="E4037" s="2">
        <v>3.1309999999999998</v>
      </c>
      <c r="P4037" s="3">
        <f>E4037*(VLOOKUP(B4037,Price_data!A$1:B$190,2,FALSE))</f>
        <v>2.4818947493198</v>
      </c>
      <c r="Q4037" s="3">
        <f>G4037*(VLOOKUP(B4037,Price_data!A$1:B$190,2,FALSE))</f>
        <v>0</v>
      </c>
      <c r="R4037" s="3">
        <f>I4037*(VLOOKUP(B4037,Price_data!A$1:B$190,2,FALSE))</f>
        <v>0</v>
      </c>
      <c r="S4037" s="4" t="str">
        <f>(VLOOKUP(B4037,Price_data!A$1:C$190,3,FALSE))</f>
        <v>EEZ</v>
      </c>
      <c r="T4037" s="2" t="str">
        <f>IF(C4037="Total", (VLOOKUP(B4037,Recommended_fish_intake!A$4:D$122,4,FALSE)), "NA")</f>
        <v>NA</v>
      </c>
      <c r="U4037" s="2" t="str">
        <f t="shared" si="390"/>
        <v>NA</v>
      </c>
    </row>
    <row r="4038" spans="1:21" ht="14.25" customHeight="1">
      <c r="A4038" s="2" t="s">
        <v>91</v>
      </c>
      <c r="B4038" s="2">
        <v>2008</v>
      </c>
      <c r="C4038" s="2" t="s">
        <v>35</v>
      </c>
      <c r="D4038" s="2">
        <v>7.1999999999999995E-2</v>
      </c>
      <c r="E4038" s="2">
        <v>0.186</v>
      </c>
      <c r="P4038" s="3">
        <f>E4038*(VLOOKUP(B4038,Price_data!A$1:B$190,2,FALSE))</f>
        <v>0.14743929203879999</v>
      </c>
      <c r="Q4038" s="3">
        <f>G4038*(VLOOKUP(B4038,Price_data!A$1:B$190,2,FALSE))</f>
        <v>0</v>
      </c>
      <c r="R4038" s="3">
        <f>I4038*(VLOOKUP(B4038,Price_data!A$1:B$190,2,FALSE))</f>
        <v>0</v>
      </c>
      <c r="S4038" s="4" t="str">
        <f>(VLOOKUP(B4038,Price_data!A$1:C$190,3,FALSE))</f>
        <v>EEZ</v>
      </c>
      <c r="T4038" s="2" t="str">
        <f>IF(C4038="Total", (VLOOKUP(B4038,Recommended_fish_intake!A$4:D$122,4,FALSE)), "NA")</f>
        <v>NA</v>
      </c>
      <c r="U4038" s="2" t="str">
        <f t="shared" si="390"/>
        <v>NA</v>
      </c>
    </row>
    <row r="4039" spans="1:21" ht="14.25" customHeight="1">
      <c r="A4039" s="2" t="s">
        <v>91</v>
      </c>
      <c r="B4039" s="2">
        <v>2008</v>
      </c>
      <c r="C4039" s="2" t="s">
        <v>52</v>
      </c>
      <c r="D4039" s="2">
        <v>2.9609999999999999</v>
      </c>
      <c r="E4039" s="2">
        <v>5.2060000000000004</v>
      </c>
      <c r="P4039" s="3">
        <f>E4039*(VLOOKUP(B4039,Price_data!A$1:B$190,2,FALSE))</f>
        <v>4.1267148083548006</v>
      </c>
      <c r="Q4039" s="3">
        <f>G4039*(VLOOKUP(B4039,Price_data!A$1:B$190,2,FALSE))</f>
        <v>0</v>
      </c>
      <c r="R4039" s="3">
        <f>I4039*(VLOOKUP(B4039,Price_data!A$1:B$190,2,FALSE))</f>
        <v>0</v>
      </c>
      <c r="S4039" s="4" t="str">
        <f>(VLOOKUP(B4039,Price_data!A$1:C$190,3,FALSE))</f>
        <v>EEZ</v>
      </c>
      <c r="T4039" s="2" t="str">
        <f>IF(C4039="Total", (VLOOKUP(B4039,Recommended_fish_intake!A$4:D$122,4,FALSE)), "NA")</f>
        <v>NA</v>
      </c>
      <c r="U4039" s="2" t="str">
        <f t="shared" si="390"/>
        <v>NA</v>
      </c>
    </row>
    <row r="4040" spans="1:21" ht="14.25" customHeight="1">
      <c r="A4040" s="2" t="s">
        <v>91</v>
      </c>
      <c r="B4040" s="2">
        <v>2008</v>
      </c>
      <c r="C4040" s="2" t="s">
        <v>30</v>
      </c>
      <c r="D4040" s="2">
        <v>0</v>
      </c>
      <c r="E4040" s="2">
        <v>0</v>
      </c>
      <c r="P4040" s="3">
        <f>E4040*(VLOOKUP(B4040,Price_data!A$1:B$190,2,FALSE))</f>
        <v>0</v>
      </c>
      <c r="Q4040" s="3">
        <f>G4040*(VLOOKUP(B4040,Price_data!A$1:B$190,2,FALSE))</f>
        <v>0</v>
      </c>
      <c r="R4040" s="3">
        <f>I4040*(VLOOKUP(B4040,Price_data!A$1:B$190,2,FALSE))</f>
        <v>0</v>
      </c>
      <c r="S4040" s="4" t="str">
        <f>(VLOOKUP(B4040,Price_data!A$1:C$190,3,FALSE))</f>
        <v>EEZ</v>
      </c>
      <c r="T4040" s="2" t="str">
        <f>IF(C4040="Total", (VLOOKUP(B4040,Recommended_fish_intake!A$4:D$122,4,FALSE)), "NA")</f>
        <v>NA</v>
      </c>
      <c r="U4040" s="2" t="str">
        <f t="shared" si="390"/>
        <v>NA</v>
      </c>
    </row>
    <row r="4041" spans="1:21" ht="14.25" customHeight="1">
      <c r="A4041" s="2" t="s">
        <v>91</v>
      </c>
      <c r="B4041" s="2">
        <v>2008</v>
      </c>
      <c r="C4041" s="2" t="s">
        <v>28</v>
      </c>
      <c r="D4041" s="2">
        <v>14.702999999999999</v>
      </c>
      <c r="E4041" s="2">
        <v>14.206</v>
      </c>
      <c r="P4041" s="3">
        <f>E4041*(VLOOKUP(B4041,Price_data!A$1:B$190,2,FALSE))</f>
        <v>11.260874100554799</v>
      </c>
      <c r="Q4041" s="3">
        <f>G4041*(VLOOKUP(B4041,Price_data!A$1:B$190,2,FALSE))</f>
        <v>0</v>
      </c>
      <c r="R4041" s="3">
        <f>I4041*(VLOOKUP(B4041,Price_data!A$1:B$190,2,FALSE))</f>
        <v>0</v>
      </c>
      <c r="S4041" s="4" t="str">
        <f>(VLOOKUP(B4041,Price_data!A$1:C$190,3,FALSE))</f>
        <v>EEZ</v>
      </c>
      <c r="T4041" s="2" t="str">
        <f>IF(C4041="Total", (VLOOKUP(B4041,Recommended_fish_intake!A$4:D$122,4,FALSE)), "NA")</f>
        <v>NA</v>
      </c>
      <c r="U4041" s="2">
        <f t="shared" si="390"/>
        <v>4.1168399999999998</v>
      </c>
    </row>
    <row r="4042" spans="1:21" ht="14.25" customHeight="1">
      <c r="A4042" s="2" t="s">
        <v>39</v>
      </c>
      <c r="B4042" s="2">
        <v>2008</v>
      </c>
      <c r="C4042" s="2" t="s">
        <v>22</v>
      </c>
      <c r="D4042" s="2">
        <v>7.6449999999999996</v>
      </c>
      <c r="E4042" s="2">
        <v>16.029</v>
      </c>
      <c r="P4042" s="3">
        <f>E4042*(VLOOKUP(B4042,Price_data!A$1:B$190,2,FALSE))</f>
        <v>12.705937699408199</v>
      </c>
      <c r="Q4042" s="3">
        <f>G4042*(VLOOKUP(B4042,Price_data!A$1:B$190,2,FALSE))</f>
        <v>0</v>
      </c>
      <c r="R4042" s="3">
        <f>I4042*(VLOOKUP(B4042,Price_data!A$1:B$190,2,FALSE))</f>
        <v>0</v>
      </c>
      <c r="S4042" s="4" t="str">
        <f>(VLOOKUP(B4042,Price_data!A$1:C$190,3,FALSE))</f>
        <v>EEZ</v>
      </c>
      <c r="T4042" s="2" t="str">
        <f>IF(C4042="Total", (VLOOKUP(B4042,Recommended_fish_intake!A$4:D$122,4,FALSE)), "NA")</f>
        <v>NA</v>
      </c>
      <c r="U4042" s="2" t="str">
        <f t="shared" si="390"/>
        <v>NA</v>
      </c>
    </row>
    <row r="4043" spans="1:21" ht="14.25" customHeight="1">
      <c r="A4043" s="2" t="s">
        <v>39</v>
      </c>
      <c r="B4043" s="2">
        <v>2008</v>
      </c>
      <c r="C4043" s="2" t="s">
        <v>23</v>
      </c>
      <c r="D4043" s="2">
        <v>29.488</v>
      </c>
      <c r="E4043" s="2">
        <v>32.679000000000002</v>
      </c>
      <c r="P4043" s="3">
        <f>E4043*(VLOOKUP(B4043,Price_data!A$1:B$190,2,FALSE))</f>
        <v>25.904132389978201</v>
      </c>
      <c r="Q4043" s="3">
        <f>G4043*(VLOOKUP(B4043,Price_data!A$1:B$190,2,FALSE))</f>
        <v>0</v>
      </c>
      <c r="R4043" s="3">
        <f>I4043*(VLOOKUP(B4043,Price_data!A$1:B$190,2,FALSE))</f>
        <v>0</v>
      </c>
      <c r="S4043" s="4" t="str">
        <f>(VLOOKUP(B4043,Price_data!A$1:C$190,3,FALSE))</f>
        <v>EEZ</v>
      </c>
      <c r="T4043" s="2" t="str">
        <f>IF(C4043="Total", (VLOOKUP(B4043,Recommended_fish_intake!A$4:D$122,4,FALSE)), "NA")</f>
        <v>NA</v>
      </c>
      <c r="U4043" s="2" t="str">
        <f t="shared" si="390"/>
        <v>NA</v>
      </c>
    </row>
    <row r="4044" spans="1:21" ht="14.25" customHeight="1">
      <c r="A4044" s="2" t="s">
        <v>39</v>
      </c>
      <c r="B4044" s="2">
        <v>2008</v>
      </c>
      <c r="C4044" s="2" t="s">
        <v>58</v>
      </c>
      <c r="D4044" s="2">
        <v>10.086</v>
      </c>
      <c r="E4044" s="2">
        <v>28.024000000000001</v>
      </c>
      <c r="P4044" s="3">
        <f>E4044*(VLOOKUP(B4044,Price_data!A$1:B$190,2,FALSE))</f>
        <v>22.214186667179202</v>
      </c>
      <c r="Q4044" s="3">
        <f>G4044*(VLOOKUP(B4044,Price_data!A$1:B$190,2,FALSE))</f>
        <v>0</v>
      </c>
      <c r="R4044" s="3">
        <f>I4044*(VLOOKUP(B4044,Price_data!A$1:B$190,2,FALSE))</f>
        <v>0</v>
      </c>
      <c r="S4044" s="4" t="str">
        <f>(VLOOKUP(B4044,Price_data!A$1:C$190,3,FALSE))</f>
        <v>EEZ</v>
      </c>
      <c r="T4044" s="2" t="str">
        <f>IF(C4044="Total", (VLOOKUP(B4044,Recommended_fish_intake!A$4:D$122,4,FALSE)), "NA")</f>
        <v>NA</v>
      </c>
      <c r="U4044" s="2" t="str">
        <f t="shared" si="390"/>
        <v>NA</v>
      </c>
    </row>
    <row r="4045" spans="1:21" ht="14.25" customHeight="1">
      <c r="A4045" s="2" t="s">
        <v>39</v>
      </c>
      <c r="B4045" s="2">
        <v>2008</v>
      </c>
      <c r="C4045" s="2" t="s">
        <v>24</v>
      </c>
      <c r="D4045" s="2">
        <v>9.2260000000000009</v>
      </c>
      <c r="E4045" s="2">
        <v>9.2759999999999998</v>
      </c>
      <c r="P4045" s="3">
        <f>E4045*(VLOOKUP(B4045,Price_data!A$1:B$190,2,FALSE))</f>
        <v>7.3529401771608001</v>
      </c>
      <c r="Q4045" s="3">
        <f>G4045*(VLOOKUP(B4045,Price_data!A$1:B$190,2,FALSE))</f>
        <v>0</v>
      </c>
      <c r="R4045" s="3">
        <f>I4045*(VLOOKUP(B4045,Price_data!A$1:B$190,2,FALSE))</f>
        <v>0</v>
      </c>
      <c r="S4045" s="4" t="str">
        <f>(VLOOKUP(B4045,Price_data!A$1:C$190,3,FALSE))</f>
        <v>EEZ</v>
      </c>
      <c r="T4045" s="2" t="str">
        <f>IF(C4045="Total", (VLOOKUP(B4045,Recommended_fish_intake!A$4:D$122,4,FALSE)), "NA")</f>
        <v>NA</v>
      </c>
      <c r="U4045" s="2" t="str">
        <f t="shared" si="390"/>
        <v>NA</v>
      </c>
    </row>
    <row r="4046" spans="1:21" ht="14.25" customHeight="1">
      <c r="A4046" s="2" t="s">
        <v>39</v>
      </c>
      <c r="B4046" s="2">
        <v>2008</v>
      </c>
      <c r="C4046" s="2" t="s">
        <v>41</v>
      </c>
      <c r="D4046" s="2">
        <v>84.135000000000005</v>
      </c>
      <c r="E4046" s="2">
        <v>119.988</v>
      </c>
      <c r="P4046" s="3">
        <f>E4046*(VLOOKUP(B4046,Price_data!A$1:B$190,2,FALSE))</f>
        <v>95.112611683610396</v>
      </c>
      <c r="Q4046" s="3">
        <f>G4046*(VLOOKUP(B4046,Price_data!A$1:B$190,2,FALSE))</f>
        <v>0</v>
      </c>
      <c r="R4046" s="3">
        <f>I4046*(VLOOKUP(B4046,Price_data!A$1:B$190,2,FALSE))</f>
        <v>0</v>
      </c>
      <c r="S4046" s="4" t="str">
        <f>(VLOOKUP(B4046,Price_data!A$1:C$190,3,FALSE))</f>
        <v>EEZ</v>
      </c>
      <c r="T4046" s="2" t="str">
        <f>IF(C4046="Total", (VLOOKUP(B4046,Recommended_fish_intake!A$4:D$122,4,FALSE)), "NA")</f>
        <v>NA</v>
      </c>
      <c r="U4046" s="2" t="str">
        <f t="shared" si="390"/>
        <v>NA</v>
      </c>
    </row>
    <row r="4047" spans="1:21" ht="14.25" customHeight="1">
      <c r="A4047" s="2" t="s">
        <v>39</v>
      </c>
      <c r="B4047" s="2">
        <v>2008</v>
      </c>
      <c r="C4047" s="2" t="s">
        <v>19</v>
      </c>
      <c r="D4047" s="2">
        <v>32.366999999999997</v>
      </c>
      <c r="E4047" s="2">
        <v>8.2759999999999998</v>
      </c>
      <c r="P4047" s="3">
        <f>E4047*(VLOOKUP(B4047,Price_data!A$1:B$190,2,FALSE))</f>
        <v>6.5602558113607996</v>
      </c>
      <c r="Q4047" s="3">
        <f>G4047*(VLOOKUP(B4047,Price_data!A$1:B$190,2,FALSE))</f>
        <v>0</v>
      </c>
      <c r="R4047" s="3">
        <f>I4047*(VLOOKUP(B4047,Price_data!A$1:B$190,2,FALSE))</f>
        <v>0</v>
      </c>
      <c r="S4047" s="4" t="str">
        <f>(VLOOKUP(B4047,Price_data!A$1:C$190,3,FALSE))</f>
        <v>EEZ</v>
      </c>
      <c r="T4047" s="2" t="str">
        <f>IF(C4047="Total", (VLOOKUP(B4047,Recommended_fish_intake!A$4:D$122,4,FALSE)), "NA")</f>
        <v>NA</v>
      </c>
      <c r="U4047" s="2" t="str">
        <f t="shared" si="390"/>
        <v>NA</v>
      </c>
    </row>
    <row r="4048" spans="1:21" ht="14.25" customHeight="1">
      <c r="A4048" s="2" t="s">
        <v>39</v>
      </c>
      <c r="B4048" s="2">
        <v>2008</v>
      </c>
      <c r="C4048" s="2" t="s">
        <v>20</v>
      </c>
      <c r="D4048" s="2">
        <v>86.619</v>
      </c>
      <c r="E4048" s="2">
        <v>64.634</v>
      </c>
      <c r="P4048" s="3">
        <f>E4048*(VLOOKUP(B4048,Price_data!A$1:B$190,2,FALSE))</f>
        <v>51.234361299117204</v>
      </c>
      <c r="Q4048" s="3">
        <f>G4048*(VLOOKUP(B4048,Price_data!A$1:B$190,2,FALSE))</f>
        <v>0</v>
      </c>
      <c r="R4048" s="3">
        <f>I4048*(VLOOKUP(B4048,Price_data!A$1:B$190,2,FALSE))</f>
        <v>0</v>
      </c>
      <c r="S4048" s="4" t="str">
        <f>(VLOOKUP(B4048,Price_data!A$1:C$190,3,FALSE))</f>
        <v>EEZ</v>
      </c>
      <c r="T4048" s="2" t="str">
        <f>IF(C4048="Total", (VLOOKUP(B4048,Recommended_fish_intake!A$4:D$122,4,FALSE)), "NA")</f>
        <v>NA</v>
      </c>
      <c r="U4048" s="2" t="str">
        <f t="shared" si="390"/>
        <v>NA</v>
      </c>
    </row>
    <row r="4049" spans="1:21" ht="14.25" customHeight="1">
      <c r="A4049" s="2" t="s">
        <v>39</v>
      </c>
      <c r="B4049" s="2">
        <v>2008</v>
      </c>
      <c r="C4049" s="2" t="s">
        <v>42</v>
      </c>
      <c r="D4049" s="2">
        <v>135.41399999999999</v>
      </c>
      <c r="E4049" s="2">
        <v>74.575999999999993</v>
      </c>
      <c r="P4049" s="3">
        <f>E4049*(VLOOKUP(B4049,Price_data!A$1:B$190,2,FALSE))</f>
        <v>59.115229263900794</v>
      </c>
      <c r="Q4049" s="3">
        <f>G4049*(VLOOKUP(B4049,Price_data!A$1:B$190,2,FALSE))</f>
        <v>0</v>
      </c>
      <c r="R4049" s="3">
        <f>I4049*(VLOOKUP(B4049,Price_data!A$1:B$190,2,FALSE))</f>
        <v>0</v>
      </c>
      <c r="S4049" s="4" t="str">
        <f>(VLOOKUP(B4049,Price_data!A$1:C$190,3,FALSE))</f>
        <v>EEZ</v>
      </c>
      <c r="T4049" s="2" t="str">
        <f>IF(C4049="Total", (VLOOKUP(B4049,Recommended_fish_intake!A$4:D$122,4,FALSE)), "NA")</f>
        <v>NA</v>
      </c>
      <c r="U4049" s="2" t="str">
        <f t="shared" si="390"/>
        <v>NA</v>
      </c>
    </row>
    <row r="4050" spans="1:21" ht="14.25" customHeight="1">
      <c r="A4050" s="2" t="s">
        <v>39</v>
      </c>
      <c r="B4050" s="2">
        <v>2008</v>
      </c>
      <c r="C4050" s="2" t="s">
        <v>36</v>
      </c>
      <c r="D4050" s="2">
        <v>11.771000000000001</v>
      </c>
      <c r="E4050" s="2">
        <v>16.076000000000001</v>
      </c>
      <c r="P4050" s="3">
        <f>E4050*(VLOOKUP(B4050,Price_data!A$1:B$190,2,FALSE))</f>
        <v>12.743193864600801</v>
      </c>
      <c r="Q4050" s="3">
        <f>G4050*(VLOOKUP(B4050,Price_data!A$1:B$190,2,FALSE))</f>
        <v>0</v>
      </c>
      <c r="R4050" s="3">
        <f>I4050*(VLOOKUP(B4050,Price_data!A$1:B$190,2,FALSE))</f>
        <v>0</v>
      </c>
      <c r="S4050" s="4" t="str">
        <f>(VLOOKUP(B4050,Price_data!A$1:C$190,3,FALSE))</f>
        <v>EEZ</v>
      </c>
      <c r="T4050" s="2" t="str">
        <f>IF(C4050="Total", (VLOOKUP(B4050,Recommended_fish_intake!A$4:D$122,4,FALSE)), "NA")</f>
        <v>NA</v>
      </c>
      <c r="U4050" s="2" t="str">
        <f t="shared" si="390"/>
        <v>NA</v>
      </c>
    </row>
    <row r="4051" spans="1:21" ht="14.25" customHeight="1">
      <c r="A4051" s="2" t="s">
        <v>39</v>
      </c>
      <c r="B4051" s="2">
        <v>2008</v>
      </c>
      <c r="C4051" s="2" t="s">
        <v>34</v>
      </c>
      <c r="D4051" s="2">
        <v>0.93300000000000005</v>
      </c>
      <c r="E4051" s="2">
        <v>9.9740000000000002</v>
      </c>
      <c r="P4051" s="3">
        <f>E4051*(VLOOKUP(B4051,Price_data!A$1:B$190,2,FALSE))</f>
        <v>7.9062338644892005</v>
      </c>
      <c r="Q4051" s="3">
        <f>G4051*(VLOOKUP(B4051,Price_data!A$1:B$190,2,FALSE))</f>
        <v>0</v>
      </c>
      <c r="R4051" s="3">
        <f>I4051*(VLOOKUP(B4051,Price_data!A$1:B$190,2,FALSE))</f>
        <v>0</v>
      </c>
      <c r="S4051" s="4" t="str">
        <f>(VLOOKUP(B4051,Price_data!A$1:C$190,3,FALSE))</f>
        <v>EEZ</v>
      </c>
      <c r="T4051" s="2" t="str">
        <f>IF(C4051="Total", (VLOOKUP(B4051,Recommended_fish_intake!A$4:D$122,4,FALSE)), "NA")</f>
        <v>NA</v>
      </c>
      <c r="U4051" s="2" t="str">
        <f t="shared" si="390"/>
        <v>NA</v>
      </c>
    </row>
    <row r="4052" spans="1:21" ht="14.25" customHeight="1">
      <c r="A4052" s="2" t="s">
        <v>39</v>
      </c>
      <c r="B4052" s="2">
        <v>2008</v>
      </c>
      <c r="C4052" s="2" t="s">
        <v>35</v>
      </c>
      <c r="D4052" s="2">
        <v>32.768999999999998</v>
      </c>
      <c r="E4052" s="2">
        <v>95.227999999999994</v>
      </c>
      <c r="P4052" s="3">
        <f>E4052*(VLOOKUP(B4052,Price_data!A$1:B$190,2,FALSE))</f>
        <v>75.485746786402402</v>
      </c>
      <c r="Q4052" s="3">
        <f>G4052*(VLOOKUP(B4052,Price_data!A$1:B$190,2,FALSE))</f>
        <v>0</v>
      </c>
      <c r="R4052" s="3">
        <f>I4052*(VLOOKUP(B4052,Price_data!A$1:B$190,2,FALSE))</f>
        <v>0</v>
      </c>
      <c r="S4052" s="4" t="str">
        <f>(VLOOKUP(B4052,Price_data!A$1:C$190,3,FALSE))</f>
        <v>EEZ</v>
      </c>
      <c r="T4052" s="2" t="str">
        <f>IF(C4052="Total", (VLOOKUP(B4052,Recommended_fish_intake!A$4:D$122,4,FALSE)), "NA")</f>
        <v>NA</v>
      </c>
      <c r="U4052" s="2" t="str">
        <f t="shared" si="390"/>
        <v>NA</v>
      </c>
    </row>
    <row r="4053" spans="1:21" ht="14.25" customHeight="1">
      <c r="A4053" s="2" t="s">
        <v>39</v>
      </c>
      <c r="B4053" s="2">
        <v>2008</v>
      </c>
      <c r="C4053" s="2" t="s">
        <v>52</v>
      </c>
      <c r="D4053" s="2">
        <v>14.65</v>
      </c>
      <c r="E4053" s="2">
        <v>22.206</v>
      </c>
      <c r="P4053" s="3">
        <f>E4053*(VLOOKUP(B4053,Price_data!A$1:B$190,2,FALSE))</f>
        <v>17.602349026954801</v>
      </c>
      <c r="Q4053" s="3">
        <f>G4053*(VLOOKUP(B4053,Price_data!A$1:B$190,2,FALSE))</f>
        <v>0</v>
      </c>
      <c r="R4053" s="3">
        <f>I4053*(VLOOKUP(B4053,Price_data!A$1:B$190,2,FALSE))</f>
        <v>0</v>
      </c>
      <c r="S4053" s="4" t="str">
        <f>(VLOOKUP(B4053,Price_data!A$1:C$190,3,FALSE))</f>
        <v>EEZ</v>
      </c>
      <c r="T4053" s="2" t="str">
        <f>IF(C4053="Total", (VLOOKUP(B4053,Recommended_fish_intake!A$4:D$122,4,FALSE)), "NA")</f>
        <v>NA</v>
      </c>
      <c r="U4053" s="2" t="str">
        <f t="shared" si="390"/>
        <v>NA</v>
      </c>
    </row>
    <row r="4054" spans="1:21" ht="14.25" customHeight="1">
      <c r="A4054" s="2" t="s">
        <v>39</v>
      </c>
      <c r="B4054" s="2">
        <v>2008</v>
      </c>
      <c r="C4054" s="2" t="s">
        <v>30</v>
      </c>
      <c r="D4054" s="2">
        <v>7.0000000000000001E-3</v>
      </c>
      <c r="E4054" s="2">
        <v>9.7000000000000003E-2</v>
      </c>
      <c r="P4054" s="3">
        <f>E4054*(VLOOKUP(B4054,Price_data!A$1:B$190,2,FALSE))</f>
        <v>7.6890383482600008E-2</v>
      </c>
      <c r="Q4054" s="3">
        <f>G4054*(VLOOKUP(B4054,Price_data!A$1:B$190,2,FALSE))</f>
        <v>0</v>
      </c>
      <c r="R4054" s="3">
        <f>I4054*(VLOOKUP(B4054,Price_data!A$1:B$190,2,FALSE))</f>
        <v>0</v>
      </c>
      <c r="S4054" s="4" t="str">
        <f>(VLOOKUP(B4054,Price_data!A$1:C$190,3,FALSE))</f>
        <v>EEZ</v>
      </c>
      <c r="T4054" s="2" t="str">
        <f>IF(C4054="Total", (VLOOKUP(B4054,Recommended_fish_intake!A$4:D$122,4,FALSE)), "NA")</f>
        <v>NA</v>
      </c>
      <c r="U4054" s="2" t="str">
        <f t="shared" si="390"/>
        <v>NA</v>
      </c>
    </row>
    <row r="4055" spans="1:21" ht="14.25" customHeight="1">
      <c r="A4055" s="2" t="s">
        <v>39</v>
      </c>
      <c r="B4055" s="2">
        <v>2008</v>
      </c>
      <c r="C4055" s="2" t="s">
        <v>28</v>
      </c>
      <c r="D4055" s="2">
        <v>63.543999999999997</v>
      </c>
      <c r="E4055" s="2">
        <v>150.36099999999999</v>
      </c>
      <c r="P4055" s="3">
        <f>E4055*(VLOOKUP(B4055,Price_data!A$1:B$190,2,FALSE))</f>
        <v>119.1888139260538</v>
      </c>
      <c r="Q4055" s="3">
        <f>G4055*(VLOOKUP(B4055,Price_data!A$1:B$190,2,FALSE))</f>
        <v>0</v>
      </c>
      <c r="R4055" s="3">
        <f>I4055*(VLOOKUP(B4055,Price_data!A$1:B$190,2,FALSE))</f>
        <v>0</v>
      </c>
      <c r="S4055" s="4" t="str">
        <f>(VLOOKUP(B4055,Price_data!A$1:C$190,3,FALSE))</f>
        <v>EEZ</v>
      </c>
      <c r="T4055" s="2" t="str">
        <f>IF(C4055="Total", (VLOOKUP(B4055,Recommended_fish_intake!A$4:D$122,4,FALSE)), "NA")</f>
        <v>NA</v>
      </c>
      <c r="U4055" s="2">
        <f t="shared" si="390"/>
        <v>17.79232</v>
      </c>
    </row>
    <row r="4056" spans="1:21" ht="14.25" customHeight="1">
      <c r="A4056" s="2" t="s">
        <v>40</v>
      </c>
      <c r="B4056" s="2">
        <v>2008</v>
      </c>
      <c r="C4056" s="2" t="s">
        <v>22</v>
      </c>
      <c r="D4056" s="2">
        <v>0.52700000000000002</v>
      </c>
      <c r="E4056" s="2">
        <v>1.198</v>
      </c>
      <c r="P4056" s="3">
        <f>E4056*(VLOOKUP(B4056,Price_data!A$1:B$190,2,FALSE))</f>
        <v>0.94963587022840001</v>
      </c>
      <c r="Q4056" s="3">
        <f>G4056*(VLOOKUP(B4056,Price_data!A$1:B$190,2,FALSE))</f>
        <v>0</v>
      </c>
      <c r="R4056" s="3">
        <f>I4056*(VLOOKUP(B4056,Price_data!A$1:B$190,2,FALSE))</f>
        <v>0</v>
      </c>
      <c r="S4056" s="4" t="str">
        <f>(VLOOKUP(B4056,Price_data!A$1:C$190,3,FALSE))</f>
        <v>EEZ</v>
      </c>
      <c r="T4056" s="2" t="str">
        <f>IF(C4056="Total", (VLOOKUP(B4056,Recommended_fish_intake!A$4:D$122,4,FALSE)), "NA")</f>
        <v>NA</v>
      </c>
      <c r="U4056" s="2" t="str">
        <f t="shared" si="390"/>
        <v>NA</v>
      </c>
    </row>
    <row r="4057" spans="1:21" ht="14.25" customHeight="1">
      <c r="A4057" s="2" t="s">
        <v>40</v>
      </c>
      <c r="B4057" s="2">
        <v>2008</v>
      </c>
      <c r="C4057" s="2" t="s">
        <v>23</v>
      </c>
      <c r="D4057" s="2">
        <v>0.5</v>
      </c>
      <c r="E4057" s="2">
        <v>0.50600000000000001</v>
      </c>
      <c r="P4057" s="3">
        <f>E4057*(VLOOKUP(B4057,Price_data!A$1:B$190,2,FALSE))</f>
        <v>0.4010982890948</v>
      </c>
      <c r="Q4057" s="3">
        <f>G4057*(VLOOKUP(B4057,Price_data!A$1:B$190,2,FALSE))</f>
        <v>0</v>
      </c>
      <c r="R4057" s="3">
        <f>I4057*(VLOOKUP(B4057,Price_data!A$1:B$190,2,FALSE))</f>
        <v>0</v>
      </c>
      <c r="S4057" s="4" t="str">
        <f>(VLOOKUP(B4057,Price_data!A$1:C$190,3,FALSE))</f>
        <v>EEZ</v>
      </c>
      <c r="T4057" s="2" t="str">
        <f>IF(C4057="Total", (VLOOKUP(B4057,Recommended_fish_intake!A$4:D$122,4,FALSE)), "NA")</f>
        <v>NA</v>
      </c>
      <c r="U4057" s="2" t="str">
        <f t="shared" si="390"/>
        <v>NA</v>
      </c>
    </row>
    <row r="4058" spans="1:21" ht="14.25" customHeight="1">
      <c r="A4058" s="2" t="s">
        <v>40</v>
      </c>
      <c r="B4058" s="2">
        <v>2008</v>
      </c>
      <c r="C4058" s="2" t="s">
        <v>58</v>
      </c>
      <c r="D4058" s="2">
        <v>0.109</v>
      </c>
      <c r="E4058" s="2">
        <v>0.26500000000000001</v>
      </c>
      <c r="P4058" s="3">
        <f>E4058*(VLOOKUP(B4058,Price_data!A$1:B$190,2,FALSE))</f>
        <v>0.21006135693700001</v>
      </c>
      <c r="Q4058" s="3">
        <f>G4058*(VLOOKUP(B4058,Price_data!A$1:B$190,2,FALSE))</f>
        <v>0</v>
      </c>
      <c r="R4058" s="3">
        <f>I4058*(VLOOKUP(B4058,Price_data!A$1:B$190,2,FALSE))</f>
        <v>0</v>
      </c>
      <c r="S4058" s="4" t="str">
        <f>(VLOOKUP(B4058,Price_data!A$1:C$190,3,FALSE))</f>
        <v>EEZ</v>
      </c>
      <c r="T4058" s="2" t="str">
        <f>IF(C4058="Total", (VLOOKUP(B4058,Recommended_fish_intake!A$4:D$122,4,FALSE)), "NA")</f>
        <v>NA</v>
      </c>
      <c r="U4058" s="2" t="str">
        <f t="shared" si="390"/>
        <v>NA</v>
      </c>
    </row>
    <row r="4059" spans="1:21" ht="14.25" customHeight="1">
      <c r="A4059" s="2" t="s">
        <v>40</v>
      </c>
      <c r="B4059" s="2">
        <v>2008</v>
      </c>
      <c r="C4059" s="2" t="s">
        <v>24</v>
      </c>
      <c r="D4059" s="2">
        <v>1.4E-2</v>
      </c>
      <c r="E4059" s="2">
        <v>8.9999999999999993E-3</v>
      </c>
      <c r="P4059" s="3">
        <f>E4059*(VLOOKUP(B4059,Price_data!A$1:B$190,2,FALSE))</f>
        <v>7.1341592921999996E-3</v>
      </c>
      <c r="Q4059" s="3">
        <f>G4059*(VLOOKUP(B4059,Price_data!A$1:B$190,2,FALSE))</f>
        <v>0</v>
      </c>
      <c r="R4059" s="3">
        <f>I4059*(VLOOKUP(B4059,Price_data!A$1:B$190,2,FALSE))</f>
        <v>0</v>
      </c>
      <c r="S4059" s="4" t="str">
        <f>(VLOOKUP(B4059,Price_data!A$1:C$190,3,FALSE))</f>
        <v>EEZ</v>
      </c>
      <c r="T4059" s="2" t="str">
        <f>IF(C4059="Total", (VLOOKUP(B4059,Recommended_fish_intake!A$4:D$122,4,FALSE)), "NA")</f>
        <v>NA</v>
      </c>
      <c r="U4059" s="2" t="str">
        <f t="shared" si="390"/>
        <v>NA</v>
      </c>
    </row>
    <row r="4060" spans="1:21" ht="14.25" customHeight="1">
      <c r="A4060" s="2" t="s">
        <v>40</v>
      </c>
      <c r="B4060" s="2">
        <v>2008</v>
      </c>
      <c r="C4060" s="2" t="s">
        <v>41</v>
      </c>
      <c r="D4060" s="2">
        <v>1.8919999999999999</v>
      </c>
      <c r="E4060" s="2">
        <v>3.1789999999999998</v>
      </c>
      <c r="P4060" s="3">
        <f>E4060*(VLOOKUP(B4060,Price_data!A$1:B$190,2,FALSE))</f>
        <v>2.5199435988782</v>
      </c>
      <c r="Q4060" s="3">
        <f>G4060*(VLOOKUP(B4060,Price_data!A$1:B$190,2,FALSE))</f>
        <v>0</v>
      </c>
      <c r="R4060" s="3">
        <f>I4060*(VLOOKUP(B4060,Price_data!A$1:B$190,2,FALSE))</f>
        <v>0</v>
      </c>
      <c r="S4060" s="4" t="str">
        <f>(VLOOKUP(B4060,Price_data!A$1:C$190,3,FALSE))</f>
        <v>EEZ</v>
      </c>
      <c r="T4060" s="2" t="str">
        <f>IF(C4060="Total", (VLOOKUP(B4060,Recommended_fish_intake!A$4:D$122,4,FALSE)), "NA")</f>
        <v>NA</v>
      </c>
      <c r="U4060" s="2" t="str">
        <f t="shared" si="390"/>
        <v>NA</v>
      </c>
    </row>
    <row r="4061" spans="1:21" ht="14.25" customHeight="1">
      <c r="A4061" s="2" t="s">
        <v>40</v>
      </c>
      <c r="B4061" s="2">
        <v>2008</v>
      </c>
      <c r="C4061" s="2" t="s">
        <v>19</v>
      </c>
      <c r="D4061" s="2">
        <v>5.7220000000000004</v>
      </c>
      <c r="E4061" s="2">
        <v>1.34</v>
      </c>
      <c r="P4061" s="3">
        <f>E4061*(VLOOKUP(B4061,Price_data!A$1:B$190,2,FALSE))</f>
        <v>1.0621970501720002</v>
      </c>
      <c r="Q4061" s="3">
        <f>G4061*(VLOOKUP(B4061,Price_data!A$1:B$190,2,FALSE))</f>
        <v>0</v>
      </c>
      <c r="R4061" s="3">
        <f>I4061*(VLOOKUP(B4061,Price_data!A$1:B$190,2,FALSE))</f>
        <v>0</v>
      </c>
      <c r="S4061" s="4" t="str">
        <f>(VLOOKUP(B4061,Price_data!A$1:C$190,3,FALSE))</f>
        <v>EEZ</v>
      </c>
      <c r="T4061" s="2" t="str">
        <f>IF(C4061="Total", (VLOOKUP(B4061,Recommended_fish_intake!A$4:D$122,4,FALSE)), "NA")</f>
        <v>NA</v>
      </c>
      <c r="U4061" s="2" t="str">
        <f t="shared" si="390"/>
        <v>NA</v>
      </c>
    </row>
    <row r="4062" spans="1:21" ht="14.25" customHeight="1">
      <c r="A4062" s="2" t="s">
        <v>40</v>
      </c>
      <c r="B4062" s="2">
        <v>2008</v>
      </c>
      <c r="C4062" s="2" t="s">
        <v>20</v>
      </c>
      <c r="D4062" s="2">
        <v>1.802</v>
      </c>
      <c r="E4062" s="2">
        <v>1.2849999999999999</v>
      </c>
      <c r="P4062" s="3">
        <f>E4062*(VLOOKUP(B4062,Price_data!A$1:B$190,2,FALSE))</f>
        <v>1.018599410053</v>
      </c>
      <c r="Q4062" s="3">
        <f>G4062*(VLOOKUP(B4062,Price_data!A$1:B$190,2,FALSE))</f>
        <v>0</v>
      </c>
      <c r="R4062" s="3">
        <f>I4062*(VLOOKUP(B4062,Price_data!A$1:B$190,2,FALSE))</f>
        <v>0</v>
      </c>
      <c r="S4062" s="4" t="str">
        <f>(VLOOKUP(B4062,Price_data!A$1:C$190,3,FALSE))</f>
        <v>EEZ</v>
      </c>
      <c r="T4062" s="2" t="str">
        <f>IF(C4062="Total", (VLOOKUP(B4062,Recommended_fish_intake!A$4:D$122,4,FALSE)), "NA")</f>
        <v>NA</v>
      </c>
      <c r="U4062" s="2" t="str">
        <f t="shared" si="390"/>
        <v>NA</v>
      </c>
    </row>
    <row r="4063" spans="1:21" ht="14.25" customHeight="1">
      <c r="A4063" s="2" t="s">
        <v>40</v>
      </c>
      <c r="B4063" s="2">
        <v>2008</v>
      </c>
      <c r="C4063" s="2" t="s">
        <v>42</v>
      </c>
      <c r="D4063" s="2">
        <v>7.524</v>
      </c>
      <c r="E4063" s="2">
        <v>2.625</v>
      </c>
      <c r="P4063" s="3">
        <f>E4063*(VLOOKUP(B4063,Price_data!A$1:B$190,2,FALSE))</f>
        <v>2.0807964602250002</v>
      </c>
      <c r="Q4063" s="3">
        <f>G4063*(VLOOKUP(B4063,Price_data!A$1:B$190,2,FALSE))</f>
        <v>0</v>
      </c>
      <c r="R4063" s="3">
        <f>I4063*(VLOOKUP(B4063,Price_data!A$1:B$190,2,FALSE))</f>
        <v>0</v>
      </c>
      <c r="S4063" s="4" t="str">
        <f>(VLOOKUP(B4063,Price_data!A$1:C$190,3,FALSE))</f>
        <v>EEZ</v>
      </c>
      <c r="T4063" s="2" t="str">
        <f>IF(C4063="Total", (VLOOKUP(B4063,Recommended_fish_intake!A$4:D$122,4,FALSE)), "NA")</f>
        <v>NA</v>
      </c>
      <c r="U4063" s="2" t="str">
        <f t="shared" si="390"/>
        <v>NA</v>
      </c>
    </row>
    <row r="4064" spans="1:21" ht="14.25" customHeight="1">
      <c r="A4064" s="2" t="s">
        <v>40</v>
      </c>
      <c r="B4064" s="2">
        <v>2008</v>
      </c>
      <c r="C4064" s="2" t="s">
        <v>36</v>
      </c>
      <c r="D4064" s="2">
        <v>1.1419999999999999</v>
      </c>
      <c r="E4064" s="2">
        <v>1.044</v>
      </c>
      <c r="P4064" s="3">
        <f>E4064*(VLOOKUP(B4064,Price_data!A$1:B$190,2,FALSE))</f>
        <v>0.8275624778952001</v>
      </c>
      <c r="Q4064" s="3">
        <f>G4064*(VLOOKUP(B4064,Price_data!A$1:B$190,2,FALSE))</f>
        <v>0</v>
      </c>
      <c r="R4064" s="3">
        <f>I4064*(VLOOKUP(B4064,Price_data!A$1:B$190,2,FALSE))</f>
        <v>0</v>
      </c>
      <c r="S4064" s="4" t="str">
        <f>(VLOOKUP(B4064,Price_data!A$1:C$190,3,FALSE))</f>
        <v>EEZ</v>
      </c>
      <c r="T4064" s="2" t="str">
        <f>IF(C4064="Total", (VLOOKUP(B4064,Recommended_fish_intake!A$4:D$122,4,FALSE)), "NA")</f>
        <v>NA</v>
      </c>
      <c r="U4064" s="2" t="str">
        <f t="shared" si="390"/>
        <v>NA</v>
      </c>
    </row>
    <row r="4065" spans="1:21" ht="14.25" customHeight="1">
      <c r="A4065" s="2" t="s">
        <v>40</v>
      </c>
      <c r="B4065" s="2">
        <v>2008</v>
      </c>
      <c r="C4065" s="2" t="s">
        <v>34</v>
      </c>
      <c r="D4065" s="2">
        <v>5.6000000000000001E-2</v>
      </c>
      <c r="E4065" s="2">
        <v>0.54400000000000004</v>
      </c>
      <c r="P4065" s="3">
        <f>E4065*(VLOOKUP(B4065,Price_data!A$1:B$190,2,FALSE))</f>
        <v>0.43122029499520004</v>
      </c>
      <c r="Q4065" s="3">
        <f>G4065*(VLOOKUP(B4065,Price_data!A$1:B$190,2,FALSE))</f>
        <v>0</v>
      </c>
      <c r="R4065" s="3">
        <f>I4065*(VLOOKUP(B4065,Price_data!A$1:B$190,2,FALSE))</f>
        <v>0</v>
      </c>
      <c r="S4065" s="4" t="str">
        <f>(VLOOKUP(B4065,Price_data!A$1:C$190,3,FALSE))</f>
        <v>EEZ</v>
      </c>
      <c r="T4065" s="2" t="str">
        <f>IF(C4065="Total", (VLOOKUP(B4065,Recommended_fish_intake!A$4:D$122,4,FALSE)), "NA")</f>
        <v>NA</v>
      </c>
      <c r="U4065" s="2" t="str">
        <f t="shared" si="390"/>
        <v>NA</v>
      </c>
    </row>
    <row r="4066" spans="1:21" ht="14.25" customHeight="1">
      <c r="A4066" s="2" t="s">
        <v>40</v>
      </c>
      <c r="B4066" s="2">
        <v>2008</v>
      </c>
      <c r="C4066" s="2" t="s">
        <v>35</v>
      </c>
      <c r="D4066" s="2">
        <v>7.859</v>
      </c>
      <c r="E4066" s="2">
        <v>14.1</v>
      </c>
      <c r="P4066" s="3">
        <f>E4066*(VLOOKUP(B4066,Price_data!A$1:B$190,2,FALSE))</f>
        <v>11.176849557780001</v>
      </c>
      <c r="Q4066" s="3">
        <f>G4066*(VLOOKUP(B4066,Price_data!A$1:B$190,2,FALSE))</f>
        <v>0</v>
      </c>
      <c r="R4066" s="3">
        <f>I4066*(VLOOKUP(B4066,Price_data!A$1:B$190,2,FALSE))</f>
        <v>0</v>
      </c>
      <c r="S4066" s="4" t="str">
        <f>(VLOOKUP(B4066,Price_data!A$1:C$190,3,FALSE))</f>
        <v>EEZ</v>
      </c>
      <c r="T4066" s="2" t="str">
        <f>IF(C4066="Total", (VLOOKUP(B4066,Recommended_fish_intake!A$4:D$122,4,FALSE)), "NA")</f>
        <v>NA</v>
      </c>
      <c r="U4066" s="2" t="str">
        <f t="shared" si="390"/>
        <v>NA</v>
      </c>
    </row>
    <row r="4067" spans="1:21" ht="14.25" customHeight="1">
      <c r="A4067" s="2" t="s">
        <v>40</v>
      </c>
      <c r="B4067" s="2">
        <v>2008</v>
      </c>
      <c r="C4067" s="2" t="s">
        <v>52</v>
      </c>
      <c r="D4067" s="2">
        <v>0.60399999999999998</v>
      </c>
      <c r="E4067" s="2">
        <v>0.85499999999999998</v>
      </c>
      <c r="P4067" s="3">
        <f>E4067*(VLOOKUP(B4067,Price_data!A$1:B$190,2,FALSE))</f>
        <v>0.67774513275899995</v>
      </c>
      <c r="Q4067" s="3">
        <f>G4067*(VLOOKUP(B4067,Price_data!A$1:B$190,2,FALSE))</f>
        <v>0</v>
      </c>
      <c r="R4067" s="3">
        <f>I4067*(VLOOKUP(B4067,Price_data!A$1:B$190,2,FALSE))</f>
        <v>0</v>
      </c>
      <c r="S4067" s="4" t="str">
        <f>(VLOOKUP(B4067,Price_data!A$1:C$190,3,FALSE))</f>
        <v>EEZ</v>
      </c>
      <c r="T4067" s="2" t="str">
        <f>IF(C4067="Total", (VLOOKUP(B4067,Recommended_fish_intake!A$4:D$122,4,FALSE)), "NA")</f>
        <v>NA</v>
      </c>
      <c r="U4067" s="2" t="str">
        <f t="shared" si="390"/>
        <v>NA</v>
      </c>
    </row>
    <row r="4068" spans="1:21" ht="14.25" customHeight="1">
      <c r="A4068" s="2" t="s">
        <v>40</v>
      </c>
      <c r="B4068" s="2">
        <v>2008</v>
      </c>
      <c r="C4068" s="2" t="s">
        <v>30</v>
      </c>
      <c r="D4068" s="2">
        <v>2E-3</v>
      </c>
      <c r="E4068" s="2">
        <v>1.7999999999999999E-2</v>
      </c>
      <c r="P4068" s="3">
        <f>E4068*(VLOOKUP(B4068,Price_data!A$1:B$190,2,FALSE))</f>
        <v>1.4268318584399999E-2</v>
      </c>
      <c r="Q4068" s="3">
        <f>G4068*(VLOOKUP(B4068,Price_data!A$1:B$190,2,FALSE))</f>
        <v>0</v>
      </c>
      <c r="R4068" s="3">
        <f>I4068*(VLOOKUP(B4068,Price_data!A$1:B$190,2,FALSE))</f>
        <v>0</v>
      </c>
      <c r="S4068" s="4" t="str">
        <f>(VLOOKUP(B4068,Price_data!A$1:C$190,3,FALSE))</f>
        <v>EEZ</v>
      </c>
      <c r="T4068" s="2" t="str">
        <f>IF(C4068="Total", (VLOOKUP(B4068,Recommended_fish_intake!A$4:D$122,4,FALSE)), "NA")</f>
        <v>NA</v>
      </c>
      <c r="U4068" s="2" t="str">
        <f t="shared" si="390"/>
        <v>NA</v>
      </c>
    </row>
    <row r="4069" spans="1:21" ht="14.25" customHeight="1">
      <c r="A4069" s="2" t="s">
        <v>40</v>
      </c>
      <c r="B4069" s="2">
        <v>2008</v>
      </c>
      <c r="C4069" s="2" t="s">
        <v>28</v>
      </c>
      <c r="D4069" s="2">
        <v>10.911</v>
      </c>
      <c r="E4069" s="2">
        <v>17.507999999999999</v>
      </c>
      <c r="P4069" s="3">
        <f>E4069*(VLOOKUP(B4069,Price_data!A$1:B$190,2,FALSE))</f>
        <v>13.878317876426399</v>
      </c>
      <c r="Q4069" s="3">
        <f>G4069*(VLOOKUP(B4069,Price_data!A$1:B$190,2,FALSE))</f>
        <v>0</v>
      </c>
      <c r="R4069" s="3">
        <f>I4069*(VLOOKUP(B4069,Price_data!A$1:B$190,2,FALSE))</f>
        <v>0</v>
      </c>
      <c r="S4069" s="4" t="str">
        <f>(VLOOKUP(B4069,Price_data!A$1:C$190,3,FALSE))</f>
        <v>EEZ</v>
      </c>
      <c r="T4069" s="2" t="str">
        <f>IF(C4069="Total", (VLOOKUP(B4069,Recommended_fish_intake!A$4:D$122,4,FALSE)), "NA")</f>
        <v>NA</v>
      </c>
      <c r="U4069" s="2">
        <f t="shared" si="390"/>
        <v>3.0550800000000002</v>
      </c>
    </row>
    <row r="4070" spans="1:21" ht="14.25" customHeight="1">
      <c r="A4070" s="2" t="s">
        <v>40</v>
      </c>
      <c r="B4070" s="2">
        <v>2008</v>
      </c>
      <c r="C4070" s="4" t="s">
        <v>37</v>
      </c>
      <c r="D4070" s="3">
        <f>D3942+D3894</f>
        <v>8.011000000000001</v>
      </c>
      <c r="E4070" s="3">
        <f>E3942+E3894</f>
        <v>11.424000000000001</v>
      </c>
      <c r="P4070" s="3">
        <f>E4070*(VLOOKUP(B4070,Price_data!A$1:B$190,2,FALSE))</f>
        <v>9.055626194899201</v>
      </c>
      <c r="Q4070" s="3">
        <f>G4070*(VLOOKUP(B4070,Price_data!A$1:B$190,2,FALSE))</f>
        <v>0</v>
      </c>
      <c r="R4070" s="3">
        <f>I4070*(VLOOKUP(B4070,Price_data!A$1:B$190,2,FALSE))</f>
        <v>0</v>
      </c>
      <c r="S4070" s="4" t="str">
        <f>(VLOOKUP(B4070,Price_data!A$1:C$190,3,FALSE))</f>
        <v>EEZ</v>
      </c>
      <c r="T4070" s="2" t="str">
        <f>IF(C4070="Total", (VLOOKUP(B4070,Recommended_fish_intake!A$4:D$122,4,FALSE)), "NA")</f>
        <v>NA</v>
      </c>
      <c r="U4070" s="2">
        <f t="shared" si="390"/>
        <v>3.9253900000000006</v>
      </c>
    </row>
    <row r="4071" spans="1:21" ht="14.25" customHeight="1">
      <c r="A4071" s="2" t="s">
        <v>39</v>
      </c>
      <c r="B4071" s="2">
        <v>2008</v>
      </c>
      <c r="C4071" s="4" t="s">
        <v>37</v>
      </c>
      <c r="D4071" s="3">
        <f>D3687+D3639</f>
        <v>59.361000000000004</v>
      </c>
      <c r="E4071" s="3">
        <f>E3687+E3639</f>
        <v>35.064999999999998</v>
      </c>
      <c r="P4071" s="3">
        <f>E4071*(VLOOKUP(B4071,Price_data!A$1:B$190,2,FALSE))</f>
        <v>27.795477286777</v>
      </c>
      <c r="Q4071" s="3">
        <f>G4071*(VLOOKUP(B4071,Price_data!A$1:B$190,2,FALSE))</f>
        <v>0</v>
      </c>
      <c r="R4071" s="3">
        <f>I4071*(VLOOKUP(B4071,Price_data!A$1:B$190,2,FALSE))</f>
        <v>0</v>
      </c>
      <c r="S4071" s="4" t="str">
        <f>(VLOOKUP(B4071,Price_data!A$1:C$190,3,FALSE))</f>
        <v>EEZ</v>
      </c>
      <c r="T4071" s="2" t="str">
        <f>IF(C4071="Total", (VLOOKUP(B4071,Recommended_fish_intake!A$4:D$122,4,FALSE)), "NA")</f>
        <v>NA</v>
      </c>
      <c r="U4071" s="2">
        <f t="shared" si="390"/>
        <v>29.08689</v>
      </c>
    </row>
    <row r="4072" spans="1:21" ht="14.25" customHeight="1">
      <c r="A4072" s="2" t="s">
        <v>18</v>
      </c>
      <c r="B4072" s="2">
        <v>2008</v>
      </c>
      <c r="C4072" s="2" t="s">
        <v>22</v>
      </c>
      <c r="D4072" s="3">
        <f t="shared" ref="D4072:E4085" si="391">D3320+D3080</f>
        <v>8.5030000000000001</v>
      </c>
      <c r="E4072" s="3">
        <f t="shared" si="391"/>
        <v>1.1659999999999999</v>
      </c>
      <c r="P4072" s="3">
        <f>E4072*(VLOOKUP(B4072,Price_data!A$1:B$190,2,FALSE))</f>
        <v>0.92426997052279991</v>
      </c>
      <c r="Q4072" s="3">
        <f>G4072*(VLOOKUP(B4072,Price_data!A$1:B$190,2,FALSE))</f>
        <v>0</v>
      </c>
      <c r="R4072" s="3">
        <f>I4072*(VLOOKUP(B4072,Price_data!A$1:B$190,2,FALSE))</f>
        <v>0</v>
      </c>
      <c r="S4072" s="4" t="str">
        <f>(VLOOKUP(B4072,Price_data!A$1:C$190,3,FALSE))</f>
        <v>EEZ</v>
      </c>
      <c r="T4072" s="2" t="str">
        <f>IF(C4072="Total", (VLOOKUP(B4072,Recommended_fish_intake!A$4:D$122,4,FALSE)), "NA")</f>
        <v>NA</v>
      </c>
      <c r="U4072" s="2" t="str">
        <f t="shared" si="390"/>
        <v>NA</v>
      </c>
    </row>
    <row r="4073" spans="1:21" ht="14.25" customHeight="1">
      <c r="A4073" s="2" t="s">
        <v>18</v>
      </c>
      <c r="B4073" s="2">
        <v>2008</v>
      </c>
      <c r="C4073" s="2" t="s">
        <v>23</v>
      </c>
      <c r="D4073" s="3">
        <f t="shared" si="391"/>
        <v>8.6</v>
      </c>
      <c r="E4073" s="3">
        <f t="shared" si="391"/>
        <v>9.9690000000000012</v>
      </c>
      <c r="P4073" s="3">
        <f>E4073*(VLOOKUP(B4073,Price_data!A$1:B$190,2,FALSE))</f>
        <v>7.9022704426602015</v>
      </c>
      <c r="Q4073" s="3">
        <f>G4073*(VLOOKUP(B4073,Price_data!A$1:B$190,2,FALSE))</f>
        <v>0</v>
      </c>
      <c r="R4073" s="3">
        <f>I4073*(VLOOKUP(B4073,Price_data!A$1:B$190,2,FALSE))</f>
        <v>0</v>
      </c>
      <c r="S4073" s="4" t="str">
        <f>(VLOOKUP(B4073,Price_data!A$1:C$190,3,FALSE))</f>
        <v>EEZ</v>
      </c>
      <c r="T4073" s="2" t="str">
        <f>IF(C4073="Total", (VLOOKUP(B4073,Recommended_fish_intake!A$4:D$122,4,FALSE)), "NA")</f>
        <v>NA</v>
      </c>
      <c r="U4073" s="2" t="str">
        <f t="shared" si="390"/>
        <v>NA</v>
      </c>
    </row>
    <row r="4074" spans="1:21" ht="14.25" customHeight="1">
      <c r="A4074" s="2" t="s">
        <v>18</v>
      </c>
      <c r="B4074" s="2">
        <v>2008</v>
      </c>
      <c r="C4074" s="2" t="s">
        <v>58</v>
      </c>
      <c r="D4074" s="3" t="e">
        <f t="shared" si="391"/>
        <v>#N/A</v>
      </c>
      <c r="E4074" s="3" t="e">
        <f t="shared" si="391"/>
        <v>#N/A</v>
      </c>
      <c r="P4074" s="3" t="e">
        <f>E4074*(VLOOKUP(B4074,Price_data!A$1:B$190,2,FALSE))</f>
        <v>#N/A</v>
      </c>
      <c r="Q4074" s="3">
        <f>G4074*(VLOOKUP(B4074,Price_data!A$1:B$190,2,FALSE))</f>
        <v>0</v>
      </c>
      <c r="R4074" s="3">
        <f>I4074*(VLOOKUP(B4074,Price_data!A$1:B$190,2,FALSE))</f>
        <v>0</v>
      </c>
      <c r="S4074" s="4" t="str">
        <f>(VLOOKUP(B4074,Price_data!A$1:C$190,3,FALSE))</f>
        <v>EEZ</v>
      </c>
      <c r="T4074" s="2" t="str">
        <f>IF(C4074="Total", (VLOOKUP(B4074,Recommended_fish_intake!A$4:D$122,4,FALSE)), "NA")</f>
        <v>NA</v>
      </c>
      <c r="U4074" s="2" t="str">
        <f t="shared" si="390"/>
        <v>NA</v>
      </c>
    </row>
    <row r="4075" spans="1:21" ht="14.25" customHeight="1">
      <c r="A4075" s="2" t="s">
        <v>18</v>
      </c>
      <c r="B4075" s="2">
        <v>2008</v>
      </c>
      <c r="C4075" s="2" t="s">
        <v>24</v>
      </c>
      <c r="D4075" s="3" t="e">
        <f t="shared" si="391"/>
        <v>#N/A</v>
      </c>
      <c r="E4075" s="3" t="e">
        <f t="shared" si="391"/>
        <v>#N/A</v>
      </c>
      <c r="P4075" s="3" t="e">
        <f>E4075*(VLOOKUP(B4075,Price_data!A$1:B$190,2,FALSE))</f>
        <v>#N/A</v>
      </c>
      <c r="Q4075" s="3">
        <f>G4075*(VLOOKUP(B4075,Price_data!A$1:B$190,2,FALSE))</f>
        <v>0</v>
      </c>
      <c r="R4075" s="3">
        <f>I4075*(VLOOKUP(B4075,Price_data!A$1:B$190,2,FALSE))</f>
        <v>0</v>
      </c>
      <c r="S4075" s="4" t="str">
        <f>(VLOOKUP(B4075,Price_data!A$1:C$190,3,FALSE))</f>
        <v>EEZ</v>
      </c>
      <c r="T4075" s="2" t="str">
        <f>IF(C4075="Total", (VLOOKUP(B4075,Recommended_fish_intake!A$4:D$122,4,FALSE)), "NA")</f>
        <v>NA</v>
      </c>
      <c r="U4075" s="2" t="str">
        <f t="shared" si="390"/>
        <v>NA</v>
      </c>
    </row>
    <row r="4076" spans="1:21" ht="14.25" customHeight="1">
      <c r="A4076" s="2" t="s">
        <v>18</v>
      </c>
      <c r="B4076" s="2">
        <v>2008</v>
      </c>
      <c r="C4076" s="2" t="s">
        <v>41</v>
      </c>
      <c r="D4076" s="3">
        <f t="shared" si="391"/>
        <v>9.9</v>
      </c>
      <c r="E4076" s="3">
        <f t="shared" si="391"/>
        <v>12.6</v>
      </c>
      <c r="P4076" s="3">
        <f>E4076*(VLOOKUP(B4076,Price_data!A$1:B$190,2,FALSE))</f>
        <v>9.9878230090799995</v>
      </c>
      <c r="Q4076" s="3">
        <f>G4076*(VLOOKUP(B4076,Price_data!A$1:B$190,2,FALSE))</f>
        <v>0</v>
      </c>
      <c r="R4076" s="3">
        <f>I4076*(VLOOKUP(B4076,Price_data!A$1:B$190,2,FALSE))</f>
        <v>0</v>
      </c>
      <c r="S4076" s="4" t="str">
        <f>(VLOOKUP(B4076,Price_data!A$1:C$190,3,FALSE))</f>
        <v>EEZ</v>
      </c>
      <c r="T4076" s="2" t="str">
        <f>IF(C4076="Total", (VLOOKUP(B4076,Recommended_fish_intake!A$4:D$122,4,FALSE)), "NA")</f>
        <v>NA</v>
      </c>
      <c r="U4076" s="2" t="str">
        <f t="shared" si="390"/>
        <v>NA</v>
      </c>
    </row>
    <row r="4077" spans="1:21" ht="14.25" customHeight="1">
      <c r="A4077" s="2" t="s">
        <v>18</v>
      </c>
      <c r="B4077" s="2">
        <v>2008</v>
      </c>
      <c r="C4077" s="2" t="s">
        <v>19</v>
      </c>
      <c r="D4077" s="3">
        <f t="shared" si="391"/>
        <v>11.763</v>
      </c>
      <c r="E4077" s="3">
        <f t="shared" si="391"/>
        <v>14.195</v>
      </c>
      <c r="P4077" s="3">
        <f>E4077*(VLOOKUP(B4077,Price_data!A$1:B$190,2,FALSE))</f>
        <v>11.252154572531001</v>
      </c>
      <c r="Q4077" s="3">
        <f>G4077*(VLOOKUP(B4077,Price_data!A$1:B$190,2,FALSE))</f>
        <v>0</v>
      </c>
      <c r="R4077" s="3">
        <f>I4077*(VLOOKUP(B4077,Price_data!A$1:B$190,2,FALSE))</f>
        <v>0</v>
      </c>
      <c r="S4077" s="4" t="str">
        <f>(VLOOKUP(B4077,Price_data!A$1:C$190,3,FALSE))</f>
        <v>EEZ</v>
      </c>
      <c r="T4077" s="2" t="str">
        <f>IF(C4077="Total", (VLOOKUP(B4077,Recommended_fish_intake!A$4:D$122,4,FALSE)), "NA")</f>
        <v>NA</v>
      </c>
      <c r="U4077" s="2" t="str">
        <f t="shared" si="390"/>
        <v>NA</v>
      </c>
    </row>
    <row r="4078" spans="1:21" ht="14.25" customHeight="1">
      <c r="A4078" s="2" t="s">
        <v>18</v>
      </c>
      <c r="B4078" s="2">
        <v>2008</v>
      </c>
      <c r="C4078" s="2" t="s">
        <v>20</v>
      </c>
      <c r="D4078" s="3">
        <f t="shared" si="391"/>
        <v>29.587</v>
      </c>
      <c r="E4078" s="3">
        <f t="shared" si="391"/>
        <v>25.997999999999998</v>
      </c>
      <c r="P4078" s="3">
        <f>E4078*(VLOOKUP(B4078,Price_data!A$1:B$190,2,FALSE))</f>
        <v>20.608208142068399</v>
      </c>
      <c r="Q4078" s="3">
        <f>G4078*(VLOOKUP(B4078,Price_data!A$1:B$190,2,FALSE))</f>
        <v>0</v>
      </c>
      <c r="R4078" s="3">
        <f>I4078*(VLOOKUP(B4078,Price_data!A$1:B$190,2,FALSE))</f>
        <v>0</v>
      </c>
      <c r="S4078" s="4" t="str">
        <f>(VLOOKUP(B4078,Price_data!A$1:C$190,3,FALSE))</f>
        <v>EEZ</v>
      </c>
      <c r="T4078" s="2" t="str">
        <f>IF(C4078="Total", (VLOOKUP(B4078,Recommended_fish_intake!A$4:D$122,4,FALSE)), "NA")</f>
        <v>NA</v>
      </c>
      <c r="U4078" s="2" t="str">
        <f t="shared" si="390"/>
        <v>NA</v>
      </c>
    </row>
    <row r="4079" spans="1:21" ht="14.25" customHeight="1">
      <c r="A4079" s="2" t="s">
        <v>18</v>
      </c>
      <c r="B4079" s="2">
        <v>2008</v>
      </c>
      <c r="C4079" s="2" t="s">
        <v>42</v>
      </c>
      <c r="D4079" s="3">
        <f t="shared" si="391"/>
        <v>124.137</v>
      </c>
      <c r="E4079" s="3">
        <f t="shared" si="391"/>
        <v>15.123000000000001</v>
      </c>
      <c r="P4079" s="3">
        <f>E4079*(VLOOKUP(B4079,Price_data!A$1:B$190,2,FALSE))</f>
        <v>11.9877656639934</v>
      </c>
      <c r="Q4079" s="3">
        <f>G4079*(VLOOKUP(B4079,Price_data!A$1:B$190,2,FALSE))</f>
        <v>0</v>
      </c>
      <c r="R4079" s="3">
        <f>I4079*(VLOOKUP(B4079,Price_data!A$1:B$190,2,FALSE))</f>
        <v>0</v>
      </c>
      <c r="S4079" s="4" t="str">
        <f>(VLOOKUP(B4079,Price_data!A$1:C$190,3,FALSE))</f>
        <v>EEZ</v>
      </c>
      <c r="T4079" s="2" t="str">
        <f>IF(C4079="Total", (VLOOKUP(B4079,Recommended_fish_intake!A$4:D$122,4,FALSE)), "NA")</f>
        <v>NA</v>
      </c>
      <c r="U4079" s="2" t="str">
        <f t="shared" si="390"/>
        <v>NA</v>
      </c>
    </row>
    <row r="4080" spans="1:21" ht="14.25" customHeight="1">
      <c r="A4080" s="2" t="s">
        <v>18</v>
      </c>
      <c r="B4080" s="2">
        <v>2008</v>
      </c>
      <c r="C4080" s="2" t="s">
        <v>36</v>
      </c>
      <c r="D4080" s="3">
        <f t="shared" si="391"/>
        <v>50.621000000000002</v>
      </c>
      <c r="E4080" s="3">
        <f t="shared" si="391"/>
        <v>81.506</v>
      </c>
      <c r="P4080" s="3">
        <f>E4080*(VLOOKUP(B4080,Price_data!A$1:B$190,2,FALSE))</f>
        <v>64.608531918894798</v>
      </c>
      <c r="Q4080" s="3">
        <f>G4080*(VLOOKUP(B4080,Price_data!A$1:B$190,2,FALSE))</f>
        <v>0</v>
      </c>
      <c r="R4080" s="3">
        <f>I4080*(VLOOKUP(B4080,Price_data!A$1:B$190,2,FALSE))</f>
        <v>0</v>
      </c>
      <c r="S4080" s="4" t="str">
        <f>(VLOOKUP(B4080,Price_data!A$1:C$190,3,FALSE))</f>
        <v>EEZ</v>
      </c>
      <c r="T4080" s="2" t="str">
        <f>IF(C4080="Total", (VLOOKUP(B4080,Recommended_fish_intake!A$4:D$122,4,FALSE)), "NA")</f>
        <v>NA</v>
      </c>
      <c r="U4080" s="2" t="str">
        <f t="shared" si="390"/>
        <v>NA</v>
      </c>
    </row>
    <row r="4081" spans="1:21" ht="14.25" customHeight="1">
      <c r="A4081" s="2" t="s">
        <v>18</v>
      </c>
      <c r="B4081" s="2">
        <v>2008</v>
      </c>
      <c r="C4081" s="2" t="s">
        <v>34</v>
      </c>
      <c r="D4081" s="3">
        <f t="shared" si="391"/>
        <v>5.1619999999999999</v>
      </c>
      <c r="E4081" s="3">
        <f t="shared" si="391"/>
        <v>4.8319999999999999</v>
      </c>
      <c r="P4081" s="3">
        <f>E4081*(VLOOKUP(B4081,Price_data!A$1:B$190,2,FALSE))</f>
        <v>3.8302508555456001</v>
      </c>
      <c r="Q4081" s="3">
        <f>G4081*(VLOOKUP(B4081,Price_data!A$1:B$190,2,FALSE))</f>
        <v>0</v>
      </c>
      <c r="R4081" s="3">
        <f>I4081*(VLOOKUP(B4081,Price_data!A$1:B$190,2,FALSE))</f>
        <v>0</v>
      </c>
      <c r="S4081" s="4" t="str">
        <f>(VLOOKUP(B4081,Price_data!A$1:C$190,3,FALSE))</f>
        <v>EEZ</v>
      </c>
      <c r="T4081" s="2" t="str">
        <f>IF(C4081="Total", (VLOOKUP(B4081,Recommended_fish_intake!A$4:D$122,4,FALSE)), "NA")</f>
        <v>NA</v>
      </c>
      <c r="U4081" s="2" t="str">
        <f t="shared" si="390"/>
        <v>NA</v>
      </c>
    </row>
    <row r="4082" spans="1:21" ht="14.25" customHeight="1">
      <c r="A4082" s="2" t="s">
        <v>18</v>
      </c>
      <c r="B4082" s="2">
        <v>2008</v>
      </c>
      <c r="C4082" s="2" t="s">
        <v>35</v>
      </c>
      <c r="D4082" s="3">
        <f t="shared" si="391"/>
        <v>98.331000000000003</v>
      </c>
      <c r="E4082" s="3">
        <f t="shared" si="391"/>
        <v>73.034999999999997</v>
      </c>
      <c r="P4082" s="3">
        <f>E4082*(VLOOKUP(B4082,Price_data!A$1:B$190,2,FALSE))</f>
        <v>57.893702656202997</v>
      </c>
      <c r="Q4082" s="3">
        <f>G4082*(VLOOKUP(B4082,Price_data!A$1:B$190,2,FALSE))</f>
        <v>0</v>
      </c>
      <c r="R4082" s="3">
        <f>I4082*(VLOOKUP(B4082,Price_data!A$1:B$190,2,FALSE))</f>
        <v>0</v>
      </c>
      <c r="S4082" s="4" t="str">
        <f>(VLOOKUP(B4082,Price_data!A$1:C$190,3,FALSE))</f>
        <v>EEZ</v>
      </c>
      <c r="T4082" s="2" t="str">
        <f>IF(C4082="Total", (VLOOKUP(B4082,Recommended_fish_intake!A$4:D$122,4,FALSE)), "NA")</f>
        <v>NA</v>
      </c>
      <c r="U4082" s="2" t="str">
        <f t="shared" si="390"/>
        <v>NA</v>
      </c>
    </row>
    <row r="4083" spans="1:21" ht="14.25" customHeight="1">
      <c r="A4083" s="2" t="s">
        <v>18</v>
      </c>
      <c r="B4083" s="2">
        <v>2008</v>
      </c>
      <c r="C4083" s="2" t="s">
        <v>52</v>
      </c>
      <c r="D4083" s="3">
        <f t="shared" si="391"/>
        <v>152.648</v>
      </c>
      <c r="E4083" s="3">
        <f t="shared" si="391"/>
        <v>73.083000000000013</v>
      </c>
      <c r="P4083" s="3">
        <f>E4083*(VLOOKUP(B4083,Price_data!A$1:B$190,2,FALSE))</f>
        <v>57.931751505761412</v>
      </c>
      <c r="Q4083" s="3">
        <f>G4083*(VLOOKUP(B4083,Price_data!A$1:B$190,2,FALSE))</f>
        <v>0</v>
      </c>
      <c r="R4083" s="3">
        <f>I4083*(VLOOKUP(B4083,Price_data!A$1:B$190,2,FALSE))</f>
        <v>0</v>
      </c>
      <c r="S4083" s="4" t="str">
        <f>(VLOOKUP(B4083,Price_data!A$1:C$190,3,FALSE))</f>
        <v>EEZ</v>
      </c>
      <c r="T4083" s="2" t="str">
        <f>IF(C4083="Total", (VLOOKUP(B4083,Recommended_fish_intake!A$4:D$122,4,FALSE)), "NA")</f>
        <v>NA</v>
      </c>
      <c r="U4083" s="2" t="str">
        <f t="shared" si="390"/>
        <v>NA</v>
      </c>
    </row>
    <row r="4084" spans="1:21" ht="14.25" customHeight="1">
      <c r="A4084" s="2" t="s">
        <v>18</v>
      </c>
      <c r="B4084" s="2">
        <v>2008</v>
      </c>
      <c r="C4084" s="2" t="s">
        <v>30</v>
      </c>
      <c r="D4084" s="3">
        <f t="shared" si="391"/>
        <v>27.89</v>
      </c>
      <c r="E4084" s="3">
        <f t="shared" si="391"/>
        <v>27.32</v>
      </c>
      <c r="P4084" s="3">
        <f>E4084*(VLOOKUP(B4084,Price_data!A$1:B$190,2,FALSE))</f>
        <v>21.656136873655999</v>
      </c>
      <c r="Q4084" s="3">
        <f>G4084*(VLOOKUP(B4084,Price_data!A$1:B$190,2,FALSE))</f>
        <v>0</v>
      </c>
      <c r="R4084" s="3">
        <f>I4084*(VLOOKUP(B4084,Price_data!A$1:B$190,2,FALSE))</f>
        <v>0</v>
      </c>
      <c r="S4084" s="4" t="str">
        <f>(VLOOKUP(B4084,Price_data!A$1:C$190,3,FALSE))</f>
        <v>EEZ</v>
      </c>
      <c r="T4084" s="2" t="str">
        <f>IF(C4084="Total", (VLOOKUP(B4084,Recommended_fish_intake!A$4:D$122,4,FALSE)), "NA")</f>
        <v>NA</v>
      </c>
      <c r="U4084" s="2" t="str">
        <f t="shared" si="390"/>
        <v>NA</v>
      </c>
    </row>
    <row r="4085" spans="1:21" ht="14.25" customHeight="1">
      <c r="A4085" s="2" t="s">
        <v>18</v>
      </c>
      <c r="B4085" s="2">
        <v>2008</v>
      </c>
      <c r="C4085" s="2" t="s">
        <v>28</v>
      </c>
      <c r="D4085" s="3">
        <f t="shared" si="391"/>
        <v>24.203000000000003</v>
      </c>
      <c r="E4085" s="3">
        <f t="shared" si="391"/>
        <v>21.893000000000001</v>
      </c>
      <c r="P4085" s="3">
        <f>E4085*(VLOOKUP(B4085,Price_data!A$1:B$190,2,FALSE))</f>
        <v>17.3542388204594</v>
      </c>
      <c r="Q4085" s="3">
        <f>G4085*(VLOOKUP(B4085,Price_data!A$1:B$190,2,FALSE))</f>
        <v>0</v>
      </c>
      <c r="R4085" s="3">
        <f>I4085*(VLOOKUP(B4085,Price_data!A$1:B$190,2,FALSE))</f>
        <v>0</v>
      </c>
      <c r="S4085" s="4" t="str">
        <f>(VLOOKUP(B4085,Price_data!A$1:C$190,3,FALSE))</f>
        <v>EEZ</v>
      </c>
      <c r="T4085" s="2" t="str">
        <f>IF(C4085="Total", (VLOOKUP(B4085,Recommended_fish_intake!A$4:D$122,4,FALSE)), "NA")</f>
        <v>NA</v>
      </c>
      <c r="U4085" s="2">
        <f t="shared" si="390"/>
        <v>6.7768400000000018</v>
      </c>
    </row>
    <row r="4086" spans="1:21" ht="14.25" customHeight="1">
      <c r="A4086" s="2" t="s">
        <v>18</v>
      </c>
      <c r="B4086" s="2">
        <v>2008</v>
      </c>
      <c r="C4086" s="2" t="s">
        <v>37</v>
      </c>
      <c r="D4086" s="3">
        <f>D3910+D3958</f>
        <v>2.121</v>
      </c>
      <c r="E4086" s="3">
        <f>E3910+E3958</f>
        <v>1.1080000000000001</v>
      </c>
      <c r="P4086" s="3">
        <f>E4086*(VLOOKUP(B4086,Price_data!A$1:B$190,2,FALSE))</f>
        <v>0.87829427730640008</v>
      </c>
      <c r="Q4086" s="3">
        <f>G4086*(VLOOKUP(B4086,Price_data!A$1:B$190,2,FALSE))</f>
        <v>0</v>
      </c>
      <c r="R4086" s="3">
        <f>I4086*(VLOOKUP(B4086,Price_data!A$1:B$190,2,FALSE))</f>
        <v>0</v>
      </c>
      <c r="S4086" s="4" t="str">
        <f>(VLOOKUP(B4086,Price_data!A$1:C$190,3,FALSE))</f>
        <v>EEZ</v>
      </c>
      <c r="T4086" s="2" t="str">
        <f>IF(C4086="Total", (VLOOKUP(B4086,Recommended_fish_intake!A$4:D$122,4,FALSE)), "NA")</f>
        <v>NA</v>
      </c>
      <c r="U4086" s="2">
        <f t="shared" si="390"/>
        <v>1.03929</v>
      </c>
    </row>
    <row r="4087" spans="1:21" ht="14.25" customHeight="1">
      <c r="A4087" s="2" t="s">
        <v>15</v>
      </c>
      <c r="B4087" s="2">
        <v>2008</v>
      </c>
      <c r="C4087" s="2" t="s">
        <v>42</v>
      </c>
      <c r="D4087" s="2">
        <v>156.971</v>
      </c>
      <c r="E4087" s="2">
        <v>82.804000000000002</v>
      </c>
      <c r="F4087" s="2" t="s">
        <v>92</v>
      </c>
      <c r="G4087" s="2" t="s">
        <v>92</v>
      </c>
      <c r="H4087" s="2" t="s">
        <v>92</v>
      </c>
      <c r="I4087" s="2" t="s">
        <v>92</v>
      </c>
      <c r="P4087" s="3">
        <f>E4087*(VLOOKUP(B4087,Price_data!A$1:B$190,2,FALSE))</f>
        <v>65.637436225703198</v>
      </c>
      <c r="Q4087" s="3" t="e">
        <f>G4087*(VLOOKUP(B4087,Price_data!A$1:B$190,2,FALSE))</f>
        <v>#VALUE!</v>
      </c>
      <c r="R4087" s="3" t="e">
        <f>I4087*(VLOOKUP(B4087,Price_data!A$1:B$190,2,FALSE))</f>
        <v>#VALUE!</v>
      </c>
      <c r="S4087" s="4" t="str">
        <f>(VLOOKUP(B4087,Price_data!A$1:C$190,3,FALSE))</f>
        <v>EEZ</v>
      </c>
      <c r="T4087" s="2" t="str">
        <f>IF(C4087="Total", (VLOOKUP(B4087,Recommended_fish_intake!A$4:D$122,4,FALSE)), "NA")</f>
        <v>NA</v>
      </c>
      <c r="U4087" s="2" t="str">
        <f t="shared" si="390"/>
        <v>NA</v>
      </c>
    </row>
    <row r="4088" spans="1:21" ht="14.25" customHeight="1">
      <c r="A4088" s="2" t="s">
        <v>15</v>
      </c>
      <c r="B4088" s="2">
        <v>2008</v>
      </c>
      <c r="C4088" s="2" t="s">
        <v>36</v>
      </c>
      <c r="D4088" s="2">
        <v>24.777000000000001</v>
      </c>
      <c r="E4088" s="2">
        <v>32.65</v>
      </c>
      <c r="F4088" s="2">
        <v>13.2</v>
      </c>
      <c r="G4088" s="2">
        <v>37</v>
      </c>
      <c r="H4088" s="2">
        <v>2.7</v>
      </c>
      <c r="I4088" s="2">
        <v>14.2</v>
      </c>
      <c r="P4088" s="3">
        <f>E4088*(VLOOKUP(B4088,Price_data!A$1:B$190,2,FALSE))</f>
        <v>25.881144543369999</v>
      </c>
      <c r="Q4088" s="3">
        <f>G4088*(VLOOKUP(B4088,Price_data!A$1:B$190,2,FALSE))</f>
        <v>29.329321534600002</v>
      </c>
      <c r="R4088" s="3">
        <f>I4088*(VLOOKUP(B4088,Price_data!A$1:B$190,2,FALSE))</f>
        <v>11.25611799436</v>
      </c>
      <c r="S4088" s="4" t="str">
        <f>(VLOOKUP(B4088,Price_data!A$1:C$190,3,FALSE))</f>
        <v>EEZ</v>
      </c>
      <c r="T4088" s="2" t="str">
        <f>IF(C4088="Total", (VLOOKUP(B4088,Recommended_fish_intake!A$4:D$122,4,FALSE)), "NA")</f>
        <v>NA</v>
      </c>
      <c r="U4088" s="2" t="str">
        <f t="shared" si="390"/>
        <v>NA</v>
      </c>
    </row>
    <row r="4089" spans="1:21" ht="14.25" customHeight="1">
      <c r="A4089" s="2" t="s">
        <v>15</v>
      </c>
      <c r="B4089" s="2">
        <v>2008</v>
      </c>
      <c r="C4089" s="2" t="s">
        <v>34</v>
      </c>
      <c r="D4089" s="2">
        <v>2.669</v>
      </c>
      <c r="E4089" s="2">
        <v>30.541</v>
      </c>
      <c r="F4089" s="2">
        <v>1.8</v>
      </c>
      <c r="G4089" s="2">
        <v>24.6</v>
      </c>
      <c r="H4089" s="2">
        <v>1.5</v>
      </c>
      <c r="I4089" s="2">
        <v>14.5</v>
      </c>
      <c r="P4089" s="3">
        <f>E4089*(VLOOKUP(B4089,Price_data!A$1:B$190,2,FALSE))</f>
        <v>24.209373215897802</v>
      </c>
      <c r="Q4089" s="3">
        <f>G4089*(VLOOKUP(B4089,Price_data!A$1:B$190,2,FALSE))</f>
        <v>19.500035398680001</v>
      </c>
      <c r="R4089" s="3">
        <f>I4089*(VLOOKUP(B4089,Price_data!A$1:B$190,2,FALSE))</f>
        <v>11.493923304100001</v>
      </c>
      <c r="S4089" s="4" t="str">
        <f>(VLOOKUP(B4089,Price_data!A$1:C$190,3,FALSE))</f>
        <v>EEZ</v>
      </c>
      <c r="T4089" s="2" t="str">
        <f>IF(C4089="Total", (VLOOKUP(B4089,Recommended_fish_intake!A$4:D$122,4,FALSE)), "NA")</f>
        <v>NA</v>
      </c>
      <c r="U4089" s="2" t="str">
        <f t="shared" si="390"/>
        <v>NA</v>
      </c>
    </row>
    <row r="4090" spans="1:21" ht="14.25" customHeight="1">
      <c r="A4090" s="2" t="s">
        <v>15</v>
      </c>
      <c r="B4090" s="2">
        <v>2008</v>
      </c>
      <c r="C4090" s="2" t="s">
        <v>35</v>
      </c>
      <c r="D4090" s="2">
        <v>42.963000000000001</v>
      </c>
      <c r="E4090" s="2">
        <v>114.84</v>
      </c>
      <c r="F4090" s="2">
        <v>21.3</v>
      </c>
      <c r="G4090" s="2">
        <v>123.7</v>
      </c>
      <c r="H4090" s="2">
        <v>4.5</v>
      </c>
      <c r="I4090" s="2">
        <v>10</v>
      </c>
      <c r="P4090" s="3">
        <f>E4090*(VLOOKUP(B4090,Price_data!A$1:B$190,2,FALSE))</f>
        <v>91.031872568472011</v>
      </c>
      <c r="Q4090" s="3">
        <f>G4090*(VLOOKUP(B4090,Price_data!A$1:B$190,2,FALSE))</f>
        <v>98.055056049460006</v>
      </c>
      <c r="R4090" s="3">
        <f>I4090*(VLOOKUP(B4090,Price_data!A$1:B$190,2,FALSE))</f>
        <v>7.9268436580000001</v>
      </c>
      <c r="S4090" s="4" t="str">
        <f>(VLOOKUP(B4090,Price_data!A$1:C$190,3,FALSE))</f>
        <v>EEZ</v>
      </c>
      <c r="T4090" s="2" t="str">
        <f>IF(C4090="Total", (VLOOKUP(B4090,Recommended_fish_intake!A$4:D$122,4,FALSE)), "NA")</f>
        <v>NA</v>
      </c>
      <c r="U4090" s="2" t="str">
        <f t="shared" si="390"/>
        <v>NA</v>
      </c>
    </row>
    <row r="4091" spans="1:21" ht="14.25" customHeight="1">
      <c r="A4091" s="2" t="s">
        <v>15</v>
      </c>
      <c r="B4091" s="2">
        <v>2008</v>
      </c>
      <c r="C4091" s="2" t="s">
        <v>52</v>
      </c>
      <c r="D4091" s="2">
        <v>27.600999999999999</v>
      </c>
      <c r="E4091" s="2">
        <v>42.445</v>
      </c>
      <c r="F4091" s="2">
        <v>10.4</v>
      </c>
      <c r="G4091" s="2">
        <v>57.3</v>
      </c>
      <c r="H4091" s="2">
        <v>2.5</v>
      </c>
      <c r="I4091" s="2">
        <v>16.899999999999999</v>
      </c>
      <c r="P4091" s="3">
        <f>E4091*(VLOOKUP(B4091,Price_data!A$1:B$190,2,FALSE))</f>
        <v>33.645487906381</v>
      </c>
      <c r="Q4091" s="3">
        <f>G4091*(VLOOKUP(B4091,Price_data!A$1:B$190,2,FALSE))</f>
        <v>45.420814160340001</v>
      </c>
      <c r="R4091" s="3">
        <f>I4091*(VLOOKUP(B4091,Price_data!A$1:B$190,2,FALSE))</f>
        <v>13.396365782019998</v>
      </c>
      <c r="S4091" s="4" t="str">
        <f>(VLOOKUP(B4091,Price_data!A$1:C$190,3,FALSE))</f>
        <v>EEZ</v>
      </c>
      <c r="T4091" s="2" t="str">
        <f>IF(C4091="Total", (VLOOKUP(B4091,Recommended_fish_intake!A$4:D$122,4,FALSE)), "NA")</f>
        <v>NA</v>
      </c>
      <c r="U4091" s="2" t="str">
        <f t="shared" si="390"/>
        <v>NA</v>
      </c>
    </row>
    <row r="4092" spans="1:21" ht="14.25" customHeight="1">
      <c r="A4092" s="2" t="s">
        <v>15</v>
      </c>
      <c r="B4092" s="2">
        <v>2008</v>
      </c>
      <c r="C4092" s="2" t="s">
        <v>30</v>
      </c>
      <c r="D4092" s="2">
        <v>0.88900000000000001</v>
      </c>
      <c r="E4092" s="2">
        <v>2.7850000000000001</v>
      </c>
      <c r="F4092" s="2">
        <v>16.400000000000002</v>
      </c>
      <c r="G4092" s="2">
        <v>67.2</v>
      </c>
      <c r="H4092" s="2">
        <v>80.100000000000009</v>
      </c>
      <c r="I4092" s="2">
        <v>335</v>
      </c>
      <c r="P4092" s="3">
        <f>E4092*(VLOOKUP(B4092,Price_data!A$1:B$190,2,FALSE))</f>
        <v>2.2076259587530003</v>
      </c>
      <c r="Q4092" s="3">
        <f>G4092*(VLOOKUP(B4092,Price_data!A$1:B$190,2,FALSE))</f>
        <v>53.268389381760002</v>
      </c>
      <c r="R4092" s="3">
        <f>I4092*(VLOOKUP(B4092,Price_data!A$1:B$190,2,FALSE))</f>
        <v>265.549262543</v>
      </c>
      <c r="S4092" s="4" t="str">
        <f>(VLOOKUP(B4092,Price_data!A$1:C$190,3,FALSE))</f>
        <v>EEZ</v>
      </c>
      <c r="T4092" s="2" t="str">
        <f>IF(C4092="Total", (VLOOKUP(B4092,Recommended_fish_intake!A$4:D$122,4,FALSE)), "NA")</f>
        <v>NA</v>
      </c>
      <c r="U4092" s="2" t="str">
        <f t="shared" si="390"/>
        <v>NA</v>
      </c>
    </row>
    <row r="4093" spans="1:21" ht="14.25" customHeight="1">
      <c r="A4093" s="2" t="s">
        <v>15</v>
      </c>
      <c r="B4093" s="2">
        <v>2008</v>
      </c>
      <c r="C4093" s="2" t="s">
        <v>28</v>
      </c>
      <c r="D4093" s="2">
        <v>142.49799999999999</v>
      </c>
      <c r="E4093" s="2">
        <v>255.73599999999999</v>
      </c>
      <c r="F4093" s="2">
        <v>92.2</v>
      </c>
      <c r="G4093" s="2">
        <v>367.5</v>
      </c>
      <c r="H4093" s="2">
        <v>110.4</v>
      </c>
      <c r="I4093" s="2">
        <v>436.3</v>
      </c>
      <c r="P4093" s="3">
        <f>E4093*(VLOOKUP(B4093,Price_data!A$1:B$190,2,FALSE))</f>
        <v>202.7179289722288</v>
      </c>
      <c r="Q4093" s="3">
        <f>G4093*(VLOOKUP(B4093,Price_data!A$1:B$190,2,FALSE))</f>
        <v>291.3115044315</v>
      </c>
      <c r="R4093" s="3">
        <f>I4093*(VLOOKUP(B4093,Price_data!A$1:B$190,2,FALSE))</f>
        <v>345.84818879854004</v>
      </c>
      <c r="S4093" s="4" t="str">
        <f>(VLOOKUP(B4093,Price_data!A$1:C$190,3,FALSE))</f>
        <v>EEZ</v>
      </c>
      <c r="T4093" s="2" t="str">
        <f>IF(C4093="Total", (VLOOKUP(B4093,Recommended_fish_intake!A$4:D$122,4,FALSE)), "NA")</f>
        <v>NA</v>
      </c>
      <c r="U4093" s="2">
        <f t="shared" si="390"/>
        <v>39.899439999999998</v>
      </c>
    </row>
    <row r="4094" spans="1:21" ht="14.25" customHeight="1">
      <c r="A4094" s="2" t="s">
        <v>90</v>
      </c>
      <c r="B4094" s="2">
        <v>2008</v>
      </c>
      <c r="C4094" s="2" t="s">
        <v>16</v>
      </c>
      <c r="D4094" s="2">
        <v>89.3</v>
      </c>
      <c r="E4094" s="2">
        <v>131.19999999999999</v>
      </c>
      <c r="P4094" s="3">
        <f>E4094*(VLOOKUP(B4094,Price_data!A$1:B$190,2,FALSE))</f>
        <v>104.00018879295999</v>
      </c>
      <c r="Q4094" s="3">
        <f>G4094*(VLOOKUP(B4094,Price_data!A$1:B$190,2,FALSE))</f>
        <v>0</v>
      </c>
      <c r="R4094" s="3">
        <f>I4094*(VLOOKUP(B4094,Price_data!A$1:B$190,2,FALSE))</f>
        <v>0</v>
      </c>
      <c r="S4094" s="4" t="str">
        <f>(VLOOKUP(B4094,Price_data!A$1:C$190,3,FALSE))</f>
        <v>EEZ</v>
      </c>
      <c r="T4094" s="2">
        <f>IF(C4094="Total", (VLOOKUP(B4094,Recommended_fish_intake!A$4:D$122,4,FALSE)), "NA")</f>
        <v>822.78820340807999</v>
      </c>
      <c r="U4094" s="2" t="str">
        <f t="shared" si="390"/>
        <v>NA</v>
      </c>
    </row>
    <row r="4095" spans="1:21" ht="14.25" customHeight="1">
      <c r="A4095" s="2" t="s">
        <v>91</v>
      </c>
      <c r="B4095" s="2">
        <v>2008</v>
      </c>
      <c r="C4095" s="2" t="s">
        <v>16</v>
      </c>
      <c r="D4095" s="2">
        <v>16.364000000000001</v>
      </c>
      <c r="E4095" s="2">
        <v>18.45</v>
      </c>
      <c r="P4095" s="3">
        <f>E4095*(VLOOKUP(B4095,Price_data!A$1:B$190,2,FALSE))</f>
        <v>14.62502654901</v>
      </c>
      <c r="Q4095" s="3">
        <f>G4095*(VLOOKUP(B4095,Price_data!A$1:B$190,2,FALSE))</f>
        <v>0</v>
      </c>
      <c r="R4095" s="3">
        <f>I4095*(VLOOKUP(B4095,Price_data!A$1:B$190,2,FALSE))</f>
        <v>0</v>
      </c>
      <c r="S4095" s="4" t="str">
        <f>(VLOOKUP(B4095,Price_data!A$1:C$190,3,FALSE))</f>
        <v>EEZ</v>
      </c>
      <c r="T4095" s="2">
        <f>IF(C4095="Total", (VLOOKUP(B4095,Recommended_fish_intake!A$4:D$122,4,FALSE)), "NA")</f>
        <v>822.78820340807999</v>
      </c>
      <c r="U4095" s="2" t="str">
        <f t="shared" si="390"/>
        <v>NA</v>
      </c>
    </row>
    <row r="4096" spans="1:21" ht="14.25" customHeight="1">
      <c r="A4096" s="2" t="s">
        <v>39</v>
      </c>
      <c r="B4096" s="2">
        <v>2008</v>
      </c>
      <c r="C4096" s="2" t="s">
        <v>16</v>
      </c>
      <c r="D4096" s="2">
        <v>283.09199999999998</v>
      </c>
      <c r="E4096" s="2">
        <v>344.92399999999998</v>
      </c>
      <c r="P4096" s="3">
        <f>E4096*(VLOOKUP(B4096,Price_data!A$1:B$190,2,FALSE))</f>
        <v>273.41586218919917</v>
      </c>
      <c r="Q4096" s="3">
        <f>G4096*(VLOOKUP(B4096,Price_data!A$1:B$190,2,FALSE))</f>
        <v>0</v>
      </c>
      <c r="R4096" s="3">
        <f>I4096*(VLOOKUP(B4096,Price_data!A$1:B$190,2,FALSE))</f>
        <v>0</v>
      </c>
      <c r="S4096" s="4" t="str">
        <f>(VLOOKUP(B4096,Price_data!A$1:C$190,3,FALSE))</f>
        <v>EEZ</v>
      </c>
      <c r="T4096" s="2">
        <f>IF(C4096="Total", (VLOOKUP(B4096,Recommended_fish_intake!A$4:D$122,4,FALSE)), "NA")</f>
        <v>822.78820340807999</v>
      </c>
      <c r="U4096" s="2" t="str">
        <f t="shared" si="390"/>
        <v>NA</v>
      </c>
    </row>
    <row r="4097" spans="1:21" ht="14.25" customHeight="1">
      <c r="A4097" s="2" t="s">
        <v>40</v>
      </c>
      <c r="B4097" s="2">
        <v>2008</v>
      </c>
      <c r="C4097" s="2" t="s">
        <v>16</v>
      </c>
      <c r="D4097" s="2">
        <v>20.327999999999999</v>
      </c>
      <c r="E4097" s="2">
        <v>23.312999999999999</v>
      </c>
      <c r="P4097" s="3">
        <f>E4097*(VLOOKUP(B4097,Price_data!A$1:B$190,2,FALSE))</f>
        <v>18.479850619895398</v>
      </c>
      <c r="Q4097" s="3">
        <f>G4097*(VLOOKUP(B4097,Price_data!A$1:B$190,2,FALSE))</f>
        <v>0</v>
      </c>
      <c r="R4097" s="3">
        <f>I4097*(VLOOKUP(B4097,Price_data!A$1:B$190,2,FALSE))</f>
        <v>0</v>
      </c>
      <c r="S4097" s="4" t="str">
        <f>(VLOOKUP(B4097,Price_data!A$1:C$190,3,FALSE))</f>
        <v>EEZ</v>
      </c>
      <c r="T4097" s="2">
        <f>IF(C4097="Total", (VLOOKUP(B4097,Recommended_fish_intake!A$4:D$122,4,FALSE)), "NA")</f>
        <v>822.78820340807999</v>
      </c>
      <c r="U4097" s="2" t="str">
        <f t="shared" si="390"/>
        <v>NA</v>
      </c>
    </row>
    <row r="4098" spans="1:21" ht="14.25" customHeight="1">
      <c r="A4098" s="2" t="s">
        <v>18</v>
      </c>
      <c r="B4098" s="2">
        <v>2008</v>
      </c>
      <c r="C4098" s="2" t="s">
        <v>16</v>
      </c>
      <c r="D4098" s="3">
        <f>D3346+D3106</f>
        <v>24.113</v>
      </c>
      <c r="E4098" s="3">
        <f>E3346+E3106</f>
        <v>19.846</v>
      </c>
      <c r="P4098" s="3">
        <f>E4098*(VLOOKUP(B4098,Price_data!A$1:B$190,2,FALSE))</f>
        <v>15.731613923666801</v>
      </c>
      <c r="Q4098" s="3">
        <f>G4098*(VLOOKUP(B4098,Price_data!A$1:B$190,2,FALSE))</f>
        <v>0</v>
      </c>
      <c r="R4098" s="3">
        <f>I4098*(VLOOKUP(B4098,Price_data!A$1:B$190,2,FALSE))</f>
        <v>0</v>
      </c>
      <c r="S4098" s="4" t="str">
        <f>(VLOOKUP(B4098,Price_data!A$1:C$190,3,FALSE))</f>
        <v>EEZ</v>
      </c>
      <c r="T4098" s="2">
        <f>IF(C4098="Total", (VLOOKUP(B4098,Recommended_fish_intake!A$4:D$122,4,FALSE)), "NA")</f>
        <v>822.78820340807999</v>
      </c>
      <c r="U4098" s="2" t="str">
        <f t="shared" ref="U4098:U4161" si="392">IF(C4098="Wet fish", D4098*0.49, IF(C4098="Shellfish", D4098*0.28, "NA"))</f>
        <v>NA</v>
      </c>
    </row>
    <row r="4099" spans="1:21" ht="14.25" customHeight="1">
      <c r="A4099" s="2" t="s">
        <v>15</v>
      </c>
      <c r="B4099" s="2">
        <v>2008</v>
      </c>
      <c r="C4099" s="2" t="s">
        <v>16</v>
      </c>
      <c r="D4099" s="2">
        <v>409.30799999999999</v>
      </c>
      <c r="E4099" s="2">
        <v>518.36900000000003</v>
      </c>
      <c r="F4099" s="2">
        <v>415.8</v>
      </c>
      <c r="G4099" s="6">
        <v>1009.4</v>
      </c>
      <c r="H4099" s="2">
        <v>781.7</v>
      </c>
      <c r="I4099" s="6">
        <v>2210.1</v>
      </c>
      <c r="J4099" s="6"/>
      <c r="K4099" s="6"/>
      <c r="P4099" s="3">
        <f>E4099*(VLOOKUP(B4099,Price_data!A$1:B$190,2,FALSE))</f>
        <v>410.90300201538025</v>
      </c>
      <c r="Q4099" s="3">
        <f>G4099*(VLOOKUP(B4099,Price_data!A$1:B$190,2,FALSE))</f>
        <v>800.13559883851997</v>
      </c>
      <c r="R4099" s="3">
        <f>I4099*(VLOOKUP(B4099,Price_data!A$1:B$190,2,FALSE))</f>
        <v>1751.9117168545799</v>
      </c>
      <c r="S4099" s="4" t="str">
        <f>(VLOOKUP(B4099,Price_data!A$1:C$190,3,FALSE))</f>
        <v>EEZ</v>
      </c>
      <c r="T4099" s="2">
        <f>IF(C4099="Total", (VLOOKUP(B4099,Recommended_fish_intake!A$4:D$122,4,FALSE)), "NA")</f>
        <v>822.78820340807999</v>
      </c>
      <c r="U4099" s="2" t="str">
        <f t="shared" si="392"/>
        <v>NA</v>
      </c>
    </row>
    <row r="4100" spans="1:21" ht="14.25" customHeight="1">
      <c r="A4100" s="2" t="s">
        <v>15</v>
      </c>
      <c r="B4100" s="2">
        <v>2008</v>
      </c>
      <c r="C4100" s="2" t="s">
        <v>37</v>
      </c>
      <c r="D4100" s="2">
        <f>D3888+D4140</f>
        <v>15.445999999999998</v>
      </c>
      <c r="E4100" s="2">
        <f>E3888+E4140</f>
        <v>12.453999999999999</v>
      </c>
      <c r="F4100" s="3">
        <v>323.60000000000002</v>
      </c>
      <c r="G4100" s="3">
        <v>641.9</v>
      </c>
      <c r="H4100" s="3">
        <v>671.3</v>
      </c>
      <c r="I4100" s="7">
        <v>1773.7</v>
      </c>
      <c r="J4100" s="6"/>
      <c r="K4100" s="6"/>
      <c r="P4100" s="3">
        <f>E4100*(VLOOKUP(B4100,Price_data!A$1:B$190,2,FALSE))</f>
        <v>9.8720910916731999</v>
      </c>
      <c r="Q4100" s="3">
        <f>G4100*(VLOOKUP(B4100,Price_data!A$1:B$190,2,FALSE))</f>
        <v>508.82409440701997</v>
      </c>
      <c r="R4100" s="3">
        <f>I4100*(VLOOKUP(B4100,Price_data!A$1:B$190,2,FALSE))</f>
        <v>1405.9842596194601</v>
      </c>
      <c r="S4100" s="4" t="str">
        <f>(VLOOKUP(B4100,Price_data!A$1:C$190,3,FALSE))</f>
        <v>EEZ</v>
      </c>
      <c r="T4100" s="2" t="str">
        <f>IF(C4100="Total", (VLOOKUP(B4100,Recommended_fish_intake!A$4:D$122,4,FALSE)), "NA")</f>
        <v>NA</v>
      </c>
      <c r="U4100" s="2">
        <f t="shared" si="392"/>
        <v>7.5685399999999987</v>
      </c>
    </row>
    <row r="4101" spans="1:21" ht="14.25" customHeight="1">
      <c r="A4101" s="2" t="s">
        <v>15</v>
      </c>
      <c r="B4101" s="2">
        <v>2008</v>
      </c>
      <c r="C4101" s="2" t="s">
        <v>41</v>
      </c>
      <c r="D4101" s="2">
        <v>109.84</v>
      </c>
      <c r="E4101" s="2">
        <v>179.82900000000001</v>
      </c>
      <c r="F4101" s="2" t="s">
        <v>92</v>
      </c>
      <c r="G4101" s="2" t="s">
        <v>92</v>
      </c>
      <c r="H4101" s="2" t="s">
        <v>92</v>
      </c>
      <c r="I4101" s="2" t="s">
        <v>92</v>
      </c>
      <c r="P4101" s="3">
        <f>E4101*(VLOOKUP(B4101,Price_data!A$1:B$190,2,FALSE))</f>
        <v>142.54763681744822</v>
      </c>
      <c r="Q4101" s="3" t="e">
        <f>G4101*(VLOOKUP(B4101,Price_data!A$1:B$190,2,FALSE))</f>
        <v>#VALUE!</v>
      </c>
      <c r="R4101" s="3" t="e">
        <f>I4101*(VLOOKUP(B4101,Price_data!A$1:B$190,2,FALSE))</f>
        <v>#VALUE!</v>
      </c>
      <c r="S4101" s="4" t="str">
        <f>(VLOOKUP(B4101,Price_data!A$1:C$190,3,FALSE))</f>
        <v>EEZ</v>
      </c>
      <c r="T4101" s="2" t="str">
        <f>IF(C4101="Total", (VLOOKUP(B4101,Recommended_fish_intake!A$4:D$122,4,FALSE)), "NA")</f>
        <v>NA</v>
      </c>
      <c r="U4101" s="2" t="str">
        <f t="shared" si="392"/>
        <v>NA</v>
      </c>
    </row>
    <row r="4102" spans="1:21" ht="14.25" customHeight="1">
      <c r="A4102" s="2" t="s">
        <v>15</v>
      </c>
      <c r="B4102" s="2">
        <v>2008</v>
      </c>
      <c r="C4102" s="2" t="s">
        <v>22</v>
      </c>
      <c r="D4102" s="2">
        <v>9.8010000000000002</v>
      </c>
      <c r="E4102" s="2">
        <v>20.273</v>
      </c>
      <c r="F4102" s="2">
        <v>24.1</v>
      </c>
      <c r="G4102" s="2">
        <v>67.3</v>
      </c>
      <c r="H4102" s="2">
        <v>108.6</v>
      </c>
      <c r="I4102" s="2">
        <v>441.4</v>
      </c>
      <c r="P4102" s="3">
        <f>E4102*(VLOOKUP(B4102,Price_data!A$1:B$190,2,FALSE))</f>
        <v>16.0700901478634</v>
      </c>
      <c r="Q4102" s="3">
        <f>G4102*(VLOOKUP(B4102,Price_data!A$1:B$190,2,FALSE))</f>
        <v>53.347657818339997</v>
      </c>
      <c r="R4102" s="3">
        <f>I4102*(VLOOKUP(B4102,Price_data!A$1:B$190,2,FALSE))</f>
        <v>349.89087906411999</v>
      </c>
      <c r="S4102" s="4" t="str">
        <f>(VLOOKUP(B4102,Price_data!A$1:C$190,3,FALSE))</f>
        <v>EEZ</v>
      </c>
      <c r="T4102" s="2" t="str">
        <f>IF(C4102="Total", (VLOOKUP(B4102,Recommended_fish_intake!A$4:D$122,4,FALSE)), "NA")</f>
        <v>NA</v>
      </c>
      <c r="U4102" s="2" t="str">
        <f t="shared" si="392"/>
        <v>NA</v>
      </c>
    </row>
    <row r="4103" spans="1:21" ht="14.25" customHeight="1">
      <c r="A4103" s="2" t="s">
        <v>15</v>
      </c>
      <c r="B4103" s="2">
        <v>2008</v>
      </c>
      <c r="C4103" s="2" t="s">
        <v>20</v>
      </c>
      <c r="D4103" s="2">
        <v>90.722999999999999</v>
      </c>
      <c r="E4103" s="2">
        <v>67.825000000000003</v>
      </c>
      <c r="F4103" s="2">
        <v>78.7</v>
      </c>
      <c r="G4103" s="2">
        <v>83.1</v>
      </c>
      <c r="H4103" s="2">
        <v>27.1</v>
      </c>
      <c r="I4103" s="2">
        <v>38.700000000000003</v>
      </c>
      <c r="P4103" s="3">
        <f>E4103*(VLOOKUP(B4103,Price_data!A$1:B$190,2,FALSE))</f>
        <v>53.763817110385006</v>
      </c>
      <c r="Q4103" s="3">
        <f>G4103*(VLOOKUP(B4103,Price_data!A$1:B$190,2,FALSE))</f>
        <v>65.872070797980001</v>
      </c>
      <c r="R4103" s="3">
        <f>I4103*(VLOOKUP(B4103,Price_data!A$1:B$190,2,FALSE))</f>
        <v>30.676884956460004</v>
      </c>
      <c r="S4103" s="4" t="str">
        <f>(VLOOKUP(B4103,Price_data!A$1:C$190,3,FALSE))</f>
        <v>EEZ</v>
      </c>
      <c r="T4103" s="2" t="str">
        <f>IF(C4103="Total", (VLOOKUP(B4103,Recommended_fish_intake!A$4:D$122,4,FALSE)), "NA")</f>
        <v>NA</v>
      </c>
      <c r="U4103" s="2" t="str">
        <f t="shared" si="392"/>
        <v>NA</v>
      </c>
    </row>
    <row r="4104" spans="1:21" ht="14.25" customHeight="1">
      <c r="A4104" s="2" t="s">
        <v>15</v>
      </c>
      <c r="B4104" s="2">
        <v>2008</v>
      </c>
      <c r="C4104" s="2" t="s">
        <v>19</v>
      </c>
      <c r="D4104" s="2">
        <v>38.226999999999997</v>
      </c>
      <c r="E4104" s="2">
        <v>9.6969999999999992</v>
      </c>
      <c r="F4104" s="2">
        <v>37.1</v>
      </c>
      <c r="G4104" s="2">
        <v>18</v>
      </c>
      <c r="H4104" s="2">
        <v>11.1</v>
      </c>
      <c r="I4104" s="2">
        <v>11.1</v>
      </c>
      <c r="P4104" s="3">
        <f>E4104*(VLOOKUP(B4104,Price_data!A$1:B$190,2,FALSE))</f>
        <v>7.6866602951625991</v>
      </c>
      <c r="Q4104" s="3">
        <f>G4104*(VLOOKUP(B4104,Price_data!A$1:B$190,2,FALSE))</f>
        <v>14.268318584399999</v>
      </c>
      <c r="R4104" s="3">
        <f>I4104*(VLOOKUP(B4104,Price_data!A$1:B$190,2,FALSE))</f>
        <v>8.7987964603800002</v>
      </c>
      <c r="S4104" s="4" t="str">
        <f>(VLOOKUP(B4104,Price_data!A$1:C$190,3,FALSE))</f>
        <v>EEZ</v>
      </c>
      <c r="T4104" s="2" t="str">
        <f>IF(C4104="Total", (VLOOKUP(B4104,Recommended_fish_intake!A$4:D$122,4,FALSE)), "NA")</f>
        <v>NA</v>
      </c>
      <c r="U4104" s="2" t="str">
        <f t="shared" si="392"/>
        <v>NA</v>
      </c>
    </row>
    <row r="4105" spans="1:21" ht="14.25" customHeight="1">
      <c r="A4105" s="2" t="s">
        <v>15</v>
      </c>
      <c r="B4105" s="2">
        <v>2008</v>
      </c>
      <c r="C4105" s="2" t="s">
        <v>24</v>
      </c>
      <c r="D4105" s="2">
        <v>11.42</v>
      </c>
      <c r="E4105" s="2">
        <v>10.75</v>
      </c>
      <c r="F4105" s="2">
        <v>1.5</v>
      </c>
      <c r="G4105" s="2">
        <v>2</v>
      </c>
      <c r="H4105" s="2">
        <v>1.9</v>
      </c>
      <c r="I4105" s="2">
        <v>1.8</v>
      </c>
      <c r="P4105" s="3">
        <f>E4105*(VLOOKUP(B4105,Price_data!A$1:B$190,2,FALSE))</f>
        <v>8.5213569323500007</v>
      </c>
      <c r="Q4105" s="3">
        <f>G4105*(VLOOKUP(B4105,Price_data!A$1:B$190,2,FALSE))</f>
        <v>1.5853687316</v>
      </c>
      <c r="R4105" s="3">
        <f>I4105*(VLOOKUP(B4105,Price_data!A$1:B$190,2,FALSE))</f>
        <v>1.4268318584400002</v>
      </c>
      <c r="S4105" s="4" t="str">
        <f>(VLOOKUP(B4105,Price_data!A$1:C$190,3,FALSE))</f>
        <v>EEZ</v>
      </c>
      <c r="T4105" s="2" t="str">
        <f>IF(C4105="Total", (VLOOKUP(B4105,Recommended_fish_intake!A$4:D$122,4,FALSE)), "NA")</f>
        <v>NA</v>
      </c>
      <c r="U4105" s="2" t="str">
        <f t="shared" si="392"/>
        <v>NA</v>
      </c>
    </row>
    <row r="4106" spans="1:21" ht="14.25" customHeight="1">
      <c r="A4106" s="2" t="s">
        <v>15</v>
      </c>
      <c r="B4106" s="2">
        <v>2008</v>
      </c>
      <c r="C4106" s="2" t="s">
        <v>58</v>
      </c>
      <c r="D4106" s="2">
        <v>13.087999999999999</v>
      </c>
      <c r="E4106" s="2">
        <v>36.466000000000001</v>
      </c>
      <c r="F4106" s="2">
        <v>3.8</v>
      </c>
      <c r="G4106" s="2">
        <v>27.6</v>
      </c>
      <c r="H4106" s="2">
        <v>2.7</v>
      </c>
      <c r="I4106" s="2">
        <v>8.4</v>
      </c>
      <c r="P4106" s="3">
        <f>E4106*(VLOOKUP(B4106,Price_data!A$1:B$190,2,FALSE))</f>
        <v>28.9060280832628</v>
      </c>
      <c r="Q4106" s="3">
        <f>G4106*(VLOOKUP(B4106,Price_data!A$1:B$190,2,FALSE))</f>
        <v>21.87808849608</v>
      </c>
      <c r="R4106" s="3">
        <f>I4106*(VLOOKUP(B4106,Price_data!A$1:B$190,2,FALSE))</f>
        <v>6.6585486727200003</v>
      </c>
      <c r="S4106" s="4" t="str">
        <f>(VLOOKUP(B4106,Price_data!A$1:C$190,3,FALSE))</f>
        <v>EEZ</v>
      </c>
      <c r="T4106" s="2" t="str">
        <f>IF(C4106="Total", (VLOOKUP(B4106,Recommended_fish_intake!A$4:D$122,4,FALSE)), "NA")</f>
        <v>NA</v>
      </c>
      <c r="U4106" s="2" t="str">
        <f t="shared" si="392"/>
        <v>NA</v>
      </c>
    </row>
    <row r="4107" spans="1:21" ht="14.25" customHeight="1">
      <c r="A4107" s="2" t="s">
        <v>15</v>
      </c>
      <c r="B4107" s="2">
        <v>2008</v>
      </c>
      <c r="C4107" s="2" t="s">
        <v>23</v>
      </c>
      <c r="D4107" s="2">
        <v>31.913</v>
      </c>
      <c r="E4107" s="2">
        <v>34.957999999999998</v>
      </c>
      <c r="F4107" s="2">
        <v>4.8</v>
      </c>
      <c r="G4107" s="2">
        <v>11.7</v>
      </c>
      <c r="H4107" s="2">
        <v>68.2</v>
      </c>
      <c r="I4107" s="2">
        <v>173.9</v>
      </c>
      <c r="P4107" s="3">
        <f>E4107*(VLOOKUP(B4107,Price_data!A$1:B$190,2,FALSE))</f>
        <v>27.7106600596364</v>
      </c>
      <c r="Q4107" s="3">
        <f>G4107*(VLOOKUP(B4107,Price_data!A$1:B$190,2,FALSE))</f>
        <v>9.2744070798599996</v>
      </c>
      <c r="R4107" s="3">
        <f>I4107*(VLOOKUP(B4107,Price_data!A$1:B$190,2,FALSE))</f>
        <v>137.84781121262</v>
      </c>
      <c r="S4107" s="4" t="str">
        <f>(VLOOKUP(B4107,Price_data!A$1:C$190,3,FALSE))</f>
        <v>EEZ</v>
      </c>
      <c r="T4107" s="2" t="str">
        <f>IF(C4107="Total", (VLOOKUP(B4107,Recommended_fish_intake!A$4:D$122,4,FALSE)), "NA")</f>
        <v>NA</v>
      </c>
      <c r="U4107" s="2" t="str">
        <f t="shared" si="392"/>
        <v>NA</v>
      </c>
    </row>
    <row r="4108" spans="1:21" ht="14.25" customHeight="1">
      <c r="A4108" s="2" t="s">
        <v>15</v>
      </c>
      <c r="B4108" s="2">
        <v>2008</v>
      </c>
      <c r="C4108" s="2" t="s">
        <v>93</v>
      </c>
      <c r="D4108" s="2">
        <v>2.9</v>
      </c>
      <c r="E4108" s="2">
        <v>1</v>
      </c>
      <c r="F4108" s="2">
        <v>11.2</v>
      </c>
      <c r="G4108" s="2">
        <v>11</v>
      </c>
      <c r="H4108" s="2">
        <v>14.8</v>
      </c>
      <c r="I4108" s="2">
        <v>30.6</v>
      </c>
      <c r="P4108" s="3">
        <f>E4108*(VLOOKUP(B4108,Price_data!A$1:B$190,2,FALSE))</f>
        <v>0.79268436580000001</v>
      </c>
      <c r="Q4108" s="3">
        <f>G4108*(VLOOKUP(B4108,Price_data!A$1:B$190,2,FALSE))</f>
        <v>8.7195280238000006</v>
      </c>
      <c r="R4108" s="3">
        <f>I4108*(VLOOKUP(B4108,Price_data!A$1:B$190,2,FALSE))</f>
        <v>24.256141593480002</v>
      </c>
      <c r="S4108" s="4" t="str">
        <f>(VLOOKUP(B4108,Price_data!A$1:C$190,3,FALSE))</f>
        <v>EEZ</v>
      </c>
      <c r="T4108" s="2" t="str">
        <f>IF(C4108="Total", (VLOOKUP(B4108,Recommended_fish_intake!A$4:D$122,4,FALSE)), "NA")</f>
        <v>NA</v>
      </c>
      <c r="U4108" s="2" t="str">
        <f t="shared" si="392"/>
        <v>NA</v>
      </c>
    </row>
    <row r="4109" spans="1:21" ht="14.25" customHeight="1">
      <c r="A4109" s="2" t="s">
        <v>15</v>
      </c>
      <c r="B4109" s="2">
        <v>2008</v>
      </c>
      <c r="C4109" s="2" t="s">
        <v>43</v>
      </c>
      <c r="D4109" s="2" t="s">
        <v>17</v>
      </c>
      <c r="E4109" s="2" t="s">
        <v>17</v>
      </c>
      <c r="F4109" s="2">
        <v>4.4000000000000004</v>
      </c>
      <c r="G4109" s="2">
        <v>11.8</v>
      </c>
      <c r="H4109" s="2">
        <v>111.2</v>
      </c>
      <c r="I4109" s="2">
        <v>256.39999999999998</v>
      </c>
      <c r="P4109" s="3" t="e">
        <f>E4109*(VLOOKUP(B4109,Price_data!A$1:B$190,2,FALSE))</f>
        <v>#VALUE!</v>
      </c>
      <c r="Q4109" s="3">
        <f>G4109*(VLOOKUP(B4109,Price_data!A$1:B$190,2,FALSE))</f>
        <v>9.3536755164400009</v>
      </c>
      <c r="R4109" s="3">
        <f>I4109*(VLOOKUP(B4109,Price_data!A$1:B$190,2,FALSE))</f>
        <v>203.24427139111998</v>
      </c>
      <c r="S4109" s="4" t="str">
        <f>(VLOOKUP(B4109,Price_data!A$1:C$190,3,FALSE))</f>
        <v>EEZ</v>
      </c>
      <c r="T4109" s="2" t="str">
        <f>IF(C4109="Total", (VLOOKUP(B4109,Recommended_fish_intake!A$4:D$122,4,FALSE)), "NA")</f>
        <v>NA</v>
      </c>
      <c r="U4109" s="2" t="str">
        <f t="shared" si="392"/>
        <v>NA</v>
      </c>
    </row>
    <row r="4110" spans="1:21" ht="14.25" customHeight="1">
      <c r="A4110" s="2" t="s">
        <v>15</v>
      </c>
      <c r="B4110" s="2">
        <v>2008</v>
      </c>
      <c r="C4110" s="2" t="s">
        <v>60</v>
      </c>
      <c r="D4110" s="2">
        <v>2.2999999999999998</v>
      </c>
      <c r="E4110" s="2">
        <v>4.5</v>
      </c>
      <c r="F4110" s="2">
        <v>2.4</v>
      </c>
      <c r="G4110" s="2">
        <v>4.9000000000000004</v>
      </c>
      <c r="H4110" s="2">
        <v>55.8</v>
      </c>
      <c r="I4110" s="2">
        <v>58</v>
      </c>
      <c r="P4110" s="3">
        <f>E4110*(VLOOKUP(B4110,Price_data!A$1:B$190,2,FALSE))</f>
        <v>3.5670796460999998</v>
      </c>
      <c r="Q4110" s="3">
        <f>G4110*(VLOOKUP(B4110,Price_data!A$1:B$190,2,FALSE))</f>
        <v>3.8841533924200005</v>
      </c>
      <c r="R4110" s="3">
        <f>I4110*(VLOOKUP(B4110,Price_data!A$1:B$190,2,FALSE))</f>
        <v>45.975693216400003</v>
      </c>
      <c r="S4110" s="4" t="str">
        <f>(VLOOKUP(B4110,Price_data!A$1:C$190,3,FALSE))</f>
        <v>EEZ</v>
      </c>
      <c r="T4110" s="2" t="str">
        <f>IF(C4110="Total", (VLOOKUP(B4110,Recommended_fish_intake!A$4:D$122,4,FALSE)), "NA")</f>
        <v>NA</v>
      </c>
      <c r="U4110" s="2" t="str">
        <f t="shared" si="392"/>
        <v>NA</v>
      </c>
    </row>
    <row r="4111" spans="1:21" ht="14.25" customHeight="1">
      <c r="A4111" s="2" t="s">
        <v>15</v>
      </c>
      <c r="B4111" s="2">
        <v>2008</v>
      </c>
      <c r="C4111" s="2" t="s">
        <v>29</v>
      </c>
      <c r="D4111" s="2" t="s">
        <v>17</v>
      </c>
      <c r="E4111" s="2" t="s">
        <v>17</v>
      </c>
      <c r="F4111" s="2">
        <v>57.8</v>
      </c>
      <c r="G4111" s="2">
        <v>217.6</v>
      </c>
      <c r="H4111" s="2">
        <v>63.6</v>
      </c>
      <c r="I4111" s="2">
        <v>207.5</v>
      </c>
      <c r="P4111" s="3" t="e">
        <f>E4111*(VLOOKUP(B4111,Price_data!A$1:B$190,2,FALSE))</f>
        <v>#VALUE!</v>
      </c>
      <c r="Q4111" s="3">
        <f>G4111*(VLOOKUP(B4111,Price_data!A$1:B$190,2,FALSE))</f>
        <v>172.48811799807999</v>
      </c>
      <c r="R4111" s="3">
        <f>I4111*(VLOOKUP(B4111,Price_data!A$1:B$190,2,FALSE))</f>
        <v>164.48200590350001</v>
      </c>
      <c r="S4111" s="4" t="str">
        <f>(VLOOKUP(B4111,Price_data!A$1:C$190,3,FALSE))</f>
        <v>EEZ</v>
      </c>
      <c r="T4111" s="2" t="str">
        <f>IF(C4111="Total", (VLOOKUP(B4111,Recommended_fish_intake!A$4:D$122,4,FALSE)), "NA")</f>
        <v>NA</v>
      </c>
      <c r="U4111" s="2" t="str">
        <f t="shared" si="392"/>
        <v>NA</v>
      </c>
    </row>
    <row r="4112" spans="1:21" ht="14.25" customHeight="1">
      <c r="A4112" s="2" t="s">
        <v>15</v>
      </c>
      <c r="B4112" s="2">
        <v>2008</v>
      </c>
      <c r="C4112" s="2" t="s">
        <v>25</v>
      </c>
      <c r="D4112" s="2">
        <v>2.9</v>
      </c>
      <c r="E4112" s="2">
        <v>3.5</v>
      </c>
      <c r="F4112" s="4">
        <v>0.9</v>
      </c>
      <c r="G4112" s="4">
        <v>1.3</v>
      </c>
      <c r="H4112" s="4">
        <v>7.2</v>
      </c>
      <c r="I4112" s="4">
        <v>24</v>
      </c>
      <c r="P4112" s="3">
        <f>E4112*(VLOOKUP(B4112,Price_data!A$1:B$190,2,FALSE))</f>
        <v>2.7743952803000003</v>
      </c>
      <c r="Q4112" s="3">
        <f>G4112*(VLOOKUP(B4112,Price_data!A$1:B$190,2,FALSE))</f>
        <v>1.0304896755400001</v>
      </c>
      <c r="R4112" s="3">
        <f>I4112*(VLOOKUP(B4112,Price_data!A$1:B$190,2,FALSE))</f>
        <v>19.0244247792</v>
      </c>
      <c r="S4112" s="4" t="str">
        <f>(VLOOKUP(B4112,Price_data!A$1:C$190,3,FALSE))</f>
        <v>EEZ</v>
      </c>
      <c r="T4112" s="2" t="str">
        <f>IF(C4112="Total", (VLOOKUP(B4112,Recommended_fish_intake!A$4:D$122,4,FALSE)), "NA")</f>
        <v>NA</v>
      </c>
      <c r="U4112" s="2" t="str">
        <f t="shared" si="392"/>
        <v>NA</v>
      </c>
    </row>
    <row r="4113" spans="1:21" ht="14.25" customHeight="1">
      <c r="A4113" s="2" t="s">
        <v>90</v>
      </c>
      <c r="B4113" s="2">
        <v>2009</v>
      </c>
      <c r="C4113" s="2" t="s">
        <v>22</v>
      </c>
      <c r="D4113" s="2">
        <v>1.9</v>
      </c>
      <c r="E4113" s="2">
        <v>3.1</v>
      </c>
      <c r="P4113" s="3">
        <f>E4113*(VLOOKUP(B4113,Price_data!A$1:B$190,2,FALSE))</f>
        <v>2.4704389087000003</v>
      </c>
      <c r="Q4113" s="3">
        <f>G4113*(VLOOKUP(B4113,Price_data!A$1:B$190,2,FALSE))</f>
        <v>0</v>
      </c>
      <c r="R4113" s="3">
        <f>I4113*(VLOOKUP(B4113,Price_data!A$1:B$190,2,FALSE))</f>
        <v>0</v>
      </c>
      <c r="S4113" s="4" t="str">
        <f>(VLOOKUP(B4113,Price_data!A$1:C$190,3,FALSE))</f>
        <v>EEZ</v>
      </c>
      <c r="T4113" s="2" t="str">
        <f>IF(C4113="Total", (VLOOKUP(B4113,Recommended_fish_intake!A$4:D$122,4,FALSE)), "NA")</f>
        <v>NA</v>
      </c>
      <c r="U4113" s="2" t="str">
        <f t="shared" si="392"/>
        <v>NA</v>
      </c>
    </row>
    <row r="4114" spans="1:21" ht="14.25" customHeight="1">
      <c r="A4114" s="2" t="s">
        <v>90</v>
      </c>
      <c r="B4114" s="2">
        <v>2009</v>
      </c>
      <c r="C4114" s="2" t="s">
        <v>23</v>
      </c>
      <c r="D4114" s="2">
        <v>1.7</v>
      </c>
      <c r="E4114" s="2">
        <v>1.8</v>
      </c>
      <c r="P4114" s="3">
        <f>E4114*(VLOOKUP(B4114,Price_data!A$1:B$190,2,FALSE))</f>
        <v>1.4344483986000001</v>
      </c>
      <c r="Q4114" s="3">
        <f>G4114*(VLOOKUP(B4114,Price_data!A$1:B$190,2,FALSE))</f>
        <v>0</v>
      </c>
      <c r="R4114" s="3">
        <f>I4114*(VLOOKUP(B4114,Price_data!A$1:B$190,2,FALSE))</f>
        <v>0</v>
      </c>
      <c r="S4114" s="4" t="str">
        <f>(VLOOKUP(B4114,Price_data!A$1:C$190,3,FALSE))</f>
        <v>EEZ</v>
      </c>
      <c r="T4114" s="2" t="str">
        <f>IF(C4114="Total", (VLOOKUP(B4114,Recommended_fish_intake!A$4:D$122,4,FALSE)), "NA")</f>
        <v>NA</v>
      </c>
      <c r="U4114" s="2" t="str">
        <f t="shared" si="392"/>
        <v>NA</v>
      </c>
    </row>
    <row r="4115" spans="1:21" ht="14.25" customHeight="1">
      <c r="A4115" s="2" t="s">
        <v>90</v>
      </c>
      <c r="B4115" s="2">
        <v>2009</v>
      </c>
      <c r="C4115" s="2" t="s">
        <v>58</v>
      </c>
      <c r="D4115" s="2">
        <v>2.5</v>
      </c>
      <c r="E4115" s="2">
        <v>6.9</v>
      </c>
      <c r="P4115" s="3">
        <f>E4115*(VLOOKUP(B4115,Price_data!A$1:B$190,2,FALSE))</f>
        <v>5.4987188613000004</v>
      </c>
      <c r="Q4115" s="3">
        <f>G4115*(VLOOKUP(B4115,Price_data!A$1:B$190,2,FALSE))</f>
        <v>0</v>
      </c>
      <c r="R4115" s="3">
        <f>I4115*(VLOOKUP(B4115,Price_data!A$1:B$190,2,FALSE))</f>
        <v>0</v>
      </c>
      <c r="S4115" s="4" t="str">
        <f>(VLOOKUP(B4115,Price_data!A$1:C$190,3,FALSE))</f>
        <v>EEZ</v>
      </c>
      <c r="T4115" s="2" t="str">
        <f>IF(C4115="Total", (VLOOKUP(B4115,Recommended_fish_intake!A$4:D$122,4,FALSE)), "NA")</f>
        <v>NA</v>
      </c>
      <c r="U4115" s="2" t="str">
        <f t="shared" si="392"/>
        <v>NA</v>
      </c>
    </row>
    <row r="4116" spans="1:21" ht="14.25" customHeight="1">
      <c r="A4116" s="2" t="s">
        <v>90</v>
      </c>
      <c r="B4116" s="2">
        <v>2009</v>
      </c>
      <c r="C4116" s="2" t="s">
        <v>24</v>
      </c>
      <c r="D4116" s="2">
        <v>2.1</v>
      </c>
      <c r="E4116" s="2">
        <v>1.3</v>
      </c>
      <c r="P4116" s="3">
        <f>E4116*(VLOOKUP(B4116,Price_data!A$1:B$190,2,FALSE))</f>
        <v>1.0359905101000002</v>
      </c>
      <c r="Q4116" s="3">
        <f>G4116*(VLOOKUP(B4116,Price_data!A$1:B$190,2,FALSE))</f>
        <v>0</v>
      </c>
      <c r="R4116" s="3">
        <f>I4116*(VLOOKUP(B4116,Price_data!A$1:B$190,2,FALSE))</f>
        <v>0</v>
      </c>
      <c r="S4116" s="4" t="str">
        <f>(VLOOKUP(B4116,Price_data!A$1:C$190,3,FALSE))</f>
        <v>EEZ</v>
      </c>
      <c r="T4116" s="2" t="str">
        <f>IF(C4116="Total", (VLOOKUP(B4116,Recommended_fish_intake!A$4:D$122,4,FALSE)), "NA")</f>
        <v>NA</v>
      </c>
      <c r="U4116" s="2" t="str">
        <f t="shared" si="392"/>
        <v>NA</v>
      </c>
    </row>
    <row r="4117" spans="1:21" ht="14.25" customHeight="1">
      <c r="A4117" s="2" t="s">
        <v>90</v>
      </c>
      <c r="B4117" s="2">
        <v>2009</v>
      </c>
      <c r="C4117" s="2" t="s">
        <v>41</v>
      </c>
      <c r="D4117" s="2">
        <v>22.8</v>
      </c>
      <c r="E4117" s="2">
        <v>52.5</v>
      </c>
      <c r="P4117" s="3">
        <f>E4117*(VLOOKUP(B4117,Price_data!A$1:B$190,2,FALSE))</f>
        <v>41.838078292500001</v>
      </c>
      <c r="Q4117" s="3">
        <f>G4117*(VLOOKUP(B4117,Price_data!A$1:B$190,2,FALSE))</f>
        <v>0</v>
      </c>
      <c r="R4117" s="3">
        <f>I4117*(VLOOKUP(B4117,Price_data!A$1:B$190,2,FALSE))</f>
        <v>0</v>
      </c>
      <c r="S4117" s="4" t="str">
        <f>(VLOOKUP(B4117,Price_data!A$1:C$190,3,FALSE))</f>
        <v>EEZ</v>
      </c>
      <c r="T4117" s="2" t="str">
        <f>IF(C4117="Total", (VLOOKUP(B4117,Recommended_fish_intake!A$4:D$122,4,FALSE)), "NA")</f>
        <v>NA</v>
      </c>
      <c r="U4117" s="2" t="str">
        <f t="shared" si="392"/>
        <v>NA</v>
      </c>
    </row>
    <row r="4118" spans="1:21" ht="14.25" customHeight="1">
      <c r="A4118" s="2" t="s">
        <v>90</v>
      </c>
      <c r="B4118" s="2">
        <v>2009</v>
      </c>
      <c r="C4118" s="2" t="s">
        <v>19</v>
      </c>
      <c r="D4118" s="2">
        <v>1.1000000000000001</v>
      </c>
      <c r="E4118" s="2">
        <v>0.4</v>
      </c>
      <c r="P4118" s="3">
        <f>E4118*(VLOOKUP(B4118,Price_data!A$1:B$190,2,FALSE))</f>
        <v>0.31876631080000006</v>
      </c>
      <c r="Q4118" s="3">
        <f>G4118*(VLOOKUP(B4118,Price_data!A$1:B$190,2,FALSE))</f>
        <v>0</v>
      </c>
      <c r="R4118" s="3">
        <f>I4118*(VLOOKUP(B4118,Price_data!A$1:B$190,2,FALSE))</f>
        <v>0</v>
      </c>
      <c r="S4118" s="4" t="str">
        <f>(VLOOKUP(B4118,Price_data!A$1:C$190,3,FALSE))</f>
        <v>EEZ</v>
      </c>
      <c r="T4118" s="2" t="str">
        <f>IF(C4118="Total", (VLOOKUP(B4118,Recommended_fish_intake!A$4:D$122,4,FALSE)), "NA")</f>
        <v>NA</v>
      </c>
      <c r="U4118" s="2" t="str">
        <f t="shared" si="392"/>
        <v>NA</v>
      </c>
    </row>
    <row r="4119" spans="1:21" ht="14.25" customHeight="1">
      <c r="A4119" s="2" t="s">
        <v>90</v>
      </c>
      <c r="B4119" s="2">
        <v>2009</v>
      </c>
      <c r="C4119" s="2" t="s">
        <v>20</v>
      </c>
      <c r="D4119" s="2">
        <v>3</v>
      </c>
      <c r="E4119" s="2">
        <v>2.4</v>
      </c>
      <c r="P4119" s="3">
        <f>E4119*(VLOOKUP(B4119,Price_data!A$1:B$190,2,FALSE))</f>
        <v>1.9125978647999999</v>
      </c>
      <c r="Q4119" s="3">
        <f>G4119*(VLOOKUP(B4119,Price_data!A$1:B$190,2,FALSE))</f>
        <v>0</v>
      </c>
      <c r="R4119" s="3">
        <f>I4119*(VLOOKUP(B4119,Price_data!A$1:B$190,2,FALSE))</f>
        <v>0</v>
      </c>
      <c r="S4119" s="4" t="str">
        <f>(VLOOKUP(B4119,Price_data!A$1:C$190,3,FALSE))</f>
        <v>EEZ</v>
      </c>
      <c r="T4119" s="2" t="str">
        <f>IF(C4119="Total", (VLOOKUP(B4119,Recommended_fish_intake!A$4:D$122,4,FALSE)), "NA")</f>
        <v>NA</v>
      </c>
      <c r="U4119" s="2" t="str">
        <f t="shared" si="392"/>
        <v>NA</v>
      </c>
    </row>
    <row r="4120" spans="1:21" ht="14.25" customHeight="1">
      <c r="A4120" s="2" t="s">
        <v>90</v>
      </c>
      <c r="B4120" s="2">
        <v>2009</v>
      </c>
      <c r="C4120" s="2" t="s">
        <v>42</v>
      </c>
      <c r="D4120" s="2">
        <v>15.3</v>
      </c>
      <c r="E4120" s="2">
        <v>6.5</v>
      </c>
      <c r="P4120" s="3">
        <f>E4120*(VLOOKUP(B4120,Price_data!A$1:B$190,2,FALSE))</f>
        <v>5.1799525505000004</v>
      </c>
      <c r="Q4120" s="3">
        <f>G4120*(VLOOKUP(B4120,Price_data!A$1:B$190,2,FALSE))</f>
        <v>0</v>
      </c>
      <c r="R4120" s="3">
        <f>I4120*(VLOOKUP(B4120,Price_data!A$1:B$190,2,FALSE))</f>
        <v>0</v>
      </c>
      <c r="S4120" s="4" t="str">
        <f>(VLOOKUP(B4120,Price_data!A$1:C$190,3,FALSE))</f>
        <v>EEZ</v>
      </c>
      <c r="T4120" s="2" t="str">
        <f>IF(C4120="Total", (VLOOKUP(B4120,Recommended_fish_intake!A$4:D$122,4,FALSE)), "NA")</f>
        <v>NA</v>
      </c>
      <c r="U4120" s="2" t="str">
        <f t="shared" si="392"/>
        <v>NA</v>
      </c>
    </row>
    <row r="4121" spans="1:21" ht="14.25" customHeight="1">
      <c r="A4121" s="2" t="s">
        <v>90</v>
      </c>
      <c r="B4121" s="2">
        <v>2009</v>
      </c>
      <c r="C4121" s="2" t="s">
        <v>36</v>
      </c>
      <c r="D4121" s="2">
        <v>9.9</v>
      </c>
      <c r="E4121" s="2">
        <v>11.4</v>
      </c>
      <c r="P4121" s="3">
        <f>E4121*(VLOOKUP(B4121,Price_data!A$1:B$190,2,FALSE))</f>
        <v>9.0848398578000005</v>
      </c>
      <c r="Q4121" s="3">
        <f>G4121*(VLOOKUP(B4121,Price_data!A$1:B$190,2,FALSE))</f>
        <v>0</v>
      </c>
      <c r="R4121" s="3">
        <f>I4121*(VLOOKUP(B4121,Price_data!A$1:B$190,2,FALSE))</f>
        <v>0</v>
      </c>
      <c r="S4121" s="4" t="str">
        <f>(VLOOKUP(B4121,Price_data!A$1:C$190,3,FALSE))</f>
        <v>EEZ</v>
      </c>
      <c r="T4121" s="2" t="str">
        <f>IF(C4121="Total", (VLOOKUP(B4121,Recommended_fish_intake!A$4:D$122,4,FALSE)), "NA")</f>
        <v>NA</v>
      </c>
      <c r="U4121" s="2" t="str">
        <f t="shared" si="392"/>
        <v>NA</v>
      </c>
    </row>
    <row r="4122" spans="1:21" ht="14.25" customHeight="1">
      <c r="A4122" s="2" t="s">
        <v>90</v>
      </c>
      <c r="B4122" s="2">
        <v>2009</v>
      </c>
      <c r="C4122" s="2" t="s">
        <v>34</v>
      </c>
      <c r="D4122" s="2">
        <v>1.4</v>
      </c>
      <c r="E4122" s="2">
        <v>12.7</v>
      </c>
      <c r="P4122" s="3">
        <f>E4122*(VLOOKUP(B4122,Price_data!A$1:B$190,2,FALSE))</f>
        <v>10.1208303679</v>
      </c>
      <c r="Q4122" s="3">
        <f>G4122*(VLOOKUP(B4122,Price_data!A$1:B$190,2,FALSE))</f>
        <v>0</v>
      </c>
      <c r="R4122" s="3">
        <f>I4122*(VLOOKUP(B4122,Price_data!A$1:B$190,2,FALSE))</f>
        <v>0</v>
      </c>
      <c r="S4122" s="4" t="str">
        <f>(VLOOKUP(B4122,Price_data!A$1:C$190,3,FALSE))</f>
        <v>EEZ</v>
      </c>
      <c r="T4122" s="2" t="str">
        <f>IF(C4122="Total", (VLOOKUP(B4122,Recommended_fish_intake!A$4:D$122,4,FALSE)), "NA")</f>
        <v>NA</v>
      </c>
      <c r="U4122" s="2" t="str">
        <f t="shared" si="392"/>
        <v>NA</v>
      </c>
    </row>
    <row r="4123" spans="1:21" ht="14.25" customHeight="1">
      <c r="A4123" s="2" t="s">
        <v>90</v>
      </c>
      <c r="B4123" s="2">
        <v>2009</v>
      </c>
      <c r="C4123" s="2" t="s">
        <v>35</v>
      </c>
      <c r="D4123" s="2">
        <v>3.6</v>
      </c>
      <c r="E4123" s="2">
        <v>7.1</v>
      </c>
      <c r="P4123" s="3">
        <f>E4123*(VLOOKUP(B4123,Price_data!A$1:B$190,2,FALSE))</f>
        <v>5.6581020167</v>
      </c>
      <c r="Q4123" s="3">
        <f>G4123*(VLOOKUP(B4123,Price_data!A$1:B$190,2,FALSE))</f>
        <v>0</v>
      </c>
      <c r="R4123" s="3">
        <f>I4123*(VLOOKUP(B4123,Price_data!A$1:B$190,2,FALSE))</f>
        <v>0</v>
      </c>
      <c r="S4123" s="4" t="str">
        <f>(VLOOKUP(B4123,Price_data!A$1:C$190,3,FALSE))</f>
        <v>EEZ</v>
      </c>
      <c r="T4123" s="2" t="str">
        <f>IF(C4123="Total", (VLOOKUP(B4123,Recommended_fish_intake!A$4:D$122,4,FALSE)), "NA")</f>
        <v>NA</v>
      </c>
      <c r="U4123" s="2" t="str">
        <f t="shared" si="392"/>
        <v>NA</v>
      </c>
    </row>
    <row r="4124" spans="1:21" ht="14.25" customHeight="1">
      <c r="A4124" s="2" t="s">
        <v>90</v>
      </c>
      <c r="B4124" s="2">
        <v>2009</v>
      </c>
      <c r="C4124" s="2" t="s">
        <v>52</v>
      </c>
      <c r="D4124" s="2">
        <v>15.3</v>
      </c>
      <c r="E4124" s="2">
        <v>20.8</v>
      </c>
      <c r="P4124" s="3">
        <f>E4124*(VLOOKUP(B4124,Price_data!A$1:B$190,2,FALSE))</f>
        <v>16.575848161600003</v>
      </c>
      <c r="Q4124" s="3">
        <f>G4124*(VLOOKUP(B4124,Price_data!A$1:B$190,2,FALSE))</f>
        <v>0</v>
      </c>
      <c r="R4124" s="3">
        <f>I4124*(VLOOKUP(B4124,Price_data!A$1:B$190,2,FALSE))</f>
        <v>0</v>
      </c>
      <c r="S4124" s="4" t="str">
        <f>(VLOOKUP(B4124,Price_data!A$1:C$190,3,FALSE))</f>
        <v>EEZ</v>
      </c>
      <c r="T4124" s="2" t="str">
        <f>IF(C4124="Total", (VLOOKUP(B4124,Recommended_fish_intake!A$4:D$122,4,FALSE)), "NA")</f>
        <v>NA</v>
      </c>
      <c r="U4124" s="2" t="str">
        <f t="shared" si="392"/>
        <v>NA</v>
      </c>
    </row>
    <row r="4125" spans="1:21" ht="14.25" customHeight="1">
      <c r="A4125" s="2" t="s">
        <v>90</v>
      </c>
      <c r="B4125" s="2">
        <v>2009</v>
      </c>
      <c r="C4125" s="2" t="s">
        <v>30</v>
      </c>
      <c r="D4125" s="2">
        <v>1.1000000000000001</v>
      </c>
      <c r="E4125" s="2">
        <v>2</v>
      </c>
      <c r="P4125" s="3">
        <f>E4125*(VLOOKUP(B4125,Price_data!A$1:B$190,2,FALSE))</f>
        <v>1.5938315540000001</v>
      </c>
      <c r="Q4125" s="3">
        <f>G4125*(VLOOKUP(B4125,Price_data!A$1:B$190,2,FALSE))</f>
        <v>0</v>
      </c>
      <c r="R4125" s="3">
        <f>I4125*(VLOOKUP(B4125,Price_data!A$1:B$190,2,FALSE))</f>
        <v>0</v>
      </c>
      <c r="S4125" s="4" t="str">
        <f>(VLOOKUP(B4125,Price_data!A$1:C$190,3,FALSE))</f>
        <v>EEZ</v>
      </c>
      <c r="T4125" s="2" t="str">
        <f>IF(C4125="Total", (VLOOKUP(B4125,Recommended_fish_intake!A$4:D$122,4,FALSE)), "NA")</f>
        <v>NA</v>
      </c>
      <c r="U4125" s="2" t="str">
        <f t="shared" si="392"/>
        <v>NA</v>
      </c>
    </row>
    <row r="4126" spans="1:21" ht="14.25" customHeight="1">
      <c r="A4126" s="2" t="s">
        <v>90</v>
      </c>
      <c r="B4126" s="2">
        <v>2009</v>
      </c>
      <c r="C4126" s="2" t="s">
        <v>28</v>
      </c>
      <c r="D4126" s="2">
        <v>45.9</v>
      </c>
      <c r="E4126" s="2">
        <v>72.3</v>
      </c>
      <c r="P4126" s="3">
        <f>E4126*(VLOOKUP(B4126,Price_data!A$1:B$190,2,FALSE))</f>
        <v>57.617010677099998</v>
      </c>
      <c r="Q4126" s="3">
        <f>G4126*(VLOOKUP(B4126,Price_data!A$1:B$190,2,FALSE))</f>
        <v>0</v>
      </c>
      <c r="R4126" s="3">
        <f>I4126*(VLOOKUP(B4126,Price_data!A$1:B$190,2,FALSE))</f>
        <v>0</v>
      </c>
      <c r="S4126" s="4" t="str">
        <f>(VLOOKUP(B4126,Price_data!A$1:C$190,3,FALSE))</f>
        <v>EEZ</v>
      </c>
      <c r="T4126" s="2" t="str">
        <f>IF(C4126="Total", (VLOOKUP(B4126,Recommended_fish_intake!A$4:D$122,4,FALSE)), "NA")</f>
        <v>NA</v>
      </c>
      <c r="U4126" s="2">
        <f t="shared" si="392"/>
        <v>12.852</v>
      </c>
    </row>
    <row r="4127" spans="1:21" ht="14.25" customHeight="1">
      <c r="A4127" s="2" t="s">
        <v>91</v>
      </c>
      <c r="B4127" s="2">
        <v>2009</v>
      </c>
      <c r="C4127" s="2" t="s">
        <v>22</v>
      </c>
      <c r="D4127" s="2">
        <v>1.4999999999999999E-2</v>
      </c>
      <c r="E4127" s="2">
        <v>2.5000000000000001E-2</v>
      </c>
      <c r="P4127" s="3">
        <f>E4127*(VLOOKUP(B4127,Price_data!A$1:B$190,2,FALSE))</f>
        <v>1.9922894425000004E-2</v>
      </c>
      <c r="Q4127" s="3">
        <f>G4127*(VLOOKUP(B4127,Price_data!A$1:B$190,2,FALSE))</f>
        <v>0</v>
      </c>
      <c r="R4127" s="3">
        <f>I4127*(VLOOKUP(B4127,Price_data!A$1:B$190,2,FALSE))</f>
        <v>0</v>
      </c>
      <c r="S4127" s="4" t="str">
        <f>(VLOOKUP(B4127,Price_data!A$1:C$190,3,FALSE))</f>
        <v>EEZ</v>
      </c>
      <c r="T4127" s="2" t="str">
        <f>IF(C4127="Total", (VLOOKUP(B4127,Recommended_fish_intake!A$4:D$122,4,FALSE)), "NA")</f>
        <v>NA</v>
      </c>
      <c r="U4127" s="2" t="str">
        <f t="shared" si="392"/>
        <v>NA</v>
      </c>
    </row>
    <row r="4128" spans="1:21" ht="14.25" customHeight="1">
      <c r="A4128" s="2" t="s">
        <v>91</v>
      </c>
      <c r="B4128" s="2">
        <v>2009</v>
      </c>
      <c r="C4128" s="2" t="s">
        <v>23</v>
      </c>
      <c r="D4128" s="2">
        <v>2.4E-2</v>
      </c>
      <c r="E4128" s="2">
        <v>2.1000000000000001E-2</v>
      </c>
      <c r="P4128" s="3">
        <f>E4128*(VLOOKUP(B4128,Price_data!A$1:B$190,2,FALSE))</f>
        <v>1.6735231317000002E-2</v>
      </c>
      <c r="Q4128" s="3">
        <f>G4128*(VLOOKUP(B4128,Price_data!A$1:B$190,2,FALSE))</f>
        <v>0</v>
      </c>
      <c r="R4128" s="3">
        <f>I4128*(VLOOKUP(B4128,Price_data!A$1:B$190,2,FALSE))</f>
        <v>0</v>
      </c>
      <c r="S4128" s="4" t="str">
        <f>(VLOOKUP(B4128,Price_data!A$1:C$190,3,FALSE))</f>
        <v>EEZ</v>
      </c>
      <c r="T4128" s="2" t="str">
        <f>IF(C4128="Total", (VLOOKUP(B4128,Recommended_fish_intake!A$4:D$122,4,FALSE)), "NA")</f>
        <v>NA</v>
      </c>
      <c r="U4128" s="2" t="str">
        <f t="shared" si="392"/>
        <v>NA</v>
      </c>
    </row>
    <row r="4129" spans="1:21" ht="14.25" customHeight="1">
      <c r="A4129" s="2" t="s">
        <v>91</v>
      </c>
      <c r="B4129" s="2">
        <v>2009</v>
      </c>
      <c r="C4129" s="2" t="s">
        <v>58</v>
      </c>
      <c r="D4129" s="2">
        <v>0.36899999999999999</v>
      </c>
      <c r="E4129" s="2">
        <v>1.47</v>
      </c>
      <c r="P4129" s="3">
        <f>E4129*(VLOOKUP(B4129,Price_data!A$1:B$190,2,FALSE))</f>
        <v>1.17146619219</v>
      </c>
      <c r="Q4129" s="3">
        <f>G4129*(VLOOKUP(B4129,Price_data!A$1:B$190,2,FALSE))</f>
        <v>0</v>
      </c>
      <c r="R4129" s="3">
        <f>I4129*(VLOOKUP(B4129,Price_data!A$1:B$190,2,FALSE))</f>
        <v>0</v>
      </c>
      <c r="S4129" s="4" t="str">
        <f>(VLOOKUP(B4129,Price_data!A$1:C$190,3,FALSE))</f>
        <v>EEZ</v>
      </c>
      <c r="T4129" s="2" t="str">
        <f>IF(C4129="Total", (VLOOKUP(B4129,Recommended_fish_intake!A$4:D$122,4,FALSE)), "NA")</f>
        <v>NA</v>
      </c>
      <c r="U4129" s="2" t="str">
        <f t="shared" si="392"/>
        <v>NA</v>
      </c>
    </row>
    <row r="4130" spans="1:21" ht="14.25" customHeight="1">
      <c r="A4130" s="2" t="s">
        <v>91</v>
      </c>
      <c r="B4130" s="2">
        <v>2009</v>
      </c>
      <c r="C4130" s="2" t="s">
        <v>24</v>
      </c>
      <c r="D4130" s="2">
        <v>1.2E-2</v>
      </c>
      <c r="E4130" s="2">
        <v>7.0000000000000001E-3</v>
      </c>
      <c r="P4130" s="3">
        <f>E4130*(VLOOKUP(B4130,Price_data!A$1:B$190,2,FALSE))</f>
        <v>5.5784104390000002E-3</v>
      </c>
      <c r="Q4130" s="3">
        <f>G4130*(VLOOKUP(B4130,Price_data!A$1:B$190,2,FALSE))</f>
        <v>0</v>
      </c>
      <c r="R4130" s="3">
        <f>I4130*(VLOOKUP(B4130,Price_data!A$1:B$190,2,FALSE))</f>
        <v>0</v>
      </c>
      <c r="S4130" s="4" t="str">
        <f>(VLOOKUP(B4130,Price_data!A$1:C$190,3,FALSE))</f>
        <v>EEZ</v>
      </c>
      <c r="T4130" s="2" t="str">
        <f>IF(C4130="Total", (VLOOKUP(B4130,Recommended_fish_intake!A$4:D$122,4,FALSE)), "NA")</f>
        <v>NA</v>
      </c>
      <c r="U4130" s="2" t="str">
        <f t="shared" si="392"/>
        <v>NA</v>
      </c>
    </row>
    <row r="4131" spans="1:21" ht="14.25" customHeight="1">
      <c r="A4131" s="2" t="s">
        <v>91</v>
      </c>
      <c r="B4131" s="2">
        <v>2009</v>
      </c>
      <c r="C4131" s="2" t="s">
        <v>41</v>
      </c>
      <c r="D4131" s="2">
        <v>1.7989999999999999</v>
      </c>
      <c r="E4131" s="2">
        <v>5.2770000000000001</v>
      </c>
      <c r="P4131" s="3">
        <f>E4131*(VLOOKUP(B4131,Price_data!A$1:B$190,2,FALSE))</f>
        <v>4.2053245552290006</v>
      </c>
      <c r="Q4131" s="3">
        <f>G4131*(VLOOKUP(B4131,Price_data!A$1:B$190,2,FALSE))</f>
        <v>0</v>
      </c>
      <c r="R4131" s="3">
        <f>I4131*(VLOOKUP(B4131,Price_data!A$1:B$190,2,FALSE))</f>
        <v>0</v>
      </c>
      <c r="S4131" s="4" t="str">
        <f>(VLOOKUP(B4131,Price_data!A$1:C$190,3,FALSE))</f>
        <v>EEZ</v>
      </c>
      <c r="T4131" s="2" t="str">
        <f>IF(C4131="Total", (VLOOKUP(B4131,Recommended_fish_intake!A$4:D$122,4,FALSE)), "NA")</f>
        <v>NA</v>
      </c>
      <c r="U4131" s="2" t="str">
        <f t="shared" si="392"/>
        <v>NA</v>
      </c>
    </row>
    <row r="4132" spans="1:21" ht="14.25" customHeight="1">
      <c r="A4132" s="2" t="s">
        <v>91</v>
      </c>
      <c r="B4132" s="2">
        <v>2009</v>
      </c>
      <c r="C4132" s="2" t="s">
        <v>19</v>
      </c>
      <c r="D4132" s="2">
        <v>0</v>
      </c>
      <c r="E4132" s="2">
        <v>0</v>
      </c>
      <c r="P4132" s="3">
        <f>E4132*(VLOOKUP(B4132,Price_data!A$1:B$190,2,FALSE))</f>
        <v>0</v>
      </c>
      <c r="Q4132" s="3">
        <f>G4132*(VLOOKUP(B4132,Price_data!A$1:B$190,2,FALSE))</f>
        <v>0</v>
      </c>
      <c r="R4132" s="3">
        <f>I4132*(VLOOKUP(B4132,Price_data!A$1:B$190,2,FALSE))</f>
        <v>0</v>
      </c>
      <c r="S4132" s="4" t="str">
        <f>(VLOOKUP(B4132,Price_data!A$1:C$190,3,FALSE))</f>
        <v>EEZ</v>
      </c>
      <c r="T4132" s="2" t="str">
        <f>IF(C4132="Total", (VLOOKUP(B4132,Recommended_fish_intake!A$4:D$122,4,FALSE)), "NA")</f>
        <v>NA</v>
      </c>
      <c r="U4132" s="2" t="str">
        <f t="shared" si="392"/>
        <v>NA</v>
      </c>
    </row>
    <row r="4133" spans="1:21" ht="14.25" customHeight="1">
      <c r="A4133" s="2" t="s">
        <v>91</v>
      </c>
      <c r="B4133" s="2">
        <v>2009</v>
      </c>
      <c r="C4133" s="2" t="s">
        <v>20</v>
      </c>
      <c r="D4133" s="2">
        <v>2E-3</v>
      </c>
      <c r="E4133" s="2">
        <v>3.0000000000000001E-3</v>
      </c>
      <c r="P4133" s="3">
        <f>E4133*(VLOOKUP(B4133,Price_data!A$1:B$190,2,FALSE))</f>
        <v>2.3907473310000003E-3</v>
      </c>
      <c r="Q4133" s="3">
        <f>G4133*(VLOOKUP(B4133,Price_data!A$1:B$190,2,FALSE))</f>
        <v>0</v>
      </c>
      <c r="R4133" s="3">
        <f>I4133*(VLOOKUP(B4133,Price_data!A$1:B$190,2,FALSE))</f>
        <v>0</v>
      </c>
      <c r="S4133" s="4" t="str">
        <f>(VLOOKUP(B4133,Price_data!A$1:C$190,3,FALSE))</f>
        <v>EEZ</v>
      </c>
      <c r="T4133" s="2" t="str">
        <f>IF(C4133="Total", (VLOOKUP(B4133,Recommended_fish_intake!A$4:D$122,4,FALSE)), "NA")</f>
        <v>NA</v>
      </c>
      <c r="U4133" s="2" t="str">
        <f t="shared" si="392"/>
        <v>NA</v>
      </c>
    </row>
    <row r="4134" spans="1:21" ht="14.25" customHeight="1">
      <c r="A4134" s="2" t="s">
        <v>91</v>
      </c>
      <c r="B4134" s="2">
        <v>2009</v>
      </c>
      <c r="C4134" s="2" t="s">
        <v>42</v>
      </c>
      <c r="D4134" s="2">
        <v>2E-3</v>
      </c>
      <c r="E4134" s="2">
        <v>3.0000000000000001E-3</v>
      </c>
      <c r="P4134" s="3">
        <f>E4134*(VLOOKUP(B4134,Price_data!A$1:B$190,2,FALSE))</f>
        <v>2.3907473310000003E-3</v>
      </c>
      <c r="Q4134" s="3">
        <f>G4134*(VLOOKUP(B4134,Price_data!A$1:B$190,2,FALSE))</f>
        <v>0</v>
      </c>
      <c r="R4134" s="3">
        <f>I4134*(VLOOKUP(B4134,Price_data!A$1:B$190,2,FALSE))</f>
        <v>0</v>
      </c>
      <c r="S4134" s="4" t="str">
        <f>(VLOOKUP(B4134,Price_data!A$1:C$190,3,FALSE))</f>
        <v>EEZ</v>
      </c>
      <c r="T4134" s="2" t="str">
        <f>IF(C4134="Total", (VLOOKUP(B4134,Recommended_fish_intake!A$4:D$122,4,FALSE)), "NA")</f>
        <v>NA</v>
      </c>
      <c r="U4134" s="2" t="str">
        <f t="shared" si="392"/>
        <v>NA</v>
      </c>
    </row>
    <row r="4135" spans="1:21" ht="14.25" customHeight="1">
      <c r="A4135" s="2" t="s">
        <v>91</v>
      </c>
      <c r="B4135" s="2">
        <v>2009</v>
      </c>
      <c r="C4135" s="2" t="s">
        <v>36</v>
      </c>
      <c r="D4135" s="2">
        <v>0.97</v>
      </c>
      <c r="E4135" s="2">
        <v>1.153</v>
      </c>
      <c r="P4135" s="3">
        <f>E4135*(VLOOKUP(B4135,Price_data!A$1:B$190,2,FALSE))</f>
        <v>0.91884389088100005</v>
      </c>
      <c r="Q4135" s="3">
        <f>G4135*(VLOOKUP(B4135,Price_data!A$1:B$190,2,FALSE))</f>
        <v>0</v>
      </c>
      <c r="R4135" s="3">
        <f>I4135*(VLOOKUP(B4135,Price_data!A$1:B$190,2,FALSE))</f>
        <v>0</v>
      </c>
      <c r="S4135" s="4" t="str">
        <f>(VLOOKUP(B4135,Price_data!A$1:C$190,3,FALSE))</f>
        <v>EEZ</v>
      </c>
      <c r="T4135" s="2" t="str">
        <f>IF(C4135="Total", (VLOOKUP(B4135,Recommended_fish_intake!A$4:D$122,4,FALSE)), "NA")</f>
        <v>NA</v>
      </c>
      <c r="U4135" s="2" t="str">
        <f t="shared" si="392"/>
        <v>NA</v>
      </c>
    </row>
    <row r="4136" spans="1:21" ht="14.25" customHeight="1">
      <c r="A4136" s="2" t="s">
        <v>91</v>
      </c>
      <c r="B4136" s="2">
        <v>2009</v>
      </c>
      <c r="C4136" s="2" t="s">
        <v>34</v>
      </c>
      <c r="D4136" s="2">
        <v>0.19</v>
      </c>
      <c r="E4136" s="2">
        <v>1.9850000000000001</v>
      </c>
      <c r="P4136" s="3">
        <f>E4136*(VLOOKUP(B4136,Price_data!A$1:B$190,2,FALSE))</f>
        <v>1.5818778173450001</v>
      </c>
      <c r="Q4136" s="3">
        <f>G4136*(VLOOKUP(B4136,Price_data!A$1:B$190,2,FALSE))</f>
        <v>0</v>
      </c>
      <c r="R4136" s="3">
        <f>I4136*(VLOOKUP(B4136,Price_data!A$1:B$190,2,FALSE))</f>
        <v>0</v>
      </c>
      <c r="S4136" s="4" t="str">
        <f>(VLOOKUP(B4136,Price_data!A$1:C$190,3,FALSE))</f>
        <v>EEZ</v>
      </c>
      <c r="T4136" s="2" t="str">
        <f>IF(C4136="Total", (VLOOKUP(B4136,Recommended_fish_intake!A$4:D$122,4,FALSE)), "NA")</f>
        <v>NA</v>
      </c>
      <c r="U4136" s="2" t="str">
        <f t="shared" si="392"/>
        <v>NA</v>
      </c>
    </row>
    <row r="4137" spans="1:21" ht="14.25" customHeight="1">
      <c r="A4137" s="2" t="s">
        <v>91</v>
      </c>
      <c r="B4137" s="2">
        <v>2009</v>
      </c>
      <c r="C4137" s="2" t="s">
        <v>35</v>
      </c>
      <c r="D4137" s="2">
        <v>0.128</v>
      </c>
      <c r="E4137" s="2">
        <v>0.21299999999999999</v>
      </c>
      <c r="P4137" s="3">
        <f>E4137*(VLOOKUP(B4137,Price_data!A$1:B$190,2,FALSE))</f>
        <v>0.16974306050099999</v>
      </c>
      <c r="Q4137" s="3">
        <f>G4137*(VLOOKUP(B4137,Price_data!A$1:B$190,2,FALSE))</f>
        <v>0</v>
      </c>
      <c r="R4137" s="3">
        <f>I4137*(VLOOKUP(B4137,Price_data!A$1:B$190,2,FALSE))</f>
        <v>0</v>
      </c>
      <c r="S4137" s="4" t="str">
        <f>(VLOOKUP(B4137,Price_data!A$1:C$190,3,FALSE))</f>
        <v>EEZ</v>
      </c>
      <c r="T4137" s="2" t="str">
        <f>IF(C4137="Total", (VLOOKUP(B4137,Recommended_fish_intake!A$4:D$122,4,FALSE)), "NA")</f>
        <v>NA</v>
      </c>
      <c r="U4137" s="2" t="str">
        <f t="shared" si="392"/>
        <v>NA</v>
      </c>
    </row>
    <row r="4138" spans="1:21" ht="14.25" customHeight="1">
      <c r="A4138" s="2" t="s">
        <v>91</v>
      </c>
      <c r="B4138" s="2">
        <v>2009</v>
      </c>
      <c r="C4138" s="2" t="s">
        <v>52</v>
      </c>
      <c r="D4138" s="2">
        <v>2.681</v>
      </c>
      <c r="E4138" s="2">
        <v>3.7280000000000002</v>
      </c>
      <c r="P4138" s="3">
        <f>E4138*(VLOOKUP(B4138,Price_data!A$1:B$190,2,FALSE))</f>
        <v>2.9709020166560003</v>
      </c>
      <c r="Q4138" s="3">
        <f>G4138*(VLOOKUP(B4138,Price_data!A$1:B$190,2,FALSE))</f>
        <v>0</v>
      </c>
      <c r="R4138" s="3">
        <f>I4138*(VLOOKUP(B4138,Price_data!A$1:B$190,2,FALSE))</f>
        <v>0</v>
      </c>
      <c r="S4138" s="4" t="str">
        <f>(VLOOKUP(B4138,Price_data!A$1:C$190,3,FALSE))</f>
        <v>EEZ</v>
      </c>
      <c r="T4138" s="2" t="str">
        <f>IF(C4138="Total", (VLOOKUP(B4138,Recommended_fish_intake!A$4:D$122,4,FALSE)), "NA")</f>
        <v>NA</v>
      </c>
      <c r="U4138" s="2" t="str">
        <f t="shared" si="392"/>
        <v>NA</v>
      </c>
    </row>
    <row r="4139" spans="1:21" ht="14.25" customHeight="1">
      <c r="A4139" s="2" t="s">
        <v>91</v>
      </c>
      <c r="B4139" s="2">
        <v>2009</v>
      </c>
      <c r="C4139" s="2" t="s">
        <v>30</v>
      </c>
      <c r="D4139" s="2">
        <v>2E-3</v>
      </c>
      <c r="E4139" s="2">
        <v>2.1999999999999999E-2</v>
      </c>
      <c r="P4139" s="3">
        <f>E4139*(VLOOKUP(B4139,Price_data!A$1:B$190,2,FALSE))</f>
        <v>1.7532147094E-2</v>
      </c>
      <c r="Q4139" s="3">
        <f>G4139*(VLOOKUP(B4139,Price_data!A$1:B$190,2,FALSE))</f>
        <v>0</v>
      </c>
      <c r="R4139" s="3">
        <f>I4139*(VLOOKUP(B4139,Price_data!A$1:B$190,2,FALSE))</f>
        <v>0</v>
      </c>
      <c r="S4139" s="4" t="str">
        <f>(VLOOKUP(B4139,Price_data!A$1:C$190,3,FALSE))</f>
        <v>EEZ</v>
      </c>
      <c r="T4139" s="2" t="str">
        <f>IF(C4139="Total", (VLOOKUP(B4139,Recommended_fish_intake!A$4:D$122,4,FALSE)), "NA")</f>
        <v>NA</v>
      </c>
      <c r="U4139" s="2" t="str">
        <f t="shared" si="392"/>
        <v>NA</v>
      </c>
    </row>
    <row r="4140" spans="1:21" ht="14.25" customHeight="1">
      <c r="A4140" s="2" t="s">
        <v>91</v>
      </c>
      <c r="B4140" s="2">
        <v>2009</v>
      </c>
      <c r="C4140" s="2" t="s">
        <v>28</v>
      </c>
      <c r="D4140" s="2">
        <v>11.180999999999999</v>
      </c>
      <c r="E4140" s="2">
        <v>11.353999999999999</v>
      </c>
      <c r="P4140" s="3">
        <f>E4140*(VLOOKUP(B4140,Price_data!A$1:B$190,2,FALSE))</f>
        <v>9.0481817320579996</v>
      </c>
      <c r="Q4140" s="3">
        <f>G4140*(VLOOKUP(B4140,Price_data!A$1:B$190,2,FALSE))</f>
        <v>0</v>
      </c>
      <c r="R4140" s="3">
        <f>I4140*(VLOOKUP(B4140,Price_data!A$1:B$190,2,FALSE))</f>
        <v>0</v>
      </c>
      <c r="S4140" s="4" t="str">
        <f>(VLOOKUP(B4140,Price_data!A$1:C$190,3,FALSE))</f>
        <v>EEZ</v>
      </c>
      <c r="T4140" s="2" t="str">
        <f>IF(C4140="Total", (VLOOKUP(B4140,Recommended_fish_intake!A$4:D$122,4,FALSE)), "NA")</f>
        <v>NA</v>
      </c>
      <c r="U4140" s="2">
        <f t="shared" si="392"/>
        <v>3.1306799999999999</v>
      </c>
    </row>
    <row r="4141" spans="1:21" ht="14.25" customHeight="1">
      <c r="A4141" s="2" t="s">
        <v>39</v>
      </c>
      <c r="B4141" s="2">
        <v>2009</v>
      </c>
      <c r="C4141" s="2" t="s">
        <v>22</v>
      </c>
      <c r="D4141" s="2">
        <v>9.35</v>
      </c>
      <c r="E4141" s="2">
        <v>16.721</v>
      </c>
      <c r="P4141" s="3">
        <f>E4141*(VLOOKUP(B4141,Price_data!A$1:B$190,2,FALSE))</f>
        <v>13.325228707217001</v>
      </c>
      <c r="Q4141" s="3">
        <f>G4141*(VLOOKUP(B4141,Price_data!A$1:B$190,2,FALSE))</f>
        <v>0</v>
      </c>
      <c r="R4141" s="3">
        <f>I4141*(VLOOKUP(B4141,Price_data!A$1:B$190,2,FALSE))</f>
        <v>0</v>
      </c>
      <c r="S4141" s="4" t="str">
        <f>(VLOOKUP(B4141,Price_data!A$1:C$190,3,FALSE))</f>
        <v>EEZ</v>
      </c>
      <c r="T4141" s="2" t="str">
        <f>IF(C4141="Total", (VLOOKUP(B4141,Recommended_fish_intake!A$4:D$122,4,FALSE)), "NA")</f>
        <v>NA</v>
      </c>
      <c r="U4141" s="2" t="str">
        <f t="shared" si="392"/>
        <v>NA</v>
      </c>
    </row>
    <row r="4142" spans="1:21" ht="14.25" customHeight="1">
      <c r="A4142" s="2" t="s">
        <v>39</v>
      </c>
      <c r="B4142" s="2">
        <v>2009</v>
      </c>
      <c r="C4142" s="2" t="s">
        <v>23</v>
      </c>
      <c r="D4142" s="2">
        <v>32.680999999999997</v>
      </c>
      <c r="E4142" s="2">
        <v>32.133000000000003</v>
      </c>
      <c r="P4142" s="3">
        <f>E4142*(VLOOKUP(B4142,Price_data!A$1:B$190,2,FALSE))</f>
        <v>25.607294662341005</v>
      </c>
      <c r="Q4142" s="3">
        <f>G4142*(VLOOKUP(B4142,Price_data!A$1:B$190,2,FALSE))</f>
        <v>0</v>
      </c>
      <c r="R4142" s="3">
        <f>I4142*(VLOOKUP(B4142,Price_data!A$1:B$190,2,FALSE))</f>
        <v>0</v>
      </c>
      <c r="S4142" s="4" t="str">
        <f>(VLOOKUP(B4142,Price_data!A$1:C$190,3,FALSE))</f>
        <v>EEZ</v>
      </c>
      <c r="T4142" s="2" t="str">
        <f>IF(C4142="Total", (VLOOKUP(B4142,Recommended_fish_intake!A$4:D$122,4,FALSE)), "NA")</f>
        <v>NA</v>
      </c>
      <c r="U4142" s="2" t="str">
        <f t="shared" si="392"/>
        <v>NA</v>
      </c>
    </row>
    <row r="4143" spans="1:21" ht="14.25" customHeight="1">
      <c r="A4143" s="2" t="s">
        <v>39</v>
      </c>
      <c r="B4143" s="2">
        <v>2009</v>
      </c>
      <c r="C4143" s="2" t="s">
        <v>58</v>
      </c>
      <c r="D4143" s="2">
        <v>9.8979999999999997</v>
      </c>
      <c r="E4143" s="2">
        <v>31.201000000000001</v>
      </c>
      <c r="P4143" s="3">
        <f>E4143*(VLOOKUP(B4143,Price_data!A$1:B$190,2,FALSE))</f>
        <v>24.864569158177002</v>
      </c>
      <c r="Q4143" s="3">
        <f>G4143*(VLOOKUP(B4143,Price_data!A$1:B$190,2,FALSE))</f>
        <v>0</v>
      </c>
      <c r="R4143" s="3">
        <f>I4143*(VLOOKUP(B4143,Price_data!A$1:B$190,2,FALSE))</f>
        <v>0</v>
      </c>
      <c r="S4143" s="4" t="str">
        <f>(VLOOKUP(B4143,Price_data!A$1:C$190,3,FALSE))</f>
        <v>EEZ</v>
      </c>
      <c r="T4143" s="2" t="str">
        <f>IF(C4143="Total", (VLOOKUP(B4143,Recommended_fish_intake!A$4:D$122,4,FALSE)), "NA")</f>
        <v>NA</v>
      </c>
      <c r="U4143" s="2" t="str">
        <f t="shared" si="392"/>
        <v>NA</v>
      </c>
    </row>
    <row r="4144" spans="1:21" ht="14.25" customHeight="1">
      <c r="A4144" s="2" t="s">
        <v>39</v>
      </c>
      <c r="B4144" s="2">
        <v>2009</v>
      </c>
      <c r="C4144" s="2" t="s">
        <v>24</v>
      </c>
      <c r="D4144" s="2">
        <v>7.9649999999999999</v>
      </c>
      <c r="E4144" s="2">
        <v>7.968</v>
      </c>
      <c r="P4144" s="3">
        <f>E4144*(VLOOKUP(B4144,Price_data!A$1:B$190,2,FALSE))</f>
        <v>6.3498249111360003</v>
      </c>
      <c r="Q4144" s="3">
        <f>G4144*(VLOOKUP(B4144,Price_data!A$1:B$190,2,FALSE))</f>
        <v>0</v>
      </c>
      <c r="R4144" s="3">
        <f>I4144*(VLOOKUP(B4144,Price_data!A$1:B$190,2,FALSE))</f>
        <v>0</v>
      </c>
      <c r="S4144" s="4" t="str">
        <f>(VLOOKUP(B4144,Price_data!A$1:C$190,3,FALSE))</f>
        <v>EEZ</v>
      </c>
      <c r="T4144" s="2" t="str">
        <f>IF(C4144="Total", (VLOOKUP(B4144,Recommended_fish_intake!A$4:D$122,4,FALSE)), "NA")</f>
        <v>NA</v>
      </c>
      <c r="U4144" s="2" t="str">
        <f t="shared" si="392"/>
        <v>NA</v>
      </c>
    </row>
    <row r="4145" spans="1:21" ht="14.25" customHeight="1">
      <c r="A4145" s="2" t="s">
        <v>39</v>
      </c>
      <c r="B4145" s="2">
        <v>2009</v>
      </c>
      <c r="C4145" s="2" t="s">
        <v>41</v>
      </c>
      <c r="D4145" s="2">
        <v>92.584999999999994</v>
      </c>
      <c r="E4145" s="2">
        <v>129.61600000000001</v>
      </c>
      <c r="P4145" s="3">
        <f>E4145*(VLOOKUP(B4145,Price_data!A$1:B$190,2,FALSE))</f>
        <v>103.29303535163201</v>
      </c>
      <c r="Q4145" s="3">
        <f>G4145*(VLOOKUP(B4145,Price_data!A$1:B$190,2,FALSE))</f>
        <v>0</v>
      </c>
      <c r="R4145" s="3">
        <f>I4145*(VLOOKUP(B4145,Price_data!A$1:B$190,2,FALSE))</f>
        <v>0</v>
      </c>
      <c r="S4145" s="4" t="str">
        <f>(VLOOKUP(B4145,Price_data!A$1:C$190,3,FALSE))</f>
        <v>EEZ</v>
      </c>
      <c r="T4145" s="2" t="str">
        <f>IF(C4145="Total", (VLOOKUP(B4145,Recommended_fish_intake!A$4:D$122,4,FALSE)), "NA")</f>
        <v>NA</v>
      </c>
      <c r="U4145" s="2" t="str">
        <f t="shared" si="392"/>
        <v>NA</v>
      </c>
    </row>
    <row r="4146" spans="1:21" ht="14.25" customHeight="1">
      <c r="A4146" s="2" t="s">
        <v>39</v>
      </c>
      <c r="B4146" s="2">
        <v>2009</v>
      </c>
      <c r="C4146" s="2" t="s">
        <v>19</v>
      </c>
      <c r="D4146" s="2">
        <v>25.187999999999999</v>
      </c>
      <c r="E4146" s="2">
        <v>7.7220000000000004</v>
      </c>
      <c r="P4146" s="3">
        <f>E4146*(VLOOKUP(B4146,Price_data!A$1:B$190,2,FALSE))</f>
        <v>6.1537836299940007</v>
      </c>
      <c r="Q4146" s="3">
        <f>G4146*(VLOOKUP(B4146,Price_data!A$1:B$190,2,FALSE))</f>
        <v>0</v>
      </c>
      <c r="R4146" s="3">
        <f>I4146*(VLOOKUP(B4146,Price_data!A$1:B$190,2,FALSE))</f>
        <v>0</v>
      </c>
      <c r="S4146" s="4" t="str">
        <f>(VLOOKUP(B4146,Price_data!A$1:C$190,3,FALSE))</f>
        <v>EEZ</v>
      </c>
      <c r="T4146" s="2" t="str">
        <f>IF(C4146="Total", (VLOOKUP(B4146,Recommended_fish_intake!A$4:D$122,4,FALSE)), "NA")</f>
        <v>NA</v>
      </c>
      <c r="U4146" s="2" t="str">
        <f t="shared" si="392"/>
        <v>NA</v>
      </c>
    </row>
    <row r="4147" spans="1:21" ht="14.25" customHeight="1">
      <c r="A4147" s="2" t="s">
        <v>39</v>
      </c>
      <c r="B4147" s="2">
        <v>2009</v>
      </c>
      <c r="C4147" s="2" t="s">
        <v>20</v>
      </c>
      <c r="D4147" s="2">
        <v>94.555999999999997</v>
      </c>
      <c r="E4147" s="2">
        <v>79.736000000000004</v>
      </c>
      <c r="P4147" s="3">
        <f>E4147*(VLOOKUP(B4147,Price_data!A$1:B$190,2,FALSE))</f>
        <v>63.54287639487201</v>
      </c>
      <c r="Q4147" s="3">
        <f>G4147*(VLOOKUP(B4147,Price_data!A$1:B$190,2,FALSE))</f>
        <v>0</v>
      </c>
      <c r="R4147" s="3">
        <f>I4147*(VLOOKUP(B4147,Price_data!A$1:B$190,2,FALSE))</f>
        <v>0</v>
      </c>
      <c r="S4147" s="4" t="str">
        <f>(VLOOKUP(B4147,Price_data!A$1:C$190,3,FALSE))</f>
        <v>EEZ</v>
      </c>
      <c r="T4147" s="2" t="str">
        <f>IF(C4147="Total", (VLOOKUP(B4147,Recommended_fish_intake!A$4:D$122,4,FALSE)), "NA")</f>
        <v>NA</v>
      </c>
      <c r="U4147" s="2" t="str">
        <f t="shared" si="392"/>
        <v>NA</v>
      </c>
    </row>
    <row r="4148" spans="1:21" ht="14.25" customHeight="1">
      <c r="A4148" s="2" t="s">
        <v>39</v>
      </c>
      <c r="B4148" s="2">
        <v>2009</v>
      </c>
      <c r="C4148" s="2" t="s">
        <v>42</v>
      </c>
      <c r="D4148" s="2">
        <v>121.633</v>
      </c>
      <c r="E4148" s="2">
        <v>87.8</v>
      </c>
      <c r="P4148" s="3">
        <f>E4148*(VLOOKUP(B4148,Price_data!A$1:B$190,2,FALSE))</f>
        <v>69.969205220600003</v>
      </c>
      <c r="Q4148" s="3">
        <f>G4148*(VLOOKUP(B4148,Price_data!A$1:B$190,2,FALSE))</f>
        <v>0</v>
      </c>
      <c r="R4148" s="3">
        <f>I4148*(VLOOKUP(B4148,Price_data!A$1:B$190,2,FALSE))</f>
        <v>0</v>
      </c>
      <c r="S4148" s="4" t="str">
        <f>(VLOOKUP(B4148,Price_data!A$1:C$190,3,FALSE))</f>
        <v>EEZ</v>
      </c>
      <c r="T4148" s="2" t="str">
        <f>IF(C4148="Total", (VLOOKUP(B4148,Recommended_fish_intake!A$4:D$122,4,FALSE)), "NA")</f>
        <v>NA</v>
      </c>
      <c r="U4148" s="2" t="str">
        <f t="shared" si="392"/>
        <v>NA</v>
      </c>
    </row>
    <row r="4149" spans="1:21" ht="14.25" customHeight="1">
      <c r="A4149" s="2" t="s">
        <v>39</v>
      </c>
      <c r="B4149" s="2">
        <v>2009</v>
      </c>
      <c r="C4149" s="2" t="s">
        <v>36</v>
      </c>
      <c r="D4149" s="2">
        <v>12.536</v>
      </c>
      <c r="E4149" s="2">
        <v>16.823</v>
      </c>
      <c r="P4149" s="3">
        <f>E4149*(VLOOKUP(B4149,Price_data!A$1:B$190,2,FALSE))</f>
        <v>13.406514116471001</v>
      </c>
      <c r="Q4149" s="3">
        <f>G4149*(VLOOKUP(B4149,Price_data!A$1:B$190,2,FALSE))</f>
        <v>0</v>
      </c>
      <c r="R4149" s="3">
        <f>I4149*(VLOOKUP(B4149,Price_data!A$1:B$190,2,FALSE))</f>
        <v>0</v>
      </c>
      <c r="S4149" s="4" t="str">
        <f>(VLOOKUP(B4149,Price_data!A$1:C$190,3,FALSE))</f>
        <v>EEZ</v>
      </c>
      <c r="T4149" s="2" t="str">
        <f>IF(C4149="Total", (VLOOKUP(B4149,Recommended_fish_intake!A$4:D$122,4,FALSE)), "NA")</f>
        <v>NA</v>
      </c>
      <c r="U4149" s="2" t="str">
        <f t="shared" si="392"/>
        <v>NA</v>
      </c>
    </row>
    <row r="4150" spans="1:21" ht="14.25" customHeight="1">
      <c r="A4150" s="2" t="s">
        <v>39</v>
      </c>
      <c r="B4150" s="2">
        <v>2009</v>
      </c>
      <c r="C4150" s="2" t="s">
        <v>34</v>
      </c>
      <c r="D4150" s="2">
        <v>1.099</v>
      </c>
      <c r="E4150" s="2">
        <v>11.378</v>
      </c>
      <c r="P4150" s="3">
        <f>E4150*(VLOOKUP(B4150,Price_data!A$1:B$190,2,FALSE))</f>
        <v>9.0673077107060003</v>
      </c>
      <c r="Q4150" s="3">
        <f>G4150*(VLOOKUP(B4150,Price_data!A$1:B$190,2,FALSE))</f>
        <v>0</v>
      </c>
      <c r="R4150" s="3">
        <f>I4150*(VLOOKUP(B4150,Price_data!A$1:B$190,2,FALSE))</f>
        <v>0</v>
      </c>
      <c r="S4150" s="4" t="str">
        <f>(VLOOKUP(B4150,Price_data!A$1:C$190,3,FALSE))</f>
        <v>EEZ</v>
      </c>
      <c r="T4150" s="2" t="str">
        <f>IF(C4150="Total", (VLOOKUP(B4150,Recommended_fish_intake!A$4:D$122,4,FALSE)), "NA")</f>
        <v>NA</v>
      </c>
      <c r="U4150" s="2" t="str">
        <f t="shared" si="392"/>
        <v>NA</v>
      </c>
    </row>
    <row r="4151" spans="1:21" ht="14.25" customHeight="1">
      <c r="A4151" s="2" t="s">
        <v>39</v>
      </c>
      <c r="B4151" s="2">
        <v>2009</v>
      </c>
      <c r="C4151" s="2" t="s">
        <v>35</v>
      </c>
      <c r="D4151" s="2">
        <v>31.492000000000001</v>
      </c>
      <c r="E4151" s="2">
        <v>78.266999999999996</v>
      </c>
      <c r="P4151" s="3">
        <f>E4151*(VLOOKUP(B4151,Price_data!A$1:B$190,2,FALSE))</f>
        <v>62.372207118459002</v>
      </c>
      <c r="Q4151" s="3">
        <f>G4151*(VLOOKUP(B4151,Price_data!A$1:B$190,2,FALSE))</f>
        <v>0</v>
      </c>
      <c r="R4151" s="3">
        <f>I4151*(VLOOKUP(B4151,Price_data!A$1:B$190,2,FALSE))</f>
        <v>0</v>
      </c>
      <c r="S4151" s="4" t="str">
        <f>(VLOOKUP(B4151,Price_data!A$1:C$190,3,FALSE))</f>
        <v>EEZ</v>
      </c>
      <c r="T4151" s="2" t="str">
        <f>IF(C4151="Total", (VLOOKUP(B4151,Recommended_fish_intake!A$4:D$122,4,FALSE)), "NA")</f>
        <v>NA</v>
      </c>
      <c r="U4151" s="2" t="str">
        <f t="shared" si="392"/>
        <v>NA</v>
      </c>
    </row>
    <row r="4152" spans="1:21" ht="14.25" customHeight="1">
      <c r="A4152" s="2" t="s">
        <v>39</v>
      </c>
      <c r="B4152" s="2">
        <v>2009</v>
      </c>
      <c r="C4152" s="2" t="s">
        <v>52</v>
      </c>
      <c r="D4152" s="2">
        <v>14.345000000000001</v>
      </c>
      <c r="E4152" s="2">
        <v>20.952999999999999</v>
      </c>
      <c r="P4152" s="3">
        <f>E4152*(VLOOKUP(B4152,Price_data!A$1:B$190,2,FALSE))</f>
        <v>16.697776275481001</v>
      </c>
      <c r="Q4152" s="3">
        <f>G4152*(VLOOKUP(B4152,Price_data!A$1:B$190,2,FALSE))</f>
        <v>0</v>
      </c>
      <c r="R4152" s="3">
        <f>I4152*(VLOOKUP(B4152,Price_data!A$1:B$190,2,FALSE))</f>
        <v>0</v>
      </c>
      <c r="S4152" s="4" t="str">
        <f>(VLOOKUP(B4152,Price_data!A$1:C$190,3,FALSE))</f>
        <v>EEZ</v>
      </c>
      <c r="T4152" s="2" t="str">
        <f>IF(C4152="Total", (VLOOKUP(B4152,Recommended_fish_intake!A$4:D$122,4,FALSE)), "NA")</f>
        <v>NA</v>
      </c>
      <c r="U4152" s="2" t="str">
        <f t="shared" si="392"/>
        <v>NA</v>
      </c>
    </row>
    <row r="4153" spans="1:21" ht="14.25" customHeight="1">
      <c r="A4153" s="2" t="s">
        <v>39</v>
      </c>
      <c r="B4153" s="2">
        <v>2009</v>
      </c>
      <c r="C4153" s="2" t="s">
        <v>30</v>
      </c>
      <c r="D4153" s="2">
        <v>5.0000000000000001E-3</v>
      </c>
      <c r="E4153" s="2">
        <v>7.6999999999999999E-2</v>
      </c>
      <c r="P4153" s="3">
        <f>E4153*(VLOOKUP(B4153,Price_data!A$1:B$190,2,FALSE))</f>
        <v>6.1362514829000001E-2</v>
      </c>
      <c r="Q4153" s="3">
        <f>G4153*(VLOOKUP(B4153,Price_data!A$1:B$190,2,FALSE))</f>
        <v>0</v>
      </c>
      <c r="R4153" s="3">
        <f>I4153*(VLOOKUP(B4153,Price_data!A$1:B$190,2,FALSE))</f>
        <v>0</v>
      </c>
      <c r="S4153" s="4" t="str">
        <f>(VLOOKUP(B4153,Price_data!A$1:C$190,3,FALSE))</f>
        <v>EEZ</v>
      </c>
      <c r="T4153" s="2" t="str">
        <f>IF(C4153="Total", (VLOOKUP(B4153,Recommended_fish_intake!A$4:D$122,4,FALSE)), "NA")</f>
        <v>NA</v>
      </c>
      <c r="U4153" s="2" t="str">
        <f t="shared" si="392"/>
        <v>NA</v>
      </c>
    </row>
    <row r="4154" spans="1:21" ht="14.25" customHeight="1">
      <c r="A4154" s="2" t="s">
        <v>39</v>
      </c>
      <c r="B4154" s="2">
        <v>2009</v>
      </c>
      <c r="C4154" s="2" t="s">
        <v>28</v>
      </c>
      <c r="D4154" s="2">
        <v>63.158000000000001</v>
      </c>
      <c r="E4154" s="2">
        <v>134.18100000000001</v>
      </c>
      <c r="P4154" s="3">
        <f>E4154*(VLOOKUP(B4154,Price_data!A$1:B$190,2,FALSE))</f>
        <v>106.93095587363702</v>
      </c>
      <c r="Q4154" s="3">
        <f>G4154*(VLOOKUP(B4154,Price_data!A$1:B$190,2,FALSE))</f>
        <v>0</v>
      </c>
      <c r="R4154" s="3">
        <f>I4154*(VLOOKUP(B4154,Price_data!A$1:B$190,2,FALSE))</f>
        <v>0</v>
      </c>
      <c r="S4154" s="4" t="str">
        <f>(VLOOKUP(B4154,Price_data!A$1:C$190,3,FALSE))</f>
        <v>EEZ</v>
      </c>
      <c r="T4154" s="2" t="str">
        <f>IF(C4154="Total", (VLOOKUP(B4154,Recommended_fish_intake!A$4:D$122,4,FALSE)), "NA")</f>
        <v>NA</v>
      </c>
      <c r="U4154" s="2">
        <f t="shared" si="392"/>
        <v>17.684240000000003</v>
      </c>
    </row>
    <row r="4155" spans="1:21" ht="14.25" customHeight="1">
      <c r="A4155" s="2" t="s">
        <v>40</v>
      </c>
      <c r="B4155" s="2">
        <v>2009</v>
      </c>
      <c r="C4155" s="2" t="s">
        <v>22</v>
      </c>
      <c r="D4155" s="2">
        <v>0.38600000000000001</v>
      </c>
      <c r="E4155" s="2">
        <v>0.79200000000000004</v>
      </c>
      <c r="P4155" s="3">
        <f>E4155*(VLOOKUP(B4155,Price_data!A$1:B$190,2,FALSE))</f>
        <v>0.63115729538400012</v>
      </c>
      <c r="Q4155" s="3">
        <f>G4155*(VLOOKUP(B4155,Price_data!A$1:B$190,2,FALSE))</f>
        <v>0</v>
      </c>
      <c r="R4155" s="3">
        <f>I4155*(VLOOKUP(B4155,Price_data!A$1:B$190,2,FALSE))</f>
        <v>0</v>
      </c>
      <c r="S4155" s="4" t="str">
        <f>(VLOOKUP(B4155,Price_data!A$1:C$190,3,FALSE))</f>
        <v>EEZ</v>
      </c>
      <c r="T4155" s="2" t="str">
        <f>IF(C4155="Total", (VLOOKUP(B4155,Recommended_fish_intake!A$4:D$122,4,FALSE)), "NA")</f>
        <v>NA</v>
      </c>
      <c r="U4155" s="2" t="str">
        <f t="shared" si="392"/>
        <v>NA</v>
      </c>
    </row>
    <row r="4156" spans="1:21" ht="14.25" customHeight="1">
      <c r="A4156" s="2" t="s">
        <v>40</v>
      </c>
      <c r="B4156" s="2">
        <v>2009</v>
      </c>
      <c r="C4156" s="2" t="s">
        <v>23</v>
      </c>
      <c r="D4156" s="2">
        <v>0.29499999999999998</v>
      </c>
      <c r="E4156" s="2">
        <v>0.26100000000000001</v>
      </c>
      <c r="P4156" s="3">
        <f>E4156*(VLOOKUP(B4156,Price_data!A$1:B$190,2,FALSE))</f>
        <v>0.20799501779700003</v>
      </c>
      <c r="Q4156" s="3">
        <f>G4156*(VLOOKUP(B4156,Price_data!A$1:B$190,2,FALSE))</f>
        <v>0</v>
      </c>
      <c r="R4156" s="3">
        <f>I4156*(VLOOKUP(B4156,Price_data!A$1:B$190,2,FALSE))</f>
        <v>0</v>
      </c>
      <c r="S4156" s="4" t="str">
        <f>(VLOOKUP(B4156,Price_data!A$1:C$190,3,FALSE))</f>
        <v>EEZ</v>
      </c>
      <c r="T4156" s="2" t="str">
        <f>IF(C4156="Total", (VLOOKUP(B4156,Recommended_fish_intake!A$4:D$122,4,FALSE)), "NA")</f>
        <v>NA</v>
      </c>
      <c r="U4156" s="2" t="str">
        <f t="shared" si="392"/>
        <v>NA</v>
      </c>
    </row>
    <row r="4157" spans="1:21" ht="14.25" customHeight="1">
      <c r="A4157" s="2" t="s">
        <v>40</v>
      </c>
      <c r="B4157" s="2">
        <v>2009</v>
      </c>
      <c r="C4157" s="2" t="s">
        <v>58</v>
      </c>
      <c r="D4157" s="2">
        <v>9.2999999999999999E-2</v>
      </c>
      <c r="E4157" s="2">
        <v>0.245</v>
      </c>
      <c r="P4157" s="3">
        <f>E4157*(VLOOKUP(B4157,Price_data!A$1:B$190,2,FALSE))</f>
        <v>0.19524436536500001</v>
      </c>
      <c r="Q4157" s="3">
        <f>G4157*(VLOOKUP(B4157,Price_data!A$1:B$190,2,FALSE))</f>
        <v>0</v>
      </c>
      <c r="R4157" s="3">
        <f>I4157*(VLOOKUP(B4157,Price_data!A$1:B$190,2,FALSE))</f>
        <v>0</v>
      </c>
      <c r="S4157" s="4" t="str">
        <f>(VLOOKUP(B4157,Price_data!A$1:C$190,3,FALSE))</f>
        <v>EEZ</v>
      </c>
      <c r="T4157" s="2" t="str">
        <f>IF(C4157="Total", (VLOOKUP(B4157,Recommended_fish_intake!A$4:D$122,4,FALSE)), "NA")</f>
        <v>NA</v>
      </c>
      <c r="U4157" s="2" t="str">
        <f t="shared" si="392"/>
        <v>NA</v>
      </c>
    </row>
    <row r="4158" spans="1:21" ht="14.25" customHeight="1">
      <c r="A4158" s="2" t="s">
        <v>40</v>
      </c>
      <c r="B4158" s="2">
        <v>2009</v>
      </c>
      <c r="C4158" s="2" t="s">
        <v>24</v>
      </c>
      <c r="D4158" s="2">
        <v>1.6E-2</v>
      </c>
      <c r="E4158" s="2">
        <v>7.0000000000000001E-3</v>
      </c>
      <c r="P4158" s="3">
        <f>E4158*(VLOOKUP(B4158,Price_data!A$1:B$190,2,FALSE))</f>
        <v>5.5784104390000002E-3</v>
      </c>
      <c r="Q4158" s="3">
        <f>G4158*(VLOOKUP(B4158,Price_data!A$1:B$190,2,FALSE))</f>
        <v>0</v>
      </c>
      <c r="R4158" s="3">
        <f>I4158*(VLOOKUP(B4158,Price_data!A$1:B$190,2,FALSE))</f>
        <v>0</v>
      </c>
      <c r="S4158" s="4" t="str">
        <f>(VLOOKUP(B4158,Price_data!A$1:C$190,3,FALSE))</f>
        <v>EEZ</v>
      </c>
      <c r="T4158" s="2" t="str">
        <f>IF(C4158="Total", (VLOOKUP(B4158,Recommended_fish_intake!A$4:D$122,4,FALSE)), "NA")</f>
        <v>NA</v>
      </c>
      <c r="U4158" s="2" t="str">
        <f t="shared" si="392"/>
        <v>NA</v>
      </c>
    </row>
    <row r="4159" spans="1:21" ht="14.25" customHeight="1">
      <c r="A4159" s="2" t="s">
        <v>40</v>
      </c>
      <c r="B4159" s="2">
        <v>2009</v>
      </c>
      <c r="C4159" s="2" t="s">
        <v>41</v>
      </c>
      <c r="D4159" s="2">
        <v>1.3939999999999999</v>
      </c>
      <c r="E4159" s="2">
        <v>2.1720000000000002</v>
      </c>
      <c r="P4159" s="3">
        <f>E4159*(VLOOKUP(B4159,Price_data!A$1:B$190,2,FALSE))</f>
        <v>1.7309010676440002</v>
      </c>
      <c r="Q4159" s="3">
        <f>G4159*(VLOOKUP(B4159,Price_data!A$1:B$190,2,FALSE))</f>
        <v>0</v>
      </c>
      <c r="R4159" s="3">
        <f>I4159*(VLOOKUP(B4159,Price_data!A$1:B$190,2,FALSE))</f>
        <v>0</v>
      </c>
      <c r="S4159" s="4" t="str">
        <f>(VLOOKUP(B4159,Price_data!A$1:C$190,3,FALSE))</f>
        <v>EEZ</v>
      </c>
      <c r="T4159" s="2" t="str">
        <f>IF(C4159="Total", (VLOOKUP(B4159,Recommended_fish_intake!A$4:D$122,4,FALSE)), "NA")</f>
        <v>NA</v>
      </c>
      <c r="U4159" s="2" t="str">
        <f t="shared" si="392"/>
        <v>NA</v>
      </c>
    </row>
    <row r="4160" spans="1:21" ht="14.25" customHeight="1">
      <c r="A4160" s="2" t="s">
        <v>40</v>
      </c>
      <c r="B4160" s="2">
        <v>2009</v>
      </c>
      <c r="C4160" s="2" t="s">
        <v>19</v>
      </c>
      <c r="D4160" s="2">
        <v>5.3319999999999999</v>
      </c>
      <c r="E4160" s="2">
        <v>1.4279999999999999</v>
      </c>
      <c r="P4160" s="3">
        <f>E4160*(VLOOKUP(B4160,Price_data!A$1:B$190,2,FALSE))</f>
        <v>1.1379957295559999</v>
      </c>
      <c r="Q4160" s="3">
        <f>G4160*(VLOOKUP(B4160,Price_data!A$1:B$190,2,FALSE))</f>
        <v>0</v>
      </c>
      <c r="R4160" s="3">
        <f>I4160*(VLOOKUP(B4160,Price_data!A$1:B$190,2,FALSE))</f>
        <v>0</v>
      </c>
      <c r="S4160" s="4" t="str">
        <f>(VLOOKUP(B4160,Price_data!A$1:C$190,3,FALSE))</f>
        <v>EEZ</v>
      </c>
      <c r="T4160" s="2" t="str">
        <f>IF(C4160="Total", (VLOOKUP(B4160,Recommended_fish_intake!A$4:D$122,4,FALSE)), "NA")</f>
        <v>NA</v>
      </c>
      <c r="U4160" s="2" t="str">
        <f t="shared" si="392"/>
        <v>NA</v>
      </c>
    </row>
    <row r="4161" spans="1:21" ht="14.25" customHeight="1">
      <c r="A4161" s="2" t="s">
        <v>40</v>
      </c>
      <c r="B4161" s="2">
        <v>2009</v>
      </c>
      <c r="C4161" s="2" t="s">
        <v>20</v>
      </c>
      <c r="D4161" s="2">
        <v>2.7349999999999999</v>
      </c>
      <c r="E4161" s="2">
        <v>2.3580000000000001</v>
      </c>
      <c r="P4161" s="3">
        <f>E4161*(VLOOKUP(B4161,Price_data!A$1:B$190,2,FALSE))</f>
        <v>1.8791274021660003</v>
      </c>
      <c r="Q4161" s="3">
        <f>G4161*(VLOOKUP(B4161,Price_data!A$1:B$190,2,FALSE))</f>
        <v>0</v>
      </c>
      <c r="R4161" s="3">
        <f>I4161*(VLOOKUP(B4161,Price_data!A$1:B$190,2,FALSE))</f>
        <v>0</v>
      </c>
      <c r="S4161" s="4" t="str">
        <f>(VLOOKUP(B4161,Price_data!A$1:C$190,3,FALSE))</f>
        <v>EEZ</v>
      </c>
      <c r="T4161" s="2" t="str">
        <f>IF(C4161="Total", (VLOOKUP(B4161,Recommended_fish_intake!A$4:D$122,4,FALSE)), "NA")</f>
        <v>NA</v>
      </c>
      <c r="U4161" s="2" t="str">
        <f t="shared" si="392"/>
        <v>NA</v>
      </c>
    </row>
    <row r="4162" spans="1:21" ht="14.25" customHeight="1">
      <c r="A4162" s="2" t="s">
        <v>40</v>
      </c>
      <c r="B4162" s="2">
        <v>2009</v>
      </c>
      <c r="C4162" s="2" t="s">
        <v>42</v>
      </c>
      <c r="D4162" s="2">
        <v>8.0670000000000002</v>
      </c>
      <c r="E4162" s="2">
        <v>3.786</v>
      </c>
      <c r="P4162" s="3">
        <f>E4162*(VLOOKUP(B4162,Price_data!A$1:B$190,2,FALSE))</f>
        <v>3.0171231317220002</v>
      </c>
      <c r="Q4162" s="3">
        <f>G4162*(VLOOKUP(B4162,Price_data!A$1:B$190,2,FALSE))</f>
        <v>0</v>
      </c>
      <c r="R4162" s="3">
        <f>I4162*(VLOOKUP(B4162,Price_data!A$1:B$190,2,FALSE))</f>
        <v>0</v>
      </c>
      <c r="S4162" s="4" t="str">
        <f>(VLOOKUP(B4162,Price_data!A$1:C$190,3,FALSE))</f>
        <v>EEZ</v>
      </c>
      <c r="T4162" s="2" t="str">
        <f>IF(C4162="Total", (VLOOKUP(B4162,Recommended_fish_intake!A$4:D$122,4,FALSE)), "NA")</f>
        <v>NA</v>
      </c>
      <c r="U4162" s="2" t="str">
        <f t="shared" ref="U4162:U4225" si="393">IF(C4162="Wet fish", D4162*0.49, IF(C4162="Shellfish", D4162*0.28, "NA"))</f>
        <v>NA</v>
      </c>
    </row>
    <row r="4163" spans="1:21" ht="14.25" customHeight="1">
      <c r="A4163" s="2" t="s">
        <v>40</v>
      </c>
      <c r="B4163" s="2">
        <v>2009</v>
      </c>
      <c r="C4163" s="2" t="s">
        <v>36</v>
      </c>
      <c r="D4163" s="2">
        <v>1.0509999999999999</v>
      </c>
      <c r="E4163" s="2">
        <v>1.0629999999999999</v>
      </c>
      <c r="P4163" s="3">
        <f>E4163*(VLOOKUP(B4163,Price_data!A$1:B$190,2,FALSE))</f>
        <v>0.84712147095099999</v>
      </c>
      <c r="Q4163" s="3">
        <f>G4163*(VLOOKUP(B4163,Price_data!A$1:B$190,2,FALSE))</f>
        <v>0</v>
      </c>
      <c r="R4163" s="3">
        <f>I4163*(VLOOKUP(B4163,Price_data!A$1:B$190,2,FALSE))</f>
        <v>0</v>
      </c>
      <c r="S4163" s="4" t="str">
        <f>(VLOOKUP(B4163,Price_data!A$1:C$190,3,FALSE))</f>
        <v>EEZ</v>
      </c>
      <c r="T4163" s="2" t="str">
        <f>IF(C4163="Total", (VLOOKUP(B4163,Recommended_fish_intake!A$4:D$122,4,FALSE)), "NA")</f>
        <v>NA</v>
      </c>
      <c r="U4163" s="2" t="str">
        <f t="shared" si="393"/>
        <v>NA</v>
      </c>
    </row>
    <row r="4164" spans="1:21" ht="14.25" customHeight="1">
      <c r="A4164" s="2" t="s">
        <v>40</v>
      </c>
      <c r="B4164" s="2">
        <v>2009</v>
      </c>
      <c r="C4164" s="2" t="s">
        <v>34</v>
      </c>
      <c r="D4164" s="2">
        <v>4.7E-2</v>
      </c>
      <c r="E4164" s="2">
        <v>0.44900000000000001</v>
      </c>
      <c r="P4164" s="3">
        <f>E4164*(VLOOKUP(B4164,Price_data!A$1:B$190,2,FALSE))</f>
        <v>0.35781518387300004</v>
      </c>
      <c r="Q4164" s="3">
        <f>G4164*(VLOOKUP(B4164,Price_data!A$1:B$190,2,FALSE))</f>
        <v>0</v>
      </c>
      <c r="R4164" s="3">
        <f>I4164*(VLOOKUP(B4164,Price_data!A$1:B$190,2,FALSE))</f>
        <v>0</v>
      </c>
      <c r="S4164" s="4" t="str">
        <f>(VLOOKUP(B4164,Price_data!A$1:C$190,3,FALSE))</f>
        <v>EEZ</v>
      </c>
      <c r="T4164" s="2" t="str">
        <f>IF(C4164="Total", (VLOOKUP(B4164,Recommended_fish_intake!A$4:D$122,4,FALSE)), "NA")</f>
        <v>NA</v>
      </c>
      <c r="U4164" s="2" t="str">
        <f t="shared" si="393"/>
        <v>NA</v>
      </c>
    </row>
    <row r="4165" spans="1:21" ht="14.25" customHeight="1">
      <c r="A4165" s="2" t="s">
        <v>40</v>
      </c>
      <c r="B4165" s="2">
        <v>2009</v>
      </c>
      <c r="C4165" s="2" t="s">
        <v>35</v>
      </c>
      <c r="D4165" s="2">
        <v>7.1040000000000001</v>
      </c>
      <c r="E4165" s="2">
        <v>10.132</v>
      </c>
      <c r="P4165" s="3">
        <f>E4165*(VLOOKUP(B4165,Price_data!A$1:B$190,2,FALSE))</f>
        <v>8.0743506525640001</v>
      </c>
      <c r="Q4165" s="3">
        <f>G4165*(VLOOKUP(B4165,Price_data!A$1:B$190,2,FALSE))</f>
        <v>0</v>
      </c>
      <c r="R4165" s="3">
        <f>I4165*(VLOOKUP(B4165,Price_data!A$1:B$190,2,FALSE))</f>
        <v>0</v>
      </c>
      <c r="S4165" s="4" t="str">
        <f>(VLOOKUP(B4165,Price_data!A$1:C$190,3,FALSE))</f>
        <v>EEZ</v>
      </c>
      <c r="T4165" s="2" t="str">
        <f>IF(C4165="Total", (VLOOKUP(B4165,Recommended_fish_intake!A$4:D$122,4,FALSE)), "NA")</f>
        <v>NA</v>
      </c>
      <c r="U4165" s="2" t="str">
        <f t="shared" si="393"/>
        <v>NA</v>
      </c>
    </row>
    <row r="4166" spans="1:21" ht="14.25" customHeight="1">
      <c r="A4166" s="2" t="s">
        <v>40</v>
      </c>
      <c r="B4166" s="2">
        <v>2009</v>
      </c>
      <c r="C4166" s="2" t="s">
        <v>52</v>
      </c>
      <c r="D4166" s="2">
        <v>1.7010000000000001</v>
      </c>
      <c r="E4166" s="2">
        <v>1.4770000000000001</v>
      </c>
      <c r="P4166" s="3">
        <f>E4166*(VLOOKUP(B4166,Price_data!A$1:B$190,2,FALSE))</f>
        <v>1.1770446026290002</v>
      </c>
      <c r="Q4166" s="3">
        <f>G4166*(VLOOKUP(B4166,Price_data!A$1:B$190,2,FALSE))</f>
        <v>0</v>
      </c>
      <c r="R4166" s="3">
        <f>I4166*(VLOOKUP(B4166,Price_data!A$1:B$190,2,FALSE))</f>
        <v>0</v>
      </c>
      <c r="S4166" s="4" t="str">
        <f>(VLOOKUP(B4166,Price_data!A$1:C$190,3,FALSE))</f>
        <v>EEZ</v>
      </c>
      <c r="T4166" s="2" t="str">
        <f>IF(C4166="Total", (VLOOKUP(B4166,Recommended_fish_intake!A$4:D$122,4,FALSE)), "NA")</f>
        <v>NA</v>
      </c>
      <c r="U4166" s="2" t="str">
        <f t="shared" si="393"/>
        <v>NA</v>
      </c>
    </row>
    <row r="4167" spans="1:21" ht="14.25" customHeight="1">
      <c r="A4167" s="2" t="s">
        <v>40</v>
      </c>
      <c r="B4167" s="2">
        <v>2009</v>
      </c>
      <c r="C4167" s="2" t="s">
        <v>30</v>
      </c>
      <c r="D4167" s="2">
        <v>6.0000000000000001E-3</v>
      </c>
      <c r="E4167" s="2">
        <v>8.4000000000000005E-2</v>
      </c>
      <c r="P4167" s="3">
        <f>E4167*(VLOOKUP(B4167,Price_data!A$1:B$190,2,FALSE))</f>
        <v>6.6940925268000009E-2</v>
      </c>
      <c r="Q4167" s="3">
        <f>G4167*(VLOOKUP(B4167,Price_data!A$1:B$190,2,FALSE))</f>
        <v>0</v>
      </c>
      <c r="R4167" s="3">
        <f>I4167*(VLOOKUP(B4167,Price_data!A$1:B$190,2,FALSE))</f>
        <v>0</v>
      </c>
      <c r="S4167" s="4" t="str">
        <f>(VLOOKUP(B4167,Price_data!A$1:C$190,3,FALSE))</f>
        <v>EEZ</v>
      </c>
      <c r="T4167" s="2" t="str">
        <f>IF(C4167="Total", (VLOOKUP(B4167,Recommended_fish_intake!A$4:D$122,4,FALSE)), "NA")</f>
        <v>NA</v>
      </c>
      <c r="U4167" s="2" t="str">
        <f t="shared" si="393"/>
        <v>NA</v>
      </c>
    </row>
    <row r="4168" spans="1:21" ht="14.25" customHeight="1">
      <c r="A4168" s="2" t="s">
        <v>40</v>
      </c>
      <c r="B4168" s="2">
        <v>2009</v>
      </c>
      <c r="C4168" s="2" t="s">
        <v>28</v>
      </c>
      <c r="D4168" s="2">
        <v>10.125999999999999</v>
      </c>
      <c r="E4168" s="2">
        <v>13.464</v>
      </c>
      <c r="P4168" s="3">
        <f>E4168*(VLOOKUP(B4168,Price_data!A$1:B$190,2,FALSE))</f>
        <v>10.729674021528002</v>
      </c>
      <c r="Q4168" s="3">
        <f>G4168*(VLOOKUP(B4168,Price_data!A$1:B$190,2,FALSE))</f>
        <v>0</v>
      </c>
      <c r="R4168" s="3">
        <f>I4168*(VLOOKUP(B4168,Price_data!A$1:B$190,2,FALSE))</f>
        <v>0</v>
      </c>
      <c r="S4168" s="4" t="str">
        <f>(VLOOKUP(B4168,Price_data!A$1:C$190,3,FALSE))</f>
        <v>EEZ</v>
      </c>
      <c r="T4168" s="2" t="str">
        <f>IF(C4168="Total", (VLOOKUP(B4168,Recommended_fish_intake!A$4:D$122,4,FALSE)), "NA")</f>
        <v>NA</v>
      </c>
      <c r="U4168" s="2">
        <f t="shared" si="393"/>
        <v>2.83528</v>
      </c>
    </row>
    <row r="4169" spans="1:21" ht="14.25" customHeight="1">
      <c r="A4169" s="2" t="s">
        <v>40</v>
      </c>
      <c r="B4169" s="2">
        <v>2009</v>
      </c>
      <c r="C4169" s="4" t="s">
        <v>37</v>
      </c>
      <c r="D4169" s="3">
        <f>D4041+D3993</f>
        <v>16.105999999999998</v>
      </c>
      <c r="E4169" s="3">
        <f>E4041+E3993</f>
        <v>17.82</v>
      </c>
      <c r="P4169" s="3">
        <f>E4169*(VLOOKUP(B4169,Price_data!A$1:B$190,2,FALSE))</f>
        <v>14.201039146140001</v>
      </c>
      <c r="Q4169" s="3">
        <f>G4169*(VLOOKUP(B4169,Price_data!A$1:B$190,2,FALSE))</f>
        <v>0</v>
      </c>
      <c r="R4169" s="3">
        <f>I4169*(VLOOKUP(B4169,Price_data!A$1:B$190,2,FALSE))</f>
        <v>0</v>
      </c>
      <c r="S4169" s="4" t="str">
        <f>(VLOOKUP(B4169,Price_data!A$1:C$190,3,FALSE))</f>
        <v>EEZ</v>
      </c>
      <c r="T4169" s="2" t="str">
        <f>IF(C4169="Total", (VLOOKUP(B4169,Recommended_fish_intake!A$4:D$122,4,FALSE)), "NA")</f>
        <v>NA</v>
      </c>
      <c r="U4169" s="2">
        <f t="shared" si="393"/>
        <v>7.8919399999999991</v>
      </c>
    </row>
    <row r="4170" spans="1:21" ht="14.25" customHeight="1">
      <c r="A4170" s="2" t="s">
        <v>39</v>
      </c>
      <c r="B4170" s="2">
        <v>2009</v>
      </c>
      <c r="C4170" s="4" t="s">
        <v>37</v>
      </c>
      <c r="D4170" s="3">
        <f>D3786+D3738</f>
        <v>456.36599999999999</v>
      </c>
      <c r="E4170" s="3">
        <f>E3786+E3738</f>
        <v>205.89800000000002</v>
      </c>
      <c r="P4170" s="3">
        <f>E4170*(VLOOKUP(B4170,Price_data!A$1:B$190,2,FALSE))</f>
        <v>164.08336465274604</v>
      </c>
      <c r="Q4170" s="3">
        <f>G4170*(VLOOKUP(B4170,Price_data!A$1:B$190,2,FALSE))</f>
        <v>0</v>
      </c>
      <c r="R4170" s="3">
        <f>I4170*(VLOOKUP(B4170,Price_data!A$1:B$190,2,FALSE))</f>
        <v>0</v>
      </c>
      <c r="S4170" s="4" t="str">
        <f>(VLOOKUP(B4170,Price_data!A$1:C$190,3,FALSE))</f>
        <v>EEZ</v>
      </c>
      <c r="T4170" s="2" t="str">
        <f>IF(C4170="Total", (VLOOKUP(B4170,Recommended_fish_intake!A$4:D$122,4,FALSE)), "NA")</f>
        <v>NA</v>
      </c>
      <c r="U4170" s="2">
        <f t="shared" si="393"/>
        <v>223.61933999999999</v>
      </c>
    </row>
    <row r="4171" spans="1:21" ht="14.25" customHeight="1">
      <c r="A4171" s="2" t="s">
        <v>18</v>
      </c>
      <c r="B4171" s="2">
        <v>2009</v>
      </c>
      <c r="C4171" s="2" t="s">
        <v>22</v>
      </c>
      <c r="D4171" s="3">
        <f t="shared" ref="D4171:E4184" si="394">D3419+D3179</f>
        <v>7.7</v>
      </c>
      <c r="E4171" s="3">
        <f t="shared" si="394"/>
        <v>9.09</v>
      </c>
      <c r="P4171" s="3">
        <f>E4171*(VLOOKUP(B4171,Price_data!A$1:B$190,2,FALSE))</f>
        <v>7.2439644129300005</v>
      </c>
      <c r="Q4171" s="3">
        <f>G4171*(VLOOKUP(B4171,Price_data!A$1:B$190,2,FALSE))</f>
        <v>0</v>
      </c>
      <c r="R4171" s="3">
        <f>I4171*(VLOOKUP(B4171,Price_data!A$1:B$190,2,FALSE))</f>
        <v>0</v>
      </c>
      <c r="S4171" s="4" t="str">
        <f>(VLOOKUP(B4171,Price_data!A$1:C$190,3,FALSE))</f>
        <v>EEZ</v>
      </c>
      <c r="T4171" s="2" t="str">
        <f>IF(C4171="Total", (VLOOKUP(B4171,Recommended_fish_intake!A$4:D$122,4,FALSE)), "NA")</f>
        <v>NA</v>
      </c>
      <c r="U4171" s="2" t="str">
        <f t="shared" si="393"/>
        <v>NA</v>
      </c>
    </row>
    <row r="4172" spans="1:21" ht="14.25" customHeight="1">
      <c r="A4172" s="2" t="s">
        <v>18</v>
      </c>
      <c r="B4172" s="2">
        <v>2009</v>
      </c>
      <c r="C4172" s="2" t="s">
        <v>23</v>
      </c>
      <c r="D4172" s="3" t="e">
        <f t="shared" si="394"/>
        <v>#N/A</v>
      </c>
      <c r="E4172" s="3" t="e">
        <f t="shared" si="394"/>
        <v>#N/A</v>
      </c>
      <c r="P4172" s="3" t="e">
        <f>E4172*(VLOOKUP(B4172,Price_data!A$1:B$190,2,FALSE))</f>
        <v>#N/A</v>
      </c>
      <c r="Q4172" s="3">
        <f>G4172*(VLOOKUP(B4172,Price_data!A$1:B$190,2,FALSE))</f>
        <v>0</v>
      </c>
      <c r="R4172" s="3">
        <f>I4172*(VLOOKUP(B4172,Price_data!A$1:B$190,2,FALSE))</f>
        <v>0</v>
      </c>
      <c r="S4172" s="4" t="str">
        <f>(VLOOKUP(B4172,Price_data!A$1:C$190,3,FALSE))</f>
        <v>EEZ</v>
      </c>
      <c r="T4172" s="2" t="str">
        <f>IF(C4172="Total", (VLOOKUP(B4172,Recommended_fish_intake!A$4:D$122,4,FALSE)), "NA")</f>
        <v>NA</v>
      </c>
      <c r="U4172" s="2" t="str">
        <f t="shared" si="393"/>
        <v>NA</v>
      </c>
    </row>
    <row r="4173" spans="1:21" ht="14.25" customHeight="1">
      <c r="A4173" s="2" t="s">
        <v>18</v>
      </c>
      <c r="B4173" s="2">
        <v>2009</v>
      </c>
      <c r="C4173" s="2" t="s">
        <v>58</v>
      </c>
      <c r="D4173" s="3" t="e">
        <f t="shared" si="394"/>
        <v>#N/A</v>
      </c>
      <c r="E4173" s="3" t="e">
        <f t="shared" si="394"/>
        <v>#N/A</v>
      </c>
      <c r="P4173" s="3" t="e">
        <f>E4173*(VLOOKUP(B4173,Price_data!A$1:B$190,2,FALSE))</f>
        <v>#N/A</v>
      </c>
      <c r="Q4173" s="3">
        <f>G4173*(VLOOKUP(B4173,Price_data!A$1:B$190,2,FALSE))</f>
        <v>0</v>
      </c>
      <c r="R4173" s="3">
        <f>I4173*(VLOOKUP(B4173,Price_data!A$1:B$190,2,FALSE))</f>
        <v>0</v>
      </c>
      <c r="S4173" s="4" t="str">
        <f>(VLOOKUP(B4173,Price_data!A$1:C$190,3,FALSE))</f>
        <v>EEZ</v>
      </c>
      <c r="T4173" s="2" t="str">
        <f>IF(C4173="Total", (VLOOKUP(B4173,Recommended_fish_intake!A$4:D$122,4,FALSE)), "NA")</f>
        <v>NA</v>
      </c>
      <c r="U4173" s="2" t="str">
        <f t="shared" si="393"/>
        <v>NA</v>
      </c>
    </row>
    <row r="4174" spans="1:21" ht="14.25" customHeight="1">
      <c r="A4174" s="2" t="s">
        <v>18</v>
      </c>
      <c r="B4174" s="2">
        <v>2009</v>
      </c>
      <c r="C4174" s="2" t="s">
        <v>24</v>
      </c>
      <c r="D4174" s="3">
        <f t="shared" si="394"/>
        <v>7.6</v>
      </c>
      <c r="E4174" s="3">
        <f t="shared" si="394"/>
        <v>9.4</v>
      </c>
      <c r="P4174" s="3">
        <f>E4174*(VLOOKUP(B4174,Price_data!A$1:B$190,2,FALSE))</f>
        <v>7.491008303800001</v>
      </c>
      <c r="Q4174" s="3">
        <f>G4174*(VLOOKUP(B4174,Price_data!A$1:B$190,2,FALSE))</f>
        <v>0</v>
      </c>
      <c r="R4174" s="3">
        <f>I4174*(VLOOKUP(B4174,Price_data!A$1:B$190,2,FALSE))</f>
        <v>0</v>
      </c>
      <c r="S4174" s="4" t="str">
        <f>(VLOOKUP(B4174,Price_data!A$1:C$190,3,FALSE))</f>
        <v>EEZ</v>
      </c>
      <c r="T4174" s="2" t="str">
        <f>IF(C4174="Total", (VLOOKUP(B4174,Recommended_fish_intake!A$4:D$122,4,FALSE)), "NA")</f>
        <v>NA</v>
      </c>
      <c r="U4174" s="2" t="str">
        <f t="shared" si="393"/>
        <v>NA</v>
      </c>
    </row>
    <row r="4175" spans="1:21" ht="14.25" customHeight="1">
      <c r="A4175" s="2" t="s">
        <v>18</v>
      </c>
      <c r="B4175" s="2">
        <v>2009</v>
      </c>
      <c r="C4175" s="2" t="s">
        <v>41</v>
      </c>
      <c r="D4175" s="3">
        <f t="shared" si="394"/>
        <v>11.617000000000001</v>
      </c>
      <c r="E4175" s="3">
        <f t="shared" si="394"/>
        <v>15.039000000000001</v>
      </c>
      <c r="P4175" s="3">
        <f>E4175*(VLOOKUP(B4175,Price_data!A$1:B$190,2,FALSE))</f>
        <v>11.984816370303001</v>
      </c>
      <c r="Q4175" s="3">
        <f>G4175*(VLOOKUP(B4175,Price_data!A$1:B$190,2,FALSE))</f>
        <v>0</v>
      </c>
      <c r="R4175" s="3">
        <f>I4175*(VLOOKUP(B4175,Price_data!A$1:B$190,2,FALSE))</f>
        <v>0</v>
      </c>
      <c r="S4175" s="4" t="str">
        <f>(VLOOKUP(B4175,Price_data!A$1:C$190,3,FALSE))</f>
        <v>EEZ</v>
      </c>
      <c r="T4175" s="2" t="str">
        <f>IF(C4175="Total", (VLOOKUP(B4175,Recommended_fish_intake!A$4:D$122,4,FALSE)), "NA")</f>
        <v>NA</v>
      </c>
      <c r="U4175" s="2" t="str">
        <f t="shared" si="393"/>
        <v>NA</v>
      </c>
    </row>
    <row r="4176" spans="1:21" ht="14.25" customHeight="1">
      <c r="A4176" s="2" t="s">
        <v>18</v>
      </c>
      <c r="B4176" s="2">
        <v>2009</v>
      </c>
      <c r="C4176" s="2" t="s">
        <v>19</v>
      </c>
      <c r="D4176" s="3">
        <f t="shared" si="394"/>
        <v>29.879000000000001</v>
      </c>
      <c r="E4176" s="3">
        <f t="shared" si="394"/>
        <v>27.597000000000001</v>
      </c>
      <c r="P4176" s="3">
        <f>E4176*(VLOOKUP(B4176,Price_data!A$1:B$190,2,FALSE))</f>
        <v>21.992484697869003</v>
      </c>
      <c r="Q4176" s="3">
        <f>G4176*(VLOOKUP(B4176,Price_data!A$1:B$190,2,FALSE))</f>
        <v>0</v>
      </c>
      <c r="R4176" s="3">
        <f>I4176*(VLOOKUP(B4176,Price_data!A$1:B$190,2,FALSE))</f>
        <v>0</v>
      </c>
      <c r="S4176" s="4" t="str">
        <f>(VLOOKUP(B4176,Price_data!A$1:C$190,3,FALSE))</f>
        <v>EEZ</v>
      </c>
      <c r="T4176" s="2" t="str">
        <f>IF(C4176="Total", (VLOOKUP(B4176,Recommended_fish_intake!A$4:D$122,4,FALSE)), "NA")</f>
        <v>NA</v>
      </c>
      <c r="U4176" s="2" t="str">
        <f t="shared" si="393"/>
        <v>NA</v>
      </c>
    </row>
    <row r="4177" spans="1:21" ht="14.25" customHeight="1">
      <c r="A4177" s="2" t="s">
        <v>18</v>
      </c>
      <c r="B4177" s="2">
        <v>2009</v>
      </c>
      <c r="C4177" s="2" t="s">
        <v>20</v>
      </c>
      <c r="D4177" s="3">
        <f t="shared" si="394"/>
        <v>90.556999999999988</v>
      </c>
      <c r="E4177" s="3">
        <f t="shared" si="394"/>
        <v>64.543000000000006</v>
      </c>
      <c r="P4177" s="3">
        <f>E4177*(VLOOKUP(B4177,Price_data!A$1:B$190,2,FALSE))</f>
        <v>51.43533499491101</v>
      </c>
      <c r="Q4177" s="3">
        <f>G4177*(VLOOKUP(B4177,Price_data!A$1:B$190,2,FALSE))</f>
        <v>0</v>
      </c>
      <c r="R4177" s="3">
        <f>I4177*(VLOOKUP(B4177,Price_data!A$1:B$190,2,FALSE))</f>
        <v>0</v>
      </c>
      <c r="S4177" s="4" t="str">
        <f>(VLOOKUP(B4177,Price_data!A$1:C$190,3,FALSE))</f>
        <v>EEZ</v>
      </c>
      <c r="T4177" s="2" t="str">
        <f>IF(C4177="Total", (VLOOKUP(B4177,Recommended_fish_intake!A$4:D$122,4,FALSE)), "NA")</f>
        <v>NA</v>
      </c>
      <c r="U4177" s="2" t="str">
        <f t="shared" si="393"/>
        <v>NA</v>
      </c>
    </row>
    <row r="4178" spans="1:21" ht="14.25" customHeight="1">
      <c r="A4178" s="2" t="s">
        <v>18</v>
      </c>
      <c r="B4178" s="2">
        <v>2009</v>
      </c>
      <c r="C4178" s="2" t="s">
        <v>42</v>
      </c>
      <c r="D4178" s="3">
        <f t="shared" si="394"/>
        <v>212.43099999999998</v>
      </c>
      <c r="E4178" s="3">
        <f t="shared" si="394"/>
        <v>220.51599999999999</v>
      </c>
      <c r="P4178" s="3">
        <f>E4178*(VLOOKUP(B4178,Price_data!A$1:B$190,2,FALSE))</f>
        <v>175.73267948093201</v>
      </c>
      <c r="Q4178" s="3">
        <f>G4178*(VLOOKUP(B4178,Price_data!A$1:B$190,2,FALSE))</f>
        <v>0</v>
      </c>
      <c r="R4178" s="3">
        <f>I4178*(VLOOKUP(B4178,Price_data!A$1:B$190,2,FALSE))</f>
        <v>0</v>
      </c>
      <c r="S4178" s="4" t="str">
        <f>(VLOOKUP(B4178,Price_data!A$1:C$190,3,FALSE))</f>
        <v>EEZ</v>
      </c>
      <c r="T4178" s="2" t="str">
        <f>IF(C4178="Total", (VLOOKUP(B4178,Recommended_fish_intake!A$4:D$122,4,FALSE)), "NA")</f>
        <v>NA</v>
      </c>
      <c r="U4178" s="2" t="str">
        <f t="shared" si="393"/>
        <v>NA</v>
      </c>
    </row>
    <row r="4179" spans="1:21" ht="14.25" customHeight="1">
      <c r="A4179" s="2" t="s">
        <v>18</v>
      </c>
      <c r="B4179" s="2">
        <v>2009</v>
      </c>
      <c r="C4179" s="2" t="s">
        <v>36</v>
      </c>
      <c r="D4179" s="3">
        <f t="shared" si="394"/>
        <v>525.08199999999988</v>
      </c>
      <c r="E4179" s="3">
        <f t="shared" si="394"/>
        <v>300.435</v>
      </c>
      <c r="P4179" s="3">
        <f>E4179*(VLOOKUP(B4179,Price_data!A$1:B$190,2,FALSE))</f>
        <v>239.42139146299502</v>
      </c>
      <c r="Q4179" s="3">
        <f>G4179*(VLOOKUP(B4179,Price_data!A$1:B$190,2,FALSE))</f>
        <v>0</v>
      </c>
      <c r="R4179" s="3">
        <f>I4179*(VLOOKUP(B4179,Price_data!A$1:B$190,2,FALSE))</f>
        <v>0</v>
      </c>
      <c r="S4179" s="4" t="str">
        <f>(VLOOKUP(B4179,Price_data!A$1:C$190,3,FALSE))</f>
        <v>EEZ</v>
      </c>
      <c r="T4179" s="2" t="str">
        <f>IF(C4179="Total", (VLOOKUP(B4179,Recommended_fish_intake!A$4:D$122,4,FALSE)), "NA")</f>
        <v>NA</v>
      </c>
      <c r="U4179" s="2" t="str">
        <f t="shared" si="393"/>
        <v>NA</v>
      </c>
    </row>
    <row r="4180" spans="1:21" ht="14.25" customHeight="1">
      <c r="A4180" s="2" t="s">
        <v>18</v>
      </c>
      <c r="B4180" s="2">
        <v>2009</v>
      </c>
      <c r="C4180" s="2" t="s">
        <v>34</v>
      </c>
      <c r="D4180" s="3">
        <f t="shared" si="394"/>
        <v>83.65</v>
      </c>
      <c r="E4180" s="3">
        <f t="shared" si="394"/>
        <v>70.975999999999999</v>
      </c>
      <c r="P4180" s="3">
        <f>E4180*(VLOOKUP(B4180,Price_data!A$1:B$190,2,FALSE))</f>
        <v>56.561894188351999</v>
      </c>
      <c r="Q4180" s="3">
        <f>G4180*(VLOOKUP(B4180,Price_data!A$1:B$190,2,FALSE))</f>
        <v>0</v>
      </c>
      <c r="R4180" s="3">
        <f>I4180*(VLOOKUP(B4180,Price_data!A$1:B$190,2,FALSE))</f>
        <v>0</v>
      </c>
      <c r="S4180" s="4" t="str">
        <f>(VLOOKUP(B4180,Price_data!A$1:C$190,3,FALSE))</f>
        <v>EEZ</v>
      </c>
      <c r="T4180" s="2" t="str">
        <f>IF(C4180="Total", (VLOOKUP(B4180,Recommended_fish_intake!A$4:D$122,4,FALSE)), "NA")</f>
        <v>NA</v>
      </c>
      <c r="U4180" s="2" t="str">
        <f t="shared" si="393"/>
        <v>NA</v>
      </c>
    </row>
    <row r="4181" spans="1:21" ht="14.25" customHeight="1">
      <c r="A4181" s="2" t="s">
        <v>18</v>
      </c>
      <c r="B4181" s="2">
        <v>2009</v>
      </c>
      <c r="C4181" s="2" t="s">
        <v>35</v>
      </c>
      <c r="D4181" s="3">
        <f t="shared" si="394"/>
        <v>761.20500000000004</v>
      </c>
      <c r="E4181" s="3">
        <f t="shared" si="394"/>
        <v>507.613</v>
      </c>
      <c r="P4181" s="3">
        <f>E4181*(VLOOKUP(B4181,Price_data!A$1:B$190,2,FALSE))</f>
        <v>404.52480831030101</v>
      </c>
      <c r="Q4181" s="3">
        <f>G4181*(VLOOKUP(B4181,Price_data!A$1:B$190,2,FALSE))</f>
        <v>0</v>
      </c>
      <c r="R4181" s="3">
        <f>I4181*(VLOOKUP(B4181,Price_data!A$1:B$190,2,FALSE))</f>
        <v>0</v>
      </c>
      <c r="S4181" s="4" t="str">
        <f>(VLOOKUP(B4181,Price_data!A$1:C$190,3,FALSE))</f>
        <v>EEZ</v>
      </c>
      <c r="T4181" s="2" t="str">
        <f>IF(C4181="Total", (VLOOKUP(B4181,Recommended_fish_intake!A$4:D$122,4,FALSE)), "NA")</f>
        <v>NA</v>
      </c>
      <c r="U4181" s="2" t="str">
        <f t="shared" si="393"/>
        <v>NA</v>
      </c>
    </row>
    <row r="4182" spans="1:21" ht="14.25" customHeight="1">
      <c r="A4182" s="2" t="s">
        <v>18</v>
      </c>
      <c r="B4182" s="2">
        <v>2009</v>
      </c>
      <c r="C4182" s="2" t="s">
        <v>52</v>
      </c>
      <c r="D4182" s="3">
        <f t="shared" si="394"/>
        <v>36.462999999999994</v>
      </c>
      <c r="E4182" s="3">
        <f t="shared" si="394"/>
        <v>28.641999999999999</v>
      </c>
      <c r="P4182" s="3">
        <f>E4182*(VLOOKUP(B4182,Price_data!A$1:B$190,2,FALSE))</f>
        <v>22.825261684834</v>
      </c>
      <c r="Q4182" s="3">
        <f>G4182*(VLOOKUP(B4182,Price_data!A$1:B$190,2,FALSE))</f>
        <v>0</v>
      </c>
      <c r="R4182" s="3">
        <f>I4182*(VLOOKUP(B4182,Price_data!A$1:B$190,2,FALSE))</f>
        <v>0</v>
      </c>
      <c r="S4182" s="4" t="str">
        <f>(VLOOKUP(B4182,Price_data!A$1:C$190,3,FALSE))</f>
        <v>EEZ</v>
      </c>
      <c r="T4182" s="2" t="str">
        <f>IF(C4182="Total", (VLOOKUP(B4182,Recommended_fish_intake!A$4:D$122,4,FALSE)), "NA")</f>
        <v>NA</v>
      </c>
      <c r="U4182" s="2" t="str">
        <f t="shared" si="393"/>
        <v>NA</v>
      </c>
    </row>
    <row r="4183" spans="1:21" ht="14.25" customHeight="1">
      <c r="A4183" s="2" t="s">
        <v>18</v>
      </c>
      <c r="B4183" s="2">
        <v>2009</v>
      </c>
      <c r="C4183" s="2" t="s">
        <v>30</v>
      </c>
      <c r="D4183" s="3">
        <f t="shared" si="394"/>
        <v>218.77300000000002</v>
      </c>
      <c r="E4183" s="3">
        <f t="shared" si="394"/>
        <v>38.213000000000001</v>
      </c>
      <c r="P4183" s="3">
        <f>E4183*(VLOOKUP(B4183,Price_data!A$1:B$190,2,FALSE))</f>
        <v>30.452542586501004</v>
      </c>
      <c r="Q4183" s="3">
        <f>G4183*(VLOOKUP(B4183,Price_data!A$1:B$190,2,FALSE))</f>
        <v>0</v>
      </c>
      <c r="R4183" s="3">
        <f>I4183*(VLOOKUP(B4183,Price_data!A$1:B$190,2,FALSE))</f>
        <v>0</v>
      </c>
      <c r="S4183" s="4" t="str">
        <f>(VLOOKUP(B4183,Price_data!A$1:C$190,3,FALSE))</f>
        <v>EEZ</v>
      </c>
      <c r="T4183" s="2" t="str">
        <f>IF(C4183="Total", (VLOOKUP(B4183,Recommended_fish_intake!A$4:D$122,4,FALSE)), "NA")</f>
        <v>NA</v>
      </c>
      <c r="U4183" s="2" t="str">
        <f t="shared" si="393"/>
        <v>NA</v>
      </c>
    </row>
    <row r="4184" spans="1:21" ht="14.25" customHeight="1">
      <c r="A4184" s="2" t="s">
        <v>18</v>
      </c>
      <c r="B4184" s="2">
        <v>2009</v>
      </c>
      <c r="C4184" s="2" t="s">
        <v>28</v>
      </c>
      <c r="D4184" s="3">
        <f t="shared" si="394"/>
        <v>47.524999999999999</v>
      </c>
      <c r="E4184" s="3">
        <f t="shared" si="394"/>
        <v>25.64</v>
      </c>
      <c r="P4184" s="3">
        <f>E4184*(VLOOKUP(B4184,Price_data!A$1:B$190,2,FALSE))</f>
        <v>20.432920522280003</v>
      </c>
      <c r="Q4184" s="3">
        <f>G4184*(VLOOKUP(B4184,Price_data!A$1:B$190,2,FALSE))</f>
        <v>0</v>
      </c>
      <c r="R4184" s="3">
        <f>I4184*(VLOOKUP(B4184,Price_data!A$1:B$190,2,FALSE))</f>
        <v>0</v>
      </c>
      <c r="S4184" s="4" t="str">
        <f>(VLOOKUP(B4184,Price_data!A$1:C$190,3,FALSE))</f>
        <v>EEZ</v>
      </c>
      <c r="T4184" s="2" t="str">
        <f>IF(C4184="Total", (VLOOKUP(B4184,Recommended_fish_intake!A$4:D$122,4,FALSE)), "NA")</f>
        <v>NA</v>
      </c>
      <c r="U4184" s="2">
        <f t="shared" si="393"/>
        <v>13.307</v>
      </c>
    </row>
    <row r="4185" spans="1:21" ht="14.25" customHeight="1">
      <c r="A4185" s="2" t="s">
        <v>18</v>
      </c>
      <c r="B4185" s="2">
        <v>2009</v>
      </c>
      <c r="C4185" s="2" t="s">
        <v>37</v>
      </c>
      <c r="D4185" s="3">
        <f>D4009+D4057</f>
        <v>3</v>
      </c>
      <c r="E4185" s="3">
        <f>E4009+E4057</f>
        <v>1.506</v>
      </c>
      <c r="P4185" s="3">
        <f>E4185*(VLOOKUP(B4185,Price_data!A$1:B$190,2,FALSE))</f>
        <v>1.200155160162</v>
      </c>
      <c r="Q4185" s="3">
        <f>G4185*(VLOOKUP(B4185,Price_data!A$1:B$190,2,FALSE))</f>
        <v>0</v>
      </c>
      <c r="R4185" s="3">
        <f>I4185*(VLOOKUP(B4185,Price_data!A$1:B$190,2,FALSE))</f>
        <v>0</v>
      </c>
      <c r="S4185" s="4" t="str">
        <f>(VLOOKUP(B4185,Price_data!A$1:C$190,3,FALSE))</f>
        <v>EEZ</v>
      </c>
      <c r="T4185" s="2" t="str">
        <f>IF(C4185="Total", (VLOOKUP(B4185,Recommended_fish_intake!A$4:D$122,4,FALSE)), "NA")</f>
        <v>NA</v>
      </c>
      <c r="U4185" s="2">
        <f t="shared" si="393"/>
        <v>1.47</v>
      </c>
    </row>
    <row r="4186" spans="1:21" ht="14.25" customHeight="1">
      <c r="A4186" s="2" t="s">
        <v>15</v>
      </c>
      <c r="B4186" s="2">
        <v>2009</v>
      </c>
      <c r="C4186" s="2" t="s">
        <v>42</v>
      </c>
      <c r="D4186" s="2">
        <v>145.03800000000001</v>
      </c>
      <c r="E4186" s="2">
        <v>98.096000000000004</v>
      </c>
      <c r="F4186" s="2" t="s">
        <v>92</v>
      </c>
      <c r="G4186" s="2" t="s">
        <v>92</v>
      </c>
      <c r="H4186" s="2" t="s">
        <v>92</v>
      </c>
      <c r="I4186" s="2" t="s">
        <v>92</v>
      </c>
      <c r="P4186" s="3">
        <f>E4186*(VLOOKUP(B4186,Price_data!A$1:B$190,2,FALSE))</f>
        <v>78.174250060592001</v>
      </c>
      <c r="Q4186" s="3" t="e">
        <f>G4186*(VLOOKUP(B4186,Price_data!A$1:B$190,2,FALSE))</f>
        <v>#VALUE!</v>
      </c>
      <c r="R4186" s="3" t="e">
        <f>I4186*(VLOOKUP(B4186,Price_data!A$1:B$190,2,FALSE))</f>
        <v>#VALUE!</v>
      </c>
      <c r="S4186" s="4" t="str">
        <f>(VLOOKUP(B4186,Price_data!A$1:C$190,3,FALSE))</f>
        <v>EEZ</v>
      </c>
      <c r="T4186" s="2" t="str">
        <f>IF(C4186="Total", (VLOOKUP(B4186,Recommended_fish_intake!A$4:D$122,4,FALSE)), "NA")</f>
        <v>NA</v>
      </c>
      <c r="U4186" s="2" t="str">
        <f t="shared" si="393"/>
        <v>NA</v>
      </c>
    </row>
    <row r="4187" spans="1:21" ht="14.25" customHeight="1">
      <c r="A4187" s="2" t="s">
        <v>15</v>
      </c>
      <c r="B4187" s="2">
        <v>2009</v>
      </c>
      <c r="C4187" s="2" t="s">
        <v>36</v>
      </c>
      <c r="D4187" s="2">
        <v>24.436</v>
      </c>
      <c r="E4187" s="2">
        <v>30.484999999999999</v>
      </c>
      <c r="F4187" s="2">
        <v>13.9</v>
      </c>
      <c r="G4187" s="2">
        <v>38.700000000000003</v>
      </c>
      <c r="H4187" s="2">
        <v>2.2999999999999998</v>
      </c>
      <c r="I4187" s="2">
        <v>14.6</v>
      </c>
      <c r="P4187" s="3">
        <f>E4187*(VLOOKUP(B4187,Price_data!A$1:B$190,2,FALSE))</f>
        <v>24.293977461845</v>
      </c>
      <c r="Q4187" s="3">
        <f>G4187*(VLOOKUP(B4187,Price_data!A$1:B$190,2,FALSE))</f>
        <v>30.840640569900003</v>
      </c>
      <c r="R4187" s="3">
        <f>I4187*(VLOOKUP(B4187,Price_data!A$1:B$190,2,FALSE))</f>
        <v>11.634970344200001</v>
      </c>
      <c r="S4187" s="4" t="str">
        <f>(VLOOKUP(B4187,Price_data!A$1:C$190,3,FALSE))</f>
        <v>EEZ</v>
      </c>
      <c r="T4187" s="2" t="str">
        <f>IF(C4187="Total", (VLOOKUP(B4187,Recommended_fish_intake!A$4:D$122,4,FALSE)), "NA")</f>
        <v>NA</v>
      </c>
      <c r="U4187" s="2" t="str">
        <f t="shared" si="393"/>
        <v>NA</v>
      </c>
    </row>
    <row r="4188" spans="1:21" ht="14.25" customHeight="1">
      <c r="A4188" s="2" t="s">
        <v>15</v>
      </c>
      <c r="B4188" s="2">
        <v>2009</v>
      </c>
      <c r="C4188" s="2" t="s">
        <v>34</v>
      </c>
      <c r="D4188" s="2">
        <v>2.76</v>
      </c>
      <c r="E4188" s="2">
        <v>26.489000000000001</v>
      </c>
      <c r="F4188" s="2">
        <v>2.2000000000000002</v>
      </c>
      <c r="G4188" s="2">
        <v>28.4</v>
      </c>
      <c r="H4188" s="2">
        <v>1.9</v>
      </c>
      <c r="I4188" s="2">
        <v>14.8</v>
      </c>
      <c r="P4188" s="3">
        <f>E4188*(VLOOKUP(B4188,Price_data!A$1:B$190,2,FALSE))</f>
        <v>21.109502016953002</v>
      </c>
      <c r="Q4188" s="3">
        <f>G4188*(VLOOKUP(B4188,Price_data!A$1:B$190,2,FALSE))</f>
        <v>22.6324080668</v>
      </c>
      <c r="R4188" s="3">
        <f>I4188*(VLOOKUP(B4188,Price_data!A$1:B$190,2,FALSE))</f>
        <v>11.794353499600001</v>
      </c>
      <c r="S4188" s="4" t="str">
        <f>(VLOOKUP(B4188,Price_data!A$1:C$190,3,FALSE))</f>
        <v>EEZ</v>
      </c>
      <c r="T4188" s="2" t="str">
        <f>IF(C4188="Total", (VLOOKUP(B4188,Recommended_fish_intake!A$4:D$122,4,FALSE)), "NA")</f>
        <v>NA</v>
      </c>
      <c r="U4188" s="2" t="str">
        <f t="shared" si="393"/>
        <v>NA</v>
      </c>
    </row>
    <row r="4189" spans="1:21" ht="14.25" customHeight="1">
      <c r="A4189" s="2" t="s">
        <v>15</v>
      </c>
      <c r="B4189" s="2">
        <v>2009</v>
      </c>
      <c r="C4189" s="2" t="s">
        <v>35</v>
      </c>
      <c r="D4189" s="2">
        <v>42.344000000000001</v>
      </c>
      <c r="E4189" s="2">
        <v>95.840999999999994</v>
      </c>
      <c r="F4189" s="2">
        <v>20.399999999999999</v>
      </c>
      <c r="G4189" s="2">
        <v>111.5</v>
      </c>
      <c r="H4189" s="2">
        <v>3.2</v>
      </c>
      <c r="I4189" s="2">
        <v>6.9</v>
      </c>
      <c r="P4189" s="3">
        <f>E4189*(VLOOKUP(B4189,Price_data!A$1:B$190,2,FALSE))</f>
        <v>76.377204983457005</v>
      </c>
      <c r="Q4189" s="3">
        <f>G4189*(VLOOKUP(B4189,Price_data!A$1:B$190,2,FALSE))</f>
        <v>88.856109135500006</v>
      </c>
      <c r="R4189" s="3">
        <f>I4189*(VLOOKUP(B4189,Price_data!A$1:B$190,2,FALSE))</f>
        <v>5.4987188613000004</v>
      </c>
      <c r="S4189" s="4" t="str">
        <f>(VLOOKUP(B4189,Price_data!A$1:C$190,3,FALSE))</f>
        <v>EEZ</v>
      </c>
      <c r="T4189" s="2" t="str">
        <f>IF(C4189="Total", (VLOOKUP(B4189,Recommended_fish_intake!A$4:D$122,4,FALSE)), "NA")</f>
        <v>NA</v>
      </c>
      <c r="U4189" s="2" t="str">
        <f t="shared" si="393"/>
        <v>NA</v>
      </c>
    </row>
    <row r="4190" spans="1:21" ht="14.25" customHeight="1">
      <c r="A4190" s="2" t="s">
        <v>15</v>
      </c>
      <c r="B4190" s="2">
        <v>2009</v>
      </c>
      <c r="C4190" s="2" t="s">
        <v>52</v>
      </c>
      <c r="D4190" s="2">
        <v>34.029000000000003</v>
      </c>
      <c r="E4190" s="2">
        <v>46.996000000000002</v>
      </c>
      <c r="F4190" s="2">
        <v>12.6</v>
      </c>
      <c r="G4190" s="2">
        <v>80.900000000000006</v>
      </c>
      <c r="H4190" s="2">
        <v>3.8</v>
      </c>
      <c r="I4190" s="2">
        <v>26.8</v>
      </c>
      <c r="P4190" s="3">
        <f>E4190*(VLOOKUP(B4190,Price_data!A$1:B$190,2,FALSE))</f>
        <v>37.451853855892004</v>
      </c>
      <c r="Q4190" s="3">
        <f>G4190*(VLOOKUP(B4190,Price_data!A$1:B$190,2,FALSE))</f>
        <v>64.470486359300011</v>
      </c>
      <c r="R4190" s="3">
        <f>I4190*(VLOOKUP(B4190,Price_data!A$1:B$190,2,FALSE))</f>
        <v>21.357342823600003</v>
      </c>
      <c r="S4190" s="4" t="str">
        <f>(VLOOKUP(B4190,Price_data!A$1:C$190,3,FALSE))</f>
        <v>EEZ</v>
      </c>
      <c r="T4190" s="2" t="str">
        <f>IF(C4190="Total", (VLOOKUP(B4190,Recommended_fish_intake!A$4:D$122,4,FALSE)), "NA")</f>
        <v>NA</v>
      </c>
      <c r="U4190" s="2" t="str">
        <f t="shared" si="393"/>
        <v>NA</v>
      </c>
    </row>
    <row r="4191" spans="1:21" ht="14.25" customHeight="1">
      <c r="A4191" s="2" t="s">
        <v>15</v>
      </c>
      <c r="B4191" s="2">
        <v>2009</v>
      </c>
      <c r="C4191" s="2" t="s">
        <v>30</v>
      </c>
      <c r="D4191" s="2">
        <v>1.0920000000000001</v>
      </c>
      <c r="E4191" s="2">
        <v>2.15</v>
      </c>
      <c r="F4191" s="2">
        <v>17.2</v>
      </c>
      <c r="G4191" s="2">
        <v>73.300000000000011</v>
      </c>
      <c r="H4191" s="2">
        <v>84.9</v>
      </c>
      <c r="I4191" s="2">
        <v>390</v>
      </c>
      <c r="P4191" s="3">
        <f>E4191*(VLOOKUP(B4191,Price_data!A$1:B$190,2,FALSE))</f>
        <v>1.71336892055</v>
      </c>
      <c r="Q4191" s="3">
        <f>G4191*(VLOOKUP(B4191,Price_data!A$1:B$190,2,FALSE))</f>
        <v>58.413926454100014</v>
      </c>
      <c r="R4191" s="3">
        <f>I4191*(VLOOKUP(B4191,Price_data!A$1:B$190,2,FALSE))</f>
        <v>310.79715303</v>
      </c>
      <c r="S4191" s="4" t="str">
        <f>(VLOOKUP(B4191,Price_data!A$1:C$190,3,FALSE))</f>
        <v>EEZ</v>
      </c>
      <c r="T4191" s="2" t="str">
        <f>IF(C4191="Total", (VLOOKUP(B4191,Recommended_fish_intake!A$4:D$122,4,FALSE)), "NA")</f>
        <v>NA</v>
      </c>
      <c r="U4191" s="2" t="str">
        <f t="shared" si="393"/>
        <v>NA</v>
      </c>
    </row>
    <row r="4192" spans="1:21" ht="14.25" customHeight="1">
      <c r="A4192" s="2" t="s">
        <v>15</v>
      </c>
      <c r="B4192" s="2">
        <v>2009</v>
      </c>
      <c r="C4192" s="2" t="s">
        <v>28</v>
      </c>
      <c r="D4192" s="2">
        <v>130.39400000000001</v>
      </c>
      <c r="E4192" s="2">
        <v>231.45400000000001</v>
      </c>
      <c r="F4192" s="2">
        <v>95.8</v>
      </c>
      <c r="G4192" s="2">
        <v>390.1</v>
      </c>
      <c r="H4192" s="2">
        <v>114.9</v>
      </c>
      <c r="I4192" s="2">
        <v>501.8</v>
      </c>
      <c r="P4192" s="3">
        <f>E4192*(VLOOKUP(B4192,Price_data!A$1:B$190,2,FALSE))</f>
        <v>184.44934424975801</v>
      </c>
      <c r="Q4192" s="3">
        <f>G4192*(VLOOKUP(B4192,Price_data!A$1:B$190,2,FALSE))</f>
        <v>310.87684460770004</v>
      </c>
      <c r="R4192" s="3">
        <f>I4192*(VLOOKUP(B4192,Price_data!A$1:B$190,2,FALSE))</f>
        <v>399.89233689860004</v>
      </c>
      <c r="S4192" s="4" t="str">
        <f>(VLOOKUP(B4192,Price_data!A$1:C$190,3,FALSE))</f>
        <v>EEZ</v>
      </c>
      <c r="T4192" s="2" t="str">
        <f>IF(C4192="Total", (VLOOKUP(B4192,Recommended_fish_intake!A$4:D$122,4,FALSE)), "NA")</f>
        <v>NA</v>
      </c>
      <c r="U4192" s="2">
        <f t="shared" si="393"/>
        <v>36.510320000000007</v>
      </c>
    </row>
    <row r="4193" spans="1:21" ht="14.25" customHeight="1">
      <c r="A4193" s="2" t="s">
        <v>90</v>
      </c>
      <c r="B4193" s="2">
        <v>2009</v>
      </c>
      <c r="C4193" s="2" t="s">
        <v>16</v>
      </c>
      <c r="D4193" s="2">
        <v>84.1</v>
      </c>
      <c r="E4193" s="2">
        <v>131.30000000000001</v>
      </c>
      <c r="P4193" s="3">
        <f>E4193*(VLOOKUP(B4193,Price_data!A$1:B$190,2,FALSE))</f>
        <v>104.63504152010002</v>
      </c>
      <c r="Q4193" s="3">
        <f>G4193*(VLOOKUP(B4193,Price_data!A$1:B$190,2,FALSE))</f>
        <v>0</v>
      </c>
      <c r="R4193" s="3">
        <f>I4193*(VLOOKUP(B4193,Price_data!A$1:B$190,2,FALSE))</f>
        <v>0</v>
      </c>
      <c r="S4193" s="4" t="str">
        <f>(VLOOKUP(B4193,Price_data!A$1:C$190,3,FALSE))</f>
        <v>EEZ</v>
      </c>
      <c r="T4193" s="2">
        <f>IF(C4193="Total", (VLOOKUP(B4193,Recommended_fish_intake!A$4:D$122,4,FALSE)), "NA")</f>
        <v>828.83504357471998</v>
      </c>
      <c r="U4193" s="2" t="str">
        <f t="shared" si="393"/>
        <v>NA</v>
      </c>
    </row>
    <row r="4194" spans="1:21" ht="14.25" customHeight="1">
      <c r="A4194" s="2" t="s">
        <v>91</v>
      </c>
      <c r="B4194" s="2">
        <v>2009</v>
      </c>
      <c r="C4194" s="2" t="s">
        <v>16</v>
      </c>
      <c r="D4194" s="2">
        <v>12.981999999999999</v>
      </c>
      <c r="E4194" s="2">
        <v>16.635000000000002</v>
      </c>
      <c r="P4194" s="3">
        <f>E4194*(VLOOKUP(B4194,Price_data!A$1:B$190,2,FALSE))</f>
        <v>13.256693950395002</v>
      </c>
      <c r="Q4194" s="3">
        <f>G4194*(VLOOKUP(B4194,Price_data!A$1:B$190,2,FALSE))</f>
        <v>0</v>
      </c>
      <c r="R4194" s="3">
        <f>I4194*(VLOOKUP(B4194,Price_data!A$1:B$190,2,FALSE))</f>
        <v>0</v>
      </c>
      <c r="S4194" s="4" t="str">
        <f>(VLOOKUP(B4194,Price_data!A$1:C$190,3,FALSE))</f>
        <v>EEZ</v>
      </c>
      <c r="T4194" s="2">
        <f>IF(C4194="Total", (VLOOKUP(B4194,Recommended_fish_intake!A$4:D$122,4,FALSE)), "NA")</f>
        <v>828.83504357471998</v>
      </c>
      <c r="U4194" s="2" t="str">
        <f t="shared" si="393"/>
        <v>NA</v>
      </c>
    </row>
    <row r="4195" spans="1:21" ht="14.25" customHeight="1">
      <c r="A4195" s="2" t="s">
        <v>15</v>
      </c>
      <c r="B4195" s="2">
        <v>2009</v>
      </c>
      <c r="C4195" s="2" t="s">
        <v>37</v>
      </c>
      <c r="D4195" s="2">
        <f>D3983+D4235</f>
        <v>607.15899999999999</v>
      </c>
      <c r="E4195" s="2">
        <f>E3983+E4235</f>
        <v>290.64499999999998</v>
      </c>
      <c r="F4195" s="3">
        <v>383.4</v>
      </c>
      <c r="G4195" s="3">
        <v>774.3</v>
      </c>
      <c r="H4195" s="3">
        <v>605.29999999999995</v>
      </c>
      <c r="I4195" s="7">
        <v>1672.5</v>
      </c>
      <c r="J4195" s="6"/>
      <c r="K4195" s="6"/>
      <c r="P4195" s="3">
        <f>E4195*(VLOOKUP(B4195,Price_data!A$1:B$190,2,FALSE))</f>
        <v>231.61958600616501</v>
      </c>
      <c r="Q4195" s="3">
        <f>G4195*(VLOOKUP(B4195,Price_data!A$1:B$190,2,FALSE))</f>
        <v>617.05188613109999</v>
      </c>
      <c r="R4195" s="3">
        <f>I4195*(VLOOKUP(B4195,Price_data!A$1:B$190,2,FALSE))</f>
        <v>1332.8416370325001</v>
      </c>
      <c r="S4195" s="4" t="str">
        <f>(VLOOKUP(B4195,Price_data!A$1:C$190,3,FALSE))</f>
        <v>EEZ</v>
      </c>
      <c r="T4195" s="2" t="str">
        <f>IF(C4195="Total", (VLOOKUP(B4195,Recommended_fish_intake!A$4:D$122,4,FALSE)), "NA")</f>
        <v>NA</v>
      </c>
      <c r="U4195" s="2">
        <f t="shared" si="393"/>
        <v>297.50790999999998</v>
      </c>
    </row>
    <row r="4196" spans="1:21" ht="14.25" customHeight="1">
      <c r="A4196" s="2" t="s">
        <v>15</v>
      </c>
      <c r="B4196" s="2">
        <v>2009</v>
      </c>
      <c r="C4196" s="2" t="s">
        <v>41</v>
      </c>
      <c r="D4196" s="2">
        <v>118.85</v>
      </c>
      <c r="E4196" s="2">
        <v>190.11500000000001</v>
      </c>
      <c r="F4196" s="2" t="s">
        <v>92</v>
      </c>
      <c r="G4196" s="2" t="s">
        <v>92</v>
      </c>
      <c r="H4196" s="2" t="s">
        <v>92</v>
      </c>
      <c r="I4196" s="2" t="s">
        <v>92</v>
      </c>
      <c r="P4196" s="3">
        <f>E4196*(VLOOKUP(B4196,Price_data!A$1:B$190,2,FALSE))</f>
        <v>151.505642944355</v>
      </c>
      <c r="Q4196" s="3" t="e">
        <f>G4196*(VLOOKUP(B4196,Price_data!A$1:B$190,2,FALSE))</f>
        <v>#VALUE!</v>
      </c>
      <c r="R4196" s="3" t="e">
        <f>I4196*(VLOOKUP(B4196,Price_data!A$1:B$190,2,FALSE))</f>
        <v>#VALUE!</v>
      </c>
      <c r="S4196" s="4" t="str">
        <f>(VLOOKUP(B4196,Price_data!A$1:C$190,3,FALSE))</f>
        <v>EEZ</v>
      </c>
      <c r="T4196" s="2" t="str">
        <f>IF(C4196="Total", (VLOOKUP(B4196,Recommended_fish_intake!A$4:D$122,4,FALSE)), "NA")</f>
        <v>NA</v>
      </c>
      <c r="U4196" s="2" t="str">
        <f t="shared" si="393"/>
        <v>NA</v>
      </c>
    </row>
    <row r="4197" spans="1:21" ht="14.25" customHeight="1">
      <c r="A4197" s="2" t="s">
        <v>15</v>
      </c>
      <c r="B4197" s="2">
        <v>2009</v>
      </c>
      <c r="C4197" s="2" t="s">
        <v>22</v>
      </c>
      <c r="D4197" s="2">
        <v>11.621</v>
      </c>
      <c r="E4197" s="2">
        <v>20.667999999999999</v>
      </c>
      <c r="F4197" s="2">
        <v>32.5</v>
      </c>
      <c r="G4197" s="2">
        <v>73.599999999999994</v>
      </c>
      <c r="H4197" s="2">
        <v>105.6</v>
      </c>
      <c r="I4197" s="2">
        <v>349.3</v>
      </c>
      <c r="P4197" s="3">
        <f>E4197*(VLOOKUP(B4197,Price_data!A$1:B$190,2,FALSE))</f>
        <v>16.470655279036002</v>
      </c>
      <c r="Q4197" s="3">
        <f>G4197*(VLOOKUP(B4197,Price_data!A$1:B$190,2,FALSE))</f>
        <v>58.653001187199997</v>
      </c>
      <c r="R4197" s="3">
        <f>I4197*(VLOOKUP(B4197,Price_data!A$1:B$190,2,FALSE))</f>
        <v>278.36268090610002</v>
      </c>
      <c r="S4197" s="4" t="str">
        <f>(VLOOKUP(B4197,Price_data!A$1:C$190,3,FALSE))</f>
        <v>EEZ</v>
      </c>
      <c r="T4197" s="2" t="str">
        <f>IF(C4197="Total", (VLOOKUP(B4197,Recommended_fish_intake!A$4:D$122,4,FALSE)), "NA")</f>
        <v>NA</v>
      </c>
      <c r="U4197" s="2" t="str">
        <f t="shared" si="393"/>
        <v>NA</v>
      </c>
    </row>
    <row r="4198" spans="1:21" ht="14.25" customHeight="1">
      <c r="A4198" s="2" t="s">
        <v>15</v>
      </c>
      <c r="B4198" s="2">
        <v>2009</v>
      </c>
      <c r="C4198" s="2" t="s">
        <v>20</v>
      </c>
      <c r="D4198" s="2">
        <v>100.265</v>
      </c>
      <c r="E4198" s="2">
        <v>84.533000000000001</v>
      </c>
      <c r="F4198" s="2">
        <v>103.1</v>
      </c>
      <c r="G4198" s="2">
        <v>121.1</v>
      </c>
      <c r="H4198" s="2">
        <v>32</v>
      </c>
      <c r="I4198" s="2">
        <v>44.6</v>
      </c>
      <c r="P4198" s="3">
        <f>E4198*(VLOOKUP(B4198,Price_data!A$1:B$190,2,FALSE))</f>
        <v>67.365681377141001</v>
      </c>
      <c r="Q4198" s="3">
        <f>G4198*(VLOOKUP(B4198,Price_data!A$1:B$190,2,FALSE))</f>
        <v>96.5065005947</v>
      </c>
      <c r="R4198" s="3">
        <f>I4198*(VLOOKUP(B4198,Price_data!A$1:B$190,2,FALSE))</f>
        <v>35.542443654200007</v>
      </c>
      <c r="S4198" s="4" t="str">
        <f>(VLOOKUP(B4198,Price_data!A$1:C$190,3,FALSE))</f>
        <v>EEZ</v>
      </c>
      <c r="T4198" s="2" t="str">
        <f>IF(C4198="Total", (VLOOKUP(B4198,Recommended_fish_intake!A$4:D$122,4,FALSE)), "NA")</f>
        <v>NA</v>
      </c>
      <c r="U4198" s="2" t="str">
        <f t="shared" si="393"/>
        <v>NA</v>
      </c>
    </row>
    <row r="4199" spans="1:21" ht="14.25" customHeight="1">
      <c r="A4199" s="2" t="s">
        <v>15</v>
      </c>
      <c r="B4199" s="2">
        <v>2009</v>
      </c>
      <c r="C4199" s="2" t="s">
        <v>19</v>
      </c>
      <c r="D4199" s="2">
        <v>31.611000000000001</v>
      </c>
      <c r="E4199" s="2">
        <v>9.5289999999999999</v>
      </c>
      <c r="F4199" s="2">
        <v>34.299999999999997</v>
      </c>
      <c r="G4199" s="2">
        <v>18.5</v>
      </c>
      <c r="H4199" s="2">
        <v>8.5</v>
      </c>
      <c r="I4199" s="2">
        <v>11</v>
      </c>
      <c r="P4199" s="3">
        <f>E4199*(VLOOKUP(B4199,Price_data!A$1:B$190,2,FALSE))</f>
        <v>7.5938104390330006</v>
      </c>
      <c r="Q4199" s="3">
        <f>G4199*(VLOOKUP(B4199,Price_data!A$1:B$190,2,FALSE))</f>
        <v>14.742941874500001</v>
      </c>
      <c r="R4199" s="3">
        <f>I4199*(VLOOKUP(B4199,Price_data!A$1:B$190,2,FALSE))</f>
        <v>8.7660735470000013</v>
      </c>
      <c r="S4199" s="4" t="str">
        <f>(VLOOKUP(B4199,Price_data!A$1:C$190,3,FALSE))</f>
        <v>EEZ</v>
      </c>
      <c r="T4199" s="2" t="str">
        <f>IF(C4199="Total", (VLOOKUP(B4199,Recommended_fish_intake!A$4:D$122,4,FALSE)), "NA")</f>
        <v>NA</v>
      </c>
      <c r="U4199" s="2" t="str">
        <f t="shared" si="393"/>
        <v>NA</v>
      </c>
    </row>
    <row r="4200" spans="1:21" ht="14.25" customHeight="1">
      <c r="A4200" s="2" t="s">
        <v>15</v>
      </c>
      <c r="B4200" s="2">
        <v>2009</v>
      </c>
      <c r="C4200" s="2" t="s">
        <v>24</v>
      </c>
      <c r="D4200" s="2">
        <v>10.092000000000001</v>
      </c>
      <c r="E4200" s="2">
        <v>9.2569999999999997</v>
      </c>
      <c r="F4200" s="2">
        <v>2.5</v>
      </c>
      <c r="G4200" s="2">
        <v>2.1</v>
      </c>
      <c r="H4200" s="2">
        <v>1.3</v>
      </c>
      <c r="I4200" s="2">
        <v>1.9</v>
      </c>
      <c r="P4200" s="3">
        <f>E4200*(VLOOKUP(B4200,Price_data!A$1:B$190,2,FALSE))</f>
        <v>7.3770493476889998</v>
      </c>
      <c r="Q4200" s="3">
        <f>G4200*(VLOOKUP(B4200,Price_data!A$1:B$190,2,FALSE))</f>
        <v>1.6735231317000001</v>
      </c>
      <c r="R4200" s="3">
        <f>I4200*(VLOOKUP(B4200,Price_data!A$1:B$190,2,FALSE))</f>
        <v>1.5141399763000001</v>
      </c>
      <c r="S4200" s="4" t="str">
        <f>(VLOOKUP(B4200,Price_data!A$1:C$190,3,FALSE))</f>
        <v>EEZ</v>
      </c>
      <c r="T4200" s="2" t="str">
        <f>IF(C4200="Total", (VLOOKUP(B4200,Recommended_fish_intake!A$4:D$122,4,FALSE)), "NA")</f>
        <v>NA</v>
      </c>
      <c r="U4200" s="2" t="str">
        <f t="shared" si="393"/>
        <v>NA</v>
      </c>
    </row>
    <row r="4201" spans="1:21" ht="14.25" customHeight="1">
      <c r="A4201" s="2" t="s">
        <v>15</v>
      </c>
      <c r="B4201" s="2">
        <v>2009</v>
      </c>
      <c r="C4201" s="2" t="s">
        <v>58</v>
      </c>
      <c r="D4201" s="2">
        <v>12.914999999999999</v>
      </c>
      <c r="E4201" s="2">
        <v>40.106999999999999</v>
      </c>
      <c r="F4201" s="2">
        <v>3.7</v>
      </c>
      <c r="G4201" s="2">
        <v>30</v>
      </c>
      <c r="H4201" s="2">
        <v>2.6</v>
      </c>
      <c r="I4201" s="2">
        <v>9</v>
      </c>
      <c r="P4201" s="3">
        <f>E4201*(VLOOKUP(B4201,Price_data!A$1:B$190,2,FALSE))</f>
        <v>31.961901068139003</v>
      </c>
      <c r="Q4201" s="3">
        <f>G4201*(VLOOKUP(B4201,Price_data!A$1:B$190,2,FALSE))</f>
        <v>23.90747331</v>
      </c>
      <c r="R4201" s="3">
        <f>I4201*(VLOOKUP(B4201,Price_data!A$1:B$190,2,FALSE))</f>
        <v>7.1722419930000001</v>
      </c>
      <c r="S4201" s="4" t="str">
        <f>(VLOOKUP(B4201,Price_data!A$1:C$190,3,FALSE))</f>
        <v>EEZ</v>
      </c>
      <c r="T4201" s="2" t="str">
        <f>IF(C4201="Total", (VLOOKUP(B4201,Recommended_fish_intake!A$4:D$122,4,FALSE)), "NA")</f>
        <v>NA</v>
      </c>
      <c r="U4201" s="2" t="str">
        <f t="shared" si="393"/>
        <v>NA</v>
      </c>
    </row>
    <row r="4202" spans="1:21" ht="14.25" customHeight="1">
      <c r="A4202" s="2" t="s">
        <v>15</v>
      </c>
      <c r="B4202" s="2">
        <v>2009</v>
      </c>
      <c r="C4202" s="2" t="s">
        <v>23</v>
      </c>
      <c r="D4202" s="2">
        <v>34.744999999999997</v>
      </c>
      <c r="E4202" s="2">
        <v>34.186</v>
      </c>
      <c r="F4202" s="2">
        <v>3.1</v>
      </c>
      <c r="G4202" s="2">
        <v>7.2</v>
      </c>
      <c r="H4202" s="2">
        <v>66.900000000000006</v>
      </c>
      <c r="I4202" s="2">
        <v>162.69999999999999</v>
      </c>
      <c r="P4202" s="3">
        <f>E4202*(VLOOKUP(B4202,Price_data!A$1:B$190,2,FALSE))</f>
        <v>27.243362752522003</v>
      </c>
      <c r="Q4202" s="3">
        <f>G4202*(VLOOKUP(B4202,Price_data!A$1:B$190,2,FALSE))</f>
        <v>5.7377935944000003</v>
      </c>
      <c r="R4202" s="3">
        <f>I4202*(VLOOKUP(B4202,Price_data!A$1:B$190,2,FALSE))</f>
        <v>129.6581969179</v>
      </c>
      <c r="S4202" s="4" t="str">
        <f>(VLOOKUP(B4202,Price_data!A$1:C$190,3,FALSE))</f>
        <v>EEZ</v>
      </c>
      <c r="T4202" s="2" t="str">
        <f>IF(C4202="Total", (VLOOKUP(B4202,Recommended_fish_intake!A$4:D$122,4,FALSE)), "NA")</f>
        <v>NA</v>
      </c>
      <c r="U4202" s="2" t="str">
        <f t="shared" si="393"/>
        <v>NA</v>
      </c>
    </row>
    <row r="4203" spans="1:21" ht="14.25" customHeight="1">
      <c r="A4203" s="2" t="s">
        <v>15</v>
      </c>
      <c r="B4203" s="2">
        <v>2009</v>
      </c>
      <c r="C4203" s="2" t="s">
        <v>93</v>
      </c>
      <c r="D4203" s="2">
        <v>2.5</v>
      </c>
      <c r="E4203" s="2">
        <v>0.7</v>
      </c>
      <c r="F4203" s="2">
        <v>13.7</v>
      </c>
      <c r="G4203" s="2">
        <v>9.1999999999999993</v>
      </c>
      <c r="H4203" s="2">
        <v>12.5</v>
      </c>
      <c r="I4203" s="2">
        <v>30.8</v>
      </c>
      <c r="P4203" s="3">
        <f>E4203*(VLOOKUP(B4203,Price_data!A$1:B$190,2,FALSE))</f>
        <v>0.5578410439</v>
      </c>
      <c r="Q4203" s="3">
        <f>G4203*(VLOOKUP(B4203,Price_data!A$1:B$190,2,FALSE))</f>
        <v>7.3316251483999997</v>
      </c>
      <c r="R4203" s="3">
        <f>I4203*(VLOOKUP(B4203,Price_data!A$1:B$190,2,FALSE))</f>
        <v>24.545005931600002</v>
      </c>
      <c r="S4203" s="4" t="str">
        <f>(VLOOKUP(B4203,Price_data!A$1:C$190,3,FALSE))</f>
        <v>EEZ</v>
      </c>
      <c r="T4203" s="2" t="str">
        <f>IF(C4203="Total", (VLOOKUP(B4203,Recommended_fish_intake!A$4:D$122,4,FALSE)), "NA")</f>
        <v>NA</v>
      </c>
      <c r="U4203" s="2" t="str">
        <f t="shared" si="393"/>
        <v>NA</v>
      </c>
    </row>
    <row r="4204" spans="1:21" ht="14.25" customHeight="1">
      <c r="A4204" s="2" t="s">
        <v>15</v>
      </c>
      <c r="B4204" s="2">
        <v>2009</v>
      </c>
      <c r="C4204" s="2" t="s">
        <v>43</v>
      </c>
      <c r="D4204" s="2" t="s">
        <v>17</v>
      </c>
      <c r="E4204" s="2" t="s">
        <v>17</v>
      </c>
      <c r="F4204" s="2">
        <v>6.7</v>
      </c>
      <c r="G4204" s="2">
        <v>19</v>
      </c>
      <c r="H4204" s="2">
        <v>97.7</v>
      </c>
      <c r="I4204" s="2">
        <v>239.1</v>
      </c>
      <c r="P4204" s="3" t="e">
        <f>E4204*(VLOOKUP(B4204,Price_data!A$1:B$190,2,FALSE))</f>
        <v>#VALUE!</v>
      </c>
      <c r="Q4204" s="3">
        <f>G4204*(VLOOKUP(B4204,Price_data!A$1:B$190,2,FALSE))</f>
        <v>15.141399763000001</v>
      </c>
      <c r="R4204" s="3">
        <f>I4204*(VLOOKUP(B4204,Price_data!A$1:B$190,2,FALSE))</f>
        <v>190.5425622807</v>
      </c>
      <c r="S4204" s="4" t="str">
        <f>(VLOOKUP(B4204,Price_data!A$1:C$190,3,FALSE))</f>
        <v>EEZ</v>
      </c>
      <c r="T4204" s="2" t="str">
        <f>IF(C4204="Total", (VLOOKUP(B4204,Recommended_fish_intake!A$4:D$122,4,FALSE)), "NA")</f>
        <v>NA</v>
      </c>
      <c r="U4204" s="2" t="str">
        <f t="shared" si="393"/>
        <v>NA</v>
      </c>
    </row>
    <row r="4205" spans="1:21" ht="14.25" customHeight="1">
      <c r="A4205" s="2" t="s">
        <v>15</v>
      </c>
      <c r="B4205" s="2">
        <v>2009</v>
      </c>
      <c r="C4205" s="2" t="s">
        <v>60</v>
      </c>
      <c r="D4205" s="2">
        <v>1.9</v>
      </c>
      <c r="E4205" s="2">
        <v>3.8</v>
      </c>
      <c r="F4205" s="2">
        <v>3.5</v>
      </c>
      <c r="G4205" s="2">
        <v>7.8</v>
      </c>
      <c r="H4205" s="2">
        <v>22.7</v>
      </c>
      <c r="I4205" s="2">
        <v>47.2</v>
      </c>
      <c r="P4205" s="3">
        <f>E4205*(VLOOKUP(B4205,Price_data!A$1:B$190,2,FALSE))</f>
        <v>3.0282799526000002</v>
      </c>
      <c r="Q4205" s="3">
        <f>G4205*(VLOOKUP(B4205,Price_data!A$1:B$190,2,FALSE))</f>
        <v>6.2159430605999999</v>
      </c>
      <c r="R4205" s="3">
        <f>I4205*(VLOOKUP(B4205,Price_data!A$1:B$190,2,FALSE))</f>
        <v>37.614424674400006</v>
      </c>
      <c r="S4205" s="4" t="str">
        <f>(VLOOKUP(B4205,Price_data!A$1:C$190,3,FALSE))</f>
        <v>EEZ</v>
      </c>
      <c r="T4205" s="2" t="str">
        <f>IF(C4205="Total", (VLOOKUP(B4205,Recommended_fish_intake!A$4:D$122,4,FALSE)), "NA")</f>
        <v>NA</v>
      </c>
      <c r="U4205" s="2" t="str">
        <f t="shared" si="393"/>
        <v>NA</v>
      </c>
    </row>
    <row r="4206" spans="1:21" ht="14.25" customHeight="1">
      <c r="A4206" s="2" t="s">
        <v>15</v>
      </c>
      <c r="B4206" s="2">
        <v>2009</v>
      </c>
      <c r="C4206" s="2" t="s">
        <v>29</v>
      </c>
      <c r="D4206" s="2" t="s">
        <v>17</v>
      </c>
      <c r="E4206" s="2" t="s">
        <v>17</v>
      </c>
      <c r="F4206" s="2">
        <v>71.3</v>
      </c>
      <c r="G4206" s="2">
        <v>298.5</v>
      </c>
      <c r="H4206" s="2">
        <v>60.3</v>
      </c>
      <c r="I4206" s="2">
        <v>229.4</v>
      </c>
      <c r="P4206" s="3" t="e">
        <f>E4206*(VLOOKUP(B4206,Price_data!A$1:B$190,2,FALSE))</f>
        <v>#VALUE!</v>
      </c>
      <c r="Q4206" s="3">
        <f>G4206*(VLOOKUP(B4206,Price_data!A$1:B$190,2,FALSE))</f>
        <v>237.8793594345</v>
      </c>
      <c r="R4206" s="3">
        <f>I4206*(VLOOKUP(B4206,Price_data!A$1:B$190,2,FALSE))</f>
        <v>182.81247924380003</v>
      </c>
      <c r="S4206" s="4" t="str">
        <f>(VLOOKUP(B4206,Price_data!A$1:C$190,3,FALSE))</f>
        <v>EEZ</v>
      </c>
      <c r="T4206" s="2" t="str">
        <f>IF(C4206="Total", (VLOOKUP(B4206,Recommended_fish_intake!A$4:D$122,4,FALSE)), "NA")</f>
        <v>NA</v>
      </c>
      <c r="U4206" s="2" t="str">
        <f t="shared" si="393"/>
        <v>NA</v>
      </c>
    </row>
    <row r="4207" spans="1:21" ht="14.25" customHeight="1">
      <c r="A4207" s="2" t="s">
        <v>15</v>
      </c>
      <c r="B4207" s="2">
        <v>2009</v>
      </c>
      <c r="C4207" s="2" t="s">
        <v>25</v>
      </c>
      <c r="D4207" s="2">
        <v>3</v>
      </c>
      <c r="E4207" s="2">
        <v>3.4</v>
      </c>
      <c r="F4207" s="4">
        <v>0.8</v>
      </c>
      <c r="G4207" s="4">
        <v>0.9</v>
      </c>
      <c r="H4207" s="4">
        <v>6.3</v>
      </c>
      <c r="I4207" s="4">
        <v>22.1</v>
      </c>
      <c r="P4207" s="3">
        <f>E4207*(VLOOKUP(B4207,Price_data!A$1:B$190,2,FALSE))</f>
        <v>2.7095136418000001</v>
      </c>
      <c r="Q4207" s="3">
        <f>G4207*(VLOOKUP(B4207,Price_data!A$1:B$190,2,FALSE))</f>
        <v>0.71722419930000003</v>
      </c>
      <c r="R4207" s="3">
        <f>I4207*(VLOOKUP(B4207,Price_data!A$1:B$190,2,FALSE))</f>
        <v>17.611838671700003</v>
      </c>
      <c r="S4207" s="4" t="str">
        <f>(VLOOKUP(B4207,Price_data!A$1:C$190,3,FALSE))</f>
        <v>EEZ</v>
      </c>
      <c r="T4207" s="2" t="str">
        <f>IF(C4207="Total", (VLOOKUP(B4207,Recommended_fish_intake!A$4:D$122,4,FALSE)), "NA")</f>
        <v>NA</v>
      </c>
      <c r="U4207" s="2" t="str">
        <f t="shared" si="393"/>
        <v>NA</v>
      </c>
    </row>
    <row r="4208" spans="1:21" ht="14.25" customHeight="1">
      <c r="A4208" s="2" t="s">
        <v>39</v>
      </c>
      <c r="B4208" s="2">
        <v>2009</v>
      </c>
      <c r="C4208" s="2" t="s">
        <v>16</v>
      </c>
      <c r="D4208" s="2">
        <v>277.37599999999998</v>
      </c>
      <c r="E4208" s="2">
        <v>351.596</v>
      </c>
      <c r="P4208" s="3">
        <f>E4208*(VLOOKUP(B4208,Price_data!A$1:B$190,2,FALSE))</f>
        <v>280.19239953009202</v>
      </c>
      <c r="Q4208" s="3">
        <f>G4208*(VLOOKUP(B4208,Price_data!A$1:B$190,2,FALSE))</f>
        <v>0</v>
      </c>
      <c r="R4208" s="3">
        <f>I4208*(VLOOKUP(B4208,Price_data!A$1:B$190,2,FALSE))</f>
        <v>0</v>
      </c>
      <c r="S4208" s="4" t="str">
        <f>(VLOOKUP(B4208,Price_data!A$1:C$190,3,FALSE))</f>
        <v>EEZ</v>
      </c>
      <c r="T4208" s="2">
        <f>IF(C4208="Total", (VLOOKUP(B4208,Recommended_fish_intake!A$4:D$122,4,FALSE)), "NA")</f>
        <v>828.83504357471998</v>
      </c>
      <c r="U4208" s="2" t="str">
        <f t="shared" si="393"/>
        <v>NA</v>
      </c>
    </row>
    <row r="4209" spans="1:21" ht="14.25" customHeight="1">
      <c r="A4209" s="2" t="s">
        <v>40</v>
      </c>
      <c r="B4209" s="2">
        <v>2009</v>
      </c>
      <c r="C4209" s="2" t="s">
        <v>16</v>
      </c>
      <c r="D4209" s="2">
        <v>19.587</v>
      </c>
      <c r="E4209" s="2">
        <v>19.422000000000001</v>
      </c>
      <c r="P4209" s="3">
        <f>E4209*(VLOOKUP(B4209,Price_data!A$1:B$190,2,FALSE))</f>
        <v>15.477698220894002</v>
      </c>
      <c r="Q4209" s="3">
        <f>G4209*(VLOOKUP(B4209,Price_data!A$1:B$190,2,FALSE))</f>
        <v>0</v>
      </c>
      <c r="R4209" s="3">
        <f>I4209*(VLOOKUP(B4209,Price_data!A$1:B$190,2,FALSE))</f>
        <v>0</v>
      </c>
      <c r="S4209" s="4" t="str">
        <f>(VLOOKUP(B4209,Price_data!A$1:C$190,3,FALSE))</f>
        <v>EEZ</v>
      </c>
      <c r="T4209" s="2">
        <f>IF(C4209="Total", (VLOOKUP(B4209,Recommended_fish_intake!A$4:D$122,4,FALSE)), "NA")</f>
        <v>828.83504357471998</v>
      </c>
      <c r="U4209" s="2" t="str">
        <f t="shared" si="393"/>
        <v>NA</v>
      </c>
    </row>
    <row r="4210" spans="1:21" ht="14.25" customHeight="1">
      <c r="A4210" s="2" t="s">
        <v>18</v>
      </c>
      <c r="B4210" s="2">
        <v>2009</v>
      </c>
      <c r="C4210" s="2" t="s">
        <v>16</v>
      </c>
      <c r="D4210" s="3">
        <f>D3458+D3218</f>
        <v>25.609000000000002</v>
      </c>
      <c r="E4210" s="3">
        <f>E3458+E3218</f>
        <v>47.543999999999997</v>
      </c>
      <c r="P4210" s="3">
        <f>E4210*(VLOOKUP(B4210,Price_data!A$1:B$190,2,FALSE))</f>
        <v>37.888563701688</v>
      </c>
      <c r="Q4210" s="3">
        <f>G4210*(VLOOKUP(B4210,Price_data!A$1:B$190,2,FALSE))</f>
        <v>0</v>
      </c>
      <c r="R4210" s="3">
        <f>I4210*(VLOOKUP(B4210,Price_data!A$1:B$190,2,FALSE))</f>
        <v>0</v>
      </c>
      <c r="S4210" s="4" t="str">
        <f>(VLOOKUP(B4210,Price_data!A$1:C$190,3,FALSE))</f>
        <v>EEZ</v>
      </c>
      <c r="T4210" s="2">
        <f>IF(C4210="Total", (VLOOKUP(B4210,Recommended_fish_intake!A$4:D$122,4,FALSE)), "NA")</f>
        <v>828.83504357471998</v>
      </c>
      <c r="U4210" s="2" t="str">
        <f t="shared" si="393"/>
        <v>NA</v>
      </c>
    </row>
    <row r="4211" spans="1:21" ht="14.25" customHeight="1">
      <c r="A4211" s="2" t="s">
        <v>15</v>
      </c>
      <c r="B4211" s="2">
        <v>2009</v>
      </c>
      <c r="C4211" s="2" t="s">
        <v>16</v>
      </c>
      <c r="D4211" s="2">
        <v>394.28199999999998</v>
      </c>
      <c r="E4211" s="2">
        <v>519.66499999999996</v>
      </c>
      <c r="F4211" s="2">
        <v>479.2</v>
      </c>
      <c r="G4211" s="6">
        <v>1164.4000000000001</v>
      </c>
      <c r="H4211" s="2">
        <v>720.2</v>
      </c>
      <c r="I4211" s="6">
        <v>2174.3000000000002</v>
      </c>
      <c r="J4211" s="6"/>
      <c r="K4211" s="6"/>
      <c r="P4211" s="3">
        <f>E4211*(VLOOKUP(B4211,Price_data!A$1:B$190,2,FALSE))</f>
        <v>414.129237254705</v>
      </c>
      <c r="Q4211" s="3">
        <f>G4211*(VLOOKUP(B4211,Price_data!A$1:B$190,2,FALSE))</f>
        <v>927.92873073880014</v>
      </c>
      <c r="R4211" s="3">
        <f>I4211*(VLOOKUP(B4211,Price_data!A$1:B$190,2,FALSE))</f>
        <v>1732.7339739311003</v>
      </c>
      <c r="S4211" s="4" t="str">
        <f>(VLOOKUP(B4211,Price_data!A$1:C$190,3,FALSE))</f>
        <v>EEZ</v>
      </c>
      <c r="T4211" s="2">
        <f>IF(C4211="Total", (VLOOKUP(B4211,Recommended_fish_intake!A$4:D$122,4,FALSE)), "NA")</f>
        <v>828.83504357471998</v>
      </c>
      <c r="U4211" s="2" t="str">
        <f t="shared" si="393"/>
        <v>NA</v>
      </c>
    </row>
    <row r="4212" spans="1:21" ht="14.25" customHeight="1">
      <c r="A4212" s="2" t="s">
        <v>15</v>
      </c>
      <c r="B4212" s="2">
        <v>2010</v>
      </c>
      <c r="C4212" s="2" t="s">
        <v>22</v>
      </c>
      <c r="D4212" s="2">
        <v>14.7</v>
      </c>
      <c r="E4212" s="2">
        <v>28.6</v>
      </c>
      <c r="F4212" s="2">
        <v>31</v>
      </c>
      <c r="G4212" s="2">
        <v>81</v>
      </c>
      <c r="H4212" s="2">
        <v>101.4</v>
      </c>
      <c r="I4212" s="2">
        <v>372</v>
      </c>
      <c r="P4212" s="3">
        <f>E4212*(VLOOKUP(B4212,Price_data!A$1:B$190,2,FALSE))</f>
        <v>21.78646105064</v>
      </c>
      <c r="Q4212" s="3">
        <f>G4212*(VLOOKUP(B4212,Price_data!A$1:B$190,2,FALSE))</f>
        <v>61.702914164399992</v>
      </c>
      <c r="R4212" s="3">
        <f>I4212*(VLOOKUP(B4212,Price_data!A$1:B$190,2,FALSE))</f>
        <v>283.37634653279997</v>
      </c>
      <c r="S4212" s="4" t="str">
        <f>(VLOOKUP(B4212,Price_data!A$1:C$190,3,FALSE))</f>
        <v>EEZ</v>
      </c>
      <c r="T4212" s="2" t="str">
        <f>IF(C4212="Total", (VLOOKUP(B4212,Recommended_fish_intake!A$4:D$122,4,FALSE)), "NA")</f>
        <v>NA</v>
      </c>
      <c r="U4212" s="2" t="str">
        <f t="shared" si="393"/>
        <v>NA</v>
      </c>
    </row>
    <row r="4213" spans="1:21" ht="14.25" customHeight="1">
      <c r="A4213" s="2" t="s">
        <v>15</v>
      </c>
      <c r="B4213" s="2">
        <v>2010</v>
      </c>
      <c r="C4213" s="2" t="s">
        <v>23</v>
      </c>
      <c r="D4213" s="2">
        <v>31.7</v>
      </c>
      <c r="E4213" s="2">
        <v>36.200000000000003</v>
      </c>
      <c r="F4213" s="2">
        <v>3.6</v>
      </c>
      <c r="G4213" s="2">
        <v>7.6</v>
      </c>
      <c r="H4213" s="2">
        <v>60.3</v>
      </c>
      <c r="I4213" s="2">
        <v>156.19999999999999</v>
      </c>
      <c r="P4213" s="3">
        <f>E4213*(VLOOKUP(B4213,Price_data!A$1:B$190,2,FALSE))</f>
        <v>27.57587028088</v>
      </c>
      <c r="Q4213" s="3">
        <f>G4213*(VLOOKUP(B4213,Price_data!A$1:B$190,2,FALSE))</f>
        <v>5.7894092302399995</v>
      </c>
      <c r="R4213" s="3">
        <f>I4213*(VLOOKUP(B4213,Price_data!A$1:B$190,2,FALSE))</f>
        <v>118.98759496887999</v>
      </c>
      <c r="S4213" s="4" t="str">
        <f>(VLOOKUP(B4213,Price_data!A$1:C$190,3,FALSE))</f>
        <v>EEZ</v>
      </c>
      <c r="T4213" s="2" t="str">
        <f>IF(C4213="Total", (VLOOKUP(B4213,Recommended_fish_intake!A$4:D$122,4,FALSE)), "NA")</f>
        <v>NA</v>
      </c>
      <c r="U4213" s="2" t="str">
        <f t="shared" si="393"/>
        <v>NA</v>
      </c>
    </row>
    <row r="4214" spans="1:21" ht="14.25" customHeight="1">
      <c r="A4214" s="2" t="s">
        <v>15</v>
      </c>
      <c r="B4214" s="2">
        <v>2010</v>
      </c>
      <c r="C4214" s="2" t="s">
        <v>53</v>
      </c>
      <c r="D4214" s="2">
        <v>5.6</v>
      </c>
      <c r="E4214" s="2">
        <v>10.199999999999999</v>
      </c>
      <c r="F4214" s="2">
        <v>2.9</v>
      </c>
      <c r="G4214" s="2">
        <v>8.5</v>
      </c>
      <c r="H4214" s="2">
        <v>3.1</v>
      </c>
      <c r="I4214" s="2">
        <v>7.1</v>
      </c>
      <c r="P4214" s="3">
        <f>E4214*(VLOOKUP(B4214,Price_data!A$1:B$190,2,FALSE))</f>
        <v>7.7699965984799988</v>
      </c>
      <c r="Q4214" s="3">
        <f>G4214*(VLOOKUP(B4214,Price_data!A$1:B$190,2,FALSE))</f>
        <v>6.4749971653999996</v>
      </c>
      <c r="R4214" s="3">
        <f>I4214*(VLOOKUP(B4214,Price_data!A$1:B$190,2,FALSE))</f>
        <v>5.4085270440399995</v>
      </c>
      <c r="S4214" s="4" t="str">
        <f>(VLOOKUP(B4214,Price_data!A$1:C$190,3,FALSE))</f>
        <v>EEZ</v>
      </c>
      <c r="T4214" s="2" t="str">
        <f>IF(C4214="Total", (VLOOKUP(B4214,Recommended_fish_intake!A$4:D$122,4,FALSE)), "NA")</f>
        <v>NA</v>
      </c>
      <c r="U4214" s="2" t="str">
        <f t="shared" si="393"/>
        <v>NA</v>
      </c>
    </row>
    <row r="4215" spans="1:21" ht="14.25" customHeight="1">
      <c r="A4215" s="2" t="s">
        <v>15</v>
      </c>
      <c r="B4215" s="2">
        <v>2010</v>
      </c>
      <c r="C4215" s="2" t="s">
        <v>58</v>
      </c>
      <c r="D4215" s="2">
        <v>11.7</v>
      </c>
      <c r="E4215" s="2">
        <v>38.5</v>
      </c>
      <c r="F4215" s="2">
        <v>3.9</v>
      </c>
      <c r="G4215" s="2">
        <v>29.3</v>
      </c>
      <c r="H4215" s="2">
        <v>3.1</v>
      </c>
      <c r="I4215" s="2">
        <v>11</v>
      </c>
      <c r="P4215" s="3">
        <f>E4215*(VLOOKUP(B4215,Price_data!A$1:B$190,2,FALSE))</f>
        <v>29.327928337399999</v>
      </c>
      <c r="Q4215" s="3">
        <f>G4215*(VLOOKUP(B4215,Price_data!A$1:B$190,2,FALSE))</f>
        <v>22.319696111319999</v>
      </c>
      <c r="R4215" s="3">
        <f>I4215*(VLOOKUP(B4215,Price_data!A$1:B$190,2,FALSE))</f>
        <v>8.3794080963999988</v>
      </c>
      <c r="S4215" s="4" t="str">
        <f>(VLOOKUP(B4215,Price_data!A$1:C$190,3,FALSE))</f>
        <v>EEZ</v>
      </c>
      <c r="T4215" s="2" t="str">
        <f>IF(C4215="Total", (VLOOKUP(B4215,Recommended_fish_intake!A$4:D$122,4,FALSE)), "NA")</f>
        <v>NA</v>
      </c>
      <c r="U4215" s="2" t="str">
        <f t="shared" si="393"/>
        <v>NA</v>
      </c>
    </row>
    <row r="4216" spans="1:21" ht="14.25" customHeight="1">
      <c r="A4216" s="2" t="s">
        <v>15</v>
      </c>
      <c r="B4216" s="2">
        <v>2010</v>
      </c>
      <c r="C4216" s="2" t="s">
        <v>38</v>
      </c>
      <c r="D4216" s="2">
        <v>13.6</v>
      </c>
      <c r="E4216" s="2">
        <v>12.4</v>
      </c>
      <c r="F4216" s="2">
        <v>5.8</v>
      </c>
      <c r="G4216" s="2">
        <v>7.8</v>
      </c>
      <c r="H4216" s="2">
        <v>0.9</v>
      </c>
      <c r="I4216" s="2">
        <v>1</v>
      </c>
      <c r="P4216" s="3">
        <f>E4216*(VLOOKUP(B4216,Price_data!A$1:B$190,2,FALSE))</f>
        <v>9.4458782177599989</v>
      </c>
      <c r="Q4216" s="3">
        <f>G4216*(VLOOKUP(B4216,Price_data!A$1:B$190,2,FALSE))</f>
        <v>5.9417621047199995</v>
      </c>
      <c r="R4216" s="3">
        <f>I4216*(VLOOKUP(B4216,Price_data!A$1:B$190,2,FALSE))</f>
        <v>0.76176437239999994</v>
      </c>
      <c r="S4216" s="4" t="str">
        <f>(VLOOKUP(B4216,Price_data!A$1:C$190,3,FALSE))</f>
        <v>EEZ</v>
      </c>
      <c r="T4216" s="2" t="str">
        <f>IF(C4216="Total", (VLOOKUP(B4216,Recommended_fish_intake!A$4:D$122,4,FALSE)), "NA")</f>
        <v>NA</v>
      </c>
      <c r="U4216" s="2" t="str">
        <f t="shared" si="393"/>
        <v>NA</v>
      </c>
    </row>
    <row r="4217" spans="1:21" ht="14.25" customHeight="1">
      <c r="A4217" s="2" t="s">
        <v>15</v>
      </c>
      <c r="B4217" s="2">
        <v>2010</v>
      </c>
      <c r="C4217" s="2" t="s">
        <v>63</v>
      </c>
      <c r="D4217" s="2">
        <v>1.7</v>
      </c>
      <c r="E4217" s="2">
        <v>14</v>
      </c>
      <c r="F4217" s="2">
        <v>1.2</v>
      </c>
      <c r="G4217" s="2">
        <v>9.1999999999999993</v>
      </c>
      <c r="H4217" s="2">
        <v>0.4</v>
      </c>
      <c r="I4217" s="2">
        <v>1.5</v>
      </c>
      <c r="P4217" s="3">
        <f>E4217*(VLOOKUP(B4217,Price_data!A$1:B$190,2,FALSE))</f>
        <v>10.664701213599999</v>
      </c>
      <c r="Q4217" s="3">
        <f>G4217*(VLOOKUP(B4217,Price_data!A$1:B$190,2,FALSE))</f>
        <v>7.0082322260799987</v>
      </c>
      <c r="R4217" s="3">
        <f>I4217*(VLOOKUP(B4217,Price_data!A$1:B$190,2,FALSE))</f>
        <v>1.1426465585999999</v>
      </c>
      <c r="S4217" s="4" t="str">
        <f>(VLOOKUP(B4217,Price_data!A$1:C$190,3,FALSE))</f>
        <v>EEZ</v>
      </c>
      <c r="T4217" s="2" t="str">
        <f>IF(C4217="Total", (VLOOKUP(B4217,Recommended_fish_intake!A$4:D$122,4,FALSE)), "NA")</f>
        <v>NA</v>
      </c>
      <c r="U4217" s="2" t="str">
        <f t="shared" si="393"/>
        <v>NA</v>
      </c>
    </row>
    <row r="4218" spans="1:21" ht="14.25" customHeight="1">
      <c r="A4218" s="2" t="s">
        <v>15</v>
      </c>
      <c r="B4218" s="2">
        <v>2010</v>
      </c>
      <c r="C4218" s="2" t="s">
        <v>24</v>
      </c>
      <c r="D4218" s="2">
        <v>8.9</v>
      </c>
      <c r="E4218" s="2">
        <v>9.4</v>
      </c>
      <c r="F4218" s="2">
        <v>1.3</v>
      </c>
      <c r="G4218" s="2">
        <v>1.7</v>
      </c>
      <c r="H4218" s="2">
        <v>1.6</v>
      </c>
      <c r="I4218" s="2">
        <v>2.2000000000000002</v>
      </c>
      <c r="P4218" s="3">
        <f>E4218*(VLOOKUP(B4218,Price_data!A$1:B$190,2,FALSE))</f>
        <v>7.1605851005599996</v>
      </c>
      <c r="Q4218" s="3">
        <f>G4218*(VLOOKUP(B4218,Price_data!A$1:B$190,2,FALSE))</f>
        <v>1.2949994330799999</v>
      </c>
      <c r="R4218" s="3">
        <f>I4218*(VLOOKUP(B4218,Price_data!A$1:B$190,2,FALSE))</f>
        <v>1.6758816192800001</v>
      </c>
      <c r="S4218" s="4" t="str">
        <f>(VLOOKUP(B4218,Price_data!A$1:C$190,3,FALSE))</f>
        <v>EEZ</v>
      </c>
      <c r="T4218" s="2" t="str">
        <f>IF(C4218="Total", (VLOOKUP(B4218,Recommended_fish_intake!A$4:D$122,4,FALSE)), "NA")</f>
        <v>NA</v>
      </c>
      <c r="U4218" s="2" t="str">
        <f t="shared" si="393"/>
        <v>NA</v>
      </c>
    </row>
    <row r="4219" spans="1:21" ht="14.25" customHeight="1">
      <c r="A4219" s="2" t="s">
        <v>15</v>
      </c>
      <c r="B4219" s="2">
        <v>2010</v>
      </c>
      <c r="C4219" s="2" t="s">
        <v>41</v>
      </c>
      <c r="D4219" s="2">
        <v>114.9</v>
      </c>
      <c r="E4219" s="2">
        <v>203</v>
      </c>
      <c r="F4219" s="2" t="s">
        <v>92</v>
      </c>
      <c r="G4219" s="2" t="s">
        <v>92</v>
      </c>
      <c r="H4219" s="2" t="s">
        <v>92</v>
      </c>
      <c r="I4219" s="2" t="s">
        <v>92</v>
      </c>
      <c r="P4219" s="3">
        <f>E4219*(VLOOKUP(B4219,Price_data!A$1:B$190,2,FALSE))</f>
        <v>154.63816759719998</v>
      </c>
      <c r="Q4219" s="3" t="e">
        <f>G4219*(VLOOKUP(B4219,Price_data!A$1:B$190,2,FALSE))</f>
        <v>#VALUE!</v>
      </c>
      <c r="R4219" s="3" t="e">
        <f>I4219*(VLOOKUP(B4219,Price_data!A$1:B$190,2,FALSE))</f>
        <v>#VALUE!</v>
      </c>
      <c r="S4219" s="4" t="str">
        <f>(VLOOKUP(B4219,Price_data!A$1:C$190,3,FALSE))</f>
        <v>EEZ</v>
      </c>
      <c r="T4219" s="2" t="str">
        <f>IF(C4219="Total", (VLOOKUP(B4219,Recommended_fish_intake!A$4:D$122,4,FALSE)), "NA")</f>
        <v>NA</v>
      </c>
      <c r="U4219" s="2" t="str">
        <f t="shared" si="393"/>
        <v>NA</v>
      </c>
    </row>
    <row r="4220" spans="1:21" ht="14.25" customHeight="1">
      <c r="A4220" s="2" t="s">
        <v>15</v>
      </c>
      <c r="B4220" s="2">
        <v>2010</v>
      </c>
      <c r="C4220" s="2" t="s">
        <v>19</v>
      </c>
      <c r="D4220" s="2">
        <v>35.6</v>
      </c>
      <c r="E4220" s="2">
        <v>10.3</v>
      </c>
      <c r="F4220" s="2">
        <v>36.799999999999997</v>
      </c>
      <c r="G4220" s="2">
        <v>20.3</v>
      </c>
      <c r="H4220" s="2">
        <v>9</v>
      </c>
      <c r="I4220" s="2">
        <v>11.8</v>
      </c>
      <c r="P4220" s="3">
        <f>E4220*(VLOOKUP(B4220,Price_data!A$1:B$190,2,FALSE))</f>
        <v>7.8461730357199997</v>
      </c>
      <c r="Q4220" s="3">
        <f>G4220*(VLOOKUP(B4220,Price_data!A$1:B$190,2,FALSE))</f>
        <v>15.46381675972</v>
      </c>
      <c r="R4220" s="3">
        <f>I4220*(VLOOKUP(B4220,Price_data!A$1:B$190,2,FALSE))</f>
        <v>8.9888195943200007</v>
      </c>
      <c r="S4220" s="4" t="str">
        <f>(VLOOKUP(B4220,Price_data!A$1:C$190,3,FALSE))</f>
        <v>EEZ</v>
      </c>
      <c r="T4220" s="2" t="str">
        <f>IF(C4220="Total", (VLOOKUP(B4220,Recommended_fish_intake!A$4:D$122,4,FALSE)), "NA")</f>
        <v>NA</v>
      </c>
      <c r="U4220" s="2" t="str">
        <f t="shared" si="393"/>
        <v>NA</v>
      </c>
    </row>
    <row r="4221" spans="1:21" ht="14.25" customHeight="1">
      <c r="A4221" s="2" t="s">
        <v>15</v>
      </c>
      <c r="B4221" s="2">
        <v>2010</v>
      </c>
      <c r="C4221" s="2" t="s">
        <v>20</v>
      </c>
      <c r="D4221" s="2">
        <v>99.9</v>
      </c>
      <c r="E4221" s="2">
        <v>82</v>
      </c>
      <c r="F4221" s="2">
        <v>112.6</v>
      </c>
      <c r="G4221" s="2">
        <v>127.8</v>
      </c>
      <c r="H4221" s="2">
        <v>45.5</v>
      </c>
      <c r="I4221" s="2">
        <v>60.5</v>
      </c>
      <c r="P4221" s="3">
        <f>E4221*(VLOOKUP(B4221,Price_data!A$1:B$190,2,FALSE))</f>
        <v>62.464678536799994</v>
      </c>
      <c r="Q4221" s="3">
        <f>G4221*(VLOOKUP(B4221,Price_data!A$1:B$190,2,FALSE))</f>
        <v>97.353486792719991</v>
      </c>
      <c r="R4221" s="3">
        <f>I4221*(VLOOKUP(B4221,Price_data!A$1:B$190,2,FALSE))</f>
        <v>46.086744530199994</v>
      </c>
      <c r="S4221" s="4" t="str">
        <f>(VLOOKUP(B4221,Price_data!A$1:C$190,3,FALSE))</f>
        <v>EEZ</v>
      </c>
      <c r="T4221" s="2" t="str">
        <f>IF(C4221="Total", (VLOOKUP(B4221,Recommended_fish_intake!A$4:D$122,4,FALSE)), "NA")</f>
        <v>NA</v>
      </c>
      <c r="U4221" s="2" t="str">
        <f t="shared" si="393"/>
        <v>NA</v>
      </c>
    </row>
    <row r="4222" spans="1:21" ht="14.25" customHeight="1">
      <c r="A4222" s="2" t="s">
        <v>15</v>
      </c>
      <c r="B4222" s="2">
        <v>2010</v>
      </c>
      <c r="C4222" s="2" t="s">
        <v>42</v>
      </c>
      <c r="D4222" s="2">
        <v>154</v>
      </c>
      <c r="E4222" s="2">
        <v>96.8</v>
      </c>
      <c r="F4222" s="2" t="s">
        <v>92</v>
      </c>
      <c r="G4222" s="2" t="s">
        <v>92</v>
      </c>
      <c r="H4222" s="2" t="s">
        <v>92</v>
      </c>
      <c r="I4222" s="2" t="s">
        <v>92</v>
      </c>
      <c r="P4222" s="3">
        <f>E4222*(VLOOKUP(B4222,Price_data!A$1:B$190,2,FALSE))</f>
        <v>73.738791248319998</v>
      </c>
      <c r="Q4222" s="3" t="e">
        <f>G4222*(VLOOKUP(B4222,Price_data!A$1:B$190,2,FALSE))</f>
        <v>#VALUE!</v>
      </c>
      <c r="R4222" s="3" t="e">
        <f>I4222*(VLOOKUP(B4222,Price_data!A$1:B$190,2,FALSE))</f>
        <v>#VALUE!</v>
      </c>
      <c r="S4222" s="4" t="str">
        <f>(VLOOKUP(B4222,Price_data!A$1:C$190,3,FALSE))</f>
        <v>EEZ</v>
      </c>
      <c r="T4222" s="2" t="str">
        <f>IF(C4222="Total", (VLOOKUP(B4222,Recommended_fish_intake!A$4:D$122,4,FALSE)), "NA")</f>
        <v>NA</v>
      </c>
      <c r="U4222" s="2" t="str">
        <f t="shared" si="393"/>
        <v>NA</v>
      </c>
    </row>
    <row r="4223" spans="1:21" ht="14.25" customHeight="1">
      <c r="A4223" s="2" t="s">
        <v>15</v>
      </c>
      <c r="B4223" s="2">
        <v>2010</v>
      </c>
      <c r="C4223" s="2" t="s">
        <v>36</v>
      </c>
      <c r="D4223" s="2">
        <v>26.9</v>
      </c>
      <c r="E4223" s="2">
        <v>35.5</v>
      </c>
      <c r="F4223" s="2">
        <v>15.2</v>
      </c>
      <c r="G4223" s="2">
        <v>46.2</v>
      </c>
      <c r="H4223" s="2">
        <v>2.2000000000000002</v>
      </c>
      <c r="I4223" s="2">
        <v>13.5</v>
      </c>
      <c r="P4223" s="3">
        <f>E4223*(VLOOKUP(B4223,Price_data!A$1:B$190,2,FALSE))</f>
        <v>27.042635220199998</v>
      </c>
      <c r="Q4223" s="3">
        <f>G4223*(VLOOKUP(B4223,Price_data!A$1:B$190,2,FALSE))</f>
        <v>35.193514004880001</v>
      </c>
      <c r="R4223" s="3">
        <f>I4223*(VLOOKUP(B4223,Price_data!A$1:B$190,2,FALSE))</f>
        <v>10.2838190274</v>
      </c>
      <c r="S4223" s="4" t="str">
        <f>(VLOOKUP(B4223,Price_data!A$1:C$190,3,FALSE))</f>
        <v>EEZ</v>
      </c>
      <c r="T4223" s="2" t="str">
        <f>IF(C4223="Total", (VLOOKUP(B4223,Recommended_fish_intake!A$4:D$122,4,FALSE)), "NA")</f>
        <v>NA</v>
      </c>
      <c r="U4223" s="2" t="str">
        <f t="shared" si="393"/>
        <v>NA</v>
      </c>
    </row>
    <row r="4224" spans="1:21" ht="14.25" customHeight="1">
      <c r="A4224" s="2" t="s">
        <v>15</v>
      </c>
      <c r="B4224" s="2">
        <v>2010</v>
      </c>
      <c r="C4224" s="2" t="s">
        <v>34</v>
      </c>
      <c r="D4224" s="2">
        <v>2.7</v>
      </c>
      <c r="E4224" s="2">
        <v>26.8</v>
      </c>
      <c r="F4224" s="2">
        <v>2.2999999999999998</v>
      </c>
      <c r="G4224" s="2">
        <v>29.8</v>
      </c>
      <c r="H4224" s="2">
        <v>1.3</v>
      </c>
      <c r="I4224" s="2">
        <v>11.6</v>
      </c>
      <c r="P4224" s="3">
        <f>E4224*(VLOOKUP(B4224,Price_data!A$1:B$190,2,FALSE))</f>
        <v>20.415285180319998</v>
      </c>
      <c r="Q4224" s="3">
        <f>G4224*(VLOOKUP(B4224,Price_data!A$1:B$190,2,FALSE))</f>
        <v>22.70057829752</v>
      </c>
      <c r="R4224" s="3">
        <f>I4224*(VLOOKUP(B4224,Price_data!A$1:B$190,2,FALSE))</f>
        <v>8.8364667198399989</v>
      </c>
      <c r="S4224" s="4" t="str">
        <f>(VLOOKUP(B4224,Price_data!A$1:C$190,3,FALSE))</f>
        <v>EEZ</v>
      </c>
      <c r="T4224" s="2" t="str">
        <f>IF(C4224="Total", (VLOOKUP(B4224,Recommended_fish_intake!A$4:D$122,4,FALSE)), "NA")</f>
        <v>NA</v>
      </c>
      <c r="U4224" s="2" t="str">
        <f t="shared" si="393"/>
        <v>NA</v>
      </c>
    </row>
    <row r="4225" spans="1:21" ht="14.25" customHeight="1">
      <c r="A4225" s="2" t="s">
        <v>15</v>
      </c>
      <c r="B4225" s="2">
        <v>2010</v>
      </c>
      <c r="C4225" s="2" t="s">
        <v>35</v>
      </c>
      <c r="D4225" s="2">
        <v>38.200000000000003</v>
      </c>
      <c r="E4225" s="2">
        <v>95.3</v>
      </c>
      <c r="F4225" s="2">
        <v>21</v>
      </c>
      <c r="G4225" s="2">
        <v>121.3</v>
      </c>
      <c r="H4225" s="2">
        <v>3</v>
      </c>
      <c r="I4225" s="2">
        <v>5.6</v>
      </c>
      <c r="P4225" s="3">
        <f>E4225*(VLOOKUP(B4225,Price_data!A$1:B$190,2,FALSE))</f>
        <v>72.596144689719992</v>
      </c>
      <c r="Q4225" s="3">
        <f>G4225*(VLOOKUP(B4225,Price_data!A$1:B$190,2,FALSE))</f>
        <v>92.402018372119997</v>
      </c>
      <c r="R4225" s="3">
        <f>I4225*(VLOOKUP(B4225,Price_data!A$1:B$190,2,FALSE))</f>
        <v>4.2658804854399994</v>
      </c>
      <c r="S4225" s="4" t="str">
        <f>(VLOOKUP(B4225,Price_data!A$1:C$190,3,FALSE))</f>
        <v>EEZ</v>
      </c>
      <c r="T4225" s="2" t="str">
        <f>IF(C4225="Total", (VLOOKUP(B4225,Recommended_fish_intake!A$4:D$122,4,FALSE)), "NA")</f>
        <v>NA</v>
      </c>
      <c r="U4225" s="2" t="str">
        <f t="shared" si="393"/>
        <v>NA</v>
      </c>
    </row>
    <row r="4226" spans="1:21" ht="14.25" customHeight="1">
      <c r="A4226" s="2" t="s">
        <v>15</v>
      </c>
      <c r="B4226" s="2">
        <v>2010</v>
      </c>
      <c r="C4226" s="2" t="s">
        <v>52</v>
      </c>
      <c r="D4226" s="2">
        <v>43.2</v>
      </c>
      <c r="E4226" s="2">
        <v>54.8</v>
      </c>
      <c r="F4226" s="2">
        <v>14.5</v>
      </c>
      <c r="G4226" s="2">
        <v>89.7</v>
      </c>
      <c r="H4226" s="2">
        <v>2.2000000000000002</v>
      </c>
      <c r="I4226" s="2">
        <v>19.600000000000001</v>
      </c>
      <c r="P4226" s="3">
        <f>E4226*(VLOOKUP(B4226,Price_data!A$1:B$190,2,FALSE))</f>
        <v>41.744687607519992</v>
      </c>
      <c r="Q4226" s="3">
        <f>G4226*(VLOOKUP(B4226,Price_data!A$1:B$190,2,FALSE))</f>
        <v>68.330264204279999</v>
      </c>
      <c r="R4226" s="3">
        <f>I4226*(VLOOKUP(B4226,Price_data!A$1:B$190,2,FALSE))</f>
        <v>14.930581699039999</v>
      </c>
      <c r="S4226" s="4" t="str">
        <f>(VLOOKUP(B4226,Price_data!A$1:C$190,3,FALSE))</f>
        <v>EEZ</v>
      </c>
      <c r="T4226" s="2" t="str">
        <f>IF(C4226="Total", (VLOOKUP(B4226,Recommended_fish_intake!A$4:D$122,4,FALSE)), "NA")</f>
        <v>NA</v>
      </c>
      <c r="U4226" s="2" t="str">
        <f t="shared" ref="U4226:U4289" si="395">IF(C4226="Wet fish", D4226*0.49, IF(C4226="Shellfish", D4226*0.28, "NA"))</f>
        <v>NA</v>
      </c>
    </row>
    <row r="4227" spans="1:21" ht="14.25" customHeight="1">
      <c r="A4227" s="2" t="s">
        <v>15</v>
      </c>
      <c r="B4227" s="2">
        <v>2010</v>
      </c>
      <c r="C4227" s="2" t="s">
        <v>30</v>
      </c>
      <c r="D4227" s="2">
        <v>0.9</v>
      </c>
      <c r="E4227" s="2">
        <v>2.1</v>
      </c>
      <c r="F4227" s="2">
        <v>16.5</v>
      </c>
      <c r="G4227" s="2">
        <v>82.9</v>
      </c>
      <c r="H4227" s="2">
        <v>86</v>
      </c>
      <c r="I4227" s="2">
        <v>432.6</v>
      </c>
      <c r="P4227" s="3">
        <f>E4227*(VLOOKUP(B4227,Price_data!A$1:B$190,2,FALSE))</f>
        <v>1.5997051820399999</v>
      </c>
      <c r="Q4227" s="3">
        <f>G4227*(VLOOKUP(B4227,Price_data!A$1:B$190,2,FALSE))</f>
        <v>63.150266471960002</v>
      </c>
      <c r="R4227" s="3">
        <f>I4227*(VLOOKUP(B4227,Price_data!A$1:B$190,2,FALSE))</f>
        <v>329.53926750023999</v>
      </c>
      <c r="S4227" s="4" t="str">
        <f>(VLOOKUP(B4227,Price_data!A$1:C$190,3,FALSE))</f>
        <v>EEZ</v>
      </c>
      <c r="T4227" s="2" t="str">
        <f>IF(C4227="Total", (VLOOKUP(B4227,Recommended_fish_intake!A$4:D$122,4,FALSE)), "NA")</f>
        <v>NA</v>
      </c>
      <c r="U4227" s="2" t="str">
        <f t="shared" si="395"/>
        <v>NA</v>
      </c>
    </row>
    <row r="4228" spans="1:21" ht="14.25" customHeight="1">
      <c r="A4228" s="2" t="s">
        <v>15</v>
      </c>
      <c r="B4228" s="2">
        <v>2010</v>
      </c>
      <c r="C4228" s="2" t="s">
        <v>28</v>
      </c>
      <c r="D4228" s="2">
        <v>139.4</v>
      </c>
      <c r="E4228" s="2">
        <v>248.2</v>
      </c>
      <c r="F4228" s="2">
        <v>98.4</v>
      </c>
      <c r="G4228" s="2">
        <v>441.4</v>
      </c>
      <c r="H4228" s="2">
        <v>115.6</v>
      </c>
      <c r="I4228" s="2">
        <v>538.6</v>
      </c>
      <c r="P4228" s="3">
        <f>E4228*(VLOOKUP(B4228,Price_data!A$1:B$190,2,FALSE))</f>
        <v>189.06991722967999</v>
      </c>
      <c r="Q4228" s="3">
        <f>G4228*(VLOOKUP(B4228,Price_data!A$1:B$190,2,FALSE))</f>
        <v>336.24279397735995</v>
      </c>
      <c r="R4228" s="3">
        <f>I4228*(VLOOKUP(B4228,Price_data!A$1:B$190,2,FALSE))</f>
        <v>410.28629097464</v>
      </c>
      <c r="S4228" s="4" t="str">
        <f>(VLOOKUP(B4228,Price_data!A$1:C$190,3,FALSE))</f>
        <v>EEZ</v>
      </c>
      <c r="T4228" s="2" t="str">
        <f>IF(C4228="Total", (VLOOKUP(B4228,Recommended_fish_intake!A$4:D$122,4,FALSE)), "NA")</f>
        <v>NA</v>
      </c>
      <c r="U4228" s="2">
        <f t="shared" si="395"/>
        <v>39.032000000000004</v>
      </c>
    </row>
    <row r="4229" spans="1:21" ht="14.25" customHeight="1">
      <c r="A4229" s="2" t="s">
        <v>15</v>
      </c>
      <c r="B4229" s="2">
        <v>2010</v>
      </c>
      <c r="C4229" s="2" t="s">
        <v>37</v>
      </c>
      <c r="D4229" s="3">
        <v>268.89999999999998</v>
      </c>
      <c r="E4229" s="3">
        <v>299.8</v>
      </c>
      <c r="F4229" s="2">
        <v>418.3</v>
      </c>
      <c r="G4229" s="2">
        <v>904.4</v>
      </c>
      <c r="H4229" s="2">
        <v>588.29999999999995</v>
      </c>
      <c r="I4229" s="2">
        <v>1716.1</v>
      </c>
      <c r="P4229" s="3">
        <f>E4229*(VLOOKUP(B4229,Price_data!A$1:B$190,2,FALSE))</f>
        <v>228.37695884551999</v>
      </c>
      <c r="Q4229" s="3">
        <f>G4229*(VLOOKUP(B4229,Price_data!A$1:B$190,2,FALSE))</f>
        <v>688.93969839855993</v>
      </c>
      <c r="R4229" s="3">
        <f>I4229*(VLOOKUP(B4229,Price_data!A$1:B$190,2,FALSE))</f>
        <v>1307.2638394756398</v>
      </c>
      <c r="S4229" s="4" t="str">
        <f>(VLOOKUP(B4229,Price_data!A$1:C$190,3,FALSE))</f>
        <v>EEZ</v>
      </c>
      <c r="T4229" s="2" t="str">
        <f>IF(C4229="Total", (VLOOKUP(B4229,Recommended_fish_intake!A$4:D$122,4,FALSE)), "NA")</f>
        <v>NA</v>
      </c>
      <c r="U4229" s="2">
        <f t="shared" si="395"/>
        <v>131.761</v>
      </c>
    </row>
    <row r="4230" spans="1:21" ht="14.25" customHeight="1">
      <c r="A4230" s="2" t="s">
        <v>90</v>
      </c>
      <c r="B4230" s="2">
        <v>2010</v>
      </c>
      <c r="C4230" s="2" t="s">
        <v>22</v>
      </c>
      <c r="D4230" s="2">
        <v>1.8</v>
      </c>
      <c r="E4230" s="2">
        <v>3.2</v>
      </c>
      <c r="P4230" s="3">
        <f>E4230*(VLOOKUP(B4230,Price_data!A$1:B$190,2,FALSE))</f>
        <v>2.4376459916800002</v>
      </c>
      <c r="Q4230" s="3">
        <f>G4230*(VLOOKUP(B4230,Price_data!A$1:B$190,2,FALSE))</f>
        <v>0</v>
      </c>
      <c r="R4230" s="3">
        <f>I4230*(VLOOKUP(B4230,Price_data!A$1:B$190,2,FALSE))</f>
        <v>0</v>
      </c>
      <c r="S4230" s="4" t="str">
        <f>(VLOOKUP(B4230,Price_data!A$1:C$190,3,FALSE))</f>
        <v>EEZ</v>
      </c>
      <c r="T4230" s="2" t="str">
        <f>IF(C4230="Total", (VLOOKUP(B4230,Recommended_fish_intake!A$4:D$122,4,FALSE)), "NA")</f>
        <v>NA</v>
      </c>
      <c r="U4230" s="2" t="str">
        <f t="shared" si="395"/>
        <v>NA</v>
      </c>
    </row>
    <row r="4231" spans="1:21" ht="14.25" customHeight="1">
      <c r="A4231" s="2" t="s">
        <v>90</v>
      </c>
      <c r="B4231" s="2">
        <v>2010</v>
      </c>
      <c r="C4231" s="2" t="s">
        <v>23</v>
      </c>
      <c r="D4231" s="2">
        <v>1.8</v>
      </c>
      <c r="E4231" s="2">
        <v>2</v>
      </c>
      <c r="P4231" s="3">
        <f>E4231*(VLOOKUP(B4231,Price_data!A$1:B$190,2,FALSE))</f>
        <v>1.5235287447999999</v>
      </c>
      <c r="Q4231" s="3">
        <f>G4231*(VLOOKUP(B4231,Price_data!A$1:B$190,2,FALSE))</f>
        <v>0</v>
      </c>
      <c r="R4231" s="3">
        <f>I4231*(VLOOKUP(B4231,Price_data!A$1:B$190,2,FALSE))</f>
        <v>0</v>
      </c>
      <c r="S4231" s="4" t="str">
        <f>(VLOOKUP(B4231,Price_data!A$1:C$190,3,FALSE))</f>
        <v>EEZ</v>
      </c>
      <c r="T4231" s="2" t="str">
        <f>IF(C4231="Total", (VLOOKUP(B4231,Recommended_fish_intake!A$4:D$122,4,FALSE)), "NA")</f>
        <v>NA</v>
      </c>
      <c r="U4231" s="2" t="str">
        <f t="shared" si="395"/>
        <v>NA</v>
      </c>
    </row>
    <row r="4232" spans="1:21" ht="14.25" customHeight="1">
      <c r="A4232" s="2" t="s">
        <v>90</v>
      </c>
      <c r="B4232" s="2">
        <v>2010</v>
      </c>
      <c r="C4232" s="2" t="s">
        <v>53</v>
      </c>
      <c r="D4232" s="2">
        <v>0.3</v>
      </c>
      <c r="E4232" s="2">
        <v>0.5</v>
      </c>
      <c r="P4232" s="3">
        <f>E4232*(VLOOKUP(B4232,Price_data!A$1:B$190,2,FALSE))</f>
        <v>0.38088218619999997</v>
      </c>
      <c r="Q4232" s="3">
        <f>G4232*(VLOOKUP(B4232,Price_data!A$1:B$190,2,FALSE))</f>
        <v>0</v>
      </c>
      <c r="R4232" s="3">
        <f>I4232*(VLOOKUP(B4232,Price_data!A$1:B$190,2,FALSE))</f>
        <v>0</v>
      </c>
      <c r="S4232" s="4" t="str">
        <f>(VLOOKUP(B4232,Price_data!A$1:C$190,3,FALSE))</f>
        <v>EEZ</v>
      </c>
      <c r="T4232" s="2" t="str">
        <f>IF(C4232="Total", (VLOOKUP(B4232,Recommended_fish_intake!A$4:D$122,4,FALSE)), "NA")</f>
        <v>NA</v>
      </c>
      <c r="U4232" s="2" t="str">
        <f t="shared" si="395"/>
        <v>NA</v>
      </c>
    </row>
    <row r="4233" spans="1:21" ht="14.25" customHeight="1">
      <c r="A4233" s="2" t="s">
        <v>90</v>
      </c>
      <c r="B4233" s="2">
        <v>2010</v>
      </c>
      <c r="C4233" s="2" t="s">
        <v>58</v>
      </c>
      <c r="D4233" s="2">
        <v>3</v>
      </c>
      <c r="E4233" s="2">
        <v>8.3000000000000007</v>
      </c>
      <c r="P4233" s="3">
        <f>E4233*(VLOOKUP(B4233,Price_data!A$1:B$190,2,FALSE))</f>
        <v>6.3226442909200005</v>
      </c>
      <c r="Q4233" s="3">
        <f>G4233*(VLOOKUP(B4233,Price_data!A$1:B$190,2,FALSE))</f>
        <v>0</v>
      </c>
      <c r="R4233" s="3">
        <f>I4233*(VLOOKUP(B4233,Price_data!A$1:B$190,2,FALSE))</f>
        <v>0</v>
      </c>
      <c r="S4233" s="4" t="str">
        <f>(VLOOKUP(B4233,Price_data!A$1:C$190,3,FALSE))</f>
        <v>EEZ</v>
      </c>
      <c r="T4233" s="2" t="str">
        <f>IF(C4233="Total", (VLOOKUP(B4233,Recommended_fish_intake!A$4:D$122,4,FALSE)), "NA")</f>
        <v>NA</v>
      </c>
      <c r="U4233" s="2" t="str">
        <f t="shared" si="395"/>
        <v>NA</v>
      </c>
    </row>
    <row r="4234" spans="1:21" ht="14.25" customHeight="1">
      <c r="A4234" s="2" t="s">
        <v>90</v>
      </c>
      <c r="B4234" s="2">
        <v>2010</v>
      </c>
      <c r="C4234" s="2" t="s">
        <v>38</v>
      </c>
      <c r="D4234" s="2">
        <v>0.1</v>
      </c>
      <c r="E4234" s="2">
        <v>0.1</v>
      </c>
      <c r="P4234" s="3">
        <f>E4234*(VLOOKUP(B4234,Price_data!A$1:B$190,2,FALSE))</f>
        <v>7.6176437240000006E-2</v>
      </c>
      <c r="Q4234" s="3">
        <f>G4234*(VLOOKUP(B4234,Price_data!A$1:B$190,2,FALSE))</f>
        <v>0</v>
      </c>
      <c r="R4234" s="3">
        <f>I4234*(VLOOKUP(B4234,Price_data!A$1:B$190,2,FALSE))</f>
        <v>0</v>
      </c>
      <c r="S4234" s="4" t="str">
        <f>(VLOOKUP(B4234,Price_data!A$1:C$190,3,FALSE))</f>
        <v>EEZ</v>
      </c>
      <c r="T4234" s="2" t="str">
        <f>IF(C4234="Total", (VLOOKUP(B4234,Recommended_fish_intake!A$4:D$122,4,FALSE)), "NA")</f>
        <v>NA</v>
      </c>
      <c r="U4234" s="2" t="str">
        <f t="shared" si="395"/>
        <v>NA</v>
      </c>
    </row>
    <row r="4235" spans="1:21" ht="14.25" customHeight="1">
      <c r="A4235" s="2" t="s">
        <v>90</v>
      </c>
      <c r="B4235" s="2">
        <v>2010</v>
      </c>
      <c r="C4235" s="2" t="s">
        <v>63</v>
      </c>
      <c r="D4235" s="2">
        <v>1.7</v>
      </c>
      <c r="E4235" s="2">
        <v>13.8</v>
      </c>
      <c r="P4235" s="3">
        <f>E4235*(VLOOKUP(B4235,Price_data!A$1:B$190,2,FALSE))</f>
        <v>10.512348339119999</v>
      </c>
      <c r="Q4235" s="3">
        <f>G4235*(VLOOKUP(B4235,Price_data!A$1:B$190,2,FALSE))</f>
        <v>0</v>
      </c>
      <c r="R4235" s="3">
        <f>I4235*(VLOOKUP(B4235,Price_data!A$1:B$190,2,FALSE))</f>
        <v>0</v>
      </c>
      <c r="S4235" s="4" t="str">
        <f>(VLOOKUP(B4235,Price_data!A$1:C$190,3,FALSE))</f>
        <v>EEZ</v>
      </c>
      <c r="T4235" s="2" t="str">
        <f>IF(C4235="Total", (VLOOKUP(B4235,Recommended_fish_intake!A$4:D$122,4,FALSE)), "NA")</f>
        <v>NA</v>
      </c>
      <c r="U4235" s="2" t="str">
        <f t="shared" si="395"/>
        <v>NA</v>
      </c>
    </row>
    <row r="4236" spans="1:21" ht="14.25" customHeight="1">
      <c r="A4236" s="2" t="s">
        <v>90</v>
      </c>
      <c r="B4236" s="2">
        <v>2010</v>
      </c>
      <c r="C4236" s="2" t="s">
        <v>24</v>
      </c>
      <c r="D4236" s="2">
        <v>1.8</v>
      </c>
      <c r="E4236" s="2">
        <v>1.3</v>
      </c>
      <c r="P4236" s="3">
        <f>E4236*(VLOOKUP(B4236,Price_data!A$1:B$190,2,FALSE))</f>
        <v>0.99029368411999996</v>
      </c>
      <c r="Q4236" s="3">
        <f>G4236*(VLOOKUP(B4236,Price_data!A$1:B$190,2,FALSE))</f>
        <v>0</v>
      </c>
      <c r="R4236" s="3">
        <f>I4236*(VLOOKUP(B4236,Price_data!A$1:B$190,2,FALSE))</f>
        <v>0</v>
      </c>
      <c r="S4236" s="4" t="str">
        <f>(VLOOKUP(B4236,Price_data!A$1:C$190,3,FALSE))</f>
        <v>EEZ</v>
      </c>
      <c r="T4236" s="2" t="str">
        <f>IF(C4236="Total", (VLOOKUP(B4236,Recommended_fish_intake!A$4:D$122,4,FALSE)), "NA")</f>
        <v>NA</v>
      </c>
      <c r="U4236" s="2" t="str">
        <f t="shared" si="395"/>
        <v>NA</v>
      </c>
    </row>
    <row r="4237" spans="1:21" ht="14.25" customHeight="1">
      <c r="A4237" s="2" t="s">
        <v>90</v>
      </c>
      <c r="B4237" s="2">
        <v>2010</v>
      </c>
      <c r="C4237" s="2" t="s">
        <v>41</v>
      </c>
      <c r="D4237" s="2">
        <v>23.1</v>
      </c>
      <c r="E4237" s="2">
        <v>56.7</v>
      </c>
      <c r="P4237" s="3">
        <f>E4237*(VLOOKUP(B4237,Price_data!A$1:B$190,2,FALSE))</f>
        <v>43.192039915080002</v>
      </c>
      <c r="Q4237" s="3">
        <f>G4237*(VLOOKUP(B4237,Price_data!A$1:B$190,2,FALSE))</f>
        <v>0</v>
      </c>
      <c r="R4237" s="3">
        <f>I4237*(VLOOKUP(B4237,Price_data!A$1:B$190,2,FALSE))</f>
        <v>0</v>
      </c>
      <c r="S4237" s="4" t="str">
        <f>(VLOOKUP(B4237,Price_data!A$1:C$190,3,FALSE))</f>
        <v>EEZ</v>
      </c>
      <c r="T4237" s="2" t="str">
        <f>IF(C4237="Total", (VLOOKUP(B4237,Recommended_fish_intake!A$4:D$122,4,FALSE)), "NA")</f>
        <v>NA</v>
      </c>
      <c r="U4237" s="2" t="str">
        <f t="shared" si="395"/>
        <v>NA</v>
      </c>
    </row>
    <row r="4238" spans="1:21" ht="14.25" customHeight="1">
      <c r="A4238" s="2" t="s">
        <v>90</v>
      </c>
      <c r="B4238" s="2">
        <v>2010</v>
      </c>
      <c r="C4238" s="2" t="s">
        <v>19</v>
      </c>
      <c r="D4238" s="2">
        <v>2.5</v>
      </c>
      <c r="E4238" s="2">
        <v>0.7</v>
      </c>
      <c r="P4238" s="3">
        <f>E4238*(VLOOKUP(B4238,Price_data!A$1:B$190,2,FALSE))</f>
        <v>0.53323506067999993</v>
      </c>
      <c r="Q4238" s="3">
        <f>G4238*(VLOOKUP(B4238,Price_data!A$1:B$190,2,FALSE))</f>
        <v>0</v>
      </c>
      <c r="R4238" s="3">
        <f>I4238*(VLOOKUP(B4238,Price_data!A$1:B$190,2,FALSE))</f>
        <v>0</v>
      </c>
      <c r="S4238" s="4" t="str">
        <f>(VLOOKUP(B4238,Price_data!A$1:C$190,3,FALSE))</f>
        <v>EEZ</v>
      </c>
      <c r="T4238" s="2" t="str">
        <f>IF(C4238="Total", (VLOOKUP(B4238,Recommended_fish_intake!A$4:D$122,4,FALSE)), "NA")</f>
        <v>NA</v>
      </c>
      <c r="U4238" s="2" t="str">
        <f t="shared" si="395"/>
        <v>NA</v>
      </c>
    </row>
    <row r="4239" spans="1:21" ht="14.25" customHeight="1">
      <c r="A4239" s="2" t="s">
        <v>90</v>
      </c>
      <c r="B4239" s="2">
        <v>2010</v>
      </c>
      <c r="C4239" s="2" t="s">
        <v>20</v>
      </c>
      <c r="D4239" s="2">
        <v>2</v>
      </c>
      <c r="E4239" s="2">
        <v>1.8</v>
      </c>
      <c r="P4239" s="3">
        <f>E4239*(VLOOKUP(B4239,Price_data!A$1:B$190,2,FALSE))</f>
        <v>1.3711758703199999</v>
      </c>
      <c r="Q4239" s="3">
        <f>G4239*(VLOOKUP(B4239,Price_data!A$1:B$190,2,FALSE))</f>
        <v>0</v>
      </c>
      <c r="R4239" s="3">
        <f>I4239*(VLOOKUP(B4239,Price_data!A$1:B$190,2,FALSE))</f>
        <v>0</v>
      </c>
      <c r="S4239" s="4" t="str">
        <f>(VLOOKUP(B4239,Price_data!A$1:C$190,3,FALSE))</f>
        <v>EEZ</v>
      </c>
      <c r="T4239" s="2" t="str">
        <f>IF(C4239="Total", (VLOOKUP(B4239,Recommended_fish_intake!A$4:D$122,4,FALSE)), "NA")</f>
        <v>NA</v>
      </c>
      <c r="U4239" s="2" t="str">
        <f t="shared" si="395"/>
        <v>NA</v>
      </c>
    </row>
    <row r="4240" spans="1:21" ht="14.25" customHeight="1">
      <c r="A4240" s="2" t="s">
        <v>90</v>
      </c>
      <c r="B4240" s="2">
        <v>2010</v>
      </c>
      <c r="C4240" s="2" t="s">
        <v>42</v>
      </c>
      <c r="D4240" s="2">
        <v>16.3</v>
      </c>
      <c r="E4240" s="2">
        <v>5.5</v>
      </c>
      <c r="P4240" s="3">
        <f>E4240*(VLOOKUP(B4240,Price_data!A$1:B$190,2,FALSE))</f>
        <v>4.1897040481999994</v>
      </c>
      <c r="Q4240" s="3">
        <f>G4240*(VLOOKUP(B4240,Price_data!A$1:B$190,2,FALSE))</f>
        <v>0</v>
      </c>
      <c r="R4240" s="3">
        <f>I4240*(VLOOKUP(B4240,Price_data!A$1:B$190,2,FALSE))</f>
        <v>0</v>
      </c>
      <c r="S4240" s="4" t="str">
        <f>(VLOOKUP(B4240,Price_data!A$1:C$190,3,FALSE))</f>
        <v>EEZ</v>
      </c>
      <c r="T4240" s="2" t="str">
        <f>IF(C4240="Total", (VLOOKUP(B4240,Recommended_fish_intake!A$4:D$122,4,FALSE)), "NA")</f>
        <v>NA</v>
      </c>
      <c r="U4240" s="2" t="str">
        <f t="shared" si="395"/>
        <v>NA</v>
      </c>
    </row>
    <row r="4241" spans="1:21" ht="14.25" customHeight="1">
      <c r="A4241" s="2" t="s">
        <v>90</v>
      </c>
      <c r="B4241" s="2">
        <v>2010</v>
      </c>
      <c r="C4241" s="2" t="s">
        <v>36</v>
      </c>
      <c r="D4241" s="2">
        <v>10.7</v>
      </c>
      <c r="E4241" s="2">
        <v>13.4</v>
      </c>
      <c r="P4241" s="3">
        <f>E4241*(VLOOKUP(B4241,Price_data!A$1:B$190,2,FALSE))</f>
        <v>10.207642590159999</v>
      </c>
      <c r="Q4241" s="3">
        <f>G4241*(VLOOKUP(B4241,Price_data!A$1:B$190,2,FALSE))</f>
        <v>0</v>
      </c>
      <c r="R4241" s="3">
        <f>I4241*(VLOOKUP(B4241,Price_data!A$1:B$190,2,FALSE))</f>
        <v>0</v>
      </c>
      <c r="S4241" s="4" t="str">
        <f>(VLOOKUP(B4241,Price_data!A$1:C$190,3,FALSE))</f>
        <v>EEZ</v>
      </c>
      <c r="T4241" s="2" t="str">
        <f>IF(C4241="Total", (VLOOKUP(B4241,Recommended_fish_intake!A$4:D$122,4,FALSE)), "NA")</f>
        <v>NA</v>
      </c>
      <c r="U4241" s="2" t="str">
        <f t="shared" si="395"/>
        <v>NA</v>
      </c>
    </row>
    <row r="4242" spans="1:21" ht="14.25" customHeight="1">
      <c r="A4242" s="2" t="s">
        <v>90</v>
      </c>
      <c r="B4242" s="2">
        <v>2010</v>
      </c>
      <c r="C4242" s="2" t="s">
        <v>34</v>
      </c>
      <c r="D4242" s="2">
        <v>1.3</v>
      </c>
      <c r="E4242" s="2">
        <v>12.2</v>
      </c>
      <c r="P4242" s="3">
        <f>E4242*(VLOOKUP(B4242,Price_data!A$1:B$190,2,FALSE))</f>
        <v>9.2935253432799989</v>
      </c>
      <c r="Q4242" s="3">
        <f>G4242*(VLOOKUP(B4242,Price_data!A$1:B$190,2,FALSE))</f>
        <v>0</v>
      </c>
      <c r="R4242" s="3">
        <f>I4242*(VLOOKUP(B4242,Price_data!A$1:B$190,2,FALSE))</f>
        <v>0</v>
      </c>
      <c r="S4242" s="4" t="str">
        <f>(VLOOKUP(B4242,Price_data!A$1:C$190,3,FALSE))</f>
        <v>EEZ</v>
      </c>
      <c r="T4242" s="2" t="str">
        <f>IF(C4242="Total", (VLOOKUP(B4242,Recommended_fish_intake!A$4:D$122,4,FALSE)), "NA")</f>
        <v>NA</v>
      </c>
      <c r="U4242" s="2" t="str">
        <f t="shared" si="395"/>
        <v>NA</v>
      </c>
    </row>
    <row r="4243" spans="1:21" ht="14.25" customHeight="1">
      <c r="A4243" s="2" t="s">
        <v>90</v>
      </c>
      <c r="B4243" s="2">
        <v>2010</v>
      </c>
      <c r="C4243" s="2" t="s">
        <v>35</v>
      </c>
      <c r="D4243" s="2">
        <v>2.2000000000000002</v>
      </c>
      <c r="E4243" s="2">
        <v>4.8</v>
      </c>
      <c r="P4243" s="3">
        <f>E4243*(VLOOKUP(B4243,Price_data!A$1:B$190,2,FALSE))</f>
        <v>3.6564689875199994</v>
      </c>
      <c r="Q4243" s="3">
        <f>G4243*(VLOOKUP(B4243,Price_data!A$1:B$190,2,FALSE))</f>
        <v>0</v>
      </c>
      <c r="R4243" s="3">
        <f>I4243*(VLOOKUP(B4243,Price_data!A$1:B$190,2,FALSE))</f>
        <v>0</v>
      </c>
      <c r="S4243" s="4" t="str">
        <f>(VLOOKUP(B4243,Price_data!A$1:C$190,3,FALSE))</f>
        <v>EEZ</v>
      </c>
      <c r="T4243" s="2" t="str">
        <f>IF(C4243="Total", (VLOOKUP(B4243,Recommended_fish_intake!A$4:D$122,4,FALSE)), "NA")</f>
        <v>NA</v>
      </c>
      <c r="U4243" s="2" t="str">
        <f t="shared" si="395"/>
        <v>NA</v>
      </c>
    </row>
    <row r="4244" spans="1:21" ht="14.25" customHeight="1">
      <c r="A4244" s="2" t="s">
        <v>90</v>
      </c>
      <c r="B4244" s="2">
        <v>2010</v>
      </c>
      <c r="C4244" s="2" t="s">
        <v>52</v>
      </c>
      <c r="D4244" s="2">
        <v>18.899999999999999</v>
      </c>
      <c r="E4244" s="2">
        <v>27.6</v>
      </c>
      <c r="P4244" s="3">
        <f>E4244*(VLOOKUP(B4244,Price_data!A$1:B$190,2,FALSE))</f>
        <v>21.024696678239998</v>
      </c>
      <c r="Q4244" s="3">
        <f>G4244*(VLOOKUP(B4244,Price_data!A$1:B$190,2,FALSE))</f>
        <v>0</v>
      </c>
      <c r="R4244" s="3">
        <f>I4244*(VLOOKUP(B4244,Price_data!A$1:B$190,2,FALSE))</f>
        <v>0</v>
      </c>
      <c r="S4244" s="4" t="str">
        <f>(VLOOKUP(B4244,Price_data!A$1:C$190,3,FALSE))</f>
        <v>EEZ</v>
      </c>
      <c r="T4244" s="2" t="str">
        <f>IF(C4244="Total", (VLOOKUP(B4244,Recommended_fish_intake!A$4:D$122,4,FALSE)), "NA")</f>
        <v>NA</v>
      </c>
      <c r="U4244" s="2" t="str">
        <f t="shared" si="395"/>
        <v>NA</v>
      </c>
    </row>
    <row r="4245" spans="1:21" ht="14.25" customHeight="1">
      <c r="A4245" s="2" t="s">
        <v>90</v>
      </c>
      <c r="B4245" s="2">
        <v>2010</v>
      </c>
      <c r="C4245" s="2" t="s">
        <v>30</v>
      </c>
      <c r="D4245" s="2">
        <v>0.9</v>
      </c>
      <c r="E4245" s="2">
        <v>1.9</v>
      </c>
      <c r="P4245" s="3">
        <f>E4245*(VLOOKUP(B4245,Price_data!A$1:B$190,2,FALSE))</f>
        <v>1.4473523075599999</v>
      </c>
      <c r="Q4245" s="3">
        <f>G4245*(VLOOKUP(B4245,Price_data!A$1:B$190,2,FALSE))</f>
        <v>0</v>
      </c>
      <c r="R4245" s="3">
        <f>I4245*(VLOOKUP(B4245,Price_data!A$1:B$190,2,FALSE))</f>
        <v>0</v>
      </c>
      <c r="S4245" s="4" t="str">
        <f>(VLOOKUP(B4245,Price_data!A$1:C$190,3,FALSE))</f>
        <v>EEZ</v>
      </c>
      <c r="T4245" s="2" t="str">
        <f>IF(C4245="Total", (VLOOKUP(B4245,Recommended_fish_intake!A$4:D$122,4,FALSE)), "NA")</f>
        <v>NA</v>
      </c>
      <c r="U4245" s="2" t="str">
        <f t="shared" si="395"/>
        <v>NA</v>
      </c>
    </row>
    <row r="4246" spans="1:21" ht="14.25" customHeight="1">
      <c r="A4246" s="2" t="s">
        <v>90</v>
      </c>
      <c r="B4246" s="2">
        <v>2010</v>
      </c>
      <c r="C4246" s="2" t="s">
        <v>28</v>
      </c>
      <c r="D4246" s="2">
        <v>51.2</v>
      </c>
      <c r="E4246" s="2">
        <v>78.3</v>
      </c>
      <c r="P4246" s="3">
        <f>E4246*(VLOOKUP(B4246,Price_data!A$1:B$190,2,FALSE))</f>
        <v>59.646150358919996</v>
      </c>
      <c r="Q4246" s="3">
        <f>G4246*(VLOOKUP(B4246,Price_data!A$1:B$190,2,FALSE))</f>
        <v>0</v>
      </c>
      <c r="R4246" s="3">
        <f>I4246*(VLOOKUP(B4246,Price_data!A$1:B$190,2,FALSE))</f>
        <v>0</v>
      </c>
      <c r="S4246" s="4" t="str">
        <f>(VLOOKUP(B4246,Price_data!A$1:C$190,3,FALSE))</f>
        <v>EEZ</v>
      </c>
      <c r="T4246" s="2" t="str">
        <f>IF(C4246="Total", (VLOOKUP(B4246,Recommended_fish_intake!A$4:D$122,4,FALSE)), "NA")</f>
        <v>NA</v>
      </c>
      <c r="U4246" s="2">
        <f t="shared" si="395"/>
        <v>14.336000000000002</v>
      </c>
    </row>
    <row r="4247" spans="1:21" ht="14.25" customHeight="1">
      <c r="A4247" s="2" t="s">
        <v>91</v>
      </c>
      <c r="B4247" s="2">
        <v>2010</v>
      </c>
      <c r="C4247" s="2" t="s">
        <v>22</v>
      </c>
      <c r="D4247" s="2">
        <v>1.4999999999999999E-2</v>
      </c>
      <c r="E4247" s="2">
        <v>0.03</v>
      </c>
      <c r="P4247" s="3">
        <f>E4247*(VLOOKUP(B4247,Price_data!A$1:B$190,2,FALSE))</f>
        <v>2.2852931171999998E-2</v>
      </c>
      <c r="Q4247" s="3">
        <f>G4247*(VLOOKUP(B4247,Price_data!A$1:B$190,2,FALSE))</f>
        <v>0</v>
      </c>
      <c r="R4247" s="3">
        <f>I4247*(VLOOKUP(B4247,Price_data!A$1:B$190,2,FALSE))</f>
        <v>0</v>
      </c>
      <c r="S4247" s="4" t="str">
        <f>(VLOOKUP(B4247,Price_data!A$1:C$190,3,FALSE))</f>
        <v>EEZ</v>
      </c>
      <c r="T4247" s="2" t="str">
        <f>IF(C4247="Total", (VLOOKUP(B4247,Recommended_fish_intake!A$4:D$122,4,FALSE)), "NA")</f>
        <v>NA</v>
      </c>
      <c r="U4247" s="2" t="str">
        <f t="shared" si="395"/>
        <v>NA</v>
      </c>
    </row>
    <row r="4248" spans="1:21" ht="14.25" customHeight="1">
      <c r="A4248" s="2" t="s">
        <v>91</v>
      </c>
      <c r="B4248" s="2">
        <v>2010</v>
      </c>
      <c r="C4248" s="2" t="s">
        <v>23</v>
      </c>
      <c r="D4248" s="2">
        <v>2.5999999999999999E-2</v>
      </c>
      <c r="E4248" s="2">
        <v>2.4E-2</v>
      </c>
      <c r="P4248" s="3">
        <f>E4248*(VLOOKUP(B4248,Price_data!A$1:B$190,2,FALSE))</f>
        <v>1.82823449376E-2</v>
      </c>
      <c r="Q4248" s="3">
        <f>G4248*(VLOOKUP(B4248,Price_data!A$1:B$190,2,FALSE))</f>
        <v>0</v>
      </c>
      <c r="R4248" s="3">
        <f>I4248*(VLOOKUP(B4248,Price_data!A$1:B$190,2,FALSE))</f>
        <v>0</v>
      </c>
      <c r="S4248" s="4" t="str">
        <f>(VLOOKUP(B4248,Price_data!A$1:C$190,3,FALSE))</f>
        <v>EEZ</v>
      </c>
      <c r="T4248" s="2" t="str">
        <f>IF(C4248="Total", (VLOOKUP(B4248,Recommended_fish_intake!A$4:D$122,4,FALSE)), "NA")</f>
        <v>NA</v>
      </c>
      <c r="U4248" s="2" t="str">
        <f t="shared" si="395"/>
        <v>NA</v>
      </c>
    </row>
    <row r="4249" spans="1:21" ht="14.25" customHeight="1">
      <c r="A4249" s="2" t="s">
        <v>91</v>
      </c>
      <c r="B4249" s="2">
        <v>2010</v>
      </c>
      <c r="C4249" s="2" t="s">
        <v>53</v>
      </c>
      <c r="D4249" s="2">
        <v>0.13500000000000001</v>
      </c>
      <c r="E4249" s="2">
        <v>0.19700000000000001</v>
      </c>
      <c r="P4249" s="3">
        <f>E4249*(VLOOKUP(B4249,Price_data!A$1:B$190,2,FALSE))</f>
        <v>0.15006758136279999</v>
      </c>
      <c r="Q4249" s="3">
        <f>G4249*(VLOOKUP(B4249,Price_data!A$1:B$190,2,FALSE))</f>
        <v>0</v>
      </c>
      <c r="R4249" s="3">
        <f>I4249*(VLOOKUP(B4249,Price_data!A$1:B$190,2,FALSE))</f>
        <v>0</v>
      </c>
      <c r="S4249" s="4" t="str">
        <f>(VLOOKUP(B4249,Price_data!A$1:C$190,3,FALSE))</f>
        <v>EEZ</v>
      </c>
      <c r="T4249" s="2" t="str">
        <f>IF(C4249="Total", (VLOOKUP(B4249,Recommended_fish_intake!A$4:D$122,4,FALSE)), "NA")</f>
        <v>NA</v>
      </c>
      <c r="U4249" s="2" t="str">
        <f t="shared" si="395"/>
        <v>NA</v>
      </c>
    </row>
    <row r="4250" spans="1:21" ht="14.25" customHeight="1">
      <c r="A4250" s="2" t="s">
        <v>91</v>
      </c>
      <c r="B4250" s="2">
        <v>2010</v>
      </c>
      <c r="C4250" s="2" t="s">
        <v>58</v>
      </c>
      <c r="D4250" s="2">
        <v>0.41799999999999998</v>
      </c>
      <c r="E4250" s="2">
        <v>1.8660000000000001</v>
      </c>
      <c r="P4250" s="3">
        <f>E4250*(VLOOKUP(B4250,Price_data!A$1:B$190,2,FALSE))</f>
        <v>1.4214523188984001</v>
      </c>
      <c r="Q4250" s="3">
        <f>G4250*(VLOOKUP(B4250,Price_data!A$1:B$190,2,FALSE))</f>
        <v>0</v>
      </c>
      <c r="R4250" s="3">
        <f>I4250*(VLOOKUP(B4250,Price_data!A$1:B$190,2,FALSE))</f>
        <v>0</v>
      </c>
      <c r="S4250" s="4" t="str">
        <f>(VLOOKUP(B4250,Price_data!A$1:C$190,3,FALSE))</f>
        <v>EEZ</v>
      </c>
      <c r="T4250" s="2" t="str">
        <f>IF(C4250="Total", (VLOOKUP(B4250,Recommended_fish_intake!A$4:D$122,4,FALSE)), "NA")</f>
        <v>NA</v>
      </c>
      <c r="U4250" s="2" t="str">
        <f t="shared" si="395"/>
        <v>NA</v>
      </c>
    </row>
    <row r="4251" spans="1:21" ht="14.25" customHeight="1">
      <c r="A4251" s="2" t="s">
        <v>91</v>
      </c>
      <c r="B4251" s="2">
        <v>2010</v>
      </c>
      <c r="C4251" s="2" t="s">
        <v>38</v>
      </c>
      <c r="D4251" s="2">
        <v>3.0000000000000001E-3</v>
      </c>
      <c r="E4251" s="2">
        <v>4.0000000000000001E-3</v>
      </c>
      <c r="P4251" s="3">
        <f>E4251*(VLOOKUP(B4251,Price_data!A$1:B$190,2,FALSE))</f>
        <v>3.0470574896E-3</v>
      </c>
      <c r="Q4251" s="3">
        <f>G4251*(VLOOKUP(B4251,Price_data!A$1:B$190,2,FALSE))</f>
        <v>0</v>
      </c>
      <c r="R4251" s="3">
        <f>I4251*(VLOOKUP(B4251,Price_data!A$1:B$190,2,FALSE))</f>
        <v>0</v>
      </c>
      <c r="S4251" s="4" t="str">
        <f>(VLOOKUP(B4251,Price_data!A$1:C$190,3,FALSE))</f>
        <v>EEZ</v>
      </c>
      <c r="T4251" s="2" t="str">
        <f>IF(C4251="Total", (VLOOKUP(B4251,Recommended_fish_intake!A$4:D$122,4,FALSE)), "NA")</f>
        <v>NA</v>
      </c>
      <c r="U4251" s="2" t="str">
        <f t="shared" si="395"/>
        <v>NA</v>
      </c>
    </row>
    <row r="4252" spans="1:21" ht="14.25" customHeight="1">
      <c r="A4252" s="2" t="s">
        <v>91</v>
      </c>
      <c r="B4252" s="2">
        <v>2010</v>
      </c>
      <c r="C4252" s="2" t="s">
        <v>63</v>
      </c>
      <c r="D4252" s="2">
        <v>2.1999999999999999E-2</v>
      </c>
      <c r="E4252" s="2">
        <v>0.157</v>
      </c>
      <c r="P4252" s="3">
        <f>E4252*(VLOOKUP(B4252,Price_data!A$1:B$190,2,FALSE))</f>
        <v>0.11959700646679999</v>
      </c>
      <c r="Q4252" s="3">
        <f>G4252*(VLOOKUP(B4252,Price_data!A$1:B$190,2,FALSE))</f>
        <v>0</v>
      </c>
      <c r="R4252" s="3">
        <f>I4252*(VLOOKUP(B4252,Price_data!A$1:B$190,2,FALSE))</f>
        <v>0</v>
      </c>
      <c r="S4252" s="4" t="str">
        <f>(VLOOKUP(B4252,Price_data!A$1:C$190,3,FALSE))</f>
        <v>EEZ</v>
      </c>
      <c r="T4252" s="2" t="str">
        <f>IF(C4252="Total", (VLOOKUP(B4252,Recommended_fish_intake!A$4:D$122,4,FALSE)), "NA")</f>
        <v>NA</v>
      </c>
      <c r="U4252" s="2" t="str">
        <f t="shared" si="395"/>
        <v>NA</v>
      </c>
    </row>
    <row r="4253" spans="1:21" ht="14.25" customHeight="1">
      <c r="A4253" s="2" t="s">
        <v>91</v>
      </c>
      <c r="B4253" s="2">
        <v>2010</v>
      </c>
      <c r="C4253" s="2" t="s">
        <v>24</v>
      </c>
      <c r="D4253" s="2">
        <v>2.5999999999999999E-2</v>
      </c>
      <c r="E4253" s="2">
        <v>2.1999999999999999E-2</v>
      </c>
      <c r="P4253" s="3">
        <f>E4253*(VLOOKUP(B4253,Price_data!A$1:B$190,2,FALSE))</f>
        <v>1.6758816192799997E-2</v>
      </c>
      <c r="Q4253" s="3">
        <f>G4253*(VLOOKUP(B4253,Price_data!A$1:B$190,2,FALSE))</f>
        <v>0</v>
      </c>
      <c r="R4253" s="3">
        <f>I4253*(VLOOKUP(B4253,Price_data!A$1:B$190,2,FALSE))</f>
        <v>0</v>
      </c>
      <c r="S4253" s="4" t="str">
        <f>(VLOOKUP(B4253,Price_data!A$1:C$190,3,FALSE))</f>
        <v>EEZ</v>
      </c>
      <c r="T4253" s="2" t="str">
        <f>IF(C4253="Total", (VLOOKUP(B4253,Recommended_fish_intake!A$4:D$122,4,FALSE)), "NA")</f>
        <v>NA</v>
      </c>
      <c r="U4253" s="2" t="str">
        <f t="shared" si="395"/>
        <v>NA</v>
      </c>
    </row>
    <row r="4254" spans="1:21" ht="14.25" customHeight="1">
      <c r="A4254" s="2" t="s">
        <v>91</v>
      </c>
      <c r="B4254" s="2">
        <v>2010</v>
      </c>
      <c r="C4254" s="2" t="s">
        <v>41</v>
      </c>
      <c r="D4254" s="2">
        <v>1.968</v>
      </c>
      <c r="E4254" s="2">
        <v>6.0880000000000001</v>
      </c>
      <c r="P4254" s="3">
        <f>E4254*(VLOOKUP(B4254,Price_data!A$1:B$190,2,FALSE))</f>
        <v>4.6376214991711997</v>
      </c>
      <c r="Q4254" s="3">
        <f>G4254*(VLOOKUP(B4254,Price_data!A$1:B$190,2,FALSE))</f>
        <v>0</v>
      </c>
      <c r="R4254" s="3">
        <f>I4254*(VLOOKUP(B4254,Price_data!A$1:B$190,2,FALSE))</f>
        <v>0</v>
      </c>
      <c r="S4254" s="4" t="str">
        <f>(VLOOKUP(B4254,Price_data!A$1:C$190,3,FALSE))</f>
        <v>EEZ</v>
      </c>
      <c r="T4254" s="2" t="str">
        <f>IF(C4254="Total", (VLOOKUP(B4254,Recommended_fish_intake!A$4:D$122,4,FALSE)), "NA")</f>
        <v>NA</v>
      </c>
      <c r="U4254" s="2" t="str">
        <f t="shared" si="395"/>
        <v>NA</v>
      </c>
    </row>
    <row r="4255" spans="1:21" ht="14.25" customHeight="1">
      <c r="A4255" s="2" t="s">
        <v>91</v>
      </c>
      <c r="B4255" s="2">
        <v>2010</v>
      </c>
      <c r="C4255" s="2" t="s">
        <v>19</v>
      </c>
      <c r="D4255" s="2">
        <v>1E-3</v>
      </c>
      <c r="E4255" s="2">
        <v>0</v>
      </c>
      <c r="P4255" s="3">
        <f>E4255*(VLOOKUP(B4255,Price_data!A$1:B$190,2,FALSE))</f>
        <v>0</v>
      </c>
      <c r="Q4255" s="3">
        <f>G4255*(VLOOKUP(B4255,Price_data!A$1:B$190,2,FALSE))</f>
        <v>0</v>
      </c>
      <c r="R4255" s="3">
        <f>I4255*(VLOOKUP(B4255,Price_data!A$1:B$190,2,FALSE))</f>
        <v>0</v>
      </c>
      <c r="S4255" s="4" t="str">
        <f>(VLOOKUP(B4255,Price_data!A$1:C$190,3,FALSE))</f>
        <v>EEZ</v>
      </c>
      <c r="T4255" s="2" t="str">
        <f>IF(C4255="Total", (VLOOKUP(B4255,Recommended_fish_intake!A$4:D$122,4,FALSE)), "NA")</f>
        <v>NA</v>
      </c>
      <c r="U4255" s="2" t="str">
        <f t="shared" si="395"/>
        <v>NA</v>
      </c>
    </row>
    <row r="4256" spans="1:21" ht="14.25" customHeight="1">
      <c r="A4256" s="2" t="s">
        <v>91</v>
      </c>
      <c r="B4256" s="2">
        <v>2010</v>
      </c>
      <c r="C4256" s="2" t="s">
        <v>20</v>
      </c>
      <c r="D4256" s="2">
        <v>5.0000000000000001E-3</v>
      </c>
      <c r="E4256" s="2">
        <v>8.0000000000000002E-3</v>
      </c>
      <c r="P4256" s="3">
        <f>E4256*(VLOOKUP(B4256,Price_data!A$1:B$190,2,FALSE))</f>
        <v>6.0941149792E-3</v>
      </c>
      <c r="Q4256" s="3">
        <f>G4256*(VLOOKUP(B4256,Price_data!A$1:B$190,2,FALSE))</f>
        <v>0</v>
      </c>
      <c r="R4256" s="3">
        <f>I4256*(VLOOKUP(B4256,Price_data!A$1:B$190,2,FALSE))</f>
        <v>0</v>
      </c>
      <c r="S4256" s="4" t="str">
        <f>(VLOOKUP(B4256,Price_data!A$1:C$190,3,FALSE))</f>
        <v>EEZ</v>
      </c>
      <c r="T4256" s="2" t="str">
        <f>IF(C4256="Total", (VLOOKUP(B4256,Recommended_fish_intake!A$4:D$122,4,FALSE)), "NA")</f>
        <v>NA</v>
      </c>
      <c r="U4256" s="2" t="str">
        <f t="shared" si="395"/>
        <v>NA</v>
      </c>
    </row>
    <row r="4257" spans="1:21" ht="14.25" customHeight="1">
      <c r="A4257" s="2" t="s">
        <v>91</v>
      </c>
      <c r="B4257" s="2">
        <v>2010</v>
      </c>
      <c r="C4257" s="2" t="s">
        <v>42</v>
      </c>
      <c r="D4257" s="2">
        <v>7.0000000000000001E-3</v>
      </c>
      <c r="E4257" s="2">
        <v>8.9999999999999993E-3</v>
      </c>
      <c r="P4257" s="3">
        <f>E4257*(VLOOKUP(B4257,Price_data!A$1:B$190,2,FALSE))</f>
        <v>6.8558793515999987E-3</v>
      </c>
      <c r="Q4257" s="3">
        <f>G4257*(VLOOKUP(B4257,Price_data!A$1:B$190,2,FALSE))</f>
        <v>0</v>
      </c>
      <c r="R4257" s="3">
        <f>I4257*(VLOOKUP(B4257,Price_data!A$1:B$190,2,FALSE))</f>
        <v>0</v>
      </c>
      <c r="S4257" s="4" t="str">
        <f>(VLOOKUP(B4257,Price_data!A$1:C$190,3,FALSE))</f>
        <v>EEZ</v>
      </c>
      <c r="T4257" s="2" t="str">
        <f>IF(C4257="Total", (VLOOKUP(B4257,Recommended_fish_intake!A$4:D$122,4,FALSE)), "NA")</f>
        <v>NA</v>
      </c>
      <c r="U4257" s="2" t="str">
        <f t="shared" si="395"/>
        <v>NA</v>
      </c>
    </row>
    <row r="4258" spans="1:21" ht="14.25" customHeight="1">
      <c r="A4258" s="2" t="s">
        <v>91</v>
      </c>
      <c r="B4258" s="2">
        <v>2010</v>
      </c>
      <c r="C4258" s="2" t="s">
        <v>36</v>
      </c>
      <c r="D4258" s="2">
        <v>1.1419999999999999</v>
      </c>
      <c r="E4258" s="2">
        <v>1.387</v>
      </c>
      <c r="P4258" s="3">
        <f>E4258*(VLOOKUP(B4258,Price_data!A$1:B$190,2,FALSE))</f>
        <v>1.0565671845187998</v>
      </c>
      <c r="Q4258" s="3">
        <f>G4258*(VLOOKUP(B4258,Price_data!A$1:B$190,2,FALSE))</f>
        <v>0</v>
      </c>
      <c r="R4258" s="3">
        <f>I4258*(VLOOKUP(B4258,Price_data!A$1:B$190,2,FALSE))</f>
        <v>0</v>
      </c>
      <c r="S4258" s="4" t="str">
        <f>(VLOOKUP(B4258,Price_data!A$1:C$190,3,FALSE))</f>
        <v>EEZ</v>
      </c>
      <c r="T4258" s="2" t="str">
        <f>IF(C4258="Total", (VLOOKUP(B4258,Recommended_fish_intake!A$4:D$122,4,FALSE)), "NA")</f>
        <v>NA</v>
      </c>
      <c r="U4258" s="2" t="str">
        <f t="shared" si="395"/>
        <v>NA</v>
      </c>
    </row>
    <row r="4259" spans="1:21" ht="14.25" customHeight="1">
      <c r="A4259" s="2" t="s">
        <v>91</v>
      </c>
      <c r="B4259" s="2">
        <v>2010</v>
      </c>
      <c r="C4259" s="2" t="s">
        <v>34</v>
      </c>
      <c r="D4259" s="2">
        <v>0.21199999999999999</v>
      </c>
      <c r="E4259" s="2">
        <v>2.2549999999999999</v>
      </c>
      <c r="P4259" s="3">
        <f>E4259*(VLOOKUP(B4259,Price_data!A$1:B$190,2,FALSE))</f>
        <v>1.7177786597619997</v>
      </c>
      <c r="Q4259" s="3">
        <f>G4259*(VLOOKUP(B4259,Price_data!A$1:B$190,2,FALSE))</f>
        <v>0</v>
      </c>
      <c r="R4259" s="3">
        <f>I4259*(VLOOKUP(B4259,Price_data!A$1:B$190,2,FALSE))</f>
        <v>0</v>
      </c>
      <c r="S4259" s="4" t="str">
        <f>(VLOOKUP(B4259,Price_data!A$1:C$190,3,FALSE))</f>
        <v>EEZ</v>
      </c>
      <c r="T4259" s="2" t="str">
        <f>IF(C4259="Total", (VLOOKUP(B4259,Recommended_fish_intake!A$4:D$122,4,FALSE)), "NA")</f>
        <v>NA</v>
      </c>
      <c r="U4259" s="2" t="str">
        <f t="shared" si="395"/>
        <v>NA</v>
      </c>
    </row>
    <row r="4260" spans="1:21" ht="14.25" customHeight="1">
      <c r="A4260" s="2" t="s">
        <v>91</v>
      </c>
      <c r="B4260" s="2">
        <v>2010</v>
      </c>
      <c r="C4260" s="2" t="s">
        <v>35</v>
      </c>
      <c r="D4260" s="2">
        <v>8.5000000000000006E-2</v>
      </c>
      <c r="E4260" s="2">
        <v>0.17699999999999999</v>
      </c>
      <c r="P4260" s="3">
        <f>E4260*(VLOOKUP(B4260,Price_data!A$1:B$190,2,FALSE))</f>
        <v>0.13483229391479998</v>
      </c>
      <c r="Q4260" s="3">
        <f>G4260*(VLOOKUP(B4260,Price_data!A$1:B$190,2,FALSE))</f>
        <v>0</v>
      </c>
      <c r="R4260" s="3">
        <f>I4260*(VLOOKUP(B4260,Price_data!A$1:B$190,2,FALSE))</f>
        <v>0</v>
      </c>
      <c r="S4260" s="4" t="str">
        <f>(VLOOKUP(B4260,Price_data!A$1:C$190,3,FALSE))</f>
        <v>EEZ</v>
      </c>
      <c r="T4260" s="2" t="str">
        <f>IF(C4260="Total", (VLOOKUP(B4260,Recommended_fish_intake!A$4:D$122,4,FALSE)), "NA")</f>
        <v>NA</v>
      </c>
      <c r="U4260" s="2" t="str">
        <f t="shared" si="395"/>
        <v>NA</v>
      </c>
    </row>
    <row r="4261" spans="1:21" ht="14.25" customHeight="1">
      <c r="A4261" s="2" t="s">
        <v>91</v>
      </c>
      <c r="B4261" s="2">
        <v>2010</v>
      </c>
      <c r="C4261" s="2" t="s">
        <v>52</v>
      </c>
      <c r="D4261" s="2">
        <v>3.4950000000000001</v>
      </c>
      <c r="E4261" s="2">
        <v>4.1210000000000004</v>
      </c>
      <c r="P4261" s="3">
        <f>E4261*(VLOOKUP(B4261,Price_data!A$1:B$190,2,FALSE))</f>
        <v>3.1392309786604002</v>
      </c>
      <c r="Q4261" s="3">
        <f>G4261*(VLOOKUP(B4261,Price_data!A$1:B$190,2,FALSE))</f>
        <v>0</v>
      </c>
      <c r="R4261" s="3">
        <f>I4261*(VLOOKUP(B4261,Price_data!A$1:B$190,2,FALSE))</f>
        <v>0</v>
      </c>
      <c r="S4261" s="4" t="str">
        <f>(VLOOKUP(B4261,Price_data!A$1:C$190,3,FALSE))</f>
        <v>EEZ</v>
      </c>
      <c r="T4261" s="2" t="str">
        <f>IF(C4261="Total", (VLOOKUP(B4261,Recommended_fish_intake!A$4:D$122,4,FALSE)), "NA")</f>
        <v>NA</v>
      </c>
      <c r="U4261" s="2" t="str">
        <f t="shared" si="395"/>
        <v>NA</v>
      </c>
    </row>
    <row r="4262" spans="1:21" ht="14.25" customHeight="1">
      <c r="A4262" s="2" t="s">
        <v>91</v>
      </c>
      <c r="B4262" s="2">
        <v>2010</v>
      </c>
      <c r="C4262" s="2" t="s">
        <v>30</v>
      </c>
      <c r="D4262" s="2">
        <v>4.0000000000000001E-3</v>
      </c>
      <c r="E4262" s="2">
        <v>6.9000000000000006E-2</v>
      </c>
      <c r="P4262" s="3">
        <f>E4262*(VLOOKUP(B4262,Price_data!A$1:B$190,2,FALSE))</f>
        <v>5.2561741695600003E-2</v>
      </c>
      <c r="Q4262" s="3">
        <f>G4262*(VLOOKUP(B4262,Price_data!A$1:B$190,2,FALSE))</f>
        <v>0</v>
      </c>
      <c r="R4262" s="3">
        <f>I4262*(VLOOKUP(B4262,Price_data!A$1:B$190,2,FALSE))</f>
        <v>0</v>
      </c>
      <c r="S4262" s="4" t="str">
        <f>(VLOOKUP(B4262,Price_data!A$1:C$190,3,FALSE))</f>
        <v>EEZ</v>
      </c>
      <c r="T4262" s="2" t="str">
        <f>IF(C4262="Total", (VLOOKUP(B4262,Recommended_fish_intake!A$4:D$122,4,FALSE)), "NA")</f>
        <v>NA</v>
      </c>
      <c r="U4262" s="2" t="str">
        <f t="shared" si="395"/>
        <v>NA</v>
      </c>
    </row>
    <row r="4263" spans="1:21" ht="14.25" customHeight="1">
      <c r="A4263" s="2" t="s">
        <v>91</v>
      </c>
      <c r="B4263" s="2">
        <v>2010</v>
      </c>
      <c r="C4263" s="2" t="s">
        <v>28</v>
      </c>
      <c r="D4263" s="2">
        <v>9.9979999999999993</v>
      </c>
      <c r="E4263" s="2">
        <v>11.585000000000001</v>
      </c>
      <c r="P4263" s="3">
        <f>E4263*(VLOOKUP(B4263,Price_data!A$1:B$190,2,FALSE))</f>
        <v>8.8250402542540005</v>
      </c>
      <c r="Q4263" s="3">
        <f>G4263*(VLOOKUP(B4263,Price_data!A$1:B$190,2,FALSE))</f>
        <v>0</v>
      </c>
      <c r="R4263" s="3">
        <f>I4263*(VLOOKUP(B4263,Price_data!A$1:B$190,2,FALSE))</f>
        <v>0</v>
      </c>
      <c r="S4263" s="4" t="str">
        <f>(VLOOKUP(B4263,Price_data!A$1:C$190,3,FALSE))</f>
        <v>EEZ</v>
      </c>
      <c r="T4263" s="2" t="str">
        <f>IF(C4263="Total", (VLOOKUP(B4263,Recommended_fish_intake!A$4:D$122,4,FALSE)), "NA")</f>
        <v>NA</v>
      </c>
      <c r="U4263" s="2">
        <f t="shared" si="395"/>
        <v>2.7994400000000002</v>
      </c>
    </row>
    <row r="4264" spans="1:21" ht="14.25" customHeight="1">
      <c r="A4264" s="2" t="s">
        <v>39</v>
      </c>
      <c r="B4264" s="2">
        <v>2010</v>
      </c>
      <c r="C4264" s="2" t="s">
        <v>22</v>
      </c>
      <c r="D4264" s="2">
        <v>12.618</v>
      </c>
      <c r="E4264" s="2">
        <v>24.783000000000001</v>
      </c>
      <c r="P4264" s="3">
        <f>E4264*(VLOOKUP(B4264,Price_data!A$1:B$190,2,FALSE))</f>
        <v>18.878806441189198</v>
      </c>
      <c r="Q4264" s="3">
        <f>G4264*(VLOOKUP(B4264,Price_data!A$1:B$190,2,FALSE))</f>
        <v>0</v>
      </c>
      <c r="R4264" s="3">
        <f>I4264*(VLOOKUP(B4264,Price_data!A$1:B$190,2,FALSE))</f>
        <v>0</v>
      </c>
      <c r="S4264" s="4" t="str">
        <f>(VLOOKUP(B4264,Price_data!A$1:C$190,3,FALSE))</f>
        <v>EEZ</v>
      </c>
      <c r="T4264" s="2" t="str">
        <f>IF(C4264="Total", (VLOOKUP(B4264,Recommended_fish_intake!A$4:D$122,4,FALSE)), "NA")</f>
        <v>NA</v>
      </c>
      <c r="U4264" s="2" t="str">
        <f t="shared" si="395"/>
        <v>NA</v>
      </c>
    </row>
    <row r="4265" spans="1:21" ht="14.25" customHeight="1">
      <c r="A4265" s="2" t="s">
        <v>39</v>
      </c>
      <c r="B4265" s="2">
        <v>2010</v>
      </c>
      <c r="C4265" s="2" t="s">
        <v>23</v>
      </c>
      <c r="D4265" s="2">
        <v>29.460999999999999</v>
      </c>
      <c r="E4265" s="2">
        <v>33.74</v>
      </c>
      <c r="P4265" s="3">
        <f>E4265*(VLOOKUP(B4265,Price_data!A$1:B$190,2,FALSE))</f>
        <v>25.701929924776</v>
      </c>
      <c r="Q4265" s="3">
        <f>G4265*(VLOOKUP(B4265,Price_data!A$1:B$190,2,FALSE))</f>
        <v>0</v>
      </c>
      <c r="R4265" s="3">
        <f>I4265*(VLOOKUP(B4265,Price_data!A$1:B$190,2,FALSE))</f>
        <v>0</v>
      </c>
      <c r="S4265" s="4" t="str">
        <f>(VLOOKUP(B4265,Price_data!A$1:C$190,3,FALSE))</f>
        <v>EEZ</v>
      </c>
      <c r="T4265" s="2" t="str">
        <f>IF(C4265="Total", (VLOOKUP(B4265,Recommended_fish_intake!A$4:D$122,4,FALSE)), "NA")</f>
        <v>NA</v>
      </c>
      <c r="U4265" s="2" t="str">
        <f t="shared" si="395"/>
        <v>NA</v>
      </c>
    </row>
    <row r="4266" spans="1:21" ht="14.25" customHeight="1">
      <c r="A4266" s="2" t="s">
        <v>39</v>
      </c>
      <c r="B4266" s="2">
        <v>2010</v>
      </c>
      <c r="C4266" s="2" t="s">
        <v>53</v>
      </c>
      <c r="D4266" s="2">
        <v>4.9720000000000004</v>
      </c>
      <c r="E4266" s="2">
        <v>9.0069999999999997</v>
      </c>
      <c r="P4266" s="3">
        <f>E4266*(VLOOKUP(B4266,Price_data!A$1:B$190,2,FALSE))</f>
        <v>6.8612117022067993</v>
      </c>
      <c r="Q4266" s="3">
        <f>G4266*(VLOOKUP(B4266,Price_data!A$1:B$190,2,FALSE))</f>
        <v>0</v>
      </c>
      <c r="R4266" s="3">
        <f>I4266*(VLOOKUP(B4266,Price_data!A$1:B$190,2,FALSE))</f>
        <v>0</v>
      </c>
      <c r="S4266" s="4" t="str">
        <f>(VLOOKUP(B4266,Price_data!A$1:C$190,3,FALSE))</f>
        <v>EEZ</v>
      </c>
      <c r="T4266" s="2" t="str">
        <f>IF(C4266="Total", (VLOOKUP(B4266,Recommended_fish_intake!A$4:D$122,4,FALSE)), "NA")</f>
        <v>NA</v>
      </c>
      <c r="U4266" s="2" t="str">
        <f t="shared" si="395"/>
        <v>NA</v>
      </c>
    </row>
    <row r="4267" spans="1:21" ht="14.25" customHeight="1">
      <c r="A4267" s="2" t="s">
        <v>39</v>
      </c>
      <c r="B4267" s="2">
        <v>2010</v>
      </c>
      <c r="C4267" s="2" t="s">
        <v>58</v>
      </c>
      <c r="D4267" s="2">
        <v>8.2089999999999996</v>
      </c>
      <c r="E4267" s="2">
        <v>28.073</v>
      </c>
      <c r="P4267" s="3">
        <f>E4267*(VLOOKUP(B4267,Price_data!A$1:B$190,2,FALSE))</f>
        <v>21.385011226385199</v>
      </c>
      <c r="Q4267" s="3">
        <f>G4267*(VLOOKUP(B4267,Price_data!A$1:B$190,2,FALSE))</f>
        <v>0</v>
      </c>
      <c r="R4267" s="3">
        <f>I4267*(VLOOKUP(B4267,Price_data!A$1:B$190,2,FALSE))</f>
        <v>0</v>
      </c>
      <c r="S4267" s="4" t="str">
        <f>(VLOOKUP(B4267,Price_data!A$1:C$190,3,FALSE))</f>
        <v>EEZ</v>
      </c>
      <c r="T4267" s="2" t="str">
        <f>IF(C4267="Total", (VLOOKUP(B4267,Recommended_fish_intake!A$4:D$122,4,FALSE)), "NA")</f>
        <v>NA</v>
      </c>
      <c r="U4267" s="2" t="str">
        <f t="shared" si="395"/>
        <v>NA</v>
      </c>
    </row>
    <row r="4268" spans="1:21" ht="14.25" customHeight="1">
      <c r="A4268" s="2" t="s">
        <v>39</v>
      </c>
      <c r="B4268" s="2">
        <v>2010</v>
      </c>
      <c r="C4268" s="2" t="s">
        <v>38</v>
      </c>
      <c r="D4268" s="2">
        <v>13.519</v>
      </c>
      <c r="E4268" s="2">
        <v>12.294</v>
      </c>
      <c r="P4268" s="3">
        <f>E4268*(VLOOKUP(B4268,Price_data!A$1:B$190,2,FALSE))</f>
        <v>9.365131194285599</v>
      </c>
      <c r="Q4268" s="3">
        <f>G4268*(VLOOKUP(B4268,Price_data!A$1:B$190,2,FALSE))</f>
        <v>0</v>
      </c>
      <c r="R4268" s="3">
        <f>I4268*(VLOOKUP(B4268,Price_data!A$1:B$190,2,FALSE))</f>
        <v>0</v>
      </c>
      <c r="S4268" s="4" t="str">
        <f>(VLOOKUP(B4268,Price_data!A$1:C$190,3,FALSE))</f>
        <v>EEZ</v>
      </c>
      <c r="T4268" s="2" t="str">
        <f>IF(C4268="Total", (VLOOKUP(B4268,Recommended_fish_intake!A$4:D$122,4,FALSE)), "NA")</f>
        <v>NA</v>
      </c>
      <c r="U4268" s="2" t="str">
        <f t="shared" si="395"/>
        <v>NA</v>
      </c>
    </row>
    <row r="4269" spans="1:21" ht="14.25" customHeight="1">
      <c r="A4269" s="2" t="s">
        <v>39</v>
      </c>
      <c r="B4269" s="2">
        <v>2010</v>
      </c>
      <c r="C4269" s="2" t="s">
        <v>63</v>
      </c>
      <c r="D4269" s="2">
        <v>2E-3</v>
      </c>
      <c r="E4269" s="2">
        <v>0.01</v>
      </c>
      <c r="P4269" s="3">
        <f>E4269*(VLOOKUP(B4269,Price_data!A$1:B$190,2,FALSE))</f>
        <v>7.617643724E-3</v>
      </c>
      <c r="Q4269" s="3">
        <f>G4269*(VLOOKUP(B4269,Price_data!A$1:B$190,2,FALSE))</f>
        <v>0</v>
      </c>
      <c r="R4269" s="3">
        <f>I4269*(VLOOKUP(B4269,Price_data!A$1:B$190,2,FALSE))</f>
        <v>0</v>
      </c>
      <c r="S4269" s="4" t="str">
        <f>(VLOOKUP(B4269,Price_data!A$1:C$190,3,FALSE))</f>
        <v>EEZ</v>
      </c>
      <c r="T4269" s="2" t="str">
        <f>IF(C4269="Total", (VLOOKUP(B4269,Recommended_fish_intake!A$4:D$122,4,FALSE)), "NA")</f>
        <v>NA</v>
      </c>
      <c r="U4269" s="2" t="str">
        <f t="shared" si="395"/>
        <v>NA</v>
      </c>
    </row>
    <row r="4270" spans="1:21" ht="14.25" customHeight="1">
      <c r="A4270" s="2" t="s">
        <v>39</v>
      </c>
      <c r="B4270" s="2">
        <v>2010</v>
      </c>
      <c r="C4270" s="2" t="s">
        <v>24</v>
      </c>
      <c r="D4270" s="2">
        <v>7.1189999999999998</v>
      </c>
      <c r="E4270" s="2">
        <v>8.0069999999999997</v>
      </c>
      <c r="P4270" s="3">
        <f>E4270*(VLOOKUP(B4270,Price_data!A$1:B$190,2,FALSE))</f>
        <v>6.0994473298067993</v>
      </c>
      <c r="Q4270" s="3">
        <f>G4270*(VLOOKUP(B4270,Price_data!A$1:B$190,2,FALSE))</f>
        <v>0</v>
      </c>
      <c r="R4270" s="3">
        <f>I4270*(VLOOKUP(B4270,Price_data!A$1:B$190,2,FALSE))</f>
        <v>0</v>
      </c>
      <c r="S4270" s="4" t="str">
        <f>(VLOOKUP(B4270,Price_data!A$1:C$190,3,FALSE))</f>
        <v>EEZ</v>
      </c>
      <c r="T4270" s="2" t="str">
        <f>IF(C4270="Total", (VLOOKUP(B4270,Recommended_fish_intake!A$4:D$122,4,FALSE)), "NA")</f>
        <v>NA</v>
      </c>
      <c r="U4270" s="2" t="str">
        <f t="shared" si="395"/>
        <v>NA</v>
      </c>
    </row>
    <row r="4271" spans="1:21" ht="14.25" customHeight="1">
      <c r="A4271" s="2" t="s">
        <v>39</v>
      </c>
      <c r="B4271" s="2">
        <v>2010</v>
      </c>
      <c r="C4271" s="2" t="s">
        <v>41</v>
      </c>
      <c r="D4271" s="2">
        <v>88.484999999999999</v>
      </c>
      <c r="E4271" s="2">
        <v>137.99700000000001</v>
      </c>
      <c r="P4271" s="3">
        <f>E4271*(VLOOKUP(B4271,Price_data!A$1:B$190,2,FALSE))</f>
        <v>105.1211980980828</v>
      </c>
      <c r="Q4271" s="3">
        <f>G4271*(VLOOKUP(B4271,Price_data!A$1:B$190,2,FALSE))</f>
        <v>0</v>
      </c>
      <c r="R4271" s="3">
        <f>I4271*(VLOOKUP(B4271,Price_data!A$1:B$190,2,FALSE))</f>
        <v>0</v>
      </c>
      <c r="S4271" s="4" t="str">
        <f>(VLOOKUP(B4271,Price_data!A$1:C$190,3,FALSE))</f>
        <v>EEZ</v>
      </c>
      <c r="T4271" s="2" t="str">
        <f>IF(C4271="Total", (VLOOKUP(B4271,Recommended_fish_intake!A$4:D$122,4,FALSE)), "NA")</f>
        <v>NA</v>
      </c>
      <c r="U4271" s="2" t="str">
        <f t="shared" si="395"/>
        <v>NA</v>
      </c>
    </row>
    <row r="4272" spans="1:21" ht="14.25" customHeight="1">
      <c r="A4272" s="2" t="s">
        <v>39</v>
      </c>
      <c r="B4272" s="2">
        <v>2010</v>
      </c>
      <c r="C4272" s="2" t="s">
        <v>19</v>
      </c>
      <c r="D4272" s="2">
        <v>27.565999999999999</v>
      </c>
      <c r="E4272" s="2">
        <v>7.952</v>
      </c>
      <c r="P4272" s="3">
        <f>E4272*(VLOOKUP(B4272,Price_data!A$1:B$190,2,FALSE))</f>
        <v>6.0575502893247997</v>
      </c>
      <c r="Q4272" s="3">
        <f>G4272*(VLOOKUP(B4272,Price_data!A$1:B$190,2,FALSE))</f>
        <v>0</v>
      </c>
      <c r="R4272" s="3">
        <f>I4272*(VLOOKUP(B4272,Price_data!A$1:B$190,2,FALSE))</f>
        <v>0</v>
      </c>
      <c r="S4272" s="4" t="str">
        <f>(VLOOKUP(B4272,Price_data!A$1:C$190,3,FALSE))</f>
        <v>EEZ</v>
      </c>
      <c r="T4272" s="2" t="str">
        <f>IF(C4272="Total", (VLOOKUP(B4272,Recommended_fish_intake!A$4:D$122,4,FALSE)), "NA")</f>
        <v>NA</v>
      </c>
      <c r="U4272" s="2" t="str">
        <f t="shared" si="395"/>
        <v>NA</v>
      </c>
    </row>
    <row r="4273" spans="1:21" ht="14.25" customHeight="1">
      <c r="A4273" s="2" t="s">
        <v>39</v>
      </c>
      <c r="B4273" s="2">
        <v>2010</v>
      </c>
      <c r="C4273" s="2" t="s">
        <v>20</v>
      </c>
      <c r="D4273" s="2">
        <v>95.18</v>
      </c>
      <c r="E4273" s="2">
        <v>78.025000000000006</v>
      </c>
      <c r="P4273" s="3">
        <f>E4273*(VLOOKUP(B4273,Price_data!A$1:B$190,2,FALSE))</f>
        <v>59.436665156510003</v>
      </c>
      <c r="Q4273" s="3">
        <f>G4273*(VLOOKUP(B4273,Price_data!A$1:B$190,2,FALSE))</f>
        <v>0</v>
      </c>
      <c r="R4273" s="3">
        <f>I4273*(VLOOKUP(B4273,Price_data!A$1:B$190,2,FALSE))</f>
        <v>0</v>
      </c>
      <c r="S4273" s="4" t="str">
        <f>(VLOOKUP(B4273,Price_data!A$1:C$190,3,FALSE))</f>
        <v>EEZ</v>
      </c>
      <c r="T4273" s="2" t="str">
        <f>IF(C4273="Total", (VLOOKUP(B4273,Recommended_fish_intake!A$4:D$122,4,FALSE)), "NA")</f>
        <v>NA</v>
      </c>
      <c r="U4273" s="2" t="str">
        <f t="shared" si="395"/>
        <v>NA</v>
      </c>
    </row>
    <row r="4274" spans="1:21" ht="14.25" customHeight="1">
      <c r="A4274" s="2" t="s">
        <v>39</v>
      </c>
      <c r="B4274" s="2">
        <v>2010</v>
      </c>
      <c r="C4274" s="2" t="s">
        <v>42</v>
      </c>
      <c r="D4274" s="2">
        <v>129.488</v>
      </c>
      <c r="E4274" s="2">
        <v>87.605000000000004</v>
      </c>
      <c r="P4274" s="3">
        <f>E4274*(VLOOKUP(B4274,Price_data!A$1:B$190,2,FALSE))</f>
        <v>66.734367844101996</v>
      </c>
      <c r="Q4274" s="3">
        <f>G4274*(VLOOKUP(B4274,Price_data!A$1:B$190,2,FALSE))</f>
        <v>0</v>
      </c>
      <c r="R4274" s="3">
        <f>I4274*(VLOOKUP(B4274,Price_data!A$1:B$190,2,FALSE))</f>
        <v>0</v>
      </c>
      <c r="S4274" s="4" t="str">
        <f>(VLOOKUP(B4274,Price_data!A$1:C$190,3,FALSE))</f>
        <v>EEZ</v>
      </c>
      <c r="T4274" s="2" t="str">
        <f>IF(C4274="Total", (VLOOKUP(B4274,Recommended_fish_intake!A$4:D$122,4,FALSE)), "NA")</f>
        <v>NA</v>
      </c>
      <c r="U4274" s="2" t="str">
        <f t="shared" si="395"/>
        <v>NA</v>
      </c>
    </row>
    <row r="4275" spans="1:21" ht="14.25" customHeight="1">
      <c r="A4275" s="2" t="s">
        <v>39</v>
      </c>
      <c r="B4275" s="2">
        <v>2010</v>
      </c>
      <c r="C4275" s="2" t="s">
        <v>36</v>
      </c>
      <c r="D4275" s="2">
        <v>13.515000000000001</v>
      </c>
      <c r="E4275" s="2">
        <v>19.294</v>
      </c>
      <c r="P4275" s="3">
        <f>E4275*(VLOOKUP(B4275,Price_data!A$1:B$190,2,FALSE))</f>
        <v>14.697481801085599</v>
      </c>
      <c r="Q4275" s="3">
        <f>G4275*(VLOOKUP(B4275,Price_data!A$1:B$190,2,FALSE))</f>
        <v>0</v>
      </c>
      <c r="R4275" s="3">
        <f>I4275*(VLOOKUP(B4275,Price_data!A$1:B$190,2,FALSE))</f>
        <v>0</v>
      </c>
      <c r="S4275" s="4" t="str">
        <f>(VLOOKUP(B4275,Price_data!A$1:C$190,3,FALSE))</f>
        <v>EEZ</v>
      </c>
      <c r="T4275" s="2" t="str">
        <f>IF(C4275="Total", (VLOOKUP(B4275,Recommended_fish_intake!A$4:D$122,4,FALSE)), "NA")</f>
        <v>NA</v>
      </c>
      <c r="U4275" s="2" t="str">
        <f t="shared" si="395"/>
        <v>NA</v>
      </c>
    </row>
    <row r="4276" spans="1:21" ht="14.25" customHeight="1">
      <c r="A4276" s="2" t="s">
        <v>39</v>
      </c>
      <c r="B4276" s="2">
        <v>2010</v>
      </c>
      <c r="C4276" s="2" t="s">
        <v>34</v>
      </c>
      <c r="D4276" s="2">
        <v>1.1439999999999999</v>
      </c>
      <c r="E4276" s="2">
        <v>11.776</v>
      </c>
      <c r="P4276" s="3">
        <f>E4276*(VLOOKUP(B4276,Price_data!A$1:B$190,2,FALSE))</f>
        <v>8.9705372493823994</v>
      </c>
      <c r="Q4276" s="3">
        <f>G4276*(VLOOKUP(B4276,Price_data!A$1:B$190,2,FALSE))</f>
        <v>0</v>
      </c>
      <c r="R4276" s="3">
        <f>I4276*(VLOOKUP(B4276,Price_data!A$1:B$190,2,FALSE))</f>
        <v>0</v>
      </c>
      <c r="S4276" s="4" t="str">
        <f>(VLOOKUP(B4276,Price_data!A$1:C$190,3,FALSE))</f>
        <v>EEZ</v>
      </c>
      <c r="T4276" s="2" t="str">
        <f>IF(C4276="Total", (VLOOKUP(B4276,Recommended_fish_intake!A$4:D$122,4,FALSE)), "NA")</f>
        <v>NA</v>
      </c>
      <c r="U4276" s="2" t="str">
        <f t="shared" si="395"/>
        <v>NA</v>
      </c>
    </row>
    <row r="4277" spans="1:21" ht="14.25" customHeight="1">
      <c r="A4277" s="2" t="s">
        <v>39</v>
      </c>
      <c r="B4277" s="2">
        <v>2010</v>
      </c>
      <c r="C4277" s="2" t="s">
        <v>35</v>
      </c>
      <c r="D4277" s="2">
        <v>28.899000000000001</v>
      </c>
      <c r="E4277" s="2">
        <v>79.677999999999997</v>
      </c>
      <c r="P4277" s="3">
        <f>E4277*(VLOOKUP(B4277,Price_data!A$1:B$190,2,FALSE))</f>
        <v>60.695861664087197</v>
      </c>
      <c r="Q4277" s="3">
        <f>G4277*(VLOOKUP(B4277,Price_data!A$1:B$190,2,FALSE))</f>
        <v>0</v>
      </c>
      <c r="R4277" s="3">
        <f>I4277*(VLOOKUP(B4277,Price_data!A$1:B$190,2,FALSE))</f>
        <v>0</v>
      </c>
      <c r="S4277" s="4" t="str">
        <f>(VLOOKUP(B4277,Price_data!A$1:C$190,3,FALSE))</f>
        <v>EEZ</v>
      </c>
      <c r="T4277" s="2" t="str">
        <f>IF(C4277="Total", (VLOOKUP(B4277,Recommended_fish_intake!A$4:D$122,4,FALSE)), "NA")</f>
        <v>NA</v>
      </c>
      <c r="U4277" s="2" t="str">
        <f t="shared" si="395"/>
        <v>NA</v>
      </c>
    </row>
    <row r="4278" spans="1:21" ht="14.25" customHeight="1">
      <c r="A4278" s="2" t="s">
        <v>39</v>
      </c>
      <c r="B4278" s="2">
        <v>2010</v>
      </c>
      <c r="C4278" s="2" t="s">
        <v>52</v>
      </c>
      <c r="D4278" s="2">
        <v>16.818999999999999</v>
      </c>
      <c r="E4278" s="2">
        <v>20.541</v>
      </c>
      <c r="P4278" s="3">
        <f>E4278*(VLOOKUP(B4278,Price_data!A$1:B$190,2,FALSE))</f>
        <v>15.6474019734684</v>
      </c>
      <c r="Q4278" s="3">
        <f>G4278*(VLOOKUP(B4278,Price_data!A$1:B$190,2,FALSE))</f>
        <v>0</v>
      </c>
      <c r="R4278" s="3">
        <f>I4278*(VLOOKUP(B4278,Price_data!A$1:B$190,2,FALSE))</f>
        <v>0</v>
      </c>
      <c r="S4278" s="4" t="str">
        <f>(VLOOKUP(B4278,Price_data!A$1:C$190,3,FALSE))</f>
        <v>EEZ</v>
      </c>
      <c r="T4278" s="2" t="str">
        <f>IF(C4278="Total", (VLOOKUP(B4278,Recommended_fish_intake!A$4:D$122,4,FALSE)), "NA")</f>
        <v>NA</v>
      </c>
      <c r="U4278" s="2" t="str">
        <f t="shared" si="395"/>
        <v>NA</v>
      </c>
    </row>
    <row r="4279" spans="1:21" ht="14.25" customHeight="1">
      <c r="A4279" s="2" t="s">
        <v>39</v>
      </c>
      <c r="B4279" s="2">
        <v>2010</v>
      </c>
      <c r="C4279" s="2" t="s">
        <v>30</v>
      </c>
      <c r="D4279" s="2">
        <v>2E-3</v>
      </c>
      <c r="E4279" s="2">
        <v>2.4E-2</v>
      </c>
      <c r="P4279" s="3">
        <f>E4279*(VLOOKUP(B4279,Price_data!A$1:B$190,2,FALSE))</f>
        <v>1.82823449376E-2</v>
      </c>
      <c r="Q4279" s="3">
        <f>G4279*(VLOOKUP(B4279,Price_data!A$1:B$190,2,FALSE))</f>
        <v>0</v>
      </c>
      <c r="R4279" s="3">
        <f>I4279*(VLOOKUP(B4279,Price_data!A$1:B$190,2,FALSE))</f>
        <v>0</v>
      </c>
      <c r="S4279" s="4" t="str">
        <f>(VLOOKUP(B4279,Price_data!A$1:C$190,3,FALSE))</f>
        <v>EEZ</v>
      </c>
      <c r="T4279" s="2" t="str">
        <f>IF(C4279="Total", (VLOOKUP(B4279,Recommended_fish_intake!A$4:D$122,4,FALSE)), "NA")</f>
        <v>NA</v>
      </c>
      <c r="U4279" s="2" t="str">
        <f t="shared" si="395"/>
        <v>NA</v>
      </c>
    </row>
    <row r="4280" spans="1:21" ht="14.25" customHeight="1">
      <c r="A4280" s="2" t="s">
        <v>39</v>
      </c>
      <c r="B4280" s="2">
        <v>2010</v>
      </c>
      <c r="C4280" s="2" t="s">
        <v>28</v>
      </c>
      <c r="D4280" s="2">
        <v>65.608999999999995</v>
      </c>
      <c r="E4280" s="2">
        <v>142.84</v>
      </c>
      <c r="P4280" s="3">
        <f>E4280*(VLOOKUP(B4280,Price_data!A$1:B$190,2,FALSE))</f>
        <v>108.810422953616</v>
      </c>
      <c r="Q4280" s="3">
        <f>G4280*(VLOOKUP(B4280,Price_data!A$1:B$190,2,FALSE))</f>
        <v>0</v>
      </c>
      <c r="R4280" s="3">
        <f>I4280*(VLOOKUP(B4280,Price_data!A$1:B$190,2,FALSE))</f>
        <v>0</v>
      </c>
      <c r="S4280" s="4" t="str">
        <f>(VLOOKUP(B4280,Price_data!A$1:C$190,3,FALSE))</f>
        <v>EEZ</v>
      </c>
      <c r="T4280" s="2" t="str">
        <f>IF(C4280="Total", (VLOOKUP(B4280,Recommended_fish_intake!A$4:D$122,4,FALSE)), "NA")</f>
        <v>NA</v>
      </c>
      <c r="U4280" s="2">
        <f t="shared" si="395"/>
        <v>18.370519999999999</v>
      </c>
    </row>
    <row r="4281" spans="1:21" ht="14.25" customHeight="1">
      <c r="A4281" s="2" t="s">
        <v>40</v>
      </c>
      <c r="B4281" s="2">
        <v>2010</v>
      </c>
      <c r="C4281" s="2" t="s">
        <v>22</v>
      </c>
      <c r="D4281" s="2">
        <v>0.28199999999999997</v>
      </c>
      <c r="E4281" s="2">
        <v>0.61</v>
      </c>
      <c r="P4281" s="3">
        <f>E4281*(VLOOKUP(B4281,Price_data!A$1:B$190,2,FALSE))</f>
        <v>0.46467626716399996</v>
      </c>
      <c r="Q4281" s="3">
        <f>G4281*(VLOOKUP(B4281,Price_data!A$1:B$190,2,FALSE))</f>
        <v>0</v>
      </c>
      <c r="R4281" s="3">
        <f>I4281*(VLOOKUP(B4281,Price_data!A$1:B$190,2,FALSE))</f>
        <v>0</v>
      </c>
      <c r="S4281" s="4" t="str">
        <f>(VLOOKUP(B4281,Price_data!A$1:C$190,3,FALSE))</f>
        <v>EEZ</v>
      </c>
      <c r="T4281" s="2" t="str">
        <f>IF(C4281="Total", (VLOOKUP(B4281,Recommended_fish_intake!A$4:D$122,4,FALSE)), "NA")</f>
        <v>NA</v>
      </c>
      <c r="U4281" s="2" t="str">
        <f t="shared" si="395"/>
        <v>NA</v>
      </c>
    </row>
    <row r="4282" spans="1:21" ht="14.25" customHeight="1">
      <c r="A4282" s="2" t="s">
        <v>40</v>
      </c>
      <c r="B4282" s="2">
        <v>2010</v>
      </c>
      <c r="C4282" s="2" t="s">
        <v>23</v>
      </c>
      <c r="D4282" s="2">
        <v>0.42399999999999999</v>
      </c>
      <c r="E4282" s="2">
        <v>0.44400000000000001</v>
      </c>
      <c r="P4282" s="3">
        <f>E4282*(VLOOKUP(B4282,Price_data!A$1:B$190,2,FALSE))</f>
        <v>0.33822338134559998</v>
      </c>
      <c r="Q4282" s="3">
        <f>G4282*(VLOOKUP(B4282,Price_data!A$1:B$190,2,FALSE))</f>
        <v>0</v>
      </c>
      <c r="R4282" s="3">
        <f>I4282*(VLOOKUP(B4282,Price_data!A$1:B$190,2,FALSE))</f>
        <v>0</v>
      </c>
      <c r="S4282" s="4" t="str">
        <f>(VLOOKUP(B4282,Price_data!A$1:C$190,3,FALSE))</f>
        <v>EEZ</v>
      </c>
      <c r="T4282" s="2" t="str">
        <f>IF(C4282="Total", (VLOOKUP(B4282,Recommended_fish_intake!A$4:D$122,4,FALSE)), "NA")</f>
        <v>NA</v>
      </c>
      <c r="U4282" s="2" t="str">
        <f t="shared" si="395"/>
        <v>NA</v>
      </c>
    </row>
    <row r="4283" spans="1:21" ht="14.25" customHeight="1">
      <c r="A4283" s="2" t="s">
        <v>40</v>
      </c>
      <c r="B4283" s="2">
        <v>2010</v>
      </c>
      <c r="C4283" s="2" t="s">
        <v>53</v>
      </c>
      <c r="D4283" s="2">
        <v>0.18</v>
      </c>
      <c r="E4283" s="2">
        <v>0.43099999999999999</v>
      </c>
      <c r="P4283" s="3">
        <f>E4283*(VLOOKUP(B4283,Price_data!A$1:B$190,2,FALSE))</f>
        <v>0.32832044450439996</v>
      </c>
      <c r="Q4283" s="3">
        <f>G4283*(VLOOKUP(B4283,Price_data!A$1:B$190,2,FALSE))</f>
        <v>0</v>
      </c>
      <c r="R4283" s="3">
        <f>I4283*(VLOOKUP(B4283,Price_data!A$1:B$190,2,FALSE))</f>
        <v>0</v>
      </c>
      <c r="S4283" s="4" t="str">
        <f>(VLOOKUP(B4283,Price_data!A$1:C$190,3,FALSE))</f>
        <v>EEZ</v>
      </c>
      <c r="T4283" s="2" t="str">
        <f>IF(C4283="Total", (VLOOKUP(B4283,Recommended_fish_intake!A$4:D$122,4,FALSE)), "NA")</f>
        <v>NA</v>
      </c>
      <c r="U4283" s="2" t="str">
        <f t="shared" si="395"/>
        <v>NA</v>
      </c>
    </row>
    <row r="4284" spans="1:21" ht="14.25" customHeight="1">
      <c r="A4284" s="2" t="s">
        <v>40</v>
      </c>
      <c r="B4284" s="2">
        <v>2010</v>
      </c>
      <c r="C4284" s="2" t="s">
        <v>58</v>
      </c>
      <c r="D4284" s="2">
        <v>7.1999999999999995E-2</v>
      </c>
      <c r="E4284" s="2">
        <v>0.22</v>
      </c>
      <c r="P4284" s="3">
        <f>E4284*(VLOOKUP(B4284,Price_data!A$1:B$190,2,FALSE))</f>
        <v>0.167588161928</v>
      </c>
      <c r="Q4284" s="3">
        <f>G4284*(VLOOKUP(B4284,Price_data!A$1:B$190,2,FALSE))</f>
        <v>0</v>
      </c>
      <c r="R4284" s="3">
        <f>I4284*(VLOOKUP(B4284,Price_data!A$1:B$190,2,FALSE))</f>
        <v>0</v>
      </c>
      <c r="S4284" s="4" t="str">
        <f>(VLOOKUP(B4284,Price_data!A$1:C$190,3,FALSE))</f>
        <v>EEZ</v>
      </c>
      <c r="T4284" s="2" t="str">
        <f>IF(C4284="Total", (VLOOKUP(B4284,Recommended_fish_intake!A$4:D$122,4,FALSE)), "NA")</f>
        <v>NA</v>
      </c>
      <c r="U4284" s="2" t="str">
        <f t="shared" si="395"/>
        <v>NA</v>
      </c>
    </row>
    <row r="4285" spans="1:21" ht="14.25" customHeight="1">
      <c r="A4285" s="2" t="s">
        <v>40</v>
      </c>
      <c r="B4285" s="2">
        <v>2010</v>
      </c>
      <c r="C4285" s="2" t="s">
        <v>38</v>
      </c>
      <c r="D4285" s="2">
        <v>4.0000000000000001E-3</v>
      </c>
      <c r="E4285" s="2">
        <v>3.0000000000000001E-3</v>
      </c>
      <c r="P4285" s="3">
        <f>E4285*(VLOOKUP(B4285,Price_data!A$1:B$190,2,FALSE))</f>
        <v>2.2852931172E-3</v>
      </c>
      <c r="Q4285" s="3">
        <f>G4285*(VLOOKUP(B4285,Price_data!A$1:B$190,2,FALSE))</f>
        <v>0</v>
      </c>
      <c r="R4285" s="3">
        <f>I4285*(VLOOKUP(B4285,Price_data!A$1:B$190,2,FALSE))</f>
        <v>0</v>
      </c>
      <c r="S4285" s="4" t="str">
        <f>(VLOOKUP(B4285,Price_data!A$1:C$190,3,FALSE))</f>
        <v>EEZ</v>
      </c>
      <c r="T4285" s="2" t="str">
        <f>IF(C4285="Total", (VLOOKUP(B4285,Recommended_fish_intake!A$4:D$122,4,FALSE)), "NA")</f>
        <v>NA</v>
      </c>
      <c r="U4285" s="2" t="str">
        <f t="shared" si="395"/>
        <v>NA</v>
      </c>
    </row>
    <row r="4286" spans="1:21" ht="14.25" customHeight="1">
      <c r="A4286" s="2" t="s">
        <v>40</v>
      </c>
      <c r="B4286" s="2">
        <v>2010</v>
      </c>
      <c r="C4286" s="2" t="s">
        <v>63</v>
      </c>
      <c r="D4286" s="2">
        <v>6.0000000000000001E-3</v>
      </c>
      <c r="E4286" s="2">
        <v>3.3000000000000002E-2</v>
      </c>
      <c r="P4286" s="3">
        <f>E4286*(VLOOKUP(B4286,Price_data!A$1:B$190,2,FALSE))</f>
        <v>2.5138224289199998E-2</v>
      </c>
      <c r="Q4286" s="3">
        <f>G4286*(VLOOKUP(B4286,Price_data!A$1:B$190,2,FALSE))</f>
        <v>0</v>
      </c>
      <c r="R4286" s="3">
        <f>I4286*(VLOOKUP(B4286,Price_data!A$1:B$190,2,FALSE))</f>
        <v>0</v>
      </c>
      <c r="S4286" s="4" t="str">
        <f>(VLOOKUP(B4286,Price_data!A$1:C$190,3,FALSE))</f>
        <v>EEZ</v>
      </c>
      <c r="T4286" s="2" t="str">
        <f>IF(C4286="Total", (VLOOKUP(B4286,Recommended_fish_intake!A$4:D$122,4,FALSE)), "NA")</f>
        <v>NA</v>
      </c>
      <c r="U4286" s="2" t="str">
        <f t="shared" si="395"/>
        <v>NA</v>
      </c>
    </row>
    <row r="4287" spans="1:21" ht="14.25" customHeight="1">
      <c r="A4287" s="2" t="s">
        <v>40</v>
      </c>
      <c r="B4287" s="2">
        <v>2010</v>
      </c>
      <c r="C4287" s="2" t="s">
        <v>24</v>
      </c>
      <c r="D4287" s="2">
        <v>3.4000000000000002E-2</v>
      </c>
      <c r="E4287" s="2">
        <v>0.03</v>
      </c>
      <c r="P4287" s="3">
        <f>E4287*(VLOOKUP(B4287,Price_data!A$1:B$190,2,FALSE))</f>
        <v>2.2852931171999998E-2</v>
      </c>
      <c r="Q4287" s="3">
        <f>G4287*(VLOOKUP(B4287,Price_data!A$1:B$190,2,FALSE))</f>
        <v>0</v>
      </c>
      <c r="R4287" s="3">
        <f>I4287*(VLOOKUP(B4287,Price_data!A$1:B$190,2,FALSE))</f>
        <v>0</v>
      </c>
      <c r="S4287" s="4" t="str">
        <f>(VLOOKUP(B4287,Price_data!A$1:C$190,3,FALSE))</f>
        <v>EEZ</v>
      </c>
      <c r="T4287" s="2" t="str">
        <f>IF(C4287="Total", (VLOOKUP(B4287,Recommended_fish_intake!A$4:D$122,4,FALSE)), "NA")</f>
        <v>NA</v>
      </c>
      <c r="U4287" s="2" t="str">
        <f t="shared" si="395"/>
        <v>NA</v>
      </c>
    </row>
    <row r="4288" spans="1:21" ht="14.25" customHeight="1">
      <c r="A4288" s="2" t="s">
        <v>40</v>
      </c>
      <c r="B4288" s="2">
        <v>2010</v>
      </c>
      <c r="C4288" s="2" t="s">
        <v>41</v>
      </c>
      <c r="D4288" s="2">
        <v>1.339</v>
      </c>
      <c r="E4288" s="2">
        <v>2.202</v>
      </c>
      <c r="P4288" s="3">
        <f>E4288*(VLOOKUP(B4288,Price_data!A$1:B$190,2,FALSE))</f>
        <v>1.6774051480247998</v>
      </c>
      <c r="Q4288" s="3">
        <f>G4288*(VLOOKUP(B4288,Price_data!A$1:B$190,2,FALSE))</f>
        <v>0</v>
      </c>
      <c r="R4288" s="3">
        <f>I4288*(VLOOKUP(B4288,Price_data!A$1:B$190,2,FALSE))</f>
        <v>0</v>
      </c>
      <c r="S4288" s="4" t="str">
        <f>(VLOOKUP(B4288,Price_data!A$1:C$190,3,FALSE))</f>
        <v>EEZ</v>
      </c>
      <c r="T4288" s="2" t="str">
        <f>IF(C4288="Total", (VLOOKUP(B4288,Recommended_fish_intake!A$4:D$122,4,FALSE)), "NA")</f>
        <v>NA</v>
      </c>
      <c r="U4288" s="2" t="str">
        <f t="shared" si="395"/>
        <v>NA</v>
      </c>
    </row>
    <row r="4289" spans="1:21" ht="14.25" customHeight="1">
      <c r="A4289" s="2" t="s">
        <v>40</v>
      </c>
      <c r="B4289" s="2">
        <v>2010</v>
      </c>
      <c r="C4289" s="2" t="s">
        <v>19</v>
      </c>
      <c r="D4289" s="2">
        <v>5.5110000000000001</v>
      </c>
      <c r="E4289" s="2">
        <v>1.605</v>
      </c>
      <c r="P4289" s="3">
        <f>E4289*(VLOOKUP(B4289,Price_data!A$1:B$190,2,FALSE))</f>
        <v>1.2226318177019999</v>
      </c>
      <c r="Q4289" s="3">
        <f>G4289*(VLOOKUP(B4289,Price_data!A$1:B$190,2,FALSE))</f>
        <v>0</v>
      </c>
      <c r="R4289" s="3">
        <f>I4289*(VLOOKUP(B4289,Price_data!A$1:B$190,2,FALSE))</f>
        <v>0</v>
      </c>
      <c r="S4289" s="4" t="str">
        <f>(VLOOKUP(B4289,Price_data!A$1:C$190,3,FALSE))</f>
        <v>EEZ</v>
      </c>
      <c r="T4289" s="2" t="str">
        <f>IF(C4289="Total", (VLOOKUP(B4289,Recommended_fish_intake!A$4:D$122,4,FALSE)), "NA")</f>
        <v>NA</v>
      </c>
      <c r="U4289" s="2" t="str">
        <f t="shared" si="395"/>
        <v>NA</v>
      </c>
    </row>
    <row r="4290" spans="1:21" ht="14.25" customHeight="1">
      <c r="A4290" s="2" t="s">
        <v>40</v>
      </c>
      <c r="B4290" s="2">
        <v>2010</v>
      </c>
      <c r="C4290" s="2" t="s">
        <v>20</v>
      </c>
      <c r="D4290" s="2">
        <v>2.6739999999999999</v>
      </c>
      <c r="E4290" s="2">
        <v>2.089</v>
      </c>
      <c r="P4290" s="3">
        <f>E4290*(VLOOKUP(B4290,Price_data!A$1:B$190,2,FALSE))</f>
        <v>1.5913257739435998</v>
      </c>
      <c r="Q4290" s="3">
        <f>G4290*(VLOOKUP(B4290,Price_data!A$1:B$190,2,FALSE))</f>
        <v>0</v>
      </c>
      <c r="R4290" s="3">
        <f>I4290*(VLOOKUP(B4290,Price_data!A$1:B$190,2,FALSE))</f>
        <v>0</v>
      </c>
      <c r="S4290" s="4" t="str">
        <f>(VLOOKUP(B4290,Price_data!A$1:C$190,3,FALSE))</f>
        <v>EEZ</v>
      </c>
      <c r="T4290" s="2" t="str">
        <f>IF(C4290="Total", (VLOOKUP(B4290,Recommended_fish_intake!A$4:D$122,4,FALSE)), "NA")</f>
        <v>NA</v>
      </c>
      <c r="U4290" s="2" t="str">
        <f t="shared" ref="U4290:U4353" si="396">IF(C4290="Wet fish", D4290*0.49, IF(C4290="Shellfish", D4290*0.28, "NA"))</f>
        <v>NA</v>
      </c>
    </row>
    <row r="4291" spans="1:21" ht="14.25" customHeight="1">
      <c r="A4291" s="2" t="s">
        <v>40</v>
      </c>
      <c r="B4291" s="2">
        <v>2010</v>
      </c>
      <c r="C4291" s="2" t="s">
        <v>42</v>
      </c>
      <c r="D4291" s="2">
        <v>8.2390000000000008</v>
      </c>
      <c r="E4291" s="2">
        <v>3.7130000000000001</v>
      </c>
      <c r="P4291" s="3">
        <f>E4291*(VLOOKUP(B4291,Price_data!A$1:B$190,2,FALSE))</f>
        <v>2.8284311147211998</v>
      </c>
      <c r="Q4291" s="3">
        <f>G4291*(VLOOKUP(B4291,Price_data!A$1:B$190,2,FALSE))</f>
        <v>0</v>
      </c>
      <c r="R4291" s="3">
        <f>I4291*(VLOOKUP(B4291,Price_data!A$1:B$190,2,FALSE))</f>
        <v>0</v>
      </c>
      <c r="S4291" s="4" t="str">
        <f>(VLOOKUP(B4291,Price_data!A$1:C$190,3,FALSE))</f>
        <v>EEZ</v>
      </c>
      <c r="T4291" s="2" t="str">
        <f>IF(C4291="Total", (VLOOKUP(B4291,Recommended_fish_intake!A$4:D$122,4,FALSE)), "NA")</f>
        <v>NA</v>
      </c>
      <c r="U4291" s="2" t="str">
        <f t="shared" si="396"/>
        <v>NA</v>
      </c>
    </row>
    <row r="4292" spans="1:21" ht="14.25" customHeight="1">
      <c r="A4292" s="2" t="s">
        <v>40</v>
      </c>
      <c r="B4292" s="2">
        <v>2010</v>
      </c>
      <c r="C4292" s="2" t="s">
        <v>36</v>
      </c>
      <c r="D4292" s="2">
        <v>1.5069999999999999</v>
      </c>
      <c r="E4292" s="2">
        <v>1.4059999999999999</v>
      </c>
      <c r="P4292" s="3">
        <f>E4292*(VLOOKUP(B4292,Price_data!A$1:B$190,2,FALSE))</f>
        <v>1.0710407075944</v>
      </c>
      <c r="Q4292" s="3">
        <f>G4292*(VLOOKUP(B4292,Price_data!A$1:B$190,2,FALSE))</f>
        <v>0</v>
      </c>
      <c r="R4292" s="3">
        <f>I4292*(VLOOKUP(B4292,Price_data!A$1:B$190,2,FALSE))</f>
        <v>0</v>
      </c>
      <c r="S4292" s="4" t="str">
        <f>(VLOOKUP(B4292,Price_data!A$1:C$190,3,FALSE))</f>
        <v>EEZ</v>
      </c>
      <c r="T4292" s="2" t="str">
        <f>IF(C4292="Total", (VLOOKUP(B4292,Recommended_fish_intake!A$4:D$122,4,FALSE)), "NA")</f>
        <v>NA</v>
      </c>
      <c r="U4292" s="2" t="str">
        <f t="shared" si="396"/>
        <v>NA</v>
      </c>
    </row>
    <row r="4293" spans="1:21" ht="14.25" customHeight="1">
      <c r="A4293" s="2" t="s">
        <v>40</v>
      </c>
      <c r="B4293" s="2">
        <v>2010</v>
      </c>
      <c r="C4293" s="2" t="s">
        <v>34</v>
      </c>
      <c r="D4293" s="2">
        <v>0.06</v>
      </c>
      <c r="E4293" s="2">
        <v>0.58399999999999996</v>
      </c>
      <c r="P4293" s="3">
        <f>E4293*(VLOOKUP(B4293,Price_data!A$1:B$190,2,FALSE))</f>
        <v>0.44487039348159996</v>
      </c>
      <c r="Q4293" s="3">
        <f>G4293*(VLOOKUP(B4293,Price_data!A$1:B$190,2,FALSE))</f>
        <v>0</v>
      </c>
      <c r="R4293" s="3">
        <f>I4293*(VLOOKUP(B4293,Price_data!A$1:B$190,2,FALSE))</f>
        <v>0</v>
      </c>
      <c r="S4293" s="4" t="str">
        <f>(VLOOKUP(B4293,Price_data!A$1:C$190,3,FALSE))</f>
        <v>EEZ</v>
      </c>
      <c r="T4293" s="2" t="str">
        <f>IF(C4293="Total", (VLOOKUP(B4293,Recommended_fish_intake!A$4:D$122,4,FALSE)), "NA")</f>
        <v>NA</v>
      </c>
      <c r="U4293" s="2" t="str">
        <f t="shared" si="396"/>
        <v>NA</v>
      </c>
    </row>
    <row r="4294" spans="1:21" ht="14.25" customHeight="1">
      <c r="A4294" s="2" t="s">
        <v>40</v>
      </c>
      <c r="B4294" s="2">
        <v>2010</v>
      </c>
      <c r="C4294" s="2" t="s">
        <v>35</v>
      </c>
      <c r="D4294" s="2">
        <v>7.0019999999999998</v>
      </c>
      <c r="E4294" s="2">
        <v>10.676</v>
      </c>
      <c r="P4294" s="3">
        <f>E4294*(VLOOKUP(B4294,Price_data!A$1:B$190,2,FALSE))</f>
        <v>8.1325964397424002</v>
      </c>
      <c r="Q4294" s="3">
        <f>G4294*(VLOOKUP(B4294,Price_data!A$1:B$190,2,FALSE))</f>
        <v>0</v>
      </c>
      <c r="R4294" s="3">
        <f>I4294*(VLOOKUP(B4294,Price_data!A$1:B$190,2,FALSE))</f>
        <v>0</v>
      </c>
      <c r="S4294" s="4" t="str">
        <f>(VLOOKUP(B4294,Price_data!A$1:C$190,3,FALSE))</f>
        <v>EEZ</v>
      </c>
      <c r="T4294" s="2" t="str">
        <f>IF(C4294="Total", (VLOOKUP(B4294,Recommended_fish_intake!A$4:D$122,4,FALSE)), "NA")</f>
        <v>NA</v>
      </c>
      <c r="U4294" s="2" t="str">
        <f t="shared" si="396"/>
        <v>NA</v>
      </c>
    </row>
    <row r="4295" spans="1:21" ht="14.25" customHeight="1">
      <c r="A4295" s="2" t="s">
        <v>40</v>
      </c>
      <c r="B4295" s="2">
        <v>2010</v>
      </c>
      <c r="C4295" s="2" t="s">
        <v>52</v>
      </c>
      <c r="D4295" s="2">
        <v>3.972</v>
      </c>
      <c r="E4295" s="2">
        <v>2.5510000000000002</v>
      </c>
      <c r="P4295" s="3">
        <f>E4295*(VLOOKUP(B4295,Price_data!A$1:B$190,2,FALSE))</f>
        <v>1.9432609139924</v>
      </c>
      <c r="Q4295" s="3">
        <f>G4295*(VLOOKUP(B4295,Price_data!A$1:B$190,2,FALSE))</f>
        <v>0</v>
      </c>
      <c r="R4295" s="3">
        <f>I4295*(VLOOKUP(B4295,Price_data!A$1:B$190,2,FALSE))</f>
        <v>0</v>
      </c>
      <c r="S4295" s="4" t="str">
        <f>(VLOOKUP(B4295,Price_data!A$1:C$190,3,FALSE))</f>
        <v>EEZ</v>
      </c>
      <c r="T4295" s="2" t="str">
        <f>IF(C4295="Total", (VLOOKUP(B4295,Recommended_fish_intake!A$4:D$122,4,FALSE)), "NA")</f>
        <v>NA</v>
      </c>
      <c r="U4295" s="2" t="str">
        <f t="shared" si="396"/>
        <v>NA</v>
      </c>
    </row>
    <row r="4296" spans="1:21" ht="14.25" customHeight="1">
      <c r="A4296" s="2" t="s">
        <v>40</v>
      </c>
      <c r="B4296" s="2">
        <v>2010</v>
      </c>
      <c r="C4296" s="2" t="s">
        <v>30</v>
      </c>
      <c r="D4296" s="2">
        <v>8.9999999999999993E-3</v>
      </c>
      <c r="E4296" s="2">
        <v>0.125</v>
      </c>
      <c r="P4296" s="3">
        <f>E4296*(VLOOKUP(B4296,Price_data!A$1:B$190,2,FALSE))</f>
        <v>9.5220546549999993E-2</v>
      </c>
      <c r="Q4296" s="3">
        <f>G4296*(VLOOKUP(B4296,Price_data!A$1:B$190,2,FALSE))</f>
        <v>0</v>
      </c>
      <c r="R4296" s="3">
        <f>I4296*(VLOOKUP(B4296,Price_data!A$1:B$190,2,FALSE))</f>
        <v>0</v>
      </c>
      <c r="S4296" s="4" t="str">
        <f>(VLOOKUP(B4296,Price_data!A$1:C$190,3,FALSE))</f>
        <v>EEZ</v>
      </c>
      <c r="T4296" s="2" t="str">
        <f>IF(C4296="Total", (VLOOKUP(B4296,Recommended_fish_intake!A$4:D$122,4,FALSE)), "NA")</f>
        <v>NA</v>
      </c>
      <c r="U4296" s="2" t="str">
        <f t="shared" si="396"/>
        <v>NA</v>
      </c>
    </row>
    <row r="4297" spans="1:21" ht="14.25" customHeight="1">
      <c r="A4297" s="2" t="s">
        <v>40</v>
      </c>
      <c r="B4297" s="2">
        <v>2010</v>
      </c>
      <c r="C4297" s="2" t="s">
        <v>28</v>
      </c>
      <c r="D4297" s="2">
        <v>12.613</v>
      </c>
      <c r="E4297" s="2">
        <v>15.406000000000001</v>
      </c>
      <c r="P4297" s="3">
        <f>E4297*(VLOOKUP(B4297,Price_data!A$1:B$190,2,FALSE))</f>
        <v>11.7357419211944</v>
      </c>
      <c r="Q4297" s="3">
        <f>G4297*(VLOOKUP(B4297,Price_data!A$1:B$190,2,FALSE))</f>
        <v>0</v>
      </c>
      <c r="R4297" s="3">
        <f>I4297*(VLOOKUP(B4297,Price_data!A$1:B$190,2,FALSE))</f>
        <v>0</v>
      </c>
      <c r="S4297" s="4" t="str">
        <f>(VLOOKUP(B4297,Price_data!A$1:C$190,3,FALSE))</f>
        <v>EEZ</v>
      </c>
      <c r="T4297" s="2" t="str">
        <f>IF(C4297="Total", (VLOOKUP(B4297,Recommended_fish_intake!A$4:D$122,4,FALSE)), "NA")</f>
        <v>NA</v>
      </c>
      <c r="U4297" s="2">
        <f t="shared" si="396"/>
        <v>3.5316400000000003</v>
      </c>
    </row>
    <row r="4298" spans="1:21" ht="14.25" customHeight="1">
      <c r="A4298" s="2" t="s">
        <v>40</v>
      </c>
      <c r="B4298" s="2">
        <v>2010</v>
      </c>
      <c r="C4298" s="2" t="s">
        <v>37</v>
      </c>
      <c r="D4298" s="3" t="e">
        <f>D2995+D3010</f>
        <v>#N/A</v>
      </c>
      <c r="E4298" s="3" t="e">
        <f>E2995+E3010</f>
        <v>#N/A</v>
      </c>
      <c r="P4298" s="3" t="e">
        <f>E4298*(VLOOKUP(B4298,Price_data!A$1:B$190,2,FALSE))</f>
        <v>#N/A</v>
      </c>
      <c r="Q4298" s="3">
        <f>G4298*(VLOOKUP(B4298,Price_data!A$1:B$190,2,FALSE))</f>
        <v>0</v>
      </c>
      <c r="R4298" s="3">
        <f>I4298*(VLOOKUP(B4298,Price_data!A$1:B$190,2,FALSE))</f>
        <v>0</v>
      </c>
      <c r="S4298" s="4" t="str">
        <f>(VLOOKUP(B4298,Price_data!A$1:C$190,3,FALSE))</f>
        <v>EEZ</v>
      </c>
      <c r="T4298" s="2" t="str">
        <f>IF(C4298="Total", (VLOOKUP(B4298,Recommended_fish_intake!A$4:D$122,4,FALSE)), "NA")</f>
        <v>NA</v>
      </c>
      <c r="U4298" s="2" t="e">
        <f t="shared" si="396"/>
        <v>#N/A</v>
      </c>
    </row>
    <row r="4299" spans="1:21" ht="14.25" customHeight="1">
      <c r="A4299" s="2" t="s">
        <v>39</v>
      </c>
      <c r="B4299" s="2">
        <v>2010</v>
      </c>
      <c r="C4299" s="2" t="s">
        <v>37</v>
      </c>
      <c r="D4299" s="3">
        <f>D2901+D2916</f>
        <v>29.18</v>
      </c>
      <c r="E4299" s="3">
        <f>E2901+E2916</f>
        <v>57.443000000000005</v>
      </c>
      <c r="P4299" s="3">
        <f>E4299*(VLOOKUP(B4299,Price_data!A$1:B$190,2,FALSE))</f>
        <v>43.758030843773199</v>
      </c>
      <c r="Q4299" s="3">
        <f>G4299*(VLOOKUP(B4299,Price_data!A$1:B$190,2,FALSE))</f>
        <v>0</v>
      </c>
      <c r="R4299" s="3">
        <f>I4299*(VLOOKUP(B4299,Price_data!A$1:B$190,2,FALSE))</f>
        <v>0</v>
      </c>
      <c r="S4299" s="4" t="str">
        <f>(VLOOKUP(B4299,Price_data!A$1:C$190,3,FALSE))</f>
        <v>EEZ</v>
      </c>
      <c r="T4299" s="2" t="str">
        <f>IF(C4299="Total", (VLOOKUP(B4299,Recommended_fish_intake!A$4:D$122,4,FALSE)), "NA")</f>
        <v>NA</v>
      </c>
      <c r="U4299" s="2">
        <f t="shared" si="396"/>
        <v>14.2982</v>
      </c>
    </row>
    <row r="4300" spans="1:21" ht="14.25" customHeight="1">
      <c r="A4300" s="2" t="s">
        <v>18</v>
      </c>
      <c r="B4300" s="2">
        <v>2010</v>
      </c>
      <c r="C4300" s="2" t="s">
        <v>22</v>
      </c>
      <c r="D4300" s="3">
        <f t="shared" ref="D4300:E4316" si="397">D2682+D2772</f>
        <v>10.526</v>
      </c>
      <c r="E4300" s="3">
        <f t="shared" si="397"/>
        <v>10.484</v>
      </c>
      <c r="P4300" s="3">
        <f>E4300*(VLOOKUP(B4300,Price_data!A$1:B$190,2,FALSE))</f>
        <v>7.9863376802415997</v>
      </c>
      <c r="Q4300" s="3">
        <f>G4300*(VLOOKUP(B4300,Price_data!A$1:B$190,2,FALSE))</f>
        <v>0</v>
      </c>
      <c r="R4300" s="3">
        <f>I4300*(VLOOKUP(B4300,Price_data!A$1:B$190,2,FALSE))</f>
        <v>0</v>
      </c>
      <c r="S4300" s="4" t="str">
        <f>(VLOOKUP(B4300,Price_data!A$1:C$190,3,FALSE))</f>
        <v>EEZ</v>
      </c>
      <c r="T4300" s="2" t="str">
        <f>IF(C4300="Total", (VLOOKUP(B4300,Recommended_fish_intake!A$4:D$122,4,FALSE)), "NA")</f>
        <v>NA</v>
      </c>
      <c r="U4300" s="2" t="str">
        <f t="shared" si="396"/>
        <v>NA</v>
      </c>
    </row>
    <row r="4301" spans="1:21" ht="14.25" customHeight="1">
      <c r="A4301" s="2" t="s">
        <v>18</v>
      </c>
      <c r="B4301" s="2">
        <v>2010</v>
      </c>
      <c r="C4301" s="2" t="s">
        <v>23</v>
      </c>
      <c r="D4301" s="3">
        <f t="shared" si="397"/>
        <v>4.085</v>
      </c>
      <c r="E4301" s="3">
        <f t="shared" si="397"/>
        <v>6.827</v>
      </c>
      <c r="P4301" s="3">
        <f>E4301*(VLOOKUP(B4301,Price_data!A$1:B$190,2,FALSE))</f>
        <v>5.2005653703747994</v>
      </c>
      <c r="Q4301" s="3">
        <f>G4301*(VLOOKUP(B4301,Price_data!A$1:B$190,2,FALSE))</f>
        <v>0</v>
      </c>
      <c r="R4301" s="3">
        <f>I4301*(VLOOKUP(B4301,Price_data!A$1:B$190,2,FALSE))</f>
        <v>0</v>
      </c>
      <c r="S4301" s="4" t="str">
        <f>(VLOOKUP(B4301,Price_data!A$1:C$190,3,FALSE))</f>
        <v>EEZ</v>
      </c>
      <c r="T4301" s="2" t="str">
        <f>IF(C4301="Total", (VLOOKUP(B4301,Recommended_fish_intake!A$4:D$122,4,FALSE)), "NA")</f>
        <v>NA</v>
      </c>
      <c r="U4301" s="2" t="str">
        <f t="shared" si="396"/>
        <v>NA</v>
      </c>
    </row>
    <row r="4302" spans="1:21" ht="14.25" customHeight="1">
      <c r="A4302" s="2" t="s">
        <v>18</v>
      </c>
      <c r="B4302" s="2">
        <v>2010</v>
      </c>
      <c r="C4302" s="2" t="s">
        <v>53</v>
      </c>
      <c r="D4302" s="3">
        <f t="shared" si="397"/>
        <v>32.024999999999999</v>
      </c>
      <c r="E4302" s="3">
        <f t="shared" si="397"/>
        <v>55.965000000000003</v>
      </c>
      <c r="P4302" s="3">
        <f>E4302*(VLOOKUP(B4302,Price_data!A$1:B$190,2,FALSE))</f>
        <v>42.632143101365997</v>
      </c>
      <c r="Q4302" s="3">
        <f>G4302*(VLOOKUP(B4302,Price_data!A$1:B$190,2,FALSE))</f>
        <v>0</v>
      </c>
      <c r="R4302" s="3">
        <f>I4302*(VLOOKUP(B4302,Price_data!A$1:B$190,2,FALSE))</f>
        <v>0</v>
      </c>
      <c r="S4302" s="4" t="str">
        <f>(VLOOKUP(B4302,Price_data!A$1:C$190,3,FALSE))</f>
        <v>EEZ</v>
      </c>
      <c r="T4302" s="2" t="str">
        <f>IF(C4302="Total", (VLOOKUP(B4302,Recommended_fish_intake!A$4:D$122,4,FALSE)), "NA")</f>
        <v>NA</v>
      </c>
      <c r="U4302" s="2" t="str">
        <f t="shared" si="396"/>
        <v>NA</v>
      </c>
    </row>
    <row r="4303" spans="1:21" ht="14.25" customHeight="1">
      <c r="A4303" s="2" t="s">
        <v>18</v>
      </c>
      <c r="B4303" s="2">
        <v>2010</v>
      </c>
      <c r="C4303" s="2" t="s">
        <v>58</v>
      </c>
      <c r="D4303" s="3">
        <f t="shared" si="397"/>
        <v>14.690999999999999</v>
      </c>
      <c r="E4303" s="3">
        <f t="shared" si="397"/>
        <v>17.689</v>
      </c>
      <c r="P4303" s="3">
        <f>E4303*(VLOOKUP(B4303,Price_data!A$1:B$190,2,FALSE))</f>
        <v>13.474849983383599</v>
      </c>
      <c r="Q4303" s="3">
        <f>G4303*(VLOOKUP(B4303,Price_data!A$1:B$190,2,FALSE))</f>
        <v>0</v>
      </c>
      <c r="R4303" s="3">
        <f>I4303*(VLOOKUP(B4303,Price_data!A$1:B$190,2,FALSE))</f>
        <v>0</v>
      </c>
      <c r="S4303" s="4" t="str">
        <f>(VLOOKUP(B4303,Price_data!A$1:C$190,3,FALSE))</f>
        <v>EEZ</v>
      </c>
      <c r="T4303" s="2" t="str">
        <f>IF(C4303="Total", (VLOOKUP(B4303,Recommended_fish_intake!A$4:D$122,4,FALSE)), "NA")</f>
        <v>NA</v>
      </c>
      <c r="U4303" s="2" t="str">
        <f t="shared" si="396"/>
        <v>NA</v>
      </c>
    </row>
    <row r="4304" spans="1:21" ht="14.25" customHeight="1">
      <c r="A4304" s="2" t="s">
        <v>18</v>
      </c>
      <c r="B4304" s="2">
        <v>2010</v>
      </c>
      <c r="C4304" s="2" t="s">
        <v>38</v>
      </c>
      <c r="D4304" s="3">
        <f t="shared" si="397"/>
        <v>2.4750000000000001</v>
      </c>
      <c r="E4304" s="3">
        <f t="shared" si="397"/>
        <v>1.85</v>
      </c>
      <c r="P4304" s="3">
        <f>E4304*(VLOOKUP(B4304,Price_data!A$1:B$190,2,FALSE))</f>
        <v>1.4092640889399999</v>
      </c>
      <c r="Q4304" s="3">
        <f>G4304*(VLOOKUP(B4304,Price_data!A$1:B$190,2,FALSE))</f>
        <v>0</v>
      </c>
      <c r="R4304" s="3">
        <f>I4304*(VLOOKUP(B4304,Price_data!A$1:B$190,2,FALSE))</f>
        <v>0</v>
      </c>
      <c r="S4304" s="4" t="str">
        <f>(VLOOKUP(B4304,Price_data!A$1:C$190,3,FALSE))</f>
        <v>EEZ</v>
      </c>
      <c r="T4304" s="2" t="str">
        <f>IF(C4304="Total", (VLOOKUP(B4304,Recommended_fish_intake!A$4:D$122,4,FALSE)), "NA")</f>
        <v>NA</v>
      </c>
      <c r="U4304" s="2" t="str">
        <f t="shared" si="396"/>
        <v>NA</v>
      </c>
    </row>
    <row r="4305" spans="1:21" ht="14.25" customHeight="1">
      <c r="A4305" s="2" t="s">
        <v>18</v>
      </c>
      <c r="B4305" s="2">
        <v>2010</v>
      </c>
      <c r="C4305" s="2" t="s">
        <v>63</v>
      </c>
      <c r="D4305" s="3">
        <f t="shared" si="397"/>
        <v>56.338999999999999</v>
      </c>
      <c r="E4305" s="3">
        <f t="shared" si="397"/>
        <v>87.845999999999989</v>
      </c>
      <c r="P4305" s="3">
        <f>E4305*(VLOOKUP(B4305,Price_data!A$1:B$190,2,FALSE))</f>
        <v>66.917953057850383</v>
      </c>
      <c r="Q4305" s="3">
        <f>G4305*(VLOOKUP(B4305,Price_data!A$1:B$190,2,FALSE))</f>
        <v>0</v>
      </c>
      <c r="R4305" s="3">
        <f>I4305*(VLOOKUP(B4305,Price_data!A$1:B$190,2,FALSE))</f>
        <v>0</v>
      </c>
      <c r="S4305" s="4" t="str">
        <f>(VLOOKUP(B4305,Price_data!A$1:C$190,3,FALSE))</f>
        <v>EEZ</v>
      </c>
      <c r="T4305" s="2" t="str">
        <f>IF(C4305="Total", (VLOOKUP(B4305,Recommended_fish_intake!A$4:D$122,4,FALSE)), "NA")</f>
        <v>NA</v>
      </c>
      <c r="U4305" s="2" t="str">
        <f t="shared" si="396"/>
        <v>NA</v>
      </c>
    </row>
    <row r="4306" spans="1:21" ht="14.25" customHeight="1">
      <c r="A4306" s="2" t="s">
        <v>18</v>
      </c>
      <c r="B4306" s="2">
        <v>2010</v>
      </c>
      <c r="C4306" s="2" t="s">
        <v>24</v>
      </c>
      <c r="D4306" s="3">
        <f t="shared" si="397"/>
        <v>2.4160000000000004</v>
      </c>
      <c r="E4306" s="3">
        <f t="shared" si="397"/>
        <v>2.339</v>
      </c>
      <c r="P4306" s="3">
        <f>E4306*(VLOOKUP(B4306,Price_data!A$1:B$190,2,FALSE))</f>
        <v>1.7817668670435998</v>
      </c>
      <c r="Q4306" s="3">
        <f>G4306*(VLOOKUP(B4306,Price_data!A$1:B$190,2,FALSE))</f>
        <v>0</v>
      </c>
      <c r="R4306" s="3">
        <f>I4306*(VLOOKUP(B4306,Price_data!A$1:B$190,2,FALSE))</f>
        <v>0</v>
      </c>
      <c r="S4306" s="4" t="str">
        <f>(VLOOKUP(B4306,Price_data!A$1:C$190,3,FALSE))</f>
        <v>EEZ</v>
      </c>
      <c r="T4306" s="2" t="str">
        <f>IF(C4306="Total", (VLOOKUP(B4306,Recommended_fish_intake!A$4:D$122,4,FALSE)), "NA")</f>
        <v>NA</v>
      </c>
      <c r="U4306" s="2" t="str">
        <f t="shared" si="396"/>
        <v>NA</v>
      </c>
    </row>
    <row r="4307" spans="1:21" ht="14.25" customHeight="1">
      <c r="A4307" s="2" t="s">
        <v>18</v>
      </c>
      <c r="B4307" s="2">
        <v>2010</v>
      </c>
      <c r="C4307" s="2" t="s">
        <v>41</v>
      </c>
      <c r="D4307" s="3">
        <f t="shared" si="397"/>
        <v>0.38100000000000001</v>
      </c>
      <c r="E4307" s="3">
        <f t="shared" si="397"/>
        <v>0.38200000000000001</v>
      </c>
      <c r="P4307" s="3">
        <f>E4307*(VLOOKUP(B4307,Price_data!A$1:B$190,2,FALSE))</f>
        <v>0.29099399025680001</v>
      </c>
      <c r="Q4307" s="3">
        <f>G4307*(VLOOKUP(B4307,Price_data!A$1:B$190,2,FALSE))</f>
        <v>0</v>
      </c>
      <c r="R4307" s="3">
        <f>I4307*(VLOOKUP(B4307,Price_data!A$1:B$190,2,FALSE))</f>
        <v>0</v>
      </c>
      <c r="S4307" s="4" t="str">
        <f>(VLOOKUP(B4307,Price_data!A$1:C$190,3,FALSE))</f>
        <v>EEZ</v>
      </c>
      <c r="T4307" s="2" t="str">
        <f>IF(C4307="Total", (VLOOKUP(B4307,Recommended_fish_intake!A$4:D$122,4,FALSE)), "NA")</f>
        <v>NA</v>
      </c>
      <c r="U4307" s="2" t="str">
        <f t="shared" si="396"/>
        <v>NA</v>
      </c>
    </row>
    <row r="4308" spans="1:21" ht="14.25" customHeight="1">
      <c r="A4308" s="2" t="s">
        <v>18</v>
      </c>
      <c r="B4308" s="2">
        <v>2010</v>
      </c>
      <c r="C4308" s="2" t="s">
        <v>19</v>
      </c>
      <c r="D4308" s="3">
        <f t="shared" si="397"/>
        <v>6.1669999999999998</v>
      </c>
      <c r="E4308" s="3">
        <f t="shared" si="397"/>
        <v>8.3070000000000004</v>
      </c>
      <c r="P4308" s="3">
        <f>E4308*(VLOOKUP(B4308,Price_data!A$1:B$190,2,FALSE))</f>
        <v>6.3279766415268002</v>
      </c>
      <c r="Q4308" s="3">
        <f>G4308*(VLOOKUP(B4308,Price_data!A$1:B$190,2,FALSE))</f>
        <v>0</v>
      </c>
      <c r="R4308" s="3">
        <f>I4308*(VLOOKUP(B4308,Price_data!A$1:B$190,2,FALSE))</f>
        <v>0</v>
      </c>
      <c r="S4308" s="4" t="str">
        <f>(VLOOKUP(B4308,Price_data!A$1:C$190,3,FALSE))</f>
        <v>EEZ</v>
      </c>
      <c r="T4308" s="2" t="str">
        <f>IF(C4308="Total", (VLOOKUP(B4308,Recommended_fish_intake!A$4:D$122,4,FALSE)), "NA")</f>
        <v>NA</v>
      </c>
      <c r="U4308" s="2" t="str">
        <f t="shared" si="396"/>
        <v>NA</v>
      </c>
    </row>
    <row r="4309" spans="1:21" ht="14.25" customHeight="1">
      <c r="A4309" s="2" t="s">
        <v>18</v>
      </c>
      <c r="B4309" s="2">
        <v>2010</v>
      </c>
      <c r="C4309" s="2" t="s">
        <v>20</v>
      </c>
      <c r="D4309" s="3">
        <f t="shared" si="397"/>
        <v>2.9810000000000003</v>
      </c>
      <c r="E4309" s="3">
        <f t="shared" si="397"/>
        <v>1.389</v>
      </c>
      <c r="P4309" s="3">
        <f>E4309*(VLOOKUP(B4309,Price_data!A$1:B$190,2,FALSE))</f>
        <v>1.0580907132635999</v>
      </c>
      <c r="Q4309" s="3">
        <f>G4309*(VLOOKUP(B4309,Price_data!A$1:B$190,2,FALSE))</f>
        <v>0</v>
      </c>
      <c r="R4309" s="3">
        <f>I4309*(VLOOKUP(B4309,Price_data!A$1:B$190,2,FALSE))</f>
        <v>0</v>
      </c>
      <c r="S4309" s="4" t="str">
        <f>(VLOOKUP(B4309,Price_data!A$1:C$190,3,FALSE))</f>
        <v>EEZ</v>
      </c>
      <c r="T4309" s="2" t="str">
        <f>IF(C4309="Total", (VLOOKUP(B4309,Recommended_fish_intake!A$4:D$122,4,FALSE)), "NA")</f>
        <v>NA</v>
      </c>
      <c r="U4309" s="2" t="str">
        <f t="shared" si="396"/>
        <v>NA</v>
      </c>
    </row>
    <row r="4310" spans="1:21" ht="14.25" customHeight="1">
      <c r="A4310" s="2" t="s">
        <v>18</v>
      </c>
      <c r="B4310" s="2">
        <v>2010</v>
      </c>
      <c r="C4310" s="2" t="s">
        <v>42</v>
      </c>
      <c r="D4310" s="3">
        <f t="shared" si="397"/>
        <v>7.6509999999999998</v>
      </c>
      <c r="E4310" s="3">
        <f t="shared" si="397"/>
        <v>6.625</v>
      </c>
      <c r="P4310" s="3">
        <f>E4310*(VLOOKUP(B4310,Price_data!A$1:B$190,2,FALSE))</f>
        <v>5.0466889671499997</v>
      </c>
      <c r="Q4310" s="3">
        <f>G4310*(VLOOKUP(B4310,Price_data!A$1:B$190,2,FALSE))</f>
        <v>0</v>
      </c>
      <c r="R4310" s="3">
        <f>I4310*(VLOOKUP(B4310,Price_data!A$1:B$190,2,FALSE))</f>
        <v>0</v>
      </c>
      <c r="S4310" s="4" t="str">
        <f>(VLOOKUP(B4310,Price_data!A$1:C$190,3,FALSE))</f>
        <v>EEZ</v>
      </c>
      <c r="T4310" s="2" t="str">
        <f>IF(C4310="Total", (VLOOKUP(B4310,Recommended_fish_intake!A$4:D$122,4,FALSE)), "NA")</f>
        <v>NA</v>
      </c>
      <c r="U4310" s="2" t="str">
        <f t="shared" si="396"/>
        <v>NA</v>
      </c>
    </row>
    <row r="4311" spans="1:21" ht="14.25" customHeight="1">
      <c r="A4311" s="2" t="s">
        <v>18</v>
      </c>
      <c r="B4311" s="2">
        <v>2010</v>
      </c>
      <c r="C4311" s="2" t="s">
        <v>36</v>
      </c>
      <c r="D4311" s="3">
        <f t="shared" si="397"/>
        <v>11.260999999999999</v>
      </c>
      <c r="E4311" s="3">
        <f t="shared" si="397"/>
        <v>9.31</v>
      </c>
      <c r="P4311" s="3">
        <f>E4311*(VLOOKUP(B4311,Price_data!A$1:B$190,2,FALSE))</f>
        <v>7.0920263070439997</v>
      </c>
      <c r="Q4311" s="3">
        <f>G4311*(VLOOKUP(B4311,Price_data!A$1:B$190,2,FALSE))</f>
        <v>0</v>
      </c>
      <c r="R4311" s="3">
        <f>I4311*(VLOOKUP(B4311,Price_data!A$1:B$190,2,FALSE))</f>
        <v>0</v>
      </c>
      <c r="S4311" s="4" t="str">
        <f>(VLOOKUP(B4311,Price_data!A$1:C$190,3,FALSE))</f>
        <v>EEZ</v>
      </c>
      <c r="T4311" s="2" t="str">
        <f>IF(C4311="Total", (VLOOKUP(B4311,Recommended_fish_intake!A$4:D$122,4,FALSE)), "NA")</f>
        <v>NA</v>
      </c>
      <c r="U4311" s="2" t="str">
        <f t="shared" si="396"/>
        <v>NA</v>
      </c>
    </row>
    <row r="4312" spans="1:21" ht="14.25" customHeight="1">
      <c r="A4312" s="2" t="s">
        <v>18</v>
      </c>
      <c r="B4312" s="2">
        <v>2010</v>
      </c>
      <c r="C4312" s="2" t="s">
        <v>34</v>
      </c>
      <c r="D4312" s="3">
        <f t="shared" si="397"/>
        <v>12.023</v>
      </c>
      <c r="E4312" s="3">
        <f t="shared" si="397"/>
        <v>3.9099999999999997</v>
      </c>
      <c r="P4312" s="3">
        <f>E4312*(VLOOKUP(B4312,Price_data!A$1:B$190,2,FALSE))</f>
        <v>2.9784986960839994</v>
      </c>
      <c r="Q4312" s="3">
        <f>G4312*(VLOOKUP(B4312,Price_data!A$1:B$190,2,FALSE))</f>
        <v>0</v>
      </c>
      <c r="R4312" s="3">
        <f>I4312*(VLOOKUP(B4312,Price_data!A$1:B$190,2,FALSE))</f>
        <v>0</v>
      </c>
      <c r="S4312" s="4" t="str">
        <f>(VLOOKUP(B4312,Price_data!A$1:C$190,3,FALSE))</f>
        <v>EEZ</v>
      </c>
      <c r="T4312" s="2" t="str">
        <f>IF(C4312="Total", (VLOOKUP(B4312,Recommended_fish_intake!A$4:D$122,4,FALSE)), "NA")</f>
        <v>NA</v>
      </c>
      <c r="U4312" s="2" t="str">
        <f t="shared" si="396"/>
        <v>NA</v>
      </c>
    </row>
    <row r="4313" spans="1:21" ht="14.25" customHeight="1">
      <c r="A4313" s="2" t="s">
        <v>18</v>
      </c>
      <c r="B4313" s="2">
        <v>2010</v>
      </c>
      <c r="C4313" s="2" t="s">
        <v>35</v>
      </c>
      <c r="D4313" s="3">
        <f t="shared" si="397"/>
        <v>59.403000000000006</v>
      </c>
      <c r="E4313" s="3">
        <f t="shared" si="397"/>
        <v>33.731999999999999</v>
      </c>
      <c r="P4313" s="3">
        <f>E4313*(VLOOKUP(B4313,Price_data!A$1:B$190,2,FALSE))</f>
        <v>25.695835809796797</v>
      </c>
      <c r="Q4313" s="3">
        <f>G4313*(VLOOKUP(B4313,Price_data!A$1:B$190,2,FALSE))</f>
        <v>0</v>
      </c>
      <c r="R4313" s="3">
        <f>I4313*(VLOOKUP(B4313,Price_data!A$1:B$190,2,FALSE))</f>
        <v>0</v>
      </c>
      <c r="S4313" s="4" t="str">
        <f>(VLOOKUP(B4313,Price_data!A$1:C$190,3,FALSE))</f>
        <v>EEZ</v>
      </c>
      <c r="T4313" s="2" t="str">
        <f>IF(C4313="Total", (VLOOKUP(B4313,Recommended_fish_intake!A$4:D$122,4,FALSE)), "NA")</f>
        <v>NA</v>
      </c>
      <c r="U4313" s="2" t="str">
        <f t="shared" si="396"/>
        <v>NA</v>
      </c>
    </row>
    <row r="4314" spans="1:21" ht="14.25" customHeight="1">
      <c r="A4314" s="2" t="s">
        <v>18</v>
      </c>
      <c r="B4314" s="2">
        <v>2010</v>
      </c>
      <c r="C4314" s="2" t="s">
        <v>52</v>
      </c>
      <c r="D4314" s="3">
        <f t="shared" si="397"/>
        <v>1.9339999999999997</v>
      </c>
      <c r="E4314" s="3">
        <f t="shared" si="397"/>
        <v>1.3740000000000001</v>
      </c>
      <c r="P4314" s="3">
        <f>E4314*(VLOOKUP(B4314,Price_data!A$1:B$190,2,FALSE))</f>
        <v>1.0466642476776</v>
      </c>
      <c r="Q4314" s="3">
        <f>G4314*(VLOOKUP(B4314,Price_data!A$1:B$190,2,FALSE))</f>
        <v>0</v>
      </c>
      <c r="R4314" s="3">
        <f>I4314*(VLOOKUP(B4314,Price_data!A$1:B$190,2,FALSE))</f>
        <v>0</v>
      </c>
      <c r="S4314" s="4" t="str">
        <f>(VLOOKUP(B4314,Price_data!A$1:C$190,3,FALSE))</f>
        <v>EEZ</v>
      </c>
      <c r="T4314" s="2" t="str">
        <f>IF(C4314="Total", (VLOOKUP(B4314,Recommended_fish_intake!A$4:D$122,4,FALSE)), "NA")</f>
        <v>NA</v>
      </c>
      <c r="U4314" s="2" t="str">
        <f t="shared" si="396"/>
        <v>NA</v>
      </c>
    </row>
    <row r="4315" spans="1:21" ht="14.25" customHeight="1">
      <c r="A4315" s="2" t="s">
        <v>18</v>
      </c>
      <c r="B4315" s="2">
        <v>2010</v>
      </c>
      <c r="C4315" s="2" t="s">
        <v>30</v>
      </c>
      <c r="D4315" s="3">
        <f t="shared" si="397"/>
        <v>62.504000000000005</v>
      </c>
      <c r="E4315" s="3">
        <f t="shared" si="397"/>
        <v>41.643000000000001</v>
      </c>
      <c r="P4315" s="3">
        <f>E4315*(VLOOKUP(B4315,Price_data!A$1:B$190,2,FALSE))</f>
        <v>31.7221537598532</v>
      </c>
      <c r="Q4315" s="3">
        <f>G4315*(VLOOKUP(B4315,Price_data!A$1:B$190,2,FALSE))</f>
        <v>0</v>
      </c>
      <c r="R4315" s="3">
        <f>I4315*(VLOOKUP(B4315,Price_data!A$1:B$190,2,FALSE))</f>
        <v>0</v>
      </c>
      <c r="S4315" s="4" t="str">
        <f>(VLOOKUP(B4315,Price_data!A$1:C$190,3,FALSE))</f>
        <v>EEZ</v>
      </c>
      <c r="T4315" s="2" t="str">
        <f>IF(C4315="Total", (VLOOKUP(B4315,Recommended_fish_intake!A$4:D$122,4,FALSE)), "NA")</f>
        <v>NA</v>
      </c>
      <c r="U4315" s="2" t="str">
        <f t="shared" si="396"/>
        <v>NA</v>
      </c>
    </row>
    <row r="4316" spans="1:21" ht="14.25" customHeight="1">
      <c r="A4316" s="2" t="s">
        <v>18</v>
      </c>
      <c r="B4316" s="2">
        <v>2010</v>
      </c>
      <c r="C4316" s="2" t="s">
        <v>28</v>
      </c>
      <c r="D4316" s="3">
        <f t="shared" si="397"/>
        <v>63.524000000000001</v>
      </c>
      <c r="E4316" s="3">
        <f t="shared" si="397"/>
        <v>46.323</v>
      </c>
      <c r="P4316" s="3">
        <f>E4316*(VLOOKUP(B4316,Price_data!A$1:B$190,2,FALSE))</f>
        <v>35.287211022685199</v>
      </c>
      <c r="Q4316" s="3">
        <f>G4316*(VLOOKUP(B4316,Price_data!A$1:B$190,2,FALSE))</f>
        <v>0</v>
      </c>
      <c r="R4316" s="3">
        <f>I4316*(VLOOKUP(B4316,Price_data!A$1:B$190,2,FALSE))</f>
        <v>0</v>
      </c>
      <c r="S4316" s="4" t="str">
        <f>(VLOOKUP(B4316,Price_data!A$1:C$190,3,FALSE))</f>
        <v>EEZ</v>
      </c>
      <c r="T4316" s="2" t="str">
        <f>IF(C4316="Total", (VLOOKUP(B4316,Recommended_fish_intake!A$4:D$122,4,FALSE)), "NA")</f>
        <v>NA</v>
      </c>
      <c r="U4316" s="2">
        <f t="shared" si="396"/>
        <v>17.786720000000003</v>
      </c>
    </row>
    <row r="4317" spans="1:21" ht="14.25" customHeight="1">
      <c r="A4317" s="2" t="s">
        <v>18</v>
      </c>
      <c r="B4317" s="2">
        <v>2010</v>
      </c>
      <c r="C4317" s="2" t="s">
        <v>37</v>
      </c>
      <c r="D4317" s="3">
        <f>D4262+D4277</f>
        <v>28.903000000000002</v>
      </c>
      <c r="E4317" s="3">
        <f>E4262+E4277</f>
        <v>79.747</v>
      </c>
      <c r="P4317" s="3">
        <f>E4317*(VLOOKUP(B4317,Price_data!A$1:B$190,2,FALSE))</f>
        <v>60.748423405782795</v>
      </c>
      <c r="Q4317" s="3">
        <f>G4317*(VLOOKUP(B4317,Price_data!A$1:B$190,2,FALSE))</f>
        <v>0</v>
      </c>
      <c r="R4317" s="3">
        <f>I4317*(VLOOKUP(B4317,Price_data!A$1:B$190,2,FALSE))</f>
        <v>0</v>
      </c>
      <c r="S4317" s="4" t="str">
        <f>(VLOOKUP(B4317,Price_data!A$1:C$190,3,FALSE))</f>
        <v>EEZ</v>
      </c>
      <c r="T4317" s="2" t="str">
        <f>IF(C4317="Total", (VLOOKUP(B4317,Recommended_fish_intake!A$4:D$122,4,FALSE)), "NA")</f>
        <v>NA</v>
      </c>
      <c r="U4317" s="2">
        <f t="shared" si="396"/>
        <v>14.162470000000001</v>
      </c>
    </row>
    <row r="4318" spans="1:21" ht="14.25" customHeight="1">
      <c r="A4318" s="2" t="s">
        <v>15</v>
      </c>
      <c r="B4318" s="2">
        <v>2010</v>
      </c>
      <c r="C4318" s="2" t="s">
        <v>60</v>
      </c>
      <c r="D4318" s="1">
        <v>1.7</v>
      </c>
      <c r="E4318" s="1">
        <v>3.5</v>
      </c>
      <c r="F4318" s="2">
        <v>2.9</v>
      </c>
      <c r="G4318" s="2">
        <v>6.9</v>
      </c>
      <c r="H4318" s="1">
        <v>20</v>
      </c>
      <c r="I4318" s="2">
        <v>40.799999999999997</v>
      </c>
      <c r="P4318" s="3">
        <f>E4318*(VLOOKUP(B4318,Price_data!A$1:B$190,2,FALSE))</f>
        <v>2.6661753033999998</v>
      </c>
      <c r="Q4318" s="3">
        <f>G4318*(VLOOKUP(B4318,Price_data!A$1:B$190,2,FALSE))</f>
        <v>5.2561741695599995</v>
      </c>
      <c r="R4318" s="3">
        <f>I4318*(VLOOKUP(B4318,Price_data!A$1:B$190,2,FALSE))</f>
        <v>31.079986393919995</v>
      </c>
      <c r="S4318" s="4" t="str">
        <f>(VLOOKUP(B4318,Price_data!A$1:C$190,3,FALSE))</f>
        <v>EEZ</v>
      </c>
      <c r="T4318" s="2" t="str">
        <f>IF(C4318="Total", (VLOOKUP(B4318,Recommended_fish_intake!A$4:D$122,4,FALSE)), "NA")</f>
        <v>NA</v>
      </c>
      <c r="U4318" s="2" t="str">
        <f t="shared" si="396"/>
        <v>NA</v>
      </c>
    </row>
    <row r="4319" spans="1:21" ht="14.25" customHeight="1">
      <c r="A4319" s="2" t="s">
        <v>15</v>
      </c>
      <c r="B4319" s="2">
        <v>2010</v>
      </c>
      <c r="C4319" s="2" t="s">
        <v>29</v>
      </c>
      <c r="D4319" s="2" t="s">
        <v>17</v>
      </c>
      <c r="E4319" s="2" t="s">
        <v>17</v>
      </c>
      <c r="F4319" s="2">
        <v>82.3</v>
      </c>
      <c r="G4319" s="2">
        <v>393.8</v>
      </c>
      <c r="H4319" s="2">
        <v>57.2</v>
      </c>
      <c r="I4319" s="2">
        <v>254.1</v>
      </c>
      <c r="P4319" s="3" t="e">
        <f>E4319*(VLOOKUP(B4319,Price_data!A$1:B$190,2,FALSE))</f>
        <v>#VALUE!</v>
      </c>
      <c r="Q4319" s="3">
        <f>G4319*(VLOOKUP(B4319,Price_data!A$1:B$190,2,FALSE))</f>
        <v>299.98280985112001</v>
      </c>
      <c r="R4319" s="3">
        <f>I4319*(VLOOKUP(B4319,Price_data!A$1:B$190,2,FALSE))</f>
        <v>193.56432702683998</v>
      </c>
      <c r="S4319" s="4" t="str">
        <f>(VLOOKUP(B4319,Price_data!A$1:C$190,3,FALSE))</f>
        <v>EEZ</v>
      </c>
      <c r="T4319" s="2" t="str">
        <f>IF(C4319="Total", (VLOOKUP(B4319,Recommended_fish_intake!A$4:D$122,4,FALSE)), "NA")</f>
        <v>NA</v>
      </c>
      <c r="U4319" s="2" t="str">
        <f t="shared" si="396"/>
        <v>NA</v>
      </c>
    </row>
    <row r="4320" spans="1:21" ht="14.25" customHeight="1">
      <c r="A4320" s="2" t="s">
        <v>15</v>
      </c>
      <c r="B4320" s="2">
        <v>2010</v>
      </c>
      <c r="C4320" s="2" t="s">
        <v>93</v>
      </c>
      <c r="D4320" s="2">
        <v>2.2999999999999998</v>
      </c>
      <c r="E4320" s="2">
        <v>0.6</v>
      </c>
      <c r="F4320" s="2">
        <v>23</v>
      </c>
      <c r="G4320" s="2">
        <v>12.3</v>
      </c>
      <c r="H4320" s="2">
        <v>14.8</v>
      </c>
      <c r="I4320" s="2">
        <v>34.700000000000003</v>
      </c>
      <c r="P4320" s="3">
        <f>E4320*(VLOOKUP(B4320,Price_data!A$1:B$190,2,FALSE))</f>
        <v>0.45705862343999992</v>
      </c>
      <c r="Q4320" s="3">
        <f>G4320*(VLOOKUP(B4320,Price_data!A$1:B$190,2,FALSE))</f>
        <v>9.3697017805199998</v>
      </c>
      <c r="R4320" s="3">
        <f>I4320*(VLOOKUP(B4320,Price_data!A$1:B$190,2,FALSE))</f>
        <v>26.433223722280001</v>
      </c>
      <c r="S4320" s="4" t="str">
        <f>(VLOOKUP(B4320,Price_data!A$1:C$190,3,FALSE))</f>
        <v>EEZ</v>
      </c>
      <c r="T4320" s="2" t="str">
        <f>IF(C4320="Total", (VLOOKUP(B4320,Recommended_fish_intake!A$4:D$122,4,FALSE)), "NA")</f>
        <v>NA</v>
      </c>
      <c r="U4320" s="2" t="str">
        <f t="shared" si="396"/>
        <v>NA</v>
      </c>
    </row>
    <row r="4321" spans="1:21" ht="14.25" customHeight="1">
      <c r="A4321" s="2" t="s">
        <v>15</v>
      </c>
      <c r="B4321" s="2">
        <v>2010</v>
      </c>
      <c r="C4321" s="2" t="s">
        <v>43</v>
      </c>
      <c r="D4321" s="2" t="s">
        <v>17</v>
      </c>
      <c r="E4321" s="2" t="s">
        <v>17</v>
      </c>
      <c r="F4321" s="2">
        <v>4.5999999999999996</v>
      </c>
      <c r="G4321" s="2">
        <v>10.9</v>
      </c>
      <c r="H4321" s="2">
        <v>91.5</v>
      </c>
      <c r="I4321" s="2">
        <v>225.9</v>
      </c>
      <c r="P4321" s="3" t="e">
        <f>E4321*(VLOOKUP(B4321,Price_data!A$1:B$190,2,FALSE))</f>
        <v>#VALUE!</v>
      </c>
      <c r="Q4321" s="3">
        <f>G4321*(VLOOKUP(B4321,Price_data!A$1:B$190,2,FALSE))</f>
        <v>8.3032316591599997</v>
      </c>
      <c r="R4321" s="3">
        <f>I4321*(VLOOKUP(B4321,Price_data!A$1:B$190,2,FALSE))</f>
        <v>172.08257172515999</v>
      </c>
      <c r="S4321" s="4" t="str">
        <f>(VLOOKUP(B4321,Price_data!A$1:C$190,3,FALSE))</f>
        <v>EEZ</v>
      </c>
      <c r="T4321" s="2" t="str">
        <f>IF(C4321="Total", (VLOOKUP(B4321,Recommended_fish_intake!A$4:D$122,4,FALSE)), "NA")</f>
        <v>NA</v>
      </c>
      <c r="U4321" s="2" t="str">
        <f t="shared" si="396"/>
        <v>NA</v>
      </c>
    </row>
    <row r="4322" spans="1:21" ht="14.25" customHeight="1">
      <c r="A4322" s="2" t="s">
        <v>15</v>
      </c>
      <c r="B4322" s="2">
        <v>2010</v>
      </c>
      <c r="C4322" s="2" t="s">
        <v>25</v>
      </c>
      <c r="D4322" s="2">
        <v>2.9</v>
      </c>
      <c r="E4322" s="2">
        <v>3.3</v>
      </c>
      <c r="F4322" s="4">
        <v>0.6</v>
      </c>
      <c r="G4322" s="4">
        <v>0.7</v>
      </c>
      <c r="H4322" s="4">
        <v>4.9000000000000004</v>
      </c>
      <c r="I4322" s="4">
        <v>15.3</v>
      </c>
      <c r="P4322" s="3">
        <f>E4322*(VLOOKUP(B4322,Price_data!A$1:B$190,2,FALSE))</f>
        <v>2.5138224289199997</v>
      </c>
      <c r="Q4322" s="3">
        <f>G4322*(VLOOKUP(B4322,Price_data!A$1:B$190,2,FALSE))</f>
        <v>0.53323506067999993</v>
      </c>
      <c r="R4322" s="3">
        <f>I4322*(VLOOKUP(B4322,Price_data!A$1:B$190,2,FALSE))</f>
        <v>11.65499489772</v>
      </c>
      <c r="S4322" s="4" t="str">
        <f>(VLOOKUP(B4322,Price_data!A$1:C$190,3,FALSE))</f>
        <v>EEZ</v>
      </c>
      <c r="T4322" s="2" t="str">
        <f>IF(C4322="Total", (VLOOKUP(B4322,Recommended_fish_intake!A$4:D$122,4,FALSE)), "NA")</f>
        <v>NA</v>
      </c>
      <c r="U4322" s="2" t="str">
        <f t="shared" si="396"/>
        <v>NA</v>
      </c>
    </row>
    <row r="4323" spans="1:21" ht="14.25" customHeight="1">
      <c r="A4323" s="2" t="s">
        <v>15</v>
      </c>
      <c r="B4323" s="2">
        <v>2010</v>
      </c>
      <c r="C4323" s="2" t="s">
        <v>16</v>
      </c>
      <c r="D4323" s="2">
        <v>408.3</v>
      </c>
      <c r="E4323" s="2">
        <v>547.9</v>
      </c>
      <c r="F4323" s="2">
        <v>516.70000000000005</v>
      </c>
      <c r="G4323" s="2">
        <v>1345.7</v>
      </c>
      <c r="H4323" s="2">
        <v>703.8</v>
      </c>
      <c r="I4323" s="2">
        <v>2254.6999999999998</v>
      </c>
      <c r="P4323" s="3">
        <f>E4323*(VLOOKUP(B4323,Price_data!A$1:B$190,2,FALSE))</f>
        <v>417.37069963795994</v>
      </c>
      <c r="Q4323" s="3">
        <f>G4323*(VLOOKUP(B4323,Price_data!A$1:B$190,2,FALSE))</f>
        <v>1025.1063159386799</v>
      </c>
      <c r="R4323" s="3">
        <f>I4323*(VLOOKUP(B4323,Price_data!A$1:B$190,2,FALSE))</f>
        <v>1717.5501304502798</v>
      </c>
      <c r="S4323" s="4" t="str">
        <f>(VLOOKUP(B4323,Price_data!A$1:C$190,3,FALSE))</f>
        <v>EEZ</v>
      </c>
      <c r="T4323" s="2">
        <f>IF(C4323="Total", (VLOOKUP(B4323,Recommended_fish_intake!A$4:D$122,4,FALSE)), "NA")</f>
        <v>835.60193581409999</v>
      </c>
      <c r="U4323" s="2" t="str">
        <f t="shared" si="396"/>
        <v>NA</v>
      </c>
    </row>
    <row r="4324" spans="1:21" ht="14.25" customHeight="1">
      <c r="A4324" s="2" t="s">
        <v>90</v>
      </c>
      <c r="B4324" s="2">
        <v>2010</v>
      </c>
      <c r="C4324" s="2" t="s">
        <v>16</v>
      </c>
      <c r="D4324" s="2">
        <v>90.5</v>
      </c>
      <c r="E4324" s="2">
        <v>140.5</v>
      </c>
      <c r="P4324" s="3">
        <f>E4324*(VLOOKUP(B4324,Price_data!A$1:B$190,2,FALSE))</f>
        <v>107.0278943222</v>
      </c>
      <c r="Q4324" s="3">
        <f>G4324*(VLOOKUP(B4324,Price_data!A$1:B$190,2,FALSE))</f>
        <v>0</v>
      </c>
      <c r="R4324" s="3">
        <f>I4324*(VLOOKUP(B4324,Price_data!A$1:B$190,2,FALSE))</f>
        <v>0</v>
      </c>
      <c r="S4324" s="4" t="str">
        <f>(VLOOKUP(B4324,Price_data!A$1:C$190,3,FALSE))</f>
        <v>EEZ</v>
      </c>
      <c r="T4324" s="2">
        <f>IF(C4324="Total", (VLOOKUP(B4324,Recommended_fish_intake!A$4:D$122,4,FALSE)), "NA")</f>
        <v>835.60193581409999</v>
      </c>
      <c r="U4324" s="2" t="str">
        <f t="shared" si="396"/>
        <v>NA</v>
      </c>
    </row>
    <row r="4325" spans="1:21" ht="14.25" customHeight="1">
      <c r="A4325" s="2" t="s">
        <v>91</v>
      </c>
      <c r="B4325" s="2">
        <v>2010</v>
      </c>
      <c r="C4325" s="2" t="s">
        <v>16</v>
      </c>
      <c r="D4325" s="2">
        <v>11.973000000000001</v>
      </c>
      <c r="E4325" s="2">
        <v>17.681999999999999</v>
      </c>
      <c r="P4325" s="3">
        <f>E4325*(VLOOKUP(B4325,Price_data!A$1:B$190,2,FALSE))</f>
        <v>13.469517632776798</v>
      </c>
      <c r="Q4325" s="3">
        <f>G4325*(VLOOKUP(B4325,Price_data!A$1:B$190,2,FALSE))</f>
        <v>0</v>
      </c>
      <c r="R4325" s="3">
        <f>I4325*(VLOOKUP(B4325,Price_data!A$1:B$190,2,FALSE))</f>
        <v>0</v>
      </c>
      <c r="S4325" s="4" t="str">
        <f>(VLOOKUP(B4325,Price_data!A$1:C$190,3,FALSE))</f>
        <v>EEZ</v>
      </c>
      <c r="T4325" s="2">
        <f>IF(C4325="Total", (VLOOKUP(B4325,Recommended_fish_intake!A$4:D$122,4,FALSE)), "NA")</f>
        <v>835.60193581409999</v>
      </c>
      <c r="U4325" s="2" t="str">
        <f t="shared" si="396"/>
        <v>NA</v>
      </c>
    </row>
    <row r="4326" spans="1:21" ht="14.25" customHeight="1">
      <c r="A4326" s="2" t="s">
        <v>39</v>
      </c>
      <c r="B4326" s="2">
        <v>2010</v>
      </c>
      <c r="C4326" s="2" t="s">
        <v>16</v>
      </c>
      <c r="D4326" s="2">
        <v>283.58199999999999</v>
      </c>
      <c r="E4326" s="2">
        <v>368.44099999999997</v>
      </c>
      <c r="P4326" s="3">
        <f>E4326*(VLOOKUP(B4326,Price_data!A$1:B$190,2,FALSE))</f>
        <v>280.66522713142837</v>
      </c>
      <c r="Q4326" s="3">
        <f>G4326*(VLOOKUP(B4326,Price_data!A$1:B$190,2,FALSE))</f>
        <v>0</v>
      </c>
      <c r="R4326" s="3">
        <f>I4326*(VLOOKUP(B4326,Price_data!A$1:B$190,2,FALSE))</f>
        <v>0</v>
      </c>
      <c r="S4326" s="4" t="str">
        <f>(VLOOKUP(B4326,Price_data!A$1:C$190,3,FALSE))</f>
        <v>EEZ</v>
      </c>
      <c r="T4326" s="2">
        <f>IF(C4326="Total", (VLOOKUP(B4326,Recommended_fish_intake!A$4:D$122,4,FALSE)), "NA")</f>
        <v>835.60193581409999</v>
      </c>
      <c r="U4326" s="2" t="str">
        <f t="shared" si="396"/>
        <v>NA</v>
      </c>
    </row>
    <row r="4327" spans="1:21" ht="14.25" customHeight="1">
      <c r="A4327" s="2" t="s">
        <v>40</v>
      </c>
      <c r="B4327" s="2">
        <v>2010</v>
      </c>
      <c r="C4327" s="2" t="s">
        <v>16</v>
      </c>
      <c r="D4327" s="2">
        <v>22.19</v>
      </c>
      <c r="E4327" s="2">
        <v>21.321000000000002</v>
      </c>
      <c r="P4327" s="3">
        <f>E4327*(VLOOKUP(B4327,Price_data!A$1:B$190,2,FALSE))</f>
        <v>16.241578183940401</v>
      </c>
      <c r="Q4327" s="3">
        <f>G4327*(VLOOKUP(B4327,Price_data!A$1:B$190,2,FALSE))</f>
        <v>0</v>
      </c>
      <c r="R4327" s="3">
        <f>I4327*(VLOOKUP(B4327,Price_data!A$1:B$190,2,FALSE))</f>
        <v>0</v>
      </c>
      <c r="S4327" s="4" t="str">
        <f>(VLOOKUP(B4327,Price_data!A$1:C$190,3,FALSE))</f>
        <v>EEZ</v>
      </c>
      <c r="T4327" s="2">
        <f>IF(C4327="Total", (VLOOKUP(B4327,Recommended_fish_intake!A$4:D$122,4,FALSE)), "NA")</f>
        <v>835.60193581409999</v>
      </c>
      <c r="U4327" s="2" t="str">
        <f t="shared" si="396"/>
        <v>NA</v>
      </c>
    </row>
    <row r="4328" spans="1:21" ht="14.25" customHeight="1">
      <c r="A4328" s="2" t="s">
        <v>18</v>
      </c>
      <c r="B4328" s="2">
        <v>2010</v>
      </c>
      <c r="C4328" s="2" t="s">
        <v>16</v>
      </c>
      <c r="D4328" s="3">
        <f>D2710+D2800</f>
        <v>238.114</v>
      </c>
      <c r="E4328" s="3">
        <f>E2710+E2800</f>
        <v>187.76500000000001</v>
      </c>
      <c r="P4328" s="3">
        <f>E4328*(VLOOKUP(B4328,Price_data!A$1:B$190,2,FALSE))</f>
        <v>143.03268738368601</v>
      </c>
      <c r="Q4328" s="3">
        <f>G4328*(VLOOKUP(B4328,Price_data!A$1:B$190,2,FALSE))</f>
        <v>0</v>
      </c>
      <c r="R4328" s="3">
        <f>I4328*(VLOOKUP(B4328,Price_data!A$1:B$190,2,FALSE))</f>
        <v>0</v>
      </c>
      <c r="S4328" s="4" t="str">
        <f>(VLOOKUP(B4328,Price_data!A$1:C$190,3,FALSE))</f>
        <v>EEZ</v>
      </c>
      <c r="T4328" s="2">
        <f>IF(C4328="Total", (VLOOKUP(B4328,Recommended_fish_intake!A$4:D$122,4,FALSE)), "NA")</f>
        <v>835.60193581409999</v>
      </c>
      <c r="U4328" s="2" t="str">
        <f t="shared" si="396"/>
        <v>NA</v>
      </c>
    </row>
    <row r="4329" spans="1:21" ht="14.25" customHeight="1">
      <c r="A4329" s="2" t="s">
        <v>15</v>
      </c>
      <c r="B4329" s="2">
        <v>2011</v>
      </c>
      <c r="C4329" s="2" t="s">
        <v>22</v>
      </c>
      <c r="D4329" s="2">
        <v>12.7</v>
      </c>
      <c r="E4329" s="2">
        <v>27.5</v>
      </c>
      <c r="F4329" s="2">
        <v>34.799999999999997</v>
      </c>
      <c r="G4329" s="2">
        <v>99.6</v>
      </c>
      <c r="H4329" s="2">
        <v>103.1</v>
      </c>
      <c r="I4329" s="2">
        <v>409.2</v>
      </c>
      <c r="P4329" s="3">
        <f>E4329*(VLOOKUP(B4329,Price_data!A$1:B$190,2,FALSE))</f>
        <v>19.912157792999999</v>
      </c>
      <c r="Q4329" s="3">
        <f>G4329*(VLOOKUP(B4329,Price_data!A$1:B$190,2,FALSE))</f>
        <v>72.118215133919989</v>
      </c>
      <c r="R4329" s="3">
        <f>I4329*(VLOOKUP(B4329,Price_data!A$1:B$190,2,FALSE))</f>
        <v>296.29290795983997</v>
      </c>
      <c r="S4329" s="4" t="str">
        <f>(VLOOKUP(B4329,Price_data!A$1:C$190,3,FALSE))</f>
        <v>EEZ</v>
      </c>
      <c r="T4329" s="2" t="str">
        <f>IF(C4329="Total", (VLOOKUP(B4329,Recommended_fish_intake!A$4:D$122,4,FALSE)), "NA")</f>
        <v>NA</v>
      </c>
      <c r="U4329" s="2" t="str">
        <f t="shared" si="396"/>
        <v>NA</v>
      </c>
    </row>
    <row r="4330" spans="1:21" ht="14.25" customHeight="1">
      <c r="A4330" s="2" t="s">
        <v>15</v>
      </c>
      <c r="B4330" s="2">
        <v>2011</v>
      </c>
      <c r="C4330" s="2" t="s">
        <v>23</v>
      </c>
      <c r="D4330" s="2">
        <v>28.3</v>
      </c>
      <c r="E4330" s="2">
        <v>34.6</v>
      </c>
      <c r="F4330" s="2">
        <v>3.1</v>
      </c>
      <c r="G4330" s="2">
        <v>8.4</v>
      </c>
      <c r="H4330" s="2">
        <v>59.2</v>
      </c>
      <c r="I4330" s="2">
        <v>159.1</v>
      </c>
      <c r="P4330" s="3">
        <f>E4330*(VLOOKUP(B4330,Price_data!A$1:B$190,2,FALSE))</f>
        <v>25.05311489592</v>
      </c>
      <c r="Q4330" s="3">
        <f>G4330*(VLOOKUP(B4330,Price_data!A$1:B$190,2,FALSE))</f>
        <v>6.0822591076799997</v>
      </c>
      <c r="R4330" s="3">
        <f>I4330*(VLOOKUP(B4330,Price_data!A$1:B$190,2,FALSE))</f>
        <v>115.20088381331999</v>
      </c>
      <c r="S4330" s="4" t="str">
        <f>(VLOOKUP(B4330,Price_data!A$1:C$190,3,FALSE))</f>
        <v>EEZ</v>
      </c>
      <c r="T4330" s="2" t="str">
        <f>IF(C4330="Total", (VLOOKUP(B4330,Recommended_fish_intake!A$4:D$122,4,FALSE)), "NA")</f>
        <v>NA</v>
      </c>
      <c r="U4330" s="2" t="str">
        <f t="shared" si="396"/>
        <v>NA</v>
      </c>
    </row>
    <row r="4331" spans="1:21" ht="14.25" customHeight="1">
      <c r="A4331" s="2" t="s">
        <v>15</v>
      </c>
      <c r="B4331" s="2">
        <v>2011</v>
      </c>
      <c r="C4331" s="2" t="s">
        <v>53</v>
      </c>
      <c r="D4331" s="2">
        <v>6.7</v>
      </c>
      <c r="E4331" s="2">
        <v>12.5</v>
      </c>
      <c r="F4331" s="2">
        <v>2.2000000000000002</v>
      </c>
      <c r="G4331" s="2">
        <v>6.8</v>
      </c>
      <c r="H4331" s="2">
        <v>3.5</v>
      </c>
      <c r="I4331" s="2">
        <v>8.5</v>
      </c>
      <c r="P4331" s="3">
        <f>E4331*(VLOOKUP(B4331,Price_data!A$1:B$190,2,FALSE))</f>
        <v>9.0509808149999991</v>
      </c>
      <c r="Q4331" s="3">
        <f>G4331*(VLOOKUP(B4331,Price_data!A$1:B$190,2,FALSE))</f>
        <v>4.9237335633599999</v>
      </c>
      <c r="R4331" s="3">
        <f>I4331*(VLOOKUP(B4331,Price_data!A$1:B$190,2,FALSE))</f>
        <v>6.1546669541999997</v>
      </c>
      <c r="S4331" s="4" t="str">
        <f>(VLOOKUP(B4331,Price_data!A$1:C$190,3,FALSE))</f>
        <v>EEZ</v>
      </c>
      <c r="T4331" s="2" t="str">
        <f>IF(C4331="Total", (VLOOKUP(B4331,Recommended_fish_intake!A$4:D$122,4,FALSE)), "NA")</f>
        <v>NA</v>
      </c>
      <c r="U4331" s="2" t="str">
        <f t="shared" si="396"/>
        <v>NA</v>
      </c>
    </row>
    <row r="4332" spans="1:21" ht="14.25" customHeight="1">
      <c r="A4332" s="2" t="s">
        <v>15</v>
      </c>
      <c r="B4332" s="2">
        <v>2011</v>
      </c>
      <c r="C4332" s="2" t="s">
        <v>58</v>
      </c>
      <c r="D4332" s="2">
        <v>11.8</v>
      </c>
      <c r="E4332" s="2">
        <v>39.5</v>
      </c>
      <c r="F4332" s="2">
        <v>3.3</v>
      </c>
      <c r="G4332" s="2">
        <v>24.6</v>
      </c>
      <c r="H4332" s="2">
        <v>2.5</v>
      </c>
      <c r="I4332" s="2">
        <v>8.8000000000000007</v>
      </c>
      <c r="P4332" s="3">
        <f>E4332*(VLOOKUP(B4332,Price_data!A$1:B$190,2,FALSE))</f>
        <v>28.601099375399997</v>
      </c>
      <c r="Q4332" s="3">
        <f>G4332*(VLOOKUP(B4332,Price_data!A$1:B$190,2,FALSE))</f>
        <v>17.812330243920002</v>
      </c>
      <c r="R4332" s="3">
        <f>I4332*(VLOOKUP(B4332,Price_data!A$1:B$190,2,FALSE))</f>
        <v>6.3718904937600005</v>
      </c>
      <c r="S4332" s="4" t="str">
        <f>(VLOOKUP(B4332,Price_data!A$1:C$190,3,FALSE))</f>
        <v>EEZ</v>
      </c>
      <c r="T4332" s="2" t="str">
        <f>IF(C4332="Total", (VLOOKUP(B4332,Recommended_fish_intake!A$4:D$122,4,FALSE)), "NA")</f>
        <v>NA</v>
      </c>
      <c r="U4332" s="2" t="str">
        <f t="shared" si="396"/>
        <v>NA</v>
      </c>
    </row>
    <row r="4333" spans="1:21" ht="14.25" customHeight="1">
      <c r="A4333" s="2" t="s">
        <v>15</v>
      </c>
      <c r="B4333" s="2">
        <v>2011</v>
      </c>
      <c r="C4333" s="2" t="s">
        <v>38</v>
      </c>
      <c r="D4333" s="2">
        <v>12.7</v>
      </c>
      <c r="E4333" s="2">
        <v>13.4</v>
      </c>
      <c r="F4333" s="2">
        <v>4.5</v>
      </c>
      <c r="G4333" s="2">
        <v>6.8</v>
      </c>
      <c r="H4333" s="2">
        <v>1.1000000000000001</v>
      </c>
      <c r="I4333" s="2">
        <v>1.6</v>
      </c>
      <c r="P4333" s="3">
        <f>E4333*(VLOOKUP(B4333,Price_data!A$1:B$190,2,FALSE))</f>
        <v>9.7026514336799998</v>
      </c>
      <c r="Q4333" s="3">
        <f>G4333*(VLOOKUP(B4333,Price_data!A$1:B$190,2,FALSE))</f>
        <v>4.9237335633599999</v>
      </c>
      <c r="R4333" s="3">
        <f>I4333*(VLOOKUP(B4333,Price_data!A$1:B$190,2,FALSE))</f>
        <v>1.15852554432</v>
      </c>
      <c r="S4333" s="4" t="str">
        <f>(VLOOKUP(B4333,Price_data!A$1:C$190,3,FALSE))</f>
        <v>EEZ</v>
      </c>
      <c r="T4333" s="2" t="str">
        <f>IF(C4333="Total", (VLOOKUP(B4333,Recommended_fish_intake!A$4:D$122,4,FALSE)), "NA")</f>
        <v>NA</v>
      </c>
      <c r="U4333" s="2" t="str">
        <f t="shared" si="396"/>
        <v>NA</v>
      </c>
    </row>
    <row r="4334" spans="1:21" ht="14.25" customHeight="1">
      <c r="A4334" s="2" t="s">
        <v>15</v>
      </c>
      <c r="B4334" s="2">
        <v>2011</v>
      </c>
      <c r="C4334" s="2" t="s">
        <v>63</v>
      </c>
      <c r="D4334" s="2">
        <v>1.9</v>
      </c>
      <c r="E4334" s="2">
        <v>16.3</v>
      </c>
      <c r="F4334" s="2">
        <v>1.2</v>
      </c>
      <c r="G4334" s="2">
        <v>10.7</v>
      </c>
      <c r="H4334" s="2">
        <v>0.6</v>
      </c>
      <c r="I4334" s="2">
        <v>2.1</v>
      </c>
      <c r="P4334" s="3">
        <f>E4334*(VLOOKUP(B4334,Price_data!A$1:B$190,2,FALSE))</f>
        <v>11.80247898276</v>
      </c>
      <c r="Q4334" s="3">
        <f>G4334*(VLOOKUP(B4334,Price_data!A$1:B$190,2,FALSE))</f>
        <v>7.7476395776399993</v>
      </c>
      <c r="R4334" s="3">
        <f>I4334*(VLOOKUP(B4334,Price_data!A$1:B$190,2,FALSE))</f>
        <v>1.5205647769199999</v>
      </c>
      <c r="S4334" s="4" t="str">
        <f>(VLOOKUP(B4334,Price_data!A$1:C$190,3,FALSE))</f>
        <v>EEZ</v>
      </c>
      <c r="T4334" s="2" t="str">
        <f>IF(C4334="Total", (VLOOKUP(B4334,Recommended_fish_intake!A$4:D$122,4,FALSE)), "NA")</f>
        <v>NA</v>
      </c>
      <c r="U4334" s="2" t="str">
        <f t="shared" si="396"/>
        <v>NA</v>
      </c>
    </row>
    <row r="4335" spans="1:21" ht="14.25" customHeight="1">
      <c r="A4335" s="2" t="s">
        <v>15</v>
      </c>
      <c r="B4335" s="2">
        <v>2011</v>
      </c>
      <c r="C4335" s="2" t="s">
        <v>24</v>
      </c>
      <c r="D4335" s="2">
        <v>9.6999999999999993</v>
      </c>
      <c r="E4335" s="2">
        <v>11.3</v>
      </c>
      <c r="F4335" s="2">
        <v>0.7</v>
      </c>
      <c r="G4335" s="2">
        <v>0.9</v>
      </c>
      <c r="H4335" s="2">
        <v>1.2</v>
      </c>
      <c r="I4335" s="2">
        <v>1.7</v>
      </c>
      <c r="P4335" s="3">
        <f>E4335*(VLOOKUP(B4335,Price_data!A$1:B$190,2,FALSE))</f>
        <v>8.1820866567599992</v>
      </c>
      <c r="Q4335" s="3">
        <f>G4335*(VLOOKUP(B4335,Price_data!A$1:B$190,2,FALSE))</f>
        <v>0.65167061867999998</v>
      </c>
      <c r="R4335" s="3">
        <f>I4335*(VLOOKUP(B4335,Price_data!A$1:B$190,2,FALSE))</f>
        <v>1.23093339084</v>
      </c>
      <c r="S4335" s="4" t="str">
        <f>(VLOOKUP(B4335,Price_data!A$1:C$190,3,FALSE))</f>
        <v>EEZ</v>
      </c>
      <c r="T4335" s="2" t="str">
        <f>IF(C4335="Total", (VLOOKUP(B4335,Recommended_fish_intake!A$4:D$122,4,FALSE)), "NA")</f>
        <v>NA</v>
      </c>
      <c r="U4335" s="2" t="str">
        <f t="shared" si="396"/>
        <v>NA</v>
      </c>
    </row>
    <row r="4336" spans="1:21" ht="14.25" customHeight="1">
      <c r="A4336" s="2" t="s">
        <v>15</v>
      </c>
      <c r="B4336" s="2">
        <v>2011</v>
      </c>
      <c r="C4336" s="2" t="s">
        <v>41</v>
      </c>
      <c r="D4336" s="2">
        <v>108.5</v>
      </c>
      <c r="E4336" s="2">
        <v>209.8</v>
      </c>
      <c r="F4336" s="2" t="s">
        <v>92</v>
      </c>
      <c r="G4336" s="2" t="s">
        <v>92</v>
      </c>
      <c r="H4336" s="2" t="s">
        <v>92</v>
      </c>
      <c r="I4336" s="2" t="s">
        <v>92</v>
      </c>
      <c r="P4336" s="3">
        <f>E4336*(VLOOKUP(B4336,Price_data!A$1:B$190,2,FALSE))</f>
        <v>151.91166199896</v>
      </c>
      <c r="Q4336" s="3" t="e">
        <f>G4336*(VLOOKUP(B4336,Price_data!A$1:B$190,2,FALSE))</f>
        <v>#VALUE!</v>
      </c>
      <c r="R4336" s="3" t="e">
        <f>I4336*(VLOOKUP(B4336,Price_data!A$1:B$190,2,FALSE))</f>
        <v>#VALUE!</v>
      </c>
      <c r="S4336" s="4" t="str">
        <f>(VLOOKUP(B4336,Price_data!A$1:C$190,3,FALSE))</f>
        <v>EEZ</v>
      </c>
      <c r="T4336" s="2" t="str">
        <f>IF(C4336="Total", (VLOOKUP(B4336,Recommended_fish_intake!A$4:D$122,4,FALSE)), "NA")</f>
        <v>NA</v>
      </c>
      <c r="U4336" s="2" t="str">
        <f t="shared" si="396"/>
        <v>NA</v>
      </c>
    </row>
    <row r="4337" spans="1:21" ht="14.25" customHeight="1">
      <c r="A4337" s="2" t="s">
        <v>15</v>
      </c>
      <c r="B4337" s="2">
        <v>2011</v>
      </c>
      <c r="C4337" s="2" t="s">
        <v>19</v>
      </c>
      <c r="D4337" s="2">
        <v>31.3</v>
      </c>
      <c r="E4337" s="2">
        <v>15.3</v>
      </c>
      <c r="F4337" s="2">
        <v>33</v>
      </c>
      <c r="G4337" s="2">
        <v>23</v>
      </c>
      <c r="H4337" s="2">
        <v>12.9</v>
      </c>
      <c r="I4337" s="2">
        <v>17.899999999999999</v>
      </c>
      <c r="P4337" s="3">
        <f>E4337*(VLOOKUP(B4337,Price_data!A$1:B$190,2,FALSE))</f>
        <v>11.07840051756</v>
      </c>
      <c r="Q4337" s="3">
        <f>G4337*(VLOOKUP(B4337,Price_data!A$1:B$190,2,FALSE))</f>
        <v>16.653804699599998</v>
      </c>
      <c r="R4337" s="3">
        <f>I4337*(VLOOKUP(B4337,Price_data!A$1:B$190,2,FALSE))</f>
        <v>12.961004527079998</v>
      </c>
      <c r="S4337" s="4" t="str">
        <f>(VLOOKUP(B4337,Price_data!A$1:C$190,3,FALSE))</f>
        <v>EEZ</v>
      </c>
      <c r="T4337" s="2" t="str">
        <f>IF(C4337="Total", (VLOOKUP(B4337,Recommended_fish_intake!A$4:D$122,4,FALSE)), "NA")</f>
        <v>NA</v>
      </c>
      <c r="U4337" s="2" t="str">
        <f t="shared" si="396"/>
        <v>NA</v>
      </c>
    </row>
    <row r="4338" spans="1:21" ht="14.25" customHeight="1">
      <c r="A4338" s="2" t="s">
        <v>15</v>
      </c>
      <c r="B4338" s="2">
        <v>2011</v>
      </c>
      <c r="C4338" s="2" t="s">
        <v>20</v>
      </c>
      <c r="D4338" s="2">
        <v>94.4</v>
      </c>
      <c r="E4338" s="2">
        <v>106.8</v>
      </c>
      <c r="F4338" s="2">
        <v>77.8</v>
      </c>
      <c r="G4338" s="2">
        <v>107.2</v>
      </c>
      <c r="H4338" s="2">
        <v>33.5</v>
      </c>
      <c r="I4338" s="2">
        <v>64</v>
      </c>
      <c r="P4338" s="3">
        <f>E4338*(VLOOKUP(B4338,Price_data!A$1:B$190,2,FALSE))</f>
        <v>77.331580083359995</v>
      </c>
      <c r="Q4338" s="3">
        <f>G4338*(VLOOKUP(B4338,Price_data!A$1:B$190,2,FALSE))</f>
        <v>77.621211469439999</v>
      </c>
      <c r="R4338" s="3">
        <f>I4338*(VLOOKUP(B4338,Price_data!A$1:B$190,2,FALSE))</f>
        <v>46.341021772799998</v>
      </c>
      <c r="S4338" s="4" t="str">
        <f>(VLOOKUP(B4338,Price_data!A$1:C$190,3,FALSE))</f>
        <v>EEZ</v>
      </c>
      <c r="T4338" s="2" t="str">
        <f>IF(C4338="Total", (VLOOKUP(B4338,Recommended_fish_intake!A$4:D$122,4,FALSE)), "NA")</f>
        <v>NA</v>
      </c>
      <c r="U4338" s="2" t="str">
        <f t="shared" si="396"/>
        <v>NA</v>
      </c>
    </row>
    <row r="4339" spans="1:21" ht="14.25" customHeight="1">
      <c r="A4339" s="2" t="s">
        <v>15</v>
      </c>
      <c r="B4339" s="2">
        <v>2011</v>
      </c>
      <c r="C4339" s="2" t="s">
        <v>42</v>
      </c>
      <c r="D4339" s="2">
        <v>144.30000000000001</v>
      </c>
      <c r="E4339" s="2">
        <v>127.7</v>
      </c>
      <c r="F4339" s="2" t="s">
        <v>92</v>
      </c>
      <c r="G4339" s="2" t="s">
        <v>92</v>
      </c>
      <c r="H4339" s="2" t="s">
        <v>92</v>
      </c>
      <c r="I4339" s="2" t="s">
        <v>92</v>
      </c>
      <c r="P4339" s="3">
        <f>E4339*(VLOOKUP(B4339,Price_data!A$1:B$190,2,FALSE))</f>
        <v>92.46482000604</v>
      </c>
      <c r="Q4339" s="3" t="e">
        <f>G4339*(VLOOKUP(B4339,Price_data!A$1:B$190,2,FALSE))</f>
        <v>#VALUE!</v>
      </c>
      <c r="R4339" s="3" t="e">
        <f>I4339*(VLOOKUP(B4339,Price_data!A$1:B$190,2,FALSE))</f>
        <v>#VALUE!</v>
      </c>
      <c r="S4339" s="4" t="str">
        <f>(VLOOKUP(B4339,Price_data!A$1:C$190,3,FALSE))</f>
        <v>EEZ</v>
      </c>
      <c r="T4339" s="2" t="str">
        <f>IF(C4339="Total", (VLOOKUP(B4339,Recommended_fish_intake!A$4:D$122,4,FALSE)), "NA")</f>
        <v>NA</v>
      </c>
      <c r="U4339" s="2" t="str">
        <f t="shared" si="396"/>
        <v>NA</v>
      </c>
    </row>
    <row r="4340" spans="1:21" ht="14.25" customHeight="1">
      <c r="A4340" s="2" t="s">
        <v>15</v>
      </c>
      <c r="B4340" s="2">
        <v>2011</v>
      </c>
      <c r="C4340" s="2" t="s">
        <v>36</v>
      </c>
      <c r="D4340" s="2">
        <v>28.8</v>
      </c>
      <c r="E4340" s="2">
        <v>38.4</v>
      </c>
      <c r="F4340" s="2">
        <v>14.8</v>
      </c>
      <c r="G4340" s="2">
        <v>47.3</v>
      </c>
      <c r="H4340" s="2">
        <v>2.7</v>
      </c>
      <c r="I4340" s="2">
        <v>15.9</v>
      </c>
      <c r="P4340" s="3">
        <f>E4340*(VLOOKUP(B4340,Price_data!A$1:B$190,2,FALSE))</f>
        <v>27.804613063679998</v>
      </c>
      <c r="Q4340" s="3">
        <f>G4340*(VLOOKUP(B4340,Price_data!A$1:B$190,2,FALSE))</f>
        <v>34.248911403959994</v>
      </c>
      <c r="R4340" s="3">
        <f>I4340*(VLOOKUP(B4340,Price_data!A$1:B$190,2,FALSE))</f>
        <v>11.51284759668</v>
      </c>
      <c r="S4340" s="4" t="str">
        <f>(VLOOKUP(B4340,Price_data!A$1:C$190,3,FALSE))</f>
        <v>EEZ</v>
      </c>
      <c r="T4340" s="2" t="str">
        <f>IF(C4340="Total", (VLOOKUP(B4340,Recommended_fish_intake!A$4:D$122,4,FALSE)), "NA")</f>
        <v>NA</v>
      </c>
      <c r="U4340" s="2" t="str">
        <f t="shared" si="396"/>
        <v>NA</v>
      </c>
    </row>
    <row r="4341" spans="1:21" ht="14.25" customHeight="1">
      <c r="A4341" s="2" t="s">
        <v>15</v>
      </c>
      <c r="B4341" s="2">
        <v>2011</v>
      </c>
      <c r="C4341" s="2" t="s">
        <v>34</v>
      </c>
      <c r="D4341" s="2">
        <v>3.2</v>
      </c>
      <c r="E4341" s="2">
        <v>32.4</v>
      </c>
      <c r="F4341" s="2">
        <v>2.7</v>
      </c>
      <c r="G4341" s="2">
        <v>35</v>
      </c>
      <c r="H4341" s="2">
        <v>1.3</v>
      </c>
      <c r="I4341" s="2">
        <v>13.2</v>
      </c>
      <c r="P4341" s="3">
        <f>E4341*(VLOOKUP(B4341,Price_data!A$1:B$190,2,FALSE))</f>
        <v>23.460142272479999</v>
      </c>
      <c r="Q4341" s="3">
        <f>G4341*(VLOOKUP(B4341,Price_data!A$1:B$190,2,FALSE))</f>
        <v>25.342746282</v>
      </c>
      <c r="R4341" s="3">
        <f>I4341*(VLOOKUP(B4341,Price_data!A$1:B$190,2,FALSE))</f>
        <v>9.5578357406399999</v>
      </c>
      <c r="S4341" s="4" t="str">
        <f>(VLOOKUP(B4341,Price_data!A$1:C$190,3,FALSE))</f>
        <v>EEZ</v>
      </c>
      <c r="T4341" s="2" t="str">
        <f>IF(C4341="Total", (VLOOKUP(B4341,Recommended_fish_intake!A$4:D$122,4,FALSE)), "NA")</f>
        <v>NA</v>
      </c>
      <c r="U4341" s="2" t="str">
        <f t="shared" si="396"/>
        <v>NA</v>
      </c>
    </row>
    <row r="4342" spans="1:21" ht="14.25" customHeight="1">
      <c r="A4342" s="2" t="s">
        <v>15</v>
      </c>
      <c r="B4342" s="2">
        <v>2011</v>
      </c>
      <c r="C4342" s="2" t="s">
        <v>35</v>
      </c>
      <c r="D4342" s="2">
        <v>34.299999999999997</v>
      </c>
      <c r="E4342" s="2">
        <v>111.1</v>
      </c>
      <c r="F4342" s="2">
        <v>17.899999999999999</v>
      </c>
      <c r="G4342" s="2">
        <v>125.8</v>
      </c>
      <c r="H4342" s="2">
        <v>3.2</v>
      </c>
      <c r="I4342" s="2">
        <v>9</v>
      </c>
      <c r="P4342" s="3">
        <f>E4342*(VLOOKUP(B4342,Price_data!A$1:B$190,2,FALSE))</f>
        <v>80.445117483719997</v>
      </c>
      <c r="Q4342" s="3">
        <f>G4342*(VLOOKUP(B4342,Price_data!A$1:B$190,2,FALSE))</f>
        <v>91.089070922159991</v>
      </c>
      <c r="R4342" s="3">
        <f>I4342*(VLOOKUP(B4342,Price_data!A$1:B$190,2,FALSE))</f>
        <v>6.5167061867999996</v>
      </c>
      <c r="S4342" s="4" t="str">
        <f>(VLOOKUP(B4342,Price_data!A$1:C$190,3,FALSE))</f>
        <v>EEZ</v>
      </c>
      <c r="T4342" s="2" t="str">
        <f>IF(C4342="Total", (VLOOKUP(B4342,Recommended_fish_intake!A$4:D$122,4,FALSE)), "NA")</f>
        <v>NA</v>
      </c>
      <c r="U4342" s="2" t="str">
        <f t="shared" si="396"/>
        <v>NA</v>
      </c>
    </row>
    <row r="4343" spans="1:21" ht="14.25" customHeight="1">
      <c r="A4343" s="2" t="s">
        <v>15</v>
      </c>
      <c r="B4343" s="2">
        <v>2011</v>
      </c>
      <c r="C4343" s="2" t="s">
        <v>52</v>
      </c>
      <c r="D4343" s="2">
        <v>53</v>
      </c>
      <c r="E4343" s="2">
        <v>62.8</v>
      </c>
      <c r="F4343" s="2">
        <v>16.7</v>
      </c>
      <c r="G4343" s="2">
        <v>95.5</v>
      </c>
      <c r="H4343" s="2">
        <v>2.2000000000000002</v>
      </c>
      <c r="I4343" s="2">
        <v>23.4</v>
      </c>
      <c r="P4343" s="3">
        <f>E4343*(VLOOKUP(B4343,Price_data!A$1:B$190,2,FALSE))</f>
        <v>45.472127614559994</v>
      </c>
      <c r="Q4343" s="3">
        <f>G4343*(VLOOKUP(B4343,Price_data!A$1:B$190,2,FALSE))</f>
        <v>69.149493426600003</v>
      </c>
      <c r="R4343" s="3">
        <f>I4343*(VLOOKUP(B4343,Price_data!A$1:B$190,2,FALSE))</f>
        <v>16.943436085679998</v>
      </c>
      <c r="S4343" s="4" t="str">
        <f>(VLOOKUP(B4343,Price_data!A$1:C$190,3,FALSE))</f>
        <v>EEZ</v>
      </c>
      <c r="T4343" s="2" t="str">
        <f>IF(C4343="Total", (VLOOKUP(B4343,Recommended_fish_intake!A$4:D$122,4,FALSE)), "NA")</f>
        <v>NA</v>
      </c>
      <c r="U4343" s="2" t="str">
        <f t="shared" si="396"/>
        <v>NA</v>
      </c>
    </row>
    <row r="4344" spans="1:21" ht="14.25" customHeight="1">
      <c r="A4344" s="2" t="s">
        <v>15</v>
      </c>
      <c r="B4344" s="2">
        <v>2011</v>
      </c>
      <c r="C4344" s="2" t="s">
        <v>30</v>
      </c>
      <c r="D4344" s="2">
        <v>0.4</v>
      </c>
      <c r="E4344" s="2">
        <v>0.7</v>
      </c>
      <c r="F4344" s="2">
        <v>14.7</v>
      </c>
      <c r="G4344" s="2">
        <v>80.900000000000006</v>
      </c>
      <c r="H4344" s="2">
        <v>90.4</v>
      </c>
      <c r="I4344" s="2">
        <v>526.4</v>
      </c>
      <c r="P4344" s="3">
        <f>E4344*(VLOOKUP(B4344,Price_data!A$1:B$190,2,FALSE))</f>
        <v>0.5068549256399999</v>
      </c>
      <c r="Q4344" s="3">
        <f>G4344*(VLOOKUP(B4344,Price_data!A$1:B$190,2,FALSE))</f>
        <v>58.577947834680003</v>
      </c>
      <c r="R4344" s="3">
        <f>I4344*(VLOOKUP(B4344,Price_data!A$1:B$190,2,FALSE))</f>
        <v>381.15490408127994</v>
      </c>
      <c r="S4344" s="4" t="str">
        <f>(VLOOKUP(B4344,Price_data!A$1:C$190,3,FALSE))</f>
        <v>EEZ</v>
      </c>
      <c r="T4344" s="2" t="str">
        <f>IF(C4344="Total", (VLOOKUP(B4344,Recommended_fish_intake!A$4:D$122,4,FALSE)), "NA")</f>
        <v>NA</v>
      </c>
      <c r="U4344" s="2" t="str">
        <f t="shared" si="396"/>
        <v>NA</v>
      </c>
    </row>
    <row r="4345" spans="1:21" ht="14.25" customHeight="1">
      <c r="A4345" s="2" t="s">
        <v>15</v>
      </c>
      <c r="B4345" s="2">
        <v>2011</v>
      </c>
      <c r="C4345" s="2" t="s">
        <v>28</v>
      </c>
      <c r="D4345" s="2">
        <v>147.4</v>
      </c>
      <c r="E4345" s="2">
        <v>283.3</v>
      </c>
      <c r="F4345" s="2">
        <v>96.2</v>
      </c>
      <c r="G4345" s="2">
        <v>464.7</v>
      </c>
      <c r="H4345" s="2">
        <v>123.3</v>
      </c>
      <c r="I4345" s="2">
        <v>656.2</v>
      </c>
      <c r="P4345" s="3">
        <f>E4345*(VLOOKUP(B4345,Price_data!A$1:B$190,2,FALSE))</f>
        <v>205.13142919116001</v>
      </c>
      <c r="Q4345" s="3">
        <f>G4345*(VLOOKUP(B4345,Price_data!A$1:B$190,2,FALSE))</f>
        <v>336.47926277843999</v>
      </c>
      <c r="R4345" s="3">
        <f>I4345*(VLOOKUP(B4345,Price_data!A$1:B$190,2,FALSE))</f>
        <v>475.14028886424001</v>
      </c>
      <c r="S4345" s="4" t="str">
        <f>(VLOOKUP(B4345,Price_data!A$1:C$190,3,FALSE))</f>
        <v>EEZ</v>
      </c>
      <c r="T4345" s="2" t="str">
        <f>IF(C4345="Total", (VLOOKUP(B4345,Recommended_fish_intake!A$4:D$122,4,FALSE)), "NA")</f>
        <v>NA</v>
      </c>
      <c r="U4345" s="2">
        <f t="shared" si="396"/>
        <v>41.272000000000006</v>
      </c>
    </row>
    <row r="4346" spans="1:21" ht="14.25" customHeight="1">
      <c r="A4346" s="2" t="s">
        <v>15</v>
      </c>
      <c r="B4346" s="2">
        <v>2011</v>
      </c>
      <c r="C4346" s="2" t="s">
        <v>37</v>
      </c>
      <c r="D4346" s="3">
        <v>252.8</v>
      </c>
      <c r="E4346" s="3">
        <v>337.5</v>
      </c>
      <c r="F4346" s="2">
        <v>340</v>
      </c>
      <c r="G4346" s="2">
        <v>999.2</v>
      </c>
      <c r="H4346" s="2">
        <v>596.9</v>
      </c>
      <c r="I4346" s="2">
        <v>1902.4</v>
      </c>
      <c r="P4346" s="3">
        <f>E4346*(VLOOKUP(B4346,Price_data!A$1:B$190,2,FALSE))</f>
        <v>244.37648200499999</v>
      </c>
      <c r="Q4346" s="3">
        <f>G4346*(VLOOKUP(B4346,Price_data!A$1:B$190,2,FALSE))</f>
        <v>723.49920242784003</v>
      </c>
      <c r="R4346" s="3">
        <f>I4346*(VLOOKUP(B4346,Price_data!A$1:B$190,2,FALSE))</f>
        <v>1377.4868721964799</v>
      </c>
      <c r="S4346" s="4" t="str">
        <f>(VLOOKUP(B4346,Price_data!A$1:C$190,3,FALSE))</f>
        <v>EEZ</v>
      </c>
      <c r="T4346" s="2" t="str">
        <f>IF(C4346="Total", (VLOOKUP(B4346,Recommended_fish_intake!A$4:D$122,4,FALSE)), "NA")</f>
        <v>NA</v>
      </c>
      <c r="U4346" s="2">
        <f t="shared" si="396"/>
        <v>123.872</v>
      </c>
    </row>
    <row r="4347" spans="1:21" ht="14.25" customHeight="1">
      <c r="A4347" s="2" t="s">
        <v>90</v>
      </c>
      <c r="B4347" s="2">
        <v>2011</v>
      </c>
      <c r="C4347" s="2" t="s">
        <v>22</v>
      </c>
      <c r="D4347" s="2">
        <v>1.5</v>
      </c>
      <c r="E4347" s="2">
        <v>2.9</v>
      </c>
      <c r="P4347" s="3">
        <f>E4347*(VLOOKUP(B4347,Price_data!A$1:B$190,2,FALSE))</f>
        <v>2.09982754908</v>
      </c>
      <c r="Q4347" s="3">
        <f>G4347*(VLOOKUP(B4347,Price_data!A$1:B$190,2,FALSE))</f>
        <v>0</v>
      </c>
      <c r="R4347" s="3">
        <f>I4347*(VLOOKUP(B4347,Price_data!A$1:B$190,2,FALSE))</f>
        <v>0</v>
      </c>
      <c r="S4347" s="4" t="str">
        <f>(VLOOKUP(B4347,Price_data!A$1:C$190,3,FALSE))</f>
        <v>EEZ</v>
      </c>
      <c r="T4347" s="2" t="str">
        <f>IF(C4347="Total", (VLOOKUP(B4347,Recommended_fish_intake!A$4:D$122,4,FALSE)), "NA")</f>
        <v>NA</v>
      </c>
      <c r="U4347" s="2" t="str">
        <f t="shared" si="396"/>
        <v>NA</v>
      </c>
    </row>
    <row r="4348" spans="1:21" ht="14.25" customHeight="1">
      <c r="A4348" s="2" t="s">
        <v>90</v>
      </c>
      <c r="B4348" s="2">
        <v>2011</v>
      </c>
      <c r="C4348" s="2" t="s">
        <v>23</v>
      </c>
      <c r="D4348" s="2">
        <v>2.4</v>
      </c>
      <c r="E4348" s="2">
        <v>2.5</v>
      </c>
      <c r="P4348" s="3">
        <f>E4348*(VLOOKUP(B4348,Price_data!A$1:B$190,2,FALSE))</f>
        <v>1.8101961629999999</v>
      </c>
      <c r="Q4348" s="3">
        <f>G4348*(VLOOKUP(B4348,Price_data!A$1:B$190,2,FALSE))</f>
        <v>0</v>
      </c>
      <c r="R4348" s="3">
        <f>I4348*(VLOOKUP(B4348,Price_data!A$1:B$190,2,FALSE))</f>
        <v>0</v>
      </c>
      <c r="S4348" s="4" t="str">
        <f>(VLOOKUP(B4348,Price_data!A$1:C$190,3,FALSE))</f>
        <v>EEZ</v>
      </c>
      <c r="T4348" s="2" t="str">
        <f>IF(C4348="Total", (VLOOKUP(B4348,Recommended_fish_intake!A$4:D$122,4,FALSE)), "NA")</f>
        <v>NA</v>
      </c>
      <c r="U4348" s="2" t="str">
        <f t="shared" si="396"/>
        <v>NA</v>
      </c>
    </row>
    <row r="4349" spans="1:21" ht="14.25" customHeight="1">
      <c r="A4349" s="2" t="s">
        <v>90</v>
      </c>
      <c r="B4349" s="2">
        <v>2011</v>
      </c>
      <c r="C4349" s="2" t="s">
        <v>53</v>
      </c>
      <c r="D4349" s="2">
        <v>0.5</v>
      </c>
      <c r="E4349" s="2">
        <v>0.8</v>
      </c>
      <c r="P4349" s="3">
        <f>E4349*(VLOOKUP(B4349,Price_data!A$1:B$190,2,FALSE))</f>
        <v>0.57926277215999999</v>
      </c>
      <c r="Q4349" s="3">
        <f>G4349*(VLOOKUP(B4349,Price_data!A$1:B$190,2,FALSE))</f>
        <v>0</v>
      </c>
      <c r="R4349" s="3">
        <f>I4349*(VLOOKUP(B4349,Price_data!A$1:B$190,2,FALSE))</f>
        <v>0</v>
      </c>
      <c r="S4349" s="4" t="str">
        <f>(VLOOKUP(B4349,Price_data!A$1:C$190,3,FALSE))</f>
        <v>EEZ</v>
      </c>
      <c r="T4349" s="2" t="str">
        <f>IF(C4349="Total", (VLOOKUP(B4349,Recommended_fish_intake!A$4:D$122,4,FALSE)), "NA")</f>
        <v>NA</v>
      </c>
      <c r="U4349" s="2" t="str">
        <f t="shared" si="396"/>
        <v>NA</v>
      </c>
    </row>
    <row r="4350" spans="1:21" ht="14.25" customHeight="1">
      <c r="A4350" s="2" t="s">
        <v>90</v>
      </c>
      <c r="B4350" s="2">
        <v>2011</v>
      </c>
      <c r="C4350" s="2" t="s">
        <v>58</v>
      </c>
      <c r="D4350" s="2">
        <v>3.5</v>
      </c>
      <c r="E4350" s="2">
        <v>10.199999999999999</v>
      </c>
      <c r="P4350" s="3">
        <f>E4350*(VLOOKUP(B4350,Price_data!A$1:B$190,2,FALSE))</f>
        <v>7.3856003450399994</v>
      </c>
      <c r="Q4350" s="3">
        <f>G4350*(VLOOKUP(B4350,Price_data!A$1:B$190,2,FALSE))</f>
        <v>0</v>
      </c>
      <c r="R4350" s="3">
        <f>I4350*(VLOOKUP(B4350,Price_data!A$1:B$190,2,FALSE))</f>
        <v>0</v>
      </c>
      <c r="S4350" s="4" t="str">
        <f>(VLOOKUP(B4350,Price_data!A$1:C$190,3,FALSE))</f>
        <v>EEZ</v>
      </c>
      <c r="T4350" s="2" t="str">
        <f>IF(C4350="Total", (VLOOKUP(B4350,Recommended_fish_intake!A$4:D$122,4,FALSE)), "NA")</f>
        <v>NA</v>
      </c>
      <c r="U4350" s="2" t="str">
        <f t="shared" si="396"/>
        <v>NA</v>
      </c>
    </row>
    <row r="4351" spans="1:21" ht="14.25" customHeight="1">
      <c r="A4351" s="2" t="s">
        <v>90</v>
      </c>
      <c r="B4351" s="2">
        <v>2011</v>
      </c>
      <c r="C4351" s="2" t="s">
        <v>38</v>
      </c>
      <c r="D4351" s="2">
        <v>0.2</v>
      </c>
      <c r="E4351" s="2">
        <v>0.3</v>
      </c>
      <c r="P4351" s="3">
        <f>E4351*(VLOOKUP(B4351,Price_data!A$1:B$190,2,FALSE))</f>
        <v>0.21722353955999998</v>
      </c>
      <c r="Q4351" s="3">
        <f>G4351*(VLOOKUP(B4351,Price_data!A$1:B$190,2,FALSE))</f>
        <v>0</v>
      </c>
      <c r="R4351" s="3">
        <f>I4351*(VLOOKUP(B4351,Price_data!A$1:B$190,2,FALSE))</f>
        <v>0</v>
      </c>
      <c r="S4351" s="4" t="str">
        <f>(VLOOKUP(B4351,Price_data!A$1:C$190,3,FALSE))</f>
        <v>EEZ</v>
      </c>
      <c r="T4351" s="2" t="str">
        <f>IF(C4351="Total", (VLOOKUP(B4351,Recommended_fish_intake!A$4:D$122,4,FALSE)), "NA")</f>
        <v>NA</v>
      </c>
      <c r="U4351" s="2" t="str">
        <f t="shared" si="396"/>
        <v>NA</v>
      </c>
    </row>
    <row r="4352" spans="1:21" ht="14.25" customHeight="1">
      <c r="A4352" s="2" t="s">
        <v>90</v>
      </c>
      <c r="B4352" s="2">
        <v>2011</v>
      </c>
      <c r="C4352" s="2" t="s">
        <v>63</v>
      </c>
      <c r="D4352" s="2">
        <v>1.8</v>
      </c>
      <c r="E4352" s="2">
        <v>16</v>
      </c>
      <c r="P4352" s="3">
        <f>E4352*(VLOOKUP(B4352,Price_data!A$1:B$190,2,FALSE))</f>
        <v>11.585255443199999</v>
      </c>
      <c r="Q4352" s="3">
        <f>G4352*(VLOOKUP(B4352,Price_data!A$1:B$190,2,FALSE))</f>
        <v>0</v>
      </c>
      <c r="R4352" s="3">
        <f>I4352*(VLOOKUP(B4352,Price_data!A$1:B$190,2,FALSE))</f>
        <v>0</v>
      </c>
      <c r="S4352" s="4" t="str">
        <f>(VLOOKUP(B4352,Price_data!A$1:C$190,3,FALSE))</f>
        <v>EEZ</v>
      </c>
      <c r="T4352" s="2" t="str">
        <f>IF(C4352="Total", (VLOOKUP(B4352,Recommended_fish_intake!A$4:D$122,4,FALSE)), "NA")</f>
        <v>NA</v>
      </c>
      <c r="U4352" s="2" t="str">
        <f t="shared" si="396"/>
        <v>NA</v>
      </c>
    </row>
    <row r="4353" spans="1:21" ht="14.25" customHeight="1">
      <c r="A4353" s="2" t="s">
        <v>90</v>
      </c>
      <c r="B4353" s="2">
        <v>2011</v>
      </c>
      <c r="C4353" s="2" t="s">
        <v>24</v>
      </c>
      <c r="D4353" s="2">
        <v>1.7</v>
      </c>
      <c r="E4353" s="2">
        <v>1.5</v>
      </c>
      <c r="P4353" s="3">
        <f>E4353*(VLOOKUP(B4353,Price_data!A$1:B$190,2,FALSE))</f>
        <v>1.0861176978</v>
      </c>
      <c r="Q4353" s="3">
        <f>G4353*(VLOOKUP(B4353,Price_data!A$1:B$190,2,FALSE))</f>
        <v>0</v>
      </c>
      <c r="R4353" s="3">
        <f>I4353*(VLOOKUP(B4353,Price_data!A$1:B$190,2,FALSE))</f>
        <v>0</v>
      </c>
      <c r="S4353" s="4" t="str">
        <f>(VLOOKUP(B4353,Price_data!A$1:C$190,3,FALSE))</f>
        <v>EEZ</v>
      </c>
      <c r="T4353" s="2" t="str">
        <f>IF(C4353="Total", (VLOOKUP(B4353,Recommended_fish_intake!A$4:D$122,4,FALSE)), "NA")</f>
        <v>NA</v>
      </c>
      <c r="U4353" s="2" t="str">
        <f t="shared" si="396"/>
        <v>NA</v>
      </c>
    </row>
    <row r="4354" spans="1:21" ht="14.25" customHeight="1">
      <c r="A4354" s="2" t="s">
        <v>90</v>
      </c>
      <c r="B4354" s="2">
        <v>2011</v>
      </c>
      <c r="C4354" s="2" t="s">
        <v>41</v>
      </c>
      <c r="D4354" s="2">
        <v>24.4</v>
      </c>
      <c r="E4354" s="2">
        <v>64.7</v>
      </c>
      <c r="P4354" s="3">
        <f>E4354*(VLOOKUP(B4354,Price_data!A$1:B$190,2,FALSE))</f>
        <v>46.847876698439997</v>
      </c>
      <c r="Q4354" s="3">
        <f>G4354*(VLOOKUP(B4354,Price_data!A$1:B$190,2,FALSE))</f>
        <v>0</v>
      </c>
      <c r="R4354" s="3">
        <f>I4354*(VLOOKUP(B4354,Price_data!A$1:B$190,2,FALSE))</f>
        <v>0</v>
      </c>
      <c r="S4354" s="4" t="str">
        <f>(VLOOKUP(B4354,Price_data!A$1:C$190,3,FALSE))</f>
        <v>EEZ</v>
      </c>
      <c r="T4354" s="2" t="str">
        <f>IF(C4354="Total", (VLOOKUP(B4354,Recommended_fish_intake!A$4:D$122,4,FALSE)), "NA")</f>
        <v>NA</v>
      </c>
      <c r="U4354" s="2" t="str">
        <f t="shared" ref="U4354:U4417" si="398">IF(C4354="Wet fish", D4354*0.49, IF(C4354="Shellfish", D4354*0.28, "NA"))</f>
        <v>NA</v>
      </c>
    </row>
    <row r="4355" spans="1:21" ht="14.25" customHeight="1">
      <c r="A4355" s="2" t="s">
        <v>90</v>
      </c>
      <c r="B4355" s="2">
        <v>2011</v>
      </c>
      <c r="C4355" s="2" t="s">
        <v>19</v>
      </c>
      <c r="D4355" s="2">
        <v>1.2</v>
      </c>
      <c r="E4355" s="2">
        <v>0.4</v>
      </c>
      <c r="P4355" s="3">
        <f>E4355*(VLOOKUP(B4355,Price_data!A$1:B$190,2,FALSE))</f>
        <v>0.28963138608</v>
      </c>
      <c r="Q4355" s="3">
        <f>G4355*(VLOOKUP(B4355,Price_data!A$1:B$190,2,FALSE))</f>
        <v>0</v>
      </c>
      <c r="R4355" s="3">
        <f>I4355*(VLOOKUP(B4355,Price_data!A$1:B$190,2,FALSE))</f>
        <v>0</v>
      </c>
      <c r="S4355" s="4" t="str">
        <f>(VLOOKUP(B4355,Price_data!A$1:C$190,3,FALSE))</f>
        <v>EEZ</v>
      </c>
      <c r="T4355" s="2" t="str">
        <f>IF(C4355="Total", (VLOOKUP(B4355,Recommended_fish_intake!A$4:D$122,4,FALSE)), "NA")</f>
        <v>NA</v>
      </c>
      <c r="U4355" s="2" t="str">
        <f t="shared" si="398"/>
        <v>NA</v>
      </c>
    </row>
    <row r="4356" spans="1:21" ht="14.25" customHeight="1">
      <c r="A4356" s="2" t="s">
        <v>90</v>
      </c>
      <c r="B4356" s="2">
        <v>2011</v>
      </c>
      <c r="C4356" s="2" t="s">
        <v>20</v>
      </c>
      <c r="D4356" s="2">
        <v>2.8</v>
      </c>
      <c r="E4356" s="2">
        <v>2.6</v>
      </c>
      <c r="P4356" s="3">
        <f>E4356*(VLOOKUP(B4356,Price_data!A$1:B$190,2,FALSE))</f>
        <v>1.8826040095200001</v>
      </c>
      <c r="Q4356" s="3">
        <f>G4356*(VLOOKUP(B4356,Price_data!A$1:B$190,2,FALSE))</f>
        <v>0</v>
      </c>
      <c r="R4356" s="3">
        <f>I4356*(VLOOKUP(B4356,Price_data!A$1:B$190,2,FALSE))</f>
        <v>0</v>
      </c>
      <c r="S4356" s="4" t="str">
        <f>(VLOOKUP(B4356,Price_data!A$1:C$190,3,FALSE))</f>
        <v>EEZ</v>
      </c>
      <c r="T4356" s="2" t="str">
        <f>IF(C4356="Total", (VLOOKUP(B4356,Recommended_fish_intake!A$4:D$122,4,FALSE)), "NA")</f>
        <v>NA</v>
      </c>
      <c r="U4356" s="2" t="str">
        <f t="shared" si="398"/>
        <v>NA</v>
      </c>
    </row>
    <row r="4357" spans="1:21" ht="14.25" customHeight="1">
      <c r="A4357" s="2" t="s">
        <v>90</v>
      </c>
      <c r="B4357" s="2">
        <v>2011</v>
      </c>
      <c r="C4357" s="2" t="s">
        <v>42</v>
      </c>
      <c r="D4357" s="2">
        <v>18.2</v>
      </c>
      <c r="E4357" s="2">
        <v>6.7</v>
      </c>
      <c r="P4357" s="3">
        <f>E4357*(VLOOKUP(B4357,Price_data!A$1:B$190,2,FALSE))</f>
        <v>4.8513257168399999</v>
      </c>
      <c r="Q4357" s="3">
        <f>G4357*(VLOOKUP(B4357,Price_data!A$1:B$190,2,FALSE))</f>
        <v>0</v>
      </c>
      <c r="R4357" s="3">
        <f>I4357*(VLOOKUP(B4357,Price_data!A$1:B$190,2,FALSE))</f>
        <v>0</v>
      </c>
      <c r="S4357" s="4" t="str">
        <f>(VLOOKUP(B4357,Price_data!A$1:C$190,3,FALSE))</f>
        <v>EEZ</v>
      </c>
      <c r="T4357" s="2" t="str">
        <f>IF(C4357="Total", (VLOOKUP(B4357,Recommended_fish_intake!A$4:D$122,4,FALSE)), "NA")</f>
        <v>NA</v>
      </c>
      <c r="U4357" s="2" t="str">
        <f t="shared" si="398"/>
        <v>NA</v>
      </c>
    </row>
    <row r="4358" spans="1:21" ht="14.25" customHeight="1">
      <c r="A4358" s="2" t="s">
        <v>90</v>
      </c>
      <c r="B4358" s="2">
        <v>2011</v>
      </c>
      <c r="C4358" s="2" t="s">
        <v>36</v>
      </c>
      <c r="D4358" s="2">
        <v>11.4</v>
      </c>
      <c r="E4358" s="2">
        <v>15.1</v>
      </c>
      <c r="P4358" s="3">
        <f>E4358*(VLOOKUP(B4358,Price_data!A$1:B$190,2,FALSE))</f>
        <v>10.933584824519999</v>
      </c>
      <c r="Q4358" s="3">
        <f>G4358*(VLOOKUP(B4358,Price_data!A$1:B$190,2,FALSE))</f>
        <v>0</v>
      </c>
      <c r="R4358" s="3">
        <f>I4358*(VLOOKUP(B4358,Price_data!A$1:B$190,2,FALSE))</f>
        <v>0</v>
      </c>
      <c r="S4358" s="4" t="str">
        <f>(VLOOKUP(B4358,Price_data!A$1:C$190,3,FALSE))</f>
        <v>EEZ</v>
      </c>
      <c r="T4358" s="2" t="str">
        <f>IF(C4358="Total", (VLOOKUP(B4358,Recommended_fish_intake!A$4:D$122,4,FALSE)), "NA")</f>
        <v>NA</v>
      </c>
      <c r="U4358" s="2" t="str">
        <f t="shared" si="398"/>
        <v>NA</v>
      </c>
    </row>
    <row r="4359" spans="1:21" ht="14.25" customHeight="1">
      <c r="A4359" s="2" t="s">
        <v>90</v>
      </c>
      <c r="B4359" s="2">
        <v>2011</v>
      </c>
      <c r="C4359" s="2" t="s">
        <v>34</v>
      </c>
      <c r="D4359" s="2">
        <v>1.6</v>
      </c>
      <c r="E4359" s="2">
        <v>15.8</v>
      </c>
      <c r="P4359" s="3">
        <f>E4359*(VLOOKUP(B4359,Price_data!A$1:B$190,2,FALSE))</f>
        <v>11.440439750159999</v>
      </c>
      <c r="Q4359" s="3">
        <f>G4359*(VLOOKUP(B4359,Price_data!A$1:B$190,2,FALSE))</f>
        <v>0</v>
      </c>
      <c r="R4359" s="3">
        <f>I4359*(VLOOKUP(B4359,Price_data!A$1:B$190,2,FALSE))</f>
        <v>0</v>
      </c>
      <c r="S4359" s="4" t="str">
        <f>(VLOOKUP(B4359,Price_data!A$1:C$190,3,FALSE))</f>
        <v>EEZ</v>
      </c>
      <c r="T4359" s="2" t="str">
        <f>IF(C4359="Total", (VLOOKUP(B4359,Recommended_fish_intake!A$4:D$122,4,FALSE)), "NA")</f>
        <v>NA</v>
      </c>
      <c r="U4359" s="2" t="str">
        <f t="shared" si="398"/>
        <v>NA</v>
      </c>
    </row>
    <row r="4360" spans="1:21" ht="14.25" customHeight="1">
      <c r="A4360" s="2" t="s">
        <v>90</v>
      </c>
      <c r="B4360" s="2">
        <v>2011</v>
      </c>
      <c r="C4360" s="2" t="s">
        <v>35</v>
      </c>
      <c r="D4360" s="2">
        <v>2.7</v>
      </c>
      <c r="E4360" s="2">
        <v>9</v>
      </c>
      <c r="P4360" s="3">
        <f>E4360*(VLOOKUP(B4360,Price_data!A$1:B$190,2,FALSE))</f>
        <v>6.5167061867999996</v>
      </c>
      <c r="Q4360" s="3">
        <f>G4360*(VLOOKUP(B4360,Price_data!A$1:B$190,2,FALSE))</f>
        <v>0</v>
      </c>
      <c r="R4360" s="3">
        <f>I4360*(VLOOKUP(B4360,Price_data!A$1:B$190,2,FALSE))</f>
        <v>0</v>
      </c>
      <c r="S4360" s="4" t="str">
        <f>(VLOOKUP(B4360,Price_data!A$1:C$190,3,FALSE))</f>
        <v>EEZ</v>
      </c>
      <c r="T4360" s="2" t="str">
        <f>IF(C4360="Total", (VLOOKUP(B4360,Recommended_fish_intake!A$4:D$122,4,FALSE)), "NA")</f>
        <v>NA</v>
      </c>
      <c r="U4360" s="2" t="str">
        <f t="shared" si="398"/>
        <v>NA</v>
      </c>
    </row>
    <row r="4361" spans="1:21" ht="14.25" customHeight="1">
      <c r="A4361" s="2" t="s">
        <v>90</v>
      </c>
      <c r="B4361" s="2">
        <v>2011</v>
      </c>
      <c r="C4361" s="2" t="s">
        <v>52</v>
      </c>
      <c r="D4361" s="2">
        <v>21.2</v>
      </c>
      <c r="E4361" s="2">
        <v>31.4</v>
      </c>
      <c r="P4361" s="3">
        <f>E4361*(VLOOKUP(B4361,Price_data!A$1:B$190,2,FALSE))</f>
        <v>22.736063807279997</v>
      </c>
      <c r="Q4361" s="3">
        <f>G4361*(VLOOKUP(B4361,Price_data!A$1:B$190,2,FALSE))</f>
        <v>0</v>
      </c>
      <c r="R4361" s="3">
        <f>I4361*(VLOOKUP(B4361,Price_data!A$1:B$190,2,FALSE))</f>
        <v>0</v>
      </c>
      <c r="S4361" s="4" t="str">
        <f>(VLOOKUP(B4361,Price_data!A$1:C$190,3,FALSE))</f>
        <v>EEZ</v>
      </c>
      <c r="T4361" s="2" t="str">
        <f>IF(C4361="Total", (VLOOKUP(B4361,Recommended_fish_intake!A$4:D$122,4,FALSE)), "NA")</f>
        <v>NA</v>
      </c>
      <c r="U4361" s="2" t="str">
        <f t="shared" si="398"/>
        <v>NA</v>
      </c>
    </row>
    <row r="4362" spans="1:21" ht="14.25" customHeight="1">
      <c r="A4362" s="2" t="s">
        <v>90</v>
      </c>
      <c r="B4362" s="2">
        <v>2011</v>
      </c>
      <c r="C4362" s="2" t="s">
        <v>30</v>
      </c>
      <c r="D4362" s="2">
        <v>0.4</v>
      </c>
      <c r="E4362" s="2">
        <v>0.7</v>
      </c>
      <c r="P4362" s="3">
        <f>E4362*(VLOOKUP(B4362,Price_data!A$1:B$190,2,FALSE))</f>
        <v>0.5068549256399999</v>
      </c>
      <c r="Q4362" s="3">
        <f>G4362*(VLOOKUP(B4362,Price_data!A$1:B$190,2,FALSE))</f>
        <v>0</v>
      </c>
      <c r="R4362" s="3">
        <f>I4362*(VLOOKUP(B4362,Price_data!A$1:B$190,2,FALSE))</f>
        <v>0</v>
      </c>
      <c r="S4362" s="4" t="str">
        <f>(VLOOKUP(B4362,Price_data!A$1:C$190,3,FALSE))</f>
        <v>EEZ</v>
      </c>
      <c r="T4362" s="2" t="str">
        <f>IF(C4362="Total", (VLOOKUP(B4362,Recommended_fish_intake!A$4:D$122,4,FALSE)), "NA")</f>
        <v>NA</v>
      </c>
      <c r="U4362" s="2" t="str">
        <f t="shared" si="398"/>
        <v>NA</v>
      </c>
    </row>
    <row r="4363" spans="1:21" ht="14.25" customHeight="1">
      <c r="A4363" s="2" t="s">
        <v>90</v>
      </c>
      <c r="B4363" s="2">
        <v>2011</v>
      </c>
      <c r="C4363" s="2" t="s">
        <v>28</v>
      </c>
      <c r="D4363" s="2">
        <v>55.8</v>
      </c>
      <c r="E4363" s="2">
        <v>95.1</v>
      </c>
      <c r="P4363" s="3">
        <f>E4363*(VLOOKUP(B4363,Price_data!A$1:B$190,2,FALSE))</f>
        <v>68.859862040519999</v>
      </c>
      <c r="Q4363" s="3">
        <f>G4363*(VLOOKUP(B4363,Price_data!A$1:B$190,2,FALSE))</f>
        <v>0</v>
      </c>
      <c r="R4363" s="3">
        <f>I4363*(VLOOKUP(B4363,Price_data!A$1:B$190,2,FALSE))</f>
        <v>0</v>
      </c>
      <c r="S4363" s="4" t="str">
        <f>(VLOOKUP(B4363,Price_data!A$1:C$190,3,FALSE))</f>
        <v>EEZ</v>
      </c>
      <c r="T4363" s="2" t="str">
        <f>IF(C4363="Total", (VLOOKUP(B4363,Recommended_fish_intake!A$4:D$122,4,FALSE)), "NA")</f>
        <v>NA</v>
      </c>
      <c r="U4363" s="2">
        <f t="shared" si="398"/>
        <v>15.624000000000001</v>
      </c>
    </row>
    <row r="4364" spans="1:21" ht="14.25" customHeight="1">
      <c r="A4364" s="2" t="s">
        <v>91</v>
      </c>
      <c r="B4364" s="2">
        <v>2011</v>
      </c>
      <c r="C4364" s="2" t="s">
        <v>22</v>
      </c>
      <c r="D4364" s="2">
        <v>1.0999999999999999E-2</v>
      </c>
      <c r="E4364" s="2">
        <v>2.3E-2</v>
      </c>
      <c r="P4364" s="3">
        <f>E4364*(VLOOKUP(B4364,Price_data!A$1:B$190,2,FALSE))</f>
        <v>1.6653804699599997E-2</v>
      </c>
      <c r="Q4364" s="3">
        <f>G4364*(VLOOKUP(B4364,Price_data!A$1:B$190,2,FALSE))</f>
        <v>0</v>
      </c>
      <c r="R4364" s="3">
        <f>I4364*(VLOOKUP(B4364,Price_data!A$1:B$190,2,FALSE))</f>
        <v>0</v>
      </c>
      <c r="S4364" s="4" t="str">
        <f>(VLOOKUP(B4364,Price_data!A$1:C$190,3,FALSE))</f>
        <v>EEZ</v>
      </c>
      <c r="T4364" s="2" t="str">
        <f>IF(C4364="Total", (VLOOKUP(B4364,Recommended_fish_intake!A$4:D$122,4,FALSE)), "NA")</f>
        <v>NA</v>
      </c>
      <c r="U4364" s="2" t="str">
        <f t="shared" si="398"/>
        <v>NA</v>
      </c>
    </row>
    <row r="4365" spans="1:21" ht="14.25" customHeight="1">
      <c r="A4365" s="2" t="s">
        <v>91</v>
      </c>
      <c r="B4365" s="2">
        <v>2011</v>
      </c>
      <c r="C4365" s="2" t="s">
        <v>23</v>
      </c>
      <c r="D4365" s="2">
        <v>2.1999999999999999E-2</v>
      </c>
      <c r="E4365" s="2">
        <v>1.9E-2</v>
      </c>
      <c r="P4365" s="3">
        <f>E4365*(VLOOKUP(B4365,Price_data!A$1:B$190,2,FALSE))</f>
        <v>1.3757490838799999E-2</v>
      </c>
      <c r="Q4365" s="3">
        <f>G4365*(VLOOKUP(B4365,Price_data!A$1:B$190,2,FALSE))</f>
        <v>0</v>
      </c>
      <c r="R4365" s="3">
        <f>I4365*(VLOOKUP(B4365,Price_data!A$1:B$190,2,FALSE))</f>
        <v>0</v>
      </c>
      <c r="S4365" s="4" t="str">
        <f>(VLOOKUP(B4365,Price_data!A$1:C$190,3,FALSE))</f>
        <v>EEZ</v>
      </c>
      <c r="T4365" s="2" t="str">
        <f>IF(C4365="Total", (VLOOKUP(B4365,Recommended_fish_intake!A$4:D$122,4,FALSE)), "NA")</f>
        <v>NA</v>
      </c>
      <c r="U4365" s="2" t="str">
        <f t="shared" si="398"/>
        <v>NA</v>
      </c>
    </row>
    <row r="4366" spans="1:21" ht="14.25" customHeight="1">
      <c r="A4366" s="2" t="s">
        <v>91</v>
      </c>
      <c r="B4366" s="2">
        <v>2011</v>
      </c>
      <c r="C4366" s="2" t="s">
        <v>53</v>
      </c>
      <c r="D4366" s="2">
        <v>8.5000000000000006E-2</v>
      </c>
      <c r="E4366" s="2">
        <v>0.114</v>
      </c>
      <c r="P4366" s="3">
        <f>E4366*(VLOOKUP(B4366,Price_data!A$1:B$190,2,FALSE))</f>
        <v>8.2544945032799993E-2</v>
      </c>
      <c r="Q4366" s="3">
        <f>G4366*(VLOOKUP(B4366,Price_data!A$1:B$190,2,FALSE))</f>
        <v>0</v>
      </c>
      <c r="R4366" s="3">
        <f>I4366*(VLOOKUP(B4366,Price_data!A$1:B$190,2,FALSE))</f>
        <v>0</v>
      </c>
      <c r="S4366" s="4" t="str">
        <f>(VLOOKUP(B4366,Price_data!A$1:C$190,3,FALSE))</f>
        <v>EEZ</v>
      </c>
      <c r="T4366" s="2" t="str">
        <f>IF(C4366="Total", (VLOOKUP(B4366,Recommended_fish_intake!A$4:D$122,4,FALSE)), "NA")</f>
        <v>NA</v>
      </c>
      <c r="U4366" s="2" t="str">
        <f t="shared" si="398"/>
        <v>NA</v>
      </c>
    </row>
    <row r="4367" spans="1:21" ht="14.25" customHeight="1">
      <c r="A4367" s="2" t="s">
        <v>91</v>
      </c>
      <c r="B4367" s="2">
        <v>2011</v>
      </c>
      <c r="C4367" s="2" t="s">
        <v>58</v>
      </c>
      <c r="D4367" s="2">
        <v>0.33700000000000002</v>
      </c>
      <c r="E4367" s="2">
        <v>1.3680000000000001</v>
      </c>
      <c r="P4367" s="3">
        <f>E4367*(VLOOKUP(B4367,Price_data!A$1:B$190,2,FALSE))</f>
        <v>0.99053934039360003</v>
      </c>
      <c r="Q4367" s="3">
        <f>G4367*(VLOOKUP(B4367,Price_data!A$1:B$190,2,FALSE))</f>
        <v>0</v>
      </c>
      <c r="R4367" s="3">
        <f>I4367*(VLOOKUP(B4367,Price_data!A$1:B$190,2,FALSE))</f>
        <v>0</v>
      </c>
      <c r="S4367" s="4" t="str">
        <f>(VLOOKUP(B4367,Price_data!A$1:C$190,3,FALSE))</f>
        <v>EEZ</v>
      </c>
      <c r="T4367" s="2" t="str">
        <f>IF(C4367="Total", (VLOOKUP(B4367,Recommended_fish_intake!A$4:D$122,4,FALSE)), "NA")</f>
        <v>NA</v>
      </c>
      <c r="U4367" s="2" t="str">
        <f t="shared" si="398"/>
        <v>NA</v>
      </c>
    </row>
    <row r="4368" spans="1:21" ht="14.25" customHeight="1">
      <c r="A4368" s="2" t="s">
        <v>91</v>
      </c>
      <c r="B4368" s="2">
        <v>2011</v>
      </c>
      <c r="C4368" s="2" t="s">
        <v>38</v>
      </c>
      <c r="D4368" s="2">
        <v>5.0000000000000001E-3</v>
      </c>
      <c r="E4368" s="2">
        <v>6.0000000000000001E-3</v>
      </c>
      <c r="P4368" s="3">
        <f>E4368*(VLOOKUP(B4368,Price_data!A$1:B$190,2,FALSE))</f>
        <v>4.3444707912000001E-3</v>
      </c>
      <c r="Q4368" s="3">
        <f>G4368*(VLOOKUP(B4368,Price_data!A$1:B$190,2,FALSE))</f>
        <v>0</v>
      </c>
      <c r="R4368" s="3">
        <f>I4368*(VLOOKUP(B4368,Price_data!A$1:B$190,2,FALSE))</f>
        <v>0</v>
      </c>
      <c r="S4368" s="4" t="str">
        <f>(VLOOKUP(B4368,Price_data!A$1:C$190,3,FALSE))</f>
        <v>EEZ</v>
      </c>
      <c r="T4368" s="2" t="str">
        <f>IF(C4368="Total", (VLOOKUP(B4368,Recommended_fish_intake!A$4:D$122,4,FALSE)), "NA")</f>
        <v>NA</v>
      </c>
      <c r="U4368" s="2" t="str">
        <f t="shared" si="398"/>
        <v>NA</v>
      </c>
    </row>
    <row r="4369" spans="1:21" ht="14.25" customHeight="1">
      <c r="A4369" s="2" t="s">
        <v>91</v>
      </c>
      <c r="B4369" s="2">
        <v>2011</v>
      </c>
      <c r="C4369" s="2" t="s">
        <v>63</v>
      </c>
      <c r="D4369" s="2">
        <v>2.1999999999999999E-2</v>
      </c>
      <c r="E4369" s="2">
        <v>0.19600000000000001</v>
      </c>
      <c r="P4369" s="3">
        <f>E4369*(VLOOKUP(B4369,Price_data!A$1:B$190,2,FALSE))</f>
        <v>0.1419193791792</v>
      </c>
      <c r="Q4369" s="3">
        <f>G4369*(VLOOKUP(B4369,Price_data!A$1:B$190,2,FALSE))</f>
        <v>0</v>
      </c>
      <c r="R4369" s="3">
        <f>I4369*(VLOOKUP(B4369,Price_data!A$1:B$190,2,FALSE))</f>
        <v>0</v>
      </c>
      <c r="S4369" s="4" t="str">
        <f>(VLOOKUP(B4369,Price_data!A$1:C$190,3,FALSE))</f>
        <v>EEZ</v>
      </c>
      <c r="T4369" s="2" t="str">
        <f>IF(C4369="Total", (VLOOKUP(B4369,Recommended_fish_intake!A$4:D$122,4,FALSE)), "NA")</f>
        <v>NA</v>
      </c>
      <c r="U4369" s="2" t="str">
        <f t="shared" si="398"/>
        <v>NA</v>
      </c>
    </row>
    <row r="4370" spans="1:21" ht="14.25" customHeight="1">
      <c r="A4370" s="2" t="s">
        <v>91</v>
      </c>
      <c r="B4370" s="2">
        <v>2011</v>
      </c>
      <c r="C4370" s="2" t="s">
        <v>24</v>
      </c>
      <c r="D4370" s="2">
        <v>1.0999999999999999E-2</v>
      </c>
      <c r="E4370" s="2">
        <v>0.01</v>
      </c>
      <c r="P4370" s="3">
        <f>E4370*(VLOOKUP(B4370,Price_data!A$1:B$190,2,FALSE))</f>
        <v>7.2407846520000001E-3</v>
      </c>
      <c r="Q4370" s="3">
        <f>G4370*(VLOOKUP(B4370,Price_data!A$1:B$190,2,FALSE))</f>
        <v>0</v>
      </c>
      <c r="R4370" s="3">
        <f>I4370*(VLOOKUP(B4370,Price_data!A$1:B$190,2,FALSE))</f>
        <v>0</v>
      </c>
      <c r="S4370" s="4" t="str">
        <f>(VLOOKUP(B4370,Price_data!A$1:C$190,3,FALSE))</f>
        <v>EEZ</v>
      </c>
      <c r="T4370" s="2" t="str">
        <f>IF(C4370="Total", (VLOOKUP(B4370,Recommended_fish_intake!A$4:D$122,4,FALSE)), "NA")</f>
        <v>NA</v>
      </c>
      <c r="U4370" s="2" t="str">
        <f t="shared" si="398"/>
        <v>NA</v>
      </c>
    </row>
    <row r="4371" spans="1:21" ht="14.25" customHeight="1">
      <c r="A4371" s="2" t="s">
        <v>91</v>
      </c>
      <c r="B4371" s="2">
        <v>2011</v>
      </c>
      <c r="C4371" s="2" t="s">
        <v>41</v>
      </c>
      <c r="D4371" s="2">
        <v>1.4339999999999999</v>
      </c>
      <c r="E4371" s="2">
        <v>4.5490000000000004</v>
      </c>
      <c r="P4371" s="3">
        <f>E4371*(VLOOKUP(B4371,Price_data!A$1:B$190,2,FALSE))</f>
        <v>3.2938329381948002</v>
      </c>
      <c r="Q4371" s="3">
        <f>G4371*(VLOOKUP(B4371,Price_data!A$1:B$190,2,FALSE))</f>
        <v>0</v>
      </c>
      <c r="R4371" s="3">
        <f>I4371*(VLOOKUP(B4371,Price_data!A$1:B$190,2,FALSE))</f>
        <v>0</v>
      </c>
      <c r="S4371" s="4" t="str">
        <f>(VLOOKUP(B4371,Price_data!A$1:C$190,3,FALSE))</f>
        <v>EEZ</v>
      </c>
      <c r="T4371" s="2" t="str">
        <f>IF(C4371="Total", (VLOOKUP(B4371,Recommended_fish_intake!A$4:D$122,4,FALSE)), "NA")</f>
        <v>NA</v>
      </c>
      <c r="U4371" s="2" t="str">
        <f t="shared" si="398"/>
        <v>NA</v>
      </c>
    </row>
    <row r="4372" spans="1:21" ht="14.25" customHeight="1">
      <c r="A4372" s="2" t="s">
        <v>91</v>
      </c>
      <c r="B4372" s="2">
        <v>2011</v>
      </c>
      <c r="C4372" s="2" t="s">
        <v>19</v>
      </c>
      <c r="D4372" s="2">
        <v>6.0000000000000001E-3</v>
      </c>
      <c r="E4372" s="2">
        <v>1E-3</v>
      </c>
      <c r="P4372" s="3">
        <f>E4372*(VLOOKUP(B4372,Price_data!A$1:B$190,2,FALSE))</f>
        <v>7.2407846520000001E-4</v>
      </c>
      <c r="Q4372" s="3">
        <f>G4372*(VLOOKUP(B4372,Price_data!A$1:B$190,2,FALSE))</f>
        <v>0</v>
      </c>
      <c r="R4372" s="3">
        <f>I4372*(VLOOKUP(B4372,Price_data!A$1:B$190,2,FALSE))</f>
        <v>0</v>
      </c>
      <c r="S4372" s="4" t="str">
        <f>(VLOOKUP(B4372,Price_data!A$1:C$190,3,FALSE))</f>
        <v>EEZ</v>
      </c>
      <c r="T4372" s="2" t="str">
        <f>IF(C4372="Total", (VLOOKUP(B4372,Recommended_fish_intake!A$4:D$122,4,FALSE)), "NA")</f>
        <v>NA</v>
      </c>
      <c r="U4372" s="2" t="str">
        <f t="shared" si="398"/>
        <v>NA</v>
      </c>
    </row>
    <row r="4373" spans="1:21" ht="14.25" customHeight="1">
      <c r="A4373" s="2" t="s">
        <v>91</v>
      </c>
      <c r="B4373" s="2">
        <v>2011</v>
      </c>
      <c r="C4373" s="2" t="s">
        <v>20</v>
      </c>
      <c r="D4373" s="2">
        <v>5.0000000000000001E-3</v>
      </c>
      <c r="E4373" s="2">
        <v>8.9999999999999993E-3</v>
      </c>
      <c r="P4373" s="3">
        <f>E4373*(VLOOKUP(B4373,Price_data!A$1:B$190,2,FALSE))</f>
        <v>6.5167061867999988E-3</v>
      </c>
      <c r="Q4373" s="3">
        <f>G4373*(VLOOKUP(B4373,Price_data!A$1:B$190,2,FALSE))</f>
        <v>0</v>
      </c>
      <c r="R4373" s="3">
        <f>I4373*(VLOOKUP(B4373,Price_data!A$1:B$190,2,FALSE))</f>
        <v>0</v>
      </c>
      <c r="S4373" s="4" t="str">
        <f>(VLOOKUP(B4373,Price_data!A$1:C$190,3,FALSE))</f>
        <v>EEZ</v>
      </c>
      <c r="T4373" s="2" t="str">
        <f>IF(C4373="Total", (VLOOKUP(B4373,Recommended_fish_intake!A$4:D$122,4,FALSE)), "NA")</f>
        <v>NA</v>
      </c>
      <c r="U4373" s="2" t="str">
        <f t="shared" si="398"/>
        <v>NA</v>
      </c>
    </row>
    <row r="4374" spans="1:21" ht="14.25" customHeight="1">
      <c r="A4374" s="2" t="s">
        <v>91</v>
      </c>
      <c r="B4374" s="2">
        <v>2011</v>
      </c>
      <c r="C4374" s="2" t="s">
        <v>42</v>
      </c>
      <c r="D4374" s="2">
        <v>0.01</v>
      </c>
      <c r="E4374" s="2">
        <v>0.01</v>
      </c>
      <c r="P4374" s="3">
        <f>E4374*(VLOOKUP(B4374,Price_data!A$1:B$190,2,FALSE))</f>
        <v>7.2407846520000001E-3</v>
      </c>
      <c r="Q4374" s="3">
        <f>G4374*(VLOOKUP(B4374,Price_data!A$1:B$190,2,FALSE))</f>
        <v>0</v>
      </c>
      <c r="R4374" s="3">
        <f>I4374*(VLOOKUP(B4374,Price_data!A$1:B$190,2,FALSE))</f>
        <v>0</v>
      </c>
      <c r="S4374" s="4" t="str">
        <f>(VLOOKUP(B4374,Price_data!A$1:C$190,3,FALSE))</f>
        <v>EEZ</v>
      </c>
      <c r="T4374" s="2" t="str">
        <f>IF(C4374="Total", (VLOOKUP(B4374,Recommended_fish_intake!A$4:D$122,4,FALSE)), "NA")</f>
        <v>NA</v>
      </c>
      <c r="U4374" s="2" t="str">
        <f t="shared" si="398"/>
        <v>NA</v>
      </c>
    </row>
    <row r="4375" spans="1:21" ht="14.25" customHeight="1">
      <c r="A4375" s="2" t="s">
        <v>91</v>
      </c>
      <c r="B4375" s="2">
        <v>2011</v>
      </c>
      <c r="C4375" s="2" t="s">
        <v>36</v>
      </c>
      <c r="D4375" s="2">
        <v>1.0389999999999999</v>
      </c>
      <c r="E4375" s="2">
        <v>1.254</v>
      </c>
      <c r="P4375" s="3">
        <f>E4375*(VLOOKUP(B4375,Price_data!A$1:B$190,2,FALSE))</f>
        <v>0.90799439536079996</v>
      </c>
      <c r="Q4375" s="3">
        <f>G4375*(VLOOKUP(B4375,Price_data!A$1:B$190,2,FALSE))</f>
        <v>0</v>
      </c>
      <c r="R4375" s="3">
        <f>I4375*(VLOOKUP(B4375,Price_data!A$1:B$190,2,FALSE))</f>
        <v>0</v>
      </c>
      <c r="S4375" s="4" t="str">
        <f>(VLOOKUP(B4375,Price_data!A$1:C$190,3,FALSE))</f>
        <v>EEZ</v>
      </c>
      <c r="T4375" s="2" t="str">
        <f>IF(C4375="Total", (VLOOKUP(B4375,Recommended_fish_intake!A$4:D$122,4,FALSE)), "NA")</f>
        <v>NA</v>
      </c>
      <c r="U4375" s="2" t="str">
        <f t="shared" si="398"/>
        <v>NA</v>
      </c>
    </row>
    <row r="4376" spans="1:21" ht="14.25" customHeight="1">
      <c r="A4376" s="2" t="s">
        <v>91</v>
      </c>
      <c r="B4376" s="2">
        <v>2011</v>
      </c>
      <c r="C4376" s="2" t="s">
        <v>34</v>
      </c>
      <c r="D4376" s="2">
        <v>0.22</v>
      </c>
      <c r="E4376" s="2">
        <v>2.2269999999999999</v>
      </c>
      <c r="P4376" s="3">
        <f>E4376*(VLOOKUP(B4376,Price_data!A$1:B$190,2,FALSE))</f>
        <v>1.6125227420003998</v>
      </c>
      <c r="Q4376" s="3">
        <f>G4376*(VLOOKUP(B4376,Price_data!A$1:B$190,2,FALSE))</f>
        <v>0</v>
      </c>
      <c r="R4376" s="3">
        <f>I4376*(VLOOKUP(B4376,Price_data!A$1:B$190,2,FALSE))</f>
        <v>0</v>
      </c>
      <c r="S4376" s="4" t="str">
        <f>(VLOOKUP(B4376,Price_data!A$1:C$190,3,FALSE))</f>
        <v>EEZ</v>
      </c>
      <c r="T4376" s="2" t="str">
        <f>IF(C4376="Total", (VLOOKUP(B4376,Recommended_fish_intake!A$4:D$122,4,FALSE)), "NA")</f>
        <v>NA</v>
      </c>
      <c r="U4376" s="2" t="str">
        <f t="shared" si="398"/>
        <v>NA</v>
      </c>
    </row>
    <row r="4377" spans="1:21" ht="14.25" customHeight="1">
      <c r="A4377" s="2" t="s">
        <v>91</v>
      </c>
      <c r="B4377" s="2">
        <v>2011</v>
      </c>
      <c r="C4377" s="2" t="s">
        <v>35</v>
      </c>
      <c r="D4377" s="2">
        <v>6.0000000000000001E-3</v>
      </c>
      <c r="E4377" s="2">
        <v>3.2000000000000001E-2</v>
      </c>
      <c r="P4377" s="3">
        <f>E4377*(VLOOKUP(B4377,Price_data!A$1:B$190,2,FALSE))</f>
        <v>2.31705108864E-2</v>
      </c>
      <c r="Q4377" s="3">
        <f>G4377*(VLOOKUP(B4377,Price_data!A$1:B$190,2,FALSE))</f>
        <v>0</v>
      </c>
      <c r="R4377" s="3">
        <f>I4377*(VLOOKUP(B4377,Price_data!A$1:B$190,2,FALSE))</f>
        <v>0</v>
      </c>
      <c r="S4377" s="4" t="str">
        <f>(VLOOKUP(B4377,Price_data!A$1:C$190,3,FALSE))</f>
        <v>EEZ</v>
      </c>
      <c r="T4377" s="2" t="str">
        <f>IF(C4377="Total", (VLOOKUP(B4377,Recommended_fish_intake!A$4:D$122,4,FALSE)), "NA")</f>
        <v>NA</v>
      </c>
      <c r="U4377" s="2" t="str">
        <f t="shared" si="398"/>
        <v>NA</v>
      </c>
    </row>
    <row r="4378" spans="1:21" ht="14.25" customHeight="1">
      <c r="A4378" s="2" t="s">
        <v>91</v>
      </c>
      <c r="B4378" s="2">
        <v>2011</v>
      </c>
      <c r="C4378" s="2" t="s">
        <v>52</v>
      </c>
      <c r="D4378" s="2">
        <v>4.3380000000000001</v>
      </c>
      <c r="E4378" s="2">
        <v>4.99</v>
      </c>
      <c r="P4378" s="3">
        <f>E4378*(VLOOKUP(B4378,Price_data!A$1:B$190,2,FALSE))</f>
        <v>3.613151541348</v>
      </c>
      <c r="Q4378" s="3">
        <f>G4378*(VLOOKUP(B4378,Price_data!A$1:B$190,2,FALSE))</f>
        <v>0</v>
      </c>
      <c r="R4378" s="3">
        <f>I4378*(VLOOKUP(B4378,Price_data!A$1:B$190,2,FALSE))</f>
        <v>0</v>
      </c>
      <c r="S4378" s="4" t="str">
        <f>(VLOOKUP(B4378,Price_data!A$1:C$190,3,FALSE))</f>
        <v>EEZ</v>
      </c>
      <c r="T4378" s="2" t="str">
        <f>IF(C4378="Total", (VLOOKUP(B4378,Recommended_fish_intake!A$4:D$122,4,FALSE)), "NA")</f>
        <v>NA</v>
      </c>
      <c r="U4378" s="2" t="str">
        <f t="shared" si="398"/>
        <v>NA</v>
      </c>
    </row>
    <row r="4379" spans="1:21" ht="14.25" customHeight="1">
      <c r="A4379" s="2" t="s">
        <v>91</v>
      </c>
      <c r="B4379" s="2">
        <v>2011</v>
      </c>
      <c r="C4379" s="2" t="s">
        <v>30</v>
      </c>
      <c r="D4379" s="2">
        <v>0</v>
      </c>
      <c r="E4379" s="2">
        <v>3.0000000000000001E-3</v>
      </c>
      <c r="P4379" s="3">
        <f>E4379*(VLOOKUP(B4379,Price_data!A$1:B$190,2,FALSE))</f>
        <v>2.1722353956E-3</v>
      </c>
      <c r="Q4379" s="3">
        <f>G4379*(VLOOKUP(B4379,Price_data!A$1:B$190,2,FALSE))</f>
        <v>0</v>
      </c>
      <c r="R4379" s="3">
        <f>I4379*(VLOOKUP(B4379,Price_data!A$1:B$190,2,FALSE))</f>
        <v>0</v>
      </c>
      <c r="S4379" s="4" t="str">
        <f>(VLOOKUP(B4379,Price_data!A$1:C$190,3,FALSE))</f>
        <v>EEZ</v>
      </c>
      <c r="T4379" s="2" t="str">
        <f>IF(C4379="Total", (VLOOKUP(B4379,Recommended_fish_intake!A$4:D$122,4,FALSE)), "NA")</f>
        <v>NA</v>
      </c>
      <c r="U4379" s="2" t="str">
        <f t="shared" si="398"/>
        <v>NA</v>
      </c>
    </row>
    <row r="4380" spans="1:21" ht="14.25" customHeight="1">
      <c r="A4380" s="2" t="s">
        <v>91</v>
      </c>
      <c r="B4380" s="2">
        <v>2011</v>
      </c>
      <c r="C4380" s="2" t="s">
        <v>28</v>
      </c>
      <c r="D4380" s="2">
        <v>10.579000000000001</v>
      </c>
      <c r="E4380" s="2">
        <v>11.39</v>
      </c>
      <c r="P4380" s="3">
        <f>E4380*(VLOOKUP(B4380,Price_data!A$1:B$190,2,FALSE))</f>
        <v>8.2472537186280004</v>
      </c>
      <c r="Q4380" s="3">
        <f>G4380*(VLOOKUP(B4380,Price_data!A$1:B$190,2,FALSE))</f>
        <v>0</v>
      </c>
      <c r="R4380" s="3">
        <f>I4380*(VLOOKUP(B4380,Price_data!A$1:B$190,2,FALSE))</f>
        <v>0</v>
      </c>
      <c r="S4380" s="4" t="str">
        <f>(VLOOKUP(B4380,Price_data!A$1:C$190,3,FALSE))</f>
        <v>EEZ</v>
      </c>
      <c r="T4380" s="2" t="str">
        <f>IF(C4380="Total", (VLOOKUP(B4380,Recommended_fish_intake!A$4:D$122,4,FALSE)), "NA")</f>
        <v>NA</v>
      </c>
      <c r="U4380" s="2">
        <f t="shared" si="398"/>
        <v>2.9621200000000005</v>
      </c>
    </row>
    <row r="4381" spans="1:21" ht="14.25" customHeight="1">
      <c r="A4381" s="2" t="s">
        <v>39</v>
      </c>
      <c r="B4381" s="2">
        <v>2011</v>
      </c>
      <c r="C4381" s="2" t="s">
        <v>22</v>
      </c>
      <c r="D4381" s="2">
        <v>10.994999999999999</v>
      </c>
      <c r="E4381" s="2">
        <v>24.161999999999999</v>
      </c>
      <c r="P4381" s="3">
        <f>E4381*(VLOOKUP(B4381,Price_data!A$1:B$190,2,FALSE))</f>
        <v>17.495183876162397</v>
      </c>
      <c r="Q4381" s="3">
        <f>G4381*(VLOOKUP(B4381,Price_data!A$1:B$190,2,FALSE))</f>
        <v>0</v>
      </c>
      <c r="R4381" s="3">
        <f>I4381*(VLOOKUP(B4381,Price_data!A$1:B$190,2,FALSE))</f>
        <v>0</v>
      </c>
      <c r="S4381" s="4" t="str">
        <f>(VLOOKUP(B4381,Price_data!A$1:C$190,3,FALSE))</f>
        <v>EEZ</v>
      </c>
      <c r="T4381" s="2" t="str">
        <f>IF(C4381="Total", (VLOOKUP(B4381,Recommended_fish_intake!A$4:D$122,4,FALSE)), "NA")</f>
        <v>NA</v>
      </c>
      <c r="U4381" s="2" t="str">
        <f t="shared" si="398"/>
        <v>NA</v>
      </c>
    </row>
    <row r="4382" spans="1:21" ht="14.25" customHeight="1">
      <c r="A4382" s="2" t="s">
        <v>39</v>
      </c>
      <c r="B4382" s="2">
        <v>2011</v>
      </c>
      <c r="C4382" s="2" t="s">
        <v>23</v>
      </c>
      <c r="D4382" s="2">
        <v>25.538</v>
      </c>
      <c r="E4382" s="2">
        <v>31.774999999999999</v>
      </c>
      <c r="P4382" s="3">
        <f>E4382*(VLOOKUP(B4382,Price_data!A$1:B$190,2,FALSE))</f>
        <v>23.007593231729999</v>
      </c>
      <c r="Q4382" s="3">
        <f>G4382*(VLOOKUP(B4382,Price_data!A$1:B$190,2,FALSE))</f>
        <v>0</v>
      </c>
      <c r="R4382" s="3">
        <f>I4382*(VLOOKUP(B4382,Price_data!A$1:B$190,2,FALSE))</f>
        <v>0</v>
      </c>
      <c r="S4382" s="4" t="str">
        <f>(VLOOKUP(B4382,Price_data!A$1:C$190,3,FALSE))</f>
        <v>EEZ</v>
      </c>
      <c r="T4382" s="2" t="str">
        <f>IF(C4382="Total", (VLOOKUP(B4382,Recommended_fish_intake!A$4:D$122,4,FALSE)), "NA")</f>
        <v>NA</v>
      </c>
      <c r="U4382" s="2" t="str">
        <f t="shared" si="398"/>
        <v>NA</v>
      </c>
    </row>
    <row r="4383" spans="1:21" ht="14.25" customHeight="1">
      <c r="A4383" s="2" t="s">
        <v>39</v>
      </c>
      <c r="B4383" s="2">
        <v>2011</v>
      </c>
      <c r="C4383" s="2" t="s">
        <v>53</v>
      </c>
      <c r="D4383" s="2">
        <v>6.0640000000000001</v>
      </c>
      <c r="E4383" s="2">
        <v>11.365</v>
      </c>
      <c r="P4383" s="3">
        <f>E4383*(VLOOKUP(B4383,Price_data!A$1:B$190,2,FALSE))</f>
        <v>8.2291517569980002</v>
      </c>
      <c r="Q4383" s="3">
        <f>G4383*(VLOOKUP(B4383,Price_data!A$1:B$190,2,FALSE))</f>
        <v>0</v>
      </c>
      <c r="R4383" s="3">
        <f>I4383*(VLOOKUP(B4383,Price_data!A$1:B$190,2,FALSE))</f>
        <v>0</v>
      </c>
      <c r="S4383" s="4" t="str">
        <f>(VLOOKUP(B4383,Price_data!A$1:C$190,3,FALSE))</f>
        <v>EEZ</v>
      </c>
      <c r="T4383" s="2" t="str">
        <f>IF(C4383="Total", (VLOOKUP(B4383,Recommended_fish_intake!A$4:D$122,4,FALSE)), "NA")</f>
        <v>NA</v>
      </c>
      <c r="U4383" s="2" t="str">
        <f t="shared" si="398"/>
        <v>NA</v>
      </c>
    </row>
    <row r="4384" spans="1:21" ht="14.25" customHeight="1">
      <c r="A4384" s="2" t="s">
        <v>39</v>
      </c>
      <c r="B4384" s="2">
        <v>2011</v>
      </c>
      <c r="C4384" s="2" t="s">
        <v>58</v>
      </c>
      <c r="D4384" s="2">
        <v>7.9420000000000002</v>
      </c>
      <c r="E4384" s="2">
        <v>27.593</v>
      </c>
      <c r="P4384" s="3">
        <f>E4384*(VLOOKUP(B4384,Price_data!A$1:B$190,2,FALSE))</f>
        <v>19.9794970902636</v>
      </c>
      <c r="Q4384" s="3">
        <f>G4384*(VLOOKUP(B4384,Price_data!A$1:B$190,2,FALSE))</f>
        <v>0</v>
      </c>
      <c r="R4384" s="3">
        <f>I4384*(VLOOKUP(B4384,Price_data!A$1:B$190,2,FALSE))</f>
        <v>0</v>
      </c>
      <c r="S4384" s="4" t="str">
        <f>(VLOOKUP(B4384,Price_data!A$1:C$190,3,FALSE))</f>
        <v>EEZ</v>
      </c>
      <c r="T4384" s="2" t="str">
        <f>IF(C4384="Total", (VLOOKUP(B4384,Recommended_fish_intake!A$4:D$122,4,FALSE)), "NA")</f>
        <v>NA</v>
      </c>
      <c r="U4384" s="2" t="str">
        <f t="shared" si="398"/>
        <v>NA</v>
      </c>
    </row>
    <row r="4385" spans="1:21" ht="14.25" customHeight="1">
      <c r="A4385" s="2" t="s">
        <v>39</v>
      </c>
      <c r="B4385" s="2">
        <v>2011</v>
      </c>
      <c r="C4385" s="2" t="s">
        <v>38</v>
      </c>
      <c r="D4385" s="2">
        <v>12.484999999999999</v>
      </c>
      <c r="E4385" s="2">
        <v>13.147</v>
      </c>
      <c r="P4385" s="3">
        <f>E4385*(VLOOKUP(B4385,Price_data!A$1:B$190,2,FALSE))</f>
        <v>9.5194595819843997</v>
      </c>
      <c r="Q4385" s="3">
        <f>G4385*(VLOOKUP(B4385,Price_data!A$1:B$190,2,FALSE))</f>
        <v>0</v>
      </c>
      <c r="R4385" s="3">
        <f>I4385*(VLOOKUP(B4385,Price_data!A$1:B$190,2,FALSE))</f>
        <v>0</v>
      </c>
      <c r="S4385" s="4" t="str">
        <f>(VLOOKUP(B4385,Price_data!A$1:C$190,3,FALSE))</f>
        <v>EEZ</v>
      </c>
      <c r="T4385" s="2" t="str">
        <f>IF(C4385="Total", (VLOOKUP(B4385,Recommended_fish_intake!A$4:D$122,4,FALSE)), "NA")</f>
        <v>NA</v>
      </c>
      <c r="U4385" s="2" t="str">
        <f t="shared" si="398"/>
        <v>NA</v>
      </c>
    </row>
    <row r="4386" spans="1:21" ht="14.25" customHeight="1">
      <c r="A4386" s="2" t="s">
        <v>39</v>
      </c>
      <c r="B4386" s="2">
        <v>2011</v>
      </c>
      <c r="C4386" s="2" t="s">
        <v>63</v>
      </c>
      <c r="D4386" s="2">
        <v>3.0000000000000001E-3</v>
      </c>
      <c r="E4386" s="2">
        <v>2.4E-2</v>
      </c>
      <c r="P4386" s="3">
        <f>E4386*(VLOOKUP(B4386,Price_data!A$1:B$190,2,FALSE))</f>
        <v>1.73778831648E-2</v>
      </c>
      <c r="Q4386" s="3">
        <f>G4386*(VLOOKUP(B4386,Price_data!A$1:B$190,2,FALSE))</f>
        <v>0</v>
      </c>
      <c r="R4386" s="3">
        <f>I4386*(VLOOKUP(B4386,Price_data!A$1:B$190,2,FALSE))</f>
        <v>0</v>
      </c>
      <c r="S4386" s="4" t="str">
        <f>(VLOOKUP(B4386,Price_data!A$1:C$190,3,FALSE))</f>
        <v>EEZ</v>
      </c>
      <c r="T4386" s="2" t="str">
        <f>IF(C4386="Total", (VLOOKUP(B4386,Recommended_fish_intake!A$4:D$122,4,FALSE)), "NA")</f>
        <v>NA</v>
      </c>
      <c r="U4386" s="2" t="str">
        <f t="shared" si="398"/>
        <v>NA</v>
      </c>
    </row>
    <row r="4387" spans="1:21" ht="14.25" customHeight="1">
      <c r="A4387" s="2" t="s">
        <v>39</v>
      </c>
      <c r="B4387" s="2">
        <v>2011</v>
      </c>
      <c r="C4387" s="2" t="s">
        <v>24</v>
      </c>
      <c r="D4387" s="2">
        <v>7.9240000000000004</v>
      </c>
      <c r="E4387" s="2">
        <v>9.7829999999999995</v>
      </c>
      <c r="P4387" s="3">
        <f>E4387*(VLOOKUP(B4387,Price_data!A$1:B$190,2,FALSE))</f>
        <v>7.0836596250515989</v>
      </c>
      <c r="Q4387" s="3">
        <f>G4387*(VLOOKUP(B4387,Price_data!A$1:B$190,2,FALSE))</f>
        <v>0</v>
      </c>
      <c r="R4387" s="3">
        <f>I4387*(VLOOKUP(B4387,Price_data!A$1:B$190,2,FALSE))</f>
        <v>0</v>
      </c>
      <c r="S4387" s="4" t="str">
        <f>(VLOOKUP(B4387,Price_data!A$1:C$190,3,FALSE))</f>
        <v>EEZ</v>
      </c>
      <c r="T4387" s="2" t="str">
        <f>IF(C4387="Total", (VLOOKUP(B4387,Recommended_fish_intake!A$4:D$122,4,FALSE)), "NA")</f>
        <v>NA</v>
      </c>
      <c r="U4387" s="2" t="str">
        <f t="shared" si="398"/>
        <v>NA</v>
      </c>
    </row>
    <row r="4388" spans="1:21" ht="14.25" customHeight="1">
      <c r="A4388" s="2" t="s">
        <v>39</v>
      </c>
      <c r="B4388" s="2">
        <v>2011</v>
      </c>
      <c r="C4388" s="2" t="s">
        <v>41</v>
      </c>
      <c r="D4388" s="2">
        <v>81.521000000000001</v>
      </c>
      <c r="E4388" s="2">
        <v>138.80699999999999</v>
      </c>
      <c r="P4388" s="3">
        <f>E4388*(VLOOKUP(B4388,Price_data!A$1:B$190,2,FALSE))</f>
        <v>100.50715951901638</v>
      </c>
      <c r="Q4388" s="3">
        <f>G4388*(VLOOKUP(B4388,Price_data!A$1:B$190,2,FALSE))</f>
        <v>0</v>
      </c>
      <c r="R4388" s="3">
        <f>I4388*(VLOOKUP(B4388,Price_data!A$1:B$190,2,FALSE))</f>
        <v>0</v>
      </c>
      <c r="S4388" s="4" t="str">
        <f>(VLOOKUP(B4388,Price_data!A$1:C$190,3,FALSE))</f>
        <v>EEZ</v>
      </c>
      <c r="T4388" s="2" t="str">
        <f>IF(C4388="Total", (VLOOKUP(B4388,Recommended_fish_intake!A$4:D$122,4,FALSE)), "NA")</f>
        <v>NA</v>
      </c>
      <c r="U4388" s="2" t="str">
        <f t="shared" si="398"/>
        <v>NA</v>
      </c>
    </row>
    <row r="4389" spans="1:21" ht="14.25" customHeight="1">
      <c r="A4389" s="2" t="s">
        <v>39</v>
      </c>
      <c r="B4389" s="2">
        <v>2011</v>
      </c>
      <c r="C4389" s="2" t="s">
        <v>19</v>
      </c>
      <c r="D4389" s="2">
        <v>25.326000000000001</v>
      </c>
      <c r="E4389" s="2">
        <v>12.794</v>
      </c>
      <c r="P4389" s="3">
        <f>E4389*(VLOOKUP(B4389,Price_data!A$1:B$190,2,FALSE))</f>
        <v>9.2638598837688004</v>
      </c>
      <c r="Q4389" s="3">
        <f>G4389*(VLOOKUP(B4389,Price_data!A$1:B$190,2,FALSE))</f>
        <v>0</v>
      </c>
      <c r="R4389" s="3">
        <f>I4389*(VLOOKUP(B4389,Price_data!A$1:B$190,2,FALSE))</f>
        <v>0</v>
      </c>
      <c r="S4389" s="4" t="str">
        <f>(VLOOKUP(B4389,Price_data!A$1:C$190,3,FALSE))</f>
        <v>EEZ</v>
      </c>
      <c r="T4389" s="2" t="str">
        <f>IF(C4389="Total", (VLOOKUP(B4389,Recommended_fish_intake!A$4:D$122,4,FALSE)), "NA")</f>
        <v>NA</v>
      </c>
      <c r="U4389" s="2" t="str">
        <f t="shared" si="398"/>
        <v>NA</v>
      </c>
    </row>
    <row r="4390" spans="1:21" ht="14.25" customHeight="1">
      <c r="A4390" s="2" t="s">
        <v>39</v>
      </c>
      <c r="B4390" s="2">
        <v>2011</v>
      </c>
      <c r="C4390" s="2" t="s">
        <v>20</v>
      </c>
      <c r="D4390" s="2">
        <v>89.141999999999996</v>
      </c>
      <c r="E4390" s="2">
        <v>101.64</v>
      </c>
      <c r="P4390" s="3">
        <f>E4390*(VLOOKUP(B4390,Price_data!A$1:B$190,2,FALSE))</f>
        <v>73.595335202927998</v>
      </c>
      <c r="Q4390" s="3">
        <f>G4390*(VLOOKUP(B4390,Price_data!A$1:B$190,2,FALSE))</f>
        <v>0</v>
      </c>
      <c r="R4390" s="3">
        <f>I4390*(VLOOKUP(B4390,Price_data!A$1:B$190,2,FALSE))</f>
        <v>0</v>
      </c>
      <c r="S4390" s="4" t="str">
        <f>(VLOOKUP(B4390,Price_data!A$1:C$190,3,FALSE))</f>
        <v>EEZ</v>
      </c>
      <c r="T4390" s="2" t="str">
        <f>IF(C4390="Total", (VLOOKUP(B4390,Recommended_fish_intake!A$4:D$122,4,FALSE)), "NA")</f>
        <v>NA</v>
      </c>
      <c r="U4390" s="2" t="str">
        <f t="shared" si="398"/>
        <v>NA</v>
      </c>
    </row>
    <row r="4391" spans="1:21" ht="14.25" customHeight="1">
      <c r="A4391" s="2" t="s">
        <v>39</v>
      </c>
      <c r="B4391" s="2">
        <v>2011</v>
      </c>
      <c r="C4391" s="2" t="s">
        <v>42</v>
      </c>
      <c r="D4391" s="2">
        <v>118.51600000000001</v>
      </c>
      <c r="E4391" s="2">
        <v>116.328</v>
      </c>
      <c r="P4391" s="3">
        <f>E4391*(VLOOKUP(B4391,Price_data!A$1:B$190,2,FALSE))</f>
        <v>84.2305996997856</v>
      </c>
      <c r="Q4391" s="3">
        <f>G4391*(VLOOKUP(B4391,Price_data!A$1:B$190,2,FALSE))</f>
        <v>0</v>
      </c>
      <c r="R4391" s="3">
        <f>I4391*(VLOOKUP(B4391,Price_data!A$1:B$190,2,FALSE))</f>
        <v>0</v>
      </c>
      <c r="S4391" s="4" t="str">
        <f>(VLOOKUP(B4391,Price_data!A$1:C$190,3,FALSE))</f>
        <v>EEZ</v>
      </c>
      <c r="T4391" s="2" t="str">
        <f>IF(C4391="Total", (VLOOKUP(B4391,Recommended_fish_intake!A$4:D$122,4,FALSE)), "NA")</f>
        <v>NA</v>
      </c>
      <c r="U4391" s="2" t="str">
        <f t="shared" si="398"/>
        <v>NA</v>
      </c>
    </row>
    <row r="4392" spans="1:21" ht="14.25" customHeight="1">
      <c r="A4392" s="2" t="s">
        <v>39</v>
      </c>
      <c r="B4392" s="2">
        <v>2011</v>
      </c>
      <c r="C4392" s="2" t="s">
        <v>36</v>
      </c>
      <c r="D4392" s="2">
        <v>14.397</v>
      </c>
      <c r="E4392" s="2">
        <v>20.314</v>
      </c>
      <c r="P4392" s="3">
        <f>E4392*(VLOOKUP(B4392,Price_data!A$1:B$190,2,FALSE))</f>
        <v>14.7089299420728</v>
      </c>
      <c r="Q4392" s="3">
        <f>G4392*(VLOOKUP(B4392,Price_data!A$1:B$190,2,FALSE))</f>
        <v>0</v>
      </c>
      <c r="R4392" s="3">
        <f>I4392*(VLOOKUP(B4392,Price_data!A$1:B$190,2,FALSE))</f>
        <v>0</v>
      </c>
      <c r="S4392" s="4" t="str">
        <f>(VLOOKUP(B4392,Price_data!A$1:C$190,3,FALSE))</f>
        <v>EEZ</v>
      </c>
      <c r="T4392" s="2" t="str">
        <f>IF(C4392="Total", (VLOOKUP(B4392,Recommended_fish_intake!A$4:D$122,4,FALSE)), "NA")</f>
        <v>NA</v>
      </c>
      <c r="U4392" s="2" t="str">
        <f t="shared" si="398"/>
        <v>NA</v>
      </c>
    </row>
    <row r="4393" spans="1:21" ht="14.25" customHeight="1">
      <c r="A4393" s="2" t="s">
        <v>39</v>
      </c>
      <c r="B4393" s="2">
        <v>2011</v>
      </c>
      <c r="C4393" s="2" t="s">
        <v>34</v>
      </c>
      <c r="D4393" s="2">
        <v>1.24</v>
      </c>
      <c r="E4393" s="2">
        <v>13.161</v>
      </c>
      <c r="P4393" s="3">
        <f>E4393*(VLOOKUP(B4393,Price_data!A$1:B$190,2,FALSE))</f>
        <v>9.5295966804971997</v>
      </c>
      <c r="Q4393" s="3">
        <f>G4393*(VLOOKUP(B4393,Price_data!A$1:B$190,2,FALSE))</f>
        <v>0</v>
      </c>
      <c r="R4393" s="3">
        <f>I4393*(VLOOKUP(B4393,Price_data!A$1:B$190,2,FALSE))</f>
        <v>0</v>
      </c>
      <c r="S4393" s="4" t="str">
        <f>(VLOOKUP(B4393,Price_data!A$1:C$190,3,FALSE))</f>
        <v>EEZ</v>
      </c>
      <c r="T4393" s="2" t="str">
        <f>IF(C4393="Total", (VLOOKUP(B4393,Recommended_fish_intake!A$4:D$122,4,FALSE)), "NA")</f>
        <v>NA</v>
      </c>
      <c r="U4393" s="2" t="str">
        <f t="shared" si="398"/>
        <v>NA</v>
      </c>
    </row>
    <row r="4394" spans="1:21" ht="14.25" customHeight="1">
      <c r="A4394" s="2" t="s">
        <v>39</v>
      </c>
      <c r="B4394" s="2">
        <v>2011</v>
      </c>
      <c r="C4394" s="2" t="s">
        <v>35</v>
      </c>
      <c r="D4394" s="2">
        <v>24.343</v>
      </c>
      <c r="E4394" s="2">
        <v>86.688999999999993</v>
      </c>
      <c r="P4394" s="3">
        <f>E4394*(VLOOKUP(B4394,Price_data!A$1:B$190,2,FALSE))</f>
        <v>62.769638069722795</v>
      </c>
      <c r="Q4394" s="3">
        <f>G4394*(VLOOKUP(B4394,Price_data!A$1:B$190,2,FALSE))</f>
        <v>0</v>
      </c>
      <c r="R4394" s="3">
        <f>I4394*(VLOOKUP(B4394,Price_data!A$1:B$190,2,FALSE))</f>
        <v>0</v>
      </c>
      <c r="S4394" s="4" t="str">
        <f>(VLOOKUP(B4394,Price_data!A$1:C$190,3,FALSE))</f>
        <v>EEZ</v>
      </c>
      <c r="T4394" s="2" t="str">
        <f>IF(C4394="Total", (VLOOKUP(B4394,Recommended_fish_intake!A$4:D$122,4,FALSE)), "NA")</f>
        <v>NA</v>
      </c>
      <c r="U4394" s="2" t="str">
        <f t="shared" si="398"/>
        <v>NA</v>
      </c>
    </row>
    <row r="4395" spans="1:21" ht="14.25" customHeight="1">
      <c r="A4395" s="2" t="s">
        <v>39</v>
      </c>
      <c r="B4395" s="2">
        <v>2011</v>
      </c>
      <c r="C4395" s="2" t="s">
        <v>52</v>
      </c>
      <c r="D4395" s="2">
        <v>17.152999999999999</v>
      </c>
      <c r="E4395" s="2">
        <v>19.425000000000001</v>
      </c>
      <c r="P4395" s="3">
        <f>E4395*(VLOOKUP(B4395,Price_data!A$1:B$190,2,FALSE))</f>
        <v>14.065224186509999</v>
      </c>
      <c r="Q4395" s="3">
        <f>G4395*(VLOOKUP(B4395,Price_data!A$1:B$190,2,FALSE))</f>
        <v>0</v>
      </c>
      <c r="R4395" s="3">
        <f>I4395*(VLOOKUP(B4395,Price_data!A$1:B$190,2,FALSE))</f>
        <v>0</v>
      </c>
      <c r="S4395" s="4" t="str">
        <f>(VLOOKUP(B4395,Price_data!A$1:C$190,3,FALSE))</f>
        <v>EEZ</v>
      </c>
      <c r="T4395" s="2" t="str">
        <f>IF(C4395="Total", (VLOOKUP(B4395,Recommended_fish_intake!A$4:D$122,4,FALSE)), "NA")</f>
        <v>NA</v>
      </c>
      <c r="U4395" s="2" t="str">
        <f t="shared" si="398"/>
        <v>NA</v>
      </c>
    </row>
    <row r="4396" spans="1:21" ht="14.25" customHeight="1">
      <c r="A4396" s="2" t="s">
        <v>39</v>
      </c>
      <c r="B4396" s="2">
        <v>2011</v>
      </c>
      <c r="C4396" s="2" t="s">
        <v>30</v>
      </c>
      <c r="D4396" s="2">
        <v>0</v>
      </c>
      <c r="E4396" s="2">
        <v>7.0000000000000001E-3</v>
      </c>
      <c r="P4396" s="3">
        <f>E4396*(VLOOKUP(B4396,Price_data!A$1:B$190,2,FALSE))</f>
        <v>5.0685492563999996E-3</v>
      </c>
      <c r="Q4396" s="3">
        <f>G4396*(VLOOKUP(B4396,Price_data!A$1:B$190,2,FALSE))</f>
        <v>0</v>
      </c>
      <c r="R4396" s="3">
        <f>I4396*(VLOOKUP(B4396,Price_data!A$1:B$190,2,FALSE))</f>
        <v>0</v>
      </c>
      <c r="S4396" s="4" t="str">
        <f>(VLOOKUP(B4396,Price_data!A$1:C$190,3,FALSE))</f>
        <v>EEZ</v>
      </c>
      <c r="T4396" s="2" t="str">
        <f>IF(C4396="Total", (VLOOKUP(B4396,Recommended_fish_intake!A$4:D$122,4,FALSE)), "NA")</f>
        <v>NA</v>
      </c>
      <c r="U4396" s="2" t="str">
        <f t="shared" si="398"/>
        <v>NA</v>
      </c>
    </row>
    <row r="4397" spans="1:21" ht="14.25" customHeight="1">
      <c r="A4397" s="2" t="s">
        <v>39</v>
      </c>
      <c r="B4397" s="2">
        <v>2011</v>
      </c>
      <c r="C4397" s="2" t="s">
        <v>28</v>
      </c>
      <c r="D4397" s="2">
        <v>60.515000000000001</v>
      </c>
      <c r="E4397" s="2">
        <v>150.69499999999999</v>
      </c>
      <c r="P4397" s="3">
        <f>E4397*(VLOOKUP(B4397,Price_data!A$1:B$190,2,FALSE))</f>
        <v>109.11500431331399</v>
      </c>
      <c r="Q4397" s="3">
        <f>G4397*(VLOOKUP(B4397,Price_data!A$1:B$190,2,FALSE))</f>
        <v>0</v>
      </c>
      <c r="R4397" s="3">
        <f>I4397*(VLOOKUP(B4397,Price_data!A$1:B$190,2,FALSE))</f>
        <v>0</v>
      </c>
      <c r="S4397" s="4" t="str">
        <f>(VLOOKUP(B4397,Price_data!A$1:C$190,3,FALSE))</f>
        <v>EEZ</v>
      </c>
      <c r="T4397" s="2" t="str">
        <f>IF(C4397="Total", (VLOOKUP(B4397,Recommended_fish_intake!A$4:D$122,4,FALSE)), "NA")</f>
        <v>NA</v>
      </c>
      <c r="U4397" s="2">
        <f t="shared" si="398"/>
        <v>16.944200000000002</v>
      </c>
    </row>
    <row r="4398" spans="1:21" ht="14.25" customHeight="1">
      <c r="A4398" s="2" t="s">
        <v>40</v>
      </c>
      <c r="B4398" s="2">
        <v>2011</v>
      </c>
      <c r="C4398" s="2" t="s">
        <v>22</v>
      </c>
      <c r="D4398" s="2">
        <v>0.156</v>
      </c>
      <c r="E4398" s="2">
        <v>0.34300000000000003</v>
      </c>
      <c r="P4398" s="3">
        <f>E4398*(VLOOKUP(B4398,Price_data!A$1:B$190,2,FALSE))</f>
        <v>0.24835891356360001</v>
      </c>
      <c r="Q4398" s="3">
        <f>G4398*(VLOOKUP(B4398,Price_data!A$1:B$190,2,FALSE))</f>
        <v>0</v>
      </c>
      <c r="R4398" s="3">
        <f>I4398*(VLOOKUP(B4398,Price_data!A$1:B$190,2,FALSE))</f>
        <v>0</v>
      </c>
      <c r="S4398" s="4" t="str">
        <f>(VLOOKUP(B4398,Price_data!A$1:C$190,3,FALSE))</f>
        <v>EEZ</v>
      </c>
      <c r="T4398" s="2" t="str">
        <f>IF(C4398="Total", (VLOOKUP(B4398,Recommended_fish_intake!A$4:D$122,4,FALSE)), "NA")</f>
        <v>NA</v>
      </c>
      <c r="U4398" s="2" t="str">
        <f t="shared" si="398"/>
        <v>NA</v>
      </c>
    </row>
    <row r="4399" spans="1:21" ht="14.25" customHeight="1">
      <c r="A4399" s="2" t="s">
        <v>40</v>
      </c>
      <c r="B4399" s="2">
        <v>2011</v>
      </c>
      <c r="C4399" s="2" t="s">
        <v>23</v>
      </c>
      <c r="D4399" s="2">
        <v>0.309</v>
      </c>
      <c r="E4399" s="2">
        <v>0.33500000000000002</v>
      </c>
      <c r="P4399" s="3">
        <f>E4399*(VLOOKUP(B4399,Price_data!A$1:B$190,2,FALSE))</f>
        <v>0.24256628584199999</v>
      </c>
      <c r="Q4399" s="3">
        <f>G4399*(VLOOKUP(B4399,Price_data!A$1:B$190,2,FALSE))</f>
        <v>0</v>
      </c>
      <c r="R4399" s="3">
        <f>I4399*(VLOOKUP(B4399,Price_data!A$1:B$190,2,FALSE))</f>
        <v>0</v>
      </c>
      <c r="S4399" s="4" t="str">
        <f>(VLOOKUP(B4399,Price_data!A$1:C$190,3,FALSE))</f>
        <v>EEZ</v>
      </c>
      <c r="T4399" s="2" t="str">
        <f>IF(C4399="Total", (VLOOKUP(B4399,Recommended_fish_intake!A$4:D$122,4,FALSE)), "NA")</f>
        <v>NA</v>
      </c>
      <c r="U4399" s="2" t="str">
        <f t="shared" si="398"/>
        <v>NA</v>
      </c>
    </row>
    <row r="4400" spans="1:21" ht="14.25" customHeight="1">
      <c r="A4400" s="2" t="s">
        <v>40</v>
      </c>
      <c r="B4400" s="2">
        <v>2011</v>
      </c>
      <c r="C4400" s="2" t="s">
        <v>53</v>
      </c>
      <c r="D4400" s="2">
        <v>9.5000000000000001E-2</v>
      </c>
      <c r="E4400" s="2">
        <v>0.218</v>
      </c>
      <c r="P4400" s="3">
        <f>E4400*(VLOOKUP(B4400,Price_data!A$1:B$190,2,FALSE))</f>
        <v>0.1578491054136</v>
      </c>
      <c r="Q4400" s="3">
        <f>G4400*(VLOOKUP(B4400,Price_data!A$1:B$190,2,FALSE))</f>
        <v>0</v>
      </c>
      <c r="R4400" s="3">
        <f>I4400*(VLOOKUP(B4400,Price_data!A$1:B$190,2,FALSE))</f>
        <v>0</v>
      </c>
      <c r="S4400" s="4" t="str">
        <f>(VLOOKUP(B4400,Price_data!A$1:C$190,3,FALSE))</f>
        <v>EEZ</v>
      </c>
      <c r="T4400" s="2" t="str">
        <f>IF(C4400="Total", (VLOOKUP(B4400,Recommended_fish_intake!A$4:D$122,4,FALSE)), "NA")</f>
        <v>NA</v>
      </c>
      <c r="U4400" s="2" t="str">
        <f t="shared" si="398"/>
        <v>NA</v>
      </c>
    </row>
    <row r="4401" spans="1:21" ht="14.25" customHeight="1">
      <c r="A4401" s="2" t="s">
        <v>40</v>
      </c>
      <c r="B4401" s="2">
        <v>2011</v>
      </c>
      <c r="C4401" s="2" t="s">
        <v>58</v>
      </c>
      <c r="D4401" s="2">
        <v>9.6000000000000002E-2</v>
      </c>
      <c r="E4401" s="2">
        <v>0.27800000000000002</v>
      </c>
      <c r="P4401" s="3">
        <f>E4401*(VLOOKUP(B4401,Price_data!A$1:B$190,2,FALSE))</f>
        <v>0.20129381332560001</v>
      </c>
      <c r="Q4401" s="3">
        <f>G4401*(VLOOKUP(B4401,Price_data!A$1:B$190,2,FALSE))</f>
        <v>0</v>
      </c>
      <c r="R4401" s="3">
        <f>I4401*(VLOOKUP(B4401,Price_data!A$1:B$190,2,FALSE))</f>
        <v>0</v>
      </c>
      <c r="S4401" s="4" t="str">
        <f>(VLOOKUP(B4401,Price_data!A$1:C$190,3,FALSE))</f>
        <v>EEZ</v>
      </c>
      <c r="T4401" s="2" t="str">
        <f>IF(C4401="Total", (VLOOKUP(B4401,Recommended_fish_intake!A$4:D$122,4,FALSE)), "NA")</f>
        <v>NA</v>
      </c>
      <c r="U4401" s="2" t="str">
        <f t="shared" si="398"/>
        <v>NA</v>
      </c>
    </row>
    <row r="4402" spans="1:21" ht="14.25" customHeight="1">
      <c r="A4402" s="2" t="s">
        <v>40</v>
      </c>
      <c r="B4402" s="2">
        <v>2011</v>
      </c>
      <c r="C4402" s="2" t="s">
        <v>38</v>
      </c>
      <c r="D4402" s="2">
        <v>2E-3</v>
      </c>
      <c r="E4402" s="2">
        <v>2E-3</v>
      </c>
      <c r="P4402" s="3">
        <f>E4402*(VLOOKUP(B4402,Price_data!A$1:B$190,2,FALSE))</f>
        <v>1.4481569304E-3</v>
      </c>
      <c r="Q4402" s="3">
        <f>G4402*(VLOOKUP(B4402,Price_data!A$1:B$190,2,FALSE))</f>
        <v>0</v>
      </c>
      <c r="R4402" s="3">
        <f>I4402*(VLOOKUP(B4402,Price_data!A$1:B$190,2,FALSE))</f>
        <v>0</v>
      </c>
      <c r="S4402" s="4" t="str">
        <f>(VLOOKUP(B4402,Price_data!A$1:C$190,3,FALSE))</f>
        <v>EEZ</v>
      </c>
      <c r="T4402" s="2" t="str">
        <f>IF(C4402="Total", (VLOOKUP(B4402,Recommended_fish_intake!A$4:D$122,4,FALSE)), "NA")</f>
        <v>NA</v>
      </c>
      <c r="U4402" s="2" t="str">
        <f t="shared" si="398"/>
        <v>NA</v>
      </c>
    </row>
    <row r="4403" spans="1:21" ht="14.25" customHeight="1">
      <c r="A4403" s="2" t="s">
        <v>40</v>
      </c>
      <c r="B4403" s="2">
        <v>2011</v>
      </c>
      <c r="C4403" s="2" t="s">
        <v>63</v>
      </c>
      <c r="D4403" s="2">
        <v>8.0000000000000002E-3</v>
      </c>
      <c r="E4403" s="2">
        <v>4.9000000000000002E-2</v>
      </c>
      <c r="P4403" s="3">
        <f>E4403*(VLOOKUP(B4403,Price_data!A$1:B$190,2,FALSE))</f>
        <v>3.54798447948E-2</v>
      </c>
      <c r="Q4403" s="3">
        <f>G4403*(VLOOKUP(B4403,Price_data!A$1:B$190,2,FALSE))</f>
        <v>0</v>
      </c>
      <c r="R4403" s="3">
        <f>I4403*(VLOOKUP(B4403,Price_data!A$1:B$190,2,FALSE))</f>
        <v>0</v>
      </c>
      <c r="S4403" s="4" t="str">
        <f>(VLOOKUP(B4403,Price_data!A$1:C$190,3,FALSE))</f>
        <v>EEZ</v>
      </c>
      <c r="T4403" s="2" t="str">
        <f>IF(C4403="Total", (VLOOKUP(B4403,Recommended_fish_intake!A$4:D$122,4,FALSE)), "NA")</f>
        <v>NA</v>
      </c>
      <c r="U4403" s="2" t="str">
        <f t="shared" si="398"/>
        <v>NA</v>
      </c>
    </row>
    <row r="4404" spans="1:21" ht="14.25" customHeight="1">
      <c r="A4404" s="2" t="s">
        <v>40</v>
      </c>
      <c r="B4404" s="2">
        <v>2011</v>
      </c>
      <c r="C4404" s="2" t="s">
        <v>24</v>
      </c>
      <c r="D4404" s="2">
        <v>1.2E-2</v>
      </c>
      <c r="E4404" s="2">
        <v>1.0999999999999999E-2</v>
      </c>
      <c r="P4404" s="3">
        <f>E4404*(VLOOKUP(B4404,Price_data!A$1:B$190,2,FALSE))</f>
        <v>7.9648631171999988E-3</v>
      </c>
      <c r="Q4404" s="3">
        <f>G4404*(VLOOKUP(B4404,Price_data!A$1:B$190,2,FALSE))</f>
        <v>0</v>
      </c>
      <c r="R4404" s="3">
        <f>I4404*(VLOOKUP(B4404,Price_data!A$1:B$190,2,FALSE))</f>
        <v>0</v>
      </c>
      <c r="S4404" s="4" t="str">
        <f>(VLOOKUP(B4404,Price_data!A$1:C$190,3,FALSE))</f>
        <v>EEZ</v>
      </c>
      <c r="T4404" s="2" t="str">
        <f>IF(C4404="Total", (VLOOKUP(B4404,Recommended_fish_intake!A$4:D$122,4,FALSE)), "NA")</f>
        <v>NA</v>
      </c>
      <c r="U4404" s="2" t="str">
        <f t="shared" si="398"/>
        <v>NA</v>
      </c>
    </row>
    <row r="4405" spans="1:21" ht="14.25" customHeight="1">
      <c r="A4405" s="2" t="s">
        <v>40</v>
      </c>
      <c r="B4405" s="2">
        <v>2011</v>
      </c>
      <c r="C4405" s="2" t="s">
        <v>41</v>
      </c>
      <c r="D4405" s="2">
        <v>1.103</v>
      </c>
      <c r="E4405" s="2">
        <v>1.724</v>
      </c>
      <c r="P4405" s="3">
        <f>E4405*(VLOOKUP(B4405,Price_data!A$1:B$190,2,FALSE))</f>
        <v>1.2483112740047999</v>
      </c>
      <c r="Q4405" s="3">
        <f>G4405*(VLOOKUP(B4405,Price_data!A$1:B$190,2,FALSE))</f>
        <v>0</v>
      </c>
      <c r="R4405" s="3">
        <f>I4405*(VLOOKUP(B4405,Price_data!A$1:B$190,2,FALSE))</f>
        <v>0</v>
      </c>
      <c r="S4405" s="4" t="str">
        <f>(VLOOKUP(B4405,Price_data!A$1:C$190,3,FALSE))</f>
        <v>EEZ</v>
      </c>
      <c r="T4405" s="2" t="str">
        <f>IF(C4405="Total", (VLOOKUP(B4405,Recommended_fish_intake!A$4:D$122,4,FALSE)), "NA")</f>
        <v>NA</v>
      </c>
      <c r="U4405" s="2" t="str">
        <f t="shared" si="398"/>
        <v>NA</v>
      </c>
    </row>
    <row r="4406" spans="1:21" ht="14.25" customHeight="1">
      <c r="A4406" s="2" t="s">
        <v>40</v>
      </c>
      <c r="B4406" s="2">
        <v>2011</v>
      </c>
      <c r="C4406" s="2" t="s">
        <v>19</v>
      </c>
      <c r="D4406" s="2">
        <v>4.7279999999999998</v>
      </c>
      <c r="E4406" s="2">
        <v>2.0990000000000002</v>
      </c>
      <c r="P4406" s="3">
        <f>E4406*(VLOOKUP(B4406,Price_data!A$1:B$190,2,FALSE))</f>
        <v>1.5198406984548001</v>
      </c>
      <c r="Q4406" s="3">
        <f>G4406*(VLOOKUP(B4406,Price_data!A$1:B$190,2,FALSE))</f>
        <v>0</v>
      </c>
      <c r="R4406" s="3">
        <f>I4406*(VLOOKUP(B4406,Price_data!A$1:B$190,2,FALSE))</f>
        <v>0</v>
      </c>
      <c r="S4406" s="4" t="str">
        <f>(VLOOKUP(B4406,Price_data!A$1:C$190,3,FALSE))</f>
        <v>EEZ</v>
      </c>
      <c r="T4406" s="2" t="str">
        <f>IF(C4406="Total", (VLOOKUP(B4406,Recommended_fish_intake!A$4:D$122,4,FALSE)), "NA")</f>
        <v>NA</v>
      </c>
      <c r="U4406" s="2" t="str">
        <f t="shared" si="398"/>
        <v>NA</v>
      </c>
    </row>
    <row r="4407" spans="1:21" ht="14.25" customHeight="1">
      <c r="A4407" s="2" t="s">
        <v>40</v>
      </c>
      <c r="B4407" s="2">
        <v>2011</v>
      </c>
      <c r="C4407" s="2" t="s">
        <v>20</v>
      </c>
      <c r="D4407" s="2">
        <v>2.48</v>
      </c>
      <c r="E4407" s="2">
        <v>2.4630000000000001</v>
      </c>
      <c r="P4407" s="3">
        <f>E4407*(VLOOKUP(B4407,Price_data!A$1:B$190,2,FALSE))</f>
        <v>1.7834052597876</v>
      </c>
      <c r="Q4407" s="3">
        <f>G4407*(VLOOKUP(B4407,Price_data!A$1:B$190,2,FALSE))</f>
        <v>0</v>
      </c>
      <c r="R4407" s="3">
        <f>I4407*(VLOOKUP(B4407,Price_data!A$1:B$190,2,FALSE))</f>
        <v>0</v>
      </c>
      <c r="S4407" s="4" t="str">
        <f>(VLOOKUP(B4407,Price_data!A$1:C$190,3,FALSE))</f>
        <v>EEZ</v>
      </c>
      <c r="T4407" s="2" t="str">
        <f>IF(C4407="Total", (VLOOKUP(B4407,Recommended_fish_intake!A$4:D$122,4,FALSE)), "NA")</f>
        <v>NA</v>
      </c>
      <c r="U4407" s="2" t="str">
        <f t="shared" si="398"/>
        <v>NA</v>
      </c>
    </row>
    <row r="4408" spans="1:21" ht="14.25" customHeight="1">
      <c r="A4408" s="2" t="s">
        <v>40</v>
      </c>
      <c r="B4408" s="2">
        <v>2011</v>
      </c>
      <c r="C4408" s="2" t="s">
        <v>42</v>
      </c>
      <c r="D4408" s="2">
        <v>7.5590000000000002</v>
      </c>
      <c r="E4408" s="2">
        <v>4.66</v>
      </c>
      <c r="P4408" s="3">
        <f>E4408*(VLOOKUP(B4408,Price_data!A$1:B$190,2,FALSE))</f>
        <v>3.3742056478319999</v>
      </c>
      <c r="Q4408" s="3">
        <f>G4408*(VLOOKUP(B4408,Price_data!A$1:B$190,2,FALSE))</f>
        <v>0</v>
      </c>
      <c r="R4408" s="3">
        <f>I4408*(VLOOKUP(B4408,Price_data!A$1:B$190,2,FALSE))</f>
        <v>0</v>
      </c>
      <c r="S4408" s="4" t="str">
        <f>(VLOOKUP(B4408,Price_data!A$1:C$190,3,FALSE))</f>
        <v>EEZ</v>
      </c>
      <c r="T4408" s="2" t="str">
        <f>IF(C4408="Total", (VLOOKUP(B4408,Recommended_fish_intake!A$4:D$122,4,FALSE)), "NA")</f>
        <v>NA</v>
      </c>
      <c r="U4408" s="2" t="str">
        <f t="shared" si="398"/>
        <v>NA</v>
      </c>
    </row>
    <row r="4409" spans="1:21" ht="14.25" customHeight="1">
      <c r="A4409" s="2" t="s">
        <v>40</v>
      </c>
      <c r="B4409" s="2">
        <v>2011</v>
      </c>
      <c r="C4409" s="2" t="s">
        <v>36</v>
      </c>
      <c r="D4409" s="2">
        <v>1.45</v>
      </c>
      <c r="E4409" s="2">
        <v>1.264</v>
      </c>
      <c r="P4409" s="3">
        <f>E4409*(VLOOKUP(B4409,Price_data!A$1:B$190,2,FALSE))</f>
        <v>0.91523518001280002</v>
      </c>
      <c r="Q4409" s="3">
        <f>G4409*(VLOOKUP(B4409,Price_data!A$1:B$190,2,FALSE))</f>
        <v>0</v>
      </c>
      <c r="R4409" s="3">
        <f>I4409*(VLOOKUP(B4409,Price_data!A$1:B$190,2,FALSE))</f>
        <v>0</v>
      </c>
      <c r="S4409" s="4" t="str">
        <f>(VLOOKUP(B4409,Price_data!A$1:C$190,3,FALSE))</f>
        <v>EEZ</v>
      </c>
      <c r="T4409" s="2" t="str">
        <f>IF(C4409="Total", (VLOOKUP(B4409,Recommended_fish_intake!A$4:D$122,4,FALSE)), "NA")</f>
        <v>NA</v>
      </c>
      <c r="U4409" s="2" t="str">
        <f t="shared" si="398"/>
        <v>NA</v>
      </c>
    </row>
    <row r="4410" spans="1:21" ht="14.25" customHeight="1">
      <c r="A4410" s="2" t="s">
        <v>40</v>
      </c>
      <c r="B4410" s="2">
        <v>2011</v>
      </c>
      <c r="C4410" s="2" t="s">
        <v>34</v>
      </c>
      <c r="D4410" s="2">
        <v>6.8000000000000005E-2</v>
      </c>
      <c r="E4410" s="2">
        <v>0.68200000000000005</v>
      </c>
      <c r="P4410" s="3">
        <f>E4410*(VLOOKUP(B4410,Price_data!A$1:B$190,2,FALSE))</f>
        <v>0.4938215132664</v>
      </c>
      <c r="Q4410" s="3">
        <f>G4410*(VLOOKUP(B4410,Price_data!A$1:B$190,2,FALSE))</f>
        <v>0</v>
      </c>
      <c r="R4410" s="3">
        <f>I4410*(VLOOKUP(B4410,Price_data!A$1:B$190,2,FALSE))</f>
        <v>0</v>
      </c>
      <c r="S4410" s="4" t="str">
        <f>(VLOOKUP(B4410,Price_data!A$1:C$190,3,FALSE))</f>
        <v>EEZ</v>
      </c>
      <c r="T4410" s="2" t="str">
        <f>IF(C4410="Total", (VLOOKUP(B4410,Recommended_fish_intake!A$4:D$122,4,FALSE)), "NA")</f>
        <v>NA</v>
      </c>
      <c r="U4410" s="2" t="str">
        <f t="shared" si="398"/>
        <v>NA</v>
      </c>
    </row>
    <row r="4411" spans="1:21" ht="14.25" customHeight="1">
      <c r="A4411" s="2" t="s">
        <v>40</v>
      </c>
      <c r="B4411" s="2">
        <v>2011</v>
      </c>
      <c r="C4411" s="2" t="s">
        <v>35</v>
      </c>
      <c r="D4411" s="2">
        <v>7.23</v>
      </c>
      <c r="E4411" s="2">
        <v>15.356</v>
      </c>
      <c r="P4411" s="3">
        <f>E4411*(VLOOKUP(B4411,Price_data!A$1:B$190,2,FALSE))</f>
        <v>11.118948911611199</v>
      </c>
      <c r="Q4411" s="3">
        <f>G4411*(VLOOKUP(B4411,Price_data!A$1:B$190,2,FALSE))</f>
        <v>0</v>
      </c>
      <c r="R4411" s="3">
        <f>I4411*(VLOOKUP(B4411,Price_data!A$1:B$190,2,FALSE))</f>
        <v>0</v>
      </c>
      <c r="S4411" s="4" t="str">
        <f>(VLOOKUP(B4411,Price_data!A$1:C$190,3,FALSE))</f>
        <v>EEZ</v>
      </c>
      <c r="T4411" s="2" t="str">
        <f>IF(C4411="Total", (VLOOKUP(B4411,Recommended_fish_intake!A$4:D$122,4,FALSE)), "NA")</f>
        <v>NA</v>
      </c>
      <c r="U4411" s="2" t="str">
        <f t="shared" si="398"/>
        <v>NA</v>
      </c>
    </row>
    <row r="4412" spans="1:21" ht="14.25" customHeight="1">
      <c r="A4412" s="2" t="s">
        <v>40</v>
      </c>
      <c r="B4412" s="2">
        <v>2011</v>
      </c>
      <c r="C4412" s="2" t="s">
        <v>52</v>
      </c>
      <c r="D4412" s="2">
        <v>4.1660000000000004</v>
      </c>
      <c r="E4412" s="2">
        <v>2.867</v>
      </c>
      <c r="P4412" s="3">
        <f>E4412*(VLOOKUP(B4412,Price_data!A$1:B$190,2,FALSE))</f>
        <v>2.0759329597283998</v>
      </c>
      <c r="Q4412" s="3">
        <f>G4412*(VLOOKUP(B4412,Price_data!A$1:B$190,2,FALSE))</f>
        <v>0</v>
      </c>
      <c r="R4412" s="3">
        <f>I4412*(VLOOKUP(B4412,Price_data!A$1:B$190,2,FALSE))</f>
        <v>0</v>
      </c>
      <c r="S4412" s="4" t="str">
        <f>(VLOOKUP(B4412,Price_data!A$1:C$190,3,FALSE))</f>
        <v>EEZ</v>
      </c>
      <c r="T4412" s="2" t="str">
        <f>IF(C4412="Total", (VLOOKUP(B4412,Recommended_fish_intake!A$4:D$122,4,FALSE)), "NA")</f>
        <v>NA</v>
      </c>
      <c r="U4412" s="2" t="str">
        <f t="shared" si="398"/>
        <v>NA</v>
      </c>
    </row>
    <row r="4413" spans="1:21" ht="14.25" customHeight="1">
      <c r="A4413" s="2" t="s">
        <v>40</v>
      </c>
      <c r="B4413" s="2">
        <v>2011</v>
      </c>
      <c r="C4413" s="2" t="s">
        <v>30</v>
      </c>
      <c r="D4413" s="2">
        <v>4.0000000000000001E-3</v>
      </c>
      <c r="E4413" s="2">
        <v>5.3999999999999999E-2</v>
      </c>
      <c r="P4413" s="3">
        <f>E4413*(VLOOKUP(B4413,Price_data!A$1:B$190,2,FALSE))</f>
        <v>3.9100237120799998E-2</v>
      </c>
      <c r="Q4413" s="3">
        <f>G4413*(VLOOKUP(B4413,Price_data!A$1:B$190,2,FALSE))</f>
        <v>0</v>
      </c>
      <c r="R4413" s="3">
        <f>I4413*(VLOOKUP(B4413,Price_data!A$1:B$190,2,FALSE))</f>
        <v>0</v>
      </c>
      <c r="S4413" s="4" t="str">
        <f>(VLOOKUP(B4413,Price_data!A$1:C$190,3,FALSE))</f>
        <v>EEZ</v>
      </c>
      <c r="T4413" s="2" t="str">
        <f>IF(C4413="Total", (VLOOKUP(B4413,Recommended_fish_intake!A$4:D$122,4,FALSE)), "NA")</f>
        <v>NA</v>
      </c>
      <c r="U4413" s="2" t="str">
        <f t="shared" si="398"/>
        <v>NA</v>
      </c>
    </row>
    <row r="4414" spans="1:21" ht="14.25" customHeight="1">
      <c r="A4414" s="2" t="s">
        <v>40</v>
      </c>
      <c r="B4414" s="2">
        <v>2011</v>
      </c>
      <c r="C4414" s="2" t="s">
        <v>28</v>
      </c>
      <c r="D4414" s="2">
        <v>13.513</v>
      </c>
      <c r="E4414" s="2">
        <v>20.882000000000001</v>
      </c>
      <c r="P4414" s="3">
        <f>E4414*(VLOOKUP(B4414,Price_data!A$1:B$190,2,FALSE))</f>
        <v>15.120206510306401</v>
      </c>
      <c r="Q4414" s="3">
        <f>G4414*(VLOOKUP(B4414,Price_data!A$1:B$190,2,FALSE))</f>
        <v>0</v>
      </c>
      <c r="R4414" s="3">
        <f>I4414*(VLOOKUP(B4414,Price_data!A$1:B$190,2,FALSE))</f>
        <v>0</v>
      </c>
      <c r="S4414" s="4" t="str">
        <f>(VLOOKUP(B4414,Price_data!A$1:C$190,3,FALSE))</f>
        <v>EEZ</v>
      </c>
      <c r="T4414" s="2" t="str">
        <f>IF(C4414="Total", (VLOOKUP(B4414,Recommended_fish_intake!A$4:D$122,4,FALSE)), "NA")</f>
        <v>NA</v>
      </c>
      <c r="U4414" s="2">
        <f t="shared" si="398"/>
        <v>3.7836400000000001</v>
      </c>
    </row>
    <row r="4415" spans="1:21" ht="14.25" customHeight="1">
      <c r="A4415" s="2" t="s">
        <v>40</v>
      </c>
      <c r="B4415" s="2">
        <v>2011</v>
      </c>
      <c r="C4415" s="2" t="s">
        <v>37</v>
      </c>
      <c r="D4415" s="3" t="e">
        <f>D3112+D3127</f>
        <v>#N/A</v>
      </c>
      <c r="E4415" s="3" t="e">
        <f>E3112+E3127</f>
        <v>#N/A</v>
      </c>
      <c r="P4415" s="3" t="e">
        <f>E4415*(VLOOKUP(B4415,Price_data!A$1:B$190,2,FALSE))</f>
        <v>#N/A</v>
      </c>
      <c r="Q4415" s="3">
        <f>G4415*(VLOOKUP(B4415,Price_data!A$1:B$190,2,FALSE))</f>
        <v>0</v>
      </c>
      <c r="R4415" s="3">
        <f>I4415*(VLOOKUP(B4415,Price_data!A$1:B$190,2,FALSE))</f>
        <v>0</v>
      </c>
      <c r="S4415" s="4" t="str">
        <f>(VLOOKUP(B4415,Price_data!A$1:C$190,3,FALSE))</f>
        <v>EEZ</v>
      </c>
      <c r="T4415" s="2" t="str">
        <f>IF(C4415="Total", (VLOOKUP(B4415,Recommended_fish_intake!A$4:D$122,4,FALSE)), "NA")</f>
        <v>NA</v>
      </c>
      <c r="U4415" s="2" t="e">
        <f t="shared" si="398"/>
        <v>#N/A</v>
      </c>
    </row>
    <row r="4416" spans="1:21" ht="14.25" customHeight="1">
      <c r="A4416" s="2" t="s">
        <v>39</v>
      </c>
      <c r="B4416" s="2">
        <v>2011</v>
      </c>
      <c r="C4416" s="2" t="s">
        <v>37</v>
      </c>
      <c r="D4416" s="3" t="e">
        <f>D3018+D3033</f>
        <v>#N/A</v>
      </c>
      <c r="E4416" s="3" t="e">
        <f>E3018+E3033</f>
        <v>#N/A</v>
      </c>
      <c r="P4416" s="3" t="e">
        <f>E4416*(VLOOKUP(B4416,Price_data!A$1:B$190,2,FALSE))</f>
        <v>#N/A</v>
      </c>
      <c r="Q4416" s="3">
        <f>G4416*(VLOOKUP(B4416,Price_data!A$1:B$190,2,FALSE))</f>
        <v>0</v>
      </c>
      <c r="R4416" s="3">
        <f>I4416*(VLOOKUP(B4416,Price_data!A$1:B$190,2,FALSE))</f>
        <v>0</v>
      </c>
      <c r="S4416" s="4" t="str">
        <f>(VLOOKUP(B4416,Price_data!A$1:C$190,3,FALSE))</f>
        <v>EEZ</v>
      </c>
      <c r="T4416" s="2" t="str">
        <f>IF(C4416="Total", (VLOOKUP(B4416,Recommended_fish_intake!A$4:D$122,4,FALSE)), "NA")</f>
        <v>NA</v>
      </c>
      <c r="U4416" s="2" t="e">
        <f t="shared" si="398"/>
        <v>#N/A</v>
      </c>
    </row>
    <row r="4417" spans="1:21" ht="14.25" customHeight="1">
      <c r="A4417" s="2" t="s">
        <v>18</v>
      </c>
      <c r="B4417" s="2">
        <v>2011</v>
      </c>
      <c r="C4417" s="2" t="s">
        <v>22</v>
      </c>
      <c r="D4417" s="3" t="e">
        <f t="shared" ref="D4417:E4433" si="399">D2799+D2889</f>
        <v>#N/A</v>
      </c>
      <c r="E4417" s="3" t="e">
        <f t="shared" si="399"/>
        <v>#N/A</v>
      </c>
      <c r="P4417" s="3" t="e">
        <f>E4417*(VLOOKUP(B4417,Price_data!A$1:B$190,2,FALSE))</f>
        <v>#N/A</v>
      </c>
      <c r="Q4417" s="3">
        <f>G4417*(VLOOKUP(B4417,Price_data!A$1:B$190,2,FALSE))</f>
        <v>0</v>
      </c>
      <c r="R4417" s="3">
        <f>I4417*(VLOOKUP(B4417,Price_data!A$1:B$190,2,FALSE))</f>
        <v>0</v>
      </c>
      <c r="S4417" s="4" t="str">
        <f>(VLOOKUP(B4417,Price_data!A$1:C$190,3,FALSE))</f>
        <v>EEZ</v>
      </c>
      <c r="T4417" s="2" t="str">
        <f>IF(C4417="Total", (VLOOKUP(B4417,Recommended_fish_intake!A$4:D$122,4,FALSE)), "NA")</f>
        <v>NA</v>
      </c>
      <c r="U4417" s="2" t="str">
        <f t="shared" si="398"/>
        <v>NA</v>
      </c>
    </row>
    <row r="4418" spans="1:21" ht="14.25" customHeight="1">
      <c r="A4418" s="2" t="s">
        <v>18</v>
      </c>
      <c r="B4418" s="2">
        <v>2011</v>
      </c>
      <c r="C4418" s="2" t="s">
        <v>23</v>
      </c>
      <c r="D4418" s="3">
        <f t="shared" si="399"/>
        <v>132.441</v>
      </c>
      <c r="E4418" s="3">
        <f t="shared" si="399"/>
        <v>66.337999999999994</v>
      </c>
      <c r="P4418" s="3">
        <f>E4418*(VLOOKUP(B4418,Price_data!A$1:B$190,2,FALSE))</f>
        <v>48.033917224437594</v>
      </c>
      <c r="Q4418" s="3">
        <f>G4418*(VLOOKUP(B4418,Price_data!A$1:B$190,2,FALSE))</f>
        <v>0</v>
      </c>
      <c r="R4418" s="3">
        <f>I4418*(VLOOKUP(B4418,Price_data!A$1:B$190,2,FALSE))</f>
        <v>0</v>
      </c>
      <c r="S4418" s="4" t="str">
        <f>(VLOOKUP(B4418,Price_data!A$1:C$190,3,FALSE))</f>
        <v>EEZ</v>
      </c>
      <c r="T4418" s="2" t="str">
        <f>IF(C4418="Total", (VLOOKUP(B4418,Recommended_fish_intake!A$4:D$122,4,FALSE)), "NA")</f>
        <v>NA</v>
      </c>
      <c r="U4418" s="2" t="str">
        <f t="shared" ref="U4418:U4481" si="400">IF(C4418="Wet fish", D4418*0.49, IF(C4418="Shellfish", D4418*0.28, "NA"))</f>
        <v>NA</v>
      </c>
    </row>
    <row r="4419" spans="1:21" ht="14.25" customHeight="1">
      <c r="A4419" s="2" t="s">
        <v>18</v>
      </c>
      <c r="B4419" s="2">
        <v>2011</v>
      </c>
      <c r="C4419" s="2" t="s">
        <v>53</v>
      </c>
      <c r="D4419" s="3">
        <f t="shared" si="399"/>
        <v>316.05699999999996</v>
      </c>
      <c r="E4419" s="3">
        <f t="shared" si="399"/>
        <v>90.043000000000006</v>
      </c>
      <c r="P4419" s="3">
        <f>E4419*(VLOOKUP(B4419,Price_data!A$1:B$190,2,FALSE))</f>
        <v>65.198197242003602</v>
      </c>
      <c r="Q4419" s="3">
        <f>G4419*(VLOOKUP(B4419,Price_data!A$1:B$190,2,FALSE))</f>
        <v>0</v>
      </c>
      <c r="R4419" s="3">
        <f>I4419*(VLOOKUP(B4419,Price_data!A$1:B$190,2,FALSE))</f>
        <v>0</v>
      </c>
      <c r="S4419" s="4" t="str">
        <f>(VLOOKUP(B4419,Price_data!A$1:C$190,3,FALSE))</f>
        <v>EEZ</v>
      </c>
      <c r="T4419" s="2" t="str">
        <f>IF(C4419="Total", (VLOOKUP(B4419,Recommended_fish_intake!A$4:D$122,4,FALSE)), "NA")</f>
        <v>NA</v>
      </c>
      <c r="U4419" s="2" t="str">
        <f t="shared" si="400"/>
        <v>NA</v>
      </c>
    </row>
    <row r="4420" spans="1:21" ht="14.25" customHeight="1">
      <c r="A4420" s="2" t="s">
        <v>18</v>
      </c>
      <c r="B4420" s="2">
        <v>2011</v>
      </c>
      <c r="C4420" s="2" t="s">
        <v>58</v>
      </c>
      <c r="D4420" s="3">
        <f t="shared" si="399"/>
        <v>708.33699999999999</v>
      </c>
      <c r="E4420" s="3">
        <f t="shared" si="399"/>
        <v>295.06299999999999</v>
      </c>
      <c r="P4420" s="3">
        <f>E4420*(VLOOKUP(B4420,Price_data!A$1:B$190,2,FALSE))</f>
        <v>213.64876417730758</v>
      </c>
      <c r="Q4420" s="3">
        <f>G4420*(VLOOKUP(B4420,Price_data!A$1:B$190,2,FALSE))</f>
        <v>0</v>
      </c>
      <c r="R4420" s="3">
        <f>I4420*(VLOOKUP(B4420,Price_data!A$1:B$190,2,FALSE))</f>
        <v>0</v>
      </c>
      <c r="S4420" s="4" t="str">
        <f>(VLOOKUP(B4420,Price_data!A$1:C$190,3,FALSE))</f>
        <v>EEZ</v>
      </c>
      <c r="T4420" s="2" t="str">
        <f>IF(C4420="Total", (VLOOKUP(B4420,Recommended_fish_intake!A$4:D$122,4,FALSE)), "NA")</f>
        <v>NA</v>
      </c>
      <c r="U4420" s="2" t="str">
        <f t="shared" si="400"/>
        <v>NA</v>
      </c>
    </row>
    <row r="4421" spans="1:21" ht="14.25" customHeight="1">
      <c r="A4421" s="2" t="s">
        <v>18</v>
      </c>
      <c r="B4421" s="2">
        <v>2011</v>
      </c>
      <c r="C4421" s="2" t="s">
        <v>38</v>
      </c>
      <c r="D4421" s="3">
        <f t="shared" si="399"/>
        <v>565.09800000000007</v>
      </c>
      <c r="E4421" s="3">
        <f t="shared" si="399"/>
        <v>200.34599999999998</v>
      </c>
      <c r="P4421" s="3">
        <f>E4421*(VLOOKUP(B4421,Price_data!A$1:B$190,2,FALSE))</f>
        <v>145.06622418895918</v>
      </c>
      <c r="Q4421" s="3">
        <f>G4421*(VLOOKUP(B4421,Price_data!A$1:B$190,2,FALSE))</f>
        <v>0</v>
      </c>
      <c r="R4421" s="3">
        <f>I4421*(VLOOKUP(B4421,Price_data!A$1:B$190,2,FALSE))</f>
        <v>0</v>
      </c>
      <c r="S4421" s="4" t="str">
        <f>(VLOOKUP(B4421,Price_data!A$1:C$190,3,FALSE))</f>
        <v>EEZ</v>
      </c>
      <c r="T4421" s="2" t="str">
        <f>IF(C4421="Total", (VLOOKUP(B4421,Recommended_fish_intake!A$4:D$122,4,FALSE)), "NA")</f>
        <v>NA</v>
      </c>
      <c r="U4421" s="2" t="str">
        <f t="shared" si="400"/>
        <v>NA</v>
      </c>
    </row>
    <row r="4422" spans="1:21" ht="14.25" customHeight="1">
      <c r="A4422" s="2" t="s">
        <v>18</v>
      </c>
      <c r="B4422" s="2">
        <v>2011</v>
      </c>
      <c r="C4422" s="2" t="s">
        <v>63</v>
      </c>
      <c r="D4422" s="3">
        <f t="shared" si="399"/>
        <v>23.266999999999999</v>
      </c>
      <c r="E4422" s="3">
        <f t="shared" si="399"/>
        <v>12.49</v>
      </c>
      <c r="P4422" s="3">
        <f>E4422*(VLOOKUP(B4422,Price_data!A$1:B$190,2,FALSE))</f>
        <v>9.0437400303479993</v>
      </c>
      <c r="Q4422" s="3">
        <f>G4422*(VLOOKUP(B4422,Price_data!A$1:B$190,2,FALSE))</f>
        <v>0</v>
      </c>
      <c r="R4422" s="3">
        <f>I4422*(VLOOKUP(B4422,Price_data!A$1:B$190,2,FALSE))</f>
        <v>0</v>
      </c>
      <c r="S4422" s="4" t="str">
        <f>(VLOOKUP(B4422,Price_data!A$1:C$190,3,FALSE))</f>
        <v>EEZ</v>
      </c>
      <c r="T4422" s="2" t="str">
        <f>IF(C4422="Total", (VLOOKUP(B4422,Recommended_fish_intake!A$4:D$122,4,FALSE)), "NA")</f>
        <v>NA</v>
      </c>
      <c r="U4422" s="2" t="str">
        <f t="shared" si="400"/>
        <v>NA</v>
      </c>
    </row>
    <row r="4423" spans="1:21" ht="14.25" customHeight="1">
      <c r="A4423" s="2" t="s">
        <v>18</v>
      </c>
      <c r="B4423" s="2">
        <v>2011</v>
      </c>
      <c r="C4423" s="2" t="s">
        <v>24</v>
      </c>
      <c r="D4423" s="3">
        <f t="shared" si="399"/>
        <v>835.34799999999996</v>
      </c>
      <c r="E4423" s="3">
        <f t="shared" si="399"/>
        <v>335.947</v>
      </c>
      <c r="P4423" s="3">
        <f>E4423*(VLOOKUP(B4423,Price_data!A$1:B$190,2,FALSE))</f>
        <v>243.2519881485444</v>
      </c>
      <c r="Q4423" s="3">
        <f>G4423*(VLOOKUP(B4423,Price_data!A$1:B$190,2,FALSE))</f>
        <v>0</v>
      </c>
      <c r="R4423" s="3">
        <f>I4423*(VLOOKUP(B4423,Price_data!A$1:B$190,2,FALSE))</f>
        <v>0</v>
      </c>
      <c r="S4423" s="4" t="str">
        <f>(VLOOKUP(B4423,Price_data!A$1:C$190,3,FALSE))</f>
        <v>EEZ</v>
      </c>
      <c r="T4423" s="2" t="str">
        <f>IF(C4423="Total", (VLOOKUP(B4423,Recommended_fish_intake!A$4:D$122,4,FALSE)), "NA")</f>
        <v>NA</v>
      </c>
      <c r="U4423" s="2" t="str">
        <f t="shared" si="400"/>
        <v>NA</v>
      </c>
    </row>
    <row r="4424" spans="1:21" ht="14.25" customHeight="1">
      <c r="A4424" s="2" t="s">
        <v>18</v>
      </c>
      <c r="B4424" s="2">
        <v>2011</v>
      </c>
      <c r="C4424" s="2" t="s">
        <v>41</v>
      </c>
      <c r="D4424" s="3" t="e">
        <f t="shared" si="399"/>
        <v>#N/A</v>
      </c>
      <c r="E4424" s="3" t="e">
        <f t="shared" si="399"/>
        <v>#N/A</v>
      </c>
      <c r="P4424" s="3" t="e">
        <f>E4424*(VLOOKUP(B4424,Price_data!A$1:B$190,2,FALSE))</f>
        <v>#N/A</v>
      </c>
      <c r="Q4424" s="3">
        <f>G4424*(VLOOKUP(B4424,Price_data!A$1:B$190,2,FALSE))</f>
        <v>0</v>
      </c>
      <c r="R4424" s="3">
        <f>I4424*(VLOOKUP(B4424,Price_data!A$1:B$190,2,FALSE))</f>
        <v>0</v>
      </c>
      <c r="S4424" s="4" t="str">
        <f>(VLOOKUP(B4424,Price_data!A$1:C$190,3,FALSE))</f>
        <v>EEZ</v>
      </c>
      <c r="T4424" s="2" t="str">
        <f>IF(C4424="Total", (VLOOKUP(B4424,Recommended_fish_intake!A$4:D$122,4,FALSE)), "NA")</f>
        <v>NA</v>
      </c>
      <c r="U4424" s="2" t="str">
        <f t="shared" si="400"/>
        <v>NA</v>
      </c>
    </row>
    <row r="4425" spans="1:21" ht="14.25" customHeight="1">
      <c r="A4425" s="2" t="s">
        <v>18</v>
      </c>
      <c r="B4425" s="2">
        <v>2011</v>
      </c>
      <c r="C4425" s="2" t="s">
        <v>19</v>
      </c>
      <c r="D4425" s="3" t="e">
        <f t="shared" si="399"/>
        <v>#N/A</v>
      </c>
      <c r="E4425" s="3" t="e">
        <f t="shared" si="399"/>
        <v>#N/A</v>
      </c>
      <c r="P4425" s="3" t="e">
        <f>E4425*(VLOOKUP(B4425,Price_data!A$1:B$190,2,FALSE))</f>
        <v>#N/A</v>
      </c>
      <c r="Q4425" s="3">
        <f>G4425*(VLOOKUP(B4425,Price_data!A$1:B$190,2,FALSE))</f>
        <v>0</v>
      </c>
      <c r="R4425" s="3">
        <f>I4425*(VLOOKUP(B4425,Price_data!A$1:B$190,2,FALSE))</f>
        <v>0</v>
      </c>
      <c r="S4425" s="4" t="str">
        <f>(VLOOKUP(B4425,Price_data!A$1:C$190,3,FALSE))</f>
        <v>EEZ</v>
      </c>
      <c r="T4425" s="2" t="str">
        <f>IF(C4425="Total", (VLOOKUP(B4425,Recommended_fish_intake!A$4:D$122,4,FALSE)), "NA")</f>
        <v>NA</v>
      </c>
      <c r="U4425" s="2" t="str">
        <f t="shared" si="400"/>
        <v>NA</v>
      </c>
    </row>
    <row r="4426" spans="1:21" ht="14.25" customHeight="1">
      <c r="A4426" s="2" t="s">
        <v>18</v>
      </c>
      <c r="B4426" s="2">
        <v>2011</v>
      </c>
      <c r="C4426" s="2" t="s">
        <v>20</v>
      </c>
      <c r="D4426" s="3">
        <f t="shared" si="399"/>
        <v>257.7</v>
      </c>
      <c r="E4426" s="3">
        <f t="shared" si="399"/>
        <v>212.83100000000002</v>
      </c>
      <c r="P4426" s="3">
        <f>E4426*(VLOOKUP(B4426,Price_data!A$1:B$190,2,FALSE))</f>
        <v>154.1063438269812</v>
      </c>
      <c r="Q4426" s="3">
        <f>G4426*(VLOOKUP(B4426,Price_data!A$1:B$190,2,FALSE))</f>
        <v>0</v>
      </c>
      <c r="R4426" s="3">
        <f>I4426*(VLOOKUP(B4426,Price_data!A$1:B$190,2,FALSE))</f>
        <v>0</v>
      </c>
      <c r="S4426" s="4" t="str">
        <f>(VLOOKUP(B4426,Price_data!A$1:C$190,3,FALSE))</f>
        <v>EEZ</v>
      </c>
      <c r="T4426" s="2" t="str">
        <f>IF(C4426="Total", (VLOOKUP(B4426,Recommended_fish_intake!A$4:D$122,4,FALSE)), "NA")</f>
        <v>NA</v>
      </c>
      <c r="U4426" s="2" t="str">
        <f t="shared" si="400"/>
        <v>NA</v>
      </c>
    </row>
    <row r="4427" spans="1:21" ht="14.25" customHeight="1">
      <c r="A4427" s="2" t="s">
        <v>18</v>
      </c>
      <c r="B4427" s="2">
        <v>2011</v>
      </c>
      <c r="C4427" s="2" t="s">
        <v>42</v>
      </c>
      <c r="D4427" s="3">
        <f t="shared" si="399"/>
        <v>2.6080000000000001</v>
      </c>
      <c r="E4427" s="3">
        <f t="shared" si="399"/>
        <v>2.7049999999999996</v>
      </c>
      <c r="P4427" s="3">
        <f>E4427*(VLOOKUP(B4427,Price_data!A$1:B$190,2,FALSE))</f>
        <v>1.9586322483659997</v>
      </c>
      <c r="Q4427" s="3">
        <f>G4427*(VLOOKUP(B4427,Price_data!A$1:B$190,2,FALSE))</f>
        <v>0</v>
      </c>
      <c r="R4427" s="3">
        <f>I4427*(VLOOKUP(B4427,Price_data!A$1:B$190,2,FALSE))</f>
        <v>0</v>
      </c>
      <c r="S4427" s="4" t="str">
        <f>(VLOOKUP(B4427,Price_data!A$1:C$190,3,FALSE))</f>
        <v>EEZ</v>
      </c>
      <c r="T4427" s="2" t="str">
        <f>IF(C4427="Total", (VLOOKUP(B4427,Recommended_fish_intake!A$4:D$122,4,FALSE)), "NA")</f>
        <v>NA</v>
      </c>
      <c r="U4427" s="2" t="str">
        <f t="shared" si="400"/>
        <v>NA</v>
      </c>
    </row>
    <row r="4428" spans="1:21" ht="14.25" customHeight="1">
      <c r="A4428" s="2" t="s">
        <v>18</v>
      </c>
      <c r="B4428" s="2">
        <v>2011</v>
      </c>
      <c r="C4428" s="2" t="s">
        <v>36</v>
      </c>
      <c r="D4428" s="3">
        <f t="shared" si="399"/>
        <v>488.50599999999997</v>
      </c>
      <c r="E4428" s="3">
        <f t="shared" si="399"/>
        <v>299.03800000000001</v>
      </c>
      <c r="P4428" s="3">
        <f>E4428*(VLOOKUP(B4428,Price_data!A$1:B$190,2,FALSE))</f>
        <v>216.52697607647761</v>
      </c>
      <c r="Q4428" s="3">
        <f>G4428*(VLOOKUP(B4428,Price_data!A$1:B$190,2,FALSE))</f>
        <v>0</v>
      </c>
      <c r="R4428" s="3">
        <f>I4428*(VLOOKUP(B4428,Price_data!A$1:B$190,2,FALSE))</f>
        <v>0</v>
      </c>
      <c r="S4428" s="4" t="str">
        <f>(VLOOKUP(B4428,Price_data!A$1:C$190,3,FALSE))</f>
        <v>EEZ</v>
      </c>
      <c r="T4428" s="2" t="str">
        <f>IF(C4428="Total", (VLOOKUP(B4428,Recommended_fish_intake!A$4:D$122,4,FALSE)), "NA")</f>
        <v>NA</v>
      </c>
      <c r="U4428" s="2" t="str">
        <f t="shared" si="400"/>
        <v>NA</v>
      </c>
    </row>
    <row r="4429" spans="1:21" ht="14.25" customHeight="1">
      <c r="A4429" s="2" t="s">
        <v>18</v>
      </c>
      <c r="B4429" s="2">
        <v>2011</v>
      </c>
      <c r="C4429" s="2" t="s">
        <v>34</v>
      </c>
      <c r="D4429" s="3">
        <f t="shared" si="399"/>
        <v>19.078000000000003</v>
      </c>
      <c r="E4429" s="3">
        <f t="shared" si="399"/>
        <v>16.272000000000002</v>
      </c>
      <c r="P4429" s="3">
        <f>E4429*(VLOOKUP(B4429,Price_data!A$1:B$190,2,FALSE))</f>
        <v>11.7822047857344</v>
      </c>
      <c r="Q4429" s="3">
        <f>G4429*(VLOOKUP(B4429,Price_data!A$1:B$190,2,FALSE))</f>
        <v>0</v>
      </c>
      <c r="R4429" s="3">
        <f>I4429*(VLOOKUP(B4429,Price_data!A$1:B$190,2,FALSE))</f>
        <v>0</v>
      </c>
      <c r="S4429" s="4" t="str">
        <f>(VLOOKUP(B4429,Price_data!A$1:C$190,3,FALSE))</f>
        <v>EEZ</v>
      </c>
      <c r="T4429" s="2" t="str">
        <f>IF(C4429="Total", (VLOOKUP(B4429,Recommended_fish_intake!A$4:D$122,4,FALSE)), "NA")</f>
        <v>NA</v>
      </c>
      <c r="U4429" s="2" t="str">
        <f t="shared" si="400"/>
        <v>NA</v>
      </c>
    </row>
    <row r="4430" spans="1:21" ht="14.25" customHeight="1">
      <c r="A4430" s="2" t="s">
        <v>18</v>
      </c>
      <c r="B4430" s="2">
        <v>2011</v>
      </c>
      <c r="C4430" s="2" t="s">
        <v>35</v>
      </c>
      <c r="D4430" s="3">
        <f t="shared" si="399"/>
        <v>7.7439999999999998</v>
      </c>
      <c r="E4430" s="3">
        <f t="shared" si="399"/>
        <v>2.9329999999999998</v>
      </c>
      <c r="P4430" s="3">
        <f>E4430*(VLOOKUP(B4430,Price_data!A$1:B$190,2,FALSE))</f>
        <v>2.1237221384315998</v>
      </c>
      <c r="Q4430" s="3">
        <f>G4430*(VLOOKUP(B4430,Price_data!A$1:B$190,2,FALSE))</f>
        <v>0</v>
      </c>
      <c r="R4430" s="3">
        <f>I4430*(VLOOKUP(B4430,Price_data!A$1:B$190,2,FALSE))</f>
        <v>0</v>
      </c>
      <c r="S4430" s="4" t="str">
        <f>(VLOOKUP(B4430,Price_data!A$1:C$190,3,FALSE))</f>
        <v>EEZ</v>
      </c>
      <c r="T4430" s="2" t="str">
        <f>IF(C4430="Total", (VLOOKUP(B4430,Recommended_fish_intake!A$4:D$122,4,FALSE)), "NA")</f>
        <v>NA</v>
      </c>
      <c r="U4430" s="2" t="str">
        <f t="shared" si="400"/>
        <v>NA</v>
      </c>
    </row>
    <row r="4431" spans="1:21" ht="14.25" customHeight="1">
      <c r="A4431" s="2" t="s">
        <v>18</v>
      </c>
      <c r="B4431" s="2">
        <v>2011</v>
      </c>
      <c r="C4431" s="2" t="s">
        <v>52</v>
      </c>
      <c r="D4431" s="3">
        <f t="shared" si="399"/>
        <v>735.53499999999997</v>
      </c>
      <c r="E4431" s="3">
        <f t="shared" si="399"/>
        <v>483.822</v>
      </c>
      <c r="P4431" s="3">
        <f>E4431*(VLOOKUP(B4431,Price_data!A$1:B$190,2,FALSE))</f>
        <v>350.3250911899944</v>
      </c>
      <c r="Q4431" s="3">
        <f>G4431*(VLOOKUP(B4431,Price_data!A$1:B$190,2,FALSE))</f>
        <v>0</v>
      </c>
      <c r="R4431" s="3">
        <f>I4431*(VLOOKUP(B4431,Price_data!A$1:B$190,2,FALSE))</f>
        <v>0</v>
      </c>
      <c r="S4431" s="4" t="str">
        <f>(VLOOKUP(B4431,Price_data!A$1:C$190,3,FALSE))</f>
        <v>EEZ</v>
      </c>
      <c r="T4431" s="2" t="str">
        <f>IF(C4431="Total", (VLOOKUP(B4431,Recommended_fish_intake!A$4:D$122,4,FALSE)), "NA")</f>
        <v>NA</v>
      </c>
      <c r="U4431" s="2" t="str">
        <f t="shared" si="400"/>
        <v>NA</v>
      </c>
    </row>
    <row r="4432" spans="1:21" ht="14.25" customHeight="1">
      <c r="A4432" s="2" t="s">
        <v>18</v>
      </c>
      <c r="B4432" s="2">
        <v>2011</v>
      </c>
      <c r="C4432" s="2" t="s">
        <v>30</v>
      </c>
      <c r="D4432" s="3">
        <f t="shared" si="399"/>
        <v>148.16499999999999</v>
      </c>
      <c r="E4432" s="3">
        <f t="shared" si="399"/>
        <v>100.03700000000001</v>
      </c>
      <c r="P4432" s="3">
        <f>E4432*(VLOOKUP(B4432,Price_data!A$1:B$190,2,FALSE))</f>
        <v>72.434637423212408</v>
      </c>
      <c r="Q4432" s="3">
        <f>G4432*(VLOOKUP(B4432,Price_data!A$1:B$190,2,FALSE))</f>
        <v>0</v>
      </c>
      <c r="R4432" s="3">
        <f>I4432*(VLOOKUP(B4432,Price_data!A$1:B$190,2,FALSE))</f>
        <v>0</v>
      </c>
      <c r="S4432" s="4" t="str">
        <f>(VLOOKUP(B4432,Price_data!A$1:C$190,3,FALSE))</f>
        <v>EEZ</v>
      </c>
      <c r="T4432" s="2" t="str">
        <f>IF(C4432="Total", (VLOOKUP(B4432,Recommended_fish_intake!A$4:D$122,4,FALSE)), "NA")</f>
        <v>NA</v>
      </c>
      <c r="U4432" s="2" t="str">
        <f t="shared" si="400"/>
        <v>NA</v>
      </c>
    </row>
    <row r="4433" spans="1:21" ht="14.25" customHeight="1">
      <c r="A4433" s="2" t="s">
        <v>18</v>
      </c>
      <c r="B4433" s="2">
        <v>2011</v>
      </c>
      <c r="C4433" s="2" t="s">
        <v>28</v>
      </c>
      <c r="D4433" s="3">
        <f t="shared" si="399"/>
        <v>407.99</v>
      </c>
      <c r="E4433" s="3">
        <f t="shared" si="399"/>
        <v>87.181000000000012</v>
      </c>
      <c r="P4433" s="3">
        <f>E4433*(VLOOKUP(B4433,Price_data!A$1:B$190,2,FALSE))</f>
        <v>63.125884674601203</v>
      </c>
      <c r="Q4433" s="3">
        <f>G4433*(VLOOKUP(B4433,Price_data!A$1:B$190,2,FALSE))</f>
        <v>0</v>
      </c>
      <c r="R4433" s="3">
        <f>I4433*(VLOOKUP(B4433,Price_data!A$1:B$190,2,FALSE))</f>
        <v>0</v>
      </c>
      <c r="S4433" s="4" t="str">
        <f>(VLOOKUP(B4433,Price_data!A$1:C$190,3,FALSE))</f>
        <v>EEZ</v>
      </c>
      <c r="T4433" s="2" t="str">
        <f>IF(C4433="Total", (VLOOKUP(B4433,Recommended_fish_intake!A$4:D$122,4,FALSE)), "NA")</f>
        <v>NA</v>
      </c>
      <c r="U4433" s="2">
        <f t="shared" si="400"/>
        <v>114.23720000000002</v>
      </c>
    </row>
    <row r="4434" spans="1:21" ht="14.25" customHeight="1">
      <c r="A4434" s="2" t="s">
        <v>18</v>
      </c>
      <c r="B4434" s="2">
        <v>2011</v>
      </c>
      <c r="C4434" s="2" t="s">
        <v>37</v>
      </c>
      <c r="D4434" s="3">
        <f>D4379+D4394</f>
        <v>24.343</v>
      </c>
      <c r="E4434" s="3">
        <f>E4379+E4394</f>
        <v>86.691999999999993</v>
      </c>
      <c r="P4434" s="3">
        <f>E4434*(VLOOKUP(B4434,Price_data!A$1:B$190,2,FALSE))</f>
        <v>62.771810305118393</v>
      </c>
      <c r="Q4434" s="3">
        <f>G4434*(VLOOKUP(B4434,Price_data!A$1:B$190,2,FALSE))</f>
        <v>0</v>
      </c>
      <c r="R4434" s="3">
        <f>I4434*(VLOOKUP(B4434,Price_data!A$1:B$190,2,FALSE))</f>
        <v>0</v>
      </c>
      <c r="S4434" s="4" t="str">
        <f>(VLOOKUP(B4434,Price_data!A$1:C$190,3,FALSE))</f>
        <v>EEZ</v>
      </c>
      <c r="T4434" s="2" t="str">
        <f>IF(C4434="Total", (VLOOKUP(B4434,Recommended_fish_intake!A$4:D$122,4,FALSE)), "NA")</f>
        <v>NA</v>
      </c>
      <c r="U4434" s="2">
        <f t="shared" si="400"/>
        <v>11.92807</v>
      </c>
    </row>
    <row r="4435" spans="1:21" ht="14.25" customHeight="1">
      <c r="A4435" s="2" t="s">
        <v>15</v>
      </c>
      <c r="B4435" s="2">
        <v>2011</v>
      </c>
      <c r="C4435" s="2" t="s">
        <v>60</v>
      </c>
      <c r="D4435" s="2">
        <v>1.9</v>
      </c>
      <c r="E4435" s="2">
        <v>4.4000000000000004</v>
      </c>
      <c r="F4435" s="2">
        <v>2.8</v>
      </c>
      <c r="G4435" s="2">
        <v>8.1</v>
      </c>
      <c r="H4435" s="1">
        <v>28.9</v>
      </c>
      <c r="I4435" s="2">
        <v>55.7</v>
      </c>
      <c r="P4435" s="3">
        <f>E4435*(VLOOKUP(B4435,Price_data!A$1:B$190,2,FALSE))</f>
        <v>3.1859452468800002</v>
      </c>
      <c r="Q4435" s="3">
        <f>G4435*(VLOOKUP(B4435,Price_data!A$1:B$190,2,FALSE))</f>
        <v>5.8650355681199997</v>
      </c>
      <c r="R4435" s="3">
        <f>I4435*(VLOOKUP(B4435,Price_data!A$1:B$190,2,FALSE))</f>
        <v>40.331170511640003</v>
      </c>
      <c r="S4435" s="4" t="str">
        <f>(VLOOKUP(B4435,Price_data!A$1:C$190,3,FALSE))</f>
        <v>EEZ</v>
      </c>
      <c r="T4435" s="2" t="str">
        <f>IF(C4435="Total", (VLOOKUP(B4435,Recommended_fish_intake!A$4:D$122,4,FALSE)), "NA")</f>
        <v>NA</v>
      </c>
      <c r="U4435" s="2" t="str">
        <f t="shared" si="400"/>
        <v>NA</v>
      </c>
    </row>
    <row r="4436" spans="1:21" ht="14.25" customHeight="1">
      <c r="A4436" s="2" t="s">
        <v>15</v>
      </c>
      <c r="B4436" s="2">
        <v>2011</v>
      </c>
      <c r="C4436" s="2" t="s">
        <v>29</v>
      </c>
      <c r="D4436" s="2" t="s">
        <v>17</v>
      </c>
      <c r="E4436" s="2" t="s">
        <v>17</v>
      </c>
      <c r="F4436" s="2">
        <v>95.3</v>
      </c>
      <c r="G4436" s="2">
        <v>485.1</v>
      </c>
      <c r="H4436" s="2">
        <v>62.5</v>
      </c>
      <c r="I4436" s="2">
        <v>275.8</v>
      </c>
      <c r="P4436" s="3" t="e">
        <f>E4436*(VLOOKUP(B4436,Price_data!A$1:B$190,2,FALSE))</f>
        <v>#VALUE!</v>
      </c>
      <c r="Q4436" s="3">
        <f>G4436*(VLOOKUP(B4436,Price_data!A$1:B$190,2,FALSE))</f>
        <v>351.25046346852002</v>
      </c>
      <c r="R4436" s="3">
        <f>I4436*(VLOOKUP(B4436,Price_data!A$1:B$190,2,FALSE))</f>
        <v>199.70084070216001</v>
      </c>
      <c r="S4436" s="4" t="str">
        <f>(VLOOKUP(B4436,Price_data!A$1:C$190,3,FALSE))</f>
        <v>EEZ</v>
      </c>
      <c r="T4436" s="2" t="str">
        <f>IF(C4436="Total", (VLOOKUP(B4436,Recommended_fish_intake!A$4:D$122,4,FALSE)), "NA")</f>
        <v>NA</v>
      </c>
      <c r="U4436" s="2" t="str">
        <f t="shared" si="400"/>
        <v>NA</v>
      </c>
    </row>
    <row r="4437" spans="1:21" ht="14.25" customHeight="1">
      <c r="A4437" s="2" t="s">
        <v>15</v>
      </c>
      <c r="B4437" s="2">
        <v>2011</v>
      </c>
      <c r="C4437" s="2" t="s">
        <v>93</v>
      </c>
      <c r="D4437" s="2">
        <v>3.5</v>
      </c>
      <c r="E4437" s="2">
        <v>0.9</v>
      </c>
      <c r="F4437" s="2">
        <v>7.8</v>
      </c>
      <c r="G4437" s="2">
        <v>8.1999999999999993</v>
      </c>
      <c r="H4437" s="2">
        <v>11.9</v>
      </c>
      <c r="I4437" s="2">
        <v>33.9</v>
      </c>
      <c r="P4437" s="3">
        <f>E4437*(VLOOKUP(B4437,Price_data!A$1:B$190,2,FALSE))</f>
        <v>0.65167061867999998</v>
      </c>
      <c r="Q4437" s="3">
        <f>G4437*(VLOOKUP(B4437,Price_data!A$1:B$190,2,FALSE))</f>
        <v>5.9374434146399988</v>
      </c>
      <c r="R4437" s="3">
        <f>I4437*(VLOOKUP(B4437,Price_data!A$1:B$190,2,FALSE))</f>
        <v>24.546259970279998</v>
      </c>
      <c r="S4437" s="4" t="str">
        <f>(VLOOKUP(B4437,Price_data!A$1:C$190,3,FALSE))</f>
        <v>EEZ</v>
      </c>
      <c r="T4437" s="2" t="str">
        <f>IF(C4437="Total", (VLOOKUP(B4437,Recommended_fish_intake!A$4:D$122,4,FALSE)), "NA")</f>
        <v>NA</v>
      </c>
      <c r="U4437" s="2" t="str">
        <f t="shared" si="400"/>
        <v>NA</v>
      </c>
    </row>
    <row r="4438" spans="1:21" ht="14.25" customHeight="1">
      <c r="A4438" s="2" t="s">
        <v>15</v>
      </c>
      <c r="B4438" s="2">
        <v>2011</v>
      </c>
      <c r="C4438" s="2" t="s">
        <v>43</v>
      </c>
      <c r="D4438" s="2" t="s">
        <v>17</v>
      </c>
      <c r="E4438" s="2" t="s">
        <v>17</v>
      </c>
      <c r="F4438" s="2">
        <v>3.2</v>
      </c>
      <c r="G4438" s="2">
        <v>11.9</v>
      </c>
      <c r="H4438" s="2">
        <v>98</v>
      </c>
      <c r="I4438" s="2">
        <v>268</v>
      </c>
      <c r="P4438" s="3" t="e">
        <f>E4438*(VLOOKUP(B4438,Price_data!A$1:B$190,2,FALSE))</f>
        <v>#VALUE!</v>
      </c>
      <c r="Q4438" s="3">
        <f>G4438*(VLOOKUP(B4438,Price_data!A$1:B$190,2,FALSE))</f>
        <v>8.6165337358799992</v>
      </c>
      <c r="R4438" s="3">
        <f>I4438*(VLOOKUP(B4438,Price_data!A$1:B$190,2,FALSE))</f>
        <v>194.05302867359998</v>
      </c>
      <c r="S4438" s="4" t="str">
        <f>(VLOOKUP(B4438,Price_data!A$1:C$190,3,FALSE))</f>
        <v>EEZ</v>
      </c>
      <c r="T4438" s="2" t="str">
        <f>IF(C4438="Total", (VLOOKUP(B4438,Recommended_fish_intake!A$4:D$122,4,FALSE)), "NA")</f>
        <v>NA</v>
      </c>
      <c r="U4438" s="2" t="str">
        <f t="shared" si="400"/>
        <v>NA</v>
      </c>
    </row>
    <row r="4439" spans="1:21" ht="14.25" customHeight="1">
      <c r="A4439" s="2" t="s">
        <v>15</v>
      </c>
      <c r="B4439" s="2">
        <v>2011</v>
      </c>
      <c r="C4439" s="2" t="s">
        <v>25</v>
      </c>
      <c r="D4439" s="2">
        <v>3</v>
      </c>
      <c r="E4439" s="2">
        <v>3.6</v>
      </c>
      <c r="F4439" s="4">
        <v>0.5</v>
      </c>
      <c r="G4439" s="4">
        <v>0.6</v>
      </c>
      <c r="H4439" s="4">
        <v>4.5</v>
      </c>
      <c r="I4439" s="4">
        <v>15.2</v>
      </c>
      <c r="P4439" s="3">
        <f>E4439*(VLOOKUP(B4439,Price_data!A$1:B$190,2,FALSE))</f>
        <v>2.6066824747199999</v>
      </c>
      <c r="Q4439" s="3">
        <f>G4439*(VLOOKUP(B4439,Price_data!A$1:B$190,2,FALSE))</f>
        <v>0.43444707911999997</v>
      </c>
      <c r="R4439" s="3">
        <f>I4439*(VLOOKUP(B4439,Price_data!A$1:B$190,2,FALSE))</f>
        <v>11.00599267104</v>
      </c>
      <c r="S4439" s="4" t="str">
        <f>(VLOOKUP(B4439,Price_data!A$1:C$190,3,FALSE))</f>
        <v>EEZ</v>
      </c>
      <c r="T4439" s="2" t="str">
        <f>IF(C4439="Total", (VLOOKUP(B4439,Recommended_fish_intake!A$4:D$122,4,FALSE)), "NA")</f>
        <v>NA</v>
      </c>
      <c r="U4439" s="2" t="str">
        <f t="shared" si="400"/>
        <v>NA</v>
      </c>
    </row>
    <row r="4440" spans="1:21" ht="14.25" customHeight="1">
      <c r="A4440" s="2" t="s">
        <v>15</v>
      </c>
      <c r="B4440" s="2">
        <v>2011</v>
      </c>
      <c r="C4440" s="2" t="s">
        <v>16</v>
      </c>
      <c r="D4440" s="2">
        <v>400.2</v>
      </c>
      <c r="E4440" s="2">
        <v>620.79999999999995</v>
      </c>
      <c r="F4440" s="2">
        <v>436.1</v>
      </c>
      <c r="G4440" s="2">
        <v>1463.9</v>
      </c>
      <c r="H4440" s="2">
        <v>720.2</v>
      </c>
      <c r="I4440" s="2">
        <v>2558.6</v>
      </c>
      <c r="P4440" s="3">
        <f>E4440*(VLOOKUP(B4440,Price_data!A$1:B$190,2,FALSE))</f>
        <v>449.50791119615997</v>
      </c>
      <c r="Q4440" s="3">
        <f>G4440*(VLOOKUP(B4440,Price_data!A$1:B$190,2,FALSE))</f>
        <v>1059.9784652062799</v>
      </c>
      <c r="R4440" s="3">
        <f>I4440*(VLOOKUP(B4440,Price_data!A$1:B$190,2,FALSE))</f>
        <v>1852.6271610607198</v>
      </c>
      <c r="S4440" s="4" t="str">
        <f>(VLOOKUP(B4440,Price_data!A$1:C$190,3,FALSE))</f>
        <v>EEZ</v>
      </c>
      <c r="T4440" s="2">
        <f>IF(C4440="Total", (VLOOKUP(B4440,Recommended_fish_intake!A$4:D$122,4,FALSE)), "NA")</f>
        <v>842.8171441817401</v>
      </c>
      <c r="U4440" s="2" t="str">
        <f t="shared" si="400"/>
        <v>NA</v>
      </c>
    </row>
    <row r="4441" spans="1:21" ht="14.25" customHeight="1">
      <c r="A4441" s="2" t="s">
        <v>90</v>
      </c>
      <c r="B4441" s="2">
        <v>2011</v>
      </c>
      <c r="C4441" s="2" t="s">
        <v>16</v>
      </c>
      <c r="D4441" s="2">
        <v>98.4</v>
      </c>
      <c r="E4441" s="2">
        <v>166.5</v>
      </c>
      <c r="P4441" s="3">
        <f>E4441*(VLOOKUP(B4441,Price_data!A$1:B$190,2,FALSE))</f>
        <v>120.5590644558</v>
      </c>
      <c r="Q4441" s="3">
        <f>G4441*(VLOOKUP(B4441,Price_data!A$1:B$190,2,FALSE))</f>
        <v>0</v>
      </c>
      <c r="R4441" s="3">
        <f>I4441*(VLOOKUP(B4441,Price_data!A$1:B$190,2,FALSE))</f>
        <v>0</v>
      </c>
      <c r="S4441" s="4" t="str">
        <f>(VLOOKUP(B4441,Price_data!A$1:C$190,3,FALSE))</f>
        <v>EEZ</v>
      </c>
      <c r="T4441" s="2">
        <f>IF(C4441="Total", (VLOOKUP(B4441,Recommended_fish_intake!A$4:D$122,4,FALSE)), "NA")</f>
        <v>842.8171441817401</v>
      </c>
      <c r="U4441" s="2" t="str">
        <f t="shared" si="400"/>
        <v>NA</v>
      </c>
    </row>
    <row r="4442" spans="1:21" ht="14.25" customHeight="1">
      <c r="A4442" s="2" t="s">
        <v>91</v>
      </c>
      <c r="B4442" s="2">
        <v>2011</v>
      </c>
      <c r="C4442" s="2" t="s">
        <v>16</v>
      </c>
      <c r="D4442" s="2">
        <v>12.023</v>
      </c>
      <c r="E4442" s="2">
        <v>15.949</v>
      </c>
      <c r="P4442" s="3">
        <f>E4442*(VLOOKUP(B4442,Price_data!A$1:B$190,2,FALSE))</f>
        <v>11.548327441474799</v>
      </c>
      <c r="Q4442" s="3">
        <f>G4442*(VLOOKUP(B4442,Price_data!A$1:B$190,2,FALSE))</f>
        <v>0</v>
      </c>
      <c r="R4442" s="3">
        <f>I4442*(VLOOKUP(B4442,Price_data!A$1:B$190,2,FALSE))</f>
        <v>0</v>
      </c>
      <c r="S4442" s="4" t="str">
        <f>(VLOOKUP(B4442,Price_data!A$1:C$190,3,FALSE))</f>
        <v>EEZ</v>
      </c>
      <c r="T4442" s="2">
        <f>IF(C4442="Total", (VLOOKUP(B4442,Recommended_fish_intake!A$4:D$122,4,FALSE)), "NA")</f>
        <v>842.8171441817401</v>
      </c>
      <c r="U4442" s="2" t="str">
        <f t="shared" si="400"/>
        <v>NA</v>
      </c>
    </row>
    <row r="4443" spans="1:21" ht="14.25" customHeight="1">
      <c r="A4443" s="2" t="s">
        <v>39</v>
      </c>
      <c r="B4443" s="2">
        <v>2011</v>
      </c>
      <c r="C4443" s="2" t="s">
        <v>16</v>
      </c>
      <c r="D4443" s="2">
        <v>260.55200000000002</v>
      </c>
      <c r="E4443" s="2">
        <v>405.83</v>
      </c>
      <c r="P4443" s="3">
        <f>E4443*(VLOOKUP(B4443,Price_data!A$1:B$190,2,FALSE))</f>
        <v>293.852763532116</v>
      </c>
      <c r="Q4443" s="3">
        <f>G4443*(VLOOKUP(B4443,Price_data!A$1:B$190,2,FALSE))</f>
        <v>0</v>
      </c>
      <c r="R4443" s="3">
        <f>I4443*(VLOOKUP(B4443,Price_data!A$1:B$190,2,FALSE))</f>
        <v>0</v>
      </c>
      <c r="S4443" s="4" t="str">
        <f>(VLOOKUP(B4443,Price_data!A$1:C$190,3,FALSE))</f>
        <v>EEZ</v>
      </c>
      <c r="T4443" s="2">
        <f>IF(C4443="Total", (VLOOKUP(B4443,Recommended_fish_intake!A$4:D$122,4,FALSE)), "NA")</f>
        <v>842.8171441817401</v>
      </c>
      <c r="U4443" s="2" t="str">
        <f t="shared" si="400"/>
        <v>NA</v>
      </c>
    </row>
    <row r="4444" spans="1:21" ht="14.25" customHeight="1">
      <c r="A4444" s="2" t="s">
        <v>40</v>
      </c>
      <c r="B4444" s="2">
        <v>2011</v>
      </c>
      <c r="C4444" s="2" t="s">
        <v>16</v>
      </c>
      <c r="D4444" s="2">
        <v>22.173999999999999</v>
      </c>
      <c r="E4444" s="2">
        <v>27.265999999999998</v>
      </c>
      <c r="P4444" s="3">
        <f>E4444*(VLOOKUP(B4444,Price_data!A$1:B$190,2,FALSE))</f>
        <v>19.742723432143197</v>
      </c>
      <c r="Q4444" s="3">
        <f>G4444*(VLOOKUP(B4444,Price_data!A$1:B$190,2,FALSE))</f>
        <v>0</v>
      </c>
      <c r="R4444" s="3">
        <f>I4444*(VLOOKUP(B4444,Price_data!A$1:B$190,2,FALSE))</f>
        <v>0</v>
      </c>
      <c r="S4444" s="4" t="str">
        <f>(VLOOKUP(B4444,Price_data!A$1:C$190,3,FALSE))</f>
        <v>EEZ</v>
      </c>
      <c r="T4444" s="2">
        <f>IF(C4444="Total", (VLOOKUP(B4444,Recommended_fish_intake!A$4:D$122,4,FALSE)), "NA")</f>
        <v>842.8171441817401</v>
      </c>
      <c r="U4444" s="2" t="str">
        <f t="shared" si="400"/>
        <v>NA</v>
      </c>
    </row>
    <row r="4445" spans="1:21" ht="14.25" customHeight="1">
      <c r="A4445" s="2" t="s">
        <v>18</v>
      </c>
      <c r="B4445" s="2">
        <v>2011</v>
      </c>
      <c r="C4445" s="2" t="s">
        <v>16</v>
      </c>
      <c r="D4445" s="3">
        <f>D2827+D2917</f>
        <v>59.120999999999995</v>
      </c>
      <c r="E4445" s="3">
        <f>E2827+E2917</f>
        <v>47.179000000000002</v>
      </c>
      <c r="P4445" s="3">
        <f>E4445*(VLOOKUP(B4445,Price_data!A$1:B$190,2,FALSE))</f>
        <v>34.1612979096708</v>
      </c>
      <c r="Q4445" s="3">
        <f>G4445*(VLOOKUP(B4445,Price_data!A$1:B$190,2,FALSE))</f>
        <v>0</v>
      </c>
      <c r="R4445" s="3">
        <f>I4445*(VLOOKUP(B4445,Price_data!A$1:B$190,2,FALSE))</f>
        <v>0</v>
      </c>
      <c r="S4445" s="4" t="str">
        <f>(VLOOKUP(B4445,Price_data!A$1:C$190,3,FALSE))</f>
        <v>EEZ</v>
      </c>
      <c r="T4445" s="2">
        <f>IF(C4445="Total", (VLOOKUP(B4445,Recommended_fish_intake!A$4:D$122,4,FALSE)), "NA")</f>
        <v>842.8171441817401</v>
      </c>
      <c r="U4445" s="2" t="str">
        <f t="shared" si="400"/>
        <v>NA</v>
      </c>
    </row>
    <row r="4446" spans="1:21" ht="14.25" customHeight="1">
      <c r="A4446" s="2" t="s">
        <v>15</v>
      </c>
      <c r="B4446" s="2">
        <v>2012</v>
      </c>
      <c r="C4446" s="2" t="s">
        <v>22</v>
      </c>
      <c r="D4446" s="2">
        <v>12.7</v>
      </c>
      <c r="E4446" s="2">
        <v>24.9</v>
      </c>
      <c r="F4446" s="2">
        <v>20.2</v>
      </c>
      <c r="G4446" s="2">
        <v>55.3</v>
      </c>
      <c r="H4446" s="2">
        <v>101.5</v>
      </c>
      <c r="I4446" s="2">
        <v>395.2</v>
      </c>
      <c r="P4446" s="3">
        <f>E4446*(VLOOKUP(B4446,Price_data!A$1:B$190,2,FALSE))</f>
        <v>17.468483709449998</v>
      </c>
      <c r="Q4446" s="3">
        <f>G4446*(VLOOKUP(B4446,Price_data!A$1:B$190,2,FALSE))</f>
        <v>38.795467836649998</v>
      </c>
      <c r="R4446" s="3">
        <f>I4446*(VLOOKUP(B4446,Price_data!A$1:B$190,2,FALSE))</f>
        <v>277.2507936536</v>
      </c>
      <c r="S4446" s="4" t="str">
        <f>(VLOOKUP(B4446,Price_data!A$1:C$190,3,FALSE))</f>
        <v>EEZ</v>
      </c>
      <c r="T4446" s="2" t="str">
        <f>IF(C4446="Total", (VLOOKUP(B4446,Recommended_fish_intake!A$4:D$122,4,FALSE)), "NA")</f>
        <v>NA</v>
      </c>
      <c r="U4446" s="2" t="str">
        <f t="shared" si="400"/>
        <v>NA</v>
      </c>
    </row>
    <row r="4447" spans="1:21" ht="14.25" customHeight="1">
      <c r="A4447" s="2" t="s">
        <v>15</v>
      </c>
      <c r="B4447" s="2">
        <v>2012</v>
      </c>
      <c r="C4447" s="2" t="s">
        <v>23</v>
      </c>
      <c r="D4447" s="2">
        <v>34</v>
      </c>
      <c r="E4447" s="2">
        <v>35.700000000000003</v>
      </c>
      <c r="F4447" s="2">
        <v>1.7</v>
      </c>
      <c r="G4447" s="2">
        <v>3.8</v>
      </c>
      <c r="H4447" s="2">
        <v>60.7</v>
      </c>
      <c r="I4447" s="2">
        <v>160.80000000000001</v>
      </c>
      <c r="P4447" s="3">
        <f>E4447*(VLOOKUP(B4447,Price_data!A$1:B$190,2,FALSE))</f>
        <v>25.045175438850002</v>
      </c>
      <c r="Q4447" s="3">
        <f>G4447*(VLOOKUP(B4447,Price_data!A$1:B$190,2,FALSE))</f>
        <v>2.6658730158999999</v>
      </c>
      <c r="R4447" s="3">
        <f>I4447*(VLOOKUP(B4447,Price_data!A$1:B$190,2,FALSE))</f>
        <v>112.80852130440002</v>
      </c>
      <c r="S4447" s="4" t="str">
        <f>(VLOOKUP(B4447,Price_data!A$1:C$190,3,FALSE))</f>
        <v>EEZ</v>
      </c>
      <c r="T4447" s="2" t="str">
        <f>IF(C4447="Total", (VLOOKUP(B4447,Recommended_fish_intake!A$4:D$122,4,FALSE)), "NA")</f>
        <v>NA</v>
      </c>
      <c r="U4447" s="2" t="str">
        <f t="shared" si="400"/>
        <v>NA</v>
      </c>
    </row>
    <row r="4448" spans="1:21" ht="14.25" customHeight="1">
      <c r="A4448" s="2" t="s">
        <v>15</v>
      </c>
      <c r="B4448" s="2">
        <v>2012</v>
      </c>
      <c r="C4448" s="2" t="s">
        <v>53</v>
      </c>
      <c r="D4448" s="2">
        <v>6.5</v>
      </c>
      <c r="E4448" s="2">
        <v>13.5</v>
      </c>
      <c r="F4448" s="2">
        <v>2.4</v>
      </c>
      <c r="G4448" s="2">
        <v>6.5</v>
      </c>
      <c r="H4448" s="2">
        <v>3.1</v>
      </c>
      <c r="I4448" s="2">
        <v>8.1</v>
      </c>
      <c r="P4448" s="3">
        <f>E4448*(VLOOKUP(B4448,Price_data!A$1:B$190,2,FALSE))</f>
        <v>9.4708646617499994</v>
      </c>
      <c r="Q4448" s="3">
        <f>G4448*(VLOOKUP(B4448,Price_data!A$1:B$190,2,FALSE))</f>
        <v>4.56004594825</v>
      </c>
      <c r="R4448" s="3">
        <f>I4448*(VLOOKUP(B4448,Price_data!A$1:B$190,2,FALSE))</f>
        <v>5.6825187970500002</v>
      </c>
      <c r="S4448" s="4" t="str">
        <f>(VLOOKUP(B4448,Price_data!A$1:C$190,3,FALSE))</f>
        <v>EEZ</v>
      </c>
      <c r="T4448" s="2" t="str">
        <f>IF(C4448="Total", (VLOOKUP(B4448,Recommended_fish_intake!A$4:D$122,4,FALSE)), "NA")</f>
        <v>NA</v>
      </c>
      <c r="U4448" s="2" t="str">
        <f t="shared" si="400"/>
        <v>NA</v>
      </c>
    </row>
    <row r="4449" spans="1:21" ht="14.25" customHeight="1">
      <c r="A4449" s="2" t="s">
        <v>15</v>
      </c>
      <c r="B4449" s="2">
        <v>2012</v>
      </c>
      <c r="C4449" s="2" t="s">
        <v>58</v>
      </c>
      <c r="D4449" s="2">
        <v>10.3</v>
      </c>
      <c r="E4449" s="2">
        <v>31.9</v>
      </c>
      <c r="F4449" s="2">
        <v>2</v>
      </c>
      <c r="G4449" s="2">
        <v>12.5</v>
      </c>
      <c r="H4449" s="2">
        <v>2.6</v>
      </c>
      <c r="I4449" s="2">
        <v>9.3000000000000007</v>
      </c>
      <c r="P4449" s="3">
        <f>E4449*(VLOOKUP(B4449,Price_data!A$1:B$190,2,FALSE))</f>
        <v>22.379302422949998</v>
      </c>
      <c r="Q4449" s="3">
        <f>G4449*(VLOOKUP(B4449,Price_data!A$1:B$190,2,FALSE))</f>
        <v>8.7693191312500005</v>
      </c>
      <c r="R4449" s="3">
        <f>I4449*(VLOOKUP(B4449,Price_data!A$1:B$190,2,FALSE))</f>
        <v>6.524373433650001</v>
      </c>
      <c r="S4449" s="4" t="str">
        <f>(VLOOKUP(B4449,Price_data!A$1:C$190,3,FALSE))</f>
        <v>EEZ</v>
      </c>
      <c r="T4449" s="2" t="str">
        <f>IF(C4449="Total", (VLOOKUP(B4449,Recommended_fish_intake!A$4:D$122,4,FALSE)), "NA")</f>
        <v>NA</v>
      </c>
      <c r="U4449" s="2" t="str">
        <f t="shared" si="400"/>
        <v>NA</v>
      </c>
    </row>
    <row r="4450" spans="1:21" ht="14.25" customHeight="1">
      <c r="A4450" s="2" t="s">
        <v>15</v>
      </c>
      <c r="B4450" s="2">
        <v>2012</v>
      </c>
      <c r="C4450" s="2" t="s">
        <v>38</v>
      </c>
      <c r="D4450" s="2">
        <v>11</v>
      </c>
      <c r="E4450" s="2">
        <v>11.3</v>
      </c>
      <c r="F4450" s="2">
        <v>4.5</v>
      </c>
      <c r="G4450" s="2">
        <v>9.1</v>
      </c>
      <c r="H4450" s="2">
        <v>3.3</v>
      </c>
      <c r="I4450" s="2">
        <v>10</v>
      </c>
      <c r="P4450" s="3">
        <f>E4450*(VLOOKUP(B4450,Price_data!A$1:B$190,2,FALSE))</f>
        <v>7.9274644946500006</v>
      </c>
      <c r="Q4450" s="3">
        <f>G4450*(VLOOKUP(B4450,Price_data!A$1:B$190,2,FALSE))</f>
        <v>6.38406432755</v>
      </c>
      <c r="R4450" s="3">
        <f>I4450*(VLOOKUP(B4450,Price_data!A$1:B$190,2,FALSE))</f>
        <v>7.0154553049999997</v>
      </c>
      <c r="S4450" s="4" t="str">
        <f>(VLOOKUP(B4450,Price_data!A$1:C$190,3,FALSE))</f>
        <v>EEZ</v>
      </c>
      <c r="T4450" s="2" t="str">
        <f>IF(C4450="Total", (VLOOKUP(B4450,Recommended_fish_intake!A$4:D$122,4,FALSE)), "NA")</f>
        <v>NA</v>
      </c>
      <c r="U4450" s="2" t="str">
        <f t="shared" si="400"/>
        <v>NA</v>
      </c>
    </row>
    <row r="4451" spans="1:21" ht="14.25" customHeight="1">
      <c r="A4451" s="2" t="s">
        <v>15</v>
      </c>
      <c r="B4451" s="2">
        <v>2012</v>
      </c>
      <c r="C4451" s="2" t="s">
        <v>63</v>
      </c>
      <c r="D4451" s="2">
        <v>1.7</v>
      </c>
      <c r="E4451" s="2">
        <v>13.9</v>
      </c>
      <c r="F4451" s="2">
        <v>1.1000000000000001</v>
      </c>
      <c r="G4451" s="2">
        <v>8.4</v>
      </c>
      <c r="H4451" s="2">
        <v>0.3</v>
      </c>
      <c r="I4451" s="2">
        <v>1.3</v>
      </c>
      <c r="P4451" s="3">
        <f>E4451*(VLOOKUP(B4451,Price_data!A$1:B$190,2,FALSE))</f>
        <v>9.7514828739499997</v>
      </c>
      <c r="Q4451" s="3">
        <f>G4451*(VLOOKUP(B4451,Price_data!A$1:B$190,2,FALSE))</f>
        <v>5.8929824562000004</v>
      </c>
      <c r="R4451" s="3">
        <f>I4451*(VLOOKUP(B4451,Price_data!A$1:B$190,2,FALSE))</f>
        <v>0.91200918965</v>
      </c>
      <c r="S4451" s="4" t="str">
        <f>(VLOOKUP(B4451,Price_data!A$1:C$190,3,FALSE))</f>
        <v>EEZ</v>
      </c>
      <c r="T4451" s="2" t="str">
        <f>IF(C4451="Total", (VLOOKUP(B4451,Recommended_fish_intake!A$4:D$122,4,FALSE)), "NA")</f>
        <v>NA</v>
      </c>
      <c r="U4451" s="2" t="str">
        <f t="shared" si="400"/>
        <v>NA</v>
      </c>
    </row>
    <row r="4452" spans="1:21" ht="14.25" customHeight="1">
      <c r="A4452" s="2" t="s">
        <v>15</v>
      </c>
      <c r="B4452" s="2">
        <v>2012</v>
      </c>
      <c r="C4452" s="2" t="s">
        <v>24</v>
      </c>
      <c r="D4452" s="2">
        <v>10.8</v>
      </c>
      <c r="E4452" s="2">
        <v>10.9</v>
      </c>
      <c r="F4452" s="2">
        <v>0.7</v>
      </c>
      <c r="G4452" s="2">
        <v>1.1000000000000001</v>
      </c>
      <c r="H4452" s="2">
        <v>0.6</v>
      </c>
      <c r="I4452" s="2">
        <v>0.7</v>
      </c>
      <c r="P4452" s="3">
        <f>E4452*(VLOOKUP(B4452,Price_data!A$1:B$190,2,FALSE))</f>
        <v>7.6468462824500003</v>
      </c>
      <c r="Q4452" s="3">
        <f>G4452*(VLOOKUP(B4452,Price_data!A$1:B$190,2,FALSE))</f>
        <v>0.77170008355000008</v>
      </c>
      <c r="R4452" s="3">
        <f>I4452*(VLOOKUP(B4452,Price_data!A$1:B$190,2,FALSE))</f>
        <v>0.49108187134999998</v>
      </c>
      <c r="S4452" s="4" t="str">
        <f>(VLOOKUP(B4452,Price_data!A$1:C$190,3,FALSE))</f>
        <v>EEZ</v>
      </c>
      <c r="T4452" s="2" t="str">
        <f>IF(C4452="Total", (VLOOKUP(B4452,Recommended_fish_intake!A$4:D$122,4,FALSE)), "NA")</f>
        <v>NA</v>
      </c>
      <c r="U4452" s="2" t="str">
        <f t="shared" si="400"/>
        <v>NA</v>
      </c>
    </row>
    <row r="4453" spans="1:21" ht="14.25" customHeight="1">
      <c r="A4453" s="2" t="s">
        <v>15</v>
      </c>
      <c r="B4453" s="2">
        <v>2012</v>
      </c>
      <c r="C4453" s="2" t="s">
        <v>41</v>
      </c>
      <c r="D4453" s="2">
        <v>112.9</v>
      </c>
      <c r="E4453" s="2">
        <v>193</v>
      </c>
      <c r="F4453" s="2" t="s">
        <v>92</v>
      </c>
      <c r="G4453" s="2" t="s">
        <v>92</v>
      </c>
      <c r="H4453" s="2" t="s">
        <v>92</v>
      </c>
      <c r="I4453" s="2" t="s">
        <v>92</v>
      </c>
      <c r="P4453" s="3">
        <f>E4453*(VLOOKUP(B4453,Price_data!A$1:B$190,2,FALSE))</f>
        <v>135.39828738650002</v>
      </c>
      <c r="Q4453" s="3" t="e">
        <f>G4453*(VLOOKUP(B4453,Price_data!A$1:B$190,2,FALSE))</f>
        <v>#VALUE!</v>
      </c>
      <c r="R4453" s="3" t="e">
        <f>I4453*(VLOOKUP(B4453,Price_data!A$1:B$190,2,FALSE))</f>
        <v>#VALUE!</v>
      </c>
      <c r="S4453" s="4" t="str">
        <f>(VLOOKUP(B4453,Price_data!A$1:C$190,3,FALSE))</f>
        <v>EEZ</v>
      </c>
      <c r="T4453" s="2" t="str">
        <f>IF(C4453="Total", (VLOOKUP(B4453,Recommended_fish_intake!A$4:D$122,4,FALSE)), "NA")</f>
        <v>NA</v>
      </c>
      <c r="U4453" s="2" t="str">
        <f t="shared" si="400"/>
        <v>NA</v>
      </c>
    </row>
    <row r="4454" spans="1:21" ht="14.25" customHeight="1">
      <c r="A4454" s="2" t="s">
        <v>15</v>
      </c>
      <c r="B4454" s="2">
        <v>2012</v>
      </c>
      <c r="C4454" s="2" t="s">
        <v>19</v>
      </c>
      <c r="D4454" s="2">
        <v>38.200000000000003</v>
      </c>
      <c r="E4454" s="2">
        <v>18.600000000000001</v>
      </c>
      <c r="F4454" s="2">
        <v>59.8</v>
      </c>
      <c r="G4454" s="2">
        <v>46</v>
      </c>
      <c r="H4454" s="2">
        <v>20</v>
      </c>
      <c r="I4454" s="2">
        <v>24.2</v>
      </c>
      <c r="P4454" s="3">
        <f>E4454*(VLOOKUP(B4454,Price_data!A$1:B$190,2,FALSE))</f>
        <v>13.048746867300002</v>
      </c>
      <c r="Q4454" s="3">
        <f>G4454*(VLOOKUP(B4454,Price_data!A$1:B$190,2,FALSE))</f>
        <v>32.271094402999999</v>
      </c>
      <c r="R4454" s="3">
        <f>I4454*(VLOOKUP(B4454,Price_data!A$1:B$190,2,FALSE))</f>
        <v>16.9774018381</v>
      </c>
      <c r="S4454" s="4" t="str">
        <f>(VLOOKUP(B4454,Price_data!A$1:C$190,3,FALSE))</f>
        <v>EEZ</v>
      </c>
      <c r="T4454" s="2" t="str">
        <f>IF(C4454="Total", (VLOOKUP(B4454,Recommended_fish_intake!A$4:D$122,4,FALSE)), "NA")</f>
        <v>NA</v>
      </c>
      <c r="U4454" s="2" t="str">
        <f t="shared" si="400"/>
        <v>NA</v>
      </c>
    </row>
    <row r="4455" spans="1:21" ht="14.25" customHeight="1">
      <c r="A4455" s="2" t="s">
        <v>15</v>
      </c>
      <c r="B4455" s="2">
        <v>2012</v>
      </c>
      <c r="C4455" s="2" t="s">
        <v>20</v>
      </c>
      <c r="D4455" s="2">
        <v>67.8</v>
      </c>
      <c r="E4455" s="2">
        <v>63.8</v>
      </c>
      <c r="F4455" s="2">
        <v>75</v>
      </c>
      <c r="G4455" s="2">
        <v>96.3</v>
      </c>
      <c r="H4455" s="2">
        <v>49</v>
      </c>
      <c r="I4455" s="2">
        <v>77.900000000000006</v>
      </c>
      <c r="P4455" s="3">
        <f>E4455*(VLOOKUP(B4455,Price_data!A$1:B$190,2,FALSE))</f>
        <v>44.758604845899995</v>
      </c>
      <c r="Q4455" s="3">
        <f>G4455*(VLOOKUP(B4455,Price_data!A$1:B$190,2,FALSE))</f>
        <v>67.558834587150002</v>
      </c>
      <c r="R4455" s="3">
        <f>I4455*(VLOOKUP(B4455,Price_data!A$1:B$190,2,FALSE))</f>
        <v>54.650396825950004</v>
      </c>
      <c r="S4455" s="4" t="str">
        <f>(VLOOKUP(B4455,Price_data!A$1:C$190,3,FALSE))</f>
        <v>EEZ</v>
      </c>
      <c r="T4455" s="2" t="str">
        <f>IF(C4455="Total", (VLOOKUP(B4455,Recommended_fish_intake!A$4:D$122,4,FALSE)), "NA")</f>
        <v>NA</v>
      </c>
      <c r="U4455" s="2" t="str">
        <f t="shared" si="400"/>
        <v>NA</v>
      </c>
    </row>
    <row r="4456" spans="1:21" ht="14.25" customHeight="1">
      <c r="A4456" s="2" t="s">
        <v>15</v>
      </c>
      <c r="B4456" s="2">
        <v>2012</v>
      </c>
      <c r="C4456" s="2" t="s">
        <v>42</v>
      </c>
      <c r="D4456" s="2">
        <v>132.30000000000001</v>
      </c>
      <c r="E4456" s="2">
        <v>89.5</v>
      </c>
      <c r="F4456" s="2" t="s">
        <v>92</v>
      </c>
      <c r="G4456" s="2" t="s">
        <v>92</v>
      </c>
      <c r="H4456" s="2" t="s">
        <v>92</v>
      </c>
      <c r="I4456" s="2" t="s">
        <v>92</v>
      </c>
      <c r="P4456" s="3">
        <f>E4456*(VLOOKUP(B4456,Price_data!A$1:B$190,2,FALSE))</f>
        <v>62.788324979750001</v>
      </c>
      <c r="Q4456" s="3" t="e">
        <f>G4456*(VLOOKUP(B4456,Price_data!A$1:B$190,2,FALSE))</f>
        <v>#VALUE!</v>
      </c>
      <c r="R4456" s="3" t="e">
        <f>I4456*(VLOOKUP(B4456,Price_data!A$1:B$190,2,FALSE))</f>
        <v>#VALUE!</v>
      </c>
      <c r="S4456" s="4" t="str">
        <f>(VLOOKUP(B4456,Price_data!A$1:C$190,3,FALSE))</f>
        <v>EEZ</v>
      </c>
      <c r="T4456" s="2" t="str">
        <f>IF(C4456="Total", (VLOOKUP(B4456,Recommended_fish_intake!A$4:D$122,4,FALSE)), "NA")</f>
        <v>NA</v>
      </c>
      <c r="U4456" s="2" t="str">
        <f t="shared" si="400"/>
        <v>NA</v>
      </c>
    </row>
    <row r="4457" spans="1:21" ht="14.25" customHeight="1">
      <c r="A4457" s="2" t="s">
        <v>15</v>
      </c>
      <c r="B4457" s="2">
        <v>2012</v>
      </c>
      <c r="C4457" s="2" t="s">
        <v>36</v>
      </c>
      <c r="D4457" s="2">
        <v>29.7</v>
      </c>
      <c r="E4457" s="2">
        <v>38.6</v>
      </c>
      <c r="F4457" s="2">
        <v>14</v>
      </c>
      <c r="G4457" s="2">
        <v>46.3</v>
      </c>
      <c r="H4457" s="2">
        <v>2.6</v>
      </c>
      <c r="I4457" s="2">
        <v>15.3</v>
      </c>
      <c r="P4457" s="3">
        <f>E4457*(VLOOKUP(B4457,Price_data!A$1:B$190,2,FALSE))</f>
        <v>27.079657477300003</v>
      </c>
      <c r="Q4457" s="3">
        <f>G4457*(VLOOKUP(B4457,Price_data!A$1:B$190,2,FALSE))</f>
        <v>32.48155806215</v>
      </c>
      <c r="R4457" s="3">
        <f>I4457*(VLOOKUP(B4457,Price_data!A$1:B$190,2,FALSE))</f>
        <v>10.733646616650001</v>
      </c>
      <c r="S4457" s="4" t="str">
        <f>(VLOOKUP(B4457,Price_data!A$1:C$190,3,FALSE))</f>
        <v>EEZ</v>
      </c>
      <c r="T4457" s="2" t="str">
        <f>IF(C4457="Total", (VLOOKUP(B4457,Recommended_fish_intake!A$4:D$122,4,FALSE)), "NA")</f>
        <v>NA</v>
      </c>
      <c r="U4457" s="2" t="str">
        <f t="shared" si="400"/>
        <v>NA</v>
      </c>
    </row>
    <row r="4458" spans="1:21" ht="14.25" customHeight="1">
      <c r="A4458" s="2" t="s">
        <v>15</v>
      </c>
      <c r="B4458" s="2">
        <v>2012</v>
      </c>
      <c r="C4458" s="2" t="s">
        <v>34</v>
      </c>
      <c r="D4458" s="2">
        <v>3.1</v>
      </c>
      <c r="E4458" s="2">
        <v>31</v>
      </c>
      <c r="F4458" s="2">
        <v>7</v>
      </c>
      <c r="G4458" s="2">
        <v>68.8</v>
      </c>
      <c r="H4458" s="2">
        <v>2.6</v>
      </c>
      <c r="I4458" s="2">
        <v>19.7</v>
      </c>
      <c r="P4458" s="3">
        <f>E4458*(VLOOKUP(B4458,Price_data!A$1:B$190,2,FALSE))</f>
        <v>21.747911445500002</v>
      </c>
      <c r="Q4458" s="3">
        <f>G4458*(VLOOKUP(B4458,Price_data!A$1:B$190,2,FALSE))</f>
        <v>48.266332498399997</v>
      </c>
      <c r="R4458" s="3">
        <f>I4458*(VLOOKUP(B4458,Price_data!A$1:B$190,2,FALSE))</f>
        <v>13.82044695085</v>
      </c>
      <c r="S4458" s="4" t="str">
        <f>(VLOOKUP(B4458,Price_data!A$1:C$190,3,FALSE))</f>
        <v>EEZ</v>
      </c>
      <c r="T4458" s="2" t="str">
        <f>IF(C4458="Total", (VLOOKUP(B4458,Recommended_fish_intake!A$4:D$122,4,FALSE)), "NA")</f>
        <v>NA</v>
      </c>
      <c r="U4458" s="2" t="str">
        <f t="shared" si="400"/>
        <v>NA</v>
      </c>
    </row>
    <row r="4459" spans="1:21" ht="14.25" customHeight="1">
      <c r="A4459" s="2" t="s">
        <v>15</v>
      </c>
      <c r="B4459" s="2">
        <v>2012</v>
      </c>
      <c r="C4459" s="2" t="s">
        <v>35</v>
      </c>
      <c r="D4459" s="2">
        <v>32.6</v>
      </c>
      <c r="E4459" s="2">
        <v>110.4</v>
      </c>
      <c r="F4459" s="2">
        <v>11.1</v>
      </c>
      <c r="G4459" s="2">
        <v>70.400000000000006</v>
      </c>
      <c r="H4459" s="2">
        <v>2</v>
      </c>
      <c r="I4459" s="2">
        <v>5.5</v>
      </c>
      <c r="P4459" s="3">
        <f>E4459*(VLOOKUP(B4459,Price_data!A$1:B$190,2,FALSE))</f>
        <v>77.450626567200004</v>
      </c>
      <c r="Q4459" s="3">
        <f>G4459*(VLOOKUP(B4459,Price_data!A$1:B$190,2,FALSE))</f>
        <v>49.388805347200005</v>
      </c>
      <c r="R4459" s="3">
        <f>I4459*(VLOOKUP(B4459,Price_data!A$1:B$190,2,FALSE))</f>
        <v>3.8585004177500002</v>
      </c>
      <c r="S4459" s="4" t="str">
        <f>(VLOOKUP(B4459,Price_data!A$1:C$190,3,FALSE))</f>
        <v>EEZ</v>
      </c>
      <c r="T4459" s="2" t="str">
        <f>IF(C4459="Total", (VLOOKUP(B4459,Recommended_fish_intake!A$4:D$122,4,FALSE)), "NA")</f>
        <v>NA</v>
      </c>
      <c r="U4459" s="2" t="str">
        <f t="shared" si="400"/>
        <v>NA</v>
      </c>
    </row>
    <row r="4460" spans="1:21" ht="14.25" customHeight="1">
      <c r="A4460" s="2" t="s">
        <v>15</v>
      </c>
      <c r="B4460" s="2">
        <v>2012</v>
      </c>
      <c r="C4460" s="2" t="s">
        <v>52</v>
      </c>
      <c r="D4460" s="2">
        <v>53.6</v>
      </c>
      <c r="E4460" s="2">
        <v>67.400000000000006</v>
      </c>
      <c r="F4460" s="2">
        <v>13.6</v>
      </c>
      <c r="G4460" s="2">
        <v>89.8</v>
      </c>
      <c r="H4460" s="2">
        <v>1.5</v>
      </c>
      <c r="I4460" s="2">
        <v>15.9</v>
      </c>
      <c r="P4460" s="3">
        <f>E4460*(VLOOKUP(B4460,Price_data!A$1:B$190,2,FALSE))</f>
        <v>47.284168755700001</v>
      </c>
      <c r="Q4460" s="3">
        <f>G4460*(VLOOKUP(B4460,Price_data!A$1:B$190,2,FALSE))</f>
        <v>62.998788638900002</v>
      </c>
      <c r="R4460" s="3">
        <f>I4460*(VLOOKUP(B4460,Price_data!A$1:B$190,2,FALSE))</f>
        <v>11.154573934950001</v>
      </c>
      <c r="S4460" s="4" t="str">
        <f>(VLOOKUP(B4460,Price_data!A$1:C$190,3,FALSE))</f>
        <v>EEZ</v>
      </c>
      <c r="T4460" s="2" t="str">
        <f>IF(C4460="Total", (VLOOKUP(B4460,Recommended_fish_intake!A$4:D$122,4,FALSE)), "NA")</f>
        <v>NA</v>
      </c>
      <c r="U4460" s="2" t="str">
        <f t="shared" si="400"/>
        <v>NA</v>
      </c>
    </row>
    <row r="4461" spans="1:21" ht="14.25" customHeight="1">
      <c r="A4461" s="2" t="s">
        <v>15</v>
      </c>
      <c r="B4461" s="2">
        <v>2012</v>
      </c>
      <c r="C4461" s="2" t="s">
        <v>30</v>
      </c>
      <c r="D4461" s="2">
        <v>1</v>
      </c>
      <c r="E4461" s="2">
        <v>2.4</v>
      </c>
      <c r="F4461" s="2">
        <v>13.7</v>
      </c>
      <c r="G4461" s="2">
        <v>73.3</v>
      </c>
      <c r="H4461" s="2">
        <v>85.8</v>
      </c>
      <c r="I4461" s="2">
        <v>503.6</v>
      </c>
      <c r="P4461" s="3">
        <f>E4461*(VLOOKUP(B4461,Price_data!A$1:B$190,2,FALSE))</f>
        <v>1.6837092732000001</v>
      </c>
      <c r="Q4461" s="3">
        <f>G4461*(VLOOKUP(B4461,Price_data!A$1:B$190,2,FALSE))</f>
        <v>51.423287385649999</v>
      </c>
      <c r="R4461" s="3">
        <f>I4461*(VLOOKUP(B4461,Price_data!A$1:B$190,2,FALSE))</f>
        <v>353.29832915980001</v>
      </c>
      <c r="S4461" s="4" t="str">
        <f>(VLOOKUP(B4461,Price_data!A$1:C$190,3,FALSE))</f>
        <v>EEZ</v>
      </c>
      <c r="T4461" s="2" t="str">
        <f>IF(C4461="Total", (VLOOKUP(B4461,Recommended_fish_intake!A$4:D$122,4,FALSE)), "NA")</f>
        <v>NA</v>
      </c>
      <c r="U4461" s="2" t="str">
        <f t="shared" si="400"/>
        <v>NA</v>
      </c>
    </row>
    <row r="4462" spans="1:21" ht="14.25" customHeight="1">
      <c r="A4462" s="2" t="s">
        <v>15</v>
      </c>
      <c r="B4462" s="2">
        <v>2012</v>
      </c>
      <c r="C4462" s="2" t="s">
        <v>28</v>
      </c>
      <c r="D4462" s="2">
        <v>148.80000000000001</v>
      </c>
      <c r="E4462" s="2">
        <v>286</v>
      </c>
      <c r="F4462" s="2">
        <v>94.5</v>
      </c>
      <c r="G4462" s="2">
        <v>438.5</v>
      </c>
      <c r="H4462" s="2">
        <v>116.2</v>
      </c>
      <c r="I4462" s="2">
        <v>622.79999999999995</v>
      </c>
      <c r="P4462" s="3">
        <f>E4462*(VLOOKUP(B4462,Price_data!A$1:B$190,2,FALSE))</f>
        <v>200.642021723</v>
      </c>
      <c r="Q4462" s="3">
        <f>G4462*(VLOOKUP(B4462,Price_data!A$1:B$190,2,FALSE))</f>
        <v>307.62771512425002</v>
      </c>
      <c r="R4462" s="3">
        <f>I4462*(VLOOKUP(B4462,Price_data!A$1:B$190,2,FALSE))</f>
        <v>436.92255639539997</v>
      </c>
      <c r="S4462" s="4" t="str">
        <f>(VLOOKUP(B4462,Price_data!A$1:C$190,3,FALSE))</f>
        <v>EEZ</v>
      </c>
      <c r="T4462" s="2" t="str">
        <f>IF(C4462="Total", (VLOOKUP(B4462,Recommended_fish_intake!A$4:D$122,4,FALSE)), "NA")</f>
        <v>NA</v>
      </c>
      <c r="U4462" s="2">
        <f t="shared" si="400"/>
        <v>41.664000000000009</v>
      </c>
    </row>
    <row r="4463" spans="1:21" ht="14.25" customHeight="1">
      <c r="A4463" s="2" t="s">
        <v>15</v>
      </c>
      <c r="B4463" s="2">
        <v>2012</v>
      </c>
      <c r="C4463" s="2" t="s">
        <v>37</v>
      </c>
      <c r="D4463" s="3">
        <v>245.20000000000002</v>
      </c>
      <c r="E4463" s="3">
        <v>282.5</v>
      </c>
      <c r="F4463" s="2">
        <v>371.4</v>
      </c>
      <c r="G4463" s="2">
        <v>905.4</v>
      </c>
      <c r="H4463" s="2">
        <v>638.4</v>
      </c>
      <c r="I4463" s="2">
        <v>1947.2</v>
      </c>
      <c r="P4463" s="3">
        <f>E4463*(VLOOKUP(B4463,Price_data!A$1:B$190,2,FALSE))</f>
        <v>198.18661236625002</v>
      </c>
      <c r="Q4463" s="3">
        <f>G4463*(VLOOKUP(B4463,Price_data!A$1:B$190,2,FALSE))</f>
        <v>635.17932331470001</v>
      </c>
      <c r="R4463" s="3">
        <f>I4463*(VLOOKUP(B4463,Price_data!A$1:B$190,2,FALSE))</f>
        <v>1366.0494569896</v>
      </c>
      <c r="S4463" s="4" t="str">
        <f>(VLOOKUP(B4463,Price_data!A$1:C$190,3,FALSE))</f>
        <v>EEZ</v>
      </c>
      <c r="T4463" s="2" t="str">
        <f>IF(C4463="Total", (VLOOKUP(B4463,Recommended_fish_intake!A$4:D$122,4,FALSE)), "NA")</f>
        <v>NA</v>
      </c>
      <c r="U4463" s="2">
        <f t="shared" si="400"/>
        <v>120.14800000000001</v>
      </c>
    </row>
    <row r="4464" spans="1:21" ht="14.25" customHeight="1">
      <c r="A4464" s="2" t="s">
        <v>90</v>
      </c>
      <c r="B4464" s="2">
        <v>2012</v>
      </c>
      <c r="C4464" s="2" t="s">
        <v>22</v>
      </c>
      <c r="D4464" s="2">
        <v>1.5</v>
      </c>
      <c r="E4464" s="2">
        <v>2.9</v>
      </c>
      <c r="P4464" s="3">
        <f>E4464*(VLOOKUP(B4464,Price_data!A$1:B$190,2,FALSE))</f>
        <v>2.0344820384500002</v>
      </c>
      <c r="Q4464" s="3">
        <f>G4464*(VLOOKUP(B4464,Price_data!A$1:B$190,2,FALSE))</f>
        <v>0</v>
      </c>
      <c r="R4464" s="3">
        <f>I4464*(VLOOKUP(B4464,Price_data!A$1:B$190,2,FALSE))</f>
        <v>0</v>
      </c>
      <c r="S4464" s="4" t="str">
        <f>(VLOOKUP(B4464,Price_data!A$1:C$190,3,FALSE))</f>
        <v>EEZ</v>
      </c>
      <c r="T4464" s="2" t="str">
        <f>IF(C4464="Total", (VLOOKUP(B4464,Recommended_fish_intake!A$4:D$122,4,FALSE)), "NA")</f>
        <v>NA</v>
      </c>
      <c r="U4464" s="2" t="str">
        <f t="shared" si="400"/>
        <v>NA</v>
      </c>
    </row>
    <row r="4465" spans="1:21" ht="14.25" customHeight="1">
      <c r="A4465" s="2" t="s">
        <v>90</v>
      </c>
      <c r="B4465" s="2">
        <v>2012</v>
      </c>
      <c r="C4465" s="2" t="s">
        <v>23</v>
      </c>
      <c r="D4465" s="2">
        <v>2.7</v>
      </c>
      <c r="E4465" s="2">
        <v>3</v>
      </c>
      <c r="P4465" s="3">
        <f>E4465*(VLOOKUP(B4465,Price_data!A$1:B$190,2,FALSE))</f>
        <v>2.1046365915000003</v>
      </c>
      <c r="Q4465" s="3">
        <f>G4465*(VLOOKUP(B4465,Price_data!A$1:B$190,2,FALSE))</f>
        <v>0</v>
      </c>
      <c r="R4465" s="3">
        <f>I4465*(VLOOKUP(B4465,Price_data!A$1:B$190,2,FALSE))</f>
        <v>0</v>
      </c>
      <c r="S4465" s="4" t="str">
        <f>(VLOOKUP(B4465,Price_data!A$1:C$190,3,FALSE))</f>
        <v>EEZ</v>
      </c>
      <c r="T4465" s="2" t="str">
        <f>IF(C4465="Total", (VLOOKUP(B4465,Recommended_fish_intake!A$4:D$122,4,FALSE)), "NA")</f>
        <v>NA</v>
      </c>
      <c r="U4465" s="2" t="str">
        <f t="shared" si="400"/>
        <v>NA</v>
      </c>
    </row>
    <row r="4466" spans="1:21" ht="14.25" customHeight="1">
      <c r="A4466" s="2" t="s">
        <v>90</v>
      </c>
      <c r="B4466" s="2">
        <v>2012</v>
      </c>
      <c r="C4466" s="2" t="s">
        <v>53</v>
      </c>
      <c r="D4466" s="2">
        <v>0.7</v>
      </c>
      <c r="E4466" s="2">
        <v>1.1000000000000001</v>
      </c>
      <c r="P4466" s="3">
        <f>E4466*(VLOOKUP(B4466,Price_data!A$1:B$190,2,FALSE))</f>
        <v>0.77170008355000008</v>
      </c>
      <c r="Q4466" s="3">
        <f>G4466*(VLOOKUP(B4466,Price_data!A$1:B$190,2,FALSE))</f>
        <v>0</v>
      </c>
      <c r="R4466" s="3">
        <f>I4466*(VLOOKUP(B4466,Price_data!A$1:B$190,2,FALSE))</f>
        <v>0</v>
      </c>
      <c r="S4466" s="4" t="str">
        <f>(VLOOKUP(B4466,Price_data!A$1:C$190,3,FALSE))</f>
        <v>EEZ</v>
      </c>
      <c r="T4466" s="2" t="str">
        <f>IF(C4466="Total", (VLOOKUP(B4466,Recommended_fish_intake!A$4:D$122,4,FALSE)), "NA")</f>
        <v>NA</v>
      </c>
      <c r="U4466" s="2" t="str">
        <f t="shared" si="400"/>
        <v>NA</v>
      </c>
    </row>
    <row r="4467" spans="1:21" ht="14.25" customHeight="1">
      <c r="A4467" s="2" t="s">
        <v>90</v>
      </c>
      <c r="B4467" s="2">
        <v>2012</v>
      </c>
      <c r="C4467" s="2" t="s">
        <v>58</v>
      </c>
      <c r="D4467" s="2">
        <v>3.1</v>
      </c>
      <c r="E4467" s="2">
        <v>9</v>
      </c>
      <c r="P4467" s="3">
        <f>E4467*(VLOOKUP(B4467,Price_data!A$1:B$190,2,FALSE))</f>
        <v>6.3139097744999999</v>
      </c>
      <c r="Q4467" s="3">
        <f>G4467*(VLOOKUP(B4467,Price_data!A$1:B$190,2,FALSE))</f>
        <v>0</v>
      </c>
      <c r="R4467" s="3">
        <f>I4467*(VLOOKUP(B4467,Price_data!A$1:B$190,2,FALSE))</f>
        <v>0</v>
      </c>
      <c r="S4467" s="4" t="str">
        <f>(VLOOKUP(B4467,Price_data!A$1:C$190,3,FALSE))</f>
        <v>EEZ</v>
      </c>
      <c r="T4467" s="2" t="str">
        <f>IF(C4467="Total", (VLOOKUP(B4467,Recommended_fish_intake!A$4:D$122,4,FALSE)), "NA")</f>
        <v>NA</v>
      </c>
      <c r="U4467" s="2" t="str">
        <f t="shared" si="400"/>
        <v>NA</v>
      </c>
    </row>
    <row r="4468" spans="1:21" ht="14.25" customHeight="1">
      <c r="A4468" s="2" t="s">
        <v>90</v>
      </c>
      <c r="B4468" s="2">
        <v>2012</v>
      </c>
      <c r="C4468" s="2" t="s">
        <v>38</v>
      </c>
      <c r="D4468" s="2">
        <v>0.1</v>
      </c>
      <c r="E4468" s="2">
        <v>0.1</v>
      </c>
      <c r="P4468" s="3">
        <f>E4468*(VLOOKUP(B4468,Price_data!A$1:B$190,2,FALSE))</f>
        <v>7.0154553049999999E-2</v>
      </c>
      <c r="Q4468" s="3">
        <f>G4468*(VLOOKUP(B4468,Price_data!A$1:B$190,2,FALSE))</f>
        <v>0</v>
      </c>
      <c r="R4468" s="3">
        <f>I4468*(VLOOKUP(B4468,Price_data!A$1:B$190,2,FALSE))</f>
        <v>0</v>
      </c>
      <c r="S4468" s="4" t="str">
        <f>(VLOOKUP(B4468,Price_data!A$1:C$190,3,FALSE))</f>
        <v>EEZ</v>
      </c>
      <c r="T4468" s="2" t="str">
        <f>IF(C4468="Total", (VLOOKUP(B4468,Recommended_fish_intake!A$4:D$122,4,FALSE)), "NA")</f>
        <v>NA</v>
      </c>
      <c r="U4468" s="2" t="str">
        <f t="shared" si="400"/>
        <v>NA</v>
      </c>
    </row>
    <row r="4469" spans="1:21" ht="14.25" customHeight="1">
      <c r="A4469" s="2" t="s">
        <v>90</v>
      </c>
      <c r="B4469" s="2">
        <v>2012</v>
      </c>
      <c r="C4469" s="2" t="s">
        <v>63</v>
      </c>
      <c r="D4469" s="2">
        <v>1.7</v>
      </c>
      <c r="E4469" s="2">
        <v>13.6</v>
      </c>
      <c r="P4469" s="3">
        <f>E4469*(VLOOKUP(B4469,Price_data!A$1:B$190,2,FALSE))</f>
        <v>9.5410192148000004</v>
      </c>
      <c r="Q4469" s="3">
        <f>G4469*(VLOOKUP(B4469,Price_data!A$1:B$190,2,FALSE))</f>
        <v>0</v>
      </c>
      <c r="R4469" s="3">
        <f>I4469*(VLOOKUP(B4469,Price_data!A$1:B$190,2,FALSE))</f>
        <v>0</v>
      </c>
      <c r="S4469" s="4" t="str">
        <f>(VLOOKUP(B4469,Price_data!A$1:C$190,3,FALSE))</f>
        <v>EEZ</v>
      </c>
      <c r="T4469" s="2" t="str">
        <f>IF(C4469="Total", (VLOOKUP(B4469,Recommended_fish_intake!A$4:D$122,4,FALSE)), "NA")</f>
        <v>NA</v>
      </c>
      <c r="U4469" s="2" t="str">
        <f t="shared" si="400"/>
        <v>NA</v>
      </c>
    </row>
    <row r="4470" spans="1:21" ht="14.25" customHeight="1">
      <c r="A4470" s="2" t="s">
        <v>90</v>
      </c>
      <c r="B4470" s="2">
        <v>2012</v>
      </c>
      <c r="C4470" s="2" t="s">
        <v>24</v>
      </c>
      <c r="D4470" s="2">
        <v>1.9</v>
      </c>
      <c r="E4470" s="2">
        <v>1.4</v>
      </c>
      <c r="P4470" s="3">
        <f>E4470*(VLOOKUP(B4470,Price_data!A$1:B$190,2,FALSE))</f>
        <v>0.98216374269999995</v>
      </c>
      <c r="Q4470" s="3">
        <f>G4470*(VLOOKUP(B4470,Price_data!A$1:B$190,2,FALSE))</f>
        <v>0</v>
      </c>
      <c r="R4470" s="3">
        <f>I4470*(VLOOKUP(B4470,Price_data!A$1:B$190,2,FALSE))</f>
        <v>0</v>
      </c>
      <c r="S4470" s="4" t="str">
        <f>(VLOOKUP(B4470,Price_data!A$1:C$190,3,FALSE))</f>
        <v>EEZ</v>
      </c>
      <c r="T4470" s="2" t="str">
        <f>IF(C4470="Total", (VLOOKUP(B4470,Recommended_fish_intake!A$4:D$122,4,FALSE)), "NA")</f>
        <v>NA</v>
      </c>
      <c r="U4470" s="2" t="str">
        <f t="shared" si="400"/>
        <v>NA</v>
      </c>
    </row>
    <row r="4471" spans="1:21" ht="14.25" customHeight="1">
      <c r="A4471" s="2" t="s">
        <v>90</v>
      </c>
      <c r="B4471" s="2">
        <v>2012</v>
      </c>
      <c r="C4471" s="2" t="s">
        <v>41</v>
      </c>
      <c r="D4471" s="2">
        <v>25.7</v>
      </c>
      <c r="E4471" s="2">
        <v>60.4</v>
      </c>
      <c r="P4471" s="3">
        <f>E4471*(VLOOKUP(B4471,Price_data!A$1:B$190,2,FALSE))</f>
        <v>42.373350042200002</v>
      </c>
      <c r="Q4471" s="3">
        <f>G4471*(VLOOKUP(B4471,Price_data!A$1:B$190,2,FALSE))</f>
        <v>0</v>
      </c>
      <c r="R4471" s="3">
        <f>I4471*(VLOOKUP(B4471,Price_data!A$1:B$190,2,FALSE))</f>
        <v>0</v>
      </c>
      <c r="S4471" s="4" t="str">
        <f>(VLOOKUP(B4471,Price_data!A$1:C$190,3,FALSE))</f>
        <v>EEZ</v>
      </c>
      <c r="T4471" s="2" t="str">
        <f>IF(C4471="Total", (VLOOKUP(B4471,Recommended_fish_intake!A$4:D$122,4,FALSE)), "NA")</f>
        <v>NA</v>
      </c>
      <c r="U4471" s="2" t="str">
        <f t="shared" si="400"/>
        <v>NA</v>
      </c>
    </row>
    <row r="4472" spans="1:21" ht="14.25" customHeight="1">
      <c r="A4472" s="2" t="s">
        <v>90</v>
      </c>
      <c r="B4472" s="2">
        <v>2012</v>
      </c>
      <c r="C4472" s="2" t="s">
        <v>19</v>
      </c>
      <c r="D4472" s="2">
        <v>0.5</v>
      </c>
      <c r="E4472" s="2">
        <v>0.2</v>
      </c>
      <c r="P4472" s="3">
        <f>E4472*(VLOOKUP(B4472,Price_data!A$1:B$190,2,FALSE))</f>
        <v>0.1403091061</v>
      </c>
      <c r="Q4472" s="3">
        <f>G4472*(VLOOKUP(B4472,Price_data!A$1:B$190,2,FALSE))</f>
        <v>0</v>
      </c>
      <c r="R4472" s="3">
        <f>I4472*(VLOOKUP(B4472,Price_data!A$1:B$190,2,FALSE))</f>
        <v>0</v>
      </c>
      <c r="S4472" s="4" t="str">
        <f>(VLOOKUP(B4472,Price_data!A$1:C$190,3,FALSE))</f>
        <v>EEZ</v>
      </c>
      <c r="T4472" s="2" t="str">
        <f>IF(C4472="Total", (VLOOKUP(B4472,Recommended_fish_intake!A$4:D$122,4,FALSE)), "NA")</f>
        <v>NA</v>
      </c>
      <c r="U4472" s="2" t="str">
        <f t="shared" si="400"/>
        <v>NA</v>
      </c>
    </row>
    <row r="4473" spans="1:21" ht="14.25" customHeight="1">
      <c r="A4473" s="2" t="s">
        <v>90</v>
      </c>
      <c r="B4473" s="2">
        <v>2012</v>
      </c>
      <c r="C4473" s="2" t="s">
        <v>20</v>
      </c>
      <c r="D4473" s="2">
        <v>2.5</v>
      </c>
      <c r="E4473" s="2">
        <v>2.4</v>
      </c>
      <c r="P4473" s="3">
        <f>E4473*(VLOOKUP(B4473,Price_data!A$1:B$190,2,FALSE))</f>
        <v>1.6837092732000001</v>
      </c>
      <c r="Q4473" s="3">
        <f>G4473*(VLOOKUP(B4473,Price_data!A$1:B$190,2,FALSE))</f>
        <v>0</v>
      </c>
      <c r="R4473" s="3">
        <f>I4473*(VLOOKUP(B4473,Price_data!A$1:B$190,2,FALSE))</f>
        <v>0</v>
      </c>
      <c r="S4473" s="4" t="str">
        <f>(VLOOKUP(B4473,Price_data!A$1:C$190,3,FALSE))</f>
        <v>EEZ</v>
      </c>
      <c r="T4473" s="2" t="str">
        <f>IF(C4473="Total", (VLOOKUP(B4473,Recommended_fish_intake!A$4:D$122,4,FALSE)), "NA")</f>
        <v>NA</v>
      </c>
      <c r="U4473" s="2" t="str">
        <f t="shared" si="400"/>
        <v>NA</v>
      </c>
    </row>
    <row r="4474" spans="1:21" ht="14.25" customHeight="1">
      <c r="A4474" s="2" t="s">
        <v>90</v>
      </c>
      <c r="B4474" s="2">
        <v>2012</v>
      </c>
      <c r="C4474" s="2" t="s">
        <v>42</v>
      </c>
      <c r="D4474" s="2">
        <v>19.899999999999999</v>
      </c>
      <c r="E4474" s="2">
        <v>6.8</v>
      </c>
      <c r="P4474" s="3">
        <f>E4474*(VLOOKUP(B4474,Price_data!A$1:B$190,2,FALSE))</f>
        <v>4.7705096074000002</v>
      </c>
      <c r="Q4474" s="3">
        <f>G4474*(VLOOKUP(B4474,Price_data!A$1:B$190,2,FALSE))</f>
        <v>0</v>
      </c>
      <c r="R4474" s="3">
        <f>I4474*(VLOOKUP(B4474,Price_data!A$1:B$190,2,FALSE))</f>
        <v>0</v>
      </c>
      <c r="S4474" s="4" t="str">
        <f>(VLOOKUP(B4474,Price_data!A$1:C$190,3,FALSE))</f>
        <v>EEZ</v>
      </c>
      <c r="T4474" s="2" t="str">
        <f>IF(C4474="Total", (VLOOKUP(B4474,Recommended_fish_intake!A$4:D$122,4,FALSE)), "NA")</f>
        <v>NA</v>
      </c>
      <c r="U4474" s="2" t="str">
        <f t="shared" si="400"/>
        <v>NA</v>
      </c>
    </row>
    <row r="4475" spans="1:21" ht="14.25" customHeight="1">
      <c r="A4475" s="2" t="s">
        <v>90</v>
      </c>
      <c r="B4475" s="2">
        <v>2012</v>
      </c>
      <c r="C4475" s="2" t="s">
        <v>36</v>
      </c>
      <c r="D4475" s="2">
        <v>13.4</v>
      </c>
      <c r="E4475" s="2">
        <v>17.399999999999999</v>
      </c>
      <c r="P4475" s="3">
        <f>E4475*(VLOOKUP(B4475,Price_data!A$1:B$190,2,FALSE))</f>
        <v>12.206892230699999</v>
      </c>
      <c r="Q4475" s="3">
        <f>G4475*(VLOOKUP(B4475,Price_data!A$1:B$190,2,FALSE))</f>
        <v>0</v>
      </c>
      <c r="R4475" s="3">
        <f>I4475*(VLOOKUP(B4475,Price_data!A$1:B$190,2,FALSE))</f>
        <v>0</v>
      </c>
      <c r="S4475" s="4" t="str">
        <f>(VLOOKUP(B4475,Price_data!A$1:C$190,3,FALSE))</f>
        <v>EEZ</v>
      </c>
      <c r="T4475" s="2" t="str">
        <f>IF(C4475="Total", (VLOOKUP(B4475,Recommended_fish_intake!A$4:D$122,4,FALSE)), "NA")</f>
        <v>NA</v>
      </c>
      <c r="U4475" s="2" t="str">
        <f t="shared" si="400"/>
        <v>NA</v>
      </c>
    </row>
    <row r="4476" spans="1:21" ht="14.25" customHeight="1">
      <c r="A4476" s="2" t="s">
        <v>90</v>
      </c>
      <c r="B4476" s="2">
        <v>2012</v>
      </c>
      <c r="C4476" s="2" t="s">
        <v>34</v>
      </c>
      <c r="D4476" s="2">
        <v>1.7</v>
      </c>
      <c r="E4476" s="2">
        <v>15.7</v>
      </c>
      <c r="P4476" s="3">
        <f>E4476*(VLOOKUP(B4476,Price_data!A$1:B$190,2,FALSE))</f>
        <v>11.014264828849999</v>
      </c>
      <c r="Q4476" s="3">
        <f>G4476*(VLOOKUP(B4476,Price_data!A$1:B$190,2,FALSE))</f>
        <v>0</v>
      </c>
      <c r="R4476" s="3">
        <f>I4476*(VLOOKUP(B4476,Price_data!A$1:B$190,2,FALSE))</f>
        <v>0</v>
      </c>
      <c r="S4476" s="4" t="str">
        <f>(VLOOKUP(B4476,Price_data!A$1:C$190,3,FALSE))</f>
        <v>EEZ</v>
      </c>
      <c r="T4476" s="2" t="str">
        <f>IF(C4476="Total", (VLOOKUP(B4476,Recommended_fish_intake!A$4:D$122,4,FALSE)), "NA")</f>
        <v>NA</v>
      </c>
      <c r="U4476" s="2" t="str">
        <f t="shared" si="400"/>
        <v>NA</v>
      </c>
    </row>
    <row r="4477" spans="1:21" ht="14.25" customHeight="1">
      <c r="A4477" s="2" t="s">
        <v>90</v>
      </c>
      <c r="B4477" s="2">
        <v>2012</v>
      </c>
      <c r="C4477" s="2" t="s">
        <v>35</v>
      </c>
      <c r="D4477" s="2">
        <v>3.3</v>
      </c>
      <c r="E4477" s="2">
        <v>10.8</v>
      </c>
      <c r="P4477" s="3">
        <f>E4477*(VLOOKUP(B4477,Price_data!A$1:B$190,2,FALSE))</f>
        <v>7.5766917294000002</v>
      </c>
      <c r="Q4477" s="3">
        <f>G4477*(VLOOKUP(B4477,Price_data!A$1:B$190,2,FALSE))</f>
        <v>0</v>
      </c>
      <c r="R4477" s="3">
        <f>I4477*(VLOOKUP(B4477,Price_data!A$1:B$190,2,FALSE))</f>
        <v>0</v>
      </c>
      <c r="S4477" s="4" t="str">
        <f>(VLOOKUP(B4477,Price_data!A$1:C$190,3,FALSE))</f>
        <v>EEZ</v>
      </c>
      <c r="T4477" s="2" t="str">
        <f>IF(C4477="Total", (VLOOKUP(B4477,Recommended_fish_intake!A$4:D$122,4,FALSE)), "NA")</f>
        <v>NA</v>
      </c>
      <c r="U4477" s="2" t="str">
        <f t="shared" si="400"/>
        <v>NA</v>
      </c>
    </row>
    <row r="4478" spans="1:21" ht="14.25" customHeight="1">
      <c r="A4478" s="2" t="s">
        <v>90</v>
      </c>
      <c r="B4478" s="2">
        <v>2012</v>
      </c>
      <c r="C4478" s="2" t="s">
        <v>52</v>
      </c>
      <c r="D4478" s="2">
        <v>19.600000000000001</v>
      </c>
      <c r="E4478" s="2">
        <v>28.3</v>
      </c>
      <c r="P4478" s="3">
        <f>E4478*(VLOOKUP(B4478,Price_data!A$1:B$190,2,FALSE))</f>
        <v>19.853738513150002</v>
      </c>
      <c r="Q4478" s="3">
        <f>G4478*(VLOOKUP(B4478,Price_data!A$1:B$190,2,FALSE))</f>
        <v>0</v>
      </c>
      <c r="R4478" s="3">
        <f>I4478*(VLOOKUP(B4478,Price_data!A$1:B$190,2,FALSE))</f>
        <v>0</v>
      </c>
      <c r="S4478" s="4" t="str">
        <f>(VLOOKUP(B4478,Price_data!A$1:C$190,3,FALSE))</f>
        <v>EEZ</v>
      </c>
      <c r="T4478" s="2" t="str">
        <f>IF(C4478="Total", (VLOOKUP(B4478,Recommended_fish_intake!A$4:D$122,4,FALSE)), "NA")</f>
        <v>NA</v>
      </c>
      <c r="U4478" s="2" t="str">
        <f t="shared" si="400"/>
        <v>NA</v>
      </c>
    </row>
    <row r="4479" spans="1:21" ht="14.25" customHeight="1">
      <c r="A4479" s="2" t="s">
        <v>90</v>
      </c>
      <c r="B4479" s="2">
        <v>2012</v>
      </c>
      <c r="C4479" s="2" t="s">
        <v>30</v>
      </c>
      <c r="D4479" s="2">
        <v>1</v>
      </c>
      <c r="E4479" s="2">
        <v>2.2999999999999998</v>
      </c>
      <c r="P4479" s="3">
        <f>E4479*(VLOOKUP(B4479,Price_data!A$1:B$190,2,FALSE))</f>
        <v>1.61355472015</v>
      </c>
      <c r="Q4479" s="3">
        <f>G4479*(VLOOKUP(B4479,Price_data!A$1:B$190,2,FALSE))</f>
        <v>0</v>
      </c>
      <c r="R4479" s="3">
        <f>I4479*(VLOOKUP(B4479,Price_data!A$1:B$190,2,FALSE))</f>
        <v>0</v>
      </c>
      <c r="S4479" s="4" t="str">
        <f>(VLOOKUP(B4479,Price_data!A$1:C$190,3,FALSE))</f>
        <v>EEZ</v>
      </c>
      <c r="T4479" s="2" t="str">
        <f>IF(C4479="Total", (VLOOKUP(B4479,Recommended_fish_intake!A$4:D$122,4,FALSE)), "NA")</f>
        <v>NA</v>
      </c>
      <c r="U4479" s="2" t="str">
        <f t="shared" si="400"/>
        <v>NA</v>
      </c>
    </row>
    <row r="4480" spans="1:21" ht="14.25" customHeight="1">
      <c r="A4480" s="2" t="s">
        <v>90</v>
      </c>
      <c r="B4480" s="2">
        <v>2012</v>
      </c>
      <c r="C4480" s="2" t="s">
        <v>28</v>
      </c>
      <c r="D4480" s="2">
        <v>59</v>
      </c>
      <c r="E4480" s="2">
        <v>98.1</v>
      </c>
      <c r="P4480" s="3">
        <f>E4480*(VLOOKUP(B4480,Price_data!A$1:B$190,2,FALSE))</f>
        <v>68.821616542049995</v>
      </c>
      <c r="Q4480" s="3">
        <f>G4480*(VLOOKUP(B4480,Price_data!A$1:B$190,2,FALSE))</f>
        <v>0</v>
      </c>
      <c r="R4480" s="3">
        <f>I4480*(VLOOKUP(B4480,Price_data!A$1:B$190,2,FALSE))</f>
        <v>0</v>
      </c>
      <c r="S4480" s="4" t="str">
        <f>(VLOOKUP(B4480,Price_data!A$1:C$190,3,FALSE))</f>
        <v>EEZ</v>
      </c>
      <c r="T4480" s="2" t="str">
        <f>IF(C4480="Total", (VLOOKUP(B4480,Recommended_fish_intake!A$4:D$122,4,FALSE)), "NA")</f>
        <v>NA</v>
      </c>
      <c r="U4480" s="2">
        <f t="shared" si="400"/>
        <v>16.520000000000003</v>
      </c>
    </row>
    <row r="4481" spans="1:21" ht="14.25" customHeight="1">
      <c r="A4481" s="2" t="s">
        <v>91</v>
      </c>
      <c r="B4481" s="2">
        <v>2012</v>
      </c>
      <c r="C4481" s="2" t="s">
        <v>22</v>
      </c>
      <c r="D4481" s="2">
        <v>2.5000000000000001E-2</v>
      </c>
      <c r="E4481" s="2">
        <v>4.3999999999999997E-2</v>
      </c>
      <c r="P4481" s="3">
        <f>E4481*(VLOOKUP(B4481,Price_data!A$1:B$190,2,FALSE))</f>
        <v>3.0868003341999999E-2</v>
      </c>
      <c r="Q4481" s="3">
        <f>G4481*(VLOOKUP(B4481,Price_data!A$1:B$190,2,FALSE))</f>
        <v>0</v>
      </c>
      <c r="R4481" s="3">
        <f>I4481*(VLOOKUP(B4481,Price_data!A$1:B$190,2,FALSE))</f>
        <v>0</v>
      </c>
      <c r="S4481" s="4" t="str">
        <f>(VLOOKUP(B4481,Price_data!A$1:C$190,3,FALSE))</f>
        <v>EEZ</v>
      </c>
      <c r="T4481" s="2" t="str">
        <f>IF(C4481="Total", (VLOOKUP(B4481,Recommended_fish_intake!A$4:D$122,4,FALSE)), "NA")</f>
        <v>NA</v>
      </c>
      <c r="U4481" s="2" t="str">
        <f t="shared" si="400"/>
        <v>NA</v>
      </c>
    </row>
    <row r="4482" spans="1:21" ht="14.25" customHeight="1">
      <c r="A4482" s="2" t="s">
        <v>91</v>
      </c>
      <c r="B4482" s="2">
        <v>2012</v>
      </c>
      <c r="C4482" s="2" t="s">
        <v>23</v>
      </c>
      <c r="D4482" s="2">
        <v>0.127</v>
      </c>
      <c r="E4482" s="2">
        <v>0.11700000000000001</v>
      </c>
      <c r="P4482" s="3">
        <f>E4482*(VLOOKUP(B4482,Price_data!A$1:B$190,2,FALSE))</f>
        <v>8.2080827068500006E-2</v>
      </c>
      <c r="Q4482" s="3">
        <f>G4482*(VLOOKUP(B4482,Price_data!A$1:B$190,2,FALSE))</f>
        <v>0</v>
      </c>
      <c r="R4482" s="3">
        <f>I4482*(VLOOKUP(B4482,Price_data!A$1:B$190,2,FALSE))</f>
        <v>0</v>
      </c>
      <c r="S4482" s="4" t="str">
        <f>(VLOOKUP(B4482,Price_data!A$1:C$190,3,FALSE))</f>
        <v>EEZ</v>
      </c>
      <c r="T4482" s="2" t="str">
        <f>IF(C4482="Total", (VLOOKUP(B4482,Recommended_fish_intake!A$4:D$122,4,FALSE)), "NA")</f>
        <v>NA</v>
      </c>
      <c r="U4482" s="2" t="str">
        <f t="shared" ref="U4482:U4545" si="401">IF(C4482="Wet fish", D4482*0.49, IF(C4482="Shellfish", D4482*0.28, "NA"))</f>
        <v>NA</v>
      </c>
    </row>
    <row r="4483" spans="1:21" ht="14.25" customHeight="1">
      <c r="A4483" s="2" t="s">
        <v>91</v>
      </c>
      <c r="B4483" s="2">
        <v>2012</v>
      </c>
      <c r="C4483" s="2" t="s">
        <v>53</v>
      </c>
      <c r="D4483" s="2">
        <v>0.115</v>
      </c>
      <c r="E4483" s="2">
        <v>0.154</v>
      </c>
      <c r="P4483" s="3">
        <f>E4483*(VLOOKUP(B4483,Price_data!A$1:B$190,2,FALSE))</f>
        <v>0.108038011697</v>
      </c>
      <c r="Q4483" s="3">
        <f>G4483*(VLOOKUP(B4483,Price_data!A$1:B$190,2,FALSE))</f>
        <v>0</v>
      </c>
      <c r="R4483" s="3">
        <f>I4483*(VLOOKUP(B4483,Price_data!A$1:B$190,2,FALSE))</f>
        <v>0</v>
      </c>
      <c r="S4483" s="4" t="str">
        <f>(VLOOKUP(B4483,Price_data!A$1:C$190,3,FALSE))</f>
        <v>EEZ</v>
      </c>
      <c r="T4483" s="2" t="str">
        <f>IF(C4483="Total", (VLOOKUP(B4483,Recommended_fish_intake!A$4:D$122,4,FALSE)), "NA")</f>
        <v>NA</v>
      </c>
      <c r="U4483" s="2" t="str">
        <f t="shared" si="401"/>
        <v>NA</v>
      </c>
    </row>
    <row r="4484" spans="1:21" ht="14.25" customHeight="1">
      <c r="A4484" s="2" t="s">
        <v>91</v>
      </c>
      <c r="B4484" s="2">
        <v>2012</v>
      </c>
      <c r="C4484" s="2" t="s">
        <v>58</v>
      </c>
      <c r="D4484" s="2">
        <v>0.437</v>
      </c>
      <c r="E4484" s="2">
        <v>1.597</v>
      </c>
      <c r="P4484" s="3">
        <f>E4484*(VLOOKUP(B4484,Price_data!A$1:B$190,2,FALSE))</f>
        <v>1.1203682122084999</v>
      </c>
      <c r="Q4484" s="3">
        <f>G4484*(VLOOKUP(B4484,Price_data!A$1:B$190,2,FALSE))</f>
        <v>0</v>
      </c>
      <c r="R4484" s="3">
        <f>I4484*(VLOOKUP(B4484,Price_data!A$1:B$190,2,FALSE))</f>
        <v>0</v>
      </c>
      <c r="S4484" s="4" t="str">
        <f>(VLOOKUP(B4484,Price_data!A$1:C$190,3,FALSE))</f>
        <v>EEZ</v>
      </c>
      <c r="T4484" s="2" t="str">
        <f>IF(C4484="Total", (VLOOKUP(B4484,Recommended_fish_intake!A$4:D$122,4,FALSE)), "NA")</f>
        <v>NA</v>
      </c>
      <c r="U4484" s="2" t="str">
        <f t="shared" si="401"/>
        <v>NA</v>
      </c>
    </row>
    <row r="4485" spans="1:21" ht="14.25" customHeight="1">
      <c r="A4485" s="2" t="s">
        <v>91</v>
      </c>
      <c r="B4485" s="2">
        <v>2012</v>
      </c>
      <c r="C4485" s="2" t="s">
        <v>38</v>
      </c>
      <c r="D4485" s="2">
        <v>4.0000000000000001E-3</v>
      </c>
      <c r="E4485" s="2">
        <v>3.0000000000000001E-3</v>
      </c>
      <c r="P4485" s="3">
        <f>E4485*(VLOOKUP(B4485,Price_data!A$1:B$190,2,FALSE))</f>
        <v>2.1046365915E-3</v>
      </c>
      <c r="Q4485" s="3">
        <f>G4485*(VLOOKUP(B4485,Price_data!A$1:B$190,2,FALSE))</f>
        <v>0</v>
      </c>
      <c r="R4485" s="3">
        <f>I4485*(VLOOKUP(B4485,Price_data!A$1:B$190,2,FALSE))</f>
        <v>0</v>
      </c>
      <c r="S4485" s="4" t="str">
        <f>(VLOOKUP(B4485,Price_data!A$1:C$190,3,FALSE))</f>
        <v>EEZ</v>
      </c>
      <c r="T4485" s="2" t="str">
        <f>IF(C4485="Total", (VLOOKUP(B4485,Recommended_fish_intake!A$4:D$122,4,FALSE)), "NA")</f>
        <v>NA</v>
      </c>
      <c r="U4485" s="2" t="str">
        <f t="shared" si="401"/>
        <v>NA</v>
      </c>
    </row>
    <row r="4486" spans="1:21" ht="14.25" customHeight="1">
      <c r="A4486" s="2" t="s">
        <v>91</v>
      </c>
      <c r="B4486" s="2">
        <v>2012</v>
      </c>
      <c r="C4486" s="2" t="s">
        <v>63</v>
      </c>
      <c r="D4486" s="2">
        <v>2.8000000000000001E-2</v>
      </c>
      <c r="E4486" s="2">
        <v>0.23400000000000001</v>
      </c>
      <c r="P4486" s="3">
        <f>E4486*(VLOOKUP(B4486,Price_data!A$1:B$190,2,FALSE))</f>
        <v>0.16416165413700001</v>
      </c>
      <c r="Q4486" s="3">
        <f>G4486*(VLOOKUP(B4486,Price_data!A$1:B$190,2,FALSE))</f>
        <v>0</v>
      </c>
      <c r="R4486" s="3">
        <f>I4486*(VLOOKUP(B4486,Price_data!A$1:B$190,2,FALSE))</f>
        <v>0</v>
      </c>
      <c r="S4486" s="4" t="str">
        <f>(VLOOKUP(B4486,Price_data!A$1:C$190,3,FALSE))</f>
        <v>EEZ</v>
      </c>
      <c r="T4486" s="2" t="str">
        <f>IF(C4486="Total", (VLOOKUP(B4486,Recommended_fish_intake!A$4:D$122,4,FALSE)), "NA")</f>
        <v>NA</v>
      </c>
      <c r="U4486" s="2" t="str">
        <f t="shared" si="401"/>
        <v>NA</v>
      </c>
    </row>
    <row r="4487" spans="1:21" ht="14.25" customHeight="1">
      <c r="A4487" s="2" t="s">
        <v>91</v>
      </c>
      <c r="B4487" s="2">
        <v>2012</v>
      </c>
      <c r="C4487" s="2" t="s">
        <v>24</v>
      </c>
      <c r="D4487" s="2">
        <v>1.4E-2</v>
      </c>
      <c r="E4487" s="2">
        <v>8.9999999999999993E-3</v>
      </c>
      <c r="P4487" s="3">
        <f>E4487*(VLOOKUP(B4487,Price_data!A$1:B$190,2,FALSE))</f>
        <v>6.3139097744999992E-3</v>
      </c>
      <c r="Q4487" s="3">
        <f>G4487*(VLOOKUP(B4487,Price_data!A$1:B$190,2,FALSE))</f>
        <v>0</v>
      </c>
      <c r="R4487" s="3">
        <f>I4487*(VLOOKUP(B4487,Price_data!A$1:B$190,2,FALSE))</f>
        <v>0</v>
      </c>
      <c r="S4487" s="4" t="str">
        <f>(VLOOKUP(B4487,Price_data!A$1:C$190,3,FALSE))</f>
        <v>EEZ</v>
      </c>
      <c r="T4487" s="2" t="str">
        <f>IF(C4487="Total", (VLOOKUP(B4487,Recommended_fish_intake!A$4:D$122,4,FALSE)), "NA")</f>
        <v>NA</v>
      </c>
      <c r="U4487" s="2" t="str">
        <f t="shared" si="401"/>
        <v>NA</v>
      </c>
    </row>
    <row r="4488" spans="1:21" ht="14.25" customHeight="1">
      <c r="A4488" s="2" t="s">
        <v>91</v>
      </c>
      <c r="B4488" s="2">
        <v>2012</v>
      </c>
      <c r="C4488" s="2" t="s">
        <v>41</v>
      </c>
      <c r="D4488" s="2">
        <v>1.8520000000000001</v>
      </c>
      <c r="E4488" s="2">
        <v>5.37</v>
      </c>
      <c r="P4488" s="3">
        <f>E4488*(VLOOKUP(B4488,Price_data!A$1:B$190,2,FALSE))</f>
        <v>3.7672994987850004</v>
      </c>
      <c r="Q4488" s="3">
        <f>G4488*(VLOOKUP(B4488,Price_data!A$1:B$190,2,FALSE))</f>
        <v>0</v>
      </c>
      <c r="R4488" s="3">
        <f>I4488*(VLOOKUP(B4488,Price_data!A$1:B$190,2,FALSE))</f>
        <v>0</v>
      </c>
      <c r="S4488" s="4" t="str">
        <f>(VLOOKUP(B4488,Price_data!A$1:C$190,3,FALSE))</f>
        <v>EEZ</v>
      </c>
      <c r="T4488" s="2" t="str">
        <f>IF(C4488="Total", (VLOOKUP(B4488,Recommended_fish_intake!A$4:D$122,4,FALSE)), "NA")</f>
        <v>NA</v>
      </c>
      <c r="U4488" s="2" t="str">
        <f t="shared" si="401"/>
        <v>NA</v>
      </c>
    </row>
    <row r="4489" spans="1:21" ht="14.25" customHeight="1">
      <c r="A4489" s="2" t="s">
        <v>91</v>
      </c>
      <c r="B4489" s="2">
        <v>2012</v>
      </c>
      <c r="C4489" s="2" t="s">
        <v>19</v>
      </c>
      <c r="D4489" s="2">
        <v>1E-3</v>
      </c>
      <c r="E4489" s="2">
        <v>1E-3</v>
      </c>
      <c r="P4489" s="3">
        <f>E4489*(VLOOKUP(B4489,Price_data!A$1:B$190,2,FALSE))</f>
        <v>7.0154553050000008E-4</v>
      </c>
      <c r="Q4489" s="3">
        <f>G4489*(VLOOKUP(B4489,Price_data!A$1:B$190,2,FALSE))</f>
        <v>0</v>
      </c>
      <c r="R4489" s="3">
        <f>I4489*(VLOOKUP(B4489,Price_data!A$1:B$190,2,FALSE))</f>
        <v>0</v>
      </c>
      <c r="S4489" s="4" t="str">
        <f>(VLOOKUP(B4489,Price_data!A$1:C$190,3,FALSE))</f>
        <v>EEZ</v>
      </c>
      <c r="T4489" s="2" t="str">
        <f>IF(C4489="Total", (VLOOKUP(B4489,Recommended_fish_intake!A$4:D$122,4,FALSE)), "NA")</f>
        <v>NA</v>
      </c>
      <c r="U4489" s="2" t="str">
        <f t="shared" si="401"/>
        <v>NA</v>
      </c>
    </row>
    <row r="4490" spans="1:21" ht="14.25" customHeight="1">
      <c r="A4490" s="2" t="s">
        <v>91</v>
      </c>
      <c r="B4490" s="2">
        <v>2012</v>
      </c>
      <c r="C4490" s="2" t="s">
        <v>20</v>
      </c>
      <c r="D4490" s="2">
        <v>3.0000000000000001E-3</v>
      </c>
      <c r="E4490" s="2">
        <v>6.0000000000000001E-3</v>
      </c>
      <c r="P4490" s="3">
        <f>E4490*(VLOOKUP(B4490,Price_data!A$1:B$190,2,FALSE))</f>
        <v>4.2092731830000001E-3</v>
      </c>
      <c r="Q4490" s="3">
        <f>G4490*(VLOOKUP(B4490,Price_data!A$1:B$190,2,FALSE))</f>
        <v>0</v>
      </c>
      <c r="R4490" s="3">
        <f>I4490*(VLOOKUP(B4490,Price_data!A$1:B$190,2,FALSE))</f>
        <v>0</v>
      </c>
      <c r="S4490" s="4" t="str">
        <f>(VLOOKUP(B4490,Price_data!A$1:C$190,3,FALSE))</f>
        <v>EEZ</v>
      </c>
      <c r="T4490" s="2" t="str">
        <f>IF(C4490="Total", (VLOOKUP(B4490,Recommended_fish_intake!A$4:D$122,4,FALSE)), "NA")</f>
        <v>NA</v>
      </c>
      <c r="U4490" s="2" t="str">
        <f t="shared" si="401"/>
        <v>NA</v>
      </c>
    </row>
    <row r="4491" spans="1:21" ht="14.25" customHeight="1">
      <c r="A4491" s="2" t="s">
        <v>91</v>
      </c>
      <c r="B4491" s="2">
        <v>2012</v>
      </c>
      <c r="C4491" s="2" t="s">
        <v>42</v>
      </c>
      <c r="D4491" s="2">
        <v>4.0000000000000001E-3</v>
      </c>
      <c r="E4491" s="2">
        <v>7.0000000000000001E-3</v>
      </c>
      <c r="P4491" s="3">
        <f>E4491*(VLOOKUP(B4491,Price_data!A$1:B$190,2,FALSE))</f>
        <v>4.9108187135000004E-3</v>
      </c>
      <c r="Q4491" s="3">
        <f>G4491*(VLOOKUP(B4491,Price_data!A$1:B$190,2,FALSE))</f>
        <v>0</v>
      </c>
      <c r="R4491" s="3">
        <f>I4491*(VLOOKUP(B4491,Price_data!A$1:B$190,2,FALSE))</f>
        <v>0</v>
      </c>
      <c r="S4491" s="4" t="str">
        <f>(VLOOKUP(B4491,Price_data!A$1:C$190,3,FALSE))</f>
        <v>EEZ</v>
      </c>
      <c r="T4491" s="2" t="str">
        <f>IF(C4491="Total", (VLOOKUP(B4491,Recommended_fish_intake!A$4:D$122,4,FALSE)), "NA")</f>
        <v>NA</v>
      </c>
      <c r="U4491" s="2" t="str">
        <f t="shared" si="401"/>
        <v>NA</v>
      </c>
    </row>
    <row r="4492" spans="1:21" ht="14.25" customHeight="1">
      <c r="A4492" s="2" t="s">
        <v>91</v>
      </c>
      <c r="B4492" s="2">
        <v>2012</v>
      </c>
      <c r="C4492" s="2" t="s">
        <v>36</v>
      </c>
      <c r="D4492" s="2">
        <v>1.01</v>
      </c>
      <c r="E4492" s="2">
        <v>1.1930000000000001</v>
      </c>
      <c r="P4492" s="3">
        <f>E4492*(VLOOKUP(B4492,Price_data!A$1:B$190,2,FALSE))</f>
        <v>0.83694381788650007</v>
      </c>
      <c r="Q4492" s="3">
        <f>G4492*(VLOOKUP(B4492,Price_data!A$1:B$190,2,FALSE))</f>
        <v>0</v>
      </c>
      <c r="R4492" s="3">
        <f>I4492*(VLOOKUP(B4492,Price_data!A$1:B$190,2,FALSE))</f>
        <v>0</v>
      </c>
      <c r="S4492" s="4" t="str">
        <f>(VLOOKUP(B4492,Price_data!A$1:C$190,3,FALSE))</f>
        <v>EEZ</v>
      </c>
      <c r="T4492" s="2" t="str">
        <f>IF(C4492="Total", (VLOOKUP(B4492,Recommended_fish_intake!A$4:D$122,4,FALSE)), "NA")</f>
        <v>NA</v>
      </c>
      <c r="U4492" s="2" t="str">
        <f t="shared" si="401"/>
        <v>NA</v>
      </c>
    </row>
    <row r="4493" spans="1:21" ht="14.25" customHeight="1">
      <c r="A4493" s="2" t="s">
        <v>91</v>
      </c>
      <c r="B4493" s="2">
        <v>2012</v>
      </c>
      <c r="C4493" s="2" t="s">
        <v>34</v>
      </c>
      <c r="D4493" s="2">
        <v>0.223</v>
      </c>
      <c r="E4493" s="2">
        <v>2.1659999999999999</v>
      </c>
      <c r="P4493" s="3">
        <f>E4493*(VLOOKUP(B4493,Price_data!A$1:B$190,2,FALSE))</f>
        <v>1.519547619063</v>
      </c>
      <c r="Q4493" s="3">
        <f>G4493*(VLOOKUP(B4493,Price_data!A$1:B$190,2,FALSE))</f>
        <v>0</v>
      </c>
      <c r="R4493" s="3">
        <f>I4493*(VLOOKUP(B4493,Price_data!A$1:B$190,2,FALSE))</f>
        <v>0</v>
      </c>
      <c r="S4493" s="4" t="str">
        <f>(VLOOKUP(B4493,Price_data!A$1:C$190,3,FALSE))</f>
        <v>EEZ</v>
      </c>
      <c r="T4493" s="2" t="str">
        <f>IF(C4493="Total", (VLOOKUP(B4493,Recommended_fish_intake!A$4:D$122,4,FALSE)), "NA")</f>
        <v>NA</v>
      </c>
      <c r="U4493" s="2" t="str">
        <f t="shared" si="401"/>
        <v>NA</v>
      </c>
    </row>
    <row r="4494" spans="1:21" ht="14.25" customHeight="1">
      <c r="A4494" s="2" t="s">
        <v>91</v>
      </c>
      <c r="B4494" s="2">
        <v>2012</v>
      </c>
      <c r="C4494" s="2" t="s">
        <v>35</v>
      </c>
      <c r="D4494" s="2">
        <v>5.2999999999999999E-2</v>
      </c>
      <c r="E4494" s="2">
        <v>0.188</v>
      </c>
      <c r="P4494" s="3">
        <f>E4494*(VLOOKUP(B4494,Price_data!A$1:B$190,2,FALSE))</f>
        <v>0.13189055973399999</v>
      </c>
      <c r="Q4494" s="3">
        <f>G4494*(VLOOKUP(B4494,Price_data!A$1:B$190,2,FALSE))</f>
        <v>0</v>
      </c>
      <c r="R4494" s="3">
        <f>I4494*(VLOOKUP(B4494,Price_data!A$1:B$190,2,FALSE))</f>
        <v>0</v>
      </c>
      <c r="S4494" s="4" t="str">
        <f>(VLOOKUP(B4494,Price_data!A$1:C$190,3,FALSE))</f>
        <v>EEZ</v>
      </c>
      <c r="T4494" s="2" t="str">
        <f>IF(C4494="Total", (VLOOKUP(B4494,Recommended_fish_intake!A$4:D$122,4,FALSE)), "NA")</f>
        <v>NA</v>
      </c>
      <c r="U4494" s="2" t="str">
        <f t="shared" si="401"/>
        <v>NA</v>
      </c>
    </row>
    <row r="4495" spans="1:21" ht="14.25" customHeight="1">
      <c r="A4495" s="2" t="s">
        <v>91</v>
      </c>
      <c r="B4495" s="2">
        <v>2012</v>
      </c>
      <c r="C4495" s="2" t="s">
        <v>52</v>
      </c>
      <c r="D4495" s="2">
        <v>5.9249999999999998</v>
      </c>
      <c r="E4495" s="2">
        <v>7.6139999999999999</v>
      </c>
      <c r="P4495" s="3">
        <f>E4495*(VLOOKUP(B4495,Price_data!A$1:B$190,2,FALSE))</f>
        <v>5.3415676692270004</v>
      </c>
      <c r="Q4495" s="3">
        <f>G4495*(VLOOKUP(B4495,Price_data!A$1:B$190,2,FALSE))</f>
        <v>0</v>
      </c>
      <c r="R4495" s="3">
        <f>I4495*(VLOOKUP(B4495,Price_data!A$1:B$190,2,FALSE))</f>
        <v>0</v>
      </c>
      <c r="S4495" s="4" t="str">
        <f>(VLOOKUP(B4495,Price_data!A$1:C$190,3,FALSE))</f>
        <v>EEZ</v>
      </c>
      <c r="T4495" s="2" t="str">
        <f>IF(C4495="Total", (VLOOKUP(B4495,Recommended_fish_intake!A$4:D$122,4,FALSE)), "NA")</f>
        <v>NA</v>
      </c>
      <c r="U4495" s="2" t="str">
        <f t="shared" si="401"/>
        <v>NA</v>
      </c>
    </row>
    <row r="4496" spans="1:21" ht="14.25" customHeight="1">
      <c r="A4496" s="2" t="s">
        <v>91</v>
      </c>
      <c r="B4496" s="2">
        <v>2012</v>
      </c>
      <c r="C4496" s="2" t="s">
        <v>30</v>
      </c>
      <c r="D4496" s="2">
        <v>0</v>
      </c>
      <c r="E4496" s="2">
        <v>0</v>
      </c>
      <c r="P4496" s="3">
        <f>E4496*(VLOOKUP(B4496,Price_data!A$1:B$190,2,FALSE))</f>
        <v>0</v>
      </c>
      <c r="Q4496" s="3">
        <f>G4496*(VLOOKUP(B4496,Price_data!A$1:B$190,2,FALSE))</f>
        <v>0</v>
      </c>
      <c r="R4496" s="3">
        <f>I4496*(VLOOKUP(B4496,Price_data!A$1:B$190,2,FALSE))</f>
        <v>0</v>
      </c>
      <c r="S4496" s="4" t="str">
        <f>(VLOOKUP(B4496,Price_data!A$1:C$190,3,FALSE))</f>
        <v>EEZ</v>
      </c>
      <c r="T4496" s="2" t="str">
        <f>IF(C4496="Total", (VLOOKUP(B4496,Recommended_fish_intake!A$4:D$122,4,FALSE)), "NA")</f>
        <v>NA</v>
      </c>
      <c r="U4496" s="2" t="str">
        <f t="shared" si="401"/>
        <v>NA</v>
      </c>
    </row>
    <row r="4497" spans="1:21" ht="14.25" customHeight="1">
      <c r="A4497" s="2" t="s">
        <v>91</v>
      </c>
      <c r="B4497" s="2">
        <v>2012</v>
      </c>
      <c r="C4497" s="2" t="s">
        <v>28</v>
      </c>
      <c r="D4497" s="2">
        <v>11.933</v>
      </c>
      <c r="E4497" s="2">
        <v>14.784000000000001</v>
      </c>
      <c r="P4497" s="3">
        <f>E4497*(VLOOKUP(B4497,Price_data!A$1:B$190,2,FALSE))</f>
        <v>10.371649122912</v>
      </c>
      <c r="Q4497" s="3">
        <f>G4497*(VLOOKUP(B4497,Price_data!A$1:B$190,2,FALSE))</f>
        <v>0</v>
      </c>
      <c r="R4497" s="3">
        <f>I4497*(VLOOKUP(B4497,Price_data!A$1:B$190,2,FALSE))</f>
        <v>0</v>
      </c>
      <c r="S4497" s="4" t="str">
        <f>(VLOOKUP(B4497,Price_data!A$1:C$190,3,FALSE))</f>
        <v>EEZ</v>
      </c>
      <c r="T4497" s="2" t="str">
        <f>IF(C4497="Total", (VLOOKUP(B4497,Recommended_fish_intake!A$4:D$122,4,FALSE)), "NA")</f>
        <v>NA</v>
      </c>
      <c r="U4497" s="2">
        <f t="shared" si="401"/>
        <v>3.3412400000000004</v>
      </c>
    </row>
    <row r="4498" spans="1:21" ht="14.25" customHeight="1">
      <c r="A4498" s="2" t="s">
        <v>39</v>
      </c>
      <c r="B4498" s="2">
        <v>2012</v>
      </c>
      <c r="C4498" s="2" t="s">
        <v>22</v>
      </c>
      <c r="D4498" s="2">
        <v>11.087</v>
      </c>
      <c r="E4498" s="2">
        <v>21.800999999999998</v>
      </c>
      <c r="P4498" s="3">
        <f>E4498*(VLOOKUP(B4498,Price_data!A$1:B$190,2,FALSE))</f>
        <v>15.294394110430499</v>
      </c>
      <c r="Q4498" s="3">
        <f>G4498*(VLOOKUP(B4498,Price_data!A$1:B$190,2,FALSE))</f>
        <v>0</v>
      </c>
      <c r="R4498" s="3">
        <f>I4498*(VLOOKUP(B4498,Price_data!A$1:B$190,2,FALSE))</f>
        <v>0</v>
      </c>
      <c r="S4498" s="4" t="str">
        <f>(VLOOKUP(B4498,Price_data!A$1:C$190,3,FALSE))</f>
        <v>EEZ</v>
      </c>
      <c r="T4498" s="2" t="str">
        <f>IF(C4498="Total", (VLOOKUP(B4498,Recommended_fish_intake!A$4:D$122,4,FALSE)), "NA")</f>
        <v>NA</v>
      </c>
      <c r="U4498" s="2" t="str">
        <f t="shared" si="401"/>
        <v>NA</v>
      </c>
    </row>
    <row r="4499" spans="1:21" ht="14.25" customHeight="1">
      <c r="A4499" s="2" t="s">
        <v>39</v>
      </c>
      <c r="B4499" s="2">
        <v>2012</v>
      </c>
      <c r="C4499" s="2" t="s">
        <v>23</v>
      </c>
      <c r="D4499" s="2">
        <v>30.925000000000001</v>
      </c>
      <c r="E4499" s="2">
        <v>32.316000000000003</v>
      </c>
      <c r="P4499" s="3">
        <f>E4499*(VLOOKUP(B4499,Price_data!A$1:B$190,2,FALSE))</f>
        <v>22.671145363638001</v>
      </c>
      <c r="Q4499" s="3">
        <f>G4499*(VLOOKUP(B4499,Price_data!A$1:B$190,2,FALSE))</f>
        <v>0</v>
      </c>
      <c r="R4499" s="3">
        <f>I4499*(VLOOKUP(B4499,Price_data!A$1:B$190,2,FALSE))</f>
        <v>0</v>
      </c>
      <c r="S4499" s="4" t="str">
        <f>(VLOOKUP(B4499,Price_data!A$1:C$190,3,FALSE))</f>
        <v>EEZ</v>
      </c>
      <c r="T4499" s="2" t="str">
        <f>IF(C4499="Total", (VLOOKUP(B4499,Recommended_fish_intake!A$4:D$122,4,FALSE)), "NA")</f>
        <v>NA</v>
      </c>
      <c r="U4499" s="2" t="str">
        <f t="shared" si="401"/>
        <v>NA</v>
      </c>
    </row>
    <row r="4500" spans="1:21" ht="14.25" customHeight="1">
      <c r="A4500" s="2" t="s">
        <v>39</v>
      </c>
      <c r="B4500" s="2">
        <v>2012</v>
      </c>
      <c r="C4500" s="2" t="s">
        <v>53</v>
      </c>
      <c r="D4500" s="2">
        <v>5.6740000000000004</v>
      </c>
      <c r="E4500" s="2">
        <v>12.167</v>
      </c>
      <c r="P4500" s="3">
        <f>E4500*(VLOOKUP(B4500,Price_data!A$1:B$190,2,FALSE))</f>
        <v>8.5357044695934992</v>
      </c>
      <c r="Q4500" s="3">
        <f>G4500*(VLOOKUP(B4500,Price_data!A$1:B$190,2,FALSE))</f>
        <v>0</v>
      </c>
      <c r="R4500" s="3">
        <f>I4500*(VLOOKUP(B4500,Price_data!A$1:B$190,2,FALSE))</f>
        <v>0</v>
      </c>
      <c r="S4500" s="4" t="str">
        <f>(VLOOKUP(B4500,Price_data!A$1:C$190,3,FALSE))</f>
        <v>EEZ</v>
      </c>
      <c r="T4500" s="2" t="str">
        <f>IF(C4500="Total", (VLOOKUP(B4500,Recommended_fish_intake!A$4:D$122,4,FALSE)), "NA")</f>
        <v>NA</v>
      </c>
      <c r="U4500" s="2" t="str">
        <f t="shared" si="401"/>
        <v>NA</v>
      </c>
    </row>
    <row r="4501" spans="1:21" ht="14.25" customHeight="1">
      <c r="A4501" s="2" t="s">
        <v>39</v>
      </c>
      <c r="B4501" s="2">
        <v>2012</v>
      </c>
      <c r="C4501" s="2" t="s">
        <v>58</v>
      </c>
      <c r="D4501" s="2">
        <v>6.5620000000000003</v>
      </c>
      <c r="E4501" s="2">
        <v>21.042000000000002</v>
      </c>
      <c r="P4501" s="3">
        <f>E4501*(VLOOKUP(B4501,Price_data!A$1:B$190,2,FALSE))</f>
        <v>14.761921052781002</v>
      </c>
      <c r="Q4501" s="3">
        <f>G4501*(VLOOKUP(B4501,Price_data!A$1:B$190,2,FALSE))</f>
        <v>0</v>
      </c>
      <c r="R4501" s="3">
        <f>I4501*(VLOOKUP(B4501,Price_data!A$1:B$190,2,FALSE))</f>
        <v>0</v>
      </c>
      <c r="S4501" s="4" t="str">
        <f>(VLOOKUP(B4501,Price_data!A$1:C$190,3,FALSE))</f>
        <v>EEZ</v>
      </c>
      <c r="T4501" s="2" t="str">
        <f>IF(C4501="Total", (VLOOKUP(B4501,Recommended_fish_intake!A$4:D$122,4,FALSE)), "NA")</f>
        <v>NA</v>
      </c>
      <c r="U4501" s="2" t="str">
        <f t="shared" si="401"/>
        <v>NA</v>
      </c>
    </row>
    <row r="4502" spans="1:21" ht="14.25" customHeight="1">
      <c r="A4502" s="2" t="s">
        <v>39</v>
      </c>
      <c r="B4502" s="2">
        <v>2012</v>
      </c>
      <c r="C4502" s="2" t="s">
        <v>38</v>
      </c>
      <c r="D4502" s="2">
        <v>10.808999999999999</v>
      </c>
      <c r="E4502" s="2">
        <v>11.147</v>
      </c>
      <c r="P4502" s="3">
        <f>E4502*(VLOOKUP(B4502,Price_data!A$1:B$190,2,FALSE))</f>
        <v>7.8201280284835004</v>
      </c>
      <c r="Q4502" s="3">
        <f>G4502*(VLOOKUP(B4502,Price_data!A$1:B$190,2,FALSE))</f>
        <v>0</v>
      </c>
      <c r="R4502" s="3">
        <f>I4502*(VLOOKUP(B4502,Price_data!A$1:B$190,2,FALSE))</f>
        <v>0</v>
      </c>
      <c r="S4502" s="4" t="str">
        <f>(VLOOKUP(B4502,Price_data!A$1:C$190,3,FALSE))</f>
        <v>EEZ</v>
      </c>
      <c r="T4502" s="2" t="str">
        <f>IF(C4502="Total", (VLOOKUP(B4502,Recommended_fish_intake!A$4:D$122,4,FALSE)), "NA")</f>
        <v>NA</v>
      </c>
      <c r="U4502" s="2" t="str">
        <f t="shared" si="401"/>
        <v>NA</v>
      </c>
    </row>
    <row r="4503" spans="1:21" ht="14.25" customHeight="1">
      <c r="A4503" s="2" t="s">
        <v>39</v>
      </c>
      <c r="B4503" s="2">
        <v>2012</v>
      </c>
      <c r="C4503" s="2" t="s">
        <v>63</v>
      </c>
      <c r="D4503" s="2">
        <v>4.0000000000000001E-3</v>
      </c>
      <c r="E4503" s="2">
        <v>0.02</v>
      </c>
      <c r="P4503" s="3">
        <f>E4503*(VLOOKUP(B4503,Price_data!A$1:B$190,2,FALSE))</f>
        <v>1.4030910610000001E-2</v>
      </c>
      <c r="Q4503" s="3">
        <f>G4503*(VLOOKUP(B4503,Price_data!A$1:B$190,2,FALSE))</f>
        <v>0</v>
      </c>
      <c r="R4503" s="3">
        <f>I4503*(VLOOKUP(B4503,Price_data!A$1:B$190,2,FALSE))</f>
        <v>0</v>
      </c>
      <c r="S4503" s="4" t="str">
        <f>(VLOOKUP(B4503,Price_data!A$1:C$190,3,FALSE))</f>
        <v>EEZ</v>
      </c>
      <c r="T4503" s="2" t="str">
        <f>IF(C4503="Total", (VLOOKUP(B4503,Recommended_fish_intake!A$4:D$122,4,FALSE)), "NA")</f>
        <v>NA</v>
      </c>
      <c r="U4503" s="2" t="str">
        <f t="shared" si="401"/>
        <v>NA</v>
      </c>
    </row>
    <row r="4504" spans="1:21" ht="14.25" customHeight="1">
      <c r="A4504" s="2" t="s">
        <v>39</v>
      </c>
      <c r="B4504" s="2">
        <v>2012</v>
      </c>
      <c r="C4504" s="2" t="s">
        <v>24</v>
      </c>
      <c r="D4504" s="2">
        <v>8.8520000000000003</v>
      </c>
      <c r="E4504" s="2">
        <v>9.4809999999999999</v>
      </c>
      <c r="P4504" s="3">
        <f>E4504*(VLOOKUP(B4504,Price_data!A$1:B$190,2,FALSE))</f>
        <v>6.6513531746704997</v>
      </c>
      <c r="Q4504" s="3">
        <f>G4504*(VLOOKUP(B4504,Price_data!A$1:B$190,2,FALSE))</f>
        <v>0</v>
      </c>
      <c r="R4504" s="3">
        <f>I4504*(VLOOKUP(B4504,Price_data!A$1:B$190,2,FALSE))</f>
        <v>0</v>
      </c>
      <c r="S4504" s="4" t="str">
        <f>(VLOOKUP(B4504,Price_data!A$1:C$190,3,FALSE))</f>
        <v>EEZ</v>
      </c>
      <c r="T4504" s="2" t="str">
        <f>IF(C4504="Total", (VLOOKUP(B4504,Recommended_fish_intake!A$4:D$122,4,FALSE)), "NA")</f>
        <v>NA</v>
      </c>
      <c r="U4504" s="2" t="str">
        <f t="shared" si="401"/>
        <v>NA</v>
      </c>
    </row>
    <row r="4505" spans="1:21" ht="14.25" customHeight="1">
      <c r="A4505" s="2" t="s">
        <v>39</v>
      </c>
      <c r="B4505" s="2">
        <v>2012</v>
      </c>
      <c r="C4505" s="2" t="s">
        <v>41</v>
      </c>
      <c r="D4505" s="2">
        <v>84.403000000000006</v>
      </c>
      <c r="E4505" s="2">
        <v>125.928</v>
      </c>
      <c r="P4505" s="3">
        <f>E4505*(VLOOKUP(B4505,Price_data!A$1:B$190,2,FALSE))</f>
        <v>88.344225564804006</v>
      </c>
      <c r="Q4505" s="3">
        <f>G4505*(VLOOKUP(B4505,Price_data!A$1:B$190,2,FALSE))</f>
        <v>0</v>
      </c>
      <c r="R4505" s="3">
        <f>I4505*(VLOOKUP(B4505,Price_data!A$1:B$190,2,FALSE))</f>
        <v>0</v>
      </c>
      <c r="S4505" s="4" t="str">
        <f>(VLOOKUP(B4505,Price_data!A$1:C$190,3,FALSE))</f>
        <v>EEZ</v>
      </c>
      <c r="T4505" s="2" t="str">
        <f>IF(C4505="Total", (VLOOKUP(B4505,Recommended_fish_intake!A$4:D$122,4,FALSE)), "NA")</f>
        <v>NA</v>
      </c>
      <c r="U4505" s="2" t="str">
        <f t="shared" si="401"/>
        <v>NA</v>
      </c>
    </row>
    <row r="4506" spans="1:21" ht="14.25" customHeight="1">
      <c r="A4506" s="2" t="s">
        <v>39</v>
      </c>
      <c r="B4506" s="2">
        <v>2012</v>
      </c>
      <c r="C4506" s="2" t="s">
        <v>19</v>
      </c>
      <c r="D4506" s="2">
        <v>32.616999999999997</v>
      </c>
      <c r="E4506" s="2">
        <v>16.09</v>
      </c>
      <c r="P4506" s="3">
        <f>E4506*(VLOOKUP(B4506,Price_data!A$1:B$190,2,FALSE))</f>
        <v>11.287867585744999</v>
      </c>
      <c r="Q4506" s="3">
        <f>G4506*(VLOOKUP(B4506,Price_data!A$1:B$190,2,FALSE))</f>
        <v>0</v>
      </c>
      <c r="R4506" s="3">
        <f>I4506*(VLOOKUP(B4506,Price_data!A$1:B$190,2,FALSE))</f>
        <v>0</v>
      </c>
      <c r="S4506" s="4" t="str">
        <f>(VLOOKUP(B4506,Price_data!A$1:C$190,3,FALSE))</f>
        <v>EEZ</v>
      </c>
      <c r="T4506" s="2" t="str">
        <f>IF(C4506="Total", (VLOOKUP(B4506,Recommended_fish_intake!A$4:D$122,4,FALSE)), "NA")</f>
        <v>NA</v>
      </c>
      <c r="U4506" s="2" t="str">
        <f t="shared" si="401"/>
        <v>NA</v>
      </c>
    </row>
    <row r="4507" spans="1:21" ht="14.25" customHeight="1">
      <c r="A4507" s="2" t="s">
        <v>39</v>
      </c>
      <c r="B4507" s="2">
        <v>2012</v>
      </c>
      <c r="C4507" s="2" t="s">
        <v>20</v>
      </c>
      <c r="D4507" s="2">
        <v>63.23</v>
      </c>
      <c r="E4507" s="2">
        <v>59.127000000000002</v>
      </c>
      <c r="P4507" s="3">
        <f>E4507*(VLOOKUP(B4507,Price_data!A$1:B$190,2,FALSE))</f>
        <v>41.480282581873503</v>
      </c>
      <c r="Q4507" s="3">
        <f>G4507*(VLOOKUP(B4507,Price_data!A$1:B$190,2,FALSE))</f>
        <v>0</v>
      </c>
      <c r="R4507" s="3">
        <f>I4507*(VLOOKUP(B4507,Price_data!A$1:B$190,2,FALSE))</f>
        <v>0</v>
      </c>
      <c r="S4507" s="4" t="str">
        <f>(VLOOKUP(B4507,Price_data!A$1:C$190,3,FALSE))</f>
        <v>EEZ</v>
      </c>
      <c r="T4507" s="2" t="str">
        <f>IF(C4507="Total", (VLOOKUP(B4507,Recommended_fish_intake!A$4:D$122,4,FALSE)), "NA")</f>
        <v>NA</v>
      </c>
      <c r="U4507" s="2" t="str">
        <f t="shared" si="401"/>
        <v>NA</v>
      </c>
    </row>
    <row r="4508" spans="1:21" ht="14.25" customHeight="1">
      <c r="A4508" s="2" t="s">
        <v>39</v>
      </c>
      <c r="B4508" s="2">
        <v>2012</v>
      </c>
      <c r="C4508" s="2" t="s">
        <v>42</v>
      </c>
      <c r="D4508" s="2">
        <v>105.232</v>
      </c>
      <c r="E4508" s="2">
        <v>78.082999999999998</v>
      </c>
      <c r="P4508" s="3">
        <f>E4508*(VLOOKUP(B4508,Price_data!A$1:B$190,2,FALSE))</f>
        <v>54.778779658031503</v>
      </c>
      <c r="Q4508" s="3">
        <f>G4508*(VLOOKUP(B4508,Price_data!A$1:B$190,2,FALSE))</f>
        <v>0</v>
      </c>
      <c r="R4508" s="3">
        <f>I4508*(VLOOKUP(B4508,Price_data!A$1:B$190,2,FALSE))</f>
        <v>0</v>
      </c>
      <c r="S4508" s="4" t="str">
        <f>(VLOOKUP(B4508,Price_data!A$1:C$190,3,FALSE))</f>
        <v>EEZ</v>
      </c>
      <c r="T4508" s="2" t="str">
        <f>IF(C4508="Total", (VLOOKUP(B4508,Recommended_fish_intake!A$4:D$122,4,FALSE)), "NA")</f>
        <v>NA</v>
      </c>
      <c r="U4508" s="2" t="str">
        <f t="shared" si="401"/>
        <v>NA</v>
      </c>
    </row>
    <row r="4509" spans="1:21" ht="14.25" customHeight="1">
      <c r="A4509" s="2" t="s">
        <v>39</v>
      </c>
      <c r="B4509" s="2">
        <v>2012</v>
      </c>
      <c r="C4509" s="2" t="s">
        <v>36</v>
      </c>
      <c r="D4509" s="2">
        <v>13.221</v>
      </c>
      <c r="E4509" s="2">
        <v>18.297000000000001</v>
      </c>
      <c r="P4509" s="3">
        <f>E4509*(VLOOKUP(B4509,Price_data!A$1:B$190,2,FALSE))</f>
        <v>12.8361785715585</v>
      </c>
      <c r="Q4509" s="3">
        <f>G4509*(VLOOKUP(B4509,Price_data!A$1:B$190,2,FALSE))</f>
        <v>0</v>
      </c>
      <c r="R4509" s="3">
        <f>I4509*(VLOOKUP(B4509,Price_data!A$1:B$190,2,FALSE))</f>
        <v>0</v>
      </c>
      <c r="S4509" s="4" t="str">
        <f>(VLOOKUP(B4509,Price_data!A$1:C$190,3,FALSE))</f>
        <v>EEZ</v>
      </c>
      <c r="T4509" s="2" t="str">
        <f>IF(C4509="Total", (VLOOKUP(B4509,Recommended_fish_intake!A$4:D$122,4,FALSE)), "NA")</f>
        <v>NA</v>
      </c>
      <c r="U4509" s="2" t="str">
        <f t="shared" si="401"/>
        <v>NA</v>
      </c>
    </row>
    <row r="4510" spans="1:21" ht="14.25" customHeight="1">
      <c r="A4510" s="2" t="s">
        <v>39</v>
      </c>
      <c r="B4510" s="2">
        <v>2012</v>
      </c>
      <c r="C4510" s="2" t="s">
        <v>34</v>
      </c>
      <c r="D4510" s="2">
        <v>1.129</v>
      </c>
      <c r="E4510" s="2">
        <v>11.757999999999999</v>
      </c>
      <c r="P4510" s="3">
        <f>E4510*(VLOOKUP(B4510,Price_data!A$1:B$190,2,FALSE))</f>
        <v>8.2487723476189991</v>
      </c>
      <c r="Q4510" s="3">
        <f>G4510*(VLOOKUP(B4510,Price_data!A$1:B$190,2,FALSE))</f>
        <v>0</v>
      </c>
      <c r="R4510" s="3">
        <f>I4510*(VLOOKUP(B4510,Price_data!A$1:B$190,2,FALSE))</f>
        <v>0</v>
      </c>
      <c r="S4510" s="4" t="str">
        <f>(VLOOKUP(B4510,Price_data!A$1:C$190,3,FALSE))</f>
        <v>EEZ</v>
      </c>
      <c r="T4510" s="2" t="str">
        <f>IF(C4510="Total", (VLOOKUP(B4510,Recommended_fish_intake!A$4:D$122,4,FALSE)), "NA")</f>
        <v>NA</v>
      </c>
      <c r="U4510" s="2" t="str">
        <f t="shared" si="401"/>
        <v>NA</v>
      </c>
    </row>
    <row r="4511" spans="1:21" ht="14.25" customHeight="1">
      <c r="A4511" s="2" t="s">
        <v>39</v>
      </c>
      <c r="B4511" s="2">
        <v>2012</v>
      </c>
      <c r="C4511" s="2" t="s">
        <v>35</v>
      </c>
      <c r="D4511" s="2">
        <v>21.843</v>
      </c>
      <c r="E4511" s="2">
        <v>82.128</v>
      </c>
      <c r="P4511" s="3">
        <f>E4511*(VLOOKUP(B4511,Price_data!A$1:B$190,2,FALSE))</f>
        <v>57.616531328904003</v>
      </c>
      <c r="Q4511" s="3">
        <f>G4511*(VLOOKUP(B4511,Price_data!A$1:B$190,2,FALSE))</f>
        <v>0</v>
      </c>
      <c r="R4511" s="3">
        <f>I4511*(VLOOKUP(B4511,Price_data!A$1:B$190,2,FALSE))</f>
        <v>0</v>
      </c>
      <c r="S4511" s="4" t="str">
        <f>(VLOOKUP(B4511,Price_data!A$1:C$190,3,FALSE))</f>
        <v>EEZ</v>
      </c>
      <c r="T4511" s="2" t="str">
        <f>IF(C4511="Total", (VLOOKUP(B4511,Recommended_fish_intake!A$4:D$122,4,FALSE)), "NA")</f>
        <v>NA</v>
      </c>
      <c r="U4511" s="2" t="str">
        <f t="shared" si="401"/>
        <v>NA</v>
      </c>
    </row>
    <row r="4512" spans="1:21" ht="14.25" customHeight="1">
      <c r="A4512" s="2" t="s">
        <v>39</v>
      </c>
      <c r="B4512" s="2">
        <v>2012</v>
      </c>
      <c r="C4512" s="2" t="s">
        <v>52</v>
      </c>
      <c r="D4512" s="2">
        <v>17.978999999999999</v>
      </c>
      <c r="E4512" s="2">
        <v>23.736999999999998</v>
      </c>
      <c r="P4512" s="3">
        <f>E4512*(VLOOKUP(B4512,Price_data!A$1:B$190,2,FALSE))</f>
        <v>16.6525862574785</v>
      </c>
      <c r="Q4512" s="3">
        <f>G4512*(VLOOKUP(B4512,Price_data!A$1:B$190,2,FALSE))</f>
        <v>0</v>
      </c>
      <c r="R4512" s="3">
        <f>I4512*(VLOOKUP(B4512,Price_data!A$1:B$190,2,FALSE))</f>
        <v>0</v>
      </c>
      <c r="S4512" s="4" t="str">
        <f>(VLOOKUP(B4512,Price_data!A$1:C$190,3,FALSE))</f>
        <v>EEZ</v>
      </c>
      <c r="T4512" s="2" t="str">
        <f>IF(C4512="Total", (VLOOKUP(B4512,Recommended_fish_intake!A$4:D$122,4,FALSE)), "NA")</f>
        <v>NA</v>
      </c>
      <c r="U4512" s="2" t="str">
        <f t="shared" si="401"/>
        <v>NA</v>
      </c>
    </row>
    <row r="4513" spans="1:21" ht="14.25" customHeight="1">
      <c r="A4513" s="2" t="s">
        <v>39</v>
      </c>
      <c r="B4513" s="2">
        <v>2012</v>
      </c>
      <c r="C4513" s="2" t="s">
        <v>30</v>
      </c>
      <c r="D4513" s="2">
        <v>1E-3</v>
      </c>
      <c r="E4513" s="2">
        <v>2.1000000000000001E-2</v>
      </c>
      <c r="P4513" s="3">
        <f>E4513*(VLOOKUP(B4513,Price_data!A$1:B$190,2,FALSE))</f>
        <v>1.4732456140500002E-2</v>
      </c>
      <c r="Q4513" s="3">
        <f>G4513*(VLOOKUP(B4513,Price_data!A$1:B$190,2,FALSE))</f>
        <v>0</v>
      </c>
      <c r="R4513" s="3">
        <f>I4513*(VLOOKUP(B4513,Price_data!A$1:B$190,2,FALSE))</f>
        <v>0</v>
      </c>
      <c r="S4513" s="4" t="str">
        <f>(VLOOKUP(B4513,Price_data!A$1:C$190,3,FALSE))</f>
        <v>EEZ</v>
      </c>
      <c r="T4513" s="2" t="str">
        <f>IF(C4513="Total", (VLOOKUP(B4513,Recommended_fish_intake!A$4:D$122,4,FALSE)), "NA")</f>
        <v>NA</v>
      </c>
      <c r="U4513" s="2" t="str">
        <f t="shared" si="401"/>
        <v>NA</v>
      </c>
    </row>
    <row r="4514" spans="1:21" ht="14.25" customHeight="1">
      <c r="A4514" s="2" t="s">
        <v>39</v>
      </c>
      <c r="B4514" s="2">
        <v>2012</v>
      </c>
      <c r="C4514" s="2" t="s">
        <v>28</v>
      </c>
      <c r="D4514" s="2">
        <v>57.084000000000003</v>
      </c>
      <c r="E4514" s="2">
        <v>143.78899999999999</v>
      </c>
      <c r="P4514" s="3">
        <f>E4514*(VLOOKUP(B4514,Price_data!A$1:B$190,2,FALSE))</f>
        <v>100.87453028506449</v>
      </c>
      <c r="Q4514" s="3">
        <f>G4514*(VLOOKUP(B4514,Price_data!A$1:B$190,2,FALSE))</f>
        <v>0</v>
      </c>
      <c r="R4514" s="3">
        <f>I4514*(VLOOKUP(B4514,Price_data!A$1:B$190,2,FALSE))</f>
        <v>0</v>
      </c>
      <c r="S4514" s="4" t="str">
        <f>(VLOOKUP(B4514,Price_data!A$1:C$190,3,FALSE))</f>
        <v>EEZ</v>
      </c>
      <c r="T4514" s="2" t="str">
        <f>IF(C4514="Total", (VLOOKUP(B4514,Recommended_fish_intake!A$4:D$122,4,FALSE)), "NA")</f>
        <v>NA</v>
      </c>
      <c r="U4514" s="2">
        <f t="shared" si="401"/>
        <v>15.983520000000002</v>
      </c>
    </row>
    <row r="4515" spans="1:21" ht="14.25" customHeight="1">
      <c r="A4515" s="2" t="s">
        <v>40</v>
      </c>
      <c r="B4515" s="2">
        <v>2012</v>
      </c>
      <c r="C4515" s="2" t="s">
        <v>22</v>
      </c>
      <c r="D4515" s="2">
        <v>0.109</v>
      </c>
      <c r="E4515" s="2">
        <v>0.221</v>
      </c>
      <c r="P4515" s="3">
        <f>E4515*(VLOOKUP(B4515,Price_data!A$1:B$190,2,FALSE))</f>
        <v>0.1550415622405</v>
      </c>
      <c r="Q4515" s="3">
        <f>G4515*(VLOOKUP(B4515,Price_data!A$1:B$190,2,FALSE))</f>
        <v>0</v>
      </c>
      <c r="R4515" s="3">
        <f>I4515*(VLOOKUP(B4515,Price_data!A$1:B$190,2,FALSE))</f>
        <v>0</v>
      </c>
      <c r="S4515" s="4" t="str">
        <f>(VLOOKUP(B4515,Price_data!A$1:C$190,3,FALSE))</f>
        <v>EEZ</v>
      </c>
      <c r="T4515" s="2" t="str">
        <f>IF(C4515="Total", (VLOOKUP(B4515,Recommended_fish_intake!A$4:D$122,4,FALSE)), "NA")</f>
        <v>NA</v>
      </c>
      <c r="U4515" s="2" t="str">
        <f t="shared" si="401"/>
        <v>NA</v>
      </c>
    </row>
    <row r="4516" spans="1:21" ht="14.25" customHeight="1">
      <c r="A4516" s="2" t="s">
        <v>40</v>
      </c>
      <c r="B4516" s="2">
        <v>2012</v>
      </c>
      <c r="C4516" s="2" t="s">
        <v>23</v>
      </c>
      <c r="D4516" s="2">
        <v>0.26500000000000001</v>
      </c>
      <c r="E4516" s="2">
        <v>0.27800000000000002</v>
      </c>
      <c r="P4516" s="3">
        <f>E4516*(VLOOKUP(B4516,Price_data!A$1:B$190,2,FALSE))</f>
        <v>0.19502965747900003</v>
      </c>
      <c r="Q4516" s="3">
        <f>G4516*(VLOOKUP(B4516,Price_data!A$1:B$190,2,FALSE))</f>
        <v>0</v>
      </c>
      <c r="R4516" s="3">
        <f>I4516*(VLOOKUP(B4516,Price_data!A$1:B$190,2,FALSE))</f>
        <v>0</v>
      </c>
      <c r="S4516" s="4" t="str">
        <f>(VLOOKUP(B4516,Price_data!A$1:C$190,3,FALSE))</f>
        <v>EEZ</v>
      </c>
      <c r="T4516" s="2" t="str">
        <f>IF(C4516="Total", (VLOOKUP(B4516,Recommended_fish_intake!A$4:D$122,4,FALSE)), "NA")</f>
        <v>NA</v>
      </c>
      <c r="U4516" s="2" t="str">
        <f t="shared" si="401"/>
        <v>NA</v>
      </c>
    </row>
    <row r="4517" spans="1:21" ht="14.25" customHeight="1">
      <c r="A4517" s="2" t="s">
        <v>40</v>
      </c>
      <c r="B4517" s="2">
        <v>2012</v>
      </c>
      <c r="C4517" s="2" t="s">
        <v>53</v>
      </c>
      <c r="D4517" s="2">
        <v>6.2E-2</v>
      </c>
      <c r="E4517" s="2">
        <v>6.5000000000000002E-2</v>
      </c>
      <c r="P4517" s="3">
        <f>E4517*(VLOOKUP(B4517,Price_data!A$1:B$190,2,FALSE))</f>
        <v>4.5600459482500001E-2</v>
      </c>
      <c r="Q4517" s="3">
        <f>G4517*(VLOOKUP(B4517,Price_data!A$1:B$190,2,FALSE))</f>
        <v>0</v>
      </c>
      <c r="R4517" s="3">
        <f>I4517*(VLOOKUP(B4517,Price_data!A$1:B$190,2,FALSE))</f>
        <v>0</v>
      </c>
      <c r="S4517" s="4" t="str">
        <f>(VLOOKUP(B4517,Price_data!A$1:C$190,3,FALSE))</f>
        <v>EEZ</v>
      </c>
      <c r="T4517" s="2" t="str">
        <f>IF(C4517="Total", (VLOOKUP(B4517,Recommended_fish_intake!A$4:D$122,4,FALSE)), "NA")</f>
        <v>NA</v>
      </c>
      <c r="U4517" s="2" t="str">
        <f t="shared" si="401"/>
        <v>NA</v>
      </c>
    </row>
    <row r="4518" spans="1:21" ht="14.25" customHeight="1">
      <c r="A4518" s="2" t="s">
        <v>40</v>
      </c>
      <c r="B4518" s="2">
        <v>2012</v>
      </c>
      <c r="C4518" s="2" t="s">
        <v>58</v>
      </c>
      <c r="D4518" s="2">
        <v>0.14199999999999999</v>
      </c>
      <c r="E4518" s="2">
        <v>0.32800000000000001</v>
      </c>
      <c r="P4518" s="3">
        <f>E4518*(VLOOKUP(B4518,Price_data!A$1:B$190,2,FALSE))</f>
        <v>0.23010693400400001</v>
      </c>
      <c r="Q4518" s="3">
        <f>G4518*(VLOOKUP(B4518,Price_data!A$1:B$190,2,FALSE))</f>
        <v>0</v>
      </c>
      <c r="R4518" s="3">
        <f>I4518*(VLOOKUP(B4518,Price_data!A$1:B$190,2,FALSE))</f>
        <v>0</v>
      </c>
      <c r="S4518" s="4" t="str">
        <f>(VLOOKUP(B4518,Price_data!A$1:C$190,3,FALSE))</f>
        <v>EEZ</v>
      </c>
      <c r="T4518" s="2" t="str">
        <f>IF(C4518="Total", (VLOOKUP(B4518,Recommended_fish_intake!A$4:D$122,4,FALSE)), "NA")</f>
        <v>NA</v>
      </c>
      <c r="U4518" s="2" t="str">
        <f t="shared" si="401"/>
        <v>NA</v>
      </c>
    </row>
    <row r="4519" spans="1:21" ht="14.25" customHeight="1">
      <c r="A4519" s="2" t="s">
        <v>40</v>
      </c>
      <c r="B4519" s="2">
        <v>2012</v>
      </c>
      <c r="C4519" s="2" t="s">
        <v>38</v>
      </c>
      <c r="D4519" s="2">
        <v>0</v>
      </c>
      <c r="E4519" s="2">
        <v>0</v>
      </c>
      <c r="P4519" s="3">
        <f>E4519*(VLOOKUP(B4519,Price_data!A$1:B$190,2,FALSE))</f>
        <v>0</v>
      </c>
      <c r="Q4519" s="3">
        <f>G4519*(VLOOKUP(B4519,Price_data!A$1:B$190,2,FALSE))</f>
        <v>0</v>
      </c>
      <c r="R4519" s="3">
        <f>I4519*(VLOOKUP(B4519,Price_data!A$1:B$190,2,FALSE))</f>
        <v>0</v>
      </c>
      <c r="S4519" s="4" t="str">
        <f>(VLOOKUP(B4519,Price_data!A$1:C$190,3,FALSE))</f>
        <v>EEZ</v>
      </c>
      <c r="T4519" s="2" t="str">
        <f>IF(C4519="Total", (VLOOKUP(B4519,Recommended_fish_intake!A$4:D$122,4,FALSE)), "NA")</f>
        <v>NA</v>
      </c>
      <c r="U4519" s="2" t="str">
        <f t="shared" si="401"/>
        <v>NA</v>
      </c>
    </row>
    <row r="4520" spans="1:21" ht="14.25" customHeight="1">
      <c r="A4520" s="2" t="s">
        <v>40</v>
      </c>
      <c r="B4520" s="2">
        <v>2012</v>
      </c>
      <c r="C4520" s="2" t="s">
        <v>63</v>
      </c>
      <c r="D4520" s="2">
        <v>8.0000000000000002E-3</v>
      </c>
      <c r="E4520" s="2">
        <v>4.2000000000000003E-2</v>
      </c>
      <c r="P4520" s="3">
        <f>E4520*(VLOOKUP(B4520,Price_data!A$1:B$190,2,FALSE))</f>
        <v>2.9464912281000004E-2</v>
      </c>
      <c r="Q4520" s="3">
        <f>G4520*(VLOOKUP(B4520,Price_data!A$1:B$190,2,FALSE))</f>
        <v>0</v>
      </c>
      <c r="R4520" s="3">
        <f>I4520*(VLOOKUP(B4520,Price_data!A$1:B$190,2,FALSE))</f>
        <v>0</v>
      </c>
      <c r="S4520" s="4" t="str">
        <f>(VLOOKUP(B4520,Price_data!A$1:C$190,3,FALSE))</f>
        <v>EEZ</v>
      </c>
      <c r="T4520" s="2" t="str">
        <f>IF(C4520="Total", (VLOOKUP(B4520,Recommended_fish_intake!A$4:D$122,4,FALSE)), "NA")</f>
        <v>NA</v>
      </c>
      <c r="U4520" s="2" t="str">
        <f t="shared" si="401"/>
        <v>NA</v>
      </c>
    </row>
    <row r="4521" spans="1:21" ht="14.25" customHeight="1">
      <c r="A4521" s="2" t="s">
        <v>40</v>
      </c>
      <c r="B4521" s="2">
        <v>2012</v>
      </c>
      <c r="C4521" s="2" t="s">
        <v>24</v>
      </c>
      <c r="D4521" s="2">
        <v>1.2999999999999999E-2</v>
      </c>
      <c r="E4521" s="2">
        <v>1.4E-2</v>
      </c>
      <c r="P4521" s="3">
        <f>E4521*(VLOOKUP(B4521,Price_data!A$1:B$190,2,FALSE))</f>
        <v>9.8216374270000007E-3</v>
      </c>
      <c r="Q4521" s="3">
        <f>G4521*(VLOOKUP(B4521,Price_data!A$1:B$190,2,FALSE))</f>
        <v>0</v>
      </c>
      <c r="R4521" s="3">
        <f>I4521*(VLOOKUP(B4521,Price_data!A$1:B$190,2,FALSE))</f>
        <v>0</v>
      </c>
      <c r="S4521" s="4" t="str">
        <f>(VLOOKUP(B4521,Price_data!A$1:C$190,3,FALSE))</f>
        <v>EEZ</v>
      </c>
      <c r="T4521" s="2" t="str">
        <f>IF(C4521="Total", (VLOOKUP(B4521,Recommended_fish_intake!A$4:D$122,4,FALSE)), "NA")</f>
        <v>NA</v>
      </c>
      <c r="U4521" s="2" t="str">
        <f t="shared" si="401"/>
        <v>NA</v>
      </c>
    </row>
    <row r="4522" spans="1:21" ht="14.25" customHeight="1">
      <c r="A4522" s="2" t="s">
        <v>40</v>
      </c>
      <c r="B4522" s="2">
        <v>2012</v>
      </c>
      <c r="C4522" s="2" t="s">
        <v>41</v>
      </c>
      <c r="D4522" s="2">
        <v>0.91500000000000004</v>
      </c>
      <c r="E4522" s="2">
        <v>1.254</v>
      </c>
      <c r="P4522" s="3">
        <f>E4522*(VLOOKUP(B4522,Price_data!A$1:B$190,2,FALSE))</f>
        <v>0.87973809524699997</v>
      </c>
      <c r="Q4522" s="3">
        <f>G4522*(VLOOKUP(B4522,Price_data!A$1:B$190,2,FALSE))</f>
        <v>0</v>
      </c>
      <c r="R4522" s="3">
        <f>I4522*(VLOOKUP(B4522,Price_data!A$1:B$190,2,FALSE))</f>
        <v>0</v>
      </c>
      <c r="S4522" s="4" t="str">
        <f>(VLOOKUP(B4522,Price_data!A$1:C$190,3,FALSE))</f>
        <v>EEZ</v>
      </c>
      <c r="T4522" s="2" t="str">
        <f>IF(C4522="Total", (VLOOKUP(B4522,Recommended_fish_intake!A$4:D$122,4,FALSE)), "NA")</f>
        <v>NA</v>
      </c>
      <c r="U4522" s="2" t="str">
        <f t="shared" si="401"/>
        <v>NA</v>
      </c>
    </row>
    <row r="4523" spans="1:21" ht="14.25" customHeight="1">
      <c r="A4523" s="2" t="s">
        <v>40</v>
      </c>
      <c r="B4523" s="2">
        <v>2012</v>
      </c>
      <c r="C4523" s="2" t="s">
        <v>19</v>
      </c>
      <c r="D4523" s="2">
        <v>5.0970000000000004</v>
      </c>
      <c r="E4523" s="2">
        <v>2.3119999999999998</v>
      </c>
      <c r="P4523" s="3">
        <f>E4523*(VLOOKUP(B4523,Price_data!A$1:B$190,2,FALSE))</f>
        <v>1.6219732665159998</v>
      </c>
      <c r="Q4523" s="3">
        <f>G4523*(VLOOKUP(B4523,Price_data!A$1:B$190,2,FALSE))</f>
        <v>0</v>
      </c>
      <c r="R4523" s="3">
        <f>I4523*(VLOOKUP(B4523,Price_data!A$1:B$190,2,FALSE))</f>
        <v>0</v>
      </c>
      <c r="S4523" s="4" t="str">
        <f>(VLOOKUP(B4523,Price_data!A$1:C$190,3,FALSE))</f>
        <v>EEZ</v>
      </c>
      <c r="T4523" s="2" t="str">
        <f>IF(C4523="Total", (VLOOKUP(B4523,Recommended_fish_intake!A$4:D$122,4,FALSE)), "NA")</f>
        <v>NA</v>
      </c>
      <c r="U4523" s="2" t="str">
        <f t="shared" si="401"/>
        <v>NA</v>
      </c>
    </row>
    <row r="4524" spans="1:21" ht="14.25" customHeight="1">
      <c r="A4524" s="2" t="s">
        <v>40</v>
      </c>
      <c r="B4524" s="2">
        <v>2012</v>
      </c>
      <c r="C4524" s="2" t="s">
        <v>20</v>
      </c>
      <c r="D4524" s="2">
        <v>2.069</v>
      </c>
      <c r="E4524" s="2">
        <v>2.3140000000000001</v>
      </c>
      <c r="P4524" s="3">
        <f>E4524*(VLOOKUP(B4524,Price_data!A$1:B$190,2,FALSE))</f>
        <v>1.6233763575770002</v>
      </c>
      <c r="Q4524" s="3">
        <f>G4524*(VLOOKUP(B4524,Price_data!A$1:B$190,2,FALSE))</f>
        <v>0</v>
      </c>
      <c r="R4524" s="3">
        <f>I4524*(VLOOKUP(B4524,Price_data!A$1:B$190,2,FALSE))</f>
        <v>0</v>
      </c>
      <c r="S4524" s="4" t="str">
        <f>(VLOOKUP(B4524,Price_data!A$1:C$190,3,FALSE))</f>
        <v>EEZ</v>
      </c>
      <c r="T4524" s="2" t="str">
        <f>IF(C4524="Total", (VLOOKUP(B4524,Recommended_fish_intake!A$4:D$122,4,FALSE)), "NA")</f>
        <v>NA</v>
      </c>
      <c r="U4524" s="2" t="str">
        <f t="shared" si="401"/>
        <v>NA</v>
      </c>
    </row>
    <row r="4525" spans="1:21" ht="14.25" customHeight="1">
      <c r="A4525" s="2" t="s">
        <v>40</v>
      </c>
      <c r="B4525" s="2">
        <v>2012</v>
      </c>
      <c r="C4525" s="2" t="s">
        <v>42</v>
      </c>
      <c r="D4525" s="2">
        <v>7.165</v>
      </c>
      <c r="E4525" s="2">
        <v>4.6260000000000003</v>
      </c>
      <c r="P4525" s="3">
        <f>E4525*(VLOOKUP(B4525,Price_data!A$1:B$190,2,FALSE))</f>
        <v>3.2453496240930004</v>
      </c>
      <c r="Q4525" s="3">
        <f>G4525*(VLOOKUP(B4525,Price_data!A$1:B$190,2,FALSE))</f>
        <v>0</v>
      </c>
      <c r="R4525" s="3">
        <f>I4525*(VLOOKUP(B4525,Price_data!A$1:B$190,2,FALSE))</f>
        <v>0</v>
      </c>
      <c r="S4525" s="4" t="str">
        <f>(VLOOKUP(B4525,Price_data!A$1:C$190,3,FALSE))</f>
        <v>EEZ</v>
      </c>
      <c r="T4525" s="2" t="str">
        <f>IF(C4525="Total", (VLOOKUP(B4525,Recommended_fish_intake!A$4:D$122,4,FALSE)), "NA")</f>
        <v>NA</v>
      </c>
      <c r="U4525" s="2" t="str">
        <f t="shared" si="401"/>
        <v>NA</v>
      </c>
    </row>
    <row r="4526" spans="1:21" ht="14.25" customHeight="1">
      <c r="A4526" s="2" t="s">
        <v>40</v>
      </c>
      <c r="B4526" s="2">
        <v>2012</v>
      </c>
      <c r="C4526" s="2" t="s">
        <v>36</v>
      </c>
      <c r="D4526" s="2">
        <v>1.581</v>
      </c>
      <c r="E4526" s="2">
        <v>1.321</v>
      </c>
      <c r="P4526" s="3">
        <f>E4526*(VLOOKUP(B4526,Price_data!A$1:B$190,2,FALSE))</f>
        <v>0.9267416457905</v>
      </c>
      <c r="Q4526" s="3">
        <f>G4526*(VLOOKUP(B4526,Price_data!A$1:B$190,2,FALSE))</f>
        <v>0</v>
      </c>
      <c r="R4526" s="3">
        <f>I4526*(VLOOKUP(B4526,Price_data!A$1:B$190,2,FALSE))</f>
        <v>0</v>
      </c>
      <c r="S4526" s="4" t="str">
        <f>(VLOOKUP(B4526,Price_data!A$1:C$190,3,FALSE))</f>
        <v>EEZ</v>
      </c>
      <c r="T4526" s="2" t="str">
        <f>IF(C4526="Total", (VLOOKUP(B4526,Recommended_fish_intake!A$4:D$122,4,FALSE)), "NA")</f>
        <v>NA</v>
      </c>
      <c r="U4526" s="2" t="str">
        <f t="shared" si="401"/>
        <v>NA</v>
      </c>
    </row>
    <row r="4527" spans="1:21" ht="14.25" customHeight="1">
      <c r="A4527" s="2" t="s">
        <v>40</v>
      </c>
      <c r="B4527" s="2">
        <v>2012</v>
      </c>
      <c r="C4527" s="2" t="s">
        <v>34</v>
      </c>
      <c r="D4527" s="2">
        <v>7.3999999999999996E-2</v>
      </c>
      <c r="E4527" s="2">
        <v>0.74</v>
      </c>
      <c r="P4527" s="3">
        <f>E4527*(VLOOKUP(B4527,Price_data!A$1:B$190,2,FALSE))</f>
        <v>0.51914369257000004</v>
      </c>
      <c r="Q4527" s="3">
        <f>G4527*(VLOOKUP(B4527,Price_data!A$1:B$190,2,FALSE))</f>
        <v>0</v>
      </c>
      <c r="R4527" s="3">
        <f>I4527*(VLOOKUP(B4527,Price_data!A$1:B$190,2,FALSE))</f>
        <v>0</v>
      </c>
      <c r="S4527" s="4" t="str">
        <f>(VLOOKUP(B4527,Price_data!A$1:C$190,3,FALSE))</f>
        <v>EEZ</v>
      </c>
      <c r="T4527" s="2" t="str">
        <f>IF(C4527="Total", (VLOOKUP(B4527,Recommended_fish_intake!A$4:D$122,4,FALSE)), "NA")</f>
        <v>NA</v>
      </c>
      <c r="U4527" s="2" t="str">
        <f t="shared" si="401"/>
        <v>NA</v>
      </c>
    </row>
    <row r="4528" spans="1:21" ht="14.25" customHeight="1">
      <c r="A4528" s="2" t="s">
        <v>40</v>
      </c>
      <c r="B4528" s="2">
        <v>2012</v>
      </c>
      <c r="C4528" s="2" t="s">
        <v>35</v>
      </c>
      <c r="D4528" s="2">
        <v>7.4409999999999998</v>
      </c>
      <c r="E4528" s="2">
        <v>17.268000000000001</v>
      </c>
      <c r="P4528" s="3">
        <f>E4528*(VLOOKUP(B4528,Price_data!A$1:B$190,2,FALSE))</f>
        <v>12.114288220674</v>
      </c>
      <c r="Q4528" s="3">
        <f>G4528*(VLOOKUP(B4528,Price_data!A$1:B$190,2,FALSE))</f>
        <v>0</v>
      </c>
      <c r="R4528" s="3">
        <f>I4528*(VLOOKUP(B4528,Price_data!A$1:B$190,2,FALSE))</f>
        <v>0</v>
      </c>
      <c r="S4528" s="4" t="str">
        <f>(VLOOKUP(B4528,Price_data!A$1:C$190,3,FALSE))</f>
        <v>EEZ</v>
      </c>
      <c r="T4528" s="2" t="str">
        <f>IF(C4528="Total", (VLOOKUP(B4528,Recommended_fish_intake!A$4:D$122,4,FALSE)), "NA")</f>
        <v>NA</v>
      </c>
      <c r="U4528" s="2" t="str">
        <f t="shared" si="401"/>
        <v>NA</v>
      </c>
    </row>
    <row r="4529" spans="1:21" ht="14.25" customHeight="1">
      <c r="A4529" s="2" t="s">
        <v>40</v>
      </c>
      <c r="B4529" s="2">
        <v>2012</v>
      </c>
      <c r="C4529" s="2" t="s">
        <v>52</v>
      </c>
      <c r="D4529" s="2">
        <v>3.194</v>
      </c>
      <c r="E4529" s="2">
        <v>2.7850000000000001</v>
      </c>
      <c r="P4529" s="3">
        <f>E4529*(VLOOKUP(B4529,Price_data!A$1:B$190,2,FALSE))</f>
        <v>1.9538043024425</v>
      </c>
      <c r="Q4529" s="3">
        <f>G4529*(VLOOKUP(B4529,Price_data!A$1:B$190,2,FALSE))</f>
        <v>0</v>
      </c>
      <c r="R4529" s="3">
        <f>I4529*(VLOOKUP(B4529,Price_data!A$1:B$190,2,FALSE))</f>
        <v>0</v>
      </c>
      <c r="S4529" s="4" t="str">
        <f>(VLOOKUP(B4529,Price_data!A$1:C$190,3,FALSE))</f>
        <v>EEZ</v>
      </c>
      <c r="T4529" s="2" t="str">
        <f>IF(C4529="Total", (VLOOKUP(B4529,Recommended_fish_intake!A$4:D$122,4,FALSE)), "NA")</f>
        <v>NA</v>
      </c>
      <c r="U4529" s="2" t="str">
        <f t="shared" si="401"/>
        <v>NA</v>
      </c>
    </row>
    <row r="4530" spans="1:21" ht="14.25" customHeight="1">
      <c r="A4530" s="2" t="s">
        <v>40</v>
      </c>
      <c r="B4530" s="2">
        <v>2012</v>
      </c>
      <c r="C4530" s="2" t="s">
        <v>30</v>
      </c>
      <c r="D4530" s="2">
        <v>3.0000000000000001E-3</v>
      </c>
      <c r="E4530" s="2">
        <v>3.5999999999999997E-2</v>
      </c>
      <c r="P4530" s="3">
        <f>E4530*(VLOOKUP(B4530,Price_data!A$1:B$190,2,FALSE))</f>
        <v>2.5255639097999997E-2</v>
      </c>
      <c r="Q4530" s="3">
        <f>G4530*(VLOOKUP(B4530,Price_data!A$1:B$190,2,FALSE))</f>
        <v>0</v>
      </c>
      <c r="R4530" s="3">
        <f>I4530*(VLOOKUP(B4530,Price_data!A$1:B$190,2,FALSE))</f>
        <v>0</v>
      </c>
      <c r="S4530" s="4" t="str">
        <f>(VLOOKUP(B4530,Price_data!A$1:C$190,3,FALSE))</f>
        <v>EEZ</v>
      </c>
      <c r="T4530" s="2" t="str">
        <f>IF(C4530="Total", (VLOOKUP(B4530,Recommended_fish_intake!A$4:D$122,4,FALSE)), "NA")</f>
        <v>NA</v>
      </c>
      <c r="U4530" s="2" t="str">
        <f t="shared" si="401"/>
        <v>NA</v>
      </c>
    </row>
    <row r="4531" spans="1:21" ht="14.25" customHeight="1">
      <c r="A4531" s="2" t="s">
        <v>40</v>
      </c>
      <c r="B4531" s="2">
        <v>2012</v>
      </c>
      <c r="C4531" s="2" t="s">
        <v>28</v>
      </c>
      <c r="D4531" s="2">
        <v>12.965999999999999</v>
      </c>
      <c r="E4531" s="2">
        <v>23.029</v>
      </c>
      <c r="P4531" s="3">
        <f>E4531*(VLOOKUP(B4531,Price_data!A$1:B$190,2,FALSE))</f>
        <v>16.155892021884501</v>
      </c>
      <c r="Q4531" s="3">
        <f>G4531*(VLOOKUP(B4531,Price_data!A$1:B$190,2,FALSE))</f>
        <v>0</v>
      </c>
      <c r="R4531" s="3">
        <f>I4531*(VLOOKUP(B4531,Price_data!A$1:B$190,2,FALSE))</f>
        <v>0</v>
      </c>
      <c r="S4531" s="4" t="str">
        <f>(VLOOKUP(B4531,Price_data!A$1:C$190,3,FALSE))</f>
        <v>EEZ</v>
      </c>
      <c r="T4531" s="2" t="str">
        <f>IF(C4531="Total", (VLOOKUP(B4531,Recommended_fish_intake!A$4:D$122,4,FALSE)), "NA")</f>
        <v>NA</v>
      </c>
      <c r="U4531" s="2">
        <f t="shared" si="401"/>
        <v>3.6304799999999999</v>
      </c>
    </row>
    <row r="4532" spans="1:21" ht="14.25" customHeight="1">
      <c r="A4532" s="2" t="s">
        <v>40</v>
      </c>
      <c r="B4532" s="2">
        <v>2012</v>
      </c>
      <c r="C4532" s="2" t="s">
        <v>37</v>
      </c>
      <c r="D4532" s="3">
        <f>D3229+D3244</f>
        <v>3.2</v>
      </c>
      <c r="E4532" s="3">
        <f>E3229+E3244</f>
        <v>1.9</v>
      </c>
      <c r="P4532" s="3">
        <f>E4532*(VLOOKUP(B4532,Price_data!A$1:B$190,2,FALSE))</f>
        <v>1.33293650795</v>
      </c>
      <c r="Q4532" s="3">
        <f>G4532*(VLOOKUP(B4532,Price_data!A$1:B$190,2,FALSE))</f>
        <v>0</v>
      </c>
      <c r="R4532" s="3">
        <f>I4532*(VLOOKUP(B4532,Price_data!A$1:B$190,2,FALSE))</f>
        <v>0</v>
      </c>
      <c r="S4532" s="4" t="str">
        <f>(VLOOKUP(B4532,Price_data!A$1:C$190,3,FALSE))</f>
        <v>EEZ</v>
      </c>
      <c r="T4532" s="2" t="str">
        <f>IF(C4532="Total", (VLOOKUP(B4532,Recommended_fish_intake!A$4:D$122,4,FALSE)), "NA")</f>
        <v>NA</v>
      </c>
      <c r="U4532" s="2">
        <f t="shared" si="401"/>
        <v>1.5680000000000001</v>
      </c>
    </row>
    <row r="4533" spans="1:21" ht="14.25" customHeight="1">
      <c r="A4533" s="2" t="s">
        <v>39</v>
      </c>
      <c r="B4533" s="2">
        <v>2012</v>
      </c>
      <c r="C4533" s="2" t="s">
        <v>37</v>
      </c>
      <c r="D4533" s="3">
        <f>D3135+D3150</f>
        <v>17.5</v>
      </c>
      <c r="E4533" s="3">
        <f>E3135+E3150</f>
        <v>4.4000000000000004</v>
      </c>
      <c r="P4533" s="3">
        <f>E4533*(VLOOKUP(B4533,Price_data!A$1:B$190,2,FALSE))</f>
        <v>3.0868003342000003</v>
      </c>
      <c r="Q4533" s="3">
        <f>G4533*(VLOOKUP(B4533,Price_data!A$1:B$190,2,FALSE))</f>
        <v>0</v>
      </c>
      <c r="R4533" s="3">
        <f>I4533*(VLOOKUP(B4533,Price_data!A$1:B$190,2,FALSE))</f>
        <v>0</v>
      </c>
      <c r="S4533" s="4" t="str">
        <f>(VLOOKUP(B4533,Price_data!A$1:C$190,3,FALSE))</f>
        <v>EEZ</v>
      </c>
      <c r="T4533" s="2" t="str">
        <f>IF(C4533="Total", (VLOOKUP(B4533,Recommended_fish_intake!A$4:D$122,4,FALSE)), "NA")</f>
        <v>NA</v>
      </c>
      <c r="U4533" s="2">
        <f t="shared" si="401"/>
        <v>8.5749999999999993</v>
      </c>
    </row>
    <row r="4534" spans="1:21" ht="14.25" customHeight="1">
      <c r="A4534" s="2" t="s">
        <v>18</v>
      </c>
      <c r="B4534" s="2">
        <v>2012</v>
      </c>
      <c r="C4534" s="2" t="s">
        <v>22</v>
      </c>
      <c r="D4534" s="3">
        <f t="shared" ref="D4534:E4550" si="402">D2916+D3006</f>
        <v>28.960999999999999</v>
      </c>
      <c r="E4534" s="3">
        <f t="shared" si="402"/>
        <v>57.164000000000001</v>
      </c>
      <c r="P4534" s="3">
        <f>E4534*(VLOOKUP(B4534,Price_data!A$1:B$190,2,FALSE))</f>
        <v>40.103148705502001</v>
      </c>
      <c r="Q4534" s="3">
        <f>G4534*(VLOOKUP(B4534,Price_data!A$1:B$190,2,FALSE))</f>
        <v>0</v>
      </c>
      <c r="R4534" s="3">
        <f>I4534*(VLOOKUP(B4534,Price_data!A$1:B$190,2,FALSE))</f>
        <v>0</v>
      </c>
      <c r="S4534" s="4" t="str">
        <f>(VLOOKUP(B4534,Price_data!A$1:C$190,3,FALSE))</f>
        <v>EEZ</v>
      </c>
      <c r="T4534" s="2" t="str">
        <f>IF(C4534="Total", (VLOOKUP(B4534,Recommended_fish_intake!A$4:D$122,4,FALSE)), "NA")</f>
        <v>NA</v>
      </c>
      <c r="U4534" s="2" t="str">
        <f t="shared" si="401"/>
        <v>NA</v>
      </c>
    </row>
    <row r="4535" spans="1:21" ht="14.25" customHeight="1">
      <c r="A4535" s="2" t="s">
        <v>18</v>
      </c>
      <c r="B4535" s="2">
        <v>2012</v>
      </c>
      <c r="C4535" s="2" t="s">
        <v>23</v>
      </c>
      <c r="D4535" s="3">
        <f t="shared" si="402"/>
        <v>405.71300000000002</v>
      </c>
      <c r="E4535" s="3">
        <f t="shared" si="402"/>
        <v>306.89500000000004</v>
      </c>
      <c r="P4535" s="3">
        <f>E4535*(VLOOKUP(B4535,Price_data!A$1:B$190,2,FALSE))</f>
        <v>215.30081558279753</v>
      </c>
      <c r="Q4535" s="3">
        <f>G4535*(VLOOKUP(B4535,Price_data!A$1:B$190,2,FALSE))</f>
        <v>0</v>
      </c>
      <c r="R4535" s="3">
        <f>I4535*(VLOOKUP(B4535,Price_data!A$1:B$190,2,FALSE))</f>
        <v>0</v>
      </c>
      <c r="S4535" s="4" t="str">
        <f>(VLOOKUP(B4535,Price_data!A$1:C$190,3,FALSE))</f>
        <v>EEZ</v>
      </c>
      <c r="T4535" s="2" t="str">
        <f>IF(C4535="Total", (VLOOKUP(B4535,Recommended_fish_intake!A$4:D$122,4,FALSE)), "NA")</f>
        <v>NA</v>
      </c>
      <c r="U4535" s="2" t="str">
        <f t="shared" si="401"/>
        <v>NA</v>
      </c>
    </row>
    <row r="4536" spans="1:21" ht="14.25" customHeight="1">
      <c r="A4536" s="2" t="s">
        <v>18</v>
      </c>
      <c r="B4536" s="2">
        <v>2012</v>
      </c>
      <c r="C4536" s="2" t="s">
        <v>53</v>
      </c>
      <c r="D4536" s="3">
        <f t="shared" si="402"/>
        <v>29.756</v>
      </c>
      <c r="E4536" s="3">
        <f t="shared" si="402"/>
        <v>24.854000000000003</v>
      </c>
      <c r="P4536" s="3">
        <f>E4536*(VLOOKUP(B4536,Price_data!A$1:B$190,2,FALSE))</f>
        <v>17.436212615047001</v>
      </c>
      <c r="Q4536" s="3">
        <f>G4536*(VLOOKUP(B4536,Price_data!A$1:B$190,2,FALSE))</f>
        <v>0</v>
      </c>
      <c r="R4536" s="3">
        <f>I4536*(VLOOKUP(B4536,Price_data!A$1:B$190,2,FALSE))</f>
        <v>0</v>
      </c>
      <c r="S4536" s="4" t="str">
        <f>(VLOOKUP(B4536,Price_data!A$1:C$190,3,FALSE))</f>
        <v>EEZ</v>
      </c>
      <c r="T4536" s="2" t="str">
        <f>IF(C4536="Total", (VLOOKUP(B4536,Recommended_fish_intake!A$4:D$122,4,FALSE)), "NA")</f>
        <v>NA</v>
      </c>
      <c r="U4536" s="2" t="str">
        <f t="shared" si="401"/>
        <v>NA</v>
      </c>
    </row>
    <row r="4537" spans="1:21" ht="14.25" customHeight="1">
      <c r="A4537" s="2" t="s">
        <v>18</v>
      </c>
      <c r="B4537" s="2">
        <v>2012</v>
      </c>
      <c r="C4537" s="2" t="s">
        <v>58</v>
      </c>
      <c r="D4537" s="3">
        <f t="shared" si="402"/>
        <v>133.75</v>
      </c>
      <c r="E4537" s="3">
        <f t="shared" si="402"/>
        <v>153.584</v>
      </c>
      <c r="P4537" s="3">
        <f>E4537*(VLOOKUP(B4537,Price_data!A$1:B$190,2,FALSE))</f>
        <v>107.746168756312</v>
      </c>
      <c r="Q4537" s="3">
        <f>G4537*(VLOOKUP(B4537,Price_data!A$1:B$190,2,FALSE))</f>
        <v>0</v>
      </c>
      <c r="R4537" s="3">
        <f>I4537*(VLOOKUP(B4537,Price_data!A$1:B$190,2,FALSE))</f>
        <v>0</v>
      </c>
      <c r="S4537" s="4" t="str">
        <f>(VLOOKUP(B4537,Price_data!A$1:C$190,3,FALSE))</f>
        <v>EEZ</v>
      </c>
      <c r="T4537" s="2" t="str">
        <f>IF(C4537="Total", (VLOOKUP(B4537,Recommended_fish_intake!A$4:D$122,4,FALSE)), "NA")</f>
        <v>NA</v>
      </c>
      <c r="U4537" s="2" t="str">
        <f t="shared" si="401"/>
        <v>NA</v>
      </c>
    </row>
    <row r="4538" spans="1:21" ht="14.25" customHeight="1">
      <c r="A4538" s="2" t="s">
        <v>18</v>
      </c>
      <c r="B4538" s="2">
        <v>2012</v>
      </c>
      <c r="C4538" s="2" t="s">
        <v>38</v>
      </c>
      <c r="D4538" s="3">
        <f t="shared" si="402"/>
        <v>645.15800000000002</v>
      </c>
      <c r="E4538" s="3">
        <f t="shared" si="402"/>
        <v>520.601</v>
      </c>
      <c r="P4538" s="3">
        <f>E4538*(VLOOKUP(B4538,Price_data!A$1:B$190,2,FALSE))</f>
        <v>365.2253047238305</v>
      </c>
      <c r="Q4538" s="3">
        <f>G4538*(VLOOKUP(B4538,Price_data!A$1:B$190,2,FALSE))</f>
        <v>0</v>
      </c>
      <c r="R4538" s="3">
        <f>I4538*(VLOOKUP(B4538,Price_data!A$1:B$190,2,FALSE))</f>
        <v>0</v>
      </c>
      <c r="S4538" s="4" t="str">
        <f>(VLOOKUP(B4538,Price_data!A$1:C$190,3,FALSE))</f>
        <v>EEZ</v>
      </c>
      <c r="T4538" s="2" t="str">
        <f>IF(C4538="Total", (VLOOKUP(B4538,Recommended_fish_intake!A$4:D$122,4,FALSE)), "NA")</f>
        <v>NA</v>
      </c>
      <c r="U4538" s="2" t="str">
        <f t="shared" si="401"/>
        <v>NA</v>
      </c>
    </row>
    <row r="4539" spans="1:21" ht="14.25" customHeight="1">
      <c r="A4539" s="2" t="s">
        <v>18</v>
      </c>
      <c r="B4539" s="2">
        <v>2012</v>
      </c>
      <c r="C4539" s="2" t="s">
        <v>63</v>
      </c>
      <c r="D4539" s="3">
        <f t="shared" si="402"/>
        <v>482.97800000000001</v>
      </c>
      <c r="E4539" s="3">
        <f t="shared" si="402"/>
        <v>343.142</v>
      </c>
      <c r="P4539" s="3">
        <f>E4539*(VLOOKUP(B4539,Price_data!A$1:B$190,2,FALSE))</f>
        <v>240.72973642683101</v>
      </c>
      <c r="Q4539" s="3">
        <f>G4539*(VLOOKUP(B4539,Price_data!A$1:B$190,2,FALSE))</f>
        <v>0</v>
      </c>
      <c r="R4539" s="3">
        <f>I4539*(VLOOKUP(B4539,Price_data!A$1:B$190,2,FALSE))</f>
        <v>0</v>
      </c>
      <c r="S4539" s="4" t="str">
        <f>(VLOOKUP(B4539,Price_data!A$1:C$190,3,FALSE))</f>
        <v>EEZ</v>
      </c>
      <c r="T4539" s="2" t="str">
        <f>IF(C4539="Total", (VLOOKUP(B4539,Recommended_fish_intake!A$4:D$122,4,FALSE)), "NA")</f>
        <v>NA</v>
      </c>
      <c r="U4539" s="2" t="str">
        <f t="shared" si="401"/>
        <v>NA</v>
      </c>
    </row>
    <row r="4540" spans="1:21" ht="14.25" customHeight="1">
      <c r="A4540" s="2" t="s">
        <v>18</v>
      </c>
      <c r="B4540" s="2">
        <v>2012</v>
      </c>
      <c r="C4540" s="2" t="s">
        <v>24</v>
      </c>
      <c r="D4540" s="3">
        <f t="shared" si="402"/>
        <v>98.177999999999997</v>
      </c>
      <c r="E4540" s="3">
        <f t="shared" si="402"/>
        <v>94.015999999999991</v>
      </c>
      <c r="P4540" s="3">
        <f>E4540*(VLOOKUP(B4540,Price_data!A$1:B$190,2,FALSE))</f>
        <v>65.956504595487999</v>
      </c>
      <c r="Q4540" s="3">
        <f>G4540*(VLOOKUP(B4540,Price_data!A$1:B$190,2,FALSE))</f>
        <v>0</v>
      </c>
      <c r="R4540" s="3">
        <f>I4540*(VLOOKUP(B4540,Price_data!A$1:B$190,2,FALSE))</f>
        <v>0</v>
      </c>
      <c r="S4540" s="4" t="str">
        <f>(VLOOKUP(B4540,Price_data!A$1:C$190,3,FALSE))</f>
        <v>EEZ</v>
      </c>
      <c r="T4540" s="2" t="str">
        <f>IF(C4540="Total", (VLOOKUP(B4540,Recommended_fish_intake!A$4:D$122,4,FALSE)), "NA")</f>
        <v>NA</v>
      </c>
      <c r="U4540" s="2" t="str">
        <f t="shared" si="401"/>
        <v>NA</v>
      </c>
    </row>
    <row r="4541" spans="1:21" ht="14.25" customHeight="1">
      <c r="A4541" s="2" t="s">
        <v>18</v>
      </c>
      <c r="B4541" s="2">
        <v>2012</v>
      </c>
      <c r="C4541" s="2" t="s">
        <v>41</v>
      </c>
      <c r="D4541" s="3">
        <f t="shared" si="402"/>
        <v>90.617999999999995</v>
      </c>
      <c r="E4541" s="3">
        <f t="shared" si="402"/>
        <v>67.393000000000001</v>
      </c>
      <c r="P4541" s="3">
        <f>E4541*(VLOOKUP(B4541,Price_data!A$1:B$190,2,FALSE))</f>
        <v>47.279257936986504</v>
      </c>
      <c r="Q4541" s="3">
        <f>G4541*(VLOOKUP(B4541,Price_data!A$1:B$190,2,FALSE))</f>
        <v>0</v>
      </c>
      <c r="R4541" s="3">
        <f>I4541*(VLOOKUP(B4541,Price_data!A$1:B$190,2,FALSE))</f>
        <v>0</v>
      </c>
      <c r="S4541" s="4" t="str">
        <f>(VLOOKUP(B4541,Price_data!A$1:C$190,3,FALSE))</f>
        <v>EEZ</v>
      </c>
      <c r="T4541" s="2" t="str">
        <f>IF(C4541="Total", (VLOOKUP(B4541,Recommended_fish_intake!A$4:D$122,4,FALSE)), "NA")</f>
        <v>NA</v>
      </c>
      <c r="U4541" s="2" t="str">
        <f t="shared" si="401"/>
        <v>NA</v>
      </c>
    </row>
    <row r="4542" spans="1:21" ht="14.25" customHeight="1">
      <c r="A4542" s="2" t="s">
        <v>18</v>
      </c>
      <c r="B4542" s="2">
        <v>2012</v>
      </c>
      <c r="C4542" s="2" t="s">
        <v>19</v>
      </c>
      <c r="D4542" s="3">
        <f t="shared" si="402"/>
        <v>60.811999999999998</v>
      </c>
      <c r="E4542" s="3">
        <f t="shared" si="402"/>
        <v>114.94800000000001</v>
      </c>
      <c r="P4542" s="3">
        <f>E4542*(VLOOKUP(B4542,Price_data!A$1:B$190,2,FALSE))</f>
        <v>80.641255639914007</v>
      </c>
      <c r="Q4542" s="3">
        <f>G4542*(VLOOKUP(B4542,Price_data!A$1:B$190,2,FALSE))</f>
        <v>0</v>
      </c>
      <c r="R4542" s="3">
        <f>I4542*(VLOOKUP(B4542,Price_data!A$1:B$190,2,FALSE))</f>
        <v>0</v>
      </c>
      <c r="S4542" s="4" t="str">
        <f>(VLOOKUP(B4542,Price_data!A$1:C$190,3,FALSE))</f>
        <v>EEZ</v>
      </c>
      <c r="T4542" s="2" t="str">
        <f>IF(C4542="Total", (VLOOKUP(B4542,Recommended_fish_intake!A$4:D$122,4,FALSE)), "NA")</f>
        <v>NA</v>
      </c>
      <c r="U4542" s="2" t="str">
        <f t="shared" si="401"/>
        <v>NA</v>
      </c>
    </row>
    <row r="4543" spans="1:21" ht="14.25" customHeight="1">
      <c r="A4543" s="2" t="s">
        <v>18</v>
      </c>
      <c r="B4543" s="2">
        <v>2012</v>
      </c>
      <c r="C4543" s="2" t="s">
        <v>20</v>
      </c>
      <c r="D4543" s="3">
        <f t="shared" si="402"/>
        <v>61.438000000000002</v>
      </c>
      <c r="E4543" s="3">
        <f t="shared" si="402"/>
        <v>48.492000000000004</v>
      </c>
      <c r="P4543" s="3">
        <f>E4543*(VLOOKUP(B4543,Price_data!A$1:B$190,2,FALSE))</f>
        <v>34.019345865006002</v>
      </c>
      <c r="Q4543" s="3">
        <f>G4543*(VLOOKUP(B4543,Price_data!A$1:B$190,2,FALSE))</f>
        <v>0</v>
      </c>
      <c r="R4543" s="3">
        <f>I4543*(VLOOKUP(B4543,Price_data!A$1:B$190,2,FALSE))</f>
        <v>0</v>
      </c>
      <c r="S4543" s="4" t="str">
        <f>(VLOOKUP(B4543,Price_data!A$1:C$190,3,FALSE))</f>
        <v>EEZ</v>
      </c>
      <c r="T4543" s="2" t="str">
        <f>IF(C4543="Total", (VLOOKUP(B4543,Recommended_fish_intake!A$4:D$122,4,FALSE)), "NA")</f>
        <v>NA</v>
      </c>
      <c r="U4543" s="2" t="str">
        <f t="shared" si="401"/>
        <v>NA</v>
      </c>
    </row>
    <row r="4544" spans="1:21" ht="14.25" customHeight="1">
      <c r="A4544" s="2" t="s">
        <v>18</v>
      </c>
      <c r="B4544" s="2">
        <v>2012</v>
      </c>
      <c r="C4544" s="2" t="s">
        <v>42</v>
      </c>
      <c r="D4544" s="3">
        <f t="shared" si="402"/>
        <v>73.34</v>
      </c>
      <c r="E4544" s="3">
        <f t="shared" si="402"/>
        <v>9.7020000000000017</v>
      </c>
      <c r="P4544" s="3">
        <f>E4544*(VLOOKUP(B4544,Price_data!A$1:B$190,2,FALSE))</f>
        <v>6.8063947369110016</v>
      </c>
      <c r="Q4544" s="3">
        <f>G4544*(VLOOKUP(B4544,Price_data!A$1:B$190,2,FALSE))</f>
        <v>0</v>
      </c>
      <c r="R4544" s="3">
        <f>I4544*(VLOOKUP(B4544,Price_data!A$1:B$190,2,FALSE))</f>
        <v>0</v>
      </c>
      <c r="S4544" s="4" t="str">
        <f>(VLOOKUP(B4544,Price_data!A$1:C$190,3,FALSE))</f>
        <v>EEZ</v>
      </c>
      <c r="T4544" s="2" t="str">
        <f>IF(C4544="Total", (VLOOKUP(B4544,Recommended_fish_intake!A$4:D$122,4,FALSE)), "NA")</f>
        <v>NA</v>
      </c>
      <c r="U4544" s="2" t="str">
        <f t="shared" si="401"/>
        <v>NA</v>
      </c>
    </row>
    <row r="4545" spans="1:21" ht="14.25" customHeight="1">
      <c r="A4545" s="2" t="s">
        <v>18</v>
      </c>
      <c r="B4545" s="2">
        <v>2012</v>
      </c>
      <c r="C4545" s="2" t="s">
        <v>36</v>
      </c>
      <c r="D4545" s="3">
        <f t="shared" si="402"/>
        <v>186.90699999999998</v>
      </c>
      <c r="E4545" s="3">
        <f t="shared" si="402"/>
        <v>168.62800000000001</v>
      </c>
      <c r="P4545" s="3">
        <f>E4545*(VLOOKUP(B4545,Price_data!A$1:B$190,2,FALSE))</f>
        <v>118.30021971715401</v>
      </c>
      <c r="Q4545" s="3">
        <f>G4545*(VLOOKUP(B4545,Price_data!A$1:B$190,2,FALSE))</f>
        <v>0</v>
      </c>
      <c r="R4545" s="3">
        <f>I4545*(VLOOKUP(B4545,Price_data!A$1:B$190,2,FALSE))</f>
        <v>0</v>
      </c>
      <c r="S4545" s="4" t="str">
        <f>(VLOOKUP(B4545,Price_data!A$1:C$190,3,FALSE))</f>
        <v>EEZ</v>
      </c>
      <c r="T4545" s="2" t="str">
        <f>IF(C4545="Total", (VLOOKUP(B4545,Recommended_fish_intake!A$4:D$122,4,FALSE)), "NA")</f>
        <v>NA</v>
      </c>
      <c r="U4545" s="2" t="str">
        <f t="shared" si="401"/>
        <v>NA</v>
      </c>
    </row>
    <row r="4546" spans="1:21" ht="14.25" customHeight="1">
      <c r="A4546" s="2" t="s">
        <v>18</v>
      </c>
      <c r="B4546" s="2">
        <v>2012</v>
      </c>
      <c r="C4546" s="2" t="s">
        <v>34</v>
      </c>
      <c r="D4546" s="3" t="e">
        <f t="shared" si="402"/>
        <v>#N/A</v>
      </c>
      <c r="E4546" s="3" t="e">
        <f t="shared" si="402"/>
        <v>#N/A</v>
      </c>
      <c r="P4546" s="3" t="e">
        <f>E4546*(VLOOKUP(B4546,Price_data!A$1:B$190,2,FALSE))</f>
        <v>#N/A</v>
      </c>
      <c r="Q4546" s="3">
        <f>G4546*(VLOOKUP(B4546,Price_data!A$1:B$190,2,FALSE))</f>
        <v>0</v>
      </c>
      <c r="R4546" s="3">
        <f>I4546*(VLOOKUP(B4546,Price_data!A$1:B$190,2,FALSE))</f>
        <v>0</v>
      </c>
      <c r="S4546" s="4" t="str">
        <f>(VLOOKUP(B4546,Price_data!A$1:C$190,3,FALSE))</f>
        <v>EEZ</v>
      </c>
      <c r="T4546" s="2" t="str">
        <f>IF(C4546="Total", (VLOOKUP(B4546,Recommended_fish_intake!A$4:D$122,4,FALSE)), "NA")</f>
        <v>NA</v>
      </c>
      <c r="U4546" s="2" t="str">
        <f t="shared" ref="U4546:U4609" si="403">IF(C4546="Wet fish", D4546*0.49, IF(C4546="Shellfish", D4546*0.28, "NA"))</f>
        <v>NA</v>
      </c>
    </row>
    <row r="4547" spans="1:21" ht="14.25" customHeight="1">
      <c r="A4547" s="2" t="s">
        <v>18</v>
      </c>
      <c r="B4547" s="2">
        <v>2012</v>
      </c>
      <c r="C4547" s="2" t="s">
        <v>35</v>
      </c>
      <c r="D4547" s="3">
        <f t="shared" si="402"/>
        <v>328.05700000000002</v>
      </c>
      <c r="E4547" s="3">
        <f t="shared" si="402"/>
        <v>300.70999999999998</v>
      </c>
      <c r="P4547" s="3">
        <f>E4547*(VLOOKUP(B4547,Price_data!A$1:B$190,2,FALSE))</f>
        <v>210.96175647665498</v>
      </c>
      <c r="Q4547" s="3">
        <f>G4547*(VLOOKUP(B4547,Price_data!A$1:B$190,2,FALSE))</f>
        <v>0</v>
      </c>
      <c r="R4547" s="3">
        <f>I4547*(VLOOKUP(B4547,Price_data!A$1:B$190,2,FALSE))</f>
        <v>0</v>
      </c>
      <c r="S4547" s="4" t="str">
        <f>(VLOOKUP(B4547,Price_data!A$1:C$190,3,FALSE))</f>
        <v>EEZ</v>
      </c>
      <c r="T4547" s="2" t="str">
        <f>IF(C4547="Total", (VLOOKUP(B4547,Recommended_fish_intake!A$4:D$122,4,FALSE)), "NA")</f>
        <v>NA</v>
      </c>
      <c r="U4547" s="2" t="str">
        <f t="shared" si="403"/>
        <v>NA</v>
      </c>
    </row>
    <row r="4548" spans="1:21" ht="14.25" customHeight="1">
      <c r="A4548" s="2" t="s">
        <v>18</v>
      </c>
      <c r="B4548" s="2">
        <v>2012</v>
      </c>
      <c r="C4548" s="2" t="s">
        <v>52</v>
      </c>
      <c r="D4548" s="3" t="e">
        <f t="shared" si="402"/>
        <v>#N/A</v>
      </c>
      <c r="E4548" s="3" t="e">
        <f t="shared" si="402"/>
        <v>#N/A</v>
      </c>
      <c r="P4548" s="3" t="e">
        <f>E4548*(VLOOKUP(B4548,Price_data!A$1:B$190,2,FALSE))</f>
        <v>#N/A</v>
      </c>
      <c r="Q4548" s="3">
        <f>G4548*(VLOOKUP(B4548,Price_data!A$1:B$190,2,FALSE))</f>
        <v>0</v>
      </c>
      <c r="R4548" s="3">
        <f>I4548*(VLOOKUP(B4548,Price_data!A$1:B$190,2,FALSE))</f>
        <v>0</v>
      </c>
      <c r="S4548" s="4" t="str">
        <f>(VLOOKUP(B4548,Price_data!A$1:C$190,3,FALSE))</f>
        <v>EEZ</v>
      </c>
      <c r="T4548" s="2" t="str">
        <f>IF(C4548="Total", (VLOOKUP(B4548,Recommended_fish_intake!A$4:D$122,4,FALSE)), "NA")</f>
        <v>NA</v>
      </c>
      <c r="U4548" s="2" t="str">
        <f t="shared" si="403"/>
        <v>NA</v>
      </c>
    </row>
    <row r="4549" spans="1:21" ht="14.25" customHeight="1">
      <c r="A4549" s="2" t="s">
        <v>18</v>
      </c>
      <c r="B4549" s="2">
        <v>2012</v>
      </c>
      <c r="C4549" s="2" t="s">
        <v>30</v>
      </c>
      <c r="D4549" s="3" t="e">
        <f t="shared" si="402"/>
        <v>#N/A</v>
      </c>
      <c r="E4549" s="3" t="e">
        <f t="shared" si="402"/>
        <v>#N/A</v>
      </c>
      <c r="P4549" s="3" t="e">
        <f>E4549*(VLOOKUP(B4549,Price_data!A$1:B$190,2,FALSE))</f>
        <v>#N/A</v>
      </c>
      <c r="Q4549" s="3">
        <f>G4549*(VLOOKUP(B4549,Price_data!A$1:B$190,2,FALSE))</f>
        <v>0</v>
      </c>
      <c r="R4549" s="3">
        <f>I4549*(VLOOKUP(B4549,Price_data!A$1:B$190,2,FALSE))</f>
        <v>0</v>
      </c>
      <c r="S4549" s="4" t="str">
        <f>(VLOOKUP(B4549,Price_data!A$1:C$190,3,FALSE))</f>
        <v>EEZ</v>
      </c>
      <c r="T4549" s="2" t="str">
        <f>IF(C4549="Total", (VLOOKUP(B4549,Recommended_fish_intake!A$4:D$122,4,FALSE)), "NA")</f>
        <v>NA</v>
      </c>
      <c r="U4549" s="2" t="str">
        <f t="shared" si="403"/>
        <v>NA</v>
      </c>
    </row>
    <row r="4550" spans="1:21" ht="14.25" customHeight="1">
      <c r="A4550" s="2" t="s">
        <v>18</v>
      </c>
      <c r="B4550" s="2">
        <v>2012</v>
      </c>
      <c r="C4550" s="2" t="s">
        <v>28</v>
      </c>
      <c r="D4550" s="3">
        <f t="shared" si="402"/>
        <v>56.739000000000004</v>
      </c>
      <c r="E4550" s="3">
        <f t="shared" si="402"/>
        <v>74.847000000000008</v>
      </c>
      <c r="P4550" s="3">
        <f>E4550*(VLOOKUP(B4550,Price_data!A$1:B$190,2,FALSE))</f>
        <v>52.508578321333509</v>
      </c>
      <c r="Q4550" s="3">
        <f>G4550*(VLOOKUP(B4550,Price_data!A$1:B$190,2,FALSE))</f>
        <v>0</v>
      </c>
      <c r="R4550" s="3">
        <f>I4550*(VLOOKUP(B4550,Price_data!A$1:B$190,2,FALSE))</f>
        <v>0</v>
      </c>
      <c r="S4550" s="4" t="str">
        <f>(VLOOKUP(B4550,Price_data!A$1:C$190,3,FALSE))</f>
        <v>EEZ</v>
      </c>
      <c r="T4550" s="2" t="str">
        <f>IF(C4550="Total", (VLOOKUP(B4550,Recommended_fish_intake!A$4:D$122,4,FALSE)), "NA")</f>
        <v>NA</v>
      </c>
      <c r="U4550" s="2">
        <f t="shared" si="403"/>
        <v>15.886920000000003</v>
      </c>
    </row>
    <row r="4551" spans="1:21" ht="14.25" customHeight="1">
      <c r="A4551" s="2" t="s">
        <v>18</v>
      </c>
      <c r="B4551" s="2">
        <v>2012</v>
      </c>
      <c r="C4551" s="2" t="s">
        <v>37</v>
      </c>
      <c r="D4551" s="3">
        <f>D4496+D4511</f>
        <v>21.843</v>
      </c>
      <c r="E4551" s="3">
        <f>E4496+E4511</f>
        <v>82.128</v>
      </c>
      <c r="P4551" s="3">
        <f>E4551*(VLOOKUP(B4551,Price_data!A$1:B$190,2,FALSE))</f>
        <v>57.616531328904003</v>
      </c>
      <c r="Q4551" s="3">
        <f>G4551*(VLOOKUP(B4551,Price_data!A$1:B$190,2,FALSE))</f>
        <v>0</v>
      </c>
      <c r="R4551" s="3">
        <f>I4551*(VLOOKUP(B4551,Price_data!A$1:B$190,2,FALSE))</f>
        <v>0</v>
      </c>
      <c r="S4551" s="4" t="str">
        <f>(VLOOKUP(B4551,Price_data!A$1:C$190,3,FALSE))</f>
        <v>EEZ</v>
      </c>
      <c r="T4551" s="2" t="str">
        <f>IF(C4551="Total", (VLOOKUP(B4551,Recommended_fish_intake!A$4:D$122,4,FALSE)), "NA")</f>
        <v>NA</v>
      </c>
      <c r="U4551" s="2">
        <f t="shared" si="403"/>
        <v>10.70307</v>
      </c>
    </row>
    <row r="4552" spans="1:21" ht="14.25" customHeight="1">
      <c r="A4552" s="2" t="s">
        <v>15</v>
      </c>
      <c r="B4552" s="2">
        <v>2012</v>
      </c>
      <c r="C4552" s="2" t="s">
        <v>60</v>
      </c>
      <c r="D4552" s="2">
        <v>1.8</v>
      </c>
      <c r="E4552" s="2">
        <v>3.9</v>
      </c>
      <c r="F4552" s="2">
        <v>3</v>
      </c>
      <c r="G4552" s="2">
        <v>9.5</v>
      </c>
      <c r="H4552" s="2">
        <v>31.6</v>
      </c>
      <c r="I4552" s="2">
        <v>59.7</v>
      </c>
      <c r="P4552" s="3">
        <f>E4552*(VLOOKUP(B4552,Price_data!A$1:B$190,2,FALSE))</f>
        <v>2.73602756895</v>
      </c>
      <c r="Q4552" s="3">
        <f>G4552*(VLOOKUP(B4552,Price_data!A$1:B$190,2,FALSE))</f>
        <v>6.6646825397500002</v>
      </c>
      <c r="R4552" s="3">
        <f>I4552*(VLOOKUP(B4552,Price_data!A$1:B$190,2,FALSE))</f>
        <v>41.882268170850004</v>
      </c>
      <c r="S4552" s="4" t="str">
        <f>(VLOOKUP(B4552,Price_data!A$1:C$190,3,FALSE))</f>
        <v>EEZ</v>
      </c>
      <c r="T4552" s="2" t="str">
        <f>IF(C4552="Total", (VLOOKUP(B4552,Recommended_fish_intake!A$4:D$122,4,FALSE)), "NA")</f>
        <v>NA</v>
      </c>
      <c r="U4552" s="2" t="str">
        <f t="shared" si="403"/>
        <v>NA</v>
      </c>
    </row>
    <row r="4553" spans="1:21" ht="14.25" customHeight="1">
      <c r="A4553" s="2" t="s">
        <v>15</v>
      </c>
      <c r="B4553" s="2">
        <v>2012</v>
      </c>
      <c r="C4553" s="2" t="s">
        <v>29</v>
      </c>
      <c r="D4553" s="2" t="s">
        <v>17</v>
      </c>
      <c r="E4553" s="2" t="s">
        <v>17</v>
      </c>
      <c r="F4553" s="2">
        <v>100.9</v>
      </c>
      <c r="G4553" s="2">
        <v>448.9</v>
      </c>
      <c r="H4553" s="2">
        <v>69.900000000000006</v>
      </c>
      <c r="I4553" s="2">
        <v>292.8</v>
      </c>
      <c r="P4553" s="3" t="e">
        <f>E4553*(VLOOKUP(B4553,Price_data!A$1:B$190,2,FALSE))</f>
        <v>#VALUE!</v>
      </c>
      <c r="Q4553" s="3">
        <f>G4553*(VLOOKUP(B4553,Price_data!A$1:B$190,2,FALSE))</f>
        <v>314.92378864145002</v>
      </c>
      <c r="R4553" s="3">
        <f>I4553*(VLOOKUP(B4553,Price_data!A$1:B$190,2,FALSE))</f>
        <v>205.41253133040001</v>
      </c>
      <c r="S4553" s="4" t="str">
        <f>(VLOOKUP(B4553,Price_data!A$1:C$190,3,FALSE))</f>
        <v>EEZ</v>
      </c>
      <c r="T4553" s="2" t="str">
        <f>IF(C4553="Total", (VLOOKUP(B4553,Recommended_fish_intake!A$4:D$122,4,FALSE)), "NA")</f>
        <v>NA</v>
      </c>
      <c r="U4553" s="2" t="str">
        <f t="shared" si="403"/>
        <v>NA</v>
      </c>
    </row>
    <row r="4554" spans="1:21" ht="14.25" customHeight="1">
      <c r="A4554" s="2" t="s">
        <v>15</v>
      </c>
      <c r="B4554" s="2">
        <v>2012</v>
      </c>
      <c r="C4554" s="2" t="s">
        <v>93</v>
      </c>
      <c r="D4554" s="2">
        <v>4.3</v>
      </c>
      <c r="E4554" s="2">
        <v>1.1000000000000001</v>
      </c>
      <c r="F4554" s="2">
        <v>8.6</v>
      </c>
      <c r="G4554" s="2">
        <v>10.3</v>
      </c>
      <c r="H4554" s="2">
        <v>14.4</v>
      </c>
      <c r="I4554" s="2">
        <v>35.700000000000003</v>
      </c>
      <c r="P4554" s="3">
        <f>E4554*(VLOOKUP(B4554,Price_data!A$1:B$190,2,FALSE))</f>
        <v>0.77170008355000008</v>
      </c>
      <c r="Q4554" s="3">
        <f>G4554*(VLOOKUP(B4554,Price_data!A$1:B$190,2,FALSE))</f>
        <v>7.2259189641500008</v>
      </c>
      <c r="R4554" s="3">
        <f>I4554*(VLOOKUP(B4554,Price_data!A$1:B$190,2,FALSE))</f>
        <v>25.045175438850002</v>
      </c>
      <c r="S4554" s="4" t="str">
        <f>(VLOOKUP(B4554,Price_data!A$1:C$190,3,FALSE))</f>
        <v>EEZ</v>
      </c>
      <c r="T4554" s="2" t="str">
        <f>IF(C4554="Total", (VLOOKUP(B4554,Recommended_fish_intake!A$4:D$122,4,FALSE)), "NA")</f>
        <v>NA</v>
      </c>
      <c r="U4554" s="2" t="str">
        <f t="shared" si="403"/>
        <v>NA</v>
      </c>
    </row>
    <row r="4555" spans="1:21" ht="14.25" customHeight="1">
      <c r="A4555" s="2" t="s">
        <v>15</v>
      </c>
      <c r="B4555" s="2">
        <v>2012</v>
      </c>
      <c r="C4555" s="2" t="s">
        <v>43</v>
      </c>
      <c r="D4555" s="2" t="s">
        <v>17</v>
      </c>
      <c r="E4555" s="2" t="s">
        <v>17</v>
      </c>
      <c r="F4555" s="2">
        <v>6.7</v>
      </c>
      <c r="G4555" s="2">
        <v>19.5</v>
      </c>
      <c r="H4555" s="2">
        <v>89.7</v>
      </c>
      <c r="I4555" s="2">
        <v>290.89999999999998</v>
      </c>
      <c r="P4555" s="3" t="e">
        <f>E4555*(VLOOKUP(B4555,Price_data!A$1:B$190,2,FALSE))</f>
        <v>#VALUE!</v>
      </c>
      <c r="Q4555" s="3">
        <f>G4555*(VLOOKUP(B4555,Price_data!A$1:B$190,2,FALSE))</f>
        <v>13.68013784475</v>
      </c>
      <c r="R4555" s="3">
        <f>I4555*(VLOOKUP(B4555,Price_data!A$1:B$190,2,FALSE))</f>
        <v>204.07959482244999</v>
      </c>
      <c r="S4555" s="4" t="str">
        <f>(VLOOKUP(B4555,Price_data!A$1:C$190,3,FALSE))</f>
        <v>EEZ</v>
      </c>
      <c r="T4555" s="2" t="str">
        <f>IF(C4555="Total", (VLOOKUP(B4555,Recommended_fish_intake!A$4:D$122,4,FALSE)), "NA")</f>
        <v>NA</v>
      </c>
      <c r="U4555" s="2" t="str">
        <f t="shared" si="403"/>
        <v>NA</v>
      </c>
    </row>
    <row r="4556" spans="1:21" ht="14.25" customHeight="1">
      <c r="A4556" s="2" t="s">
        <v>15</v>
      </c>
      <c r="B4556" s="2">
        <v>2012</v>
      </c>
      <c r="C4556" s="2" t="s">
        <v>25</v>
      </c>
      <c r="D4556" s="2">
        <v>3.4</v>
      </c>
      <c r="E4556" s="2">
        <v>3.7</v>
      </c>
      <c r="F4556" s="4">
        <v>0.3</v>
      </c>
      <c r="G4556" s="4">
        <v>0.6</v>
      </c>
      <c r="H4556" s="4">
        <v>5.3</v>
      </c>
      <c r="I4556" s="4">
        <v>16.600000000000001</v>
      </c>
      <c r="P4556" s="3">
        <f>E4556*(VLOOKUP(B4556,Price_data!A$1:B$190,2,FALSE))</f>
        <v>2.5957184628500003</v>
      </c>
      <c r="Q4556" s="3">
        <f>G4556*(VLOOKUP(B4556,Price_data!A$1:B$190,2,FALSE))</f>
        <v>0.42092731830000002</v>
      </c>
      <c r="R4556" s="3">
        <f>I4556*(VLOOKUP(B4556,Price_data!A$1:B$190,2,FALSE))</f>
        <v>11.645655806300001</v>
      </c>
      <c r="S4556" s="4" t="str">
        <f>(VLOOKUP(B4556,Price_data!A$1:C$190,3,FALSE))</f>
        <v>EEZ</v>
      </c>
      <c r="T4556" s="2" t="str">
        <f>IF(C4556="Total", (VLOOKUP(B4556,Recommended_fish_intake!A$4:D$122,4,FALSE)), "NA")</f>
        <v>NA</v>
      </c>
      <c r="U4556" s="2" t="str">
        <f t="shared" si="403"/>
        <v>NA</v>
      </c>
    </row>
    <row r="4557" spans="1:21" ht="14.25" customHeight="1">
      <c r="A4557" s="2" t="s">
        <v>15</v>
      </c>
      <c r="B4557" s="2">
        <v>2012</v>
      </c>
      <c r="C4557" s="2" t="s">
        <v>16</v>
      </c>
      <c r="D4557" s="2">
        <v>394</v>
      </c>
      <c r="E4557" s="2">
        <v>568.6</v>
      </c>
      <c r="F4557" s="2">
        <v>465.9</v>
      </c>
      <c r="G4557" s="2">
        <v>1343.9</v>
      </c>
      <c r="H4557" s="2">
        <v>754.5</v>
      </c>
      <c r="I4557" s="2">
        <v>2570</v>
      </c>
      <c r="P4557" s="3">
        <f>E4557*(VLOOKUP(B4557,Price_data!A$1:B$190,2,FALSE))</f>
        <v>398.89878864230002</v>
      </c>
      <c r="Q4557" s="3">
        <f>G4557*(VLOOKUP(B4557,Price_data!A$1:B$190,2,FALSE))</f>
        <v>942.80703843895003</v>
      </c>
      <c r="R4557" s="3">
        <f>I4557*(VLOOKUP(B4557,Price_data!A$1:B$190,2,FALSE))</f>
        <v>1802.9720133850001</v>
      </c>
      <c r="S4557" s="4" t="str">
        <f>(VLOOKUP(B4557,Price_data!A$1:C$190,3,FALSE))</f>
        <v>EEZ</v>
      </c>
      <c r="T4557" s="2">
        <f>IF(C4557="Total", (VLOOKUP(B4557,Recommended_fish_intake!A$4:D$122,4,FALSE)), "NA")</f>
        <v>848.23560592679996</v>
      </c>
      <c r="U4557" s="2" t="str">
        <f t="shared" si="403"/>
        <v>NA</v>
      </c>
    </row>
    <row r="4558" spans="1:21" ht="14.25" customHeight="1">
      <c r="A4558" s="2" t="s">
        <v>90</v>
      </c>
      <c r="B4558" s="2">
        <v>2012</v>
      </c>
      <c r="C4558" s="2" t="s">
        <v>16</v>
      </c>
      <c r="D4558" s="2">
        <v>104.6</v>
      </c>
      <c r="E4558" s="2">
        <v>165.3</v>
      </c>
      <c r="P4558" s="3">
        <f>E4558*(VLOOKUP(B4558,Price_data!A$1:B$190,2,FALSE))</f>
        <v>115.96547619165001</v>
      </c>
      <c r="Q4558" s="3">
        <f>G4558*(VLOOKUP(B4558,Price_data!A$1:B$190,2,FALSE))</f>
        <v>0</v>
      </c>
      <c r="R4558" s="3">
        <f>I4558*(VLOOKUP(B4558,Price_data!A$1:B$190,2,FALSE))</f>
        <v>0</v>
      </c>
      <c r="S4558" s="4" t="str">
        <f>(VLOOKUP(B4558,Price_data!A$1:C$190,3,FALSE))</f>
        <v>EEZ</v>
      </c>
      <c r="T4558" s="2">
        <f>IF(C4558="Total", (VLOOKUP(B4558,Recommended_fish_intake!A$4:D$122,4,FALSE)), "NA")</f>
        <v>848.23560592679996</v>
      </c>
      <c r="U4558" s="2" t="str">
        <f t="shared" si="403"/>
        <v>NA</v>
      </c>
    </row>
    <row r="4559" spans="1:21" ht="14.25" customHeight="1">
      <c r="A4559" s="2" t="s">
        <v>91</v>
      </c>
      <c r="B4559" s="2">
        <v>2012</v>
      </c>
      <c r="C4559" s="2" t="s">
        <v>16</v>
      </c>
      <c r="D4559" s="2">
        <v>13.789</v>
      </c>
      <c r="E4559" s="2">
        <v>20.161000000000001</v>
      </c>
      <c r="P4559" s="3">
        <f>E4559*(VLOOKUP(B4559,Price_data!A$1:B$190,2,FALSE))</f>
        <v>14.143859440410502</v>
      </c>
      <c r="Q4559" s="3">
        <f>G4559*(VLOOKUP(B4559,Price_data!A$1:B$190,2,FALSE))</f>
        <v>0</v>
      </c>
      <c r="R4559" s="3">
        <f>I4559*(VLOOKUP(B4559,Price_data!A$1:B$190,2,FALSE))</f>
        <v>0</v>
      </c>
      <c r="S4559" s="4" t="str">
        <f>(VLOOKUP(B4559,Price_data!A$1:C$190,3,FALSE))</f>
        <v>EEZ</v>
      </c>
      <c r="T4559" s="2">
        <f>IF(C4559="Total", (VLOOKUP(B4559,Recommended_fish_intake!A$4:D$122,4,FALSE)), "NA")</f>
        <v>848.23560592679996</v>
      </c>
      <c r="U4559" s="2" t="str">
        <f t="shared" si="403"/>
        <v>NA</v>
      </c>
    </row>
    <row r="4560" spans="1:21" ht="14.25" customHeight="1">
      <c r="A4560" s="2" t="s">
        <v>39</v>
      </c>
      <c r="B4560" s="2">
        <v>2012</v>
      </c>
      <c r="C4560" s="2" t="s">
        <v>16</v>
      </c>
      <c r="D4560" s="2">
        <v>246.71899999999999</v>
      </c>
      <c r="E4560" s="2">
        <v>347.79899999999998</v>
      </c>
      <c r="P4560" s="3">
        <f>E4560*(VLOOKUP(B4560,Price_data!A$1:B$190,2,FALSE))</f>
        <v>243.99683396236949</v>
      </c>
      <c r="Q4560" s="3">
        <f>G4560*(VLOOKUP(B4560,Price_data!A$1:B$190,2,FALSE))</f>
        <v>0</v>
      </c>
      <c r="R4560" s="3">
        <f>I4560*(VLOOKUP(B4560,Price_data!A$1:B$190,2,FALSE))</f>
        <v>0</v>
      </c>
      <c r="S4560" s="4" t="str">
        <f>(VLOOKUP(B4560,Price_data!A$1:C$190,3,FALSE))</f>
        <v>EEZ</v>
      </c>
      <c r="T4560" s="2">
        <f>IF(C4560="Total", (VLOOKUP(B4560,Recommended_fish_intake!A$4:D$122,4,FALSE)), "NA")</f>
        <v>848.23560592679996</v>
      </c>
      <c r="U4560" s="2" t="str">
        <f t="shared" si="403"/>
        <v>NA</v>
      </c>
    </row>
    <row r="4561" spans="1:21" ht="14.25" customHeight="1">
      <c r="A4561" s="2" t="s">
        <v>40</v>
      </c>
      <c r="B4561" s="2">
        <v>2012</v>
      </c>
      <c r="C4561" s="2" t="s">
        <v>16</v>
      </c>
      <c r="D4561" s="2">
        <v>21.047000000000001</v>
      </c>
      <c r="E4561" s="2">
        <v>28.908999999999999</v>
      </c>
      <c r="P4561" s="3">
        <f>E4561*(VLOOKUP(B4561,Price_data!A$1:B$190,2,FALSE))</f>
        <v>20.280979741224499</v>
      </c>
      <c r="Q4561" s="3">
        <f>G4561*(VLOOKUP(B4561,Price_data!A$1:B$190,2,FALSE))</f>
        <v>0</v>
      </c>
      <c r="R4561" s="3">
        <f>I4561*(VLOOKUP(B4561,Price_data!A$1:B$190,2,FALSE))</f>
        <v>0</v>
      </c>
      <c r="S4561" s="4" t="str">
        <f>(VLOOKUP(B4561,Price_data!A$1:C$190,3,FALSE))</f>
        <v>EEZ</v>
      </c>
      <c r="T4561" s="2">
        <f>IF(C4561="Total", (VLOOKUP(B4561,Recommended_fish_intake!A$4:D$122,4,FALSE)), "NA")</f>
        <v>848.23560592679996</v>
      </c>
      <c r="U4561" s="2" t="str">
        <f t="shared" si="403"/>
        <v>NA</v>
      </c>
    </row>
    <row r="4562" spans="1:21" ht="14.25" customHeight="1">
      <c r="A4562" s="2" t="s">
        <v>18</v>
      </c>
      <c r="B4562" s="2">
        <v>2012</v>
      </c>
      <c r="C4562" s="2" t="s">
        <v>16</v>
      </c>
      <c r="D4562" s="3">
        <f>D2944+D3034</f>
        <v>74.899999999999991</v>
      </c>
      <c r="E4562" s="3">
        <f>E2944+E3034</f>
        <v>102.3</v>
      </c>
      <c r="P4562" s="3">
        <f>E4562*(VLOOKUP(B4562,Price_data!A$1:B$190,2,FALSE))</f>
        <v>71.768107770149996</v>
      </c>
      <c r="Q4562" s="3">
        <f>G4562*(VLOOKUP(B4562,Price_data!A$1:B$190,2,FALSE))</f>
        <v>0</v>
      </c>
      <c r="R4562" s="3">
        <f>I4562*(VLOOKUP(B4562,Price_data!A$1:B$190,2,FALSE))</f>
        <v>0</v>
      </c>
      <c r="S4562" s="4" t="str">
        <f>(VLOOKUP(B4562,Price_data!A$1:C$190,3,FALSE))</f>
        <v>EEZ</v>
      </c>
      <c r="T4562" s="2">
        <f>IF(C4562="Total", (VLOOKUP(B4562,Recommended_fish_intake!A$4:D$122,4,FALSE)), "NA")</f>
        <v>848.23560592679996</v>
      </c>
      <c r="U4562" s="2" t="str">
        <f t="shared" si="403"/>
        <v>NA</v>
      </c>
    </row>
    <row r="4563" spans="1:21" ht="14.25" customHeight="1">
      <c r="A4563" s="2" t="s">
        <v>15</v>
      </c>
      <c r="B4563" s="2">
        <v>2013</v>
      </c>
      <c r="C4563" s="2" t="s">
        <v>22</v>
      </c>
      <c r="D4563" s="2">
        <v>13</v>
      </c>
      <c r="E4563" s="2">
        <v>25.8</v>
      </c>
      <c r="F4563" s="2">
        <v>16.7</v>
      </c>
      <c r="G4563" s="2">
        <v>55.6</v>
      </c>
      <c r="H4563" s="2">
        <v>116.3</v>
      </c>
      <c r="I4563" s="2">
        <v>400.4</v>
      </c>
      <c r="P4563" s="3">
        <f>E4563*(VLOOKUP(B4563,Price_data!A$1:B$190,2,FALSE))</f>
        <v>17.566068713700002</v>
      </c>
      <c r="Q4563" s="3">
        <f>G4563*(VLOOKUP(B4563,Price_data!A$1:B$190,2,FALSE))</f>
        <v>37.855558933400005</v>
      </c>
      <c r="R4563" s="3">
        <f>I4563*(VLOOKUP(B4563,Price_data!A$1:B$190,2,FALSE))</f>
        <v>272.61449275059999</v>
      </c>
      <c r="S4563" s="4" t="str">
        <f>(VLOOKUP(B4563,Price_data!A$1:C$190,3,FALSE))</f>
        <v>EEZ</v>
      </c>
      <c r="T4563" s="2" t="str">
        <f>IF(C4563="Total", (VLOOKUP(B4563,Recommended_fish_intake!A$4:D$122,4,FALSE)), "NA")</f>
        <v>NA</v>
      </c>
      <c r="U4563" s="2" t="str">
        <f t="shared" si="403"/>
        <v>NA</v>
      </c>
    </row>
    <row r="4564" spans="1:21" ht="14.25" customHeight="1">
      <c r="A4564" s="2" t="s">
        <v>15</v>
      </c>
      <c r="B4564" s="2">
        <v>2013</v>
      </c>
      <c r="C4564" s="2" t="s">
        <v>23</v>
      </c>
      <c r="D4564" s="2">
        <v>38.700000000000003</v>
      </c>
      <c r="E4564" s="2">
        <v>43.5</v>
      </c>
      <c r="F4564" s="2">
        <v>1</v>
      </c>
      <c r="G4564" s="2">
        <v>3</v>
      </c>
      <c r="H4564" s="2">
        <v>44.9</v>
      </c>
      <c r="I4564" s="2">
        <v>124.5</v>
      </c>
      <c r="P4564" s="3">
        <f>E4564*(VLOOKUP(B4564,Price_data!A$1:B$190,2,FALSE))</f>
        <v>29.617208877750002</v>
      </c>
      <c r="Q4564" s="3">
        <f>G4564*(VLOOKUP(B4564,Price_data!A$1:B$190,2,FALSE))</f>
        <v>2.0425661294999999</v>
      </c>
      <c r="R4564" s="3">
        <f>I4564*(VLOOKUP(B4564,Price_data!A$1:B$190,2,FALSE))</f>
        <v>84.766494374250001</v>
      </c>
      <c r="S4564" s="4" t="str">
        <f>(VLOOKUP(B4564,Price_data!A$1:C$190,3,FALSE))</f>
        <v>EEZ</v>
      </c>
      <c r="T4564" s="2" t="str">
        <f>IF(C4564="Total", (VLOOKUP(B4564,Recommended_fish_intake!A$4:D$122,4,FALSE)), "NA")</f>
        <v>NA</v>
      </c>
      <c r="U4564" s="2" t="str">
        <f t="shared" si="403"/>
        <v>NA</v>
      </c>
    </row>
    <row r="4565" spans="1:21" ht="14.25" customHeight="1">
      <c r="A4565" s="2" t="s">
        <v>15</v>
      </c>
      <c r="B4565" s="2">
        <v>2013</v>
      </c>
      <c r="C4565" s="2" t="s">
        <v>53</v>
      </c>
      <c r="D4565" s="2">
        <v>6.5</v>
      </c>
      <c r="E4565" s="2">
        <v>16.100000000000001</v>
      </c>
      <c r="F4565" s="2">
        <v>2.4</v>
      </c>
      <c r="G4565" s="2">
        <v>7.1</v>
      </c>
      <c r="H4565" s="2">
        <v>3.2</v>
      </c>
      <c r="I4565" s="2">
        <v>8.8000000000000007</v>
      </c>
      <c r="P4565" s="3">
        <f>E4565*(VLOOKUP(B4565,Price_data!A$1:B$190,2,FALSE))</f>
        <v>10.961771561650002</v>
      </c>
      <c r="Q4565" s="3">
        <f>G4565*(VLOOKUP(B4565,Price_data!A$1:B$190,2,FALSE))</f>
        <v>4.8340731731500002</v>
      </c>
      <c r="R4565" s="3">
        <f>I4565*(VLOOKUP(B4565,Price_data!A$1:B$190,2,FALSE))</f>
        <v>5.9915273132000006</v>
      </c>
      <c r="S4565" s="4" t="str">
        <f>(VLOOKUP(B4565,Price_data!A$1:C$190,3,FALSE))</f>
        <v>EEZ</v>
      </c>
      <c r="T4565" s="2" t="str">
        <f>IF(C4565="Total", (VLOOKUP(B4565,Recommended_fish_intake!A$4:D$122,4,FALSE)), "NA")</f>
        <v>NA</v>
      </c>
      <c r="U4565" s="2" t="str">
        <f t="shared" si="403"/>
        <v>NA</v>
      </c>
    </row>
    <row r="4566" spans="1:21" ht="14.25" customHeight="1">
      <c r="A4566" s="2" t="s">
        <v>15</v>
      </c>
      <c r="B4566" s="2">
        <v>2013</v>
      </c>
      <c r="C4566" s="2" t="s">
        <v>58</v>
      </c>
      <c r="D4566" s="2">
        <v>10.1</v>
      </c>
      <c r="E4566" s="2">
        <v>30.3</v>
      </c>
      <c r="F4566" s="2">
        <v>1.8</v>
      </c>
      <c r="G4566" s="2">
        <v>9.6999999999999993</v>
      </c>
      <c r="H4566" s="2">
        <v>1.7</v>
      </c>
      <c r="I4566" s="2">
        <v>6.6</v>
      </c>
      <c r="P4566" s="3">
        <f>E4566*(VLOOKUP(B4566,Price_data!A$1:B$190,2,FALSE))</f>
        <v>20.629917907950002</v>
      </c>
      <c r="Q4566" s="3">
        <f>G4566*(VLOOKUP(B4566,Price_data!A$1:B$190,2,FALSE))</f>
        <v>6.60429715205</v>
      </c>
      <c r="R4566" s="3">
        <f>I4566*(VLOOKUP(B4566,Price_data!A$1:B$190,2,FALSE))</f>
        <v>4.4936454849</v>
      </c>
      <c r="S4566" s="4" t="str">
        <f>(VLOOKUP(B4566,Price_data!A$1:C$190,3,FALSE))</f>
        <v>EEZ</v>
      </c>
      <c r="T4566" s="2" t="str">
        <f>IF(C4566="Total", (VLOOKUP(B4566,Recommended_fish_intake!A$4:D$122,4,FALSE)), "NA")</f>
        <v>NA</v>
      </c>
      <c r="U4566" s="2" t="str">
        <f t="shared" si="403"/>
        <v>NA</v>
      </c>
    </row>
    <row r="4567" spans="1:21" ht="14.25" customHeight="1">
      <c r="A4567" s="2" t="s">
        <v>15</v>
      </c>
      <c r="B4567" s="2">
        <v>2013</v>
      </c>
      <c r="C4567" s="2" t="s">
        <v>38</v>
      </c>
      <c r="D4567" s="2">
        <v>12.9</v>
      </c>
      <c r="E4567" s="2">
        <v>11</v>
      </c>
      <c r="F4567" s="2">
        <v>5</v>
      </c>
      <c r="G4567" s="2">
        <v>8.6</v>
      </c>
      <c r="H4567" s="2">
        <v>2.7</v>
      </c>
      <c r="I4567" s="2">
        <v>8.1</v>
      </c>
      <c r="P4567" s="3">
        <f>E4567*(VLOOKUP(B4567,Price_data!A$1:B$190,2,FALSE))</f>
        <v>7.4894091415000004</v>
      </c>
      <c r="Q4567" s="3">
        <f>G4567*(VLOOKUP(B4567,Price_data!A$1:B$190,2,FALSE))</f>
        <v>5.8553562379000006</v>
      </c>
      <c r="R4567" s="3">
        <f>I4567*(VLOOKUP(B4567,Price_data!A$1:B$190,2,FALSE))</f>
        <v>5.5149285496500005</v>
      </c>
      <c r="S4567" s="4" t="str">
        <f>(VLOOKUP(B4567,Price_data!A$1:C$190,3,FALSE))</f>
        <v>EEZ</v>
      </c>
      <c r="T4567" s="2" t="str">
        <f>IF(C4567="Total", (VLOOKUP(B4567,Recommended_fish_intake!A$4:D$122,4,FALSE)), "NA")</f>
        <v>NA</v>
      </c>
      <c r="U4567" s="2" t="str">
        <f t="shared" si="403"/>
        <v>NA</v>
      </c>
    </row>
    <row r="4568" spans="1:21" ht="14.25" customHeight="1">
      <c r="A4568" s="2" t="s">
        <v>15</v>
      </c>
      <c r="B4568" s="2">
        <v>2013</v>
      </c>
      <c r="C4568" s="2" t="s">
        <v>63</v>
      </c>
      <c r="D4568" s="2">
        <v>1.8</v>
      </c>
      <c r="E4568" s="2">
        <v>12.7</v>
      </c>
      <c r="F4568" s="2">
        <v>1</v>
      </c>
      <c r="G4568" s="2">
        <v>7.3</v>
      </c>
      <c r="H4568" s="2">
        <v>0.3</v>
      </c>
      <c r="I4568" s="2">
        <v>1.2</v>
      </c>
      <c r="P4568" s="3">
        <f>E4568*(VLOOKUP(B4568,Price_data!A$1:B$190,2,FALSE))</f>
        <v>8.6468632815500008</v>
      </c>
      <c r="Q4568" s="3">
        <f>G4568*(VLOOKUP(B4568,Price_data!A$1:B$190,2,FALSE))</f>
        <v>4.9702442484500002</v>
      </c>
      <c r="R4568" s="3">
        <f>I4568*(VLOOKUP(B4568,Price_data!A$1:B$190,2,FALSE))</f>
        <v>0.8170264518</v>
      </c>
      <c r="S4568" s="4" t="str">
        <f>(VLOOKUP(B4568,Price_data!A$1:C$190,3,FALSE))</f>
        <v>EEZ</v>
      </c>
      <c r="T4568" s="2" t="str">
        <f>IF(C4568="Total", (VLOOKUP(B4568,Recommended_fish_intake!A$4:D$122,4,FALSE)), "NA")</f>
        <v>NA</v>
      </c>
      <c r="U4568" s="2" t="str">
        <f t="shared" si="403"/>
        <v>NA</v>
      </c>
    </row>
    <row r="4569" spans="1:21" ht="14.25" customHeight="1">
      <c r="A4569" s="2" t="s">
        <v>15</v>
      </c>
      <c r="B4569" s="2">
        <v>2013</v>
      </c>
      <c r="C4569" s="2" t="s">
        <v>24</v>
      </c>
      <c r="D4569" s="2">
        <v>12</v>
      </c>
      <c r="E4569" s="2">
        <v>11.5</v>
      </c>
      <c r="F4569" s="2">
        <v>0.8</v>
      </c>
      <c r="G4569" s="2">
        <v>1.6</v>
      </c>
      <c r="H4569" s="2">
        <v>1.7</v>
      </c>
      <c r="I4569" s="2">
        <v>1.3</v>
      </c>
      <c r="P4569" s="3">
        <f>E4569*(VLOOKUP(B4569,Price_data!A$1:B$190,2,FALSE))</f>
        <v>7.8298368297500005</v>
      </c>
      <c r="Q4569" s="3">
        <f>G4569*(VLOOKUP(B4569,Price_data!A$1:B$190,2,FALSE))</f>
        <v>1.0893686024000002</v>
      </c>
      <c r="R4569" s="3">
        <f>I4569*(VLOOKUP(B4569,Price_data!A$1:B$190,2,FALSE))</f>
        <v>0.88511198945000014</v>
      </c>
      <c r="S4569" s="4" t="str">
        <f>(VLOOKUP(B4569,Price_data!A$1:C$190,3,FALSE))</f>
        <v>EEZ</v>
      </c>
      <c r="T4569" s="2" t="str">
        <f>IF(C4569="Total", (VLOOKUP(B4569,Recommended_fish_intake!A$4:D$122,4,FALSE)), "NA")</f>
        <v>NA</v>
      </c>
      <c r="U4569" s="2" t="str">
        <f t="shared" si="403"/>
        <v>NA</v>
      </c>
    </row>
    <row r="4570" spans="1:21" ht="14.25" customHeight="1">
      <c r="A4570" s="2" t="s">
        <v>15</v>
      </c>
      <c r="B4570" s="2">
        <v>2013</v>
      </c>
      <c r="C4570" s="2" t="s">
        <v>41</v>
      </c>
      <c r="D4570" s="2">
        <v>122.6</v>
      </c>
      <c r="E4570" s="2">
        <v>202.9</v>
      </c>
      <c r="F4570" s="2" t="s">
        <v>92</v>
      </c>
      <c r="G4570" s="2" t="s">
        <v>92</v>
      </c>
      <c r="H4570" s="2" t="s">
        <v>92</v>
      </c>
      <c r="I4570" s="2" t="s">
        <v>92</v>
      </c>
      <c r="P4570" s="3">
        <f>E4570*(VLOOKUP(B4570,Price_data!A$1:B$190,2,FALSE))</f>
        <v>138.14555589185002</v>
      </c>
      <c r="Q4570" s="3" t="e">
        <f>G4570*(VLOOKUP(B4570,Price_data!A$1:B$190,2,FALSE))</f>
        <v>#VALUE!</v>
      </c>
      <c r="R4570" s="3" t="e">
        <f>I4570*(VLOOKUP(B4570,Price_data!A$1:B$190,2,FALSE))</f>
        <v>#VALUE!</v>
      </c>
      <c r="S4570" s="4" t="str">
        <f>(VLOOKUP(B4570,Price_data!A$1:C$190,3,FALSE))</f>
        <v>EEZ</v>
      </c>
      <c r="T4570" s="2" t="str">
        <f>IF(C4570="Total", (VLOOKUP(B4570,Recommended_fish_intake!A$4:D$122,4,FALSE)), "NA")</f>
        <v>NA</v>
      </c>
      <c r="U4570" s="2" t="str">
        <f t="shared" si="403"/>
        <v>NA</v>
      </c>
    </row>
    <row r="4571" spans="1:21" ht="14.25" customHeight="1">
      <c r="A4571" s="2" t="s">
        <v>15</v>
      </c>
      <c r="B4571" s="2">
        <v>2013</v>
      </c>
      <c r="C4571" s="2" t="s">
        <v>19</v>
      </c>
      <c r="D4571" s="2">
        <v>37.5</v>
      </c>
      <c r="E4571" s="2">
        <v>13.6</v>
      </c>
      <c r="F4571" s="2">
        <v>52.9</v>
      </c>
      <c r="G4571" s="2">
        <v>36.9</v>
      </c>
      <c r="H4571" s="2">
        <v>12</v>
      </c>
      <c r="I4571" s="2">
        <v>17.2</v>
      </c>
      <c r="P4571" s="3">
        <f>E4571*(VLOOKUP(B4571,Price_data!A$1:B$190,2,FALSE))</f>
        <v>9.2596331204000002</v>
      </c>
      <c r="Q4571" s="3">
        <f>G4571*(VLOOKUP(B4571,Price_data!A$1:B$190,2,FALSE))</f>
        <v>25.123563392850002</v>
      </c>
      <c r="R4571" s="3">
        <f>I4571*(VLOOKUP(B4571,Price_data!A$1:B$190,2,FALSE))</f>
        <v>11.710712475800001</v>
      </c>
      <c r="S4571" s="4" t="str">
        <f>(VLOOKUP(B4571,Price_data!A$1:C$190,3,FALSE))</f>
        <v>EEZ</v>
      </c>
      <c r="T4571" s="2" t="str">
        <f>IF(C4571="Total", (VLOOKUP(B4571,Recommended_fish_intake!A$4:D$122,4,FALSE)), "NA")</f>
        <v>NA</v>
      </c>
      <c r="U4571" s="2" t="str">
        <f t="shared" si="403"/>
        <v>NA</v>
      </c>
    </row>
    <row r="4572" spans="1:21" ht="14.25" customHeight="1">
      <c r="A4572" s="2" t="s">
        <v>15</v>
      </c>
      <c r="B4572" s="2">
        <v>2013</v>
      </c>
      <c r="C4572" s="2" t="s">
        <v>20</v>
      </c>
      <c r="D4572" s="2">
        <v>78.2</v>
      </c>
      <c r="E4572" s="2">
        <v>70.099999999999994</v>
      </c>
      <c r="F4572" s="2">
        <v>80.8</v>
      </c>
      <c r="G4572" s="2">
        <v>99.7</v>
      </c>
      <c r="H4572" s="2">
        <v>29.9</v>
      </c>
      <c r="I4572" s="2">
        <v>57.5</v>
      </c>
      <c r="P4572" s="3">
        <f>E4572*(VLOOKUP(B4572,Price_data!A$1:B$190,2,FALSE))</f>
        <v>47.727961892650001</v>
      </c>
      <c r="Q4572" s="3">
        <f>G4572*(VLOOKUP(B4572,Price_data!A$1:B$190,2,FALSE))</f>
        <v>67.881281037050002</v>
      </c>
      <c r="R4572" s="3">
        <f>I4572*(VLOOKUP(B4572,Price_data!A$1:B$190,2,FALSE))</f>
        <v>39.149184148750003</v>
      </c>
      <c r="S4572" s="4" t="str">
        <f>(VLOOKUP(B4572,Price_data!A$1:C$190,3,FALSE))</f>
        <v>EEZ</v>
      </c>
      <c r="T4572" s="2" t="str">
        <f>IF(C4572="Total", (VLOOKUP(B4572,Recommended_fish_intake!A$4:D$122,4,FALSE)), "NA")</f>
        <v>NA</v>
      </c>
      <c r="U4572" s="2" t="str">
        <f t="shared" si="403"/>
        <v>NA</v>
      </c>
    </row>
    <row r="4573" spans="1:21" ht="14.25" customHeight="1">
      <c r="A4573" s="2" t="s">
        <v>15</v>
      </c>
      <c r="B4573" s="2">
        <v>2013</v>
      </c>
      <c r="C4573" s="2" t="s">
        <v>42</v>
      </c>
      <c r="D4573" s="2">
        <v>134.9</v>
      </c>
      <c r="E4573" s="2">
        <v>88.4</v>
      </c>
      <c r="F4573" s="2" t="s">
        <v>92</v>
      </c>
      <c r="G4573" s="2" t="s">
        <v>92</v>
      </c>
      <c r="H4573" s="2" t="s">
        <v>92</v>
      </c>
      <c r="I4573" s="2" t="s">
        <v>92</v>
      </c>
      <c r="P4573" s="3">
        <f>E4573*(VLOOKUP(B4573,Price_data!A$1:B$190,2,FALSE))</f>
        <v>60.187615282600007</v>
      </c>
      <c r="Q4573" s="3" t="e">
        <f>G4573*(VLOOKUP(B4573,Price_data!A$1:B$190,2,FALSE))</f>
        <v>#VALUE!</v>
      </c>
      <c r="R4573" s="3" t="e">
        <f>I4573*(VLOOKUP(B4573,Price_data!A$1:B$190,2,FALSE))</f>
        <v>#VALUE!</v>
      </c>
      <c r="S4573" s="4" t="str">
        <f>(VLOOKUP(B4573,Price_data!A$1:C$190,3,FALSE))</f>
        <v>EEZ</v>
      </c>
      <c r="T4573" s="2" t="str">
        <f>IF(C4573="Total", (VLOOKUP(B4573,Recommended_fish_intake!A$4:D$122,4,FALSE)), "NA")</f>
        <v>NA</v>
      </c>
      <c r="U4573" s="2" t="str">
        <f t="shared" si="403"/>
        <v>NA</v>
      </c>
    </row>
    <row r="4574" spans="1:21" ht="14.25" customHeight="1">
      <c r="A4574" s="2" t="s">
        <v>15</v>
      </c>
      <c r="B4574" s="2">
        <v>2013</v>
      </c>
      <c r="C4574" s="2" t="s">
        <v>36</v>
      </c>
      <c r="D4574" s="2">
        <v>29.1</v>
      </c>
      <c r="E4574" s="2">
        <v>38.9</v>
      </c>
      <c r="F4574" s="2">
        <v>14.2</v>
      </c>
      <c r="G4574" s="2">
        <v>50.7</v>
      </c>
      <c r="H4574" s="2">
        <v>2.5</v>
      </c>
      <c r="I4574" s="2">
        <v>17.3</v>
      </c>
      <c r="P4574" s="3">
        <f>E4574*(VLOOKUP(B4574,Price_data!A$1:B$190,2,FALSE))</f>
        <v>26.485274145850003</v>
      </c>
      <c r="Q4574" s="3">
        <f>G4574*(VLOOKUP(B4574,Price_data!A$1:B$190,2,FALSE))</f>
        <v>34.519367588550004</v>
      </c>
      <c r="R4574" s="3">
        <f>I4574*(VLOOKUP(B4574,Price_data!A$1:B$190,2,FALSE))</f>
        <v>11.778798013450002</v>
      </c>
      <c r="S4574" s="4" t="str">
        <f>(VLOOKUP(B4574,Price_data!A$1:C$190,3,FALSE))</f>
        <v>EEZ</v>
      </c>
      <c r="T4574" s="2" t="str">
        <f>IF(C4574="Total", (VLOOKUP(B4574,Recommended_fish_intake!A$4:D$122,4,FALSE)), "NA")</f>
        <v>NA</v>
      </c>
      <c r="U4574" s="2" t="str">
        <f t="shared" si="403"/>
        <v>NA</v>
      </c>
    </row>
    <row r="4575" spans="1:21" ht="14.25" customHeight="1">
      <c r="A4575" s="2" t="s">
        <v>15</v>
      </c>
      <c r="B4575" s="2">
        <v>2013</v>
      </c>
      <c r="C4575" s="2" t="s">
        <v>34</v>
      </c>
      <c r="D4575" s="2">
        <v>3</v>
      </c>
      <c r="E4575" s="2">
        <v>29.9</v>
      </c>
      <c r="F4575" s="2">
        <v>7.4</v>
      </c>
      <c r="G4575" s="2">
        <v>74.8</v>
      </c>
      <c r="H4575" s="2">
        <v>2.6</v>
      </c>
      <c r="I4575" s="2">
        <v>23.4</v>
      </c>
      <c r="P4575" s="3">
        <f>E4575*(VLOOKUP(B4575,Price_data!A$1:B$190,2,FALSE))</f>
        <v>20.357575757350002</v>
      </c>
      <c r="Q4575" s="3">
        <f>G4575*(VLOOKUP(B4575,Price_data!A$1:B$190,2,FALSE))</f>
        <v>50.927982162200003</v>
      </c>
      <c r="R4575" s="3">
        <f>I4575*(VLOOKUP(B4575,Price_data!A$1:B$190,2,FALSE))</f>
        <v>15.932015810100001</v>
      </c>
      <c r="S4575" s="4" t="str">
        <f>(VLOOKUP(B4575,Price_data!A$1:C$190,3,FALSE))</f>
        <v>EEZ</v>
      </c>
      <c r="T4575" s="2" t="str">
        <f>IF(C4575="Total", (VLOOKUP(B4575,Recommended_fish_intake!A$4:D$122,4,FALSE)), "NA")</f>
        <v>NA</v>
      </c>
      <c r="U4575" s="2" t="str">
        <f t="shared" si="403"/>
        <v>NA</v>
      </c>
    </row>
    <row r="4576" spans="1:21" ht="14.25" customHeight="1">
      <c r="A4576" s="2" t="s">
        <v>15</v>
      </c>
      <c r="B4576" s="2">
        <v>2013</v>
      </c>
      <c r="C4576" s="2" t="s">
        <v>35</v>
      </c>
      <c r="D4576" s="2">
        <v>28.3</v>
      </c>
      <c r="E4576" s="2">
        <v>86</v>
      </c>
      <c r="F4576" s="2">
        <v>9.1999999999999993</v>
      </c>
      <c r="G4576" s="2">
        <v>58.4</v>
      </c>
      <c r="H4576" s="2">
        <v>1.9</v>
      </c>
      <c r="I4576" s="2">
        <v>6.3</v>
      </c>
      <c r="P4576" s="3">
        <f>E4576*(VLOOKUP(B4576,Price_data!A$1:B$190,2,FALSE))</f>
        <v>58.553562379000006</v>
      </c>
      <c r="Q4576" s="3">
        <f>G4576*(VLOOKUP(B4576,Price_data!A$1:B$190,2,FALSE))</f>
        <v>39.761953987600002</v>
      </c>
      <c r="R4576" s="3">
        <f>I4576*(VLOOKUP(B4576,Price_data!A$1:B$190,2,FALSE))</f>
        <v>4.28938887195</v>
      </c>
      <c r="S4576" s="4" t="str">
        <f>(VLOOKUP(B4576,Price_data!A$1:C$190,3,FALSE))</f>
        <v>EEZ</v>
      </c>
      <c r="T4576" s="2" t="str">
        <f>IF(C4576="Total", (VLOOKUP(B4576,Recommended_fish_intake!A$4:D$122,4,FALSE)), "NA")</f>
        <v>NA</v>
      </c>
      <c r="U4576" s="2" t="str">
        <f t="shared" si="403"/>
        <v>NA</v>
      </c>
    </row>
    <row r="4577" spans="1:21" ht="14.25" customHeight="1">
      <c r="A4577" s="2" t="s">
        <v>15</v>
      </c>
      <c r="B4577" s="2">
        <v>2013</v>
      </c>
      <c r="C4577" s="2" t="s">
        <v>52</v>
      </c>
      <c r="D4577" s="2">
        <v>48.7</v>
      </c>
      <c r="E4577" s="2">
        <v>62.6</v>
      </c>
      <c r="F4577" s="2">
        <v>11.7</v>
      </c>
      <c r="G4577" s="2">
        <v>93.4</v>
      </c>
      <c r="H4577" s="2">
        <v>1.9</v>
      </c>
      <c r="I4577" s="2">
        <v>20.8</v>
      </c>
      <c r="P4577" s="3">
        <f>E4577*(VLOOKUP(B4577,Price_data!A$1:B$190,2,FALSE))</f>
        <v>42.621546568900001</v>
      </c>
      <c r="Q4577" s="3">
        <f>G4577*(VLOOKUP(B4577,Price_data!A$1:B$190,2,FALSE))</f>
        <v>63.591892165100006</v>
      </c>
      <c r="R4577" s="3">
        <f>I4577*(VLOOKUP(B4577,Price_data!A$1:B$190,2,FALSE))</f>
        <v>14.161791831200002</v>
      </c>
      <c r="S4577" s="4" t="str">
        <f>(VLOOKUP(B4577,Price_data!A$1:C$190,3,FALSE))</f>
        <v>EEZ</v>
      </c>
      <c r="T4577" s="2" t="str">
        <f>IF(C4577="Total", (VLOOKUP(B4577,Recommended_fish_intake!A$4:D$122,4,FALSE)), "NA")</f>
        <v>NA</v>
      </c>
      <c r="U4577" s="2" t="str">
        <f t="shared" si="403"/>
        <v>NA</v>
      </c>
    </row>
    <row r="4578" spans="1:21" ht="14.25" customHeight="1">
      <c r="A4578" s="2" t="s">
        <v>15</v>
      </c>
      <c r="B4578" s="2">
        <v>2013</v>
      </c>
      <c r="C4578" s="2" t="s">
        <v>30</v>
      </c>
      <c r="D4578" s="2">
        <v>0.9</v>
      </c>
      <c r="E4578" s="2">
        <v>2.4</v>
      </c>
      <c r="F4578" s="2">
        <v>16.100000000000001</v>
      </c>
      <c r="G4578" s="2">
        <v>85.3</v>
      </c>
      <c r="H4578" s="2">
        <v>85.1</v>
      </c>
      <c r="I4578" s="2">
        <v>537.20000000000005</v>
      </c>
      <c r="P4578" s="3">
        <f>E4578*(VLOOKUP(B4578,Price_data!A$1:B$190,2,FALSE))</f>
        <v>1.6340529036</v>
      </c>
      <c r="Q4578" s="3">
        <f>G4578*(VLOOKUP(B4578,Price_data!A$1:B$190,2,FALSE))</f>
        <v>58.076963615450005</v>
      </c>
      <c r="R4578" s="3">
        <f>I4578*(VLOOKUP(B4578,Price_data!A$1:B$190,2,FALSE))</f>
        <v>365.75550825580007</v>
      </c>
      <c r="S4578" s="4" t="str">
        <f>(VLOOKUP(B4578,Price_data!A$1:C$190,3,FALSE))</f>
        <v>EEZ</v>
      </c>
      <c r="T4578" s="2" t="str">
        <f>IF(C4578="Total", (VLOOKUP(B4578,Recommended_fish_intake!A$4:D$122,4,FALSE)), "NA")</f>
        <v>NA</v>
      </c>
      <c r="U4578" s="2" t="str">
        <f t="shared" si="403"/>
        <v>NA</v>
      </c>
    </row>
    <row r="4579" spans="1:21" ht="14.25" customHeight="1">
      <c r="A4579" s="2" t="s">
        <v>15</v>
      </c>
      <c r="B4579" s="2">
        <v>2013</v>
      </c>
      <c r="C4579" s="2" t="s">
        <v>28</v>
      </c>
      <c r="D4579" s="2">
        <v>147.9</v>
      </c>
      <c r="E4579" s="2">
        <v>257.8</v>
      </c>
      <c r="F4579" s="2">
        <v>88.3</v>
      </c>
      <c r="G4579" s="2">
        <v>450.5</v>
      </c>
      <c r="H4579" s="2">
        <v>117.5</v>
      </c>
      <c r="I4579" s="2">
        <v>676.3</v>
      </c>
      <c r="P4579" s="3">
        <f>E4579*(VLOOKUP(B4579,Price_data!A$1:B$190,2,FALSE))</f>
        <v>175.52451606170001</v>
      </c>
      <c r="Q4579" s="3">
        <f>G4579*(VLOOKUP(B4579,Price_data!A$1:B$190,2,FALSE))</f>
        <v>306.72534711325005</v>
      </c>
      <c r="R4579" s="3">
        <f>I4579*(VLOOKUP(B4579,Price_data!A$1:B$190,2,FALSE))</f>
        <v>460.46249112695</v>
      </c>
      <c r="S4579" s="4" t="str">
        <f>(VLOOKUP(B4579,Price_data!A$1:C$190,3,FALSE))</f>
        <v>EEZ</v>
      </c>
      <c r="T4579" s="2" t="str">
        <f>IF(C4579="Total", (VLOOKUP(B4579,Recommended_fish_intake!A$4:D$122,4,FALSE)), "NA")</f>
        <v>NA</v>
      </c>
      <c r="U4579" s="2">
        <f t="shared" si="403"/>
        <v>41.412000000000006</v>
      </c>
    </row>
    <row r="4580" spans="1:21" ht="14.25" customHeight="1">
      <c r="A4580" s="2" t="s">
        <v>15</v>
      </c>
      <c r="B4580" s="2">
        <v>2013</v>
      </c>
      <c r="C4580" s="2" t="s">
        <v>37</v>
      </c>
      <c r="D4580" s="3">
        <v>257.5</v>
      </c>
      <c r="E4580" s="3">
        <v>291.3</v>
      </c>
      <c r="F4580" s="2">
        <v>363.8</v>
      </c>
      <c r="G4580" s="2">
        <v>1009.8</v>
      </c>
      <c r="H4580" s="2">
        <v>621.9</v>
      </c>
      <c r="I4580" s="2">
        <v>2080.6999999999998</v>
      </c>
      <c r="P4580" s="3">
        <f>E4580*(VLOOKUP(B4580,Price_data!A$1:B$190,2,FALSE))</f>
        <v>198.33317117445003</v>
      </c>
      <c r="Q4580" s="3">
        <f>G4580*(VLOOKUP(B4580,Price_data!A$1:B$190,2,FALSE))</f>
        <v>687.52775918970008</v>
      </c>
      <c r="R4580" s="3">
        <f>I4580*(VLOOKUP(B4580,Price_data!A$1:B$190,2,FALSE))</f>
        <v>1416.6557818835499</v>
      </c>
      <c r="S4580" s="4" t="str">
        <f>(VLOOKUP(B4580,Price_data!A$1:C$190,3,FALSE))</f>
        <v>EEZ</v>
      </c>
      <c r="T4580" s="2" t="str">
        <f>IF(C4580="Total", (VLOOKUP(B4580,Recommended_fish_intake!A$4:D$122,4,FALSE)), "NA")</f>
        <v>NA</v>
      </c>
      <c r="U4580" s="2">
        <f t="shared" si="403"/>
        <v>126.175</v>
      </c>
    </row>
    <row r="4581" spans="1:21" ht="14.25" customHeight="1">
      <c r="A4581" s="2" t="s">
        <v>90</v>
      </c>
      <c r="B4581" s="2">
        <v>2013</v>
      </c>
      <c r="C4581" s="2" t="s">
        <v>22</v>
      </c>
      <c r="D4581" s="2">
        <v>1</v>
      </c>
      <c r="E4581" s="2">
        <v>2</v>
      </c>
      <c r="P4581" s="3">
        <f>E4581*(VLOOKUP(B4581,Price_data!A$1:B$190,2,FALSE))</f>
        <v>1.3617107530000001</v>
      </c>
      <c r="Q4581" s="3">
        <f>G4581*(VLOOKUP(B4581,Price_data!A$1:B$190,2,FALSE))</f>
        <v>0</v>
      </c>
      <c r="R4581" s="3">
        <f>I4581*(VLOOKUP(B4581,Price_data!A$1:B$190,2,FALSE))</f>
        <v>0</v>
      </c>
      <c r="S4581" s="4" t="str">
        <f>(VLOOKUP(B4581,Price_data!A$1:C$190,3,FALSE))</f>
        <v>EEZ</v>
      </c>
      <c r="T4581" s="2" t="str">
        <f>IF(C4581="Total", (VLOOKUP(B4581,Recommended_fish_intake!A$4:D$122,4,FALSE)), "NA")</f>
        <v>NA</v>
      </c>
      <c r="U4581" s="2" t="str">
        <f t="shared" si="403"/>
        <v>NA</v>
      </c>
    </row>
    <row r="4582" spans="1:21" ht="14.25" customHeight="1">
      <c r="A4582" s="2" t="s">
        <v>90</v>
      </c>
      <c r="B4582" s="2">
        <v>2013</v>
      </c>
      <c r="C4582" s="2" t="s">
        <v>23</v>
      </c>
      <c r="D4582" s="2">
        <v>1.6</v>
      </c>
      <c r="E4582" s="2">
        <v>2.2000000000000002</v>
      </c>
      <c r="P4582" s="3">
        <f>E4582*(VLOOKUP(B4582,Price_data!A$1:B$190,2,FALSE))</f>
        <v>1.4978818283000002</v>
      </c>
      <c r="Q4582" s="3">
        <f>G4582*(VLOOKUP(B4582,Price_data!A$1:B$190,2,FALSE))</f>
        <v>0</v>
      </c>
      <c r="R4582" s="3">
        <f>I4582*(VLOOKUP(B4582,Price_data!A$1:B$190,2,FALSE))</f>
        <v>0</v>
      </c>
      <c r="S4582" s="4" t="str">
        <f>(VLOOKUP(B4582,Price_data!A$1:C$190,3,FALSE))</f>
        <v>EEZ</v>
      </c>
      <c r="T4582" s="2" t="str">
        <f>IF(C4582="Total", (VLOOKUP(B4582,Recommended_fish_intake!A$4:D$122,4,FALSE)), "NA")</f>
        <v>NA</v>
      </c>
      <c r="U4582" s="2" t="str">
        <f t="shared" si="403"/>
        <v>NA</v>
      </c>
    </row>
    <row r="4583" spans="1:21" ht="14.25" customHeight="1">
      <c r="A4583" s="2" t="s">
        <v>90</v>
      </c>
      <c r="B4583" s="2">
        <v>2013</v>
      </c>
      <c r="C4583" s="2" t="s">
        <v>53</v>
      </c>
      <c r="D4583" s="2">
        <v>0.8</v>
      </c>
      <c r="E4583" s="2">
        <v>1.7</v>
      </c>
      <c r="P4583" s="3">
        <f>E4583*(VLOOKUP(B4583,Price_data!A$1:B$190,2,FALSE))</f>
        <v>1.15745414005</v>
      </c>
      <c r="Q4583" s="3">
        <f>G4583*(VLOOKUP(B4583,Price_data!A$1:B$190,2,FALSE))</f>
        <v>0</v>
      </c>
      <c r="R4583" s="3">
        <f>I4583*(VLOOKUP(B4583,Price_data!A$1:B$190,2,FALSE))</f>
        <v>0</v>
      </c>
      <c r="S4583" s="4" t="str">
        <f>(VLOOKUP(B4583,Price_data!A$1:C$190,3,FALSE))</f>
        <v>EEZ</v>
      </c>
      <c r="T4583" s="2" t="str">
        <f>IF(C4583="Total", (VLOOKUP(B4583,Recommended_fish_intake!A$4:D$122,4,FALSE)), "NA")</f>
        <v>NA</v>
      </c>
      <c r="U4583" s="2" t="str">
        <f t="shared" si="403"/>
        <v>NA</v>
      </c>
    </row>
    <row r="4584" spans="1:21" ht="14.25" customHeight="1">
      <c r="A4584" s="2" t="s">
        <v>90</v>
      </c>
      <c r="B4584" s="2">
        <v>2013</v>
      </c>
      <c r="C4584" s="2" t="s">
        <v>58</v>
      </c>
      <c r="D4584" s="2">
        <v>3</v>
      </c>
      <c r="E4584" s="2">
        <v>9.1</v>
      </c>
      <c r="P4584" s="3">
        <f>E4584*(VLOOKUP(B4584,Price_data!A$1:B$190,2,FALSE))</f>
        <v>6.1957839261499998</v>
      </c>
      <c r="Q4584" s="3">
        <f>G4584*(VLOOKUP(B4584,Price_data!A$1:B$190,2,FALSE))</f>
        <v>0</v>
      </c>
      <c r="R4584" s="3">
        <f>I4584*(VLOOKUP(B4584,Price_data!A$1:B$190,2,FALSE))</f>
        <v>0</v>
      </c>
      <c r="S4584" s="4" t="str">
        <f>(VLOOKUP(B4584,Price_data!A$1:C$190,3,FALSE))</f>
        <v>EEZ</v>
      </c>
      <c r="T4584" s="2" t="str">
        <f>IF(C4584="Total", (VLOOKUP(B4584,Recommended_fish_intake!A$4:D$122,4,FALSE)), "NA")</f>
        <v>NA</v>
      </c>
      <c r="U4584" s="2" t="str">
        <f t="shared" si="403"/>
        <v>NA</v>
      </c>
    </row>
    <row r="4585" spans="1:21" ht="14.25" customHeight="1">
      <c r="A4585" s="2" t="s">
        <v>90</v>
      </c>
      <c r="B4585" s="2">
        <v>2013</v>
      </c>
      <c r="C4585" s="2" t="s">
        <v>38</v>
      </c>
      <c r="D4585" s="2">
        <v>0.2</v>
      </c>
      <c r="E4585" s="2">
        <v>0.2</v>
      </c>
      <c r="P4585" s="3">
        <f>E4585*(VLOOKUP(B4585,Price_data!A$1:B$190,2,FALSE))</f>
        <v>0.13617107530000003</v>
      </c>
      <c r="Q4585" s="3">
        <f>G4585*(VLOOKUP(B4585,Price_data!A$1:B$190,2,FALSE))</f>
        <v>0</v>
      </c>
      <c r="R4585" s="3">
        <f>I4585*(VLOOKUP(B4585,Price_data!A$1:B$190,2,FALSE))</f>
        <v>0</v>
      </c>
      <c r="S4585" s="4" t="str">
        <f>(VLOOKUP(B4585,Price_data!A$1:C$190,3,FALSE))</f>
        <v>EEZ</v>
      </c>
      <c r="T4585" s="2" t="str">
        <f>IF(C4585="Total", (VLOOKUP(B4585,Recommended_fish_intake!A$4:D$122,4,FALSE)), "NA")</f>
        <v>NA</v>
      </c>
      <c r="U4585" s="2" t="str">
        <f t="shared" si="403"/>
        <v>NA</v>
      </c>
    </row>
    <row r="4586" spans="1:21" ht="14.25" customHeight="1">
      <c r="A4586" s="2" t="s">
        <v>90</v>
      </c>
      <c r="B4586" s="2">
        <v>2013</v>
      </c>
      <c r="C4586" s="2" t="s">
        <v>63</v>
      </c>
      <c r="D4586" s="2">
        <v>1.7</v>
      </c>
      <c r="E4586" s="2">
        <v>12.6</v>
      </c>
      <c r="P4586" s="3">
        <f>E4586*(VLOOKUP(B4586,Price_data!A$1:B$190,2,FALSE))</f>
        <v>8.5787777438999999</v>
      </c>
      <c r="Q4586" s="3">
        <f>G4586*(VLOOKUP(B4586,Price_data!A$1:B$190,2,FALSE))</f>
        <v>0</v>
      </c>
      <c r="R4586" s="3">
        <f>I4586*(VLOOKUP(B4586,Price_data!A$1:B$190,2,FALSE))</f>
        <v>0</v>
      </c>
      <c r="S4586" s="4" t="str">
        <f>(VLOOKUP(B4586,Price_data!A$1:C$190,3,FALSE))</f>
        <v>EEZ</v>
      </c>
      <c r="T4586" s="2" t="str">
        <f>IF(C4586="Total", (VLOOKUP(B4586,Recommended_fish_intake!A$4:D$122,4,FALSE)), "NA")</f>
        <v>NA</v>
      </c>
      <c r="U4586" s="2" t="str">
        <f t="shared" si="403"/>
        <v>NA</v>
      </c>
    </row>
    <row r="4587" spans="1:21" ht="14.25" customHeight="1">
      <c r="A4587" s="2" t="s">
        <v>90</v>
      </c>
      <c r="B4587" s="2">
        <v>2013</v>
      </c>
      <c r="C4587" s="2" t="s">
        <v>24</v>
      </c>
      <c r="D4587" s="2">
        <v>1.9</v>
      </c>
      <c r="E4587" s="2">
        <v>1.3</v>
      </c>
      <c r="P4587" s="3">
        <f>E4587*(VLOOKUP(B4587,Price_data!A$1:B$190,2,FALSE))</f>
        <v>0.88511198945000014</v>
      </c>
      <c r="Q4587" s="3">
        <f>G4587*(VLOOKUP(B4587,Price_data!A$1:B$190,2,FALSE))</f>
        <v>0</v>
      </c>
      <c r="R4587" s="3">
        <f>I4587*(VLOOKUP(B4587,Price_data!A$1:B$190,2,FALSE))</f>
        <v>0</v>
      </c>
      <c r="S4587" s="4" t="str">
        <f>(VLOOKUP(B4587,Price_data!A$1:C$190,3,FALSE))</f>
        <v>EEZ</v>
      </c>
      <c r="T4587" s="2" t="str">
        <f>IF(C4587="Total", (VLOOKUP(B4587,Recommended_fish_intake!A$4:D$122,4,FALSE)), "NA")</f>
        <v>NA</v>
      </c>
      <c r="U4587" s="2" t="str">
        <f t="shared" si="403"/>
        <v>NA</v>
      </c>
    </row>
    <row r="4588" spans="1:21" ht="14.25" customHeight="1">
      <c r="A4588" s="2" t="s">
        <v>90</v>
      </c>
      <c r="B4588" s="2">
        <v>2013</v>
      </c>
      <c r="C4588" s="2" t="s">
        <v>41</v>
      </c>
      <c r="D4588" s="2">
        <v>24</v>
      </c>
      <c r="E4588" s="2">
        <v>58.4</v>
      </c>
      <c r="P4588" s="3">
        <f>E4588*(VLOOKUP(B4588,Price_data!A$1:B$190,2,FALSE))</f>
        <v>39.761953987600002</v>
      </c>
      <c r="Q4588" s="3">
        <f>G4588*(VLOOKUP(B4588,Price_data!A$1:B$190,2,FALSE))</f>
        <v>0</v>
      </c>
      <c r="R4588" s="3">
        <f>I4588*(VLOOKUP(B4588,Price_data!A$1:B$190,2,FALSE))</f>
        <v>0</v>
      </c>
      <c r="S4588" s="4" t="str">
        <f>(VLOOKUP(B4588,Price_data!A$1:C$190,3,FALSE))</f>
        <v>EEZ</v>
      </c>
      <c r="T4588" s="2" t="str">
        <f>IF(C4588="Total", (VLOOKUP(B4588,Recommended_fish_intake!A$4:D$122,4,FALSE)), "NA")</f>
        <v>NA</v>
      </c>
      <c r="U4588" s="2" t="str">
        <f t="shared" si="403"/>
        <v>NA</v>
      </c>
    </row>
    <row r="4589" spans="1:21" ht="14.25" customHeight="1">
      <c r="A4589" s="2" t="s">
        <v>90</v>
      </c>
      <c r="B4589" s="2">
        <v>2013</v>
      </c>
      <c r="C4589" s="2" t="s">
        <v>19</v>
      </c>
      <c r="D4589" s="2">
        <v>3.9</v>
      </c>
      <c r="E4589" s="2">
        <v>1.1000000000000001</v>
      </c>
      <c r="P4589" s="3">
        <f>E4589*(VLOOKUP(B4589,Price_data!A$1:B$190,2,FALSE))</f>
        <v>0.74894091415000008</v>
      </c>
      <c r="Q4589" s="3">
        <f>G4589*(VLOOKUP(B4589,Price_data!A$1:B$190,2,FALSE))</f>
        <v>0</v>
      </c>
      <c r="R4589" s="3">
        <f>I4589*(VLOOKUP(B4589,Price_data!A$1:B$190,2,FALSE))</f>
        <v>0</v>
      </c>
      <c r="S4589" s="4" t="str">
        <f>(VLOOKUP(B4589,Price_data!A$1:C$190,3,FALSE))</f>
        <v>EEZ</v>
      </c>
      <c r="T4589" s="2" t="str">
        <f>IF(C4589="Total", (VLOOKUP(B4589,Recommended_fish_intake!A$4:D$122,4,FALSE)), "NA")</f>
        <v>NA</v>
      </c>
      <c r="U4589" s="2" t="str">
        <f t="shared" si="403"/>
        <v>NA</v>
      </c>
    </row>
    <row r="4590" spans="1:21" ht="14.25" customHeight="1">
      <c r="A4590" s="2" t="s">
        <v>90</v>
      </c>
      <c r="B4590" s="2">
        <v>2013</v>
      </c>
      <c r="C4590" s="2" t="s">
        <v>20</v>
      </c>
      <c r="D4590" s="2">
        <v>1.2</v>
      </c>
      <c r="E4590" s="2">
        <v>1.4</v>
      </c>
      <c r="P4590" s="3">
        <f>E4590*(VLOOKUP(B4590,Price_data!A$1:B$190,2,FALSE))</f>
        <v>0.95319752710000005</v>
      </c>
      <c r="Q4590" s="3">
        <f>G4590*(VLOOKUP(B4590,Price_data!A$1:B$190,2,FALSE))</f>
        <v>0</v>
      </c>
      <c r="R4590" s="3">
        <f>I4590*(VLOOKUP(B4590,Price_data!A$1:B$190,2,FALSE))</f>
        <v>0</v>
      </c>
      <c r="S4590" s="4" t="str">
        <f>(VLOOKUP(B4590,Price_data!A$1:C$190,3,FALSE))</f>
        <v>EEZ</v>
      </c>
      <c r="T4590" s="2" t="str">
        <f>IF(C4590="Total", (VLOOKUP(B4590,Recommended_fish_intake!A$4:D$122,4,FALSE)), "NA")</f>
        <v>NA</v>
      </c>
      <c r="U4590" s="2" t="str">
        <f t="shared" si="403"/>
        <v>NA</v>
      </c>
    </row>
    <row r="4591" spans="1:21" ht="14.25" customHeight="1">
      <c r="A4591" s="2" t="s">
        <v>90</v>
      </c>
      <c r="B4591" s="2">
        <v>2013</v>
      </c>
      <c r="C4591" s="2" t="s">
        <v>42</v>
      </c>
      <c r="D4591" s="2">
        <v>14.5</v>
      </c>
      <c r="E4591" s="2">
        <v>4.8</v>
      </c>
      <c r="P4591" s="3">
        <f>E4591*(VLOOKUP(B4591,Price_data!A$1:B$190,2,FALSE))</f>
        <v>3.2681058072</v>
      </c>
      <c r="Q4591" s="3">
        <f>G4591*(VLOOKUP(B4591,Price_data!A$1:B$190,2,FALSE))</f>
        <v>0</v>
      </c>
      <c r="R4591" s="3">
        <f>I4591*(VLOOKUP(B4591,Price_data!A$1:B$190,2,FALSE))</f>
        <v>0</v>
      </c>
      <c r="S4591" s="4" t="str">
        <f>(VLOOKUP(B4591,Price_data!A$1:C$190,3,FALSE))</f>
        <v>EEZ</v>
      </c>
      <c r="T4591" s="2" t="str">
        <f>IF(C4591="Total", (VLOOKUP(B4591,Recommended_fish_intake!A$4:D$122,4,FALSE)), "NA")</f>
        <v>NA</v>
      </c>
      <c r="U4591" s="2" t="str">
        <f t="shared" si="403"/>
        <v>NA</v>
      </c>
    </row>
    <row r="4592" spans="1:21" ht="14.25" customHeight="1">
      <c r="A4592" s="2" t="s">
        <v>90</v>
      </c>
      <c r="B4592" s="2">
        <v>2013</v>
      </c>
      <c r="C4592" s="2" t="s">
        <v>36</v>
      </c>
      <c r="D4592" s="2">
        <v>13.6</v>
      </c>
      <c r="E4592" s="2">
        <v>18.2</v>
      </c>
      <c r="P4592" s="3">
        <f>E4592*(VLOOKUP(B4592,Price_data!A$1:B$190,2,FALSE))</f>
        <v>12.3915678523</v>
      </c>
      <c r="Q4592" s="3">
        <f>G4592*(VLOOKUP(B4592,Price_data!A$1:B$190,2,FALSE))</f>
        <v>0</v>
      </c>
      <c r="R4592" s="3">
        <f>I4592*(VLOOKUP(B4592,Price_data!A$1:B$190,2,FALSE))</f>
        <v>0</v>
      </c>
      <c r="S4592" s="4" t="str">
        <f>(VLOOKUP(B4592,Price_data!A$1:C$190,3,FALSE))</f>
        <v>EEZ</v>
      </c>
      <c r="T4592" s="2" t="str">
        <f>IF(C4592="Total", (VLOOKUP(B4592,Recommended_fish_intake!A$4:D$122,4,FALSE)), "NA")</f>
        <v>NA</v>
      </c>
      <c r="U4592" s="2" t="str">
        <f t="shared" si="403"/>
        <v>NA</v>
      </c>
    </row>
    <row r="4593" spans="1:21" ht="14.25" customHeight="1">
      <c r="A4593" s="2" t="s">
        <v>90</v>
      </c>
      <c r="B4593" s="2">
        <v>2013</v>
      </c>
      <c r="C4593" s="2" t="s">
        <v>34</v>
      </c>
      <c r="D4593" s="2">
        <v>1.7</v>
      </c>
      <c r="E4593" s="2">
        <v>16.399999999999999</v>
      </c>
      <c r="P4593" s="3">
        <f>E4593*(VLOOKUP(B4593,Price_data!A$1:B$190,2,FALSE))</f>
        <v>11.166028174599999</v>
      </c>
      <c r="Q4593" s="3">
        <f>G4593*(VLOOKUP(B4593,Price_data!A$1:B$190,2,FALSE))</f>
        <v>0</v>
      </c>
      <c r="R4593" s="3">
        <f>I4593*(VLOOKUP(B4593,Price_data!A$1:B$190,2,FALSE))</f>
        <v>0</v>
      </c>
      <c r="S4593" s="4" t="str">
        <f>(VLOOKUP(B4593,Price_data!A$1:C$190,3,FALSE))</f>
        <v>EEZ</v>
      </c>
      <c r="T4593" s="2" t="str">
        <f>IF(C4593="Total", (VLOOKUP(B4593,Recommended_fish_intake!A$4:D$122,4,FALSE)), "NA")</f>
        <v>NA</v>
      </c>
      <c r="U4593" s="2" t="str">
        <f t="shared" si="403"/>
        <v>NA</v>
      </c>
    </row>
    <row r="4594" spans="1:21" ht="14.25" customHeight="1">
      <c r="A4594" s="2" t="s">
        <v>90</v>
      </c>
      <c r="B4594" s="2">
        <v>2013</v>
      </c>
      <c r="C4594" s="2" t="s">
        <v>35</v>
      </c>
      <c r="D4594" s="2">
        <v>3.5</v>
      </c>
      <c r="E4594" s="2">
        <v>10.7</v>
      </c>
      <c r="P4594" s="3">
        <f>E4594*(VLOOKUP(B4594,Price_data!A$1:B$190,2,FALSE))</f>
        <v>7.2851525285500003</v>
      </c>
      <c r="Q4594" s="3">
        <f>G4594*(VLOOKUP(B4594,Price_data!A$1:B$190,2,FALSE))</f>
        <v>0</v>
      </c>
      <c r="R4594" s="3">
        <f>I4594*(VLOOKUP(B4594,Price_data!A$1:B$190,2,FALSE))</f>
        <v>0</v>
      </c>
      <c r="S4594" s="4" t="str">
        <f>(VLOOKUP(B4594,Price_data!A$1:C$190,3,FALSE))</f>
        <v>EEZ</v>
      </c>
      <c r="T4594" s="2" t="str">
        <f>IF(C4594="Total", (VLOOKUP(B4594,Recommended_fish_intake!A$4:D$122,4,FALSE)), "NA")</f>
        <v>NA</v>
      </c>
      <c r="U4594" s="2" t="str">
        <f t="shared" si="403"/>
        <v>NA</v>
      </c>
    </row>
    <row r="4595" spans="1:21" ht="14.25" customHeight="1">
      <c r="A4595" s="2" t="s">
        <v>90</v>
      </c>
      <c r="B4595" s="2">
        <v>2013</v>
      </c>
      <c r="C4595" s="2" t="s">
        <v>52</v>
      </c>
      <c r="D4595" s="2">
        <v>14.3</v>
      </c>
      <c r="E4595" s="2">
        <v>22.3</v>
      </c>
      <c r="P4595" s="3">
        <f>E4595*(VLOOKUP(B4595,Price_data!A$1:B$190,2,FALSE))</f>
        <v>15.183074895950002</v>
      </c>
      <c r="Q4595" s="3">
        <f>G4595*(VLOOKUP(B4595,Price_data!A$1:B$190,2,FALSE))</f>
        <v>0</v>
      </c>
      <c r="R4595" s="3">
        <f>I4595*(VLOOKUP(B4595,Price_data!A$1:B$190,2,FALSE))</f>
        <v>0</v>
      </c>
      <c r="S4595" s="4" t="str">
        <f>(VLOOKUP(B4595,Price_data!A$1:C$190,3,FALSE))</f>
        <v>EEZ</v>
      </c>
      <c r="T4595" s="2" t="str">
        <f>IF(C4595="Total", (VLOOKUP(B4595,Recommended_fish_intake!A$4:D$122,4,FALSE)), "NA")</f>
        <v>NA</v>
      </c>
      <c r="U4595" s="2" t="str">
        <f t="shared" si="403"/>
        <v>NA</v>
      </c>
    </row>
    <row r="4596" spans="1:21" ht="14.25" customHeight="1">
      <c r="A4596" s="2" t="s">
        <v>90</v>
      </c>
      <c r="B4596" s="2">
        <v>2013</v>
      </c>
      <c r="C4596" s="2" t="s">
        <v>30</v>
      </c>
      <c r="D4596" s="2">
        <v>0.9</v>
      </c>
      <c r="E4596" s="2">
        <v>2.2999999999999998</v>
      </c>
      <c r="P4596" s="3">
        <f>E4596*(VLOOKUP(B4596,Price_data!A$1:B$190,2,FALSE))</f>
        <v>1.56596736595</v>
      </c>
      <c r="Q4596" s="3">
        <f>G4596*(VLOOKUP(B4596,Price_data!A$1:B$190,2,FALSE))</f>
        <v>0</v>
      </c>
      <c r="R4596" s="3">
        <f>I4596*(VLOOKUP(B4596,Price_data!A$1:B$190,2,FALSE))</f>
        <v>0</v>
      </c>
      <c r="S4596" s="4" t="str">
        <f>(VLOOKUP(B4596,Price_data!A$1:C$190,3,FALSE))</f>
        <v>EEZ</v>
      </c>
      <c r="T4596" s="2" t="str">
        <f>IF(C4596="Total", (VLOOKUP(B4596,Recommended_fish_intake!A$4:D$122,4,FALSE)), "NA")</f>
        <v>NA</v>
      </c>
      <c r="U4596" s="2" t="str">
        <f t="shared" si="403"/>
        <v>NA</v>
      </c>
    </row>
    <row r="4597" spans="1:21" ht="14.25" customHeight="1">
      <c r="A4597" s="2" t="s">
        <v>90</v>
      </c>
      <c r="B4597" s="2">
        <v>2013</v>
      </c>
      <c r="C4597" s="2" t="s">
        <v>28</v>
      </c>
      <c r="D4597" s="2">
        <v>62.9</v>
      </c>
      <c r="E4597" s="2">
        <v>94.8</v>
      </c>
      <c r="P4597" s="3">
        <f>E4597*(VLOOKUP(B4597,Price_data!A$1:B$190,2,FALSE))</f>
        <v>64.545089692200008</v>
      </c>
      <c r="Q4597" s="3">
        <f>G4597*(VLOOKUP(B4597,Price_data!A$1:B$190,2,FALSE))</f>
        <v>0</v>
      </c>
      <c r="R4597" s="3">
        <f>I4597*(VLOOKUP(B4597,Price_data!A$1:B$190,2,FALSE))</f>
        <v>0</v>
      </c>
      <c r="S4597" s="4" t="str">
        <f>(VLOOKUP(B4597,Price_data!A$1:C$190,3,FALSE))</f>
        <v>EEZ</v>
      </c>
      <c r="T4597" s="2" t="str">
        <f>IF(C4597="Total", (VLOOKUP(B4597,Recommended_fish_intake!A$4:D$122,4,FALSE)), "NA")</f>
        <v>NA</v>
      </c>
      <c r="U4597" s="2">
        <f t="shared" si="403"/>
        <v>17.612000000000002</v>
      </c>
    </row>
    <row r="4598" spans="1:21" ht="14.25" customHeight="1">
      <c r="A4598" s="2" t="s">
        <v>91</v>
      </c>
      <c r="B4598" s="2">
        <v>2013</v>
      </c>
      <c r="C4598" s="2" t="s">
        <v>22</v>
      </c>
      <c r="D4598" s="2">
        <v>3.1E-2</v>
      </c>
      <c r="E4598" s="2">
        <v>7.0000000000000007E-2</v>
      </c>
      <c r="P4598" s="3">
        <f>E4598*(VLOOKUP(B4598,Price_data!A$1:B$190,2,FALSE))</f>
        <v>4.7659876355000005E-2</v>
      </c>
      <c r="Q4598" s="3">
        <f>G4598*(VLOOKUP(B4598,Price_data!A$1:B$190,2,FALSE))</f>
        <v>0</v>
      </c>
      <c r="R4598" s="3">
        <f>I4598*(VLOOKUP(B4598,Price_data!A$1:B$190,2,FALSE))</f>
        <v>0</v>
      </c>
      <c r="S4598" s="4" t="str">
        <f>(VLOOKUP(B4598,Price_data!A$1:C$190,3,FALSE))</f>
        <v>EEZ</v>
      </c>
      <c r="T4598" s="2" t="str">
        <f>IF(C4598="Total", (VLOOKUP(B4598,Recommended_fish_intake!A$4:D$122,4,FALSE)), "NA")</f>
        <v>NA</v>
      </c>
      <c r="U4598" s="2" t="str">
        <f t="shared" si="403"/>
        <v>NA</v>
      </c>
    </row>
    <row r="4599" spans="1:21" ht="14.25" customHeight="1">
      <c r="A4599" s="2" t="s">
        <v>91</v>
      </c>
      <c r="B4599" s="2">
        <v>2013</v>
      </c>
      <c r="C4599" s="2" t="s">
        <v>23</v>
      </c>
      <c r="D4599" s="2">
        <v>2.8000000000000001E-2</v>
      </c>
      <c r="E4599" s="2">
        <v>2.7E-2</v>
      </c>
      <c r="P4599" s="3">
        <f>E4599*(VLOOKUP(B4599,Price_data!A$1:B$190,2,FALSE))</f>
        <v>1.8383095165500001E-2</v>
      </c>
      <c r="Q4599" s="3">
        <f>G4599*(VLOOKUP(B4599,Price_data!A$1:B$190,2,FALSE))</f>
        <v>0</v>
      </c>
      <c r="R4599" s="3">
        <f>I4599*(VLOOKUP(B4599,Price_data!A$1:B$190,2,FALSE))</f>
        <v>0</v>
      </c>
      <c r="S4599" s="4" t="str">
        <f>(VLOOKUP(B4599,Price_data!A$1:C$190,3,FALSE))</f>
        <v>EEZ</v>
      </c>
      <c r="T4599" s="2" t="str">
        <f>IF(C4599="Total", (VLOOKUP(B4599,Recommended_fish_intake!A$4:D$122,4,FALSE)), "NA")</f>
        <v>NA</v>
      </c>
      <c r="U4599" s="2" t="str">
        <f t="shared" si="403"/>
        <v>NA</v>
      </c>
    </row>
    <row r="4600" spans="1:21" ht="14.25" customHeight="1">
      <c r="A4600" s="2" t="s">
        <v>91</v>
      </c>
      <c r="B4600" s="2">
        <v>2013</v>
      </c>
      <c r="C4600" s="2" t="s">
        <v>53</v>
      </c>
      <c r="D4600" s="2">
        <v>0.109</v>
      </c>
      <c r="E4600" s="2">
        <v>0.123</v>
      </c>
      <c r="P4600" s="3">
        <f>E4600*(VLOOKUP(B4600,Price_data!A$1:B$190,2,FALSE))</f>
        <v>8.3745211309500009E-2</v>
      </c>
      <c r="Q4600" s="3">
        <f>G4600*(VLOOKUP(B4600,Price_data!A$1:B$190,2,FALSE))</f>
        <v>0</v>
      </c>
      <c r="R4600" s="3">
        <f>I4600*(VLOOKUP(B4600,Price_data!A$1:B$190,2,FALSE))</f>
        <v>0</v>
      </c>
      <c r="S4600" s="4" t="str">
        <f>(VLOOKUP(B4600,Price_data!A$1:C$190,3,FALSE))</f>
        <v>EEZ</v>
      </c>
      <c r="T4600" s="2" t="str">
        <f>IF(C4600="Total", (VLOOKUP(B4600,Recommended_fish_intake!A$4:D$122,4,FALSE)), "NA")</f>
        <v>NA</v>
      </c>
      <c r="U4600" s="2" t="str">
        <f t="shared" si="403"/>
        <v>NA</v>
      </c>
    </row>
    <row r="4601" spans="1:21" ht="14.25" customHeight="1">
      <c r="A4601" s="2" t="s">
        <v>91</v>
      </c>
      <c r="B4601" s="2">
        <v>2013</v>
      </c>
      <c r="C4601" s="2" t="s">
        <v>58</v>
      </c>
      <c r="D4601" s="2">
        <v>0.48599999999999999</v>
      </c>
      <c r="E4601" s="2">
        <v>1.5820000000000001</v>
      </c>
      <c r="P4601" s="3">
        <f>E4601*(VLOOKUP(B4601,Price_data!A$1:B$190,2,FALSE))</f>
        <v>1.0771132056230002</v>
      </c>
      <c r="Q4601" s="3">
        <f>G4601*(VLOOKUP(B4601,Price_data!A$1:B$190,2,FALSE))</f>
        <v>0</v>
      </c>
      <c r="R4601" s="3">
        <f>I4601*(VLOOKUP(B4601,Price_data!A$1:B$190,2,FALSE))</f>
        <v>0</v>
      </c>
      <c r="S4601" s="4" t="str">
        <f>(VLOOKUP(B4601,Price_data!A$1:C$190,3,FALSE))</f>
        <v>EEZ</v>
      </c>
      <c r="T4601" s="2" t="str">
        <f>IF(C4601="Total", (VLOOKUP(B4601,Recommended_fish_intake!A$4:D$122,4,FALSE)), "NA")</f>
        <v>NA</v>
      </c>
      <c r="U4601" s="2" t="str">
        <f t="shared" si="403"/>
        <v>NA</v>
      </c>
    </row>
    <row r="4602" spans="1:21" ht="14.25" customHeight="1">
      <c r="A4602" s="2" t="s">
        <v>91</v>
      </c>
      <c r="B4602" s="2">
        <v>2013</v>
      </c>
      <c r="C4602" s="2" t="s">
        <v>38</v>
      </c>
      <c r="D4602" s="2">
        <v>3.0000000000000001E-3</v>
      </c>
      <c r="E4602" s="2">
        <v>3.0000000000000001E-3</v>
      </c>
      <c r="P4602" s="3">
        <f>E4602*(VLOOKUP(B4602,Price_data!A$1:B$190,2,FALSE))</f>
        <v>2.0425661295000001E-3</v>
      </c>
      <c r="Q4602" s="3">
        <f>G4602*(VLOOKUP(B4602,Price_data!A$1:B$190,2,FALSE))</f>
        <v>0</v>
      </c>
      <c r="R4602" s="3">
        <f>I4602*(VLOOKUP(B4602,Price_data!A$1:B$190,2,FALSE))</f>
        <v>0</v>
      </c>
      <c r="S4602" s="4" t="str">
        <f>(VLOOKUP(B4602,Price_data!A$1:C$190,3,FALSE))</f>
        <v>EEZ</v>
      </c>
      <c r="T4602" s="2" t="str">
        <f>IF(C4602="Total", (VLOOKUP(B4602,Recommended_fish_intake!A$4:D$122,4,FALSE)), "NA")</f>
        <v>NA</v>
      </c>
      <c r="U4602" s="2" t="str">
        <f t="shared" si="403"/>
        <v>NA</v>
      </c>
    </row>
    <row r="4603" spans="1:21" ht="14.25" customHeight="1">
      <c r="A4603" s="2" t="s">
        <v>91</v>
      </c>
      <c r="B4603" s="2">
        <v>2013</v>
      </c>
      <c r="C4603" s="2" t="s">
        <v>63</v>
      </c>
      <c r="D4603" s="2">
        <v>1.4999999999999999E-2</v>
      </c>
      <c r="E4603" s="2">
        <v>0.11</v>
      </c>
      <c r="P4603" s="3">
        <f>E4603*(VLOOKUP(B4603,Price_data!A$1:B$190,2,FALSE))</f>
        <v>7.4894091415000003E-2</v>
      </c>
      <c r="Q4603" s="3">
        <f>G4603*(VLOOKUP(B4603,Price_data!A$1:B$190,2,FALSE))</f>
        <v>0</v>
      </c>
      <c r="R4603" s="3">
        <f>I4603*(VLOOKUP(B4603,Price_data!A$1:B$190,2,FALSE))</f>
        <v>0</v>
      </c>
      <c r="S4603" s="4" t="str">
        <f>(VLOOKUP(B4603,Price_data!A$1:C$190,3,FALSE))</f>
        <v>EEZ</v>
      </c>
      <c r="T4603" s="2" t="str">
        <f>IF(C4603="Total", (VLOOKUP(B4603,Recommended_fish_intake!A$4:D$122,4,FALSE)), "NA")</f>
        <v>NA</v>
      </c>
      <c r="U4603" s="2" t="str">
        <f t="shared" si="403"/>
        <v>NA</v>
      </c>
    </row>
    <row r="4604" spans="1:21" ht="14.25" customHeight="1">
      <c r="A4604" s="2" t="s">
        <v>91</v>
      </c>
      <c r="B4604" s="2">
        <v>2013</v>
      </c>
      <c r="C4604" s="2" t="s">
        <v>24</v>
      </c>
      <c r="D4604" s="2">
        <v>5.0000000000000001E-3</v>
      </c>
      <c r="E4604" s="2">
        <v>4.0000000000000001E-3</v>
      </c>
      <c r="P4604" s="3">
        <f>E4604*(VLOOKUP(B4604,Price_data!A$1:B$190,2,FALSE))</f>
        <v>2.7234215060000003E-3</v>
      </c>
      <c r="Q4604" s="3">
        <f>G4604*(VLOOKUP(B4604,Price_data!A$1:B$190,2,FALSE))</f>
        <v>0</v>
      </c>
      <c r="R4604" s="3">
        <f>I4604*(VLOOKUP(B4604,Price_data!A$1:B$190,2,FALSE))</f>
        <v>0</v>
      </c>
      <c r="S4604" s="4" t="str">
        <f>(VLOOKUP(B4604,Price_data!A$1:C$190,3,FALSE))</f>
        <v>EEZ</v>
      </c>
      <c r="T4604" s="2" t="str">
        <f>IF(C4604="Total", (VLOOKUP(B4604,Recommended_fish_intake!A$4:D$122,4,FALSE)), "NA")</f>
        <v>NA</v>
      </c>
      <c r="U4604" s="2" t="str">
        <f t="shared" si="403"/>
        <v>NA</v>
      </c>
    </row>
    <row r="4605" spans="1:21" ht="14.25" customHeight="1">
      <c r="A4605" s="2" t="s">
        <v>91</v>
      </c>
      <c r="B4605" s="2">
        <v>2013</v>
      </c>
      <c r="C4605" s="2" t="s">
        <v>41</v>
      </c>
      <c r="D4605" s="2">
        <v>1.774</v>
      </c>
      <c r="E4605" s="2">
        <v>4.8970000000000002</v>
      </c>
      <c r="P4605" s="3">
        <f>E4605*(VLOOKUP(B4605,Price_data!A$1:B$190,2,FALSE))</f>
        <v>3.3341487787205004</v>
      </c>
      <c r="Q4605" s="3">
        <f>G4605*(VLOOKUP(B4605,Price_data!A$1:B$190,2,FALSE))</f>
        <v>0</v>
      </c>
      <c r="R4605" s="3">
        <f>I4605*(VLOOKUP(B4605,Price_data!A$1:B$190,2,FALSE))</f>
        <v>0</v>
      </c>
      <c r="S4605" s="4" t="str">
        <f>(VLOOKUP(B4605,Price_data!A$1:C$190,3,FALSE))</f>
        <v>EEZ</v>
      </c>
      <c r="T4605" s="2" t="str">
        <f>IF(C4605="Total", (VLOOKUP(B4605,Recommended_fish_intake!A$4:D$122,4,FALSE)), "NA")</f>
        <v>NA</v>
      </c>
      <c r="U4605" s="2" t="str">
        <f t="shared" si="403"/>
        <v>NA</v>
      </c>
    </row>
    <row r="4606" spans="1:21" ht="14.25" customHeight="1">
      <c r="A4606" s="2" t="s">
        <v>91</v>
      </c>
      <c r="B4606" s="2">
        <v>2013</v>
      </c>
      <c r="C4606" s="2" t="s">
        <v>19</v>
      </c>
      <c r="D4606" s="2">
        <v>1E-3</v>
      </c>
      <c r="E4606" s="2">
        <v>1E-3</v>
      </c>
      <c r="P4606" s="3">
        <f>E4606*(VLOOKUP(B4606,Price_data!A$1:B$190,2,FALSE))</f>
        <v>6.8085537650000008E-4</v>
      </c>
      <c r="Q4606" s="3">
        <f>G4606*(VLOOKUP(B4606,Price_data!A$1:B$190,2,FALSE))</f>
        <v>0</v>
      </c>
      <c r="R4606" s="3">
        <f>I4606*(VLOOKUP(B4606,Price_data!A$1:B$190,2,FALSE))</f>
        <v>0</v>
      </c>
      <c r="S4606" s="4" t="str">
        <f>(VLOOKUP(B4606,Price_data!A$1:C$190,3,FALSE))</f>
        <v>EEZ</v>
      </c>
      <c r="T4606" s="2" t="str">
        <f>IF(C4606="Total", (VLOOKUP(B4606,Recommended_fish_intake!A$4:D$122,4,FALSE)), "NA")</f>
        <v>NA</v>
      </c>
      <c r="U4606" s="2" t="str">
        <f t="shared" si="403"/>
        <v>NA</v>
      </c>
    </row>
    <row r="4607" spans="1:21" ht="14.25" customHeight="1">
      <c r="A4607" s="2" t="s">
        <v>91</v>
      </c>
      <c r="B4607" s="2">
        <v>2013</v>
      </c>
      <c r="C4607" s="2" t="s">
        <v>20</v>
      </c>
      <c r="D4607" s="2">
        <v>0</v>
      </c>
      <c r="E4607" s="2">
        <v>0</v>
      </c>
      <c r="P4607" s="3">
        <f>E4607*(VLOOKUP(B4607,Price_data!A$1:B$190,2,FALSE))</f>
        <v>0</v>
      </c>
      <c r="Q4607" s="3">
        <f>G4607*(VLOOKUP(B4607,Price_data!A$1:B$190,2,FALSE))</f>
        <v>0</v>
      </c>
      <c r="R4607" s="3">
        <f>I4607*(VLOOKUP(B4607,Price_data!A$1:B$190,2,FALSE))</f>
        <v>0</v>
      </c>
      <c r="S4607" s="4" t="str">
        <f>(VLOOKUP(B4607,Price_data!A$1:C$190,3,FALSE))</f>
        <v>EEZ</v>
      </c>
      <c r="T4607" s="2" t="str">
        <f>IF(C4607="Total", (VLOOKUP(B4607,Recommended_fish_intake!A$4:D$122,4,FALSE)), "NA")</f>
        <v>NA</v>
      </c>
      <c r="U4607" s="2" t="str">
        <f t="shared" si="403"/>
        <v>NA</v>
      </c>
    </row>
    <row r="4608" spans="1:21" ht="14.25" customHeight="1">
      <c r="A4608" s="2" t="s">
        <v>91</v>
      </c>
      <c r="B4608" s="2">
        <v>2013</v>
      </c>
      <c r="C4608" s="2" t="s">
        <v>42</v>
      </c>
      <c r="D4608" s="2">
        <v>1E-3</v>
      </c>
      <c r="E4608" s="2">
        <v>2E-3</v>
      </c>
      <c r="P4608" s="3">
        <f>E4608*(VLOOKUP(B4608,Price_data!A$1:B$190,2,FALSE))</f>
        <v>1.3617107530000002E-3</v>
      </c>
      <c r="Q4608" s="3">
        <f>G4608*(VLOOKUP(B4608,Price_data!A$1:B$190,2,FALSE))</f>
        <v>0</v>
      </c>
      <c r="R4608" s="3">
        <f>I4608*(VLOOKUP(B4608,Price_data!A$1:B$190,2,FALSE))</f>
        <v>0</v>
      </c>
      <c r="S4608" s="4" t="str">
        <f>(VLOOKUP(B4608,Price_data!A$1:C$190,3,FALSE))</f>
        <v>EEZ</v>
      </c>
      <c r="T4608" s="2" t="str">
        <f>IF(C4608="Total", (VLOOKUP(B4608,Recommended_fish_intake!A$4:D$122,4,FALSE)), "NA")</f>
        <v>NA</v>
      </c>
      <c r="U4608" s="2" t="str">
        <f t="shared" si="403"/>
        <v>NA</v>
      </c>
    </row>
    <row r="4609" spans="1:21" ht="14.25" customHeight="1">
      <c r="A4609" s="2" t="s">
        <v>91</v>
      </c>
      <c r="B4609" s="2">
        <v>2013</v>
      </c>
      <c r="C4609" s="2" t="s">
        <v>36</v>
      </c>
      <c r="D4609" s="2">
        <v>0.77200000000000002</v>
      </c>
      <c r="E4609" s="2">
        <v>0.92300000000000004</v>
      </c>
      <c r="P4609" s="3">
        <f>E4609*(VLOOKUP(B4609,Price_data!A$1:B$190,2,FALSE))</f>
        <v>0.62842951250950008</v>
      </c>
      <c r="Q4609" s="3">
        <f>G4609*(VLOOKUP(B4609,Price_data!A$1:B$190,2,FALSE))</f>
        <v>0</v>
      </c>
      <c r="R4609" s="3">
        <f>I4609*(VLOOKUP(B4609,Price_data!A$1:B$190,2,FALSE))</f>
        <v>0</v>
      </c>
      <c r="S4609" s="4" t="str">
        <f>(VLOOKUP(B4609,Price_data!A$1:C$190,3,FALSE))</f>
        <v>EEZ</v>
      </c>
      <c r="T4609" s="2" t="str">
        <f>IF(C4609="Total", (VLOOKUP(B4609,Recommended_fish_intake!A$4:D$122,4,FALSE)), "NA")</f>
        <v>NA</v>
      </c>
      <c r="U4609" s="2" t="str">
        <f t="shared" si="403"/>
        <v>NA</v>
      </c>
    </row>
    <row r="4610" spans="1:21" ht="14.25" customHeight="1">
      <c r="A4610" s="2" t="s">
        <v>91</v>
      </c>
      <c r="B4610" s="2">
        <v>2013</v>
      </c>
      <c r="C4610" s="2" t="s">
        <v>34</v>
      </c>
      <c r="D4610" s="2">
        <v>0.156</v>
      </c>
      <c r="E4610" s="2">
        <v>1.623</v>
      </c>
      <c r="P4610" s="3">
        <f>E4610*(VLOOKUP(B4610,Price_data!A$1:B$190,2,FALSE))</f>
        <v>1.1050282760595</v>
      </c>
      <c r="Q4610" s="3">
        <f>G4610*(VLOOKUP(B4610,Price_data!A$1:B$190,2,FALSE))</f>
        <v>0</v>
      </c>
      <c r="R4610" s="3">
        <f>I4610*(VLOOKUP(B4610,Price_data!A$1:B$190,2,FALSE))</f>
        <v>0</v>
      </c>
      <c r="S4610" s="4" t="str">
        <f>(VLOOKUP(B4610,Price_data!A$1:C$190,3,FALSE))</f>
        <v>EEZ</v>
      </c>
      <c r="T4610" s="2" t="str">
        <f>IF(C4610="Total", (VLOOKUP(B4610,Recommended_fish_intake!A$4:D$122,4,FALSE)), "NA")</f>
        <v>NA</v>
      </c>
      <c r="U4610" s="2" t="str">
        <f t="shared" ref="U4610:U4673" si="404">IF(C4610="Wet fish", D4610*0.49, IF(C4610="Shellfish", D4610*0.28, "NA"))</f>
        <v>NA</v>
      </c>
    </row>
    <row r="4611" spans="1:21" ht="14.25" customHeight="1">
      <c r="A4611" s="2" t="s">
        <v>91</v>
      </c>
      <c r="B4611" s="2">
        <v>2013</v>
      </c>
      <c r="C4611" s="2" t="s">
        <v>35</v>
      </c>
      <c r="D4611" s="2">
        <v>2.4E-2</v>
      </c>
      <c r="E4611" s="2">
        <v>4.3999999999999997E-2</v>
      </c>
      <c r="P4611" s="3">
        <f>E4611*(VLOOKUP(B4611,Price_data!A$1:B$190,2,FALSE))</f>
        <v>2.9957636566E-2</v>
      </c>
      <c r="Q4611" s="3">
        <f>G4611*(VLOOKUP(B4611,Price_data!A$1:B$190,2,FALSE))</f>
        <v>0</v>
      </c>
      <c r="R4611" s="3">
        <f>I4611*(VLOOKUP(B4611,Price_data!A$1:B$190,2,FALSE))</f>
        <v>0</v>
      </c>
      <c r="S4611" s="4" t="str">
        <f>(VLOOKUP(B4611,Price_data!A$1:C$190,3,FALSE))</f>
        <v>EEZ</v>
      </c>
      <c r="T4611" s="2" t="str">
        <f>IF(C4611="Total", (VLOOKUP(B4611,Recommended_fish_intake!A$4:D$122,4,FALSE)), "NA")</f>
        <v>NA</v>
      </c>
      <c r="U4611" s="2" t="str">
        <f t="shared" si="404"/>
        <v>NA</v>
      </c>
    </row>
    <row r="4612" spans="1:21" ht="14.25" customHeight="1">
      <c r="A4612" s="2" t="s">
        <v>91</v>
      </c>
      <c r="B4612" s="2">
        <v>2013</v>
      </c>
      <c r="C4612" s="2" t="s">
        <v>52</v>
      </c>
      <c r="D4612" s="2">
        <v>5.4690000000000003</v>
      </c>
      <c r="E4612" s="2">
        <v>4.9909999999999997</v>
      </c>
      <c r="P4612" s="3">
        <f>E4612*(VLOOKUP(B4612,Price_data!A$1:B$190,2,FALSE))</f>
        <v>3.3981491841114999</v>
      </c>
      <c r="Q4612" s="3">
        <f>G4612*(VLOOKUP(B4612,Price_data!A$1:B$190,2,FALSE))</f>
        <v>0</v>
      </c>
      <c r="R4612" s="3">
        <f>I4612*(VLOOKUP(B4612,Price_data!A$1:B$190,2,FALSE))</f>
        <v>0</v>
      </c>
      <c r="S4612" s="4" t="str">
        <f>(VLOOKUP(B4612,Price_data!A$1:C$190,3,FALSE))</f>
        <v>EEZ</v>
      </c>
      <c r="T4612" s="2" t="str">
        <f>IF(C4612="Total", (VLOOKUP(B4612,Recommended_fish_intake!A$4:D$122,4,FALSE)), "NA")</f>
        <v>NA</v>
      </c>
      <c r="U4612" s="2" t="str">
        <f t="shared" si="404"/>
        <v>NA</v>
      </c>
    </row>
    <row r="4613" spans="1:21" ht="14.25" customHeight="1">
      <c r="A4613" s="2" t="s">
        <v>91</v>
      </c>
      <c r="B4613" s="2">
        <v>2013</v>
      </c>
      <c r="C4613" s="2" t="s">
        <v>30</v>
      </c>
      <c r="D4613" s="2">
        <v>0</v>
      </c>
      <c r="E4613" s="2">
        <v>0</v>
      </c>
      <c r="P4613" s="3">
        <f>E4613*(VLOOKUP(B4613,Price_data!A$1:B$190,2,FALSE))</f>
        <v>0</v>
      </c>
      <c r="Q4613" s="3">
        <f>G4613*(VLOOKUP(B4613,Price_data!A$1:B$190,2,FALSE))</f>
        <v>0</v>
      </c>
      <c r="R4613" s="3">
        <f>I4613*(VLOOKUP(B4613,Price_data!A$1:B$190,2,FALSE))</f>
        <v>0</v>
      </c>
      <c r="S4613" s="4" t="str">
        <f>(VLOOKUP(B4613,Price_data!A$1:C$190,3,FALSE))</f>
        <v>EEZ</v>
      </c>
      <c r="T4613" s="2" t="str">
        <f>IF(C4613="Total", (VLOOKUP(B4613,Recommended_fish_intake!A$4:D$122,4,FALSE)), "NA")</f>
        <v>NA</v>
      </c>
      <c r="U4613" s="2" t="str">
        <f t="shared" si="404"/>
        <v>NA</v>
      </c>
    </row>
    <row r="4614" spans="1:21" ht="14.25" customHeight="1">
      <c r="A4614" s="2" t="s">
        <v>91</v>
      </c>
      <c r="B4614" s="2">
        <v>2013</v>
      </c>
      <c r="C4614" s="2" t="s">
        <v>28</v>
      </c>
      <c r="D4614" s="2">
        <v>11.552</v>
      </c>
      <c r="E4614" s="2">
        <v>11.72</v>
      </c>
      <c r="P4614" s="3">
        <f>E4614*(VLOOKUP(B4614,Price_data!A$1:B$190,2,FALSE))</f>
        <v>7.9796250125800015</v>
      </c>
      <c r="Q4614" s="3">
        <f>G4614*(VLOOKUP(B4614,Price_data!A$1:B$190,2,FALSE))</f>
        <v>0</v>
      </c>
      <c r="R4614" s="3">
        <f>I4614*(VLOOKUP(B4614,Price_data!A$1:B$190,2,FALSE))</f>
        <v>0</v>
      </c>
      <c r="S4614" s="4" t="str">
        <f>(VLOOKUP(B4614,Price_data!A$1:C$190,3,FALSE))</f>
        <v>EEZ</v>
      </c>
      <c r="T4614" s="2" t="str">
        <f>IF(C4614="Total", (VLOOKUP(B4614,Recommended_fish_intake!A$4:D$122,4,FALSE)), "NA")</f>
        <v>NA</v>
      </c>
      <c r="U4614" s="2">
        <f t="shared" si="404"/>
        <v>3.2345600000000001</v>
      </c>
    </row>
    <row r="4615" spans="1:21" ht="14.25" customHeight="1">
      <c r="A4615" s="2" t="s">
        <v>39</v>
      </c>
      <c r="B4615" s="2">
        <v>2013</v>
      </c>
      <c r="C4615" s="2" t="s">
        <v>22</v>
      </c>
      <c r="D4615" s="2">
        <v>11.925000000000001</v>
      </c>
      <c r="E4615" s="2">
        <v>23.472000000000001</v>
      </c>
      <c r="P4615" s="3">
        <f>E4615*(VLOOKUP(B4615,Price_data!A$1:B$190,2,FALSE))</f>
        <v>15.981037397208002</v>
      </c>
      <c r="Q4615" s="3">
        <f>G4615*(VLOOKUP(B4615,Price_data!A$1:B$190,2,FALSE))</f>
        <v>0</v>
      </c>
      <c r="R4615" s="3">
        <f>I4615*(VLOOKUP(B4615,Price_data!A$1:B$190,2,FALSE))</f>
        <v>0</v>
      </c>
      <c r="S4615" s="4" t="str">
        <f>(VLOOKUP(B4615,Price_data!A$1:C$190,3,FALSE))</f>
        <v>EEZ</v>
      </c>
      <c r="T4615" s="2" t="str">
        <f>IF(C4615="Total", (VLOOKUP(B4615,Recommended_fish_intake!A$4:D$122,4,FALSE)), "NA")</f>
        <v>NA</v>
      </c>
      <c r="U4615" s="2" t="str">
        <f t="shared" si="404"/>
        <v>NA</v>
      </c>
    </row>
    <row r="4616" spans="1:21" ht="14.25" customHeight="1">
      <c r="A4616" s="2" t="s">
        <v>39</v>
      </c>
      <c r="B4616" s="2">
        <v>2013</v>
      </c>
      <c r="C4616" s="2" t="s">
        <v>23</v>
      </c>
      <c r="D4616" s="2">
        <v>36.725999999999999</v>
      </c>
      <c r="E4616" s="2">
        <v>40.948</v>
      </c>
      <c r="P4616" s="3">
        <f>E4616*(VLOOKUP(B4616,Price_data!A$1:B$190,2,FALSE))</f>
        <v>27.879665956922004</v>
      </c>
      <c r="Q4616" s="3">
        <f>G4616*(VLOOKUP(B4616,Price_data!A$1:B$190,2,FALSE))</f>
        <v>0</v>
      </c>
      <c r="R4616" s="3">
        <f>I4616*(VLOOKUP(B4616,Price_data!A$1:B$190,2,FALSE))</f>
        <v>0</v>
      </c>
      <c r="S4616" s="4" t="str">
        <f>(VLOOKUP(B4616,Price_data!A$1:C$190,3,FALSE))</f>
        <v>EEZ</v>
      </c>
      <c r="T4616" s="2" t="str">
        <f>IF(C4616="Total", (VLOOKUP(B4616,Recommended_fish_intake!A$4:D$122,4,FALSE)), "NA")</f>
        <v>NA</v>
      </c>
      <c r="U4616" s="2" t="str">
        <f t="shared" si="404"/>
        <v>NA</v>
      </c>
    </row>
    <row r="4617" spans="1:21" ht="14.25" customHeight="1">
      <c r="A4617" s="2" t="s">
        <v>39</v>
      </c>
      <c r="B4617" s="2">
        <v>2013</v>
      </c>
      <c r="C4617" s="2" t="s">
        <v>53</v>
      </c>
      <c r="D4617" s="2">
        <v>5.5359999999999996</v>
      </c>
      <c r="E4617" s="2">
        <v>14.252000000000001</v>
      </c>
      <c r="P4617" s="3">
        <f>E4617*(VLOOKUP(B4617,Price_data!A$1:B$190,2,FALSE))</f>
        <v>9.7035508258780006</v>
      </c>
      <c r="Q4617" s="3">
        <f>G4617*(VLOOKUP(B4617,Price_data!A$1:B$190,2,FALSE))</f>
        <v>0</v>
      </c>
      <c r="R4617" s="3">
        <f>I4617*(VLOOKUP(B4617,Price_data!A$1:B$190,2,FALSE))</f>
        <v>0</v>
      </c>
      <c r="S4617" s="4" t="str">
        <f>(VLOOKUP(B4617,Price_data!A$1:C$190,3,FALSE))</f>
        <v>EEZ</v>
      </c>
      <c r="T4617" s="2" t="str">
        <f>IF(C4617="Total", (VLOOKUP(B4617,Recommended_fish_intake!A$4:D$122,4,FALSE)), "NA")</f>
        <v>NA</v>
      </c>
      <c r="U4617" s="2" t="str">
        <f t="shared" si="404"/>
        <v>NA</v>
      </c>
    </row>
    <row r="4618" spans="1:21" ht="14.25" customHeight="1">
      <c r="A4618" s="2" t="s">
        <v>39</v>
      </c>
      <c r="B4618" s="2">
        <v>2013</v>
      </c>
      <c r="C4618" s="2" t="s">
        <v>58</v>
      </c>
      <c r="D4618" s="2">
        <v>6.4530000000000003</v>
      </c>
      <c r="E4618" s="2">
        <v>19.326000000000001</v>
      </c>
      <c r="P4618" s="3">
        <f>E4618*(VLOOKUP(B4618,Price_data!A$1:B$190,2,FALSE))</f>
        <v>13.158211006239002</v>
      </c>
      <c r="Q4618" s="3">
        <f>G4618*(VLOOKUP(B4618,Price_data!A$1:B$190,2,FALSE))</f>
        <v>0</v>
      </c>
      <c r="R4618" s="3">
        <f>I4618*(VLOOKUP(B4618,Price_data!A$1:B$190,2,FALSE))</f>
        <v>0</v>
      </c>
      <c r="S4618" s="4" t="str">
        <f>(VLOOKUP(B4618,Price_data!A$1:C$190,3,FALSE))</f>
        <v>EEZ</v>
      </c>
      <c r="T4618" s="2" t="str">
        <f>IF(C4618="Total", (VLOOKUP(B4618,Recommended_fish_intake!A$4:D$122,4,FALSE)), "NA")</f>
        <v>NA</v>
      </c>
      <c r="U4618" s="2" t="str">
        <f t="shared" si="404"/>
        <v>NA</v>
      </c>
    </row>
    <row r="4619" spans="1:21" ht="14.25" customHeight="1">
      <c r="A4619" s="2" t="s">
        <v>39</v>
      </c>
      <c r="B4619" s="2">
        <v>2013</v>
      </c>
      <c r="C4619" s="2" t="s">
        <v>38</v>
      </c>
      <c r="D4619" s="2">
        <v>12.705</v>
      </c>
      <c r="E4619" s="2">
        <v>10.757</v>
      </c>
      <c r="P4619" s="3">
        <f>E4619*(VLOOKUP(B4619,Price_data!A$1:B$190,2,FALSE))</f>
        <v>7.3239612850105003</v>
      </c>
      <c r="Q4619" s="3">
        <f>G4619*(VLOOKUP(B4619,Price_data!A$1:B$190,2,FALSE))</f>
        <v>0</v>
      </c>
      <c r="R4619" s="3">
        <f>I4619*(VLOOKUP(B4619,Price_data!A$1:B$190,2,FALSE))</f>
        <v>0</v>
      </c>
      <c r="S4619" s="4" t="str">
        <f>(VLOOKUP(B4619,Price_data!A$1:C$190,3,FALSE))</f>
        <v>EEZ</v>
      </c>
      <c r="T4619" s="2" t="str">
        <f>IF(C4619="Total", (VLOOKUP(B4619,Recommended_fish_intake!A$4:D$122,4,FALSE)), "NA")</f>
        <v>NA</v>
      </c>
      <c r="U4619" s="2" t="str">
        <f t="shared" si="404"/>
        <v>NA</v>
      </c>
    </row>
    <row r="4620" spans="1:21" ht="14.25" customHeight="1">
      <c r="A4620" s="2" t="s">
        <v>39</v>
      </c>
      <c r="B4620" s="2">
        <v>2013</v>
      </c>
      <c r="C4620" s="2" t="s">
        <v>63</v>
      </c>
      <c r="D4620" s="2">
        <v>2E-3</v>
      </c>
      <c r="E4620" s="2">
        <v>1.0999999999999999E-2</v>
      </c>
      <c r="P4620" s="3">
        <f>E4620*(VLOOKUP(B4620,Price_data!A$1:B$190,2,FALSE))</f>
        <v>7.4894091414999999E-3</v>
      </c>
      <c r="Q4620" s="3">
        <f>G4620*(VLOOKUP(B4620,Price_data!A$1:B$190,2,FALSE))</f>
        <v>0</v>
      </c>
      <c r="R4620" s="3">
        <f>I4620*(VLOOKUP(B4620,Price_data!A$1:B$190,2,FALSE))</f>
        <v>0</v>
      </c>
      <c r="S4620" s="4" t="str">
        <f>(VLOOKUP(B4620,Price_data!A$1:C$190,3,FALSE))</f>
        <v>EEZ</v>
      </c>
      <c r="T4620" s="2" t="str">
        <f>IF(C4620="Total", (VLOOKUP(B4620,Recommended_fish_intake!A$4:D$122,4,FALSE)), "NA")</f>
        <v>NA</v>
      </c>
      <c r="U4620" s="2" t="str">
        <f t="shared" si="404"/>
        <v>NA</v>
      </c>
    </row>
    <row r="4621" spans="1:21" ht="14.25" customHeight="1">
      <c r="A4621" s="2" t="s">
        <v>39</v>
      </c>
      <c r="B4621" s="2">
        <v>2013</v>
      </c>
      <c r="C4621" s="2" t="s">
        <v>24</v>
      </c>
      <c r="D4621" s="2">
        <v>10.054</v>
      </c>
      <c r="E4621" s="2">
        <v>10.16</v>
      </c>
      <c r="P4621" s="3">
        <f>E4621*(VLOOKUP(B4621,Price_data!A$1:B$190,2,FALSE))</f>
        <v>6.917490625240001</v>
      </c>
      <c r="Q4621" s="3">
        <f>G4621*(VLOOKUP(B4621,Price_data!A$1:B$190,2,FALSE))</f>
        <v>0</v>
      </c>
      <c r="R4621" s="3">
        <f>I4621*(VLOOKUP(B4621,Price_data!A$1:B$190,2,FALSE))</f>
        <v>0</v>
      </c>
      <c r="S4621" s="4" t="str">
        <f>(VLOOKUP(B4621,Price_data!A$1:C$190,3,FALSE))</f>
        <v>EEZ</v>
      </c>
      <c r="T4621" s="2" t="str">
        <f>IF(C4621="Total", (VLOOKUP(B4621,Recommended_fish_intake!A$4:D$122,4,FALSE)), "NA")</f>
        <v>NA</v>
      </c>
      <c r="U4621" s="2" t="str">
        <f t="shared" si="404"/>
        <v>NA</v>
      </c>
    </row>
    <row r="4622" spans="1:21" ht="14.25" customHeight="1">
      <c r="A4622" s="2" t="s">
        <v>39</v>
      </c>
      <c r="B4622" s="2">
        <v>2013</v>
      </c>
      <c r="C4622" s="2" t="s">
        <v>41</v>
      </c>
      <c r="D4622" s="2">
        <v>95.545000000000002</v>
      </c>
      <c r="E4622" s="2">
        <v>138.24</v>
      </c>
      <c r="P4622" s="3">
        <f>E4622*(VLOOKUP(B4622,Price_data!A$1:B$190,2,FALSE))</f>
        <v>94.12144724736001</v>
      </c>
      <c r="Q4622" s="3">
        <f>G4622*(VLOOKUP(B4622,Price_data!A$1:B$190,2,FALSE))</f>
        <v>0</v>
      </c>
      <c r="R4622" s="3">
        <f>I4622*(VLOOKUP(B4622,Price_data!A$1:B$190,2,FALSE))</f>
        <v>0</v>
      </c>
      <c r="S4622" s="4" t="str">
        <f>(VLOOKUP(B4622,Price_data!A$1:C$190,3,FALSE))</f>
        <v>EEZ</v>
      </c>
      <c r="T4622" s="2" t="str">
        <f>IF(C4622="Total", (VLOOKUP(B4622,Recommended_fish_intake!A$4:D$122,4,FALSE)), "NA")</f>
        <v>NA</v>
      </c>
      <c r="U4622" s="2" t="str">
        <f t="shared" si="404"/>
        <v>NA</v>
      </c>
    </row>
    <row r="4623" spans="1:21" ht="14.25" customHeight="1">
      <c r="A4623" s="2" t="s">
        <v>39</v>
      </c>
      <c r="B4623" s="2">
        <v>2013</v>
      </c>
      <c r="C4623" s="2" t="s">
        <v>19</v>
      </c>
      <c r="D4623" s="2">
        <v>29.033000000000001</v>
      </c>
      <c r="E4623" s="2">
        <v>10.941000000000001</v>
      </c>
      <c r="P4623" s="3">
        <f>E4623*(VLOOKUP(B4623,Price_data!A$1:B$190,2,FALSE))</f>
        <v>7.4492386742865007</v>
      </c>
      <c r="Q4623" s="3">
        <f>G4623*(VLOOKUP(B4623,Price_data!A$1:B$190,2,FALSE))</f>
        <v>0</v>
      </c>
      <c r="R4623" s="3">
        <f>I4623*(VLOOKUP(B4623,Price_data!A$1:B$190,2,FALSE))</f>
        <v>0</v>
      </c>
      <c r="S4623" s="4" t="str">
        <f>(VLOOKUP(B4623,Price_data!A$1:C$190,3,FALSE))</f>
        <v>EEZ</v>
      </c>
      <c r="T4623" s="2" t="str">
        <f>IF(C4623="Total", (VLOOKUP(B4623,Recommended_fish_intake!A$4:D$122,4,FALSE)), "NA")</f>
        <v>NA</v>
      </c>
      <c r="U4623" s="2" t="str">
        <f t="shared" si="404"/>
        <v>NA</v>
      </c>
    </row>
    <row r="4624" spans="1:21" ht="14.25" customHeight="1">
      <c r="A4624" s="2" t="s">
        <v>39</v>
      </c>
      <c r="B4624" s="2">
        <v>2013</v>
      </c>
      <c r="C4624" s="2" t="s">
        <v>20</v>
      </c>
      <c r="D4624" s="2">
        <v>75.13</v>
      </c>
      <c r="E4624" s="2">
        <v>67.040999999999997</v>
      </c>
      <c r="P4624" s="3">
        <f>E4624*(VLOOKUP(B4624,Price_data!A$1:B$190,2,FALSE))</f>
        <v>45.645225295936498</v>
      </c>
      <c r="Q4624" s="3">
        <f>G4624*(VLOOKUP(B4624,Price_data!A$1:B$190,2,FALSE))</f>
        <v>0</v>
      </c>
      <c r="R4624" s="3">
        <f>I4624*(VLOOKUP(B4624,Price_data!A$1:B$190,2,FALSE))</f>
        <v>0</v>
      </c>
      <c r="S4624" s="4" t="str">
        <f>(VLOOKUP(B4624,Price_data!A$1:C$190,3,FALSE))</f>
        <v>EEZ</v>
      </c>
      <c r="T4624" s="2" t="str">
        <f>IF(C4624="Total", (VLOOKUP(B4624,Recommended_fish_intake!A$4:D$122,4,FALSE)), "NA")</f>
        <v>NA</v>
      </c>
      <c r="U4624" s="2" t="str">
        <f t="shared" si="404"/>
        <v>NA</v>
      </c>
    </row>
    <row r="4625" spans="1:21" ht="14.25" customHeight="1">
      <c r="A4625" s="2" t="s">
        <v>39</v>
      </c>
      <c r="B4625" s="2">
        <v>2013</v>
      </c>
      <c r="C4625" s="2" t="s">
        <v>42</v>
      </c>
      <c r="D4625" s="2">
        <v>113.884</v>
      </c>
      <c r="E4625" s="2">
        <v>80.358999999999995</v>
      </c>
      <c r="P4625" s="3">
        <f>E4625*(VLOOKUP(B4625,Price_data!A$1:B$190,2,FALSE))</f>
        <v>54.712857200163498</v>
      </c>
      <c r="Q4625" s="3">
        <f>G4625*(VLOOKUP(B4625,Price_data!A$1:B$190,2,FALSE))</f>
        <v>0</v>
      </c>
      <c r="R4625" s="3">
        <f>I4625*(VLOOKUP(B4625,Price_data!A$1:B$190,2,FALSE))</f>
        <v>0</v>
      </c>
      <c r="S4625" s="4" t="str">
        <f>(VLOOKUP(B4625,Price_data!A$1:C$190,3,FALSE))</f>
        <v>EEZ</v>
      </c>
      <c r="T4625" s="2" t="str">
        <f>IF(C4625="Total", (VLOOKUP(B4625,Recommended_fish_intake!A$4:D$122,4,FALSE)), "NA")</f>
        <v>NA</v>
      </c>
      <c r="U4625" s="2" t="str">
        <f t="shared" si="404"/>
        <v>NA</v>
      </c>
    </row>
    <row r="4626" spans="1:21" ht="14.25" customHeight="1">
      <c r="A4626" s="2" t="s">
        <v>39</v>
      </c>
      <c r="B4626" s="2">
        <v>2013</v>
      </c>
      <c r="C4626" s="2" t="s">
        <v>36</v>
      </c>
      <c r="D4626" s="2">
        <v>12.759</v>
      </c>
      <c r="E4626" s="2">
        <v>17.977</v>
      </c>
      <c r="P4626" s="3">
        <f>E4626*(VLOOKUP(B4626,Price_data!A$1:B$190,2,FALSE))</f>
        <v>12.2397371033405</v>
      </c>
      <c r="Q4626" s="3">
        <f>G4626*(VLOOKUP(B4626,Price_data!A$1:B$190,2,FALSE))</f>
        <v>0</v>
      </c>
      <c r="R4626" s="3">
        <f>I4626*(VLOOKUP(B4626,Price_data!A$1:B$190,2,FALSE))</f>
        <v>0</v>
      </c>
      <c r="S4626" s="4" t="str">
        <f>(VLOOKUP(B4626,Price_data!A$1:C$190,3,FALSE))</f>
        <v>EEZ</v>
      </c>
      <c r="T4626" s="2" t="str">
        <f>IF(C4626="Total", (VLOOKUP(B4626,Recommended_fish_intake!A$4:D$122,4,FALSE)), "NA")</f>
        <v>NA</v>
      </c>
      <c r="U4626" s="2" t="str">
        <f t="shared" si="404"/>
        <v>NA</v>
      </c>
    </row>
    <row r="4627" spans="1:21" ht="14.25" customHeight="1">
      <c r="A4627" s="2" t="s">
        <v>39</v>
      </c>
      <c r="B4627" s="2">
        <v>2013</v>
      </c>
      <c r="C4627" s="2" t="s">
        <v>34</v>
      </c>
      <c r="D4627" s="2">
        <v>1.03</v>
      </c>
      <c r="E4627" s="2">
        <v>10.643000000000001</v>
      </c>
      <c r="P4627" s="3">
        <f>E4627*(VLOOKUP(B4627,Price_data!A$1:B$190,2,FALSE))</f>
        <v>7.2463437720895012</v>
      </c>
      <c r="Q4627" s="3">
        <f>G4627*(VLOOKUP(B4627,Price_data!A$1:B$190,2,FALSE))</f>
        <v>0</v>
      </c>
      <c r="R4627" s="3">
        <f>I4627*(VLOOKUP(B4627,Price_data!A$1:B$190,2,FALSE))</f>
        <v>0</v>
      </c>
      <c r="S4627" s="4" t="str">
        <f>(VLOOKUP(B4627,Price_data!A$1:C$190,3,FALSE))</f>
        <v>EEZ</v>
      </c>
      <c r="T4627" s="2" t="str">
        <f>IF(C4627="Total", (VLOOKUP(B4627,Recommended_fish_intake!A$4:D$122,4,FALSE)), "NA")</f>
        <v>NA</v>
      </c>
      <c r="U4627" s="2" t="str">
        <f t="shared" si="404"/>
        <v>NA</v>
      </c>
    </row>
    <row r="4628" spans="1:21" ht="14.25" customHeight="1">
      <c r="A4628" s="2" t="s">
        <v>39</v>
      </c>
      <c r="B4628" s="2">
        <v>2013</v>
      </c>
      <c r="C4628" s="2" t="s">
        <v>35</v>
      </c>
      <c r="D4628" s="2">
        <v>17.893999999999998</v>
      </c>
      <c r="E4628" s="2">
        <v>61.673999999999999</v>
      </c>
      <c r="P4628" s="3">
        <f>E4628*(VLOOKUP(B4628,Price_data!A$1:B$190,2,FALSE))</f>
        <v>41.991074490261006</v>
      </c>
      <c r="Q4628" s="3">
        <f>G4628*(VLOOKUP(B4628,Price_data!A$1:B$190,2,FALSE))</f>
        <v>0</v>
      </c>
      <c r="R4628" s="3">
        <f>I4628*(VLOOKUP(B4628,Price_data!A$1:B$190,2,FALSE))</f>
        <v>0</v>
      </c>
      <c r="S4628" s="4" t="str">
        <f>(VLOOKUP(B4628,Price_data!A$1:C$190,3,FALSE))</f>
        <v>EEZ</v>
      </c>
      <c r="T4628" s="2" t="str">
        <f>IF(C4628="Total", (VLOOKUP(B4628,Recommended_fish_intake!A$4:D$122,4,FALSE)), "NA")</f>
        <v>NA</v>
      </c>
      <c r="U4628" s="2" t="str">
        <f t="shared" si="404"/>
        <v>NA</v>
      </c>
    </row>
    <row r="4629" spans="1:21" ht="14.25" customHeight="1">
      <c r="A4629" s="2" t="s">
        <v>39</v>
      </c>
      <c r="B4629" s="2">
        <v>2013</v>
      </c>
      <c r="C4629" s="2" t="s">
        <v>52</v>
      </c>
      <c r="D4629" s="2">
        <v>17.821999999999999</v>
      </c>
      <c r="E4629" s="2">
        <v>26.452000000000002</v>
      </c>
      <c r="P4629" s="3">
        <f>E4629*(VLOOKUP(B4629,Price_data!A$1:B$190,2,FALSE))</f>
        <v>18.009986419178002</v>
      </c>
      <c r="Q4629" s="3">
        <f>G4629*(VLOOKUP(B4629,Price_data!A$1:B$190,2,FALSE))</f>
        <v>0</v>
      </c>
      <c r="R4629" s="3">
        <f>I4629*(VLOOKUP(B4629,Price_data!A$1:B$190,2,FALSE))</f>
        <v>0</v>
      </c>
      <c r="S4629" s="4" t="str">
        <f>(VLOOKUP(B4629,Price_data!A$1:C$190,3,FALSE))</f>
        <v>EEZ</v>
      </c>
      <c r="T4629" s="2" t="str">
        <f>IF(C4629="Total", (VLOOKUP(B4629,Recommended_fish_intake!A$4:D$122,4,FALSE)), "NA")</f>
        <v>NA</v>
      </c>
      <c r="U4629" s="2" t="str">
        <f t="shared" si="404"/>
        <v>NA</v>
      </c>
    </row>
    <row r="4630" spans="1:21" ht="14.25" customHeight="1">
      <c r="A4630" s="2" t="s">
        <v>39</v>
      </c>
      <c r="B4630" s="2">
        <v>2013</v>
      </c>
      <c r="C4630" s="2" t="s">
        <v>30</v>
      </c>
      <c r="D4630" s="2">
        <v>0</v>
      </c>
      <c r="E4630" s="2">
        <v>5.0000000000000001E-3</v>
      </c>
      <c r="P4630" s="3">
        <f>E4630*(VLOOKUP(B4630,Price_data!A$1:B$190,2,FALSE))</f>
        <v>3.4042768825000005E-3</v>
      </c>
      <c r="Q4630" s="3">
        <f>G4630*(VLOOKUP(B4630,Price_data!A$1:B$190,2,FALSE))</f>
        <v>0</v>
      </c>
      <c r="R4630" s="3">
        <f>I4630*(VLOOKUP(B4630,Price_data!A$1:B$190,2,FALSE))</f>
        <v>0</v>
      </c>
      <c r="S4630" s="4" t="str">
        <f>(VLOOKUP(B4630,Price_data!A$1:C$190,3,FALSE))</f>
        <v>EEZ</v>
      </c>
      <c r="T4630" s="2" t="str">
        <f>IF(C4630="Total", (VLOOKUP(B4630,Recommended_fish_intake!A$4:D$122,4,FALSE)), "NA")</f>
        <v>NA</v>
      </c>
      <c r="U4630" s="2" t="str">
        <f t="shared" si="404"/>
        <v>NA</v>
      </c>
    </row>
    <row r="4631" spans="1:21" ht="14.25" customHeight="1">
      <c r="A4631" s="2" t="s">
        <v>39</v>
      </c>
      <c r="B4631" s="2">
        <v>2013</v>
      </c>
      <c r="C4631" s="2" t="s">
        <v>28</v>
      </c>
      <c r="D4631" s="2">
        <v>52.673999999999999</v>
      </c>
      <c r="E4631" s="2">
        <v>125.066</v>
      </c>
      <c r="P4631" s="3">
        <f>E4631*(VLOOKUP(B4631,Price_data!A$1:B$190,2,FALSE))</f>
        <v>85.151858517349012</v>
      </c>
      <c r="Q4631" s="3">
        <f>G4631*(VLOOKUP(B4631,Price_data!A$1:B$190,2,FALSE))</f>
        <v>0</v>
      </c>
      <c r="R4631" s="3">
        <f>I4631*(VLOOKUP(B4631,Price_data!A$1:B$190,2,FALSE))</f>
        <v>0</v>
      </c>
      <c r="S4631" s="4" t="str">
        <f>(VLOOKUP(B4631,Price_data!A$1:C$190,3,FALSE))</f>
        <v>EEZ</v>
      </c>
      <c r="T4631" s="2" t="str">
        <f>IF(C4631="Total", (VLOOKUP(B4631,Recommended_fish_intake!A$4:D$122,4,FALSE)), "NA")</f>
        <v>NA</v>
      </c>
      <c r="U4631" s="2">
        <f t="shared" si="404"/>
        <v>14.74872</v>
      </c>
    </row>
    <row r="4632" spans="1:21" ht="14.25" customHeight="1">
      <c r="A4632" s="2" t="s">
        <v>40</v>
      </c>
      <c r="B4632" s="2">
        <v>2013</v>
      </c>
      <c r="C4632" s="2" t="s">
        <v>22</v>
      </c>
      <c r="D4632" s="2">
        <v>0.11799999999999999</v>
      </c>
      <c r="E4632" s="2">
        <v>0.246</v>
      </c>
      <c r="P4632" s="3">
        <f>E4632*(VLOOKUP(B4632,Price_data!A$1:B$190,2,FALSE))</f>
        <v>0.16749042261900002</v>
      </c>
      <c r="Q4632" s="3">
        <f>G4632*(VLOOKUP(B4632,Price_data!A$1:B$190,2,FALSE))</f>
        <v>0</v>
      </c>
      <c r="R4632" s="3">
        <f>I4632*(VLOOKUP(B4632,Price_data!A$1:B$190,2,FALSE))</f>
        <v>0</v>
      </c>
      <c r="S4632" s="4" t="str">
        <f>(VLOOKUP(B4632,Price_data!A$1:C$190,3,FALSE))</f>
        <v>EEZ</v>
      </c>
      <c r="T4632" s="2" t="str">
        <f>IF(C4632="Total", (VLOOKUP(B4632,Recommended_fish_intake!A$4:D$122,4,FALSE)), "NA")</f>
        <v>NA</v>
      </c>
      <c r="U4632" s="2" t="str">
        <f t="shared" si="404"/>
        <v>NA</v>
      </c>
    </row>
    <row r="4633" spans="1:21" ht="14.25" customHeight="1">
      <c r="A4633" s="2" t="s">
        <v>40</v>
      </c>
      <c r="B4633" s="2">
        <v>2013</v>
      </c>
      <c r="C4633" s="2" t="s">
        <v>23</v>
      </c>
      <c r="D4633" s="2">
        <v>0.32300000000000001</v>
      </c>
      <c r="E4633" s="2">
        <v>0.314</v>
      </c>
      <c r="P4633" s="3">
        <f>E4633*(VLOOKUP(B4633,Price_data!A$1:B$190,2,FALSE))</f>
        <v>0.21378858822100003</v>
      </c>
      <c r="Q4633" s="3">
        <f>G4633*(VLOOKUP(B4633,Price_data!A$1:B$190,2,FALSE))</f>
        <v>0</v>
      </c>
      <c r="R4633" s="3">
        <f>I4633*(VLOOKUP(B4633,Price_data!A$1:B$190,2,FALSE))</f>
        <v>0</v>
      </c>
      <c r="S4633" s="4" t="str">
        <f>(VLOOKUP(B4633,Price_data!A$1:C$190,3,FALSE))</f>
        <v>EEZ</v>
      </c>
      <c r="T4633" s="2" t="str">
        <f>IF(C4633="Total", (VLOOKUP(B4633,Recommended_fish_intake!A$4:D$122,4,FALSE)), "NA")</f>
        <v>NA</v>
      </c>
      <c r="U4633" s="2" t="str">
        <f t="shared" si="404"/>
        <v>NA</v>
      </c>
    </row>
    <row r="4634" spans="1:21" ht="14.25" customHeight="1">
      <c r="A4634" s="2" t="s">
        <v>40</v>
      </c>
      <c r="B4634" s="2">
        <v>2013</v>
      </c>
      <c r="C4634" s="2" t="s">
        <v>53</v>
      </c>
      <c r="D4634" s="2">
        <v>5.8000000000000003E-2</v>
      </c>
      <c r="E4634" s="2">
        <v>7.0000000000000007E-2</v>
      </c>
      <c r="P4634" s="3">
        <f>E4634*(VLOOKUP(B4634,Price_data!A$1:B$190,2,FALSE))</f>
        <v>4.7659876355000005E-2</v>
      </c>
      <c r="Q4634" s="3">
        <f>G4634*(VLOOKUP(B4634,Price_data!A$1:B$190,2,FALSE))</f>
        <v>0</v>
      </c>
      <c r="R4634" s="3">
        <f>I4634*(VLOOKUP(B4634,Price_data!A$1:B$190,2,FALSE))</f>
        <v>0</v>
      </c>
      <c r="S4634" s="4" t="str">
        <f>(VLOOKUP(B4634,Price_data!A$1:C$190,3,FALSE))</f>
        <v>EEZ</v>
      </c>
      <c r="T4634" s="2" t="str">
        <f>IF(C4634="Total", (VLOOKUP(B4634,Recommended_fish_intake!A$4:D$122,4,FALSE)), "NA")</f>
        <v>NA</v>
      </c>
      <c r="U4634" s="2" t="str">
        <f t="shared" si="404"/>
        <v>NA</v>
      </c>
    </row>
    <row r="4635" spans="1:21" ht="14.25" customHeight="1">
      <c r="A4635" s="2" t="s">
        <v>40</v>
      </c>
      <c r="B4635" s="2">
        <v>2013</v>
      </c>
      <c r="C4635" s="2" t="s">
        <v>58</v>
      </c>
      <c r="D4635" s="2">
        <v>0.14299999999999999</v>
      </c>
      <c r="E4635" s="2">
        <v>0.308</v>
      </c>
      <c r="P4635" s="3">
        <f>E4635*(VLOOKUP(B4635,Price_data!A$1:B$190,2,FALSE))</f>
        <v>0.20970345596200002</v>
      </c>
      <c r="Q4635" s="3">
        <f>G4635*(VLOOKUP(B4635,Price_data!A$1:B$190,2,FALSE))</f>
        <v>0</v>
      </c>
      <c r="R4635" s="3">
        <f>I4635*(VLOOKUP(B4635,Price_data!A$1:B$190,2,FALSE))</f>
        <v>0</v>
      </c>
      <c r="S4635" s="4" t="str">
        <f>(VLOOKUP(B4635,Price_data!A$1:C$190,3,FALSE))</f>
        <v>EEZ</v>
      </c>
      <c r="T4635" s="2" t="str">
        <f>IF(C4635="Total", (VLOOKUP(B4635,Recommended_fish_intake!A$4:D$122,4,FALSE)), "NA")</f>
        <v>NA</v>
      </c>
      <c r="U4635" s="2" t="str">
        <f t="shared" si="404"/>
        <v>NA</v>
      </c>
    </row>
    <row r="4636" spans="1:21" ht="14.25" customHeight="1">
      <c r="A4636" s="2" t="s">
        <v>40</v>
      </c>
      <c r="B4636" s="2">
        <v>2013</v>
      </c>
      <c r="C4636" s="2" t="s">
        <v>38</v>
      </c>
      <c r="D4636" s="2">
        <v>2E-3</v>
      </c>
      <c r="E4636" s="2">
        <v>2E-3</v>
      </c>
      <c r="P4636" s="3">
        <f>E4636*(VLOOKUP(B4636,Price_data!A$1:B$190,2,FALSE))</f>
        <v>1.3617107530000002E-3</v>
      </c>
      <c r="Q4636" s="3">
        <f>G4636*(VLOOKUP(B4636,Price_data!A$1:B$190,2,FALSE))</f>
        <v>0</v>
      </c>
      <c r="R4636" s="3">
        <f>I4636*(VLOOKUP(B4636,Price_data!A$1:B$190,2,FALSE))</f>
        <v>0</v>
      </c>
      <c r="S4636" s="4" t="str">
        <f>(VLOOKUP(B4636,Price_data!A$1:C$190,3,FALSE))</f>
        <v>EEZ</v>
      </c>
      <c r="T4636" s="2" t="str">
        <f>IF(C4636="Total", (VLOOKUP(B4636,Recommended_fish_intake!A$4:D$122,4,FALSE)), "NA")</f>
        <v>NA</v>
      </c>
      <c r="U4636" s="2" t="str">
        <f t="shared" si="404"/>
        <v>NA</v>
      </c>
    </row>
    <row r="4637" spans="1:21" ht="14.25" customHeight="1">
      <c r="A4637" s="2" t="s">
        <v>40</v>
      </c>
      <c r="B4637" s="2">
        <v>2013</v>
      </c>
      <c r="C4637" s="2" t="s">
        <v>63</v>
      </c>
      <c r="D4637" s="2">
        <v>6.0000000000000001E-3</v>
      </c>
      <c r="E4637" s="2">
        <v>0.03</v>
      </c>
      <c r="P4637" s="3">
        <f>E4637*(VLOOKUP(B4637,Price_data!A$1:B$190,2,FALSE))</f>
        <v>2.0425661295000001E-2</v>
      </c>
      <c r="Q4637" s="3">
        <f>G4637*(VLOOKUP(B4637,Price_data!A$1:B$190,2,FALSE))</f>
        <v>0</v>
      </c>
      <c r="R4637" s="3">
        <f>I4637*(VLOOKUP(B4637,Price_data!A$1:B$190,2,FALSE))</f>
        <v>0</v>
      </c>
      <c r="S4637" s="4" t="str">
        <f>(VLOOKUP(B4637,Price_data!A$1:C$190,3,FALSE))</f>
        <v>EEZ</v>
      </c>
      <c r="T4637" s="2" t="str">
        <f>IF(C4637="Total", (VLOOKUP(B4637,Recommended_fish_intake!A$4:D$122,4,FALSE)), "NA")</f>
        <v>NA</v>
      </c>
      <c r="U4637" s="2" t="str">
        <f t="shared" si="404"/>
        <v>NA</v>
      </c>
    </row>
    <row r="4638" spans="1:21" ht="14.25" customHeight="1">
      <c r="A4638" s="2" t="s">
        <v>40</v>
      </c>
      <c r="B4638" s="2">
        <v>2013</v>
      </c>
      <c r="C4638" s="2" t="s">
        <v>24</v>
      </c>
      <c r="D4638" s="2">
        <v>6.4000000000000001E-2</v>
      </c>
      <c r="E4638" s="2">
        <v>0.05</v>
      </c>
      <c r="P4638" s="3">
        <f>E4638*(VLOOKUP(B4638,Price_data!A$1:B$190,2,FALSE))</f>
        <v>3.4042768825000007E-2</v>
      </c>
      <c r="Q4638" s="3">
        <f>G4638*(VLOOKUP(B4638,Price_data!A$1:B$190,2,FALSE))</f>
        <v>0</v>
      </c>
      <c r="R4638" s="3">
        <f>I4638*(VLOOKUP(B4638,Price_data!A$1:B$190,2,FALSE))</f>
        <v>0</v>
      </c>
      <c r="S4638" s="4" t="str">
        <f>(VLOOKUP(B4638,Price_data!A$1:C$190,3,FALSE))</f>
        <v>EEZ</v>
      </c>
      <c r="T4638" s="2" t="str">
        <f>IF(C4638="Total", (VLOOKUP(B4638,Recommended_fish_intake!A$4:D$122,4,FALSE)), "NA")</f>
        <v>NA</v>
      </c>
      <c r="U4638" s="2" t="str">
        <f t="shared" si="404"/>
        <v>NA</v>
      </c>
    </row>
    <row r="4639" spans="1:21" ht="14.25" customHeight="1">
      <c r="A4639" s="2" t="s">
        <v>40</v>
      </c>
      <c r="B4639" s="2">
        <v>2013</v>
      </c>
      <c r="C4639" s="2" t="s">
        <v>41</v>
      </c>
      <c r="D4639" s="2">
        <v>1.206</v>
      </c>
      <c r="E4639" s="2">
        <v>1.335</v>
      </c>
      <c r="P4639" s="3">
        <f>E4639*(VLOOKUP(B4639,Price_data!A$1:B$190,2,FALSE))</f>
        <v>0.90894192762750003</v>
      </c>
      <c r="Q4639" s="3">
        <f>G4639*(VLOOKUP(B4639,Price_data!A$1:B$190,2,FALSE))</f>
        <v>0</v>
      </c>
      <c r="R4639" s="3">
        <f>I4639*(VLOOKUP(B4639,Price_data!A$1:B$190,2,FALSE))</f>
        <v>0</v>
      </c>
      <c r="S4639" s="4" t="str">
        <f>(VLOOKUP(B4639,Price_data!A$1:C$190,3,FALSE))</f>
        <v>EEZ</v>
      </c>
      <c r="T4639" s="2" t="str">
        <f>IF(C4639="Total", (VLOOKUP(B4639,Recommended_fish_intake!A$4:D$122,4,FALSE)), "NA")</f>
        <v>NA</v>
      </c>
      <c r="U4639" s="2" t="str">
        <f t="shared" si="404"/>
        <v>NA</v>
      </c>
    </row>
    <row r="4640" spans="1:21" ht="14.25" customHeight="1">
      <c r="A4640" s="2" t="s">
        <v>40</v>
      </c>
      <c r="B4640" s="2">
        <v>2013</v>
      </c>
      <c r="C4640" s="2" t="s">
        <v>19</v>
      </c>
      <c r="D4640" s="2">
        <v>4.6399999999999997</v>
      </c>
      <c r="E4640" s="2">
        <v>1.593</v>
      </c>
      <c r="P4640" s="3">
        <f>E4640*(VLOOKUP(B4640,Price_data!A$1:B$190,2,FALSE))</f>
        <v>1.0846026147645</v>
      </c>
      <c r="Q4640" s="3">
        <f>G4640*(VLOOKUP(B4640,Price_data!A$1:B$190,2,FALSE))</f>
        <v>0</v>
      </c>
      <c r="R4640" s="3">
        <f>I4640*(VLOOKUP(B4640,Price_data!A$1:B$190,2,FALSE))</f>
        <v>0</v>
      </c>
      <c r="S4640" s="4" t="str">
        <f>(VLOOKUP(B4640,Price_data!A$1:C$190,3,FALSE))</f>
        <v>EEZ</v>
      </c>
      <c r="T4640" s="2" t="str">
        <f>IF(C4640="Total", (VLOOKUP(B4640,Recommended_fish_intake!A$4:D$122,4,FALSE)), "NA")</f>
        <v>NA</v>
      </c>
      <c r="U4640" s="2" t="str">
        <f t="shared" si="404"/>
        <v>NA</v>
      </c>
    </row>
    <row r="4641" spans="1:21" ht="14.25" customHeight="1">
      <c r="A4641" s="2" t="s">
        <v>40</v>
      </c>
      <c r="B4641" s="2">
        <v>2013</v>
      </c>
      <c r="C4641" s="2" t="s">
        <v>20</v>
      </c>
      <c r="D4641" s="2">
        <v>1.863</v>
      </c>
      <c r="E4641" s="2">
        <v>1.637</v>
      </c>
      <c r="P4641" s="3">
        <f>E4641*(VLOOKUP(B4641,Price_data!A$1:B$190,2,FALSE))</f>
        <v>1.1145602513305002</v>
      </c>
      <c r="Q4641" s="3">
        <f>G4641*(VLOOKUP(B4641,Price_data!A$1:B$190,2,FALSE))</f>
        <v>0</v>
      </c>
      <c r="R4641" s="3">
        <f>I4641*(VLOOKUP(B4641,Price_data!A$1:B$190,2,FALSE))</f>
        <v>0</v>
      </c>
      <c r="S4641" s="4" t="str">
        <f>(VLOOKUP(B4641,Price_data!A$1:C$190,3,FALSE))</f>
        <v>EEZ</v>
      </c>
      <c r="T4641" s="2" t="str">
        <f>IF(C4641="Total", (VLOOKUP(B4641,Recommended_fish_intake!A$4:D$122,4,FALSE)), "NA")</f>
        <v>NA</v>
      </c>
      <c r="U4641" s="2" t="str">
        <f t="shared" si="404"/>
        <v>NA</v>
      </c>
    </row>
    <row r="4642" spans="1:21" ht="14.25" customHeight="1">
      <c r="A4642" s="2" t="s">
        <v>40</v>
      </c>
      <c r="B4642" s="2">
        <v>2013</v>
      </c>
      <c r="C4642" s="2" t="s">
        <v>42</v>
      </c>
      <c r="D4642" s="2">
        <v>6.5019999999999998</v>
      </c>
      <c r="E4642" s="2">
        <v>3.23</v>
      </c>
      <c r="P4642" s="3">
        <f>E4642*(VLOOKUP(B4642,Price_data!A$1:B$190,2,FALSE))</f>
        <v>2.199162866095</v>
      </c>
      <c r="Q4642" s="3">
        <f>G4642*(VLOOKUP(B4642,Price_data!A$1:B$190,2,FALSE))</f>
        <v>0</v>
      </c>
      <c r="R4642" s="3">
        <f>I4642*(VLOOKUP(B4642,Price_data!A$1:B$190,2,FALSE))</f>
        <v>0</v>
      </c>
      <c r="S4642" s="4" t="str">
        <f>(VLOOKUP(B4642,Price_data!A$1:C$190,3,FALSE))</f>
        <v>EEZ</v>
      </c>
      <c r="T4642" s="2" t="str">
        <f>IF(C4642="Total", (VLOOKUP(B4642,Recommended_fish_intake!A$4:D$122,4,FALSE)), "NA")</f>
        <v>NA</v>
      </c>
      <c r="U4642" s="2" t="str">
        <f t="shared" si="404"/>
        <v>NA</v>
      </c>
    </row>
    <row r="4643" spans="1:21" ht="14.25" customHeight="1">
      <c r="A4643" s="2" t="s">
        <v>40</v>
      </c>
      <c r="B4643" s="2">
        <v>2013</v>
      </c>
      <c r="C4643" s="2" t="s">
        <v>36</v>
      </c>
      <c r="D4643" s="2">
        <v>1.532</v>
      </c>
      <c r="E4643" s="2">
        <v>1.3779999999999999</v>
      </c>
      <c r="P4643" s="3">
        <f>E4643*(VLOOKUP(B4643,Price_data!A$1:B$190,2,FALSE))</f>
        <v>0.93821870881699998</v>
      </c>
      <c r="Q4643" s="3">
        <f>G4643*(VLOOKUP(B4643,Price_data!A$1:B$190,2,FALSE))</f>
        <v>0</v>
      </c>
      <c r="R4643" s="3">
        <f>I4643*(VLOOKUP(B4643,Price_data!A$1:B$190,2,FALSE))</f>
        <v>0</v>
      </c>
      <c r="S4643" s="4" t="str">
        <f>(VLOOKUP(B4643,Price_data!A$1:C$190,3,FALSE))</f>
        <v>EEZ</v>
      </c>
      <c r="T4643" s="2" t="str">
        <f>IF(C4643="Total", (VLOOKUP(B4643,Recommended_fish_intake!A$4:D$122,4,FALSE)), "NA")</f>
        <v>NA</v>
      </c>
      <c r="U4643" s="2" t="str">
        <f t="shared" si="404"/>
        <v>NA</v>
      </c>
    </row>
    <row r="4644" spans="1:21" ht="14.25" customHeight="1">
      <c r="A4644" s="2" t="s">
        <v>40</v>
      </c>
      <c r="B4644" s="2">
        <v>2013</v>
      </c>
      <c r="C4644" s="2" t="s">
        <v>34</v>
      </c>
      <c r="D4644" s="2">
        <v>7.9000000000000001E-2</v>
      </c>
      <c r="E4644" s="2">
        <v>0.80500000000000005</v>
      </c>
      <c r="P4644" s="3">
        <f>E4644*(VLOOKUP(B4644,Price_data!A$1:B$190,2,FALSE))</f>
        <v>0.54808857808250011</v>
      </c>
      <c r="Q4644" s="3">
        <f>G4644*(VLOOKUP(B4644,Price_data!A$1:B$190,2,FALSE))</f>
        <v>0</v>
      </c>
      <c r="R4644" s="3">
        <f>I4644*(VLOOKUP(B4644,Price_data!A$1:B$190,2,FALSE))</f>
        <v>0</v>
      </c>
      <c r="S4644" s="4" t="str">
        <f>(VLOOKUP(B4644,Price_data!A$1:C$190,3,FALSE))</f>
        <v>EEZ</v>
      </c>
      <c r="T4644" s="2" t="str">
        <f>IF(C4644="Total", (VLOOKUP(B4644,Recommended_fish_intake!A$4:D$122,4,FALSE)), "NA")</f>
        <v>NA</v>
      </c>
      <c r="U4644" s="2" t="str">
        <f t="shared" si="404"/>
        <v>NA</v>
      </c>
    </row>
    <row r="4645" spans="1:21" ht="14.25" customHeight="1">
      <c r="A4645" s="2" t="s">
        <v>40</v>
      </c>
      <c r="B4645" s="2">
        <v>2013</v>
      </c>
      <c r="C4645" s="2" t="s">
        <v>35</v>
      </c>
      <c r="D4645" s="2">
        <v>6.8479999999999999</v>
      </c>
      <c r="E4645" s="2">
        <v>13.468999999999999</v>
      </c>
      <c r="P4645" s="3">
        <f>E4645*(VLOOKUP(B4645,Price_data!A$1:B$190,2,FALSE))</f>
        <v>9.1704410660785012</v>
      </c>
      <c r="Q4645" s="3">
        <f>G4645*(VLOOKUP(B4645,Price_data!A$1:B$190,2,FALSE))</f>
        <v>0</v>
      </c>
      <c r="R4645" s="3">
        <f>I4645*(VLOOKUP(B4645,Price_data!A$1:B$190,2,FALSE))</f>
        <v>0</v>
      </c>
      <c r="S4645" s="4" t="str">
        <f>(VLOOKUP(B4645,Price_data!A$1:C$190,3,FALSE))</f>
        <v>EEZ</v>
      </c>
      <c r="T4645" s="2" t="str">
        <f>IF(C4645="Total", (VLOOKUP(B4645,Recommended_fish_intake!A$4:D$122,4,FALSE)), "NA")</f>
        <v>NA</v>
      </c>
      <c r="U4645" s="2" t="str">
        <f t="shared" si="404"/>
        <v>NA</v>
      </c>
    </row>
    <row r="4646" spans="1:21" ht="14.25" customHeight="1">
      <c r="A4646" s="2" t="s">
        <v>40</v>
      </c>
      <c r="B4646" s="2">
        <v>2013</v>
      </c>
      <c r="C4646" s="2" t="s">
        <v>52</v>
      </c>
      <c r="D4646" s="2">
        <v>3.0169999999999999</v>
      </c>
      <c r="E4646" s="2">
        <v>2.7559999999999998</v>
      </c>
      <c r="P4646" s="3">
        <f>E4646*(VLOOKUP(B4646,Price_data!A$1:B$190,2,FALSE))</f>
        <v>1.876437417634</v>
      </c>
      <c r="Q4646" s="3">
        <f>G4646*(VLOOKUP(B4646,Price_data!A$1:B$190,2,FALSE))</f>
        <v>0</v>
      </c>
      <c r="R4646" s="3">
        <f>I4646*(VLOOKUP(B4646,Price_data!A$1:B$190,2,FALSE))</f>
        <v>0</v>
      </c>
      <c r="S4646" s="4" t="str">
        <f>(VLOOKUP(B4646,Price_data!A$1:C$190,3,FALSE))</f>
        <v>EEZ</v>
      </c>
      <c r="T4646" s="2" t="str">
        <f>IF(C4646="Total", (VLOOKUP(B4646,Recommended_fish_intake!A$4:D$122,4,FALSE)), "NA")</f>
        <v>NA</v>
      </c>
      <c r="U4646" s="2" t="str">
        <f t="shared" si="404"/>
        <v>NA</v>
      </c>
    </row>
    <row r="4647" spans="1:21" ht="14.25" customHeight="1">
      <c r="A4647" s="2" t="s">
        <v>40</v>
      </c>
      <c r="B4647" s="2">
        <v>2013</v>
      </c>
      <c r="C4647" s="2" t="s">
        <v>30</v>
      </c>
      <c r="D4647" s="2">
        <v>3.0000000000000001E-3</v>
      </c>
      <c r="E4647" s="2">
        <v>4.2999999999999997E-2</v>
      </c>
      <c r="P4647" s="3">
        <f>E4647*(VLOOKUP(B4647,Price_data!A$1:B$190,2,FALSE))</f>
        <v>2.9276781189500001E-2</v>
      </c>
      <c r="Q4647" s="3">
        <f>G4647*(VLOOKUP(B4647,Price_data!A$1:B$190,2,FALSE))</f>
        <v>0</v>
      </c>
      <c r="R4647" s="3">
        <f>I4647*(VLOOKUP(B4647,Price_data!A$1:B$190,2,FALSE))</f>
        <v>0</v>
      </c>
      <c r="S4647" s="4" t="str">
        <f>(VLOOKUP(B4647,Price_data!A$1:C$190,3,FALSE))</f>
        <v>EEZ</v>
      </c>
      <c r="T4647" s="2" t="str">
        <f>IF(C4647="Total", (VLOOKUP(B4647,Recommended_fish_intake!A$4:D$122,4,FALSE)), "NA")</f>
        <v>NA</v>
      </c>
      <c r="U4647" s="2" t="str">
        <f t="shared" si="404"/>
        <v>NA</v>
      </c>
    </row>
    <row r="4648" spans="1:21" ht="14.25" customHeight="1">
      <c r="A4648" s="2" t="s">
        <v>40</v>
      </c>
      <c r="B4648" s="2">
        <v>2013</v>
      </c>
      <c r="C4648" s="2" t="s">
        <v>28</v>
      </c>
      <c r="D4648" s="2">
        <v>11.664</v>
      </c>
      <c r="E4648" s="2">
        <v>18.709</v>
      </c>
      <c r="P4648" s="3">
        <f>E4648*(VLOOKUP(B4648,Price_data!A$1:B$190,2,FALSE))</f>
        <v>12.738123238938501</v>
      </c>
      <c r="Q4648" s="3">
        <f>G4648*(VLOOKUP(B4648,Price_data!A$1:B$190,2,FALSE))</f>
        <v>0</v>
      </c>
      <c r="R4648" s="3">
        <f>I4648*(VLOOKUP(B4648,Price_data!A$1:B$190,2,FALSE))</f>
        <v>0</v>
      </c>
      <c r="S4648" s="4" t="str">
        <f>(VLOOKUP(B4648,Price_data!A$1:C$190,3,FALSE))</f>
        <v>EEZ</v>
      </c>
      <c r="T4648" s="2" t="str">
        <f>IF(C4648="Total", (VLOOKUP(B4648,Recommended_fish_intake!A$4:D$122,4,FALSE)), "NA")</f>
        <v>NA</v>
      </c>
      <c r="U4648" s="2">
        <f t="shared" si="404"/>
        <v>3.2659200000000004</v>
      </c>
    </row>
    <row r="4649" spans="1:21" ht="14.25" customHeight="1">
      <c r="A4649" s="2" t="s">
        <v>40</v>
      </c>
      <c r="B4649" s="2">
        <v>2013</v>
      </c>
      <c r="C4649" s="2" t="s">
        <v>37</v>
      </c>
      <c r="D4649" s="3">
        <f>D3346+D3361</f>
        <v>0.31</v>
      </c>
      <c r="E4649" s="3">
        <f>E3346+E3361</f>
        <v>3.5219999999999998</v>
      </c>
      <c r="P4649" s="3">
        <f>E4649*(VLOOKUP(B4649,Price_data!A$1:B$190,2,FALSE))</f>
        <v>2.3979726360330003</v>
      </c>
      <c r="Q4649" s="3">
        <f>G4649*(VLOOKUP(B4649,Price_data!A$1:B$190,2,FALSE))</f>
        <v>0</v>
      </c>
      <c r="R4649" s="3">
        <f>I4649*(VLOOKUP(B4649,Price_data!A$1:B$190,2,FALSE))</f>
        <v>0</v>
      </c>
      <c r="S4649" s="4" t="str">
        <f>(VLOOKUP(B4649,Price_data!A$1:C$190,3,FALSE))</f>
        <v>EEZ</v>
      </c>
      <c r="T4649" s="2" t="str">
        <f>IF(C4649="Total", (VLOOKUP(B4649,Recommended_fish_intake!A$4:D$122,4,FALSE)), "NA")</f>
        <v>NA</v>
      </c>
      <c r="U4649" s="2">
        <f t="shared" si="404"/>
        <v>0.15190000000000001</v>
      </c>
    </row>
    <row r="4650" spans="1:21" ht="14.25" customHeight="1">
      <c r="A4650" s="2" t="s">
        <v>39</v>
      </c>
      <c r="B4650" s="2">
        <v>2013</v>
      </c>
      <c r="C4650" s="2" t="s">
        <v>37</v>
      </c>
      <c r="D4650" s="3">
        <f>D3252+D3267</f>
        <v>51.84</v>
      </c>
      <c r="E4650" s="3">
        <f>E3252+E3267</f>
        <v>85.965999999999994</v>
      </c>
      <c r="P4650" s="3">
        <f>E4650*(VLOOKUP(B4650,Price_data!A$1:B$190,2,FALSE))</f>
        <v>58.530413296199001</v>
      </c>
      <c r="Q4650" s="3">
        <f>G4650*(VLOOKUP(B4650,Price_data!A$1:B$190,2,FALSE))</f>
        <v>0</v>
      </c>
      <c r="R4650" s="3">
        <f>I4650*(VLOOKUP(B4650,Price_data!A$1:B$190,2,FALSE))</f>
        <v>0</v>
      </c>
      <c r="S4650" s="4" t="str">
        <f>(VLOOKUP(B4650,Price_data!A$1:C$190,3,FALSE))</f>
        <v>EEZ</v>
      </c>
      <c r="T4650" s="2" t="str">
        <f>IF(C4650="Total", (VLOOKUP(B4650,Recommended_fish_intake!A$4:D$122,4,FALSE)), "NA")</f>
        <v>NA</v>
      </c>
      <c r="U4650" s="2">
        <f t="shared" si="404"/>
        <v>25.401600000000002</v>
      </c>
    </row>
    <row r="4651" spans="1:21" ht="14.25" customHeight="1">
      <c r="A4651" s="2" t="s">
        <v>18</v>
      </c>
      <c r="B4651" s="2">
        <v>2013</v>
      </c>
      <c r="C4651" s="2" t="s">
        <v>22</v>
      </c>
      <c r="D4651" s="3">
        <f t="shared" ref="D4651:E4667" si="405">D3033+D3123</f>
        <v>59.330999999999996</v>
      </c>
      <c r="E4651" s="3">
        <f t="shared" si="405"/>
        <v>23.954000000000001</v>
      </c>
      <c r="P4651" s="3">
        <f>E4651*(VLOOKUP(B4651,Price_data!A$1:B$190,2,FALSE))</f>
        <v>16.309209688681001</v>
      </c>
      <c r="Q4651" s="3">
        <f>G4651*(VLOOKUP(B4651,Price_data!A$1:B$190,2,FALSE))</f>
        <v>0</v>
      </c>
      <c r="R4651" s="3">
        <f>I4651*(VLOOKUP(B4651,Price_data!A$1:B$190,2,FALSE))</f>
        <v>0</v>
      </c>
      <c r="S4651" s="4" t="str">
        <f>(VLOOKUP(B4651,Price_data!A$1:C$190,3,FALSE))</f>
        <v>EEZ</v>
      </c>
      <c r="T4651" s="2" t="str">
        <f>IF(C4651="Total", (VLOOKUP(B4651,Recommended_fish_intake!A$4:D$122,4,FALSE)), "NA")</f>
        <v>NA</v>
      </c>
      <c r="U4651" s="2" t="str">
        <f t="shared" si="404"/>
        <v>NA</v>
      </c>
    </row>
    <row r="4652" spans="1:21" ht="14.25" customHeight="1">
      <c r="A4652" s="2" t="s">
        <v>18</v>
      </c>
      <c r="B4652" s="2">
        <v>2013</v>
      </c>
      <c r="C4652" s="2" t="s">
        <v>23</v>
      </c>
      <c r="D4652" s="3">
        <f t="shared" si="405"/>
        <v>79.3</v>
      </c>
      <c r="E4652" s="3">
        <f t="shared" si="405"/>
        <v>102.8</v>
      </c>
      <c r="P4652" s="3">
        <f>E4652*(VLOOKUP(B4652,Price_data!A$1:B$190,2,FALSE))</f>
        <v>69.991932704200011</v>
      </c>
      <c r="Q4652" s="3">
        <f>G4652*(VLOOKUP(B4652,Price_data!A$1:B$190,2,FALSE))</f>
        <v>0</v>
      </c>
      <c r="R4652" s="3">
        <f>I4652*(VLOOKUP(B4652,Price_data!A$1:B$190,2,FALSE))</f>
        <v>0</v>
      </c>
      <c r="S4652" s="4" t="str">
        <f>(VLOOKUP(B4652,Price_data!A$1:C$190,3,FALSE))</f>
        <v>EEZ</v>
      </c>
      <c r="T4652" s="2" t="str">
        <f>IF(C4652="Total", (VLOOKUP(B4652,Recommended_fish_intake!A$4:D$122,4,FALSE)), "NA")</f>
        <v>NA</v>
      </c>
      <c r="U4652" s="2" t="str">
        <f t="shared" si="404"/>
        <v>NA</v>
      </c>
    </row>
    <row r="4653" spans="1:21" ht="14.25" customHeight="1">
      <c r="A4653" s="2" t="s">
        <v>18</v>
      </c>
      <c r="B4653" s="2">
        <v>2013</v>
      </c>
      <c r="C4653" s="2" t="s">
        <v>53</v>
      </c>
      <c r="D4653" s="3">
        <f t="shared" si="405"/>
        <v>12.7</v>
      </c>
      <c r="E4653" s="3">
        <f t="shared" si="405"/>
        <v>13.5</v>
      </c>
      <c r="P4653" s="3">
        <f>E4653*(VLOOKUP(B4653,Price_data!A$1:B$190,2,FALSE))</f>
        <v>9.1915475827500011</v>
      </c>
      <c r="Q4653" s="3">
        <f>G4653*(VLOOKUP(B4653,Price_data!A$1:B$190,2,FALSE))</f>
        <v>0</v>
      </c>
      <c r="R4653" s="3">
        <f>I4653*(VLOOKUP(B4653,Price_data!A$1:B$190,2,FALSE))</f>
        <v>0</v>
      </c>
      <c r="S4653" s="4" t="str">
        <f>(VLOOKUP(B4653,Price_data!A$1:C$190,3,FALSE))</f>
        <v>EEZ</v>
      </c>
      <c r="T4653" s="2" t="str">
        <f>IF(C4653="Total", (VLOOKUP(B4653,Recommended_fish_intake!A$4:D$122,4,FALSE)), "NA")</f>
        <v>NA</v>
      </c>
      <c r="U4653" s="2" t="str">
        <f t="shared" si="404"/>
        <v>NA</v>
      </c>
    </row>
    <row r="4654" spans="1:21" ht="14.25" customHeight="1">
      <c r="A4654" s="2" t="s">
        <v>18</v>
      </c>
      <c r="B4654" s="2">
        <v>2013</v>
      </c>
      <c r="C4654" s="2" t="s">
        <v>58</v>
      </c>
      <c r="D4654" s="3" t="e">
        <f t="shared" si="405"/>
        <v>#N/A</v>
      </c>
      <c r="E4654" s="3" t="e">
        <f t="shared" si="405"/>
        <v>#N/A</v>
      </c>
      <c r="P4654" s="3" t="e">
        <f>E4654*(VLOOKUP(B4654,Price_data!A$1:B$190,2,FALSE))</f>
        <v>#N/A</v>
      </c>
      <c r="Q4654" s="3">
        <f>G4654*(VLOOKUP(B4654,Price_data!A$1:B$190,2,FALSE))</f>
        <v>0</v>
      </c>
      <c r="R4654" s="3">
        <f>I4654*(VLOOKUP(B4654,Price_data!A$1:B$190,2,FALSE))</f>
        <v>0</v>
      </c>
      <c r="S4654" s="4" t="str">
        <f>(VLOOKUP(B4654,Price_data!A$1:C$190,3,FALSE))</f>
        <v>EEZ</v>
      </c>
      <c r="T4654" s="2" t="str">
        <f>IF(C4654="Total", (VLOOKUP(B4654,Recommended_fish_intake!A$4:D$122,4,FALSE)), "NA")</f>
        <v>NA</v>
      </c>
      <c r="U4654" s="2" t="str">
        <f t="shared" si="404"/>
        <v>NA</v>
      </c>
    </row>
    <row r="4655" spans="1:21" ht="14.25" customHeight="1">
      <c r="A4655" s="2" t="s">
        <v>18</v>
      </c>
      <c r="B4655" s="2">
        <v>2013</v>
      </c>
      <c r="C4655" s="2" t="s">
        <v>38</v>
      </c>
      <c r="D4655" s="3" t="e">
        <f t="shared" si="405"/>
        <v>#N/A</v>
      </c>
      <c r="E4655" s="3" t="e">
        <f t="shared" si="405"/>
        <v>#N/A</v>
      </c>
      <c r="P4655" s="3" t="e">
        <f>E4655*(VLOOKUP(B4655,Price_data!A$1:B$190,2,FALSE))</f>
        <v>#N/A</v>
      </c>
      <c r="Q4655" s="3">
        <f>G4655*(VLOOKUP(B4655,Price_data!A$1:B$190,2,FALSE))</f>
        <v>0</v>
      </c>
      <c r="R4655" s="3">
        <f>I4655*(VLOOKUP(B4655,Price_data!A$1:B$190,2,FALSE))</f>
        <v>0</v>
      </c>
      <c r="S4655" s="4" t="str">
        <f>(VLOOKUP(B4655,Price_data!A$1:C$190,3,FALSE))</f>
        <v>EEZ</v>
      </c>
      <c r="T4655" s="2" t="str">
        <f>IF(C4655="Total", (VLOOKUP(B4655,Recommended_fish_intake!A$4:D$122,4,FALSE)), "NA")</f>
        <v>NA</v>
      </c>
      <c r="U4655" s="2" t="str">
        <f t="shared" si="404"/>
        <v>NA</v>
      </c>
    </row>
    <row r="4656" spans="1:21" ht="14.25" customHeight="1">
      <c r="A4656" s="2" t="s">
        <v>18</v>
      </c>
      <c r="B4656" s="2">
        <v>2013</v>
      </c>
      <c r="C4656" s="2" t="s">
        <v>63</v>
      </c>
      <c r="D4656" s="3">
        <f t="shared" si="405"/>
        <v>35.1</v>
      </c>
      <c r="E4656" s="3">
        <f t="shared" si="405"/>
        <v>45.2</v>
      </c>
      <c r="P4656" s="3">
        <f>E4656*(VLOOKUP(B4656,Price_data!A$1:B$190,2,FALSE))</f>
        <v>30.774663017800005</v>
      </c>
      <c r="Q4656" s="3">
        <f>G4656*(VLOOKUP(B4656,Price_data!A$1:B$190,2,FALSE))</f>
        <v>0</v>
      </c>
      <c r="R4656" s="3">
        <f>I4656*(VLOOKUP(B4656,Price_data!A$1:B$190,2,FALSE))</f>
        <v>0</v>
      </c>
      <c r="S4656" s="4" t="str">
        <f>(VLOOKUP(B4656,Price_data!A$1:C$190,3,FALSE))</f>
        <v>EEZ</v>
      </c>
      <c r="T4656" s="2" t="str">
        <f>IF(C4656="Total", (VLOOKUP(B4656,Recommended_fish_intake!A$4:D$122,4,FALSE)), "NA")</f>
        <v>NA</v>
      </c>
      <c r="U4656" s="2" t="str">
        <f t="shared" si="404"/>
        <v>NA</v>
      </c>
    </row>
    <row r="4657" spans="1:21" ht="14.25" customHeight="1">
      <c r="A4657" s="2" t="s">
        <v>18</v>
      </c>
      <c r="B4657" s="2">
        <v>2013</v>
      </c>
      <c r="C4657" s="2" t="s">
        <v>24</v>
      </c>
      <c r="D4657" s="3">
        <f t="shared" si="405"/>
        <v>4.3</v>
      </c>
      <c r="E4657" s="3">
        <f t="shared" si="405"/>
        <v>11.399999999999999</v>
      </c>
      <c r="P4657" s="3">
        <f>E4657*(VLOOKUP(B4657,Price_data!A$1:B$190,2,FALSE))</f>
        <v>7.7617512920999996</v>
      </c>
      <c r="Q4657" s="3">
        <f>G4657*(VLOOKUP(B4657,Price_data!A$1:B$190,2,FALSE))</f>
        <v>0</v>
      </c>
      <c r="R4657" s="3">
        <f>I4657*(VLOOKUP(B4657,Price_data!A$1:B$190,2,FALSE))</f>
        <v>0</v>
      </c>
      <c r="S4657" s="4" t="str">
        <f>(VLOOKUP(B4657,Price_data!A$1:C$190,3,FALSE))</f>
        <v>EEZ</v>
      </c>
      <c r="T4657" s="2" t="str">
        <f>IF(C4657="Total", (VLOOKUP(B4657,Recommended_fish_intake!A$4:D$122,4,FALSE)), "NA")</f>
        <v>NA</v>
      </c>
      <c r="U4657" s="2" t="str">
        <f t="shared" si="404"/>
        <v>NA</v>
      </c>
    </row>
    <row r="4658" spans="1:21" ht="14.25" customHeight="1">
      <c r="A4658" s="2" t="s">
        <v>18</v>
      </c>
      <c r="B4658" s="2">
        <v>2013</v>
      </c>
      <c r="C4658" s="2" t="s">
        <v>41</v>
      </c>
      <c r="D4658" s="3">
        <f t="shared" si="405"/>
        <v>5.6</v>
      </c>
      <c r="E4658" s="3">
        <f t="shared" si="405"/>
        <v>11</v>
      </c>
      <c r="P4658" s="3">
        <f>E4658*(VLOOKUP(B4658,Price_data!A$1:B$190,2,FALSE))</f>
        <v>7.4894091415000004</v>
      </c>
      <c r="Q4658" s="3">
        <f>G4658*(VLOOKUP(B4658,Price_data!A$1:B$190,2,FALSE))</f>
        <v>0</v>
      </c>
      <c r="R4658" s="3">
        <f>I4658*(VLOOKUP(B4658,Price_data!A$1:B$190,2,FALSE))</f>
        <v>0</v>
      </c>
      <c r="S4658" s="4" t="str">
        <f>(VLOOKUP(B4658,Price_data!A$1:C$190,3,FALSE))</f>
        <v>EEZ</v>
      </c>
      <c r="T4658" s="2" t="str">
        <f>IF(C4658="Total", (VLOOKUP(B4658,Recommended_fish_intake!A$4:D$122,4,FALSE)), "NA")</f>
        <v>NA</v>
      </c>
      <c r="U4658" s="2" t="str">
        <f t="shared" si="404"/>
        <v>NA</v>
      </c>
    </row>
    <row r="4659" spans="1:21" ht="14.25" customHeight="1">
      <c r="A4659" s="2" t="s">
        <v>18</v>
      </c>
      <c r="B4659" s="2">
        <v>2013</v>
      </c>
      <c r="C4659" s="2" t="s">
        <v>19</v>
      </c>
      <c r="D4659" s="3">
        <f t="shared" si="405"/>
        <v>14.700000000000001</v>
      </c>
      <c r="E4659" s="3">
        <f t="shared" si="405"/>
        <v>16.2</v>
      </c>
      <c r="P4659" s="3">
        <f>E4659*(VLOOKUP(B4659,Price_data!A$1:B$190,2,FALSE))</f>
        <v>11.029857099300001</v>
      </c>
      <c r="Q4659" s="3">
        <f>G4659*(VLOOKUP(B4659,Price_data!A$1:B$190,2,FALSE))</f>
        <v>0</v>
      </c>
      <c r="R4659" s="3">
        <f>I4659*(VLOOKUP(B4659,Price_data!A$1:B$190,2,FALSE))</f>
        <v>0</v>
      </c>
      <c r="S4659" s="4" t="str">
        <f>(VLOOKUP(B4659,Price_data!A$1:C$190,3,FALSE))</f>
        <v>EEZ</v>
      </c>
      <c r="T4659" s="2" t="str">
        <f>IF(C4659="Total", (VLOOKUP(B4659,Recommended_fish_intake!A$4:D$122,4,FALSE)), "NA")</f>
        <v>NA</v>
      </c>
      <c r="U4659" s="2" t="str">
        <f t="shared" si="404"/>
        <v>NA</v>
      </c>
    </row>
    <row r="4660" spans="1:21" ht="14.25" customHeight="1">
      <c r="A4660" s="2" t="s">
        <v>18</v>
      </c>
      <c r="B4660" s="2">
        <v>2013</v>
      </c>
      <c r="C4660" s="2" t="s">
        <v>20</v>
      </c>
      <c r="D4660" s="3">
        <f t="shared" si="405"/>
        <v>60.8</v>
      </c>
      <c r="E4660" s="3">
        <f t="shared" si="405"/>
        <v>97.2</v>
      </c>
      <c r="P4660" s="3">
        <f>E4660*(VLOOKUP(B4660,Price_data!A$1:B$190,2,FALSE))</f>
        <v>66.179142595800002</v>
      </c>
      <c r="Q4660" s="3">
        <f>G4660*(VLOOKUP(B4660,Price_data!A$1:B$190,2,FALSE))</f>
        <v>0</v>
      </c>
      <c r="R4660" s="3">
        <f>I4660*(VLOOKUP(B4660,Price_data!A$1:B$190,2,FALSE))</f>
        <v>0</v>
      </c>
      <c r="S4660" s="4" t="str">
        <f>(VLOOKUP(B4660,Price_data!A$1:C$190,3,FALSE))</f>
        <v>EEZ</v>
      </c>
      <c r="T4660" s="2" t="str">
        <f>IF(C4660="Total", (VLOOKUP(B4660,Recommended_fish_intake!A$4:D$122,4,FALSE)), "NA")</f>
        <v>NA</v>
      </c>
      <c r="U4660" s="2" t="str">
        <f t="shared" si="404"/>
        <v>NA</v>
      </c>
    </row>
    <row r="4661" spans="1:21" ht="14.25" customHeight="1">
      <c r="A4661" s="2" t="s">
        <v>18</v>
      </c>
      <c r="B4661" s="2">
        <v>2013</v>
      </c>
      <c r="C4661" s="2" t="s">
        <v>42</v>
      </c>
      <c r="D4661" s="3">
        <f t="shared" si="405"/>
        <v>63</v>
      </c>
      <c r="E4661" s="3">
        <f t="shared" si="405"/>
        <v>64.900000000000006</v>
      </c>
      <c r="P4661" s="3">
        <f>E4661*(VLOOKUP(B4661,Price_data!A$1:B$190,2,FALSE))</f>
        <v>44.18751393485001</v>
      </c>
      <c r="Q4661" s="3">
        <f>G4661*(VLOOKUP(B4661,Price_data!A$1:B$190,2,FALSE))</f>
        <v>0</v>
      </c>
      <c r="R4661" s="3">
        <f>I4661*(VLOOKUP(B4661,Price_data!A$1:B$190,2,FALSE))</f>
        <v>0</v>
      </c>
      <c r="S4661" s="4" t="str">
        <f>(VLOOKUP(B4661,Price_data!A$1:C$190,3,FALSE))</f>
        <v>EEZ</v>
      </c>
      <c r="T4661" s="2" t="str">
        <f>IF(C4661="Total", (VLOOKUP(B4661,Recommended_fish_intake!A$4:D$122,4,FALSE)), "NA")</f>
        <v>NA</v>
      </c>
      <c r="U4661" s="2" t="str">
        <f t="shared" si="404"/>
        <v>NA</v>
      </c>
    </row>
    <row r="4662" spans="1:21" ht="14.25" customHeight="1">
      <c r="A4662" s="2" t="s">
        <v>18</v>
      </c>
      <c r="B4662" s="2">
        <v>2013</v>
      </c>
      <c r="C4662" s="2" t="s">
        <v>36</v>
      </c>
      <c r="D4662" s="3">
        <f t="shared" si="405"/>
        <v>7.5</v>
      </c>
      <c r="E4662" s="3">
        <f t="shared" si="405"/>
        <v>2.5</v>
      </c>
      <c r="P4662" s="3">
        <f>E4662*(VLOOKUP(B4662,Price_data!A$1:B$190,2,FALSE))</f>
        <v>1.7021384412500002</v>
      </c>
      <c r="Q4662" s="3">
        <f>G4662*(VLOOKUP(B4662,Price_data!A$1:B$190,2,FALSE))</f>
        <v>0</v>
      </c>
      <c r="R4662" s="3">
        <f>I4662*(VLOOKUP(B4662,Price_data!A$1:B$190,2,FALSE))</f>
        <v>0</v>
      </c>
      <c r="S4662" s="4" t="str">
        <f>(VLOOKUP(B4662,Price_data!A$1:C$190,3,FALSE))</f>
        <v>EEZ</v>
      </c>
      <c r="T4662" s="2" t="str">
        <f>IF(C4662="Total", (VLOOKUP(B4662,Recommended_fish_intake!A$4:D$122,4,FALSE)), "NA")</f>
        <v>NA</v>
      </c>
      <c r="U4662" s="2" t="str">
        <f t="shared" si="404"/>
        <v>NA</v>
      </c>
    </row>
    <row r="4663" spans="1:21" ht="14.25" customHeight="1">
      <c r="A4663" s="2" t="s">
        <v>18</v>
      </c>
      <c r="B4663" s="2">
        <v>2013</v>
      </c>
      <c r="C4663" s="2" t="s">
        <v>34</v>
      </c>
      <c r="D4663" s="3">
        <f t="shared" si="405"/>
        <v>17.5</v>
      </c>
      <c r="E4663" s="3">
        <f t="shared" si="405"/>
        <v>4.4000000000000004</v>
      </c>
      <c r="P4663" s="3">
        <f>E4663*(VLOOKUP(B4663,Price_data!A$1:B$190,2,FALSE))</f>
        <v>2.9957636566000003</v>
      </c>
      <c r="Q4663" s="3">
        <f>G4663*(VLOOKUP(B4663,Price_data!A$1:B$190,2,FALSE))</f>
        <v>0</v>
      </c>
      <c r="R4663" s="3">
        <f>I4663*(VLOOKUP(B4663,Price_data!A$1:B$190,2,FALSE))</f>
        <v>0</v>
      </c>
      <c r="S4663" s="4" t="str">
        <f>(VLOOKUP(B4663,Price_data!A$1:C$190,3,FALSE))</f>
        <v>EEZ</v>
      </c>
      <c r="T4663" s="2" t="str">
        <f>IF(C4663="Total", (VLOOKUP(B4663,Recommended_fish_intake!A$4:D$122,4,FALSE)), "NA")</f>
        <v>NA</v>
      </c>
      <c r="U4663" s="2" t="str">
        <f t="shared" si="404"/>
        <v>NA</v>
      </c>
    </row>
    <row r="4664" spans="1:21" ht="14.25" customHeight="1">
      <c r="A4664" s="2" t="s">
        <v>18</v>
      </c>
      <c r="B4664" s="2">
        <v>2013</v>
      </c>
      <c r="C4664" s="2" t="s">
        <v>35</v>
      </c>
      <c r="D4664" s="3">
        <f t="shared" si="405"/>
        <v>13.1</v>
      </c>
      <c r="E4664" s="3">
        <f t="shared" si="405"/>
        <v>15.7</v>
      </c>
      <c r="P4664" s="3">
        <f>E4664*(VLOOKUP(B4664,Price_data!A$1:B$190,2,FALSE))</f>
        <v>10.68942941105</v>
      </c>
      <c r="Q4664" s="3">
        <f>G4664*(VLOOKUP(B4664,Price_data!A$1:B$190,2,FALSE))</f>
        <v>0</v>
      </c>
      <c r="R4664" s="3">
        <f>I4664*(VLOOKUP(B4664,Price_data!A$1:B$190,2,FALSE))</f>
        <v>0</v>
      </c>
      <c r="S4664" s="4" t="str">
        <f>(VLOOKUP(B4664,Price_data!A$1:C$190,3,FALSE))</f>
        <v>EEZ</v>
      </c>
      <c r="T4664" s="2" t="str">
        <f>IF(C4664="Total", (VLOOKUP(B4664,Recommended_fish_intake!A$4:D$122,4,FALSE)), "NA")</f>
        <v>NA</v>
      </c>
      <c r="U4664" s="2" t="str">
        <f t="shared" si="404"/>
        <v>NA</v>
      </c>
    </row>
    <row r="4665" spans="1:21" ht="14.25" customHeight="1">
      <c r="A4665" s="2" t="s">
        <v>18</v>
      </c>
      <c r="B4665" s="2">
        <v>2013</v>
      </c>
      <c r="C4665" s="2" t="s">
        <v>52</v>
      </c>
      <c r="D4665" s="3">
        <f t="shared" si="405"/>
        <v>1.3</v>
      </c>
      <c r="E4665" s="3">
        <f t="shared" si="405"/>
        <v>9.1999999999999993</v>
      </c>
      <c r="P4665" s="3">
        <f>E4665*(VLOOKUP(B4665,Price_data!A$1:B$190,2,FALSE))</f>
        <v>6.2638694637999999</v>
      </c>
      <c r="Q4665" s="3">
        <f>G4665*(VLOOKUP(B4665,Price_data!A$1:B$190,2,FALSE))</f>
        <v>0</v>
      </c>
      <c r="R4665" s="3">
        <f>I4665*(VLOOKUP(B4665,Price_data!A$1:B$190,2,FALSE))</f>
        <v>0</v>
      </c>
      <c r="S4665" s="4" t="str">
        <f>(VLOOKUP(B4665,Price_data!A$1:C$190,3,FALSE))</f>
        <v>EEZ</v>
      </c>
      <c r="T4665" s="2" t="str">
        <f>IF(C4665="Total", (VLOOKUP(B4665,Recommended_fish_intake!A$4:D$122,4,FALSE)), "NA")</f>
        <v>NA</v>
      </c>
      <c r="U4665" s="2" t="str">
        <f t="shared" si="404"/>
        <v>NA</v>
      </c>
    </row>
    <row r="4666" spans="1:21" ht="14.25" customHeight="1">
      <c r="A4666" s="2" t="s">
        <v>18</v>
      </c>
      <c r="B4666" s="2">
        <v>2013</v>
      </c>
      <c r="C4666" s="2" t="s">
        <v>30</v>
      </c>
      <c r="D4666" s="3">
        <f t="shared" si="405"/>
        <v>3</v>
      </c>
      <c r="E4666" s="3">
        <f t="shared" si="405"/>
        <v>6.3</v>
      </c>
      <c r="P4666" s="3">
        <f>E4666*(VLOOKUP(B4666,Price_data!A$1:B$190,2,FALSE))</f>
        <v>4.28938887195</v>
      </c>
      <c r="Q4666" s="3">
        <f>G4666*(VLOOKUP(B4666,Price_data!A$1:B$190,2,FALSE))</f>
        <v>0</v>
      </c>
      <c r="R4666" s="3">
        <f>I4666*(VLOOKUP(B4666,Price_data!A$1:B$190,2,FALSE))</f>
        <v>0</v>
      </c>
      <c r="S4666" s="4" t="str">
        <f>(VLOOKUP(B4666,Price_data!A$1:C$190,3,FALSE))</f>
        <v>EEZ</v>
      </c>
      <c r="T4666" s="2" t="str">
        <f>IF(C4666="Total", (VLOOKUP(B4666,Recommended_fish_intake!A$4:D$122,4,FALSE)), "NA")</f>
        <v>NA</v>
      </c>
      <c r="U4666" s="2" t="str">
        <f t="shared" si="404"/>
        <v>NA</v>
      </c>
    </row>
    <row r="4667" spans="1:21" ht="14.25" customHeight="1">
      <c r="A4667" s="2" t="s">
        <v>18</v>
      </c>
      <c r="B4667" s="2">
        <v>2013</v>
      </c>
      <c r="C4667" s="2" t="s">
        <v>28</v>
      </c>
      <c r="D4667" s="3">
        <f t="shared" si="405"/>
        <v>11</v>
      </c>
      <c r="E4667" s="3">
        <f t="shared" si="405"/>
        <v>14.5</v>
      </c>
      <c r="P4667" s="3">
        <f>E4667*(VLOOKUP(B4667,Price_data!A$1:B$190,2,FALSE))</f>
        <v>9.8724029592500013</v>
      </c>
      <c r="Q4667" s="3">
        <f>G4667*(VLOOKUP(B4667,Price_data!A$1:B$190,2,FALSE))</f>
        <v>0</v>
      </c>
      <c r="R4667" s="3">
        <f>I4667*(VLOOKUP(B4667,Price_data!A$1:B$190,2,FALSE))</f>
        <v>0</v>
      </c>
      <c r="S4667" s="4" t="str">
        <f>(VLOOKUP(B4667,Price_data!A$1:C$190,3,FALSE))</f>
        <v>EEZ</v>
      </c>
      <c r="T4667" s="2" t="str">
        <f>IF(C4667="Total", (VLOOKUP(B4667,Recommended_fish_intake!A$4:D$122,4,FALSE)), "NA")</f>
        <v>NA</v>
      </c>
      <c r="U4667" s="2">
        <f t="shared" si="404"/>
        <v>3.08</v>
      </c>
    </row>
    <row r="4668" spans="1:21" ht="14.25" customHeight="1">
      <c r="A4668" s="2" t="s">
        <v>18</v>
      </c>
      <c r="B4668" s="2">
        <v>2013</v>
      </c>
      <c r="C4668" s="2" t="s">
        <v>37</v>
      </c>
      <c r="D4668" s="3">
        <f>D4613+D4628</f>
        <v>17.893999999999998</v>
      </c>
      <c r="E4668" s="3">
        <f>E4613+E4628</f>
        <v>61.673999999999999</v>
      </c>
      <c r="P4668" s="3">
        <f>E4668*(VLOOKUP(B4668,Price_data!A$1:B$190,2,FALSE))</f>
        <v>41.991074490261006</v>
      </c>
      <c r="Q4668" s="3">
        <f>G4668*(VLOOKUP(B4668,Price_data!A$1:B$190,2,FALSE))</f>
        <v>0</v>
      </c>
      <c r="R4668" s="3">
        <f>I4668*(VLOOKUP(B4668,Price_data!A$1:B$190,2,FALSE))</f>
        <v>0</v>
      </c>
      <c r="S4668" s="4" t="str">
        <f>(VLOOKUP(B4668,Price_data!A$1:C$190,3,FALSE))</f>
        <v>EEZ</v>
      </c>
      <c r="T4668" s="2" t="str">
        <f>IF(C4668="Total", (VLOOKUP(B4668,Recommended_fish_intake!A$4:D$122,4,FALSE)), "NA")</f>
        <v>NA</v>
      </c>
      <c r="U4668" s="2">
        <f t="shared" si="404"/>
        <v>8.7680599999999984</v>
      </c>
    </row>
    <row r="4669" spans="1:21" ht="14.25" customHeight="1">
      <c r="A4669" s="2" t="s">
        <v>15</v>
      </c>
      <c r="B4669" s="2">
        <v>2013</v>
      </c>
      <c r="C4669" s="2" t="s">
        <v>60</v>
      </c>
      <c r="D4669" s="2">
        <v>1.6</v>
      </c>
      <c r="E4669" s="2">
        <v>3.4</v>
      </c>
      <c r="F4669" s="2">
        <v>3.9</v>
      </c>
      <c r="G4669" s="2">
        <v>11.8</v>
      </c>
      <c r="H4669" s="2">
        <v>39</v>
      </c>
      <c r="I4669" s="2">
        <v>74.400000000000006</v>
      </c>
      <c r="P4669" s="3">
        <f>E4669*(VLOOKUP(B4669,Price_data!A$1:B$190,2,FALSE))</f>
        <v>2.3149082801</v>
      </c>
      <c r="Q4669" s="3">
        <f>G4669*(VLOOKUP(B4669,Price_data!A$1:B$190,2,FALSE))</f>
        <v>8.0340934427000015</v>
      </c>
      <c r="R4669" s="3">
        <f>I4669*(VLOOKUP(B4669,Price_data!A$1:B$190,2,FALSE))</f>
        <v>50.655640011600006</v>
      </c>
      <c r="S4669" s="4" t="str">
        <f>(VLOOKUP(B4669,Price_data!A$1:C$190,3,FALSE))</f>
        <v>EEZ</v>
      </c>
      <c r="T4669" s="2" t="str">
        <f>IF(C4669="Total", (VLOOKUP(B4669,Recommended_fish_intake!A$4:D$122,4,FALSE)), "NA")</f>
        <v>NA</v>
      </c>
      <c r="U4669" s="2" t="str">
        <f t="shared" si="404"/>
        <v>NA</v>
      </c>
    </row>
    <row r="4670" spans="1:21" ht="14.25" customHeight="1">
      <c r="A4670" s="2" t="s">
        <v>15</v>
      </c>
      <c r="B4670" s="2">
        <v>2013</v>
      </c>
      <c r="C4670" s="2" t="s">
        <v>29</v>
      </c>
      <c r="D4670" s="2" t="s">
        <v>17</v>
      </c>
      <c r="E4670" s="2" t="s">
        <v>17</v>
      </c>
      <c r="F4670" s="2">
        <v>112.1</v>
      </c>
      <c r="G4670" s="2">
        <v>578.70000000000005</v>
      </c>
      <c r="H4670" s="2">
        <v>74.5</v>
      </c>
      <c r="I4670" s="2">
        <v>379</v>
      </c>
      <c r="P4670" s="3" t="e">
        <f>E4670*(VLOOKUP(B4670,Price_data!A$1:B$190,2,FALSE))</f>
        <v>#VALUE!</v>
      </c>
      <c r="Q4670" s="3">
        <f>G4670*(VLOOKUP(B4670,Price_data!A$1:B$190,2,FALSE))</f>
        <v>394.01100638055004</v>
      </c>
      <c r="R4670" s="3">
        <f>I4670*(VLOOKUP(B4670,Price_data!A$1:B$190,2,FALSE))</f>
        <v>258.04418769350002</v>
      </c>
      <c r="S4670" s="4" t="str">
        <f>(VLOOKUP(B4670,Price_data!A$1:C$190,3,FALSE))</f>
        <v>EEZ</v>
      </c>
      <c r="T4670" s="2" t="str">
        <f>IF(C4670="Total", (VLOOKUP(B4670,Recommended_fish_intake!A$4:D$122,4,FALSE)), "NA")</f>
        <v>NA</v>
      </c>
      <c r="U4670" s="2" t="str">
        <f t="shared" si="404"/>
        <v>NA</v>
      </c>
    </row>
    <row r="4671" spans="1:21" ht="14.25" customHeight="1">
      <c r="A4671" s="2" t="s">
        <v>15</v>
      </c>
      <c r="B4671" s="2">
        <v>2013</v>
      </c>
      <c r="C4671" s="2" t="s">
        <v>93</v>
      </c>
      <c r="D4671" s="2">
        <v>3.7</v>
      </c>
      <c r="E4671" s="2">
        <v>1</v>
      </c>
      <c r="F4671" s="2">
        <v>4.5</v>
      </c>
      <c r="G4671" s="2">
        <v>8.8000000000000007</v>
      </c>
      <c r="H4671" s="2">
        <v>12.9</v>
      </c>
      <c r="I4671" s="2">
        <v>36.299999999999997</v>
      </c>
      <c r="P4671" s="3">
        <f>E4671*(VLOOKUP(B4671,Price_data!A$1:B$190,2,FALSE))</f>
        <v>0.68085537650000005</v>
      </c>
      <c r="Q4671" s="3">
        <f>G4671*(VLOOKUP(B4671,Price_data!A$1:B$190,2,FALSE))</f>
        <v>5.9915273132000006</v>
      </c>
      <c r="R4671" s="3">
        <f>I4671*(VLOOKUP(B4671,Price_data!A$1:B$190,2,FALSE))</f>
        <v>24.71505016695</v>
      </c>
      <c r="S4671" s="4" t="str">
        <f>(VLOOKUP(B4671,Price_data!A$1:C$190,3,FALSE))</f>
        <v>EEZ</v>
      </c>
      <c r="T4671" s="2" t="str">
        <f>IF(C4671="Total", (VLOOKUP(B4671,Recommended_fish_intake!A$4:D$122,4,FALSE)), "NA")</f>
        <v>NA</v>
      </c>
      <c r="U4671" s="2" t="str">
        <f t="shared" si="404"/>
        <v>NA</v>
      </c>
    </row>
    <row r="4672" spans="1:21" ht="14.25" customHeight="1">
      <c r="A4672" s="2" t="s">
        <v>15</v>
      </c>
      <c r="B4672" s="2">
        <v>2013</v>
      </c>
      <c r="C4672" s="2" t="s">
        <v>43</v>
      </c>
      <c r="D4672" s="2" t="s">
        <v>17</v>
      </c>
      <c r="E4672" s="2" t="s">
        <v>17</v>
      </c>
      <c r="F4672" s="2">
        <v>5.4</v>
      </c>
      <c r="G4672" s="2">
        <v>17.899999999999999</v>
      </c>
      <c r="H4672" s="2">
        <v>97</v>
      </c>
      <c r="I4672" s="2">
        <v>350.9</v>
      </c>
      <c r="P4672" s="3" t="e">
        <f>E4672*(VLOOKUP(B4672,Price_data!A$1:B$190,2,FALSE))</f>
        <v>#VALUE!</v>
      </c>
      <c r="Q4672" s="3">
        <f>G4672*(VLOOKUP(B4672,Price_data!A$1:B$190,2,FALSE))</f>
        <v>12.18731123935</v>
      </c>
      <c r="R4672" s="3">
        <f>I4672*(VLOOKUP(B4672,Price_data!A$1:B$190,2,FALSE))</f>
        <v>238.91215161385</v>
      </c>
      <c r="S4672" s="4" t="str">
        <f>(VLOOKUP(B4672,Price_data!A$1:C$190,3,FALSE))</f>
        <v>EEZ</v>
      </c>
      <c r="T4672" s="2" t="str">
        <f>IF(C4672="Total", (VLOOKUP(B4672,Recommended_fish_intake!A$4:D$122,4,FALSE)), "NA")</f>
        <v>NA</v>
      </c>
      <c r="U4672" s="2" t="str">
        <f t="shared" si="404"/>
        <v>NA</v>
      </c>
    </row>
    <row r="4673" spans="1:21" ht="14.25" customHeight="1">
      <c r="A4673" s="2" t="s">
        <v>15</v>
      </c>
      <c r="B4673" s="2">
        <v>2013</v>
      </c>
      <c r="C4673" s="2" t="s">
        <v>25</v>
      </c>
      <c r="D4673" s="2">
        <v>4.0999999999999996</v>
      </c>
      <c r="E4673" s="2">
        <v>4</v>
      </c>
      <c r="F4673" s="4">
        <v>0.5</v>
      </c>
      <c r="G4673" s="4">
        <v>0.6</v>
      </c>
      <c r="H4673" s="4">
        <v>4.5999999999999996</v>
      </c>
      <c r="I4673" s="4">
        <v>13.6</v>
      </c>
      <c r="P4673" s="3">
        <f>E4673*(VLOOKUP(B4673,Price_data!A$1:B$190,2,FALSE))</f>
        <v>2.7234215060000002</v>
      </c>
      <c r="Q4673" s="3">
        <f>G4673*(VLOOKUP(B4673,Price_data!A$1:B$190,2,FALSE))</f>
        <v>0.4085132259</v>
      </c>
      <c r="R4673" s="3">
        <f>I4673*(VLOOKUP(B4673,Price_data!A$1:B$190,2,FALSE))</f>
        <v>9.2596331204000002</v>
      </c>
      <c r="S4673" s="4" t="str">
        <f>(VLOOKUP(B4673,Price_data!A$1:C$190,3,FALSE))</f>
        <v>EEZ</v>
      </c>
      <c r="T4673" s="2" t="str">
        <f>IF(C4673="Total", (VLOOKUP(B4673,Recommended_fish_intake!A$4:D$122,4,FALSE)), "NA")</f>
        <v>NA</v>
      </c>
      <c r="U4673" s="2" t="str">
        <f t="shared" si="404"/>
        <v>NA</v>
      </c>
    </row>
    <row r="4674" spans="1:21" ht="14.25" customHeight="1">
      <c r="A4674" s="2" t="s">
        <v>15</v>
      </c>
      <c r="B4674" s="2">
        <v>2013</v>
      </c>
      <c r="C4674" s="2" t="s">
        <v>16</v>
      </c>
      <c r="D4674" s="2">
        <v>405.4</v>
      </c>
      <c r="E4674" s="2">
        <v>549</v>
      </c>
      <c r="F4674" s="2">
        <v>452.1</v>
      </c>
      <c r="G4674" s="2">
        <v>1460.3</v>
      </c>
      <c r="H4674" s="2">
        <v>739.4</v>
      </c>
      <c r="I4674" s="2">
        <v>2757</v>
      </c>
      <c r="P4674" s="3">
        <f>E4674*(VLOOKUP(B4674,Price_data!A$1:B$190,2,FALSE))</f>
        <v>373.78960169850001</v>
      </c>
      <c r="Q4674" s="3">
        <f>G4674*(VLOOKUP(B4674,Price_data!A$1:B$190,2,FALSE))</f>
        <v>994.25310630295007</v>
      </c>
      <c r="R4674" s="3">
        <f>I4674*(VLOOKUP(B4674,Price_data!A$1:B$190,2,FALSE))</f>
        <v>1877.1182730105002</v>
      </c>
      <c r="S4674" s="4" t="str">
        <f>(VLOOKUP(B4674,Price_data!A$1:C$190,3,FALSE))</f>
        <v>EEZ</v>
      </c>
      <c r="T4674" s="2">
        <f>IF(C4674="Total", (VLOOKUP(B4674,Recommended_fish_intake!A$4:D$122,4,FALSE)), "NA")</f>
        <v>853.40222428187997</v>
      </c>
      <c r="U4674" s="2" t="str">
        <f t="shared" ref="U4674:U4737" si="406">IF(C4674="Wet fish", D4674*0.49, IF(C4674="Shellfish", D4674*0.28, "NA"))</f>
        <v>NA</v>
      </c>
    </row>
    <row r="4675" spans="1:21" ht="14.25" customHeight="1">
      <c r="A4675" s="2" t="s">
        <v>90</v>
      </c>
      <c r="B4675" s="2">
        <v>2013</v>
      </c>
      <c r="C4675" s="2" t="s">
        <v>16</v>
      </c>
      <c r="D4675" s="2">
        <v>101.4</v>
      </c>
      <c r="E4675" s="2">
        <v>157.9</v>
      </c>
      <c r="P4675" s="3">
        <f>E4675*(VLOOKUP(B4675,Price_data!A$1:B$190,2,FALSE))</f>
        <v>107.50706394935001</v>
      </c>
      <c r="Q4675" s="3">
        <f>G4675*(VLOOKUP(B4675,Price_data!A$1:B$190,2,FALSE))</f>
        <v>0</v>
      </c>
      <c r="R4675" s="3">
        <f>I4675*(VLOOKUP(B4675,Price_data!A$1:B$190,2,FALSE))</f>
        <v>0</v>
      </c>
      <c r="S4675" s="4" t="str">
        <f>(VLOOKUP(B4675,Price_data!A$1:C$190,3,FALSE))</f>
        <v>EEZ</v>
      </c>
      <c r="T4675" s="2">
        <f>IF(C4675="Total", (VLOOKUP(B4675,Recommended_fish_intake!A$4:D$122,4,FALSE)), "NA")</f>
        <v>853.40222428187997</v>
      </c>
      <c r="U4675" s="2" t="str">
        <f t="shared" si="406"/>
        <v>NA</v>
      </c>
    </row>
    <row r="4676" spans="1:21" ht="14.25" customHeight="1">
      <c r="A4676" s="2" t="s">
        <v>91</v>
      </c>
      <c r="B4676" s="2">
        <v>2013</v>
      </c>
      <c r="C4676" s="2" t="s">
        <v>16</v>
      </c>
      <c r="D4676" s="2">
        <v>13.327999999999999</v>
      </c>
      <c r="E4676" s="2">
        <v>16.619</v>
      </c>
      <c r="P4676" s="3">
        <f>E4676*(VLOOKUP(B4676,Price_data!A$1:B$190,2,FALSE))</f>
        <v>11.315135502053501</v>
      </c>
      <c r="Q4676" s="3">
        <f>G4676*(VLOOKUP(B4676,Price_data!A$1:B$190,2,FALSE))</f>
        <v>0</v>
      </c>
      <c r="R4676" s="3">
        <f>I4676*(VLOOKUP(B4676,Price_data!A$1:B$190,2,FALSE))</f>
        <v>0</v>
      </c>
      <c r="S4676" s="4" t="str">
        <f>(VLOOKUP(B4676,Price_data!A$1:C$190,3,FALSE))</f>
        <v>EEZ</v>
      </c>
      <c r="T4676" s="2">
        <f>IF(C4676="Total", (VLOOKUP(B4676,Recommended_fish_intake!A$4:D$122,4,FALSE)), "NA")</f>
        <v>853.40222428187997</v>
      </c>
      <c r="U4676" s="2" t="str">
        <f t="shared" si="406"/>
        <v>NA</v>
      </c>
    </row>
    <row r="4677" spans="1:21" ht="14.25" customHeight="1">
      <c r="A4677" s="2" t="s">
        <v>39</v>
      </c>
      <c r="B4677" s="2">
        <v>2013</v>
      </c>
      <c r="C4677" s="2" t="s">
        <v>16</v>
      </c>
      <c r="D4677" s="2">
        <v>262.10300000000001</v>
      </c>
      <c r="E4677" s="2">
        <v>343.66500000000002</v>
      </c>
      <c r="P4677" s="3">
        <f>E4677*(VLOOKUP(B4677,Price_data!A$1:B$190,2,FALSE))</f>
        <v>233.98616296487253</v>
      </c>
      <c r="Q4677" s="3">
        <f>G4677*(VLOOKUP(B4677,Price_data!A$1:B$190,2,FALSE))</f>
        <v>0</v>
      </c>
      <c r="R4677" s="3">
        <f>I4677*(VLOOKUP(B4677,Price_data!A$1:B$190,2,FALSE))</f>
        <v>0</v>
      </c>
      <c r="S4677" s="4" t="str">
        <f>(VLOOKUP(B4677,Price_data!A$1:C$190,3,FALSE))</f>
        <v>EEZ</v>
      </c>
      <c r="T4677" s="2">
        <f>IF(C4677="Total", (VLOOKUP(B4677,Recommended_fish_intake!A$4:D$122,4,FALSE)), "NA")</f>
        <v>853.40222428187997</v>
      </c>
      <c r="U4677" s="2" t="str">
        <f t="shared" si="406"/>
        <v>NA</v>
      </c>
    </row>
    <row r="4678" spans="1:21" ht="14.25" customHeight="1">
      <c r="A4678" s="2" t="s">
        <v>40</v>
      </c>
      <c r="B4678" s="2">
        <v>2013</v>
      </c>
      <c r="C4678" s="2" t="s">
        <v>16</v>
      </c>
      <c r="D4678" s="2">
        <v>19.372</v>
      </c>
      <c r="E4678" s="2">
        <v>23.274000000000001</v>
      </c>
      <c r="P4678" s="3">
        <f>E4678*(VLOOKUP(B4678,Price_data!A$1:B$190,2,FALSE))</f>
        <v>15.846228032661001</v>
      </c>
      <c r="Q4678" s="3">
        <f>G4678*(VLOOKUP(B4678,Price_data!A$1:B$190,2,FALSE))</f>
        <v>0</v>
      </c>
      <c r="R4678" s="3">
        <f>I4678*(VLOOKUP(B4678,Price_data!A$1:B$190,2,FALSE))</f>
        <v>0</v>
      </c>
      <c r="S4678" s="4" t="str">
        <f>(VLOOKUP(B4678,Price_data!A$1:C$190,3,FALSE))</f>
        <v>EEZ</v>
      </c>
      <c r="T4678" s="2">
        <f>IF(C4678="Total", (VLOOKUP(B4678,Recommended_fish_intake!A$4:D$122,4,FALSE)), "NA")</f>
        <v>853.40222428187997</v>
      </c>
      <c r="U4678" s="2" t="str">
        <f t="shared" si="406"/>
        <v>NA</v>
      </c>
    </row>
    <row r="4679" spans="1:21" ht="14.25" customHeight="1">
      <c r="A4679" s="2" t="s">
        <v>18</v>
      </c>
      <c r="B4679" s="2">
        <v>2013</v>
      </c>
      <c r="C4679" s="2" t="s">
        <v>16</v>
      </c>
      <c r="D4679" s="3">
        <f>D3061+D3151</f>
        <v>20.076000000000001</v>
      </c>
      <c r="E4679" s="3">
        <f>E3061+E3151</f>
        <v>10.382</v>
      </c>
      <c r="P4679" s="3">
        <f>E4679*(VLOOKUP(B4679,Price_data!A$1:B$190,2,FALSE))</f>
        <v>7.0686405188229999</v>
      </c>
      <c r="Q4679" s="3">
        <f>G4679*(VLOOKUP(B4679,Price_data!A$1:B$190,2,FALSE))</f>
        <v>0</v>
      </c>
      <c r="R4679" s="3">
        <f>I4679*(VLOOKUP(B4679,Price_data!A$1:B$190,2,FALSE))</f>
        <v>0</v>
      </c>
      <c r="S4679" s="4" t="str">
        <f>(VLOOKUP(B4679,Price_data!A$1:C$190,3,FALSE))</f>
        <v>EEZ</v>
      </c>
      <c r="T4679" s="2">
        <f>IF(C4679="Total", (VLOOKUP(B4679,Recommended_fish_intake!A$4:D$122,4,FALSE)), "NA")</f>
        <v>853.40222428187997</v>
      </c>
      <c r="U4679" s="2" t="str">
        <f t="shared" si="406"/>
        <v>NA</v>
      </c>
    </row>
    <row r="4680" spans="1:21" ht="14.25" customHeight="1">
      <c r="A4680" s="2" t="s">
        <v>15</v>
      </c>
      <c r="B4680" s="2">
        <v>2014</v>
      </c>
      <c r="C4680" s="2" t="s">
        <v>22</v>
      </c>
      <c r="D4680" s="2">
        <v>14</v>
      </c>
      <c r="E4680" s="2">
        <v>27.8</v>
      </c>
      <c r="F4680" s="2">
        <v>15.5</v>
      </c>
      <c r="G4680" s="2">
        <v>52.5</v>
      </c>
      <c r="H4680" s="2">
        <v>116.4</v>
      </c>
      <c r="I4680" s="2">
        <v>410</v>
      </c>
      <c r="P4680" s="3">
        <f>E4680*(VLOOKUP(B4680,Price_data!A$1:B$190,2,FALSE))</f>
        <v>18.49112871422</v>
      </c>
      <c r="Q4680" s="3">
        <f>G4680*(VLOOKUP(B4680,Price_data!A$1:B$190,2,FALSE))</f>
        <v>34.920297032250005</v>
      </c>
      <c r="R4680" s="3">
        <f>I4680*(VLOOKUP(B4680,Price_data!A$1:B$190,2,FALSE))</f>
        <v>272.71089110900004</v>
      </c>
      <c r="S4680" s="4" t="str">
        <f>(VLOOKUP(B4680,Price_data!A$1:C$190,3,FALSE))</f>
        <v>EEZ</v>
      </c>
      <c r="T4680" s="2" t="str">
        <f>IF(C4680="Total", (VLOOKUP(B4680,Recommended_fish_intake!A$4:D$122,4,FALSE)), "NA")</f>
        <v>NA</v>
      </c>
      <c r="U4680" s="2" t="str">
        <f t="shared" si="406"/>
        <v>NA</v>
      </c>
    </row>
    <row r="4681" spans="1:21" ht="14.25" customHeight="1">
      <c r="A4681" s="2" t="s">
        <v>15</v>
      </c>
      <c r="B4681" s="2">
        <v>2014</v>
      </c>
      <c r="C4681" s="2" t="s">
        <v>23</v>
      </c>
      <c r="D4681" s="2">
        <v>35.4</v>
      </c>
      <c r="E4681" s="2">
        <v>49.4</v>
      </c>
      <c r="F4681" s="2">
        <v>1</v>
      </c>
      <c r="G4681" s="2">
        <v>2.6</v>
      </c>
      <c r="H4681" s="2">
        <v>35.9</v>
      </c>
      <c r="I4681" s="2">
        <v>111.1</v>
      </c>
      <c r="P4681" s="3">
        <f>E4681*(VLOOKUP(B4681,Price_data!A$1:B$190,2,FALSE))</f>
        <v>32.858336636060002</v>
      </c>
      <c r="Q4681" s="3">
        <f>G4681*(VLOOKUP(B4681,Price_data!A$1:B$190,2,FALSE))</f>
        <v>1.7293861387400002</v>
      </c>
      <c r="R4681" s="3">
        <f>I4681*(VLOOKUP(B4681,Price_data!A$1:B$190,2,FALSE))</f>
        <v>73.898000005390003</v>
      </c>
      <c r="S4681" s="4" t="str">
        <f>(VLOOKUP(B4681,Price_data!A$1:C$190,3,FALSE))</f>
        <v>EEZ</v>
      </c>
      <c r="T4681" s="2" t="str">
        <f>IF(C4681="Total", (VLOOKUP(B4681,Recommended_fish_intake!A$4:D$122,4,FALSE)), "NA")</f>
        <v>NA</v>
      </c>
      <c r="U4681" s="2" t="str">
        <f t="shared" si="406"/>
        <v>NA</v>
      </c>
    </row>
    <row r="4682" spans="1:21" ht="14.25" customHeight="1">
      <c r="A4682" s="2" t="s">
        <v>15</v>
      </c>
      <c r="B4682" s="2">
        <v>2014</v>
      </c>
      <c r="C4682" s="2" t="s">
        <v>53</v>
      </c>
      <c r="D4682" s="2">
        <v>8.5</v>
      </c>
      <c r="E4682" s="2">
        <v>19.7</v>
      </c>
      <c r="F4682" s="2">
        <v>3.9</v>
      </c>
      <c r="G4682" s="2">
        <v>13.1</v>
      </c>
      <c r="H4682" s="2">
        <v>4.7</v>
      </c>
      <c r="I4682" s="2">
        <v>11.1</v>
      </c>
      <c r="P4682" s="3">
        <f>E4682*(VLOOKUP(B4682,Price_data!A$1:B$190,2,FALSE))</f>
        <v>13.10342574353</v>
      </c>
      <c r="Q4682" s="3">
        <f>G4682*(VLOOKUP(B4682,Price_data!A$1:B$190,2,FALSE))</f>
        <v>8.7134455451899999</v>
      </c>
      <c r="R4682" s="3">
        <f>I4682*(VLOOKUP(B4682,Price_data!A$1:B$190,2,FALSE))</f>
        <v>7.3831485153900003</v>
      </c>
      <c r="S4682" s="4" t="str">
        <f>(VLOOKUP(B4682,Price_data!A$1:C$190,3,FALSE))</f>
        <v>EEZ</v>
      </c>
      <c r="T4682" s="2" t="str">
        <f>IF(C4682="Total", (VLOOKUP(B4682,Recommended_fish_intake!A$4:D$122,4,FALSE)), "NA")</f>
        <v>NA</v>
      </c>
      <c r="U4682" s="2" t="str">
        <f t="shared" si="406"/>
        <v>NA</v>
      </c>
    </row>
    <row r="4683" spans="1:21" ht="14.25" customHeight="1">
      <c r="A4683" s="2" t="s">
        <v>15</v>
      </c>
      <c r="B4683" s="2">
        <v>2014</v>
      </c>
      <c r="C4683" s="2" t="s">
        <v>58</v>
      </c>
      <c r="D4683" s="2">
        <v>11.4</v>
      </c>
      <c r="E4683" s="2">
        <v>31.4</v>
      </c>
      <c r="F4683" s="2">
        <v>2.8</v>
      </c>
      <c r="G4683" s="2">
        <v>14.2</v>
      </c>
      <c r="H4683" s="2">
        <v>1.7</v>
      </c>
      <c r="I4683" s="2">
        <v>6.3</v>
      </c>
      <c r="P4683" s="3">
        <f>E4683*(VLOOKUP(B4683,Price_data!A$1:B$190,2,FALSE))</f>
        <v>20.885663367860001</v>
      </c>
      <c r="Q4683" s="3">
        <f>G4683*(VLOOKUP(B4683,Price_data!A$1:B$190,2,FALSE))</f>
        <v>9.4451089115800002</v>
      </c>
      <c r="R4683" s="3">
        <f>I4683*(VLOOKUP(B4683,Price_data!A$1:B$190,2,FALSE))</f>
        <v>4.1904356438699999</v>
      </c>
      <c r="S4683" s="4" t="str">
        <f>(VLOOKUP(B4683,Price_data!A$1:C$190,3,FALSE))</f>
        <v>EEZ</v>
      </c>
      <c r="T4683" s="2" t="str">
        <f>IF(C4683="Total", (VLOOKUP(B4683,Recommended_fish_intake!A$4:D$122,4,FALSE)), "NA")</f>
        <v>NA</v>
      </c>
      <c r="U4683" s="2" t="str">
        <f t="shared" si="406"/>
        <v>NA</v>
      </c>
    </row>
    <row r="4684" spans="1:21" ht="14.25" customHeight="1">
      <c r="A4684" s="2" t="s">
        <v>15</v>
      </c>
      <c r="B4684" s="2">
        <v>2014</v>
      </c>
      <c r="C4684" s="2" t="s">
        <v>38</v>
      </c>
      <c r="D4684" s="2">
        <v>11.1</v>
      </c>
      <c r="E4684" s="2">
        <v>10.199999999999999</v>
      </c>
      <c r="F4684" s="2">
        <v>4.7</v>
      </c>
      <c r="G4684" s="2">
        <v>8.6</v>
      </c>
      <c r="H4684" s="2">
        <v>3.2</v>
      </c>
      <c r="I4684" s="2">
        <v>9.5</v>
      </c>
      <c r="P4684" s="3">
        <f>E4684*(VLOOKUP(B4684,Price_data!A$1:B$190,2,FALSE))</f>
        <v>6.78451485198</v>
      </c>
      <c r="Q4684" s="3">
        <f>G4684*(VLOOKUP(B4684,Price_data!A$1:B$190,2,FALSE))</f>
        <v>5.7202772281400005</v>
      </c>
      <c r="R4684" s="3">
        <f>I4684*(VLOOKUP(B4684,Price_data!A$1:B$190,2,FALSE))</f>
        <v>6.3189108915500007</v>
      </c>
      <c r="S4684" s="4" t="str">
        <f>(VLOOKUP(B4684,Price_data!A$1:C$190,3,FALSE))</f>
        <v>EEZ</v>
      </c>
      <c r="T4684" s="2" t="str">
        <f>IF(C4684="Total", (VLOOKUP(B4684,Recommended_fish_intake!A$4:D$122,4,FALSE)), "NA")</f>
        <v>NA</v>
      </c>
      <c r="U4684" s="2" t="str">
        <f t="shared" si="406"/>
        <v>NA</v>
      </c>
    </row>
    <row r="4685" spans="1:21" ht="14.25" customHeight="1">
      <c r="A4685" s="2" t="s">
        <v>15</v>
      </c>
      <c r="B4685" s="2">
        <v>2014</v>
      </c>
      <c r="C4685" s="2" t="s">
        <v>63</v>
      </c>
      <c r="D4685" s="2">
        <v>1.8</v>
      </c>
      <c r="E4685" s="2">
        <v>12.4</v>
      </c>
      <c r="F4685" s="2">
        <v>0.9</v>
      </c>
      <c r="G4685" s="2">
        <v>7.2</v>
      </c>
      <c r="H4685" s="2">
        <v>0.2</v>
      </c>
      <c r="I4685" s="2">
        <v>0.8</v>
      </c>
      <c r="P4685" s="3">
        <f>E4685*(VLOOKUP(B4685,Price_data!A$1:B$190,2,FALSE))</f>
        <v>8.2478415847600015</v>
      </c>
      <c r="Q4685" s="3">
        <f>G4685*(VLOOKUP(B4685,Price_data!A$1:B$190,2,FALSE))</f>
        <v>4.7890693072800001</v>
      </c>
      <c r="R4685" s="3">
        <f>I4685*(VLOOKUP(B4685,Price_data!A$1:B$190,2,FALSE))</f>
        <v>0.5321188119200001</v>
      </c>
      <c r="S4685" s="4" t="str">
        <f>(VLOOKUP(B4685,Price_data!A$1:C$190,3,FALSE))</f>
        <v>EEZ</v>
      </c>
      <c r="T4685" s="2" t="str">
        <f>IF(C4685="Total", (VLOOKUP(B4685,Recommended_fish_intake!A$4:D$122,4,FALSE)), "NA")</f>
        <v>NA</v>
      </c>
      <c r="U4685" s="2" t="str">
        <f t="shared" si="406"/>
        <v>NA</v>
      </c>
    </row>
    <row r="4686" spans="1:21" ht="14.25" customHeight="1">
      <c r="A4686" s="2" t="s">
        <v>15</v>
      </c>
      <c r="B4686" s="2">
        <v>2014</v>
      </c>
      <c r="C4686" s="2" t="s">
        <v>24</v>
      </c>
      <c r="D4686" s="2">
        <v>11.1</v>
      </c>
      <c r="E4686" s="2">
        <v>11.8</v>
      </c>
      <c r="F4686" s="2">
        <v>1.6</v>
      </c>
      <c r="G4686" s="2">
        <v>1.2</v>
      </c>
      <c r="H4686" s="2">
        <v>3.3</v>
      </c>
      <c r="I4686" s="2">
        <v>2.6</v>
      </c>
      <c r="P4686" s="3">
        <f>E4686*(VLOOKUP(B4686,Price_data!A$1:B$190,2,FALSE))</f>
        <v>7.8487524758200014</v>
      </c>
      <c r="Q4686" s="3">
        <f>G4686*(VLOOKUP(B4686,Price_data!A$1:B$190,2,FALSE))</f>
        <v>0.79817821787999998</v>
      </c>
      <c r="R4686" s="3">
        <f>I4686*(VLOOKUP(B4686,Price_data!A$1:B$190,2,FALSE))</f>
        <v>1.7293861387400002</v>
      </c>
      <c r="S4686" s="4" t="str">
        <f>(VLOOKUP(B4686,Price_data!A$1:C$190,3,FALSE))</f>
        <v>EEZ</v>
      </c>
      <c r="T4686" s="2" t="str">
        <f>IF(C4686="Total", (VLOOKUP(B4686,Recommended_fish_intake!A$4:D$122,4,FALSE)), "NA")</f>
        <v>NA</v>
      </c>
      <c r="U4686" s="2" t="str">
        <f t="shared" si="406"/>
        <v>NA</v>
      </c>
    </row>
    <row r="4687" spans="1:21" ht="14.25" customHeight="1">
      <c r="A4687" s="2" t="s">
        <v>15</v>
      </c>
      <c r="B4687" s="2">
        <v>2014</v>
      </c>
      <c r="C4687" s="2" t="s">
        <v>41</v>
      </c>
      <c r="D4687" s="2">
        <v>119.9</v>
      </c>
      <c r="E4687" s="2">
        <v>215.2</v>
      </c>
      <c r="F4687" s="2" t="s">
        <v>92</v>
      </c>
      <c r="G4687" s="2" t="s">
        <v>92</v>
      </c>
      <c r="H4687" s="2" t="s">
        <v>92</v>
      </c>
      <c r="I4687" s="2" t="s">
        <v>92</v>
      </c>
      <c r="P4687" s="3">
        <f>E4687*(VLOOKUP(B4687,Price_data!A$1:B$190,2,FALSE))</f>
        <v>143.13996040648001</v>
      </c>
      <c r="Q4687" s="3" t="e">
        <f>G4687*(VLOOKUP(B4687,Price_data!A$1:B$190,2,FALSE))</f>
        <v>#VALUE!</v>
      </c>
      <c r="R4687" s="3" t="e">
        <f>I4687*(VLOOKUP(B4687,Price_data!A$1:B$190,2,FALSE))</f>
        <v>#VALUE!</v>
      </c>
      <c r="S4687" s="4" t="str">
        <f>(VLOOKUP(B4687,Price_data!A$1:C$190,3,FALSE))</f>
        <v>EEZ</v>
      </c>
      <c r="T4687" s="2" t="str">
        <f>IF(C4687="Total", (VLOOKUP(B4687,Recommended_fish_intake!A$4:D$122,4,FALSE)), "NA")</f>
        <v>NA</v>
      </c>
      <c r="U4687" s="2" t="str">
        <f t="shared" si="406"/>
        <v>NA</v>
      </c>
    </row>
    <row r="4688" spans="1:21" ht="14.25" customHeight="1">
      <c r="A4688" s="2" t="s">
        <v>15</v>
      </c>
      <c r="B4688" s="2">
        <v>2014</v>
      </c>
      <c r="C4688" s="2" t="s">
        <v>19</v>
      </c>
      <c r="D4688" s="2">
        <v>38.299999999999997</v>
      </c>
      <c r="E4688" s="2">
        <v>10.5</v>
      </c>
      <c r="F4688" s="2">
        <v>63.5</v>
      </c>
      <c r="G4688" s="2">
        <v>40.700000000000003</v>
      </c>
      <c r="H4688" s="2">
        <v>11.9</v>
      </c>
      <c r="I4688" s="2">
        <v>15.2</v>
      </c>
      <c r="P4688" s="3">
        <f>E4688*(VLOOKUP(B4688,Price_data!A$1:B$190,2,FALSE))</f>
        <v>6.9840594064500001</v>
      </c>
      <c r="Q4688" s="3">
        <f>G4688*(VLOOKUP(B4688,Price_data!A$1:B$190,2,FALSE))</f>
        <v>27.071544556430002</v>
      </c>
      <c r="R4688" s="3">
        <f>I4688*(VLOOKUP(B4688,Price_data!A$1:B$190,2,FALSE))</f>
        <v>10.11025742648</v>
      </c>
      <c r="S4688" s="4" t="str">
        <f>(VLOOKUP(B4688,Price_data!A$1:C$190,3,FALSE))</f>
        <v>EEZ</v>
      </c>
      <c r="T4688" s="2" t="str">
        <f>IF(C4688="Total", (VLOOKUP(B4688,Recommended_fish_intake!A$4:D$122,4,FALSE)), "NA")</f>
        <v>NA</v>
      </c>
      <c r="U4688" s="2" t="str">
        <f t="shared" si="406"/>
        <v>NA</v>
      </c>
    </row>
    <row r="4689" spans="1:21" ht="14.25" customHeight="1">
      <c r="A4689" s="2" t="s">
        <v>15</v>
      </c>
      <c r="B4689" s="2">
        <v>2014</v>
      </c>
      <c r="C4689" s="2" t="s">
        <v>20</v>
      </c>
      <c r="D4689" s="2">
        <v>128.19999999999999</v>
      </c>
      <c r="E4689" s="2">
        <v>105.5</v>
      </c>
      <c r="F4689" s="2">
        <v>120.3</v>
      </c>
      <c r="G4689" s="2">
        <v>128.5</v>
      </c>
      <c r="H4689" s="2">
        <v>32</v>
      </c>
      <c r="I4689" s="2">
        <v>52.5</v>
      </c>
      <c r="P4689" s="3">
        <f>E4689*(VLOOKUP(B4689,Price_data!A$1:B$190,2,FALSE))</f>
        <v>70.173168321950001</v>
      </c>
      <c r="Q4689" s="3">
        <f>G4689*(VLOOKUP(B4689,Price_data!A$1:B$190,2,FALSE))</f>
        <v>85.471584164650011</v>
      </c>
      <c r="R4689" s="3">
        <f>I4689*(VLOOKUP(B4689,Price_data!A$1:B$190,2,FALSE))</f>
        <v>34.920297032250005</v>
      </c>
      <c r="S4689" s="4" t="str">
        <f>(VLOOKUP(B4689,Price_data!A$1:C$190,3,FALSE))</f>
        <v>EEZ</v>
      </c>
      <c r="T4689" s="2" t="str">
        <f>IF(C4689="Total", (VLOOKUP(B4689,Recommended_fish_intake!A$4:D$122,4,FALSE)), "NA")</f>
        <v>NA</v>
      </c>
      <c r="U4689" s="2" t="str">
        <f t="shared" si="406"/>
        <v>NA</v>
      </c>
    </row>
    <row r="4690" spans="1:21" ht="14.25" customHeight="1">
      <c r="A4690" s="2" t="s">
        <v>15</v>
      </c>
      <c r="B4690" s="2">
        <v>2014</v>
      </c>
      <c r="C4690" s="2" t="s">
        <v>42</v>
      </c>
      <c r="D4690" s="2">
        <v>188.4</v>
      </c>
      <c r="E4690" s="2">
        <v>121.4</v>
      </c>
      <c r="F4690" s="2" t="s">
        <v>92</v>
      </c>
      <c r="G4690" s="2" t="s">
        <v>92</v>
      </c>
      <c r="H4690" s="2" t="s">
        <v>92</v>
      </c>
      <c r="I4690" s="2" t="s">
        <v>92</v>
      </c>
      <c r="P4690" s="3">
        <f>E4690*(VLOOKUP(B4690,Price_data!A$1:B$190,2,FALSE))</f>
        <v>80.749029708860007</v>
      </c>
      <c r="Q4690" s="3" t="e">
        <f>G4690*(VLOOKUP(B4690,Price_data!A$1:B$190,2,FALSE))</f>
        <v>#VALUE!</v>
      </c>
      <c r="R4690" s="3" t="e">
        <f>I4690*(VLOOKUP(B4690,Price_data!A$1:B$190,2,FALSE))</f>
        <v>#VALUE!</v>
      </c>
      <c r="S4690" s="4" t="str">
        <f>(VLOOKUP(B4690,Price_data!A$1:C$190,3,FALSE))</f>
        <v>EEZ</v>
      </c>
      <c r="T4690" s="2" t="str">
        <f>IF(C4690="Total", (VLOOKUP(B4690,Recommended_fish_intake!A$4:D$122,4,FALSE)), "NA")</f>
        <v>NA</v>
      </c>
      <c r="U4690" s="2" t="str">
        <f t="shared" si="406"/>
        <v>NA</v>
      </c>
    </row>
    <row r="4691" spans="1:21" ht="14.25" customHeight="1">
      <c r="A4691" s="2" t="s">
        <v>15</v>
      </c>
      <c r="B4691" s="2">
        <v>2014</v>
      </c>
      <c r="C4691" s="2" t="s">
        <v>36</v>
      </c>
      <c r="D4691" s="2">
        <v>32.5</v>
      </c>
      <c r="E4691" s="2">
        <v>44.2</v>
      </c>
      <c r="F4691" s="2">
        <v>15.5</v>
      </c>
      <c r="G4691" s="2">
        <v>56.7</v>
      </c>
      <c r="H4691" s="2">
        <v>3.9</v>
      </c>
      <c r="I4691" s="2">
        <v>23.3</v>
      </c>
      <c r="P4691" s="3">
        <f>E4691*(VLOOKUP(B4691,Price_data!A$1:B$190,2,FALSE))</f>
        <v>29.399564358580005</v>
      </c>
      <c r="Q4691" s="3">
        <f>G4691*(VLOOKUP(B4691,Price_data!A$1:B$190,2,FALSE))</f>
        <v>37.713920794830003</v>
      </c>
      <c r="R4691" s="3">
        <f>I4691*(VLOOKUP(B4691,Price_data!A$1:B$190,2,FALSE))</f>
        <v>15.497960397170001</v>
      </c>
      <c r="S4691" s="4" t="str">
        <f>(VLOOKUP(B4691,Price_data!A$1:C$190,3,FALSE))</f>
        <v>EEZ</v>
      </c>
      <c r="T4691" s="2" t="str">
        <f>IF(C4691="Total", (VLOOKUP(B4691,Recommended_fish_intake!A$4:D$122,4,FALSE)), "NA")</f>
        <v>NA</v>
      </c>
      <c r="U4691" s="2" t="str">
        <f t="shared" si="406"/>
        <v>NA</v>
      </c>
    </row>
    <row r="4692" spans="1:21" ht="14.25" customHeight="1">
      <c r="A4692" s="2" t="s">
        <v>15</v>
      </c>
      <c r="B4692" s="2">
        <v>2014</v>
      </c>
      <c r="C4692" s="2" t="s">
        <v>34</v>
      </c>
      <c r="D4692" s="2">
        <v>3.4</v>
      </c>
      <c r="E4692" s="2">
        <v>33.299999999999997</v>
      </c>
      <c r="F4692" s="2">
        <v>9.4</v>
      </c>
      <c r="G4692" s="2">
        <v>85.5</v>
      </c>
      <c r="H4692" s="2">
        <v>4</v>
      </c>
      <c r="I4692" s="2">
        <v>31.7</v>
      </c>
      <c r="P4692" s="3">
        <f>E4692*(VLOOKUP(B4692,Price_data!A$1:B$190,2,FALSE))</f>
        <v>22.14944554617</v>
      </c>
      <c r="Q4692" s="3">
        <f>G4692*(VLOOKUP(B4692,Price_data!A$1:B$190,2,FALSE))</f>
        <v>56.870198023950003</v>
      </c>
      <c r="R4692" s="3">
        <f>I4692*(VLOOKUP(B4692,Price_data!A$1:B$190,2,FALSE))</f>
        <v>21.08520792233</v>
      </c>
      <c r="S4692" s="4" t="str">
        <f>(VLOOKUP(B4692,Price_data!A$1:C$190,3,FALSE))</f>
        <v>EEZ</v>
      </c>
      <c r="T4692" s="2" t="str">
        <f>IF(C4692="Total", (VLOOKUP(B4692,Recommended_fish_intake!A$4:D$122,4,FALSE)), "NA")</f>
        <v>NA</v>
      </c>
      <c r="U4692" s="2" t="str">
        <f t="shared" si="406"/>
        <v>NA</v>
      </c>
    </row>
    <row r="4693" spans="1:21" ht="14.25" customHeight="1">
      <c r="A4693" s="2" t="s">
        <v>15</v>
      </c>
      <c r="B4693" s="2">
        <v>2014</v>
      </c>
      <c r="C4693" s="2" t="s">
        <v>35</v>
      </c>
      <c r="D4693" s="2">
        <v>30.3</v>
      </c>
      <c r="E4693" s="2">
        <v>98.2</v>
      </c>
      <c r="F4693" s="2">
        <v>9.1999999999999993</v>
      </c>
      <c r="G4693" s="2">
        <v>62.2</v>
      </c>
      <c r="H4693" s="2">
        <v>2.1</v>
      </c>
      <c r="I4693" s="2">
        <v>7.4</v>
      </c>
      <c r="P4693" s="3">
        <f>E4693*(VLOOKUP(B4693,Price_data!A$1:B$190,2,FALSE))</f>
        <v>65.317584163180001</v>
      </c>
      <c r="Q4693" s="3">
        <f>G4693*(VLOOKUP(B4693,Price_data!A$1:B$190,2,FALSE))</f>
        <v>41.372237626780006</v>
      </c>
      <c r="R4693" s="3">
        <f>I4693*(VLOOKUP(B4693,Price_data!A$1:B$190,2,FALSE))</f>
        <v>4.9220990102600002</v>
      </c>
      <c r="S4693" s="4" t="str">
        <f>(VLOOKUP(B4693,Price_data!A$1:C$190,3,FALSE))</f>
        <v>EEZ</v>
      </c>
      <c r="T4693" s="2" t="str">
        <f>IF(C4693="Total", (VLOOKUP(B4693,Recommended_fish_intake!A$4:D$122,4,FALSE)), "NA")</f>
        <v>NA</v>
      </c>
      <c r="U4693" s="2" t="str">
        <f t="shared" si="406"/>
        <v>NA</v>
      </c>
    </row>
    <row r="4694" spans="1:21" ht="14.25" customHeight="1">
      <c r="A4694" s="2" t="s">
        <v>15</v>
      </c>
      <c r="B4694" s="2">
        <v>2014</v>
      </c>
      <c r="C4694" s="2" t="s">
        <v>52</v>
      </c>
      <c r="D4694" s="2">
        <v>38.5</v>
      </c>
      <c r="E4694" s="2">
        <v>58.2</v>
      </c>
      <c r="F4694" s="2">
        <v>11.1</v>
      </c>
      <c r="G4694" s="2">
        <v>91.7</v>
      </c>
      <c r="H4694" s="2">
        <v>2.1</v>
      </c>
      <c r="I4694" s="2">
        <v>24.4</v>
      </c>
      <c r="P4694" s="3">
        <f>E4694*(VLOOKUP(B4694,Price_data!A$1:B$190,2,FALSE))</f>
        <v>38.711643567180005</v>
      </c>
      <c r="Q4694" s="3">
        <f>G4694*(VLOOKUP(B4694,Price_data!A$1:B$190,2,FALSE))</f>
        <v>60.994118816330008</v>
      </c>
      <c r="R4694" s="3">
        <f>I4694*(VLOOKUP(B4694,Price_data!A$1:B$190,2,FALSE))</f>
        <v>16.229623763559999</v>
      </c>
      <c r="S4694" s="4" t="str">
        <f>(VLOOKUP(B4694,Price_data!A$1:C$190,3,FALSE))</f>
        <v>EEZ</v>
      </c>
      <c r="T4694" s="2" t="str">
        <f>IF(C4694="Total", (VLOOKUP(B4694,Recommended_fish_intake!A$4:D$122,4,FALSE)), "NA")</f>
        <v>NA</v>
      </c>
      <c r="U4694" s="2" t="str">
        <f t="shared" si="406"/>
        <v>NA</v>
      </c>
    </row>
    <row r="4695" spans="1:21" ht="14.25" customHeight="1">
      <c r="A4695" s="2" t="s">
        <v>15</v>
      </c>
      <c r="B4695" s="2">
        <v>2014</v>
      </c>
      <c r="C4695" s="2" t="s">
        <v>30</v>
      </c>
      <c r="D4695" s="2">
        <v>0.6</v>
      </c>
      <c r="E4695" s="2">
        <v>1.4</v>
      </c>
      <c r="F4695" s="2">
        <v>13.5</v>
      </c>
      <c r="G4695" s="2">
        <v>75.5</v>
      </c>
      <c r="H4695" s="2">
        <v>82.3</v>
      </c>
      <c r="I4695" s="2">
        <v>593.79999999999995</v>
      </c>
      <c r="P4695" s="3">
        <f>E4695*(VLOOKUP(B4695,Price_data!A$1:B$190,2,FALSE))</f>
        <v>0.93120792086000004</v>
      </c>
      <c r="Q4695" s="3">
        <f>G4695*(VLOOKUP(B4695,Price_data!A$1:B$190,2,FALSE))</f>
        <v>50.21871287495</v>
      </c>
      <c r="R4695" s="3">
        <f>I4695*(VLOOKUP(B4695,Price_data!A$1:B$190,2,FALSE))</f>
        <v>394.96518814761998</v>
      </c>
      <c r="S4695" s="4" t="str">
        <f>(VLOOKUP(B4695,Price_data!A$1:C$190,3,FALSE))</f>
        <v>EEZ</v>
      </c>
      <c r="T4695" s="2" t="str">
        <f>IF(C4695="Total", (VLOOKUP(B4695,Recommended_fish_intake!A$4:D$122,4,FALSE)), "NA")</f>
        <v>NA</v>
      </c>
      <c r="U4695" s="2" t="str">
        <f t="shared" si="406"/>
        <v>NA</v>
      </c>
    </row>
    <row r="4696" spans="1:21" ht="14.25" customHeight="1">
      <c r="A4696" s="2" t="s">
        <v>15</v>
      </c>
      <c r="B4696" s="2">
        <v>2014</v>
      </c>
      <c r="C4696" s="2" t="s">
        <v>28</v>
      </c>
      <c r="D4696" s="2">
        <v>142.5</v>
      </c>
      <c r="E4696" s="2">
        <v>278.8</v>
      </c>
      <c r="F4696" s="2">
        <v>81.8</v>
      </c>
      <c r="G4696" s="2">
        <v>459.3</v>
      </c>
      <c r="H4696" s="2">
        <v>118.8</v>
      </c>
      <c r="I4696" s="2">
        <v>760.1</v>
      </c>
      <c r="P4696" s="3">
        <f>E4696*(VLOOKUP(B4696,Price_data!A$1:B$190,2,FALSE))</f>
        <v>185.44340595412001</v>
      </c>
      <c r="Q4696" s="3">
        <f>G4696*(VLOOKUP(B4696,Price_data!A$1:B$190,2,FALSE))</f>
        <v>305.50271289357005</v>
      </c>
      <c r="R4696" s="3">
        <f>I4696*(VLOOKUP(B4696,Price_data!A$1:B$190,2,FALSE))</f>
        <v>505.57938617549007</v>
      </c>
      <c r="S4696" s="4" t="str">
        <f>(VLOOKUP(B4696,Price_data!A$1:C$190,3,FALSE))</f>
        <v>EEZ</v>
      </c>
      <c r="T4696" s="2" t="str">
        <f>IF(C4696="Total", (VLOOKUP(B4696,Recommended_fish_intake!A$4:D$122,4,FALSE)), "NA")</f>
        <v>NA</v>
      </c>
      <c r="U4696" s="2">
        <f t="shared" si="406"/>
        <v>39.900000000000006</v>
      </c>
    </row>
    <row r="4697" spans="1:21" ht="14.25" customHeight="1">
      <c r="A4697" s="2" t="s">
        <v>15</v>
      </c>
      <c r="B4697" s="2">
        <v>2014</v>
      </c>
      <c r="C4697" s="2" t="s">
        <v>37</v>
      </c>
      <c r="D4697" s="3">
        <v>308.3</v>
      </c>
      <c r="E4697" s="3">
        <v>336.6</v>
      </c>
      <c r="F4697" s="2">
        <v>417.4</v>
      </c>
      <c r="G4697" s="2">
        <v>1101</v>
      </c>
      <c r="H4697" s="2">
        <v>601.9</v>
      </c>
      <c r="I4697" s="2">
        <v>1976.2</v>
      </c>
      <c r="P4697" s="3">
        <f>E4697*(VLOOKUP(B4697,Price_data!A$1:B$190,2,FALSE))</f>
        <v>223.88899011534002</v>
      </c>
      <c r="Q4697" s="3">
        <f>G4697*(VLOOKUP(B4697,Price_data!A$1:B$190,2,FALSE))</f>
        <v>732.32851490490009</v>
      </c>
      <c r="R4697" s="3">
        <f>I4697*(VLOOKUP(B4697,Price_data!A$1:B$190,2,FALSE))</f>
        <v>1314.4664951453801</v>
      </c>
      <c r="S4697" s="4" t="str">
        <f>(VLOOKUP(B4697,Price_data!A$1:C$190,3,FALSE))</f>
        <v>EEZ</v>
      </c>
      <c r="T4697" s="2" t="str">
        <f>IF(C4697="Total", (VLOOKUP(B4697,Recommended_fish_intake!A$4:D$122,4,FALSE)), "NA")</f>
        <v>NA</v>
      </c>
      <c r="U4697" s="2">
        <f t="shared" si="406"/>
        <v>151.06700000000001</v>
      </c>
    </row>
    <row r="4698" spans="1:21" ht="14.25" customHeight="1">
      <c r="A4698" s="2" t="s">
        <v>90</v>
      </c>
      <c r="B4698" s="2">
        <v>2014</v>
      </c>
      <c r="C4698" s="2" t="s">
        <v>22</v>
      </c>
      <c r="D4698" s="2">
        <v>1</v>
      </c>
      <c r="E4698" s="2">
        <v>1.8</v>
      </c>
      <c r="P4698" s="3">
        <f>E4698*(VLOOKUP(B4698,Price_data!A$1:B$190,2,FALSE))</f>
        <v>1.19726732682</v>
      </c>
      <c r="Q4698" s="3">
        <f>G4698*(VLOOKUP(B4698,Price_data!A$1:B$190,2,FALSE))</f>
        <v>0</v>
      </c>
      <c r="R4698" s="3">
        <f>I4698*(VLOOKUP(B4698,Price_data!A$1:B$190,2,FALSE))</f>
        <v>0</v>
      </c>
      <c r="S4698" s="4" t="str">
        <f>(VLOOKUP(B4698,Price_data!A$1:C$190,3,FALSE))</f>
        <v>EEZ</v>
      </c>
      <c r="T4698" s="2" t="str">
        <f>IF(C4698="Total", (VLOOKUP(B4698,Recommended_fish_intake!A$4:D$122,4,FALSE)), "NA")</f>
        <v>NA</v>
      </c>
      <c r="U4698" s="2" t="str">
        <f t="shared" si="406"/>
        <v>NA</v>
      </c>
    </row>
    <row r="4699" spans="1:21" ht="14.25" customHeight="1">
      <c r="A4699" s="2" t="s">
        <v>90</v>
      </c>
      <c r="B4699" s="2">
        <v>2014</v>
      </c>
      <c r="C4699" s="2" t="s">
        <v>23</v>
      </c>
      <c r="D4699" s="2">
        <v>0.9</v>
      </c>
      <c r="E4699" s="2">
        <v>1.5</v>
      </c>
      <c r="P4699" s="3">
        <f>E4699*(VLOOKUP(B4699,Price_data!A$1:B$190,2,FALSE))</f>
        <v>0.99772277235000006</v>
      </c>
      <c r="Q4699" s="3">
        <f>G4699*(VLOOKUP(B4699,Price_data!A$1:B$190,2,FALSE))</f>
        <v>0</v>
      </c>
      <c r="R4699" s="3">
        <f>I4699*(VLOOKUP(B4699,Price_data!A$1:B$190,2,FALSE))</f>
        <v>0</v>
      </c>
      <c r="S4699" s="4" t="str">
        <f>(VLOOKUP(B4699,Price_data!A$1:C$190,3,FALSE))</f>
        <v>EEZ</v>
      </c>
      <c r="T4699" s="2" t="str">
        <f>IF(C4699="Total", (VLOOKUP(B4699,Recommended_fish_intake!A$4:D$122,4,FALSE)), "NA")</f>
        <v>NA</v>
      </c>
      <c r="U4699" s="2" t="str">
        <f t="shared" si="406"/>
        <v>NA</v>
      </c>
    </row>
    <row r="4700" spans="1:21" ht="14.25" customHeight="1">
      <c r="A4700" s="2" t="s">
        <v>90</v>
      </c>
      <c r="B4700" s="2">
        <v>2014</v>
      </c>
      <c r="C4700" s="2" t="s">
        <v>53</v>
      </c>
      <c r="D4700" s="2">
        <v>0.9</v>
      </c>
      <c r="E4700" s="2">
        <v>1.8</v>
      </c>
      <c r="P4700" s="3">
        <f>E4700*(VLOOKUP(B4700,Price_data!A$1:B$190,2,FALSE))</f>
        <v>1.19726732682</v>
      </c>
      <c r="Q4700" s="3">
        <f>G4700*(VLOOKUP(B4700,Price_data!A$1:B$190,2,FALSE))</f>
        <v>0</v>
      </c>
      <c r="R4700" s="3">
        <f>I4700*(VLOOKUP(B4700,Price_data!A$1:B$190,2,FALSE))</f>
        <v>0</v>
      </c>
      <c r="S4700" s="4" t="str">
        <f>(VLOOKUP(B4700,Price_data!A$1:C$190,3,FALSE))</f>
        <v>EEZ</v>
      </c>
      <c r="T4700" s="2" t="str">
        <f>IF(C4700="Total", (VLOOKUP(B4700,Recommended_fish_intake!A$4:D$122,4,FALSE)), "NA")</f>
        <v>NA</v>
      </c>
      <c r="U4700" s="2" t="str">
        <f t="shared" si="406"/>
        <v>NA</v>
      </c>
    </row>
    <row r="4701" spans="1:21" ht="14.25" customHeight="1">
      <c r="A4701" s="2" t="s">
        <v>90</v>
      </c>
      <c r="B4701" s="2">
        <v>2014</v>
      </c>
      <c r="C4701" s="2" t="s">
        <v>58</v>
      </c>
      <c r="D4701" s="2">
        <v>3.4</v>
      </c>
      <c r="E4701" s="2">
        <v>8.4</v>
      </c>
      <c r="P4701" s="3">
        <f>E4701*(VLOOKUP(B4701,Price_data!A$1:B$190,2,FALSE))</f>
        <v>5.5872475251600004</v>
      </c>
      <c r="Q4701" s="3">
        <f>G4701*(VLOOKUP(B4701,Price_data!A$1:B$190,2,FALSE))</f>
        <v>0</v>
      </c>
      <c r="R4701" s="3">
        <f>I4701*(VLOOKUP(B4701,Price_data!A$1:B$190,2,FALSE))</f>
        <v>0</v>
      </c>
      <c r="S4701" s="4" t="str">
        <f>(VLOOKUP(B4701,Price_data!A$1:C$190,3,FALSE))</f>
        <v>EEZ</v>
      </c>
      <c r="T4701" s="2" t="str">
        <f>IF(C4701="Total", (VLOOKUP(B4701,Recommended_fish_intake!A$4:D$122,4,FALSE)), "NA")</f>
        <v>NA</v>
      </c>
      <c r="U4701" s="2" t="str">
        <f t="shared" si="406"/>
        <v>NA</v>
      </c>
    </row>
    <row r="4702" spans="1:21" ht="14.25" customHeight="1">
      <c r="A4702" s="2" t="s">
        <v>90</v>
      </c>
      <c r="B4702" s="2">
        <v>2014</v>
      </c>
      <c r="C4702" s="2" t="s">
        <v>38</v>
      </c>
      <c r="D4702" s="2">
        <v>0.1</v>
      </c>
      <c r="E4702" s="2">
        <v>0.1</v>
      </c>
      <c r="P4702" s="3">
        <f>E4702*(VLOOKUP(B4702,Price_data!A$1:B$190,2,FALSE))</f>
        <v>6.6514851490000013E-2</v>
      </c>
      <c r="Q4702" s="3">
        <f>G4702*(VLOOKUP(B4702,Price_data!A$1:B$190,2,FALSE))</f>
        <v>0</v>
      </c>
      <c r="R4702" s="3">
        <f>I4702*(VLOOKUP(B4702,Price_data!A$1:B$190,2,FALSE))</f>
        <v>0</v>
      </c>
      <c r="S4702" s="4" t="str">
        <f>(VLOOKUP(B4702,Price_data!A$1:C$190,3,FALSE))</f>
        <v>EEZ</v>
      </c>
      <c r="T4702" s="2" t="str">
        <f>IF(C4702="Total", (VLOOKUP(B4702,Recommended_fish_intake!A$4:D$122,4,FALSE)), "NA")</f>
        <v>NA</v>
      </c>
      <c r="U4702" s="2" t="str">
        <f t="shared" si="406"/>
        <v>NA</v>
      </c>
    </row>
    <row r="4703" spans="1:21" ht="14.25" customHeight="1">
      <c r="A4703" s="2" t="s">
        <v>90</v>
      </c>
      <c r="B4703" s="2">
        <v>2014</v>
      </c>
      <c r="C4703" s="2" t="s">
        <v>63</v>
      </c>
      <c r="D4703" s="2">
        <v>1.8</v>
      </c>
      <c r="E4703" s="2">
        <v>12.2</v>
      </c>
      <c r="P4703" s="3">
        <f>E4703*(VLOOKUP(B4703,Price_data!A$1:B$190,2,FALSE))</f>
        <v>8.1148118817799997</v>
      </c>
      <c r="Q4703" s="3">
        <f>G4703*(VLOOKUP(B4703,Price_data!A$1:B$190,2,FALSE))</f>
        <v>0</v>
      </c>
      <c r="R4703" s="3">
        <f>I4703*(VLOOKUP(B4703,Price_data!A$1:B$190,2,FALSE))</f>
        <v>0</v>
      </c>
      <c r="S4703" s="4" t="str">
        <f>(VLOOKUP(B4703,Price_data!A$1:C$190,3,FALSE))</f>
        <v>EEZ</v>
      </c>
      <c r="T4703" s="2" t="str">
        <f>IF(C4703="Total", (VLOOKUP(B4703,Recommended_fish_intake!A$4:D$122,4,FALSE)), "NA")</f>
        <v>NA</v>
      </c>
      <c r="U4703" s="2" t="str">
        <f t="shared" si="406"/>
        <v>NA</v>
      </c>
    </row>
    <row r="4704" spans="1:21" ht="14.25" customHeight="1">
      <c r="A4704" s="2" t="s">
        <v>90</v>
      </c>
      <c r="B4704" s="2">
        <v>2014</v>
      </c>
      <c r="C4704" s="2" t="s">
        <v>24</v>
      </c>
      <c r="D4704" s="2">
        <v>1.7</v>
      </c>
      <c r="E4704" s="2">
        <v>1.3</v>
      </c>
      <c r="P4704" s="3">
        <f>E4704*(VLOOKUP(B4704,Price_data!A$1:B$190,2,FALSE))</f>
        <v>0.86469306937000012</v>
      </c>
      <c r="Q4704" s="3">
        <f>G4704*(VLOOKUP(B4704,Price_data!A$1:B$190,2,FALSE))</f>
        <v>0</v>
      </c>
      <c r="R4704" s="3">
        <f>I4704*(VLOOKUP(B4704,Price_data!A$1:B$190,2,FALSE))</f>
        <v>0</v>
      </c>
      <c r="S4704" s="4" t="str">
        <f>(VLOOKUP(B4704,Price_data!A$1:C$190,3,FALSE))</f>
        <v>EEZ</v>
      </c>
      <c r="T4704" s="2" t="str">
        <f>IF(C4704="Total", (VLOOKUP(B4704,Recommended_fish_intake!A$4:D$122,4,FALSE)), "NA")</f>
        <v>NA</v>
      </c>
      <c r="U4704" s="2" t="str">
        <f t="shared" si="406"/>
        <v>NA</v>
      </c>
    </row>
    <row r="4705" spans="1:21" ht="14.25" customHeight="1">
      <c r="A4705" s="2" t="s">
        <v>90</v>
      </c>
      <c r="B4705" s="2">
        <v>2014</v>
      </c>
      <c r="C4705" s="2" t="s">
        <v>41</v>
      </c>
      <c r="D4705" s="2">
        <v>23.3</v>
      </c>
      <c r="E4705" s="2">
        <v>58.5</v>
      </c>
      <c r="P4705" s="3">
        <f>E4705*(VLOOKUP(B4705,Price_data!A$1:B$190,2,FALSE))</f>
        <v>38.91118812165</v>
      </c>
      <c r="Q4705" s="3">
        <f>G4705*(VLOOKUP(B4705,Price_data!A$1:B$190,2,FALSE))</f>
        <v>0</v>
      </c>
      <c r="R4705" s="3">
        <f>I4705*(VLOOKUP(B4705,Price_data!A$1:B$190,2,FALSE))</f>
        <v>0</v>
      </c>
      <c r="S4705" s="4" t="str">
        <f>(VLOOKUP(B4705,Price_data!A$1:C$190,3,FALSE))</f>
        <v>EEZ</v>
      </c>
      <c r="T4705" s="2" t="str">
        <f>IF(C4705="Total", (VLOOKUP(B4705,Recommended_fish_intake!A$4:D$122,4,FALSE)), "NA")</f>
        <v>NA</v>
      </c>
      <c r="U4705" s="2" t="str">
        <f t="shared" si="406"/>
        <v>NA</v>
      </c>
    </row>
    <row r="4706" spans="1:21" ht="14.25" customHeight="1">
      <c r="A4706" s="2" t="s">
        <v>90</v>
      </c>
      <c r="B4706" s="2">
        <v>2014</v>
      </c>
      <c r="C4706" s="2" t="s">
        <v>19</v>
      </c>
      <c r="D4706" s="2">
        <v>2.9</v>
      </c>
      <c r="E4706" s="2">
        <v>1</v>
      </c>
      <c r="P4706" s="3">
        <f>E4706*(VLOOKUP(B4706,Price_data!A$1:B$190,2,FALSE))</f>
        <v>0.66514851490000004</v>
      </c>
      <c r="Q4706" s="3">
        <f>G4706*(VLOOKUP(B4706,Price_data!A$1:B$190,2,FALSE))</f>
        <v>0</v>
      </c>
      <c r="R4706" s="3">
        <f>I4706*(VLOOKUP(B4706,Price_data!A$1:B$190,2,FALSE))</f>
        <v>0</v>
      </c>
      <c r="S4706" s="4" t="str">
        <f>(VLOOKUP(B4706,Price_data!A$1:C$190,3,FALSE))</f>
        <v>EEZ</v>
      </c>
      <c r="T4706" s="2" t="str">
        <f>IF(C4706="Total", (VLOOKUP(B4706,Recommended_fish_intake!A$4:D$122,4,FALSE)), "NA")</f>
        <v>NA</v>
      </c>
      <c r="U4706" s="2" t="str">
        <f t="shared" si="406"/>
        <v>NA</v>
      </c>
    </row>
    <row r="4707" spans="1:21" ht="14.25" customHeight="1">
      <c r="A4707" s="2" t="s">
        <v>90</v>
      </c>
      <c r="B4707" s="2">
        <v>2014</v>
      </c>
      <c r="C4707" s="2" t="s">
        <v>20</v>
      </c>
      <c r="D4707" s="2">
        <v>1.8</v>
      </c>
      <c r="E4707" s="2">
        <v>1.6</v>
      </c>
      <c r="P4707" s="3">
        <f>E4707*(VLOOKUP(B4707,Price_data!A$1:B$190,2,FALSE))</f>
        <v>1.0642376238400002</v>
      </c>
      <c r="Q4707" s="3">
        <f>G4707*(VLOOKUP(B4707,Price_data!A$1:B$190,2,FALSE))</f>
        <v>0</v>
      </c>
      <c r="R4707" s="3">
        <f>I4707*(VLOOKUP(B4707,Price_data!A$1:B$190,2,FALSE))</f>
        <v>0</v>
      </c>
      <c r="S4707" s="4" t="str">
        <f>(VLOOKUP(B4707,Price_data!A$1:C$190,3,FALSE))</f>
        <v>EEZ</v>
      </c>
      <c r="T4707" s="2" t="str">
        <f>IF(C4707="Total", (VLOOKUP(B4707,Recommended_fish_intake!A$4:D$122,4,FALSE)), "NA")</f>
        <v>NA</v>
      </c>
      <c r="U4707" s="2" t="str">
        <f t="shared" si="406"/>
        <v>NA</v>
      </c>
    </row>
    <row r="4708" spans="1:21" ht="14.25" customHeight="1">
      <c r="A4708" s="2" t="s">
        <v>90</v>
      </c>
      <c r="B4708" s="2">
        <v>2014</v>
      </c>
      <c r="C4708" s="2" t="s">
        <v>42</v>
      </c>
      <c r="D4708" s="2">
        <v>14.5</v>
      </c>
      <c r="E4708" s="2">
        <v>5.9</v>
      </c>
      <c r="P4708" s="3">
        <f>E4708*(VLOOKUP(B4708,Price_data!A$1:B$190,2,FALSE))</f>
        <v>3.9243762379100007</v>
      </c>
      <c r="Q4708" s="3">
        <f>G4708*(VLOOKUP(B4708,Price_data!A$1:B$190,2,FALSE))</f>
        <v>0</v>
      </c>
      <c r="R4708" s="3">
        <f>I4708*(VLOOKUP(B4708,Price_data!A$1:B$190,2,FALSE))</f>
        <v>0</v>
      </c>
      <c r="S4708" s="4" t="str">
        <f>(VLOOKUP(B4708,Price_data!A$1:C$190,3,FALSE))</f>
        <v>EEZ</v>
      </c>
      <c r="T4708" s="2" t="str">
        <f>IF(C4708="Total", (VLOOKUP(B4708,Recommended_fish_intake!A$4:D$122,4,FALSE)), "NA")</f>
        <v>NA</v>
      </c>
      <c r="U4708" s="2" t="str">
        <f t="shared" si="406"/>
        <v>NA</v>
      </c>
    </row>
    <row r="4709" spans="1:21" ht="14.25" customHeight="1">
      <c r="A4709" s="2" t="s">
        <v>90</v>
      </c>
      <c r="B4709" s="2">
        <v>2014</v>
      </c>
      <c r="C4709" s="2" t="s">
        <v>36</v>
      </c>
      <c r="D4709" s="2">
        <v>15.8</v>
      </c>
      <c r="E4709" s="2">
        <v>21.1</v>
      </c>
      <c r="P4709" s="3">
        <f>E4709*(VLOOKUP(B4709,Price_data!A$1:B$190,2,FALSE))</f>
        <v>14.034633664390002</v>
      </c>
      <c r="Q4709" s="3">
        <f>G4709*(VLOOKUP(B4709,Price_data!A$1:B$190,2,FALSE))</f>
        <v>0</v>
      </c>
      <c r="R4709" s="3">
        <f>I4709*(VLOOKUP(B4709,Price_data!A$1:B$190,2,FALSE))</f>
        <v>0</v>
      </c>
      <c r="S4709" s="4" t="str">
        <f>(VLOOKUP(B4709,Price_data!A$1:C$190,3,FALSE))</f>
        <v>EEZ</v>
      </c>
      <c r="T4709" s="2" t="str">
        <f>IF(C4709="Total", (VLOOKUP(B4709,Recommended_fish_intake!A$4:D$122,4,FALSE)), "NA")</f>
        <v>NA</v>
      </c>
      <c r="U4709" s="2" t="str">
        <f t="shared" si="406"/>
        <v>NA</v>
      </c>
    </row>
    <row r="4710" spans="1:21" ht="14.25" customHeight="1">
      <c r="A4710" s="2" t="s">
        <v>90</v>
      </c>
      <c r="B4710" s="2">
        <v>2014</v>
      </c>
      <c r="C4710" s="2" t="s">
        <v>34</v>
      </c>
      <c r="D4710" s="2">
        <v>1.8</v>
      </c>
      <c r="E4710" s="2">
        <v>17.7</v>
      </c>
      <c r="P4710" s="3">
        <f>E4710*(VLOOKUP(B4710,Price_data!A$1:B$190,2,FALSE))</f>
        <v>11.773128713730001</v>
      </c>
      <c r="Q4710" s="3">
        <f>G4710*(VLOOKUP(B4710,Price_data!A$1:B$190,2,FALSE))</f>
        <v>0</v>
      </c>
      <c r="R4710" s="3">
        <f>I4710*(VLOOKUP(B4710,Price_data!A$1:B$190,2,FALSE))</f>
        <v>0</v>
      </c>
      <c r="S4710" s="4" t="str">
        <f>(VLOOKUP(B4710,Price_data!A$1:C$190,3,FALSE))</f>
        <v>EEZ</v>
      </c>
      <c r="T4710" s="2" t="str">
        <f>IF(C4710="Total", (VLOOKUP(B4710,Recommended_fish_intake!A$4:D$122,4,FALSE)), "NA")</f>
        <v>NA</v>
      </c>
      <c r="U4710" s="2" t="str">
        <f t="shared" si="406"/>
        <v>NA</v>
      </c>
    </row>
    <row r="4711" spans="1:21" ht="14.25" customHeight="1">
      <c r="A4711" s="2" t="s">
        <v>90</v>
      </c>
      <c r="B4711" s="2">
        <v>2014</v>
      </c>
      <c r="C4711" s="2" t="s">
        <v>35</v>
      </c>
      <c r="D4711" s="2">
        <v>3.2</v>
      </c>
      <c r="E4711" s="2">
        <v>10.1</v>
      </c>
      <c r="P4711" s="3">
        <f>E4711*(VLOOKUP(B4711,Price_data!A$1:B$190,2,FALSE))</f>
        <v>6.71800000049</v>
      </c>
      <c r="Q4711" s="3">
        <f>G4711*(VLOOKUP(B4711,Price_data!A$1:B$190,2,FALSE))</f>
        <v>0</v>
      </c>
      <c r="R4711" s="3">
        <f>I4711*(VLOOKUP(B4711,Price_data!A$1:B$190,2,FALSE))</f>
        <v>0</v>
      </c>
      <c r="S4711" s="4" t="str">
        <f>(VLOOKUP(B4711,Price_data!A$1:C$190,3,FALSE))</f>
        <v>EEZ</v>
      </c>
      <c r="T4711" s="2" t="str">
        <f>IF(C4711="Total", (VLOOKUP(B4711,Recommended_fish_intake!A$4:D$122,4,FALSE)), "NA")</f>
        <v>NA</v>
      </c>
      <c r="U4711" s="2" t="str">
        <f t="shared" si="406"/>
        <v>NA</v>
      </c>
    </row>
    <row r="4712" spans="1:21" ht="14.25" customHeight="1">
      <c r="A4712" s="2" t="s">
        <v>90</v>
      </c>
      <c r="B4712" s="2">
        <v>2014</v>
      </c>
      <c r="C4712" s="2" t="s">
        <v>52</v>
      </c>
      <c r="D4712" s="2">
        <v>13.4</v>
      </c>
      <c r="E4712" s="2">
        <v>22</v>
      </c>
      <c r="P4712" s="3">
        <f>E4712*(VLOOKUP(B4712,Price_data!A$1:B$190,2,FALSE))</f>
        <v>14.633267327800001</v>
      </c>
      <c r="Q4712" s="3">
        <f>G4712*(VLOOKUP(B4712,Price_data!A$1:B$190,2,FALSE))</f>
        <v>0</v>
      </c>
      <c r="R4712" s="3">
        <f>I4712*(VLOOKUP(B4712,Price_data!A$1:B$190,2,FALSE))</f>
        <v>0</v>
      </c>
      <c r="S4712" s="4" t="str">
        <f>(VLOOKUP(B4712,Price_data!A$1:C$190,3,FALSE))</f>
        <v>EEZ</v>
      </c>
      <c r="T4712" s="2" t="str">
        <f>IF(C4712="Total", (VLOOKUP(B4712,Recommended_fish_intake!A$4:D$122,4,FALSE)), "NA")</f>
        <v>NA</v>
      </c>
      <c r="U4712" s="2" t="str">
        <f t="shared" si="406"/>
        <v>NA</v>
      </c>
    </row>
    <row r="4713" spans="1:21" ht="14.25" customHeight="1">
      <c r="A4713" s="2" t="s">
        <v>90</v>
      </c>
      <c r="B4713" s="2">
        <v>2014</v>
      </c>
      <c r="C4713" s="2" t="s">
        <v>30</v>
      </c>
      <c r="D4713" s="2">
        <v>0.6</v>
      </c>
      <c r="E4713" s="2">
        <v>1.3</v>
      </c>
      <c r="P4713" s="3">
        <f>E4713*(VLOOKUP(B4713,Price_data!A$1:B$190,2,FALSE))</f>
        <v>0.86469306937000012</v>
      </c>
      <c r="Q4713" s="3">
        <f>G4713*(VLOOKUP(B4713,Price_data!A$1:B$190,2,FALSE))</f>
        <v>0</v>
      </c>
      <c r="R4713" s="3">
        <f>I4713*(VLOOKUP(B4713,Price_data!A$1:B$190,2,FALSE))</f>
        <v>0</v>
      </c>
      <c r="S4713" s="4" t="str">
        <f>(VLOOKUP(B4713,Price_data!A$1:C$190,3,FALSE))</f>
        <v>EEZ</v>
      </c>
      <c r="T4713" s="2" t="str">
        <f>IF(C4713="Total", (VLOOKUP(B4713,Recommended_fish_intake!A$4:D$122,4,FALSE)), "NA")</f>
        <v>NA</v>
      </c>
      <c r="U4713" s="2" t="str">
        <f t="shared" si="406"/>
        <v>NA</v>
      </c>
    </row>
    <row r="4714" spans="1:21" ht="14.25" customHeight="1">
      <c r="A4714" s="2" t="s">
        <v>90</v>
      </c>
      <c r="B4714" s="2">
        <v>2014</v>
      </c>
      <c r="C4714" s="2" t="s">
        <v>28</v>
      </c>
      <c r="D4714" s="2">
        <v>63.2</v>
      </c>
      <c r="E4714" s="2">
        <v>102.3</v>
      </c>
      <c r="P4714" s="3">
        <f>E4714*(VLOOKUP(B4714,Price_data!A$1:B$190,2,FALSE))</f>
        <v>68.04469307427</v>
      </c>
      <c r="Q4714" s="3">
        <f>G4714*(VLOOKUP(B4714,Price_data!A$1:B$190,2,FALSE))</f>
        <v>0</v>
      </c>
      <c r="R4714" s="3">
        <f>I4714*(VLOOKUP(B4714,Price_data!A$1:B$190,2,FALSE))</f>
        <v>0</v>
      </c>
      <c r="S4714" s="4" t="str">
        <f>(VLOOKUP(B4714,Price_data!A$1:C$190,3,FALSE))</f>
        <v>EEZ</v>
      </c>
      <c r="T4714" s="2" t="str">
        <f>IF(C4714="Total", (VLOOKUP(B4714,Recommended_fish_intake!A$4:D$122,4,FALSE)), "NA")</f>
        <v>NA</v>
      </c>
      <c r="U4714" s="2">
        <f t="shared" si="406"/>
        <v>17.696000000000002</v>
      </c>
    </row>
    <row r="4715" spans="1:21" ht="14.25" customHeight="1">
      <c r="A4715" s="2" t="s">
        <v>91</v>
      </c>
      <c r="B4715" s="2">
        <v>2014</v>
      </c>
      <c r="C4715" s="2" t="s">
        <v>22</v>
      </c>
      <c r="D4715" s="2">
        <v>2.7E-2</v>
      </c>
      <c r="E4715" s="2">
        <v>5.2999999999999999E-2</v>
      </c>
      <c r="P4715" s="3">
        <f>E4715*(VLOOKUP(B4715,Price_data!A$1:B$190,2,FALSE))</f>
        <v>3.5252871289699998E-2</v>
      </c>
      <c r="Q4715" s="3">
        <f>G4715*(VLOOKUP(B4715,Price_data!A$1:B$190,2,FALSE))</f>
        <v>0</v>
      </c>
      <c r="R4715" s="3">
        <f>I4715*(VLOOKUP(B4715,Price_data!A$1:B$190,2,FALSE))</f>
        <v>0</v>
      </c>
      <c r="S4715" s="4" t="str">
        <f>(VLOOKUP(B4715,Price_data!A$1:C$190,3,FALSE))</f>
        <v>EEZ</v>
      </c>
      <c r="T4715" s="2" t="str">
        <f>IF(C4715="Total", (VLOOKUP(B4715,Recommended_fish_intake!A$4:D$122,4,FALSE)), "NA")</f>
        <v>NA</v>
      </c>
      <c r="U4715" s="2" t="str">
        <f t="shared" si="406"/>
        <v>NA</v>
      </c>
    </row>
    <row r="4716" spans="1:21" ht="14.25" customHeight="1">
      <c r="A4716" s="2" t="s">
        <v>91</v>
      </c>
      <c r="B4716" s="2">
        <v>2014</v>
      </c>
      <c r="C4716" s="2" t="s">
        <v>23</v>
      </c>
      <c r="D4716" s="2">
        <v>0.01</v>
      </c>
      <c r="E4716" s="2">
        <v>1.2999999999999999E-2</v>
      </c>
      <c r="P4716" s="3">
        <f>E4716*(VLOOKUP(B4716,Price_data!A$1:B$190,2,FALSE))</f>
        <v>8.6469306937000008E-3</v>
      </c>
      <c r="Q4716" s="3">
        <f>G4716*(VLOOKUP(B4716,Price_data!A$1:B$190,2,FALSE))</f>
        <v>0</v>
      </c>
      <c r="R4716" s="3">
        <f>I4716*(VLOOKUP(B4716,Price_data!A$1:B$190,2,FALSE))</f>
        <v>0</v>
      </c>
      <c r="S4716" s="4" t="str">
        <f>(VLOOKUP(B4716,Price_data!A$1:C$190,3,FALSE))</f>
        <v>EEZ</v>
      </c>
      <c r="T4716" s="2" t="str">
        <f>IF(C4716="Total", (VLOOKUP(B4716,Recommended_fish_intake!A$4:D$122,4,FALSE)), "NA")</f>
        <v>NA</v>
      </c>
      <c r="U4716" s="2" t="str">
        <f t="shared" si="406"/>
        <v>NA</v>
      </c>
    </row>
    <row r="4717" spans="1:21" ht="14.25" customHeight="1">
      <c r="A4717" s="2" t="s">
        <v>91</v>
      </c>
      <c r="B4717" s="2">
        <v>2014</v>
      </c>
      <c r="C4717" s="2" t="s">
        <v>53</v>
      </c>
      <c r="D4717" s="2">
        <v>0.06</v>
      </c>
      <c r="E4717" s="2">
        <v>9.5000000000000001E-2</v>
      </c>
      <c r="P4717" s="3">
        <f>E4717*(VLOOKUP(B4717,Price_data!A$1:B$190,2,FALSE))</f>
        <v>6.3189108915500003E-2</v>
      </c>
      <c r="Q4717" s="3">
        <f>G4717*(VLOOKUP(B4717,Price_data!A$1:B$190,2,FALSE))</f>
        <v>0</v>
      </c>
      <c r="R4717" s="3">
        <f>I4717*(VLOOKUP(B4717,Price_data!A$1:B$190,2,FALSE))</f>
        <v>0</v>
      </c>
      <c r="S4717" s="4" t="str">
        <f>(VLOOKUP(B4717,Price_data!A$1:C$190,3,FALSE))</f>
        <v>EEZ</v>
      </c>
      <c r="T4717" s="2" t="str">
        <f>IF(C4717="Total", (VLOOKUP(B4717,Recommended_fish_intake!A$4:D$122,4,FALSE)), "NA")</f>
        <v>NA</v>
      </c>
      <c r="U4717" s="2" t="str">
        <f t="shared" si="406"/>
        <v>NA</v>
      </c>
    </row>
    <row r="4718" spans="1:21" ht="14.25" customHeight="1">
      <c r="A4718" s="2" t="s">
        <v>91</v>
      </c>
      <c r="B4718" s="2">
        <v>2014</v>
      </c>
      <c r="C4718" s="2" t="s">
        <v>58</v>
      </c>
      <c r="D4718" s="2">
        <v>0.249</v>
      </c>
      <c r="E4718" s="2">
        <v>0.84199999999999997</v>
      </c>
      <c r="P4718" s="3">
        <f>E4718*(VLOOKUP(B4718,Price_data!A$1:B$190,2,FALSE))</f>
        <v>0.56005504954579999</v>
      </c>
      <c r="Q4718" s="3">
        <f>G4718*(VLOOKUP(B4718,Price_data!A$1:B$190,2,FALSE))</f>
        <v>0</v>
      </c>
      <c r="R4718" s="3">
        <f>I4718*(VLOOKUP(B4718,Price_data!A$1:B$190,2,FALSE))</f>
        <v>0</v>
      </c>
      <c r="S4718" s="4" t="str">
        <f>(VLOOKUP(B4718,Price_data!A$1:C$190,3,FALSE))</f>
        <v>EEZ</v>
      </c>
      <c r="T4718" s="2" t="str">
        <f>IF(C4718="Total", (VLOOKUP(B4718,Recommended_fish_intake!A$4:D$122,4,FALSE)), "NA")</f>
        <v>NA</v>
      </c>
      <c r="U4718" s="2" t="str">
        <f t="shared" si="406"/>
        <v>NA</v>
      </c>
    </row>
    <row r="4719" spans="1:21" ht="14.25" customHeight="1">
      <c r="A4719" s="2" t="s">
        <v>91</v>
      </c>
      <c r="B4719" s="2">
        <v>2014</v>
      </c>
      <c r="C4719" s="2" t="s">
        <v>38</v>
      </c>
      <c r="D4719" s="2">
        <v>2E-3</v>
      </c>
      <c r="E4719" s="2">
        <v>2E-3</v>
      </c>
      <c r="P4719" s="3">
        <f>E4719*(VLOOKUP(B4719,Price_data!A$1:B$190,2,FALSE))</f>
        <v>1.3302970298000002E-3</v>
      </c>
      <c r="Q4719" s="3">
        <f>G4719*(VLOOKUP(B4719,Price_data!A$1:B$190,2,FALSE))</f>
        <v>0</v>
      </c>
      <c r="R4719" s="3">
        <f>I4719*(VLOOKUP(B4719,Price_data!A$1:B$190,2,FALSE))</f>
        <v>0</v>
      </c>
      <c r="S4719" s="4" t="str">
        <f>(VLOOKUP(B4719,Price_data!A$1:C$190,3,FALSE))</f>
        <v>EEZ</v>
      </c>
      <c r="T4719" s="2" t="str">
        <f>IF(C4719="Total", (VLOOKUP(B4719,Recommended_fish_intake!A$4:D$122,4,FALSE)), "NA")</f>
        <v>NA</v>
      </c>
      <c r="U4719" s="2" t="str">
        <f t="shared" si="406"/>
        <v>NA</v>
      </c>
    </row>
    <row r="4720" spans="1:21" ht="14.25" customHeight="1">
      <c r="A4720" s="2" t="s">
        <v>91</v>
      </c>
      <c r="B4720" s="2">
        <v>2014</v>
      </c>
      <c r="C4720" s="2" t="s">
        <v>63</v>
      </c>
      <c r="D4720" s="2">
        <v>0.01</v>
      </c>
      <c r="E4720" s="2">
        <v>6.5000000000000002E-2</v>
      </c>
      <c r="P4720" s="3">
        <f>E4720*(VLOOKUP(B4720,Price_data!A$1:B$190,2,FALSE))</f>
        <v>4.3234653468500008E-2</v>
      </c>
      <c r="Q4720" s="3">
        <f>G4720*(VLOOKUP(B4720,Price_data!A$1:B$190,2,FALSE))</f>
        <v>0</v>
      </c>
      <c r="R4720" s="3">
        <f>I4720*(VLOOKUP(B4720,Price_data!A$1:B$190,2,FALSE))</f>
        <v>0</v>
      </c>
      <c r="S4720" s="4" t="str">
        <f>(VLOOKUP(B4720,Price_data!A$1:C$190,3,FALSE))</f>
        <v>EEZ</v>
      </c>
      <c r="T4720" s="2" t="str">
        <f>IF(C4720="Total", (VLOOKUP(B4720,Recommended_fish_intake!A$4:D$122,4,FALSE)), "NA")</f>
        <v>NA</v>
      </c>
      <c r="U4720" s="2" t="str">
        <f t="shared" si="406"/>
        <v>NA</v>
      </c>
    </row>
    <row r="4721" spans="1:21" ht="14.25" customHeight="1">
      <c r="A4721" s="2" t="s">
        <v>91</v>
      </c>
      <c r="B4721" s="2">
        <v>2014</v>
      </c>
      <c r="C4721" s="2" t="s">
        <v>24</v>
      </c>
      <c r="D4721" s="2">
        <v>8.0000000000000002E-3</v>
      </c>
      <c r="E4721" s="2">
        <v>6.0000000000000001E-3</v>
      </c>
      <c r="P4721" s="3">
        <f>E4721*(VLOOKUP(B4721,Price_data!A$1:B$190,2,FALSE))</f>
        <v>3.9908910894000003E-3</v>
      </c>
      <c r="Q4721" s="3">
        <f>G4721*(VLOOKUP(B4721,Price_data!A$1:B$190,2,FALSE))</f>
        <v>0</v>
      </c>
      <c r="R4721" s="3">
        <f>I4721*(VLOOKUP(B4721,Price_data!A$1:B$190,2,FALSE))</f>
        <v>0</v>
      </c>
      <c r="S4721" s="4" t="str">
        <f>(VLOOKUP(B4721,Price_data!A$1:C$190,3,FALSE))</f>
        <v>EEZ</v>
      </c>
      <c r="T4721" s="2" t="str">
        <f>IF(C4721="Total", (VLOOKUP(B4721,Recommended_fish_intake!A$4:D$122,4,FALSE)), "NA")</f>
        <v>NA</v>
      </c>
      <c r="U4721" s="2" t="str">
        <f t="shared" si="406"/>
        <v>NA</v>
      </c>
    </row>
    <row r="4722" spans="1:21" ht="14.25" customHeight="1">
      <c r="A4722" s="2" t="s">
        <v>91</v>
      </c>
      <c r="B4722" s="2">
        <v>2014</v>
      </c>
      <c r="C4722" s="2" t="s">
        <v>41</v>
      </c>
      <c r="D4722" s="2">
        <v>1.038</v>
      </c>
      <c r="E4722" s="2">
        <v>3.1</v>
      </c>
      <c r="P4722" s="3">
        <f>E4722*(VLOOKUP(B4722,Price_data!A$1:B$190,2,FALSE))</f>
        <v>2.0619603961900004</v>
      </c>
      <c r="Q4722" s="3">
        <f>G4722*(VLOOKUP(B4722,Price_data!A$1:B$190,2,FALSE))</f>
        <v>0</v>
      </c>
      <c r="R4722" s="3">
        <f>I4722*(VLOOKUP(B4722,Price_data!A$1:B$190,2,FALSE))</f>
        <v>0</v>
      </c>
      <c r="S4722" s="4" t="str">
        <f>(VLOOKUP(B4722,Price_data!A$1:C$190,3,FALSE))</f>
        <v>EEZ</v>
      </c>
      <c r="T4722" s="2" t="str">
        <f>IF(C4722="Total", (VLOOKUP(B4722,Recommended_fish_intake!A$4:D$122,4,FALSE)), "NA")</f>
        <v>NA</v>
      </c>
      <c r="U4722" s="2" t="str">
        <f t="shared" si="406"/>
        <v>NA</v>
      </c>
    </row>
    <row r="4723" spans="1:21" ht="14.25" customHeight="1">
      <c r="A4723" s="2" t="s">
        <v>91</v>
      </c>
      <c r="B4723" s="2">
        <v>2014</v>
      </c>
      <c r="C4723" s="2" t="s">
        <v>19</v>
      </c>
      <c r="D4723" s="2">
        <v>1.2E-2</v>
      </c>
      <c r="E4723" s="2">
        <v>1E-3</v>
      </c>
      <c r="P4723" s="3">
        <f>E4723*(VLOOKUP(B4723,Price_data!A$1:B$190,2,FALSE))</f>
        <v>6.6514851490000009E-4</v>
      </c>
      <c r="Q4723" s="3">
        <f>G4723*(VLOOKUP(B4723,Price_data!A$1:B$190,2,FALSE))</f>
        <v>0</v>
      </c>
      <c r="R4723" s="3">
        <f>I4723*(VLOOKUP(B4723,Price_data!A$1:B$190,2,FALSE))</f>
        <v>0</v>
      </c>
      <c r="S4723" s="4" t="str">
        <f>(VLOOKUP(B4723,Price_data!A$1:C$190,3,FALSE))</f>
        <v>EEZ</v>
      </c>
      <c r="T4723" s="2" t="str">
        <f>IF(C4723="Total", (VLOOKUP(B4723,Recommended_fish_intake!A$4:D$122,4,FALSE)), "NA")</f>
        <v>NA</v>
      </c>
      <c r="U4723" s="2" t="str">
        <f t="shared" si="406"/>
        <v>NA</v>
      </c>
    </row>
    <row r="4724" spans="1:21" ht="14.25" customHeight="1">
      <c r="A4724" s="2" t="s">
        <v>91</v>
      </c>
      <c r="B4724" s="2">
        <v>2014</v>
      </c>
      <c r="C4724" s="2" t="s">
        <v>20</v>
      </c>
      <c r="D4724" s="2">
        <v>0</v>
      </c>
      <c r="E4724" s="2">
        <v>0</v>
      </c>
      <c r="P4724" s="3">
        <f>E4724*(VLOOKUP(B4724,Price_data!A$1:B$190,2,FALSE))</f>
        <v>0</v>
      </c>
      <c r="Q4724" s="3">
        <f>G4724*(VLOOKUP(B4724,Price_data!A$1:B$190,2,FALSE))</f>
        <v>0</v>
      </c>
      <c r="R4724" s="3">
        <f>I4724*(VLOOKUP(B4724,Price_data!A$1:B$190,2,FALSE))</f>
        <v>0</v>
      </c>
      <c r="S4724" s="4" t="str">
        <f>(VLOOKUP(B4724,Price_data!A$1:C$190,3,FALSE))</f>
        <v>EEZ</v>
      </c>
      <c r="T4724" s="2" t="str">
        <f>IF(C4724="Total", (VLOOKUP(B4724,Recommended_fish_intake!A$4:D$122,4,FALSE)), "NA")</f>
        <v>NA</v>
      </c>
      <c r="U4724" s="2" t="str">
        <f t="shared" si="406"/>
        <v>NA</v>
      </c>
    </row>
    <row r="4725" spans="1:21" ht="14.25" customHeight="1">
      <c r="A4725" s="2" t="s">
        <v>91</v>
      </c>
      <c r="B4725" s="2">
        <v>2014</v>
      </c>
      <c r="C4725" s="2" t="s">
        <v>42</v>
      </c>
      <c r="D4725" s="2">
        <v>1.2999999999999999E-2</v>
      </c>
      <c r="E4725" s="2">
        <v>1E-3</v>
      </c>
      <c r="P4725" s="3">
        <f>E4725*(VLOOKUP(B4725,Price_data!A$1:B$190,2,FALSE))</f>
        <v>6.6514851490000009E-4</v>
      </c>
      <c r="Q4725" s="3">
        <f>G4725*(VLOOKUP(B4725,Price_data!A$1:B$190,2,FALSE))</f>
        <v>0</v>
      </c>
      <c r="R4725" s="3">
        <f>I4725*(VLOOKUP(B4725,Price_data!A$1:B$190,2,FALSE))</f>
        <v>0</v>
      </c>
      <c r="S4725" s="4" t="str">
        <f>(VLOOKUP(B4725,Price_data!A$1:C$190,3,FALSE))</f>
        <v>EEZ</v>
      </c>
      <c r="T4725" s="2" t="str">
        <f>IF(C4725="Total", (VLOOKUP(B4725,Recommended_fish_intake!A$4:D$122,4,FALSE)), "NA")</f>
        <v>NA</v>
      </c>
      <c r="U4725" s="2" t="str">
        <f t="shared" si="406"/>
        <v>NA</v>
      </c>
    </row>
    <row r="4726" spans="1:21" ht="14.25" customHeight="1">
      <c r="A4726" s="2" t="s">
        <v>91</v>
      </c>
      <c r="B4726" s="2">
        <v>2014</v>
      </c>
      <c r="C4726" s="2" t="s">
        <v>36</v>
      </c>
      <c r="D4726" s="2">
        <v>0.56299999999999994</v>
      </c>
      <c r="E4726" s="2">
        <v>0.63100000000000001</v>
      </c>
      <c r="P4726" s="3">
        <f>E4726*(VLOOKUP(B4726,Price_data!A$1:B$190,2,FALSE))</f>
        <v>0.41970871290190004</v>
      </c>
      <c r="Q4726" s="3">
        <f>G4726*(VLOOKUP(B4726,Price_data!A$1:B$190,2,FALSE))</f>
        <v>0</v>
      </c>
      <c r="R4726" s="3">
        <f>I4726*(VLOOKUP(B4726,Price_data!A$1:B$190,2,FALSE))</f>
        <v>0</v>
      </c>
      <c r="S4726" s="4" t="str">
        <f>(VLOOKUP(B4726,Price_data!A$1:C$190,3,FALSE))</f>
        <v>EEZ</v>
      </c>
      <c r="T4726" s="2" t="str">
        <f>IF(C4726="Total", (VLOOKUP(B4726,Recommended_fish_intake!A$4:D$122,4,FALSE)), "NA")</f>
        <v>NA</v>
      </c>
      <c r="U4726" s="2" t="str">
        <f t="shared" si="406"/>
        <v>NA</v>
      </c>
    </row>
    <row r="4727" spans="1:21" ht="14.25" customHeight="1">
      <c r="A4727" s="2" t="s">
        <v>91</v>
      </c>
      <c r="B4727" s="2">
        <v>2014</v>
      </c>
      <c r="C4727" s="2" t="s">
        <v>34</v>
      </c>
      <c r="D4727" s="2">
        <v>0.18099999999999999</v>
      </c>
      <c r="E4727" s="2">
        <v>1.7709999999999999</v>
      </c>
      <c r="P4727" s="3">
        <f>E4727*(VLOOKUP(B4727,Price_data!A$1:B$190,2,FALSE))</f>
        <v>1.1779780198879</v>
      </c>
      <c r="Q4727" s="3">
        <f>G4727*(VLOOKUP(B4727,Price_data!A$1:B$190,2,FALSE))</f>
        <v>0</v>
      </c>
      <c r="R4727" s="3">
        <f>I4727*(VLOOKUP(B4727,Price_data!A$1:B$190,2,FALSE))</f>
        <v>0</v>
      </c>
      <c r="S4727" s="4" t="str">
        <f>(VLOOKUP(B4727,Price_data!A$1:C$190,3,FALSE))</f>
        <v>EEZ</v>
      </c>
      <c r="T4727" s="2" t="str">
        <f>IF(C4727="Total", (VLOOKUP(B4727,Recommended_fish_intake!A$4:D$122,4,FALSE)), "NA")</f>
        <v>NA</v>
      </c>
      <c r="U4727" s="2" t="str">
        <f t="shared" si="406"/>
        <v>NA</v>
      </c>
    </row>
    <row r="4728" spans="1:21" ht="14.25" customHeight="1">
      <c r="A4728" s="2" t="s">
        <v>91</v>
      </c>
      <c r="B4728" s="2">
        <v>2014</v>
      </c>
      <c r="C4728" s="2" t="s">
        <v>35</v>
      </c>
      <c r="D4728" s="2">
        <v>7.1999999999999995E-2</v>
      </c>
      <c r="E4728" s="2">
        <v>0.22600000000000001</v>
      </c>
      <c r="P4728" s="3">
        <f>E4728*(VLOOKUP(B4728,Price_data!A$1:B$190,2,FALSE))</f>
        <v>0.15032356436740002</v>
      </c>
      <c r="Q4728" s="3">
        <f>G4728*(VLOOKUP(B4728,Price_data!A$1:B$190,2,FALSE))</f>
        <v>0</v>
      </c>
      <c r="R4728" s="3">
        <f>I4728*(VLOOKUP(B4728,Price_data!A$1:B$190,2,FALSE))</f>
        <v>0</v>
      </c>
      <c r="S4728" s="4" t="str">
        <f>(VLOOKUP(B4728,Price_data!A$1:C$190,3,FALSE))</f>
        <v>EEZ</v>
      </c>
      <c r="T4728" s="2" t="str">
        <f>IF(C4728="Total", (VLOOKUP(B4728,Recommended_fish_intake!A$4:D$122,4,FALSE)), "NA")</f>
        <v>NA</v>
      </c>
      <c r="U4728" s="2" t="str">
        <f t="shared" si="406"/>
        <v>NA</v>
      </c>
    </row>
    <row r="4729" spans="1:21" ht="14.25" customHeight="1">
      <c r="A4729" s="2" t="s">
        <v>91</v>
      </c>
      <c r="B4729" s="2">
        <v>2014</v>
      </c>
      <c r="C4729" s="2" t="s">
        <v>52</v>
      </c>
      <c r="D4729" s="2">
        <v>3.5539999999999998</v>
      </c>
      <c r="E4729" s="2">
        <v>3.5880000000000001</v>
      </c>
      <c r="P4729" s="3">
        <f>E4729*(VLOOKUP(B4729,Price_data!A$1:B$190,2,FALSE))</f>
        <v>2.3865528714612001</v>
      </c>
      <c r="Q4729" s="3">
        <f>G4729*(VLOOKUP(B4729,Price_data!A$1:B$190,2,FALSE))</f>
        <v>0</v>
      </c>
      <c r="R4729" s="3">
        <f>I4729*(VLOOKUP(B4729,Price_data!A$1:B$190,2,FALSE))</f>
        <v>0</v>
      </c>
      <c r="S4729" s="4" t="str">
        <f>(VLOOKUP(B4729,Price_data!A$1:C$190,3,FALSE))</f>
        <v>EEZ</v>
      </c>
      <c r="T4729" s="2" t="str">
        <f>IF(C4729="Total", (VLOOKUP(B4729,Recommended_fish_intake!A$4:D$122,4,FALSE)), "NA")</f>
        <v>NA</v>
      </c>
      <c r="U4729" s="2" t="str">
        <f t="shared" si="406"/>
        <v>NA</v>
      </c>
    </row>
    <row r="4730" spans="1:21" ht="14.25" customHeight="1">
      <c r="A4730" s="2" t="s">
        <v>91</v>
      </c>
      <c r="B4730" s="2">
        <v>2014</v>
      </c>
      <c r="C4730" s="2" t="s">
        <v>30</v>
      </c>
      <c r="D4730" s="2">
        <v>0</v>
      </c>
      <c r="E4730" s="2">
        <v>0</v>
      </c>
      <c r="P4730" s="3">
        <f>E4730*(VLOOKUP(B4730,Price_data!A$1:B$190,2,FALSE))</f>
        <v>0</v>
      </c>
      <c r="Q4730" s="3">
        <f>G4730*(VLOOKUP(B4730,Price_data!A$1:B$190,2,FALSE))</f>
        <v>0</v>
      </c>
      <c r="R4730" s="3">
        <f>I4730*(VLOOKUP(B4730,Price_data!A$1:B$190,2,FALSE))</f>
        <v>0</v>
      </c>
      <c r="S4730" s="4" t="str">
        <f>(VLOOKUP(B4730,Price_data!A$1:C$190,3,FALSE))</f>
        <v>EEZ</v>
      </c>
      <c r="T4730" s="2" t="str">
        <f>IF(C4730="Total", (VLOOKUP(B4730,Recommended_fish_intake!A$4:D$122,4,FALSE)), "NA")</f>
        <v>NA</v>
      </c>
      <c r="U4730" s="2" t="str">
        <f t="shared" si="406"/>
        <v>NA</v>
      </c>
    </row>
    <row r="4731" spans="1:21" ht="14.25" customHeight="1">
      <c r="A4731" s="2" t="s">
        <v>91</v>
      </c>
      <c r="B4731" s="2">
        <v>2014</v>
      </c>
      <c r="C4731" s="2" t="s">
        <v>28</v>
      </c>
      <c r="D4731" s="2">
        <v>8.8249999999999993</v>
      </c>
      <c r="E4731" s="2">
        <v>10.32</v>
      </c>
      <c r="P4731" s="3">
        <f>E4731*(VLOOKUP(B4731,Price_data!A$1:B$190,2,FALSE))</f>
        <v>6.8643326737680006</v>
      </c>
      <c r="Q4731" s="3">
        <f>G4731*(VLOOKUP(B4731,Price_data!A$1:B$190,2,FALSE))</f>
        <v>0</v>
      </c>
      <c r="R4731" s="3">
        <f>I4731*(VLOOKUP(B4731,Price_data!A$1:B$190,2,FALSE))</f>
        <v>0</v>
      </c>
      <c r="S4731" s="4" t="str">
        <f>(VLOOKUP(B4731,Price_data!A$1:C$190,3,FALSE))</f>
        <v>EEZ</v>
      </c>
      <c r="T4731" s="2" t="str">
        <f>IF(C4731="Total", (VLOOKUP(B4731,Recommended_fish_intake!A$4:D$122,4,FALSE)), "NA")</f>
        <v>NA</v>
      </c>
      <c r="U4731" s="2">
        <f t="shared" si="406"/>
        <v>2.4710000000000001</v>
      </c>
    </row>
    <row r="4732" spans="1:21" ht="14.25" customHeight="1">
      <c r="A4732" s="2" t="s">
        <v>39</v>
      </c>
      <c r="B4732" s="2">
        <v>2014</v>
      </c>
      <c r="C4732" s="2" t="s">
        <v>22</v>
      </c>
      <c r="D4732" s="2">
        <v>12.893000000000001</v>
      </c>
      <c r="E4732" s="2">
        <v>25.844999999999999</v>
      </c>
      <c r="P4732" s="3">
        <f>E4732*(VLOOKUP(B4732,Price_data!A$1:B$190,2,FALSE))</f>
        <v>17.190763367590499</v>
      </c>
      <c r="Q4732" s="3">
        <f>G4732*(VLOOKUP(B4732,Price_data!A$1:B$190,2,FALSE))</f>
        <v>0</v>
      </c>
      <c r="R4732" s="3">
        <f>I4732*(VLOOKUP(B4732,Price_data!A$1:B$190,2,FALSE))</f>
        <v>0</v>
      </c>
      <c r="S4732" s="4" t="str">
        <f>(VLOOKUP(B4732,Price_data!A$1:C$190,3,FALSE))</f>
        <v>EEZ</v>
      </c>
      <c r="T4732" s="2" t="str">
        <f>IF(C4732="Total", (VLOOKUP(B4732,Recommended_fish_intake!A$4:D$122,4,FALSE)), "NA")</f>
        <v>NA</v>
      </c>
      <c r="U4732" s="2" t="str">
        <f t="shared" si="406"/>
        <v>NA</v>
      </c>
    </row>
    <row r="4733" spans="1:21" ht="14.25" customHeight="1">
      <c r="A4733" s="2" t="s">
        <v>39</v>
      </c>
      <c r="B4733" s="2">
        <v>2014</v>
      </c>
      <c r="C4733" s="2" t="s">
        <v>23</v>
      </c>
      <c r="D4733" s="2">
        <v>34.14</v>
      </c>
      <c r="E4733" s="2">
        <v>47.4</v>
      </c>
      <c r="P4733" s="3">
        <f>E4733*(VLOOKUP(B4733,Price_data!A$1:B$190,2,FALSE))</f>
        <v>31.528039606260002</v>
      </c>
      <c r="Q4733" s="3">
        <f>G4733*(VLOOKUP(B4733,Price_data!A$1:B$190,2,FALSE))</f>
        <v>0</v>
      </c>
      <c r="R4733" s="3">
        <f>I4733*(VLOOKUP(B4733,Price_data!A$1:B$190,2,FALSE))</f>
        <v>0</v>
      </c>
      <c r="S4733" s="4" t="str">
        <f>(VLOOKUP(B4733,Price_data!A$1:C$190,3,FALSE))</f>
        <v>EEZ</v>
      </c>
      <c r="T4733" s="2" t="str">
        <f>IF(C4733="Total", (VLOOKUP(B4733,Recommended_fish_intake!A$4:D$122,4,FALSE)), "NA")</f>
        <v>NA</v>
      </c>
      <c r="U4733" s="2" t="str">
        <f t="shared" si="406"/>
        <v>NA</v>
      </c>
    </row>
    <row r="4734" spans="1:21" ht="14.25" customHeight="1">
      <c r="A4734" s="2" t="s">
        <v>39</v>
      </c>
      <c r="B4734" s="2">
        <v>2014</v>
      </c>
      <c r="C4734" s="2" t="s">
        <v>53</v>
      </c>
      <c r="D4734" s="2">
        <v>7.508</v>
      </c>
      <c r="E4734" s="2">
        <v>17.806999999999999</v>
      </c>
      <c r="P4734" s="3">
        <f>E4734*(VLOOKUP(B4734,Price_data!A$1:B$190,2,FALSE))</f>
        <v>11.8442996048243</v>
      </c>
      <c r="Q4734" s="3">
        <f>G4734*(VLOOKUP(B4734,Price_data!A$1:B$190,2,FALSE))</f>
        <v>0</v>
      </c>
      <c r="R4734" s="3">
        <f>I4734*(VLOOKUP(B4734,Price_data!A$1:B$190,2,FALSE))</f>
        <v>0</v>
      </c>
      <c r="S4734" s="4" t="str">
        <f>(VLOOKUP(B4734,Price_data!A$1:C$190,3,FALSE))</f>
        <v>EEZ</v>
      </c>
      <c r="T4734" s="2" t="str">
        <f>IF(C4734="Total", (VLOOKUP(B4734,Recommended_fish_intake!A$4:D$122,4,FALSE)), "NA")</f>
        <v>NA</v>
      </c>
      <c r="U4734" s="2" t="str">
        <f t="shared" si="406"/>
        <v>NA</v>
      </c>
    </row>
    <row r="4735" spans="1:21" ht="14.25" customHeight="1">
      <c r="A4735" s="2" t="s">
        <v>39</v>
      </c>
      <c r="B4735" s="2">
        <v>2014</v>
      </c>
      <c r="C4735" s="2" t="s">
        <v>58</v>
      </c>
      <c r="D4735" s="2">
        <v>7.6369999999999996</v>
      </c>
      <c r="E4735" s="2">
        <v>21.933</v>
      </c>
      <c r="P4735" s="3">
        <f>E4735*(VLOOKUP(B4735,Price_data!A$1:B$190,2,FALSE))</f>
        <v>14.588702377301701</v>
      </c>
      <c r="Q4735" s="3">
        <f>G4735*(VLOOKUP(B4735,Price_data!A$1:B$190,2,FALSE))</f>
        <v>0</v>
      </c>
      <c r="R4735" s="3">
        <f>I4735*(VLOOKUP(B4735,Price_data!A$1:B$190,2,FALSE))</f>
        <v>0</v>
      </c>
      <c r="S4735" s="4" t="str">
        <f>(VLOOKUP(B4735,Price_data!A$1:C$190,3,FALSE))</f>
        <v>EEZ</v>
      </c>
      <c r="T4735" s="2" t="str">
        <f>IF(C4735="Total", (VLOOKUP(B4735,Recommended_fish_intake!A$4:D$122,4,FALSE)), "NA")</f>
        <v>NA</v>
      </c>
      <c r="U4735" s="2" t="str">
        <f t="shared" si="406"/>
        <v>NA</v>
      </c>
    </row>
    <row r="4736" spans="1:21" ht="14.25" customHeight="1">
      <c r="A4736" s="2" t="s">
        <v>39</v>
      </c>
      <c r="B4736" s="2">
        <v>2014</v>
      </c>
      <c r="C4736" s="2" t="s">
        <v>38</v>
      </c>
      <c r="D4736" s="2">
        <v>11.009</v>
      </c>
      <c r="E4736" s="2">
        <v>10.032</v>
      </c>
      <c r="P4736" s="3">
        <f>E4736*(VLOOKUP(B4736,Price_data!A$1:B$190,2,FALSE))</f>
        <v>6.6727699014768005</v>
      </c>
      <c r="Q4736" s="3">
        <f>G4736*(VLOOKUP(B4736,Price_data!A$1:B$190,2,FALSE))</f>
        <v>0</v>
      </c>
      <c r="R4736" s="3">
        <f>I4736*(VLOOKUP(B4736,Price_data!A$1:B$190,2,FALSE))</f>
        <v>0</v>
      </c>
      <c r="S4736" s="4" t="str">
        <f>(VLOOKUP(B4736,Price_data!A$1:C$190,3,FALSE))</f>
        <v>EEZ</v>
      </c>
      <c r="T4736" s="2" t="str">
        <f>IF(C4736="Total", (VLOOKUP(B4736,Recommended_fish_intake!A$4:D$122,4,FALSE)), "NA")</f>
        <v>NA</v>
      </c>
      <c r="U4736" s="2" t="str">
        <f t="shared" si="406"/>
        <v>NA</v>
      </c>
    </row>
    <row r="4737" spans="1:21" ht="14.25" customHeight="1">
      <c r="A4737" s="2" t="s">
        <v>39</v>
      </c>
      <c r="B4737" s="2">
        <v>2014</v>
      </c>
      <c r="C4737" s="2" t="s">
        <v>63</v>
      </c>
      <c r="D4737" s="2">
        <v>4.0000000000000001E-3</v>
      </c>
      <c r="E4737" s="2">
        <v>2.1000000000000001E-2</v>
      </c>
      <c r="P4737" s="3">
        <f>E4737*(VLOOKUP(B4737,Price_data!A$1:B$190,2,FALSE))</f>
        <v>1.3968118812900002E-2</v>
      </c>
      <c r="Q4737" s="3">
        <f>G4737*(VLOOKUP(B4737,Price_data!A$1:B$190,2,FALSE))</f>
        <v>0</v>
      </c>
      <c r="R4737" s="3">
        <f>I4737*(VLOOKUP(B4737,Price_data!A$1:B$190,2,FALSE))</f>
        <v>0</v>
      </c>
      <c r="S4737" s="4" t="str">
        <f>(VLOOKUP(B4737,Price_data!A$1:C$190,3,FALSE))</f>
        <v>EEZ</v>
      </c>
      <c r="T4737" s="2" t="str">
        <f>IF(C4737="Total", (VLOOKUP(B4737,Recommended_fish_intake!A$4:D$122,4,FALSE)), "NA")</f>
        <v>NA</v>
      </c>
      <c r="U4737" s="2" t="str">
        <f t="shared" si="406"/>
        <v>NA</v>
      </c>
    </row>
    <row r="4738" spans="1:21" ht="14.25" customHeight="1">
      <c r="A4738" s="2" t="s">
        <v>39</v>
      </c>
      <c r="B4738" s="2">
        <v>2014</v>
      </c>
      <c r="C4738" s="2" t="s">
        <v>24</v>
      </c>
      <c r="D4738" s="2">
        <v>9.3149999999999995</v>
      </c>
      <c r="E4738" s="2">
        <v>10.503</v>
      </c>
      <c r="P4738" s="3">
        <f>E4738*(VLOOKUP(B4738,Price_data!A$1:B$190,2,FALSE))</f>
        <v>6.9860548519947008</v>
      </c>
      <c r="Q4738" s="3">
        <f>G4738*(VLOOKUP(B4738,Price_data!A$1:B$190,2,FALSE))</f>
        <v>0</v>
      </c>
      <c r="R4738" s="3">
        <f>I4738*(VLOOKUP(B4738,Price_data!A$1:B$190,2,FALSE))</f>
        <v>0</v>
      </c>
      <c r="S4738" s="4" t="str">
        <f>(VLOOKUP(B4738,Price_data!A$1:C$190,3,FALSE))</f>
        <v>EEZ</v>
      </c>
      <c r="T4738" s="2" t="str">
        <f>IF(C4738="Total", (VLOOKUP(B4738,Recommended_fish_intake!A$4:D$122,4,FALSE)), "NA")</f>
        <v>NA</v>
      </c>
      <c r="U4738" s="2" t="str">
        <f t="shared" ref="U4738:U4801" si="407">IF(C4738="Wet fish", D4738*0.49, IF(C4738="Shellfish", D4738*0.28, "NA"))</f>
        <v>NA</v>
      </c>
    </row>
    <row r="4739" spans="1:21" ht="14.25" customHeight="1">
      <c r="A4739" s="2" t="s">
        <v>39</v>
      </c>
      <c r="B4739" s="2">
        <v>2014</v>
      </c>
      <c r="C4739" s="2" t="s">
        <v>41</v>
      </c>
      <c r="D4739" s="2">
        <v>94.450999999999993</v>
      </c>
      <c r="E4739" s="2">
        <v>152.25399999999999</v>
      </c>
      <c r="P4739" s="3">
        <f>E4739*(VLOOKUP(B4739,Price_data!A$1:B$190,2,FALSE))</f>
        <v>101.27152198758461</v>
      </c>
      <c r="Q4739" s="3">
        <f>G4739*(VLOOKUP(B4739,Price_data!A$1:B$190,2,FALSE))</f>
        <v>0</v>
      </c>
      <c r="R4739" s="3">
        <f>I4739*(VLOOKUP(B4739,Price_data!A$1:B$190,2,FALSE))</f>
        <v>0</v>
      </c>
      <c r="S4739" s="4" t="str">
        <f>(VLOOKUP(B4739,Price_data!A$1:C$190,3,FALSE))</f>
        <v>EEZ</v>
      </c>
      <c r="T4739" s="2" t="str">
        <f>IF(C4739="Total", (VLOOKUP(B4739,Recommended_fish_intake!A$4:D$122,4,FALSE)), "NA")</f>
        <v>NA</v>
      </c>
      <c r="U4739" s="2" t="str">
        <f t="shared" si="407"/>
        <v>NA</v>
      </c>
    </row>
    <row r="4740" spans="1:21" ht="14.25" customHeight="1">
      <c r="A4740" s="2" t="s">
        <v>39</v>
      </c>
      <c r="B4740" s="2">
        <v>2014</v>
      </c>
      <c r="C4740" s="2" t="s">
        <v>19</v>
      </c>
      <c r="D4740" s="2">
        <v>31.308</v>
      </c>
      <c r="E4740" s="2">
        <v>8.5429999999999993</v>
      </c>
      <c r="P4740" s="3">
        <f>E4740*(VLOOKUP(B4740,Price_data!A$1:B$190,2,FALSE))</f>
        <v>5.6823637627906995</v>
      </c>
      <c r="Q4740" s="3">
        <f>G4740*(VLOOKUP(B4740,Price_data!A$1:B$190,2,FALSE))</f>
        <v>0</v>
      </c>
      <c r="R4740" s="3">
        <f>I4740*(VLOOKUP(B4740,Price_data!A$1:B$190,2,FALSE))</f>
        <v>0</v>
      </c>
      <c r="S4740" s="4" t="str">
        <f>(VLOOKUP(B4740,Price_data!A$1:C$190,3,FALSE))</f>
        <v>EEZ</v>
      </c>
      <c r="T4740" s="2" t="str">
        <f>IF(C4740="Total", (VLOOKUP(B4740,Recommended_fish_intake!A$4:D$122,4,FALSE)), "NA")</f>
        <v>NA</v>
      </c>
      <c r="U4740" s="2" t="str">
        <f t="shared" si="407"/>
        <v>NA</v>
      </c>
    </row>
    <row r="4741" spans="1:21" ht="14.25" customHeight="1">
      <c r="A4741" s="2" t="s">
        <v>39</v>
      </c>
      <c r="B4741" s="2">
        <v>2014</v>
      </c>
      <c r="C4741" s="2" t="s">
        <v>20</v>
      </c>
      <c r="D4741" s="2">
        <v>124.151</v>
      </c>
      <c r="E4741" s="2">
        <v>101.32599999999999</v>
      </c>
      <c r="P4741" s="3">
        <f>E4741*(VLOOKUP(B4741,Price_data!A$1:B$190,2,FALSE))</f>
        <v>67.396838420757405</v>
      </c>
      <c r="Q4741" s="3">
        <f>G4741*(VLOOKUP(B4741,Price_data!A$1:B$190,2,FALSE))</f>
        <v>0</v>
      </c>
      <c r="R4741" s="3">
        <f>I4741*(VLOOKUP(B4741,Price_data!A$1:B$190,2,FALSE))</f>
        <v>0</v>
      </c>
      <c r="S4741" s="4" t="str">
        <f>(VLOOKUP(B4741,Price_data!A$1:C$190,3,FALSE))</f>
        <v>EEZ</v>
      </c>
      <c r="T4741" s="2" t="str">
        <f>IF(C4741="Total", (VLOOKUP(B4741,Recommended_fish_intake!A$4:D$122,4,FALSE)), "NA")</f>
        <v>NA</v>
      </c>
      <c r="U4741" s="2" t="str">
        <f t="shared" si="407"/>
        <v>NA</v>
      </c>
    </row>
    <row r="4742" spans="1:21" ht="14.25" customHeight="1">
      <c r="A4742" s="2" t="s">
        <v>39</v>
      </c>
      <c r="B4742" s="2">
        <v>2014</v>
      </c>
      <c r="C4742" s="2" t="s">
        <v>42</v>
      </c>
      <c r="D4742" s="2">
        <v>167.44900000000001</v>
      </c>
      <c r="E4742" s="2">
        <v>111.949</v>
      </c>
      <c r="P4742" s="3">
        <f>E4742*(VLOOKUP(B4742,Price_data!A$1:B$190,2,FALSE))</f>
        <v>74.462711094540097</v>
      </c>
      <c r="Q4742" s="3">
        <f>G4742*(VLOOKUP(B4742,Price_data!A$1:B$190,2,FALSE))</f>
        <v>0</v>
      </c>
      <c r="R4742" s="3">
        <f>I4742*(VLOOKUP(B4742,Price_data!A$1:B$190,2,FALSE))</f>
        <v>0</v>
      </c>
      <c r="S4742" s="4" t="str">
        <f>(VLOOKUP(B4742,Price_data!A$1:C$190,3,FALSE))</f>
        <v>EEZ</v>
      </c>
      <c r="T4742" s="2" t="str">
        <f>IF(C4742="Total", (VLOOKUP(B4742,Recommended_fish_intake!A$4:D$122,4,FALSE)), "NA")</f>
        <v>NA</v>
      </c>
      <c r="U4742" s="2" t="str">
        <f t="shared" si="407"/>
        <v>NA</v>
      </c>
    </row>
    <row r="4743" spans="1:21" ht="14.25" customHeight="1">
      <c r="A4743" s="2" t="s">
        <v>39</v>
      </c>
      <c r="B4743" s="2">
        <v>2014</v>
      </c>
      <c r="C4743" s="2" t="s">
        <v>36</v>
      </c>
      <c r="D4743" s="2">
        <v>14.24</v>
      </c>
      <c r="E4743" s="2">
        <v>20.431999999999999</v>
      </c>
      <c r="P4743" s="3">
        <f>E4743*(VLOOKUP(B4743,Price_data!A$1:B$190,2,FALSE))</f>
        <v>13.590314456436801</v>
      </c>
      <c r="Q4743" s="3">
        <f>G4743*(VLOOKUP(B4743,Price_data!A$1:B$190,2,FALSE))</f>
        <v>0</v>
      </c>
      <c r="R4743" s="3">
        <f>I4743*(VLOOKUP(B4743,Price_data!A$1:B$190,2,FALSE))</f>
        <v>0</v>
      </c>
      <c r="S4743" s="4" t="str">
        <f>(VLOOKUP(B4743,Price_data!A$1:C$190,3,FALSE))</f>
        <v>EEZ</v>
      </c>
      <c r="T4743" s="2" t="str">
        <f>IF(C4743="Total", (VLOOKUP(B4743,Recommended_fish_intake!A$4:D$122,4,FALSE)), "NA")</f>
        <v>NA</v>
      </c>
      <c r="U4743" s="2" t="str">
        <f t="shared" si="407"/>
        <v>NA</v>
      </c>
    </row>
    <row r="4744" spans="1:21" ht="14.25" customHeight="1">
      <c r="A4744" s="2" t="s">
        <v>39</v>
      </c>
      <c r="B4744" s="2">
        <v>2014</v>
      </c>
      <c r="C4744" s="2" t="s">
        <v>34</v>
      </c>
      <c r="D4744" s="2">
        <v>1.218</v>
      </c>
      <c r="E4744" s="2">
        <v>12.535</v>
      </c>
      <c r="P4744" s="3">
        <f>E4744*(VLOOKUP(B4744,Price_data!A$1:B$190,2,FALSE))</f>
        <v>8.3376366342715009</v>
      </c>
      <c r="Q4744" s="3">
        <f>G4744*(VLOOKUP(B4744,Price_data!A$1:B$190,2,FALSE))</f>
        <v>0</v>
      </c>
      <c r="R4744" s="3">
        <f>I4744*(VLOOKUP(B4744,Price_data!A$1:B$190,2,FALSE))</f>
        <v>0</v>
      </c>
      <c r="S4744" s="4" t="str">
        <f>(VLOOKUP(B4744,Price_data!A$1:C$190,3,FALSE))</f>
        <v>EEZ</v>
      </c>
      <c r="T4744" s="2" t="str">
        <f>IF(C4744="Total", (VLOOKUP(B4744,Recommended_fish_intake!A$4:D$122,4,FALSE)), "NA")</f>
        <v>NA</v>
      </c>
      <c r="U4744" s="2" t="str">
        <f t="shared" si="407"/>
        <v>NA</v>
      </c>
    </row>
    <row r="4745" spans="1:21" ht="14.25" customHeight="1">
      <c r="A4745" s="2" t="s">
        <v>39</v>
      </c>
      <c r="B4745" s="2">
        <v>2014</v>
      </c>
      <c r="C4745" s="2" t="s">
        <v>35</v>
      </c>
      <c r="D4745" s="2">
        <v>20.167000000000002</v>
      </c>
      <c r="E4745" s="2">
        <v>72.959999999999994</v>
      </c>
      <c r="P4745" s="3">
        <f>E4745*(VLOOKUP(B4745,Price_data!A$1:B$190,2,FALSE))</f>
        <v>48.529235647104002</v>
      </c>
      <c r="Q4745" s="3">
        <f>G4745*(VLOOKUP(B4745,Price_data!A$1:B$190,2,FALSE))</f>
        <v>0</v>
      </c>
      <c r="R4745" s="3">
        <f>I4745*(VLOOKUP(B4745,Price_data!A$1:B$190,2,FALSE))</f>
        <v>0</v>
      </c>
      <c r="S4745" s="4" t="str">
        <f>(VLOOKUP(B4745,Price_data!A$1:C$190,3,FALSE))</f>
        <v>EEZ</v>
      </c>
      <c r="T4745" s="2" t="str">
        <f>IF(C4745="Total", (VLOOKUP(B4745,Recommended_fish_intake!A$4:D$122,4,FALSE)), "NA")</f>
        <v>NA</v>
      </c>
      <c r="U4745" s="2" t="str">
        <f t="shared" si="407"/>
        <v>NA</v>
      </c>
    </row>
    <row r="4746" spans="1:21" ht="14.25" customHeight="1">
      <c r="A4746" s="2" t="s">
        <v>39</v>
      </c>
      <c r="B4746" s="2">
        <v>2014</v>
      </c>
      <c r="C4746" s="2" t="s">
        <v>52</v>
      </c>
      <c r="D4746" s="2">
        <v>13.749000000000001</v>
      </c>
      <c r="E4746" s="2">
        <v>23.582999999999998</v>
      </c>
      <c r="P4746" s="3">
        <f>E4746*(VLOOKUP(B4746,Price_data!A$1:B$190,2,FALSE))</f>
        <v>15.6861974268867</v>
      </c>
      <c r="Q4746" s="3">
        <f>G4746*(VLOOKUP(B4746,Price_data!A$1:B$190,2,FALSE))</f>
        <v>0</v>
      </c>
      <c r="R4746" s="3">
        <f>I4746*(VLOOKUP(B4746,Price_data!A$1:B$190,2,FALSE))</f>
        <v>0</v>
      </c>
      <c r="S4746" s="4" t="str">
        <f>(VLOOKUP(B4746,Price_data!A$1:C$190,3,FALSE))</f>
        <v>EEZ</v>
      </c>
      <c r="T4746" s="2" t="str">
        <f>IF(C4746="Total", (VLOOKUP(B4746,Recommended_fish_intake!A$4:D$122,4,FALSE)), "NA")</f>
        <v>NA</v>
      </c>
      <c r="U4746" s="2" t="str">
        <f t="shared" si="407"/>
        <v>NA</v>
      </c>
    </row>
    <row r="4747" spans="1:21" ht="14.25" customHeight="1">
      <c r="A4747" s="2" t="s">
        <v>39</v>
      </c>
      <c r="B4747" s="2">
        <v>2014</v>
      </c>
      <c r="C4747" s="2" t="s">
        <v>30</v>
      </c>
      <c r="D4747" s="2">
        <v>0</v>
      </c>
      <c r="E4747" s="2">
        <v>2E-3</v>
      </c>
      <c r="P4747" s="3">
        <f>E4747*(VLOOKUP(B4747,Price_data!A$1:B$190,2,FALSE))</f>
        <v>1.3302970298000002E-3</v>
      </c>
      <c r="Q4747" s="3">
        <f>G4747*(VLOOKUP(B4747,Price_data!A$1:B$190,2,FALSE))</f>
        <v>0</v>
      </c>
      <c r="R4747" s="3">
        <f>I4747*(VLOOKUP(B4747,Price_data!A$1:B$190,2,FALSE))</f>
        <v>0</v>
      </c>
      <c r="S4747" s="4" t="str">
        <f>(VLOOKUP(B4747,Price_data!A$1:C$190,3,FALSE))</f>
        <v>EEZ</v>
      </c>
      <c r="T4747" s="2" t="str">
        <f>IF(C4747="Total", (VLOOKUP(B4747,Recommended_fish_intake!A$4:D$122,4,FALSE)), "NA")</f>
        <v>NA</v>
      </c>
      <c r="U4747" s="2" t="str">
        <f t="shared" si="407"/>
        <v>NA</v>
      </c>
    </row>
    <row r="4748" spans="1:21" ht="14.25" customHeight="1">
      <c r="A4748" s="2" t="s">
        <v>39</v>
      </c>
      <c r="B4748" s="2">
        <v>2014</v>
      </c>
      <c r="C4748" s="2" t="s">
        <v>28</v>
      </c>
      <c r="D4748" s="2">
        <v>53.012</v>
      </c>
      <c r="E4748" s="2">
        <v>138.31399999999999</v>
      </c>
      <c r="P4748" s="3">
        <f>E4748*(VLOOKUP(B4748,Price_data!A$1:B$190,2,FALSE))</f>
        <v>91.999351689878608</v>
      </c>
      <c r="Q4748" s="3">
        <f>G4748*(VLOOKUP(B4748,Price_data!A$1:B$190,2,FALSE))</f>
        <v>0</v>
      </c>
      <c r="R4748" s="3">
        <f>I4748*(VLOOKUP(B4748,Price_data!A$1:B$190,2,FALSE))</f>
        <v>0</v>
      </c>
      <c r="S4748" s="4" t="str">
        <f>(VLOOKUP(B4748,Price_data!A$1:C$190,3,FALSE))</f>
        <v>EEZ</v>
      </c>
      <c r="T4748" s="2" t="str">
        <f>IF(C4748="Total", (VLOOKUP(B4748,Recommended_fish_intake!A$4:D$122,4,FALSE)), "NA")</f>
        <v>NA</v>
      </c>
      <c r="U4748" s="2">
        <f t="shared" si="407"/>
        <v>14.843360000000002</v>
      </c>
    </row>
    <row r="4749" spans="1:21" ht="14.25" customHeight="1">
      <c r="A4749" s="2" t="s">
        <v>40</v>
      </c>
      <c r="B4749" s="2">
        <v>2014</v>
      </c>
      <c r="C4749" s="2" t="s">
        <v>22</v>
      </c>
      <c r="D4749" s="2">
        <v>0.1</v>
      </c>
      <c r="E4749" s="2">
        <v>0.1</v>
      </c>
      <c r="P4749" s="3">
        <f>E4749*(VLOOKUP(B4749,Price_data!A$1:B$190,2,FALSE))</f>
        <v>6.6514851490000013E-2</v>
      </c>
      <c r="Q4749" s="3">
        <f>G4749*(VLOOKUP(B4749,Price_data!A$1:B$190,2,FALSE))</f>
        <v>0</v>
      </c>
      <c r="R4749" s="3">
        <f>I4749*(VLOOKUP(B4749,Price_data!A$1:B$190,2,FALSE))</f>
        <v>0</v>
      </c>
      <c r="S4749" s="4" t="str">
        <f>(VLOOKUP(B4749,Price_data!A$1:C$190,3,FALSE))</f>
        <v>EEZ</v>
      </c>
      <c r="T4749" s="2" t="str">
        <f>IF(C4749="Total", (VLOOKUP(B4749,Recommended_fish_intake!A$4:D$122,4,FALSE)), "NA")</f>
        <v>NA</v>
      </c>
      <c r="U4749" s="2" t="str">
        <f t="shared" si="407"/>
        <v>NA</v>
      </c>
    </row>
    <row r="4750" spans="1:21" ht="14.25" customHeight="1">
      <c r="A4750" s="2" t="s">
        <v>40</v>
      </c>
      <c r="B4750" s="2">
        <v>2014</v>
      </c>
      <c r="C4750" s="2" t="s">
        <v>23</v>
      </c>
      <c r="D4750" s="2">
        <v>0.4</v>
      </c>
      <c r="E4750" s="2">
        <v>0.4</v>
      </c>
      <c r="P4750" s="3">
        <f>E4750*(VLOOKUP(B4750,Price_data!A$1:B$190,2,FALSE))</f>
        <v>0.26605940596000005</v>
      </c>
      <c r="Q4750" s="3">
        <f>G4750*(VLOOKUP(B4750,Price_data!A$1:B$190,2,FALSE))</f>
        <v>0</v>
      </c>
      <c r="R4750" s="3">
        <f>I4750*(VLOOKUP(B4750,Price_data!A$1:B$190,2,FALSE))</f>
        <v>0</v>
      </c>
      <c r="S4750" s="4" t="str">
        <f>(VLOOKUP(B4750,Price_data!A$1:C$190,3,FALSE))</f>
        <v>EEZ</v>
      </c>
      <c r="T4750" s="2" t="str">
        <f>IF(C4750="Total", (VLOOKUP(B4750,Recommended_fish_intake!A$4:D$122,4,FALSE)), "NA")</f>
        <v>NA</v>
      </c>
      <c r="U4750" s="2" t="str">
        <f t="shared" si="407"/>
        <v>NA</v>
      </c>
    </row>
    <row r="4751" spans="1:21" ht="14.25" customHeight="1">
      <c r="A4751" s="2" t="s">
        <v>40</v>
      </c>
      <c r="B4751" s="2">
        <v>2014</v>
      </c>
      <c r="C4751" s="2" t="s">
        <v>53</v>
      </c>
      <c r="D4751" s="2">
        <v>0</v>
      </c>
      <c r="E4751" s="2">
        <v>0</v>
      </c>
      <c r="P4751" s="3">
        <f>E4751*(VLOOKUP(B4751,Price_data!A$1:B$190,2,FALSE))</f>
        <v>0</v>
      </c>
      <c r="Q4751" s="3">
        <f>G4751*(VLOOKUP(B4751,Price_data!A$1:B$190,2,FALSE))</f>
        <v>0</v>
      </c>
      <c r="R4751" s="3">
        <f>I4751*(VLOOKUP(B4751,Price_data!A$1:B$190,2,FALSE))</f>
        <v>0</v>
      </c>
      <c r="S4751" s="4" t="str">
        <f>(VLOOKUP(B4751,Price_data!A$1:C$190,3,FALSE))</f>
        <v>EEZ</v>
      </c>
      <c r="T4751" s="2" t="str">
        <f>IF(C4751="Total", (VLOOKUP(B4751,Recommended_fish_intake!A$4:D$122,4,FALSE)), "NA")</f>
        <v>NA</v>
      </c>
      <c r="U4751" s="2" t="str">
        <f t="shared" si="407"/>
        <v>NA</v>
      </c>
    </row>
    <row r="4752" spans="1:21" ht="14.25" customHeight="1">
      <c r="A4752" s="2" t="s">
        <v>40</v>
      </c>
      <c r="B4752" s="2">
        <v>2014</v>
      </c>
      <c r="C4752" s="2" t="s">
        <v>58</v>
      </c>
      <c r="D4752" s="2">
        <v>0.1</v>
      </c>
      <c r="E4752" s="2">
        <v>0.2</v>
      </c>
      <c r="P4752" s="3">
        <f>E4752*(VLOOKUP(B4752,Price_data!A$1:B$190,2,FALSE))</f>
        <v>0.13302970298000003</v>
      </c>
      <c r="Q4752" s="3">
        <f>G4752*(VLOOKUP(B4752,Price_data!A$1:B$190,2,FALSE))</f>
        <v>0</v>
      </c>
      <c r="R4752" s="3">
        <f>I4752*(VLOOKUP(B4752,Price_data!A$1:B$190,2,FALSE))</f>
        <v>0</v>
      </c>
      <c r="S4752" s="4" t="str">
        <f>(VLOOKUP(B4752,Price_data!A$1:C$190,3,FALSE))</f>
        <v>EEZ</v>
      </c>
      <c r="T4752" s="2" t="str">
        <f>IF(C4752="Total", (VLOOKUP(B4752,Recommended_fish_intake!A$4:D$122,4,FALSE)), "NA")</f>
        <v>NA</v>
      </c>
      <c r="U4752" s="2" t="str">
        <f t="shared" si="407"/>
        <v>NA</v>
      </c>
    </row>
    <row r="4753" spans="1:21" ht="14.25" customHeight="1">
      <c r="A4753" s="2" t="s">
        <v>40</v>
      </c>
      <c r="B4753" s="2">
        <v>2014</v>
      </c>
      <c r="C4753" s="2" t="s">
        <v>38</v>
      </c>
      <c r="D4753" s="2">
        <v>0</v>
      </c>
      <c r="E4753" s="2">
        <v>0</v>
      </c>
      <c r="P4753" s="3">
        <f>E4753*(VLOOKUP(B4753,Price_data!A$1:B$190,2,FALSE))</f>
        <v>0</v>
      </c>
      <c r="Q4753" s="3">
        <f>G4753*(VLOOKUP(B4753,Price_data!A$1:B$190,2,FALSE))</f>
        <v>0</v>
      </c>
      <c r="R4753" s="3">
        <f>I4753*(VLOOKUP(B4753,Price_data!A$1:B$190,2,FALSE))</f>
        <v>0</v>
      </c>
      <c r="S4753" s="4" t="str">
        <f>(VLOOKUP(B4753,Price_data!A$1:C$190,3,FALSE))</f>
        <v>EEZ</v>
      </c>
      <c r="T4753" s="2" t="str">
        <f>IF(C4753="Total", (VLOOKUP(B4753,Recommended_fish_intake!A$4:D$122,4,FALSE)), "NA")</f>
        <v>NA</v>
      </c>
      <c r="U4753" s="2" t="str">
        <f t="shared" si="407"/>
        <v>NA</v>
      </c>
    </row>
    <row r="4754" spans="1:21" ht="14.25" customHeight="1">
      <c r="A4754" s="2" t="s">
        <v>40</v>
      </c>
      <c r="B4754" s="2">
        <v>2014</v>
      </c>
      <c r="C4754" s="2" t="s">
        <v>63</v>
      </c>
      <c r="D4754" s="2">
        <v>0</v>
      </c>
      <c r="E4754" s="2">
        <v>0</v>
      </c>
      <c r="P4754" s="3">
        <f>E4754*(VLOOKUP(B4754,Price_data!A$1:B$190,2,FALSE))</f>
        <v>0</v>
      </c>
      <c r="Q4754" s="3">
        <f>G4754*(VLOOKUP(B4754,Price_data!A$1:B$190,2,FALSE))</f>
        <v>0</v>
      </c>
      <c r="R4754" s="3">
        <f>I4754*(VLOOKUP(B4754,Price_data!A$1:B$190,2,FALSE))</f>
        <v>0</v>
      </c>
      <c r="S4754" s="4" t="str">
        <f>(VLOOKUP(B4754,Price_data!A$1:C$190,3,FALSE))</f>
        <v>EEZ</v>
      </c>
      <c r="T4754" s="2" t="str">
        <f>IF(C4754="Total", (VLOOKUP(B4754,Recommended_fish_intake!A$4:D$122,4,FALSE)), "NA")</f>
        <v>NA</v>
      </c>
      <c r="U4754" s="2" t="str">
        <f t="shared" si="407"/>
        <v>NA</v>
      </c>
    </row>
    <row r="4755" spans="1:21" ht="14.25" customHeight="1">
      <c r="A4755" s="2" t="s">
        <v>40</v>
      </c>
      <c r="B4755" s="2">
        <v>2014</v>
      </c>
      <c r="C4755" s="2" t="s">
        <v>24</v>
      </c>
      <c r="D4755" s="2">
        <v>0.1</v>
      </c>
      <c r="E4755" s="2">
        <v>0.1</v>
      </c>
      <c r="P4755" s="3">
        <f>E4755*(VLOOKUP(B4755,Price_data!A$1:B$190,2,FALSE))</f>
        <v>6.6514851490000013E-2</v>
      </c>
      <c r="Q4755" s="3">
        <f>G4755*(VLOOKUP(B4755,Price_data!A$1:B$190,2,FALSE))</f>
        <v>0</v>
      </c>
      <c r="R4755" s="3">
        <f>I4755*(VLOOKUP(B4755,Price_data!A$1:B$190,2,FALSE))</f>
        <v>0</v>
      </c>
      <c r="S4755" s="4" t="str">
        <f>(VLOOKUP(B4755,Price_data!A$1:C$190,3,FALSE))</f>
        <v>EEZ</v>
      </c>
      <c r="T4755" s="2" t="str">
        <f>IF(C4755="Total", (VLOOKUP(B4755,Recommended_fish_intake!A$4:D$122,4,FALSE)), "NA")</f>
        <v>NA</v>
      </c>
      <c r="U4755" s="2" t="str">
        <f t="shared" si="407"/>
        <v>NA</v>
      </c>
    </row>
    <row r="4756" spans="1:21" ht="14.25" customHeight="1">
      <c r="A4756" s="2" t="s">
        <v>40</v>
      </c>
      <c r="B4756" s="2">
        <v>2014</v>
      </c>
      <c r="C4756" s="2" t="s">
        <v>41</v>
      </c>
      <c r="D4756" s="2">
        <v>1.1000000000000001</v>
      </c>
      <c r="E4756" s="2">
        <v>1.2</v>
      </c>
      <c r="P4756" s="3">
        <f>E4756*(VLOOKUP(B4756,Price_data!A$1:B$190,2,FALSE))</f>
        <v>0.79817821787999998</v>
      </c>
      <c r="Q4756" s="3">
        <f>G4756*(VLOOKUP(B4756,Price_data!A$1:B$190,2,FALSE))</f>
        <v>0</v>
      </c>
      <c r="R4756" s="3">
        <f>I4756*(VLOOKUP(B4756,Price_data!A$1:B$190,2,FALSE))</f>
        <v>0</v>
      </c>
      <c r="S4756" s="4" t="str">
        <f>(VLOOKUP(B4756,Price_data!A$1:C$190,3,FALSE))</f>
        <v>EEZ</v>
      </c>
      <c r="T4756" s="2" t="str">
        <f>IF(C4756="Total", (VLOOKUP(B4756,Recommended_fish_intake!A$4:D$122,4,FALSE)), "NA")</f>
        <v>NA</v>
      </c>
      <c r="U4756" s="2" t="str">
        <f t="shared" si="407"/>
        <v>NA</v>
      </c>
    </row>
    <row r="4757" spans="1:21" ht="14.25" customHeight="1">
      <c r="A4757" s="2" t="s">
        <v>40</v>
      </c>
      <c r="B4757" s="2">
        <v>2014</v>
      </c>
      <c r="C4757" s="2" t="s">
        <v>19</v>
      </c>
      <c r="D4757" s="2">
        <v>4.0999999999999996</v>
      </c>
      <c r="E4757" s="2">
        <v>1</v>
      </c>
      <c r="P4757" s="3">
        <f>E4757*(VLOOKUP(B4757,Price_data!A$1:B$190,2,FALSE))</f>
        <v>0.66514851490000004</v>
      </c>
      <c r="Q4757" s="3">
        <f>G4757*(VLOOKUP(B4757,Price_data!A$1:B$190,2,FALSE))</f>
        <v>0</v>
      </c>
      <c r="R4757" s="3">
        <f>I4757*(VLOOKUP(B4757,Price_data!A$1:B$190,2,FALSE))</f>
        <v>0</v>
      </c>
      <c r="S4757" s="4" t="str">
        <f>(VLOOKUP(B4757,Price_data!A$1:C$190,3,FALSE))</f>
        <v>EEZ</v>
      </c>
      <c r="T4757" s="2" t="str">
        <f>IF(C4757="Total", (VLOOKUP(B4757,Recommended_fish_intake!A$4:D$122,4,FALSE)), "NA")</f>
        <v>NA</v>
      </c>
      <c r="U4757" s="2" t="str">
        <f t="shared" si="407"/>
        <v>NA</v>
      </c>
    </row>
    <row r="4758" spans="1:21" ht="14.25" customHeight="1">
      <c r="A4758" s="2" t="s">
        <v>40</v>
      </c>
      <c r="B4758" s="2">
        <v>2014</v>
      </c>
      <c r="C4758" s="2" t="s">
        <v>20</v>
      </c>
      <c r="D4758" s="2">
        <v>2.2999999999999998</v>
      </c>
      <c r="E4758" s="2">
        <v>2.5</v>
      </c>
      <c r="P4758" s="3">
        <f>E4758*(VLOOKUP(B4758,Price_data!A$1:B$190,2,FALSE))</f>
        <v>1.6628712872500002</v>
      </c>
      <c r="Q4758" s="3">
        <f>G4758*(VLOOKUP(B4758,Price_data!A$1:B$190,2,FALSE))</f>
        <v>0</v>
      </c>
      <c r="R4758" s="3">
        <f>I4758*(VLOOKUP(B4758,Price_data!A$1:B$190,2,FALSE))</f>
        <v>0</v>
      </c>
      <c r="S4758" s="4" t="str">
        <f>(VLOOKUP(B4758,Price_data!A$1:C$190,3,FALSE))</f>
        <v>EEZ</v>
      </c>
      <c r="T4758" s="2" t="str">
        <f>IF(C4758="Total", (VLOOKUP(B4758,Recommended_fish_intake!A$4:D$122,4,FALSE)), "NA")</f>
        <v>NA</v>
      </c>
      <c r="U4758" s="2" t="str">
        <f t="shared" si="407"/>
        <v>NA</v>
      </c>
    </row>
    <row r="4759" spans="1:21" ht="14.25" customHeight="1">
      <c r="A4759" s="2" t="s">
        <v>40</v>
      </c>
      <c r="B4759" s="2">
        <v>2014</v>
      </c>
      <c r="C4759" s="2" t="s">
        <v>42</v>
      </c>
      <c r="D4759" s="2">
        <v>6.4</v>
      </c>
      <c r="E4759" s="2">
        <v>3.5</v>
      </c>
      <c r="P4759" s="3">
        <f>E4759*(VLOOKUP(B4759,Price_data!A$1:B$190,2,FALSE))</f>
        <v>2.32801980215</v>
      </c>
      <c r="Q4759" s="3">
        <f>G4759*(VLOOKUP(B4759,Price_data!A$1:B$190,2,FALSE))</f>
        <v>0</v>
      </c>
      <c r="R4759" s="3">
        <f>I4759*(VLOOKUP(B4759,Price_data!A$1:B$190,2,FALSE))</f>
        <v>0</v>
      </c>
      <c r="S4759" s="4" t="str">
        <f>(VLOOKUP(B4759,Price_data!A$1:C$190,3,FALSE))</f>
        <v>EEZ</v>
      </c>
      <c r="T4759" s="2" t="str">
        <f>IF(C4759="Total", (VLOOKUP(B4759,Recommended_fish_intake!A$4:D$122,4,FALSE)), "NA")</f>
        <v>NA</v>
      </c>
      <c r="U4759" s="2" t="str">
        <f t="shared" si="407"/>
        <v>NA</v>
      </c>
    </row>
    <row r="4760" spans="1:21" ht="14.25" customHeight="1">
      <c r="A4760" s="2" t="s">
        <v>40</v>
      </c>
      <c r="B4760" s="2">
        <v>2014</v>
      </c>
      <c r="C4760" s="2" t="s">
        <v>36</v>
      </c>
      <c r="D4760" s="2">
        <v>1.4</v>
      </c>
      <c r="E4760" s="2">
        <v>1.4</v>
      </c>
      <c r="P4760" s="3">
        <f>E4760*(VLOOKUP(B4760,Price_data!A$1:B$190,2,FALSE))</f>
        <v>0.93120792086000004</v>
      </c>
      <c r="Q4760" s="3">
        <f>G4760*(VLOOKUP(B4760,Price_data!A$1:B$190,2,FALSE))</f>
        <v>0</v>
      </c>
      <c r="R4760" s="3">
        <f>I4760*(VLOOKUP(B4760,Price_data!A$1:B$190,2,FALSE))</f>
        <v>0</v>
      </c>
      <c r="S4760" s="4" t="str">
        <f>(VLOOKUP(B4760,Price_data!A$1:C$190,3,FALSE))</f>
        <v>EEZ</v>
      </c>
      <c r="T4760" s="2" t="str">
        <f>IF(C4760="Total", (VLOOKUP(B4760,Recommended_fish_intake!A$4:D$122,4,FALSE)), "NA")</f>
        <v>NA</v>
      </c>
      <c r="U4760" s="2" t="str">
        <f t="shared" si="407"/>
        <v>NA</v>
      </c>
    </row>
    <row r="4761" spans="1:21" ht="14.25" customHeight="1">
      <c r="A4761" s="2" t="s">
        <v>40</v>
      </c>
      <c r="B4761" s="2">
        <v>2014</v>
      </c>
      <c r="C4761" s="2" t="s">
        <v>34</v>
      </c>
      <c r="D4761" s="2">
        <v>0.1</v>
      </c>
      <c r="E4761" s="2">
        <v>1</v>
      </c>
      <c r="P4761" s="3">
        <f>E4761*(VLOOKUP(B4761,Price_data!A$1:B$190,2,FALSE))</f>
        <v>0.66514851490000004</v>
      </c>
      <c r="Q4761" s="3">
        <f>G4761*(VLOOKUP(B4761,Price_data!A$1:B$190,2,FALSE))</f>
        <v>0</v>
      </c>
      <c r="R4761" s="3">
        <f>I4761*(VLOOKUP(B4761,Price_data!A$1:B$190,2,FALSE))</f>
        <v>0</v>
      </c>
      <c r="S4761" s="4" t="str">
        <f>(VLOOKUP(B4761,Price_data!A$1:C$190,3,FALSE))</f>
        <v>EEZ</v>
      </c>
      <c r="T4761" s="2" t="str">
        <f>IF(C4761="Total", (VLOOKUP(B4761,Recommended_fish_intake!A$4:D$122,4,FALSE)), "NA")</f>
        <v>NA</v>
      </c>
      <c r="U4761" s="2" t="str">
        <f t="shared" si="407"/>
        <v>NA</v>
      </c>
    </row>
    <row r="4762" spans="1:21" ht="14.25" customHeight="1">
      <c r="A4762" s="2" t="s">
        <v>40</v>
      </c>
      <c r="B4762" s="2">
        <v>2014</v>
      </c>
      <c r="C4762" s="2" t="s">
        <v>35</v>
      </c>
      <c r="D4762" s="2">
        <v>6.9</v>
      </c>
      <c r="E4762" s="2">
        <v>14.8</v>
      </c>
      <c r="P4762" s="3">
        <f>E4762*(VLOOKUP(B4762,Price_data!A$1:B$190,2,FALSE))</f>
        <v>9.8441980205200004</v>
      </c>
      <c r="Q4762" s="3">
        <f>G4762*(VLOOKUP(B4762,Price_data!A$1:B$190,2,FALSE))</f>
        <v>0</v>
      </c>
      <c r="R4762" s="3">
        <f>I4762*(VLOOKUP(B4762,Price_data!A$1:B$190,2,FALSE))</f>
        <v>0</v>
      </c>
      <c r="S4762" s="4" t="str">
        <f>(VLOOKUP(B4762,Price_data!A$1:C$190,3,FALSE))</f>
        <v>EEZ</v>
      </c>
      <c r="T4762" s="2" t="str">
        <f>IF(C4762="Total", (VLOOKUP(B4762,Recommended_fish_intake!A$4:D$122,4,FALSE)), "NA")</f>
        <v>NA</v>
      </c>
      <c r="U4762" s="2" t="str">
        <f t="shared" si="407"/>
        <v>NA</v>
      </c>
    </row>
    <row r="4763" spans="1:21" ht="14.25" customHeight="1">
      <c r="A4763" s="2" t="s">
        <v>40</v>
      </c>
      <c r="B4763" s="2">
        <v>2014</v>
      </c>
      <c r="C4763" s="2" t="s">
        <v>52</v>
      </c>
      <c r="D4763" s="2">
        <v>2.1</v>
      </c>
      <c r="E4763" s="2">
        <v>2.8</v>
      </c>
      <c r="P4763" s="3">
        <f>E4763*(VLOOKUP(B4763,Price_data!A$1:B$190,2,FALSE))</f>
        <v>1.8624158417200001</v>
      </c>
      <c r="Q4763" s="3">
        <f>G4763*(VLOOKUP(B4763,Price_data!A$1:B$190,2,FALSE))</f>
        <v>0</v>
      </c>
      <c r="R4763" s="3">
        <f>I4763*(VLOOKUP(B4763,Price_data!A$1:B$190,2,FALSE))</f>
        <v>0</v>
      </c>
      <c r="S4763" s="4" t="str">
        <f>(VLOOKUP(B4763,Price_data!A$1:C$190,3,FALSE))</f>
        <v>EEZ</v>
      </c>
      <c r="T4763" s="2" t="str">
        <f>IF(C4763="Total", (VLOOKUP(B4763,Recommended_fish_intake!A$4:D$122,4,FALSE)), "NA")</f>
        <v>NA</v>
      </c>
      <c r="U4763" s="2" t="str">
        <f t="shared" si="407"/>
        <v>NA</v>
      </c>
    </row>
    <row r="4764" spans="1:21" ht="14.25" customHeight="1">
      <c r="A4764" s="2" t="s">
        <v>40</v>
      </c>
      <c r="B4764" s="2">
        <v>2014</v>
      </c>
      <c r="C4764" s="2" t="s">
        <v>30</v>
      </c>
      <c r="D4764" s="2">
        <v>0</v>
      </c>
      <c r="E4764" s="2">
        <v>0</v>
      </c>
      <c r="P4764" s="3">
        <f>E4764*(VLOOKUP(B4764,Price_data!A$1:B$190,2,FALSE))</f>
        <v>0</v>
      </c>
      <c r="Q4764" s="3">
        <f>G4764*(VLOOKUP(B4764,Price_data!A$1:B$190,2,FALSE))</f>
        <v>0</v>
      </c>
      <c r="R4764" s="3">
        <f>I4764*(VLOOKUP(B4764,Price_data!A$1:B$190,2,FALSE))</f>
        <v>0</v>
      </c>
      <c r="S4764" s="4" t="str">
        <f>(VLOOKUP(B4764,Price_data!A$1:C$190,3,FALSE))</f>
        <v>EEZ</v>
      </c>
      <c r="T4764" s="2" t="str">
        <f>IF(C4764="Total", (VLOOKUP(B4764,Recommended_fish_intake!A$4:D$122,4,FALSE)), "NA")</f>
        <v>NA</v>
      </c>
      <c r="U4764" s="2" t="str">
        <f t="shared" si="407"/>
        <v>NA</v>
      </c>
    </row>
    <row r="4765" spans="1:21" ht="14.25" customHeight="1">
      <c r="A4765" s="2" t="s">
        <v>40</v>
      </c>
      <c r="B4765" s="2">
        <v>2014</v>
      </c>
      <c r="C4765" s="2" t="s">
        <v>28</v>
      </c>
      <c r="D4765" s="2">
        <v>10.6</v>
      </c>
      <c r="E4765" s="2">
        <v>20.100000000000001</v>
      </c>
      <c r="P4765" s="3">
        <f>E4765*(VLOOKUP(B4765,Price_data!A$1:B$190,2,FALSE))</f>
        <v>13.369485149490002</v>
      </c>
      <c r="Q4765" s="3">
        <f>G4765*(VLOOKUP(B4765,Price_data!A$1:B$190,2,FALSE))</f>
        <v>0</v>
      </c>
      <c r="R4765" s="3">
        <f>I4765*(VLOOKUP(B4765,Price_data!A$1:B$190,2,FALSE))</f>
        <v>0</v>
      </c>
      <c r="S4765" s="4" t="str">
        <f>(VLOOKUP(B4765,Price_data!A$1:C$190,3,FALSE))</f>
        <v>EEZ</v>
      </c>
      <c r="T4765" s="2" t="str">
        <f>IF(C4765="Total", (VLOOKUP(B4765,Recommended_fish_intake!A$4:D$122,4,FALSE)), "NA")</f>
        <v>NA</v>
      </c>
      <c r="U4765" s="2">
        <f t="shared" si="407"/>
        <v>2.968</v>
      </c>
    </row>
    <row r="4766" spans="1:21" ht="14.25" customHeight="1">
      <c r="A4766" s="2" t="s">
        <v>40</v>
      </c>
      <c r="B4766" s="2">
        <v>2014</v>
      </c>
      <c r="C4766" s="2" t="s">
        <v>37</v>
      </c>
      <c r="D4766" s="3">
        <f>D3463+D3478</f>
        <v>72.772999999999996</v>
      </c>
      <c r="E4766" s="3">
        <f>E3463+E3478</f>
        <v>109.227</v>
      </c>
      <c r="P4766" s="3">
        <f>E4766*(VLOOKUP(B4766,Price_data!A$1:B$190,2,FALSE))</f>
        <v>72.652176836982306</v>
      </c>
      <c r="Q4766" s="3">
        <f>G4766*(VLOOKUP(B4766,Price_data!A$1:B$190,2,FALSE))</f>
        <v>0</v>
      </c>
      <c r="R4766" s="3">
        <f>I4766*(VLOOKUP(B4766,Price_data!A$1:B$190,2,FALSE))</f>
        <v>0</v>
      </c>
      <c r="S4766" s="4" t="str">
        <f>(VLOOKUP(B4766,Price_data!A$1:C$190,3,FALSE))</f>
        <v>EEZ</v>
      </c>
      <c r="T4766" s="2" t="str">
        <f>IF(C4766="Total", (VLOOKUP(B4766,Recommended_fish_intake!A$4:D$122,4,FALSE)), "NA")</f>
        <v>NA</v>
      </c>
      <c r="U4766" s="2">
        <f t="shared" si="407"/>
        <v>35.658769999999997</v>
      </c>
    </row>
    <row r="4767" spans="1:21" ht="14.25" customHeight="1">
      <c r="A4767" s="2" t="s">
        <v>39</v>
      </c>
      <c r="B4767" s="2">
        <v>2014</v>
      </c>
      <c r="C4767" s="2" t="s">
        <v>37</v>
      </c>
      <c r="D4767" s="3">
        <f>D3369+D3384</f>
        <v>505.50599999999997</v>
      </c>
      <c r="E4767" s="3">
        <f>E3369+E3384</f>
        <v>216.61099999999996</v>
      </c>
      <c r="P4767" s="3">
        <f>E4767*(VLOOKUP(B4767,Price_data!A$1:B$190,2,FALSE))</f>
        <v>144.07848496100388</v>
      </c>
      <c r="Q4767" s="3">
        <f>G4767*(VLOOKUP(B4767,Price_data!A$1:B$190,2,FALSE))</f>
        <v>0</v>
      </c>
      <c r="R4767" s="3">
        <f>I4767*(VLOOKUP(B4767,Price_data!A$1:B$190,2,FALSE))</f>
        <v>0</v>
      </c>
      <c r="S4767" s="4" t="str">
        <f>(VLOOKUP(B4767,Price_data!A$1:C$190,3,FALSE))</f>
        <v>EEZ</v>
      </c>
      <c r="T4767" s="2" t="str">
        <f>IF(C4767="Total", (VLOOKUP(B4767,Recommended_fish_intake!A$4:D$122,4,FALSE)), "NA")</f>
        <v>NA</v>
      </c>
      <c r="U4767" s="2">
        <f t="shared" si="407"/>
        <v>247.69793999999999</v>
      </c>
    </row>
    <row r="4768" spans="1:21" ht="14.25" customHeight="1">
      <c r="A4768" s="2" t="s">
        <v>18</v>
      </c>
      <c r="B4768" s="2">
        <v>2014</v>
      </c>
      <c r="C4768" s="2" t="s">
        <v>22</v>
      </c>
      <c r="D4768" s="3">
        <f t="shared" ref="D4768:E4784" si="408">D3150+D3240</f>
        <v>0</v>
      </c>
      <c r="E4768" s="3">
        <f t="shared" si="408"/>
        <v>0</v>
      </c>
      <c r="P4768" s="3">
        <f>E4768*(VLOOKUP(B4768,Price_data!A$1:B$190,2,FALSE))</f>
        <v>0</v>
      </c>
      <c r="Q4768" s="3">
        <f>G4768*(VLOOKUP(B4768,Price_data!A$1:B$190,2,FALSE))</f>
        <v>0</v>
      </c>
      <c r="R4768" s="3">
        <f>I4768*(VLOOKUP(B4768,Price_data!A$1:B$190,2,FALSE))</f>
        <v>0</v>
      </c>
      <c r="S4768" s="4" t="str">
        <f>(VLOOKUP(B4768,Price_data!A$1:C$190,3,FALSE))</f>
        <v>EEZ</v>
      </c>
      <c r="T4768" s="2" t="str">
        <f>IF(C4768="Total", (VLOOKUP(B4768,Recommended_fish_intake!A$4:D$122,4,FALSE)), "NA")</f>
        <v>NA</v>
      </c>
      <c r="U4768" s="2" t="str">
        <f t="shared" si="407"/>
        <v>NA</v>
      </c>
    </row>
    <row r="4769" spans="1:21" ht="14.25" customHeight="1">
      <c r="A4769" s="2" t="s">
        <v>18</v>
      </c>
      <c r="B4769" s="2">
        <v>2014</v>
      </c>
      <c r="C4769" s="2" t="s">
        <v>23</v>
      </c>
      <c r="D4769" s="3">
        <f t="shared" si="408"/>
        <v>0</v>
      </c>
      <c r="E4769" s="3">
        <f t="shared" si="408"/>
        <v>0</v>
      </c>
      <c r="P4769" s="3">
        <f>E4769*(VLOOKUP(B4769,Price_data!A$1:B$190,2,FALSE))</f>
        <v>0</v>
      </c>
      <c r="Q4769" s="3">
        <f>G4769*(VLOOKUP(B4769,Price_data!A$1:B$190,2,FALSE))</f>
        <v>0</v>
      </c>
      <c r="R4769" s="3">
        <f>I4769*(VLOOKUP(B4769,Price_data!A$1:B$190,2,FALSE))</f>
        <v>0</v>
      </c>
      <c r="S4769" s="4" t="str">
        <f>(VLOOKUP(B4769,Price_data!A$1:C$190,3,FALSE))</f>
        <v>EEZ</v>
      </c>
      <c r="T4769" s="2" t="str">
        <f>IF(C4769="Total", (VLOOKUP(B4769,Recommended_fish_intake!A$4:D$122,4,FALSE)), "NA")</f>
        <v>NA</v>
      </c>
      <c r="U4769" s="2" t="str">
        <f t="shared" si="407"/>
        <v>NA</v>
      </c>
    </row>
    <row r="4770" spans="1:21" ht="14.25" customHeight="1">
      <c r="A4770" s="2" t="s">
        <v>18</v>
      </c>
      <c r="B4770" s="2">
        <v>2014</v>
      </c>
      <c r="C4770" s="2" t="s">
        <v>53</v>
      </c>
      <c r="D4770" s="3">
        <f t="shared" si="408"/>
        <v>0</v>
      </c>
      <c r="E4770" s="3">
        <f t="shared" si="408"/>
        <v>0</v>
      </c>
      <c r="P4770" s="3">
        <f>E4770*(VLOOKUP(B4770,Price_data!A$1:B$190,2,FALSE))</f>
        <v>0</v>
      </c>
      <c r="Q4770" s="3">
        <f>G4770*(VLOOKUP(B4770,Price_data!A$1:B$190,2,FALSE))</f>
        <v>0</v>
      </c>
      <c r="R4770" s="3">
        <f>I4770*(VLOOKUP(B4770,Price_data!A$1:B$190,2,FALSE))</f>
        <v>0</v>
      </c>
      <c r="S4770" s="4" t="str">
        <f>(VLOOKUP(B4770,Price_data!A$1:C$190,3,FALSE))</f>
        <v>EEZ</v>
      </c>
      <c r="T4770" s="2" t="str">
        <f>IF(C4770="Total", (VLOOKUP(B4770,Recommended_fish_intake!A$4:D$122,4,FALSE)), "NA")</f>
        <v>NA</v>
      </c>
      <c r="U4770" s="2" t="str">
        <f t="shared" si="407"/>
        <v>NA</v>
      </c>
    </row>
    <row r="4771" spans="1:21" ht="14.25" customHeight="1">
      <c r="A4771" s="2" t="s">
        <v>18</v>
      </c>
      <c r="B4771" s="2">
        <v>2014</v>
      </c>
      <c r="C4771" s="2" t="s">
        <v>58</v>
      </c>
      <c r="D4771" s="3">
        <f t="shared" si="408"/>
        <v>0</v>
      </c>
      <c r="E4771" s="3">
        <f t="shared" si="408"/>
        <v>0</v>
      </c>
      <c r="P4771" s="3">
        <f>E4771*(VLOOKUP(B4771,Price_data!A$1:B$190,2,FALSE))</f>
        <v>0</v>
      </c>
      <c r="Q4771" s="3">
        <f>G4771*(VLOOKUP(B4771,Price_data!A$1:B$190,2,FALSE))</f>
        <v>0</v>
      </c>
      <c r="R4771" s="3">
        <f>I4771*(VLOOKUP(B4771,Price_data!A$1:B$190,2,FALSE))</f>
        <v>0</v>
      </c>
      <c r="S4771" s="4" t="str">
        <f>(VLOOKUP(B4771,Price_data!A$1:C$190,3,FALSE))</f>
        <v>EEZ</v>
      </c>
      <c r="T4771" s="2" t="str">
        <f>IF(C4771="Total", (VLOOKUP(B4771,Recommended_fish_intake!A$4:D$122,4,FALSE)), "NA")</f>
        <v>NA</v>
      </c>
      <c r="U4771" s="2" t="str">
        <f t="shared" si="407"/>
        <v>NA</v>
      </c>
    </row>
    <row r="4772" spans="1:21" ht="14.25" customHeight="1">
      <c r="A4772" s="2" t="s">
        <v>18</v>
      </c>
      <c r="B4772" s="2">
        <v>2014</v>
      </c>
      <c r="C4772" s="2" t="s">
        <v>38</v>
      </c>
      <c r="D4772" s="3">
        <f t="shared" si="408"/>
        <v>0</v>
      </c>
      <c r="E4772" s="3">
        <f t="shared" si="408"/>
        <v>0</v>
      </c>
      <c r="P4772" s="3">
        <f>E4772*(VLOOKUP(B4772,Price_data!A$1:B$190,2,FALSE))</f>
        <v>0</v>
      </c>
      <c r="Q4772" s="3">
        <f>G4772*(VLOOKUP(B4772,Price_data!A$1:B$190,2,FALSE))</f>
        <v>0</v>
      </c>
      <c r="R4772" s="3">
        <f>I4772*(VLOOKUP(B4772,Price_data!A$1:B$190,2,FALSE))</f>
        <v>0</v>
      </c>
      <c r="S4772" s="4" t="str">
        <f>(VLOOKUP(B4772,Price_data!A$1:C$190,3,FALSE))</f>
        <v>EEZ</v>
      </c>
      <c r="T4772" s="2" t="str">
        <f>IF(C4772="Total", (VLOOKUP(B4772,Recommended_fish_intake!A$4:D$122,4,FALSE)), "NA")</f>
        <v>NA</v>
      </c>
      <c r="U4772" s="2" t="str">
        <f t="shared" si="407"/>
        <v>NA</v>
      </c>
    </row>
    <row r="4773" spans="1:21" ht="14.25" customHeight="1">
      <c r="A4773" s="2" t="s">
        <v>18</v>
      </c>
      <c r="B4773" s="2">
        <v>2014</v>
      </c>
      <c r="C4773" s="2" t="s">
        <v>63</v>
      </c>
      <c r="D4773" s="3">
        <f t="shared" si="408"/>
        <v>0</v>
      </c>
      <c r="E4773" s="3">
        <f t="shared" si="408"/>
        <v>0</v>
      </c>
      <c r="P4773" s="3">
        <f>E4773*(VLOOKUP(B4773,Price_data!A$1:B$190,2,FALSE))</f>
        <v>0</v>
      </c>
      <c r="Q4773" s="3">
        <f>G4773*(VLOOKUP(B4773,Price_data!A$1:B$190,2,FALSE))</f>
        <v>0</v>
      </c>
      <c r="R4773" s="3">
        <f>I4773*(VLOOKUP(B4773,Price_data!A$1:B$190,2,FALSE))</f>
        <v>0</v>
      </c>
      <c r="S4773" s="4" t="str">
        <f>(VLOOKUP(B4773,Price_data!A$1:C$190,3,FALSE))</f>
        <v>EEZ</v>
      </c>
      <c r="T4773" s="2" t="str">
        <f>IF(C4773="Total", (VLOOKUP(B4773,Recommended_fish_intake!A$4:D$122,4,FALSE)), "NA")</f>
        <v>NA</v>
      </c>
      <c r="U4773" s="2" t="str">
        <f t="shared" si="407"/>
        <v>NA</v>
      </c>
    </row>
    <row r="4774" spans="1:21" ht="14.25" customHeight="1">
      <c r="A4774" s="2" t="s">
        <v>18</v>
      </c>
      <c r="B4774" s="2">
        <v>2014</v>
      </c>
      <c r="C4774" s="2" t="s">
        <v>24</v>
      </c>
      <c r="D4774" s="3">
        <f t="shared" si="408"/>
        <v>26.097999999999999</v>
      </c>
      <c r="E4774" s="3">
        <f t="shared" si="408"/>
        <v>35.335999999999999</v>
      </c>
      <c r="P4774" s="3">
        <f>E4774*(VLOOKUP(B4774,Price_data!A$1:B$190,2,FALSE))</f>
        <v>23.503687922506401</v>
      </c>
      <c r="Q4774" s="3">
        <f>G4774*(VLOOKUP(B4774,Price_data!A$1:B$190,2,FALSE))</f>
        <v>0</v>
      </c>
      <c r="R4774" s="3">
        <f>I4774*(VLOOKUP(B4774,Price_data!A$1:B$190,2,FALSE))</f>
        <v>0</v>
      </c>
      <c r="S4774" s="4" t="str">
        <f>(VLOOKUP(B4774,Price_data!A$1:C$190,3,FALSE))</f>
        <v>EEZ</v>
      </c>
      <c r="T4774" s="2" t="str">
        <f>IF(C4774="Total", (VLOOKUP(B4774,Recommended_fish_intake!A$4:D$122,4,FALSE)), "NA")</f>
        <v>NA</v>
      </c>
      <c r="U4774" s="2" t="str">
        <f t="shared" si="407"/>
        <v>NA</v>
      </c>
    </row>
    <row r="4775" spans="1:21" ht="14.25" customHeight="1">
      <c r="A4775" s="2" t="s">
        <v>18</v>
      </c>
      <c r="B4775" s="2">
        <v>2014</v>
      </c>
      <c r="C4775" s="2" t="s">
        <v>41</v>
      </c>
      <c r="D4775" s="3">
        <f t="shared" si="408"/>
        <v>66.358999999999995</v>
      </c>
      <c r="E4775" s="3">
        <f t="shared" si="408"/>
        <v>54.433</v>
      </c>
      <c r="P4775" s="3">
        <f>E4775*(VLOOKUP(B4775,Price_data!A$1:B$190,2,FALSE))</f>
        <v>36.2060291115517</v>
      </c>
      <c r="Q4775" s="3">
        <f>G4775*(VLOOKUP(B4775,Price_data!A$1:B$190,2,FALSE))</f>
        <v>0</v>
      </c>
      <c r="R4775" s="3">
        <f>I4775*(VLOOKUP(B4775,Price_data!A$1:B$190,2,FALSE))</f>
        <v>0</v>
      </c>
      <c r="S4775" s="4" t="str">
        <f>(VLOOKUP(B4775,Price_data!A$1:C$190,3,FALSE))</f>
        <v>EEZ</v>
      </c>
      <c r="T4775" s="2" t="str">
        <f>IF(C4775="Total", (VLOOKUP(B4775,Recommended_fish_intake!A$4:D$122,4,FALSE)), "NA")</f>
        <v>NA</v>
      </c>
      <c r="U4775" s="2" t="str">
        <f t="shared" si="407"/>
        <v>NA</v>
      </c>
    </row>
    <row r="4776" spans="1:21" ht="14.25" customHeight="1">
      <c r="A4776" s="2" t="s">
        <v>18</v>
      </c>
      <c r="B4776" s="2">
        <v>2014</v>
      </c>
      <c r="C4776" s="2" t="s">
        <v>19</v>
      </c>
      <c r="D4776" s="3">
        <f t="shared" si="408"/>
        <v>12.138999999999999</v>
      </c>
      <c r="E4776" s="3">
        <f t="shared" si="408"/>
        <v>28.439</v>
      </c>
      <c r="P4776" s="3">
        <f>E4776*(VLOOKUP(B4776,Price_data!A$1:B$190,2,FALSE))</f>
        <v>18.916158615241102</v>
      </c>
      <c r="Q4776" s="3">
        <f>G4776*(VLOOKUP(B4776,Price_data!A$1:B$190,2,FALSE))</f>
        <v>0</v>
      </c>
      <c r="R4776" s="3">
        <f>I4776*(VLOOKUP(B4776,Price_data!A$1:B$190,2,FALSE))</f>
        <v>0</v>
      </c>
      <c r="S4776" s="4" t="str">
        <f>(VLOOKUP(B4776,Price_data!A$1:C$190,3,FALSE))</f>
        <v>EEZ</v>
      </c>
      <c r="T4776" s="2" t="str">
        <f>IF(C4776="Total", (VLOOKUP(B4776,Recommended_fish_intake!A$4:D$122,4,FALSE)), "NA")</f>
        <v>NA</v>
      </c>
      <c r="U4776" s="2" t="str">
        <f t="shared" si="407"/>
        <v>NA</v>
      </c>
    </row>
    <row r="4777" spans="1:21" ht="14.25" customHeight="1">
      <c r="A4777" s="2" t="s">
        <v>18</v>
      </c>
      <c r="B4777" s="2">
        <v>2014</v>
      </c>
      <c r="C4777" s="2" t="s">
        <v>20</v>
      </c>
      <c r="D4777" s="3">
        <f t="shared" si="408"/>
        <v>20.334</v>
      </c>
      <c r="E4777" s="3">
        <f t="shared" si="408"/>
        <v>11.339</v>
      </c>
      <c r="P4777" s="3">
        <f>E4777*(VLOOKUP(B4777,Price_data!A$1:B$190,2,FALSE))</f>
        <v>7.5421190104511009</v>
      </c>
      <c r="Q4777" s="3">
        <f>G4777*(VLOOKUP(B4777,Price_data!A$1:B$190,2,FALSE))</f>
        <v>0</v>
      </c>
      <c r="R4777" s="3">
        <f>I4777*(VLOOKUP(B4777,Price_data!A$1:B$190,2,FALSE))</f>
        <v>0</v>
      </c>
      <c r="S4777" s="4" t="str">
        <f>(VLOOKUP(B4777,Price_data!A$1:C$190,3,FALSE))</f>
        <v>EEZ</v>
      </c>
      <c r="T4777" s="2" t="str">
        <f>IF(C4777="Total", (VLOOKUP(B4777,Recommended_fish_intake!A$4:D$122,4,FALSE)), "NA")</f>
        <v>NA</v>
      </c>
      <c r="U4777" s="2" t="str">
        <f t="shared" si="407"/>
        <v>NA</v>
      </c>
    </row>
    <row r="4778" spans="1:21" ht="14.25" customHeight="1">
      <c r="A4778" s="2" t="s">
        <v>18</v>
      </c>
      <c r="B4778" s="2">
        <v>2014</v>
      </c>
      <c r="C4778" s="2" t="s">
        <v>42</v>
      </c>
      <c r="D4778" s="3">
        <f t="shared" si="408"/>
        <v>175.79499999999999</v>
      </c>
      <c r="E4778" s="3">
        <f t="shared" si="408"/>
        <v>173.30099999999999</v>
      </c>
      <c r="P4778" s="3">
        <f>E4778*(VLOOKUP(B4778,Price_data!A$1:B$190,2,FALSE))</f>
        <v>115.27090278068489</v>
      </c>
      <c r="Q4778" s="3">
        <f>G4778*(VLOOKUP(B4778,Price_data!A$1:B$190,2,FALSE))</f>
        <v>0</v>
      </c>
      <c r="R4778" s="3">
        <f>I4778*(VLOOKUP(B4778,Price_data!A$1:B$190,2,FALSE))</f>
        <v>0</v>
      </c>
      <c r="S4778" s="4" t="str">
        <f>(VLOOKUP(B4778,Price_data!A$1:C$190,3,FALSE))</f>
        <v>EEZ</v>
      </c>
      <c r="T4778" s="2" t="str">
        <f>IF(C4778="Total", (VLOOKUP(B4778,Recommended_fish_intake!A$4:D$122,4,FALSE)), "NA")</f>
        <v>NA</v>
      </c>
      <c r="U4778" s="2" t="str">
        <f t="shared" si="407"/>
        <v>NA</v>
      </c>
    </row>
    <row r="4779" spans="1:21" ht="14.25" customHeight="1">
      <c r="A4779" s="2" t="s">
        <v>18</v>
      </c>
      <c r="B4779" s="2">
        <v>2014</v>
      </c>
      <c r="C4779" s="2" t="s">
        <v>36</v>
      </c>
      <c r="D4779" s="3">
        <f t="shared" si="408"/>
        <v>42.29</v>
      </c>
      <c r="E4779" s="3">
        <f t="shared" si="408"/>
        <v>4.5890000000000004</v>
      </c>
      <c r="P4779" s="3">
        <f>E4779*(VLOOKUP(B4779,Price_data!A$1:B$190,2,FALSE))</f>
        <v>3.0523665348761004</v>
      </c>
      <c r="Q4779" s="3">
        <f>G4779*(VLOOKUP(B4779,Price_data!A$1:B$190,2,FALSE))</f>
        <v>0</v>
      </c>
      <c r="R4779" s="3">
        <f>I4779*(VLOOKUP(B4779,Price_data!A$1:B$190,2,FALSE))</f>
        <v>0</v>
      </c>
      <c r="S4779" s="4" t="str">
        <f>(VLOOKUP(B4779,Price_data!A$1:C$190,3,FALSE))</f>
        <v>EEZ</v>
      </c>
      <c r="T4779" s="2" t="str">
        <f>IF(C4779="Total", (VLOOKUP(B4779,Recommended_fish_intake!A$4:D$122,4,FALSE)), "NA")</f>
        <v>NA</v>
      </c>
      <c r="U4779" s="2" t="str">
        <f t="shared" si="407"/>
        <v>NA</v>
      </c>
    </row>
    <row r="4780" spans="1:21" ht="14.25" customHeight="1">
      <c r="A4780" s="2" t="s">
        <v>18</v>
      </c>
      <c r="B4780" s="2">
        <v>2014</v>
      </c>
      <c r="C4780" s="2" t="s">
        <v>34</v>
      </c>
      <c r="D4780" s="3">
        <f t="shared" si="408"/>
        <v>33.332000000000001</v>
      </c>
      <c r="E4780" s="3">
        <f t="shared" si="408"/>
        <v>6.9980000000000002</v>
      </c>
      <c r="P4780" s="3">
        <f>E4780*(VLOOKUP(B4780,Price_data!A$1:B$190,2,FALSE))</f>
        <v>4.6547093072702008</v>
      </c>
      <c r="Q4780" s="3">
        <f>G4780*(VLOOKUP(B4780,Price_data!A$1:B$190,2,FALSE))</f>
        <v>0</v>
      </c>
      <c r="R4780" s="3">
        <f>I4780*(VLOOKUP(B4780,Price_data!A$1:B$190,2,FALSE))</f>
        <v>0</v>
      </c>
      <c r="S4780" s="4" t="str">
        <f>(VLOOKUP(B4780,Price_data!A$1:C$190,3,FALSE))</f>
        <v>EEZ</v>
      </c>
      <c r="T4780" s="2" t="str">
        <f>IF(C4780="Total", (VLOOKUP(B4780,Recommended_fish_intake!A$4:D$122,4,FALSE)), "NA")</f>
        <v>NA</v>
      </c>
      <c r="U4780" s="2" t="str">
        <f t="shared" si="407"/>
        <v>NA</v>
      </c>
    </row>
    <row r="4781" spans="1:21" ht="14.25" customHeight="1">
      <c r="A4781" s="2" t="s">
        <v>18</v>
      </c>
      <c r="B4781" s="2">
        <v>2014</v>
      </c>
      <c r="C4781" s="2" t="s">
        <v>35</v>
      </c>
      <c r="D4781" s="3">
        <f t="shared" si="408"/>
        <v>123.83199999999999</v>
      </c>
      <c r="E4781" s="3">
        <f t="shared" si="408"/>
        <v>14.363</v>
      </c>
      <c r="P4781" s="3">
        <f>E4781*(VLOOKUP(B4781,Price_data!A$1:B$190,2,FALSE))</f>
        <v>9.5535281195086998</v>
      </c>
      <c r="Q4781" s="3">
        <f>G4781*(VLOOKUP(B4781,Price_data!A$1:B$190,2,FALSE))</f>
        <v>0</v>
      </c>
      <c r="R4781" s="3">
        <f>I4781*(VLOOKUP(B4781,Price_data!A$1:B$190,2,FALSE))</f>
        <v>0</v>
      </c>
      <c r="S4781" s="4" t="str">
        <f>(VLOOKUP(B4781,Price_data!A$1:C$190,3,FALSE))</f>
        <v>EEZ</v>
      </c>
      <c r="T4781" s="2" t="str">
        <f>IF(C4781="Total", (VLOOKUP(B4781,Recommended_fish_intake!A$4:D$122,4,FALSE)), "NA")</f>
        <v>NA</v>
      </c>
      <c r="U4781" s="2" t="str">
        <f t="shared" si="407"/>
        <v>NA</v>
      </c>
    </row>
    <row r="4782" spans="1:21" ht="14.25" customHeight="1">
      <c r="A4782" s="2" t="s">
        <v>18</v>
      </c>
      <c r="B4782" s="2">
        <v>2014</v>
      </c>
      <c r="C4782" s="2" t="s">
        <v>52</v>
      </c>
      <c r="D4782" s="3">
        <f t="shared" si="408"/>
        <v>32.908999999999999</v>
      </c>
      <c r="E4782" s="3">
        <f t="shared" si="408"/>
        <v>43.980000000000004</v>
      </c>
      <c r="P4782" s="3">
        <f>E4782*(VLOOKUP(B4782,Price_data!A$1:B$190,2,FALSE))</f>
        <v>29.253231685302005</v>
      </c>
      <c r="Q4782" s="3">
        <f>G4782*(VLOOKUP(B4782,Price_data!A$1:B$190,2,FALSE))</f>
        <v>0</v>
      </c>
      <c r="R4782" s="3">
        <f>I4782*(VLOOKUP(B4782,Price_data!A$1:B$190,2,FALSE))</f>
        <v>0</v>
      </c>
      <c r="S4782" s="4" t="str">
        <f>(VLOOKUP(B4782,Price_data!A$1:C$190,3,FALSE))</f>
        <v>EEZ</v>
      </c>
      <c r="T4782" s="2" t="str">
        <f>IF(C4782="Total", (VLOOKUP(B4782,Recommended_fish_intake!A$4:D$122,4,FALSE)), "NA")</f>
        <v>NA</v>
      </c>
      <c r="U4782" s="2" t="str">
        <f t="shared" si="407"/>
        <v>NA</v>
      </c>
    </row>
    <row r="4783" spans="1:21" ht="14.25" customHeight="1">
      <c r="A4783" s="2" t="s">
        <v>18</v>
      </c>
      <c r="B4783" s="2">
        <v>2014</v>
      </c>
      <c r="C4783" s="2" t="s">
        <v>30</v>
      </c>
      <c r="D4783" s="3">
        <f t="shared" si="408"/>
        <v>46.902000000000001</v>
      </c>
      <c r="E4783" s="3">
        <f t="shared" si="408"/>
        <v>52.555</v>
      </c>
      <c r="P4783" s="3">
        <f>E4783*(VLOOKUP(B4783,Price_data!A$1:B$190,2,FALSE))</f>
        <v>34.956880200569501</v>
      </c>
      <c r="Q4783" s="3">
        <f>G4783*(VLOOKUP(B4783,Price_data!A$1:B$190,2,FALSE))</f>
        <v>0</v>
      </c>
      <c r="R4783" s="3">
        <f>I4783*(VLOOKUP(B4783,Price_data!A$1:B$190,2,FALSE))</f>
        <v>0</v>
      </c>
      <c r="S4783" s="4" t="str">
        <f>(VLOOKUP(B4783,Price_data!A$1:C$190,3,FALSE))</f>
        <v>EEZ</v>
      </c>
      <c r="T4783" s="2" t="str">
        <f>IF(C4783="Total", (VLOOKUP(B4783,Recommended_fish_intake!A$4:D$122,4,FALSE)), "NA")</f>
        <v>NA</v>
      </c>
      <c r="U4783" s="2" t="str">
        <f t="shared" si="407"/>
        <v>NA</v>
      </c>
    </row>
    <row r="4784" spans="1:21" ht="14.25" customHeight="1">
      <c r="A4784" s="2" t="s">
        <v>18</v>
      </c>
      <c r="B4784" s="2">
        <v>2014</v>
      </c>
      <c r="C4784" s="2" t="s">
        <v>28</v>
      </c>
      <c r="D4784" s="3">
        <f t="shared" si="408"/>
        <v>33.680999999999997</v>
      </c>
      <c r="E4784" s="3">
        <f t="shared" si="408"/>
        <v>84.966999999999999</v>
      </c>
      <c r="P4784" s="3">
        <f>E4784*(VLOOKUP(B4784,Price_data!A$1:B$190,2,FALSE))</f>
        <v>56.515673865508305</v>
      </c>
      <c r="Q4784" s="3">
        <f>G4784*(VLOOKUP(B4784,Price_data!A$1:B$190,2,FALSE))</f>
        <v>0</v>
      </c>
      <c r="R4784" s="3">
        <f>I4784*(VLOOKUP(B4784,Price_data!A$1:B$190,2,FALSE))</f>
        <v>0</v>
      </c>
      <c r="S4784" s="4" t="str">
        <f>(VLOOKUP(B4784,Price_data!A$1:C$190,3,FALSE))</f>
        <v>EEZ</v>
      </c>
      <c r="T4784" s="2" t="str">
        <f>IF(C4784="Total", (VLOOKUP(B4784,Recommended_fish_intake!A$4:D$122,4,FALSE)), "NA")</f>
        <v>NA</v>
      </c>
      <c r="U4784" s="2">
        <f t="shared" si="407"/>
        <v>9.4306800000000006</v>
      </c>
    </row>
    <row r="4785" spans="1:21" ht="14.25" customHeight="1">
      <c r="A4785" s="2" t="s">
        <v>18</v>
      </c>
      <c r="B4785" s="2">
        <v>2014</v>
      </c>
      <c r="C4785" s="2" t="s">
        <v>37</v>
      </c>
      <c r="D4785" s="3">
        <f>D4730+D4745</f>
        <v>20.167000000000002</v>
      </c>
      <c r="E4785" s="3">
        <f>E4730+E4745</f>
        <v>72.959999999999994</v>
      </c>
      <c r="P4785" s="3">
        <f>E4785*(VLOOKUP(B4785,Price_data!A$1:B$190,2,FALSE))</f>
        <v>48.529235647104002</v>
      </c>
      <c r="Q4785" s="3">
        <f>G4785*(VLOOKUP(B4785,Price_data!A$1:B$190,2,FALSE))</f>
        <v>0</v>
      </c>
      <c r="R4785" s="3">
        <f>I4785*(VLOOKUP(B4785,Price_data!A$1:B$190,2,FALSE))</f>
        <v>0</v>
      </c>
      <c r="S4785" s="4" t="str">
        <f>(VLOOKUP(B4785,Price_data!A$1:C$190,3,FALSE))</f>
        <v>EEZ</v>
      </c>
      <c r="T4785" s="2" t="str">
        <f>IF(C4785="Total", (VLOOKUP(B4785,Recommended_fish_intake!A$4:D$122,4,FALSE)), "NA")</f>
        <v>NA</v>
      </c>
      <c r="U4785" s="2">
        <f t="shared" si="407"/>
        <v>9.8818300000000008</v>
      </c>
    </row>
    <row r="4786" spans="1:21" ht="14.25" customHeight="1">
      <c r="A4786" s="2" t="s">
        <v>15</v>
      </c>
      <c r="B4786" s="2">
        <v>2014</v>
      </c>
      <c r="C4786" s="2" t="s">
        <v>60</v>
      </c>
      <c r="D4786" s="2">
        <v>1.9</v>
      </c>
      <c r="E4786" s="2">
        <v>3.4</v>
      </c>
      <c r="F4786" s="2">
        <v>3.9</v>
      </c>
      <c r="G4786" s="2">
        <v>10.4</v>
      </c>
      <c r="H4786" s="2">
        <v>38.299999999999997</v>
      </c>
      <c r="I4786" s="2">
        <v>71.8</v>
      </c>
      <c r="P4786" s="3">
        <f>E4786*(VLOOKUP(B4786,Price_data!A$1:B$190,2,FALSE))</f>
        <v>2.26150495066</v>
      </c>
      <c r="Q4786" s="3">
        <f>G4786*(VLOOKUP(B4786,Price_data!A$1:B$190,2,FALSE))</f>
        <v>6.917544554960001</v>
      </c>
      <c r="R4786" s="3">
        <f>I4786*(VLOOKUP(B4786,Price_data!A$1:B$190,2,FALSE))</f>
        <v>47.757663369820001</v>
      </c>
      <c r="S4786" s="4" t="str">
        <f>(VLOOKUP(B4786,Price_data!A$1:C$190,3,FALSE))</f>
        <v>EEZ</v>
      </c>
      <c r="T4786" s="2" t="str">
        <f>IF(C4786="Total", (VLOOKUP(B4786,Recommended_fish_intake!A$4:D$122,4,FALSE)), "NA")</f>
        <v>NA</v>
      </c>
      <c r="U4786" s="2" t="str">
        <f t="shared" si="407"/>
        <v>NA</v>
      </c>
    </row>
    <row r="4787" spans="1:21" ht="14.25" customHeight="1">
      <c r="A4787" s="2" t="s">
        <v>15</v>
      </c>
      <c r="B4787" s="2">
        <v>2014</v>
      </c>
      <c r="C4787" s="2" t="s">
        <v>29</v>
      </c>
      <c r="D4787" s="2" t="s">
        <v>17</v>
      </c>
      <c r="E4787" s="2" t="s">
        <v>17</v>
      </c>
      <c r="F4787" s="2">
        <v>124.8</v>
      </c>
      <c r="G4787" s="2">
        <v>625.9</v>
      </c>
      <c r="H4787" s="2">
        <v>78.3</v>
      </c>
      <c r="I4787" s="2">
        <v>393.1</v>
      </c>
      <c r="P4787" s="3" t="e">
        <f>E4787*(VLOOKUP(B4787,Price_data!A$1:B$190,2,FALSE))</f>
        <v>#VALUE!</v>
      </c>
      <c r="Q4787" s="3">
        <f>G4787*(VLOOKUP(B4787,Price_data!A$1:B$190,2,FALSE))</f>
        <v>416.31645547591</v>
      </c>
      <c r="R4787" s="3">
        <f>I4787*(VLOOKUP(B4787,Price_data!A$1:B$190,2,FALSE))</f>
        <v>261.46988120719004</v>
      </c>
      <c r="S4787" s="4" t="str">
        <f>(VLOOKUP(B4787,Price_data!A$1:C$190,3,FALSE))</f>
        <v>EEZ</v>
      </c>
      <c r="T4787" s="2" t="str">
        <f>IF(C4787="Total", (VLOOKUP(B4787,Recommended_fish_intake!A$4:D$122,4,FALSE)), "NA")</f>
        <v>NA</v>
      </c>
      <c r="U4787" s="2" t="str">
        <f t="shared" si="407"/>
        <v>NA</v>
      </c>
    </row>
    <row r="4788" spans="1:21" ht="14.25" customHeight="1">
      <c r="A4788" s="2" t="s">
        <v>15</v>
      </c>
      <c r="B4788" s="2">
        <v>2014</v>
      </c>
      <c r="C4788" s="2" t="s">
        <v>93</v>
      </c>
      <c r="D4788" s="2">
        <v>3.4</v>
      </c>
      <c r="E4788" s="2">
        <v>0.8</v>
      </c>
      <c r="F4788" s="2">
        <v>3.9</v>
      </c>
      <c r="G4788" s="2">
        <v>7.1</v>
      </c>
      <c r="H4788" s="2">
        <v>12.9</v>
      </c>
      <c r="I4788" s="2">
        <v>33.799999999999997</v>
      </c>
      <c r="P4788" s="3">
        <f>E4788*(VLOOKUP(B4788,Price_data!A$1:B$190,2,FALSE))</f>
        <v>0.5321188119200001</v>
      </c>
      <c r="Q4788" s="3">
        <f>G4788*(VLOOKUP(B4788,Price_data!A$1:B$190,2,FALSE))</f>
        <v>4.7225544557900001</v>
      </c>
      <c r="R4788" s="3">
        <f>I4788*(VLOOKUP(B4788,Price_data!A$1:B$190,2,FALSE))</f>
        <v>22.482019803619998</v>
      </c>
      <c r="S4788" s="4" t="str">
        <f>(VLOOKUP(B4788,Price_data!A$1:C$190,3,FALSE))</f>
        <v>EEZ</v>
      </c>
      <c r="T4788" s="2" t="str">
        <f>IF(C4788="Total", (VLOOKUP(B4788,Recommended_fish_intake!A$4:D$122,4,FALSE)), "NA")</f>
        <v>NA</v>
      </c>
      <c r="U4788" s="2" t="str">
        <f t="shared" si="407"/>
        <v>NA</v>
      </c>
    </row>
    <row r="4789" spans="1:21" ht="14.25" customHeight="1">
      <c r="A4789" s="2" t="s">
        <v>15</v>
      </c>
      <c r="B4789" s="2">
        <v>2014</v>
      </c>
      <c r="C4789" s="2" t="s">
        <v>43</v>
      </c>
      <c r="D4789" s="2" t="s">
        <v>17</v>
      </c>
      <c r="E4789" s="2" t="s">
        <v>17</v>
      </c>
      <c r="F4789" s="2">
        <v>4.9000000000000004</v>
      </c>
      <c r="G4789" s="2">
        <v>18.2</v>
      </c>
      <c r="H4789" s="2">
        <v>91.8</v>
      </c>
      <c r="I4789" s="2">
        <v>287.5</v>
      </c>
      <c r="P4789" s="3" t="e">
        <f>E4789*(VLOOKUP(B4789,Price_data!A$1:B$190,2,FALSE))</f>
        <v>#VALUE!</v>
      </c>
      <c r="Q4789" s="3">
        <f>G4789*(VLOOKUP(B4789,Price_data!A$1:B$190,2,FALSE))</f>
        <v>12.105702971179999</v>
      </c>
      <c r="R4789" s="3">
        <f>I4789*(VLOOKUP(B4789,Price_data!A$1:B$190,2,FALSE))</f>
        <v>191.23019803375001</v>
      </c>
      <c r="S4789" s="4" t="str">
        <f>(VLOOKUP(B4789,Price_data!A$1:C$190,3,FALSE))</f>
        <v>EEZ</v>
      </c>
      <c r="T4789" s="2" t="str">
        <f>IF(C4789="Total", (VLOOKUP(B4789,Recommended_fish_intake!A$4:D$122,4,FALSE)), "NA")</f>
        <v>NA</v>
      </c>
      <c r="U4789" s="2" t="str">
        <f t="shared" si="407"/>
        <v>NA</v>
      </c>
    </row>
    <row r="4790" spans="1:21" ht="14.25" customHeight="1">
      <c r="A4790" s="2" t="s">
        <v>15</v>
      </c>
      <c r="B4790" s="2">
        <v>2014</v>
      </c>
      <c r="C4790" s="2" t="s">
        <v>25</v>
      </c>
      <c r="D4790" s="2">
        <v>3.6</v>
      </c>
      <c r="E4790" s="2">
        <v>3.6</v>
      </c>
      <c r="F4790" s="4">
        <v>0.3</v>
      </c>
      <c r="G4790" s="4">
        <v>0.5</v>
      </c>
      <c r="H4790" s="4">
        <v>4.2</v>
      </c>
      <c r="I4790" s="4">
        <v>12.9</v>
      </c>
      <c r="P4790" s="3">
        <f>E4790*(VLOOKUP(B4790,Price_data!A$1:B$190,2,FALSE))</f>
        <v>2.3945346536400001</v>
      </c>
      <c r="Q4790" s="3">
        <f>G4790*(VLOOKUP(B4790,Price_data!A$1:B$190,2,FALSE))</f>
        <v>0.33257425745000002</v>
      </c>
      <c r="R4790" s="3">
        <f>I4790*(VLOOKUP(B4790,Price_data!A$1:B$190,2,FALSE))</f>
        <v>8.5804158422100016</v>
      </c>
      <c r="S4790" s="4" t="str">
        <f>(VLOOKUP(B4790,Price_data!A$1:C$190,3,FALSE))</f>
        <v>EEZ</v>
      </c>
      <c r="T4790" s="2" t="str">
        <f>IF(C4790="Total", (VLOOKUP(B4790,Recommended_fish_intake!A$4:D$122,4,FALSE)), "NA")</f>
        <v>NA</v>
      </c>
      <c r="U4790" s="2" t="str">
        <f t="shared" si="407"/>
        <v>NA</v>
      </c>
    </row>
    <row r="4791" spans="1:21" ht="14.25" customHeight="1">
      <c r="A4791" s="2" t="s">
        <v>15</v>
      </c>
      <c r="B4791" s="2">
        <v>2014</v>
      </c>
      <c r="C4791" s="2" t="s">
        <v>16</v>
      </c>
      <c r="D4791" s="2">
        <v>450.8</v>
      </c>
      <c r="E4791" s="2">
        <v>615.4</v>
      </c>
      <c r="F4791" s="2">
        <v>499.1</v>
      </c>
      <c r="G4791" s="2">
        <v>1560.3</v>
      </c>
      <c r="H4791" s="2">
        <v>720.6</v>
      </c>
      <c r="I4791" s="2">
        <v>2736.3</v>
      </c>
      <c r="P4791" s="3">
        <f>E4791*(VLOOKUP(B4791,Price_data!A$1:B$190,2,FALSE))</f>
        <v>409.33239606946</v>
      </c>
      <c r="Q4791" s="3">
        <f>G4791*(VLOOKUP(B4791,Price_data!A$1:B$190,2,FALSE))</f>
        <v>1037.8312277984701</v>
      </c>
      <c r="R4791" s="3">
        <f>I4791*(VLOOKUP(B4791,Price_data!A$1:B$190,2,FALSE))</f>
        <v>1820.0458813208702</v>
      </c>
      <c r="S4791" s="4" t="str">
        <f>(VLOOKUP(B4791,Price_data!A$1:C$190,3,FALSE))</f>
        <v>EEZ</v>
      </c>
      <c r="T4791" s="2">
        <f>IF(C4791="Total", (VLOOKUP(B4791,Recommended_fish_intake!A$4:D$122,4,FALSE)), "NA")</f>
        <v>859.84000971959995</v>
      </c>
      <c r="U4791" s="2" t="str">
        <f t="shared" si="407"/>
        <v>NA</v>
      </c>
    </row>
    <row r="4792" spans="1:21" ht="14.25" customHeight="1">
      <c r="A4792" s="2" t="s">
        <v>90</v>
      </c>
      <c r="B4792" s="2">
        <v>2014</v>
      </c>
      <c r="C4792" s="2" t="s">
        <v>16</v>
      </c>
      <c r="D4792" s="2">
        <v>101</v>
      </c>
      <c r="E4792" s="2">
        <v>166.7</v>
      </c>
      <c r="P4792" s="3">
        <f>E4792*(VLOOKUP(B4792,Price_data!A$1:B$190,2,FALSE))</f>
        <v>110.88025743383</v>
      </c>
      <c r="Q4792" s="3">
        <f>G4792*(VLOOKUP(B4792,Price_data!A$1:B$190,2,FALSE))</f>
        <v>0</v>
      </c>
      <c r="R4792" s="3">
        <f>I4792*(VLOOKUP(B4792,Price_data!A$1:B$190,2,FALSE))</f>
        <v>0</v>
      </c>
      <c r="S4792" s="4" t="str">
        <f>(VLOOKUP(B4792,Price_data!A$1:C$190,3,FALSE))</f>
        <v>EEZ</v>
      </c>
      <c r="T4792" s="2">
        <f>IF(C4792="Total", (VLOOKUP(B4792,Recommended_fish_intake!A$4:D$122,4,FALSE)), "NA")</f>
        <v>859.84000971959995</v>
      </c>
      <c r="U4792" s="2" t="str">
        <f t="shared" si="407"/>
        <v>NA</v>
      </c>
    </row>
    <row r="4793" spans="1:21" ht="14.25" customHeight="1">
      <c r="A4793" s="2" t="s">
        <v>91</v>
      </c>
      <c r="B4793" s="2">
        <v>2014</v>
      </c>
      <c r="C4793" s="2" t="s">
        <v>16</v>
      </c>
      <c r="D4793" s="2">
        <v>9.875</v>
      </c>
      <c r="E4793" s="2">
        <v>13.422000000000001</v>
      </c>
      <c r="P4793" s="3">
        <f>E4793*(VLOOKUP(B4793,Price_data!A$1:B$190,2,FALSE))</f>
        <v>8.9276233669878007</v>
      </c>
      <c r="Q4793" s="3">
        <f>G4793*(VLOOKUP(B4793,Price_data!A$1:B$190,2,FALSE))</f>
        <v>0</v>
      </c>
      <c r="R4793" s="3">
        <f>I4793*(VLOOKUP(B4793,Price_data!A$1:B$190,2,FALSE))</f>
        <v>0</v>
      </c>
      <c r="S4793" s="4" t="str">
        <f>(VLOOKUP(B4793,Price_data!A$1:C$190,3,FALSE))</f>
        <v>EEZ</v>
      </c>
      <c r="T4793" s="2">
        <f>IF(C4793="Total", (VLOOKUP(B4793,Recommended_fish_intake!A$4:D$122,4,FALSE)), "NA")</f>
        <v>859.84000971959995</v>
      </c>
      <c r="U4793" s="2" t="str">
        <f t="shared" si="407"/>
        <v>NA</v>
      </c>
    </row>
    <row r="4794" spans="1:21" ht="14.25" customHeight="1">
      <c r="A4794" s="2" t="s">
        <v>39</v>
      </c>
      <c r="B4794" s="2">
        <v>2014</v>
      </c>
      <c r="C4794" s="2" t="s">
        <v>16</v>
      </c>
      <c r="D4794" s="2">
        <v>314.91199999999998</v>
      </c>
      <c r="E4794" s="2">
        <v>402.517</v>
      </c>
      <c r="P4794" s="3">
        <f>E4794*(VLOOKUP(B4794,Price_data!A$1:B$190,2,FALSE))</f>
        <v>267.73358477200333</v>
      </c>
      <c r="Q4794" s="3">
        <f>G4794*(VLOOKUP(B4794,Price_data!A$1:B$190,2,FALSE))</f>
        <v>0</v>
      </c>
      <c r="R4794" s="3">
        <f>I4794*(VLOOKUP(B4794,Price_data!A$1:B$190,2,FALSE))</f>
        <v>0</v>
      </c>
      <c r="S4794" s="4" t="str">
        <f>(VLOOKUP(B4794,Price_data!A$1:C$190,3,FALSE))</f>
        <v>EEZ</v>
      </c>
      <c r="T4794" s="2">
        <f>IF(C4794="Total", (VLOOKUP(B4794,Recommended_fish_intake!A$4:D$122,4,FALSE)), "NA")</f>
        <v>859.84000971959995</v>
      </c>
      <c r="U4794" s="2" t="str">
        <f t="shared" si="407"/>
        <v>NA</v>
      </c>
    </row>
    <row r="4795" spans="1:21" ht="14.25" customHeight="1">
      <c r="A4795" s="2" t="s">
        <v>40</v>
      </c>
      <c r="B4795" s="2">
        <v>2014</v>
      </c>
      <c r="C4795" s="2" t="s">
        <v>16</v>
      </c>
      <c r="D4795" s="2">
        <v>18.100000000000001</v>
      </c>
      <c r="E4795" s="2">
        <v>24.8</v>
      </c>
      <c r="P4795" s="3">
        <f>E4795*(VLOOKUP(B4795,Price_data!A$1:B$190,2,FALSE))</f>
        <v>16.495683169520003</v>
      </c>
      <c r="Q4795" s="3">
        <f>G4795*(VLOOKUP(B4795,Price_data!A$1:B$190,2,FALSE))</f>
        <v>0</v>
      </c>
      <c r="R4795" s="3">
        <f>I4795*(VLOOKUP(B4795,Price_data!A$1:B$190,2,FALSE))</f>
        <v>0</v>
      </c>
      <c r="S4795" s="4" t="str">
        <f>(VLOOKUP(B4795,Price_data!A$1:C$190,3,FALSE))</f>
        <v>EEZ</v>
      </c>
      <c r="T4795" s="2">
        <f>IF(C4795="Total", (VLOOKUP(B4795,Recommended_fish_intake!A$4:D$122,4,FALSE)), "NA")</f>
        <v>859.84000971959995</v>
      </c>
      <c r="U4795" s="2" t="str">
        <f t="shared" si="407"/>
        <v>NA</v>
      </c>
    </row>
    <row r="4796" spans="1:21" ht="14.25" customHeight="1">
      <c r="A4796" s="2" t="s">
        <v>18</v>
      </c>
      <c r="B4796" s="2">
        <v>2014</v>
      </c>
      <c r="C4796" s="2" t="s">
        <v>16</v>
      </c>
      <c r="D4796" s="3">
        <f>D3178+D3268</f>
        <v>1.2170000000000001</v>
      </c>
      <c r="E4796" s="3">
        <f>E3178+E3268</f>
        <v>1.694</v>
      </c>
      <c r="P4796" s="3">
        <f>E4796*(VLOOKUP(B4796,Price_data!A$1:B$190,2,FALSE))</f>
        <v>1.1267615842406</v>
      </c>
      <c r="Q4796" s="3">
        <f>G4796*(VLOOKUP(B4796,Price_data!A$1:B$190,2,FALSE))</f>
        <v>0</v>
      </c>
      <c r="R4796" s="3">
        <f>I4796*(VLOOKUP(B4796,Price_data!A$1:B$190,2,FALSE))</f>
        <v>0</v>
      </c>
      <c r="S4796" s="4" t="str">
        <f>(VLOOKUP(B4796,Price_data!A$1:C$190,3,FALSE))</f>
        <v>EEZ</v>
      </c>
      <c r="T4796" s="2">
        <f>IF(C4796="Total", (VLOOKUP(B4796,Recommended_fish_intake!A$4:D$122,4,FALSE)), "NA")</f>
        <v>859.84000971959995</v>
      </c>
      <c r="U4796" s="2" t="str">
        <f t="shared" si="407"/>
        <v>NA</v>
      </c>
    </row>
    <row r="4797" spans="1:21" ht="14.25" customHeight="1">
      <c r="A4797" s="2" t="s">
        <v>15</v>
      </c>
      <c r="B4797" s="2">
        <v>2015</v>
      </c>
      <c r="C4797" s="2" t="s">
        <v>22</v>
      </c>
      <c r="D4797" s="2">
        <v>15.4</v>
      </c>
      <c r="E4797" s="2">
        <v>29.5</v>
      </c>
      <c r="F4797" s="2">
        <v>16</v>
      </c>
      <c r="G4797" s="2">
        <v>53.1</v>
      </c>
      <c r="H4797" s="2">
        <v>115.4</v>
      </c>
      <c r="I4797" s="2">
        <v>440.1</v>
      </c>
      <c r="P4797" s="3">
        <f>E4797*(VLOOKUP(B4797,Price_data!A$1:B$190,2,FALSE))</f>
        <v>19.4295098045</v>
      </c>
      <c r="Q4797" s="3">
        <f>G4797*(VLOOKUP(B4797,Price_data!A$1:B$190,2,FALSE))</f>
        <v>34.973117648100001</v>
      </c>
      <c r="R4797" s="3">
        <f>I4797*(VLOOKUP(B4797,Price_data!A$1:B$190,2,FALSE))</f>
        <v>289.86194118510002</v>
      </c>
      <c r="S4797" s="4" t="str">
        <f>(VLOOKUP(B4797,Price_data!A$1:C$190,3,FALSE))</f>
        <v>EEZ</v>
      </c>
      <c r="T4797" s="2" t="str">
        <f>IF(C4797="Total", (VLOOKUP(B4797,Recommended_fish_intake!A$4:D$122,4,FALSE)), "NA")</f>
        <v>NA</v>
      </c>
      <c r="U4797" s="2" t="str">
        <f t="shared" si="407"/>
        <v>NA</v>
      </c>
    </row>
    <row r="4798" spans="1:21" ht="14.25" customHeight="1">
      <c r="A4798" s="2" t="s">
        <v>15</v>
      </c>
      <c r="B4798" s="2">
        <v>2015</v>
      </c>
      <c r="C4798" s="2" t="s">
        <v>23</v>
      </c>
      <c r="D4798" s="2">
        <v>32.4</v>
      </c>
      <c r="E4798" s="2">
        <v>44.2</v>
      </c>
      <c r="F4798" s="2">
        <v>0.9</v>
      </c>
      <c r="G4798" s="2">
        <v>2.5</v>
      </c>
      <c r="H4798" s="2">
        <v>41</v>
      </c>
      <c r="I4798" s="2">
        <v>119.9</v>
      </c>
      <c r="P4798" s="3">
        <f>E4798*(VLOOKUP(B4798,Price_data!A$1:B$190,2,FALSE))</f>
        <v>29.111333334200001</v>
      </c>
      <c r="Q4798" s="3">
        <f>G4798*(VLOOKUP(B4798,Price_data!A$1:B$190,2,FALSE))</f>
        <v>1.6465686275</v>
      </c>
      <c r="R4798" s="3">
        <f>I4798*(VLOOKUP(B4798,Price_data!A$1:B$190,2,FALSE))</f>
        <v>78.969431374899997</v>
      </c>
      <c r="S4798" s="4" t="str">
        <f>(VLOOKUP(B4798,Price_data!A$1:C$190,3,FALSE))</f>
        <v>EEZ</v>
      </c>
      <c r="T4798" s="2" t="str">
        <f>IF(C4798="Total", (VLOOKUP(B4798,Recommended_fish_intake!A$4:D$122,4,FALSE)), "NA")</f>
        <v>NA</v>
      </c>
      <c r="U4798" s="2" t="str">
        <f t="shared" si="407"/>
        <v>NA</v>
      </c>
    </row>
    <row r="4799" spans="1:21" ht="14.25" customHeight="1">
      <c r="A4799" s="2" t="s">
        <v>15</v>
      </c>
      <c r="B4799" s="2">
        <v>2015</v>
      </c>
      <c r="C4799" s="2" t="s">
        <v>53</v>
      </c>
      <c r="D4799" s="2">
        <v>8.8000000000000007</v>
      </c>
      <c r="E4799" s="2">
        <v>20.9</v>
      </c>
      <c r="F4799" s="2">
        <v>5</v>
      </c>
      <c r="G4799" s="2">
        <v>17.399999999999999</v>
      </c>
      <c r="H4799" s="2">
        <v>3.2</v>
      </c>
      <c r="I4799" s="2">
        <v>9.4</v>
      </c>
      <c r="P4799" s="3">
        <f>E4799*(VLOOKUP(B4799,Price_data!A$1:B$190,2,FALSE))</f>
        <v>13.765313725899999</v>
      </c>
      <c r="Q4799" s="3">
        <f>G4799*(VLOOKUP(B4799,Price_data!A$1:B$190,2,FALSE))</f>
        <v>11.460117647399999</v>
      </c>
      <c r="R4799" s="3">
        <f>I4799*(VLOOKUP(B4799,Price_data!A$1:B$190,2,FALSE))</f>
        <v>6.1910980393999999</v>
      </c>
      <c r="S4799" s="4" t="str">
        <f>(VLOOKUP(B4799,Price_data!A$1:C$190,3,FALSE))</f>
        <v>EEZ</v>
      </c>
      <c r="T4799" s="2" t="str">
        <f>IF(C4799="Total", (VLOOKUP(B4799,Recommended_fish_intake!A$4:D$122,4,FALSE)), "NA")</f>
        <v>NA</v>
      </c>
      <c r="U4799" s="2" t="str">
        <f t="shared" si="407"/>
        <v>NA</v>
      </c>
    </row>
    <row r="4800" spans="1:21" ht="14.25" customHeight="1">
      <c r="A4800" s="2" t="s">
        <v>15</v>
      </c>
      <c r="B4800" s="2">
        <v>2015</v>
      </c>
      <c r="C4800" s="2" t="s">
        <v>58</v>
      </c>
      <c r="D4800" s="2">
        <v>14.3</v>
      </c>
      <c r="E4800" s="2">
        <v>34.799999999999997</v>
      </c>
      <c r="F4800" s="2">
        <v>3.1</v>
      </c>
      <c r="G4800" s="2">
        <v>15.9</v>
      </c>
      <c r="H4800" s="2">
        <v>1.1000000000000001</v>
      </c>
      <c r="I4800" s="2">
        <v>3.5</v>
      </c>
      <c r="P4800" s="3">
        <f>E4800*(VLOOKUP(B4800,Price_data!A$1:B$190,2,FALSE))</f>
        <v>22.920235294799998</v>
      </c>
      <c r="Q4800" s="3">
        <f>G4800*(VLOOKUP(B4800,Price_data!A$1:B$190,2,FALSE))</f>
        <v>10.472176470899999</v>
      </c>
      <c r="R4800" s="3">
        <f>I4800*(VLOOKUP(B4800,Price_data!A$1:B$190,2,FALSE))</f>
        <v>2.3051960784999999</v>
      </c>
      <c r="S4800" s="4" t="str">
        <f>(VLOOKUP(B4800,Price_data!A$1:C$190,3,FALSE))</f>
        <v>EEZ</v>
      </c>
      <c r="T4800" s="2" t="str">
        <f>IF(C4800="Total", (VLOOKUP(B4800,Recommended_fish_intake!A$4:D$122,4,FALSE)), "NA")</f>
        <v>NA</v>
      </c>
      <c r="U4800" s="2" t="str">
        <f t="shared" si="407"/>
        <v>NA</v>
      </c>
    </row>
    <row r="4801" spans="1:21" ht="14.25" customHeight="1">
      <c r="A4801" s="2" t="s">
        <v>15</v>
      </c>
      <c r="B4801" s="2">
        <v>2015</v>
      </c>
      <c r="C4801" s="2" t="s">
        <v>19</v>
      </c>
      <c r="D4801" s="2">
        <v>38.6</v>
      </c>
      <c r="E4801" s="2">
        <v>13.4</v>
      </c>
      <c r="F4801" s="2">
        <v>64.8</v>
      </c>
      <c r="G4801" s="2">
        <v>35.6</v>
      </c>
      <c r="H4801" s="2">
        <v>9.4</v>
      </c>
      <c r="I4801" s="2">
        <v>15.1</v>
      </c>
      <c r="P4801" s="3">
        <f>E4801*(VLOOKUP(B4801,Price_data!A$1:B$190,2,FALSE))</f>
        <v>8.8256078434000003</v>
      </c>
      <c r="Q4801" s="3">
        <f>G4801*(VLOOKUP(B4801,Price_data!A$1:B$190,2,FALSE))</f>
        <v>23.447137255600001</v>
      </c>
      <c r="R4801" s="3">
        <f>I4801*(VLOOKUP(B4801,Price_data!A$1:B$190,2,FALSE))</f>
        <v>9.9452745100999991</v>
      </c>
      <c r="S4801" s="4" t="str">
        <f>(VLOOKUP(B4801,Price_data!A$1:C$190,3,FALSE))</f>
        <v>EEZ</v>
      </c>
      <c r="T4801" s="2" t="str">
        <f>IF(C4801="Total", (VLOOKUP(B4801,Recommended_fish_intake!A$4:D$122,4,FALSE)), "NA")</f>
        <v>NA</v>
      </c>
      <c r="U4801" s="2" t="str">
        <f t="shared" si="407"/>
        <v>NA</v>
      </c>
    </row>
    <row r="4802" spans="1:21" ht="14.25" customHeight="1">
      <c r="A4802" s="2" t="s">
        <v>15</v>
      </c>
      <c r="B4802" s="2">
        <v>2015</v>
      </c>
      <c r="C4802" s="2" t="s">
        <v>20</v>
      </c>
      <c r="D4802" s="2">
        <v>94.8</v>
      </c>
      <c r="E4802" s="2">
        <v>60.6</v>
      </c>
      <c r="F4802" s="2">
        <v>80.3</v>
      </c>
      <c r="G4802" s="2">
        <v>67.7</v>
      </c>
      <c r="H4802" s="2">
        <v>19</v>
      </c>
      <c r="I4802" s="2">
        <v>38.9</v>
      </c>
      <c r="P4802" s="3">
        <f>E4802*(VLOOKUP(B4802,Price_data!A$1:B$190,2,FALSE))</f>
        <v>39.912823530600001</v>
      </c>
      <c r="Q4802" s="3">
        <f>G4802*(VLOOKUP(B4802,Price_data!A$1:B$190,2,FALSE))</f>
        <v>44.589078432699999</v>
      </c>
      <c r="R4802" s="3">
        <f>I4802*(VLOOKUP(B4802,Price_data!A$1:B$190,2,FALSE))</f>
        <v>25.620607843899997</v>
      </c>
      <c r="S4802" s="4" t="str">
        <f>(VLOOKUP(B4802,Price_data!A$1:C$190,3,FALSE))</f>
        <v>EEZ</v>
      </c>
      <c r="T4802" s="2" t="str">
        <f>IF(C4802="Total", (VLOOKUP(B4802,Recommended_fish_intake!A$4:D$122,4,FALSE)), "NA")</f>
        <v>NA</v>
      </c>
      <c r="U4802" s="2" t="str">
        <f t="shared" ref="U4802:U4865" si="409">IF(C4802="Wet fish", D4802*0.49, IF(C4802="Shellfish", D4802*0.28, "NA"))</f>
        <v>NA</v>
      </c>
    </row>
    <row r="4803" spans="1:21" ht="14.25" customHeight="1">
      <c r="A4803" s="2" t="s">
        <v>15</v>
      </c>
      <c r="B4803" s="2">
        <v>2015</v>
      </c>
      <c r="C4803" s="2" t="s">
        <v>36</v>
      </c>
      <c r="D4803" s="2">
        <v>29.1</v>
      </c>
      <c r="E4803" s="2">
        <v>39.200000000000003</v>
      </c>
      <c r="F4803" s="2">
        <v>14.5</v>
      </c>
      <c r="G4803" s="2">
        <v>48.5</v>
      </c>
      <c r="H4803" s="2">
        <v>2.2000000000000002</v>
      </c>
      <c r="I4803" s="2">
        <v>18.399999999999999</v>
      </c>
      <c r="P4803" s="3">
        <f>E4803*(VLOOKUP(B4803,Price_data!A$1:B$190,2,FALSE))</f>
        <v>25.8181960792</v>
      </c>
      <c r="Q4803" s="3">
        <f>G4803*(VLOOKUP(B4803,Price_data!A$1:B$190,2,FALSE))</f>
        <v>31.943431373499998</v>
      </c>
      <c r="R4803" s="3">
        <f>I4803*(VLOOKUP(B4803,Price_data!A$1:B$190,2,FALSE))</f>
        <v>12.118745098399998</v>
      </c>
      <c r="S4803" s="4" t="str">
        <f>(VLOOKUP(B4803,Price_data!A$1:C$190,3,FALSE))</f>
        <v>EEZ</v>
      </c>
      <c r="T4803" s="2" t="str">
        <f>IF(C4803="Total", (VLOOKUP(B4803,Recommended_fish_intake!A$4:D$122,4,FALSE)), "NA")</f>
        <v>NA</v>
      </c>
      <c r="U4803" s="2" t="str">
        <f t="shared" si="409"/>
        <v>NA</v>
      </c>
    </row>
    <row r="4804" spans="1:21" ht="14.25" customHeight="1">
      <c r="A4804" s="2" t="s">
        <v>15</v>
      </c>
      <c r="B4804" s="2">
        <v>2015</v>
      </c>
      <c r="C4804" s="2" t="s">
        <v>34</v>
      </c>
      <c r="D4804" s="2">
        <v>3.1</v>
      </c>
      <c r="E4804" s="2">
        <v>32.200000000000003</v>
      </c>
      <c r="F4804" s="2">
        <v>3.2</v>
      </c>
      <c r="G4804" s="2">
        <v>35.200000000000003</v>
      </c>
      <c r="H4804" s="2">
        <v>3</v>
      </c>
      <c r="I4804" s="2">
        <v>35.9</v>
      </c>
      <c r="P4804" s="3">
        <f>E4804*(VLOOKUP(B4804,Price_data!A$1:B$190,2,FALSE))</f>
        <v>21.2078039222</v>
      </c>
      <c r="Q4804" s="3">
        <f>G4804*(VLOOKUP(B4804,Price_data!A$1:B$190,2,FALSE))</f>
        <v>23.183686275199999</v>
      </c>
      <c r="R4804" s="3">
        <f>I4804*(VLOOKUP(B4804,Price_data!A$1:B$190,2,FALSE))</f>
        <v>23.644725490899997</v>
      </c>
      <c r="S4804" s="4" t="str">
        <f>(VLOOKUP(B4804,Price_data!A$1:C$190,3,FALSE))</f>
        <v>EEZ</v>
      </c>
      <c r="T4804" s="2" t="str">
        <f>IF(C4804="Total", (VLOOKUP(B4804,Recommended_fish_intake!A$4:D$122,4,FALSE)), "NA")</f>
        <v>NA</v>
      </c>
      <c r="U4804" s="2" t="str">
        <f t="shared" si="409"/>
        <v>NA</v>
      </c>
    </row>
    <row r="4805" spans="1:21" ht="14.25" customHeight="1">
      <c r="A4805" s="2" t="s">
        <v>15</v>
      </c>
      <c r="B4805" s="2">
        <v>2015</v>
      </c>
      <c r="C4805" s="2" t="s">
        <v>35</v>
      </c>
      <c r="D4805" s="2">
        <v>25.7</v>
      </c>
      <c r="E4805" s="2">
        <v>81.900000000000006</v>
      </c>
      <c r="F4805" s="2">
        <v>13</v>
      </c>
      <c r="G4805" s="2">
        <v>93.2</v>
      </c>
      <c r="H4805" s="2">
        <v>3</v>
      </c>
      <c r="I4805" s="2">
        <v>10.6</v>
      </c>
      <c r="P4805" s="3">
        <f>E4805*(VLOOKUP(B4805,Price_data!A$1:B$190,2,FALSE))</f>
        <v>53.941588236900003</v>
      </c>
      <c r="Q4805" s="3">
        <f>G4805*(VLOOKUP(B4805,Price_data!A$1:B$190,2,FALSE))</f>
        <v>61.384078433200003</v>
      </c>
      <c r="R4805" s="3">
        <f>I4805*(VLOOKUP(B4805,Price_data!A$1:B$190,2,FALSE))</f>
        <v>6.9814509805999991</v>
      </c>
      <c r="S4805" s="4" t="str">
        <f>(VLOOKUP(B4805,Price_data!A$1:C$190,3,FALSE))</f>
        <v>EEZ</v>
      </c>
      <c r="T4805" s="2" t="str">
        <f>IF(C4805="Total", (VLOOKUP(B4805,Recommended_fish_intake!A$4:D$122,4,FALSE)), "NA")</f>
        <v>NA</v>
      </c>
      <c r="U4805" s="2" t="str">
        <f t="shared" si="409"/>
        <v>NA</v>
      </c>
    </row>
    <row r="4806" spans="1:21" ht="14.25" customHeight="1">
      <c r="A4806" s="2" t="s">
        <v>15</v>
      </c>
      <c r="B4806" s="2">
        <v>2015</v>
      </c>
      <c r="C4806" s="2" t="s">
        <v>52</v>
      </c>
      <c r="D4806" s="2">
        <v>40.799999999999997</v>
      </c>
      <c r="E4806" s="2">
        <v>64.3</v>
      </c>
      <c r="F4806" s="2">
        <v>11.7</v>
      </c>
      <c r="G4806" s="2">
        <v>100.2</v>
      </c>
      <c r="H4806" s="2">
        <v>2.4</v>
      </c>
      <c r="I4806" s="2">
        <v>27.6</v>
      </c>
      <c r="P4806" s="3">
        <f>E4806*(VLOOKUP(B4806,Price_data!A$1:B$190,2,FALSE))</f>
        <v>42.349745099299994</v>
      </c>
      <c r="Q4806" s="3">
        <f>G4806*(VLOOKUP(B4806,Price_data!A$1:B$190,2,FALSE))</f>
        <v>65.994470590199995</v>
      </c>
      <c r="R4806" s="3">
        <f>I4806*(VLOOKUP(B4806,Price_data!A$1:B$190,2,FALSE))</f>
        <v>18.178117647600001</v>
      </c>
      <c r="S4806" s="4" t="str">
        <f>(VLOOKUP(B4806,Price_data!A$1:C$190,3,FALSE))</f>
        <v>EEZ</v>
      </c>
      <c r="T4806" s="2" t="str">
        <f>IF(C4806="Total", (VLOOKUP(B4806,Recommended_fish_intake!A$4:D$122,4,FALSE)), "NA")</f>
        <v>NA</v>
      </c>
      <c r="U4806" s="2" t="str">
        <f t="shared" si="409"/>
        <v>NA</v>
      </c>
    </row>
    <row r="4807" spans="1:21" ht="14.25" customHeight="1">
      <c r="A4807" s="2" t="s">
        <v>15</v>
      </c>
      <c r="B4807" s="2">
        <v>2015</v>
      </c>
      <c r="C4807" s="2" t="s">
        <v>30</v>
      </c>
      <c r="D4807" s="2">
        <v>0.3</v>
      </c>
      <c r="E4807" s="2">
        <v>0.8</v>
      </c>
      <c r="F4807" s="2">
        <v>11.7</v>
      </c>
      <c r="G4807" s="2">
        <v>71.400000000000006</v>
      </c>
      <c r="H4807" s="2">
        <v>77.400000000000006</v>
      </c>
      <c r="I4807" s="2">
        <v>593.6</v>
      </c>
      <c r="P4807" s="3">
        <f>E4807*(VLOOKUP(B4807,Price_data!A$1:B$190,2,FALSE))</f>
        <v>0.52690196079999996</v>
      </c>
      <c r="Q4807" s="3">
        <f>G4807*(VLOOKUP(B4807,Price_data!A$1:B$190,2,FALSE))</f>
        <v>47.0260000014</v>
      </c>
      <c r="R4807" s="3">
        <f>I4807*(VLOOKUP(B4807,Price_data!A$1:B$190,2,FALSE))</f>
        <v>390.96125491359999</v>
      </c>
      <c r="S4807" s="4" t="str">
        <f>(VLOOKUP(B4807,Price_data!A$1:C$190,3,FALSE))</f>
        <v>EEZ</v>
      </c>
      <c r="T4807" s="2" t="str">
        <f>IF(C4807="Total", (VLOOKUP(B4807,Recommended_fish_intake!A$4:D$122,4,FALSE)), "NA")</f>
        <v>NA</v>
      </c>
      <c r="U4807" s="2" t="str">
        <f t="shared" si="409"/>
        <v>NA</v>
      </c>
    </row>
    <row r="4808" spans="1:21" ht="14.25" customHeight="1">
      <c r="A4808" s="2" t="s">
        <v>15</v>
      </c>
      <c r="B4808" s="2">
        <v>2015</v>
      </c>
      <c r="C4808" s="2" t="s">
        <v>41</v>
      </c>
      <c r="D4808" s="2">
        <v>118.4</v>
      </c>
      <c r="E4808" s="2">
        <v>208.9</v>
      </c>
      <c r="P4808" s="3">
        <f>E4808*(VLOOKUP(B4808,Price_data!A$1:B$190,2,FALSE))</f>
        <v>137.58727451389998</v>
      </c>
      <c r="Q4808" s="3">
        <f>G4808*(VLOOKUP(B4808,Price_data!A$1:B$190,2,FALSE))</f>
        <v>0</v>
      </c>
      <c r="R4808" s="3">
        <f>I4808*(VLOOKUP(B4808,Price_data!A$1:B$190,2,FALSE))</f>
        <v>0</v>
      </c>
      <c r="S4808" s="4" t="str">
        <f>(VLOOKUP(B4808,Price_data!A$1:C$190,3,FALSE))</f>
        <v>EEZ</v>
      </c>
      <c r="T4808" s="2" t="str">
        <f>IF(C4808="Total", (VLOOKUP(B4808,Recommended_fish_intake!A$4:D$122,4,FALSE)), "NA")</f>
        <v>NA</v>
      </c>
      <c r="U4808" s="2" t="str">
        <f t="shared" si="409"/>
        <v>NA</v>
      </c>
    </row>
    <row r="4809" spans="1:21" ht="14.25" customHeight="1">
      <c r="A4809" s="2" t="s">
        <v>15</v>
      </c>
      <c r="B4809" s="2">
        <v>2015</v>
      </c>
      <c r="C4809" s="2" t="s">
        <v>42</v>
      </c>
      <c r="D4809" s="2">
        <v>156.4</v>
      </c>
      <c r="E4809" s="2">
        <v>79.599999999999994</v>
      </c>
      <c r="P4809" s="3">
        <f>E4809*(VLOOKUP(B4809,Price_data!A$1:B$190,2,FALSE))</f>
        <v>52.426745099599991</v>
      </c>
      <c r="Q4809" s="3">
        <f>G4809*(VLOOKUP(B4809,Price_data!A$1:B$190,2,FALSE))</f>
        <v>0</v>
      </c>
      <c r="R4809" s="3">
        <f>I4809*(VLOOKUP(B4809,Price_data!A$1:B$190,2,FALSE))</f>
        <v>0</v>
      </c>
      <c r="S4809" s="4" t="str">
        <f>(VLOOKUP(B4809,Price_data!A$1:C$190,3,FALSE))</f>
        <v>EEZ</v>
      </c>
      <c r="T4809" s="2" t="str">
        <f>IF(C4809="Total", (VLOOKUP(B4809,Recommended_fish_intake!A$4:D$122,4,FALSE)), "NA")</f>
        <v>NA</v>
      </c>
      <c r="U4809" s="2" t="str">
        <f t="shared" si="409"/>
        <v>NA</v>
      </c>
    </row>
    <row r="4810" spans="1:21" ht="14.25" customHeight="1">
      <c r="A4810" s="2" t="s">
        <v>15</v>
      </c>
      <c r="B4810" s="2">
        <v>2015</v>
      </c>
      <c r="C4810" s="2" t="s">
        <v>28</v>
      </c>
      <c r="D4810" s="2">
        <v>141.19999999999999</v>
      </c>
      <c r="E4810" s="2">
        <v>264.60000000000002</v>
      </c>
      <c r="F4810" s="2">
        <v>80.8</v>
      </c>
      <c r="G4810" s="2">
        <v>440.9</v>
      </c>
      <c r="H4810" s="2">
        <v>110.3</v>
      </c>
      <c r="I4810" s="2">
        <v>762.1</v>
      </c>
      <c r="P4810" s="3">
        <f>E4810*(VLOOKUP(B4810,Price_data!A$1:B$190,2,FALSE))</f>
        <v>174.27282353460001</v>
      </c>
      <c r="Q4810" s="3">
        <f>G4810*(VLOOKUP(B4810,Price_data!A$1:B$190,2,FALSE))</f>
        <v>290.38884314589995</v>
      </c>
      <c r="R4810" s="3">
        <f>I4810*(VLOOKUP(B4810,Price_data!A$1:B$190,2,FALSE))</f>
        <v>501.93998040709999</v>
      </c>
      <c r="S4810" s="4" t="str">
        <f>(VLOOKUP(B4810,Price_data!A$1:C$190,3,FALSE))</f>
        <v>EEZ</v>
      </c>
      <c r="T4810" s="2" t="str">
        <f>IF(C4810="Total", (VLOOKUP(B4810,Recommended_fish_intake!A$4:D$122,4,FALSE)), "NA")</f>
        <v>NA</v>
      </c>
      <c r="U4810" s="2">
        <f t="shared" si="409"/>
        <v>39.536000000000001</v>
      </c>
    </row>
    <row r="4811" spans="1:21" ht="14.25" customHeight="1">
      <c r="A4811" s="2" t="s">
        <v>15</v>
      </c>
      <c r="B4811" s="2">
        <v>2015</v>
      </c>
      <c r="C4811" s="2" t="s">
        <v>37</v>
      </c>
      <c r="D4811" s="3">
        <f>D4791+D4796</f>
        <v>452.017</v>
      </c>
      <c r="E4811" s="3">
        <f>E4791+E4796</f>
        <v>617.09399999999994</v>
      </c>
      <c r="F4811" s="2">
        <v>361.2</v>
      </c>
      <c r="G4811" s="2">
        <v>895.8</v>
      </c>
      <c r="H4811" s="2">
        <v>570.20000000000005</v>
      </c>
      <c r="I4811" s="2">
        <v>1909.5</v>
      </c>
      <c r="P4811" s="3">
        <f>E4811*(VLOOKUP(B4811,Price_data!A$1:B$190,2,FALSE))</f>
        <v>406.43504824739392</v>
      </c>
      <c r="Q4811" s="3">
        <f>G4811*(VLOOKUP(B4811,Price_data!A$1:B$190,2,FALSE))</f>
        <v>589.99847060579998</v>
      </c>
      <c r="R4811" s="3">
        <f>I4811*(VLOOKUP(B4811,Price_data!A$1:B$190,2,FALSE))</f>
        <v>1257.6491176845</v>
      </c>
      <c r="S4811" s="4" t="str">
        <f>(VLOOKUP(B4811,Price_data!A$1:C$190,3,FALSE))</f>
        <v>EEZ</v>
      </c>
      <c r="T4811" s="2" t="str">
        <f>IF(C4811="Total", (VLOOKUP(B4811,Recommended_fish_intake!A$4:D$122,4,FALSE)), "NA")</f>
        <v>NA</v>
      </c>
      <c r="U4811" s="2">
        <f t="shared" si="409"/>
        <v>221.48832999999999</v>
      </c>
    </row>
    <row r="4812" spans="1:21" ht="14.25" customHeight="1">
      <c r="A4812" s="2" t="s">
        <v>90</v>
      </c>
      <c r="B4812" s="2">
        <v>2015</v>
      </c>
      <c r="C4812" s="2" t="s">
        <v>22</v>
      </c>
      <c r="D4812" s="2">
        <v>1.3</v>
      </c>
      <c r="E4812" s="2">
        <v>2.2000000000000002</v>
      </c>
      <c r="P4812" s="3">
        <f>E4812*(VLOOKUP(B4812,Price_data!A$1:B$190,2,FALSE))</f>
        <v>1.4489803922</v>
      </c>
      <c r="Q4812" s="3">
        <f>G4812*(VLOOKUP(B4812,Price_data!A$1:B$190,2,FALSE))</f>
        <v>0</v>
      </c>
      <c r="R4812" s="3">
        <f>I4812*(VLOOKUP(B4812,Price_data!A$1:B$190,2,FALSE))</f>
        <v>0</v>
      </c>
      <c r="S4812" s="4" t="str">
        <f>(VLOOKUP(B4812,Price_data!A$1:C$190,3,FALSE))</f>
        <v>EEZ</v>
      </c>
      <c r="T4812" s="2" t="str">
        <f>IF(C4812="Total", (VLOOKUP(B4812,Recommended_fish_intake!A$4:D$122,4,FALSE)), "NA")</f>
        <v>NA</v>
      </c>
      <c r="U4812" s="2" t="str">
        <f t="shared" si="409"/>
        <v>NA</v>
      </c>
    </row>
    <row r="4813" spans="1:21" ht="14.25" customHeight="1">
      <c r="A4813" s="2" t="s">
        <v>90</v>
      </c>
      <c r="B4813" s="2">
        <v>2015</v>
      </c>
      <c r="C4813" s="2" t="s">
        <v>23</v>
      </c>
      <c r="D4813" s="2">
        <v>0.9</v>
      </c>
      <c r="E4813" s="2">
        <v>0.8</v>
      </c>
      <c r="P4813" s="3">
        <f>E4813*(VLOOKUP(B4813,Price_data!A$1:B$190,2,FALSE))</f>
        <v>0.52690196079999996</v>
      </c>
      <c r="Q4813" s="3">
        <f>G4813*(VLOOKUP(B4813,Price_data!A$1:B$190,2,FALSE))</f>
        <v>0</v>
      </c>
      <c r="R4813" s="3">
        <f>I4813*(VLOOKUP(B4813,Price_data!A$1:B$190,2,FALSE))</f>
        <v>0</v>
      </c>
      <c r="S4813" s="4" t="str">
        <f>(VLOOKUP(B4813,Price_data!A$1:C$190,3,FALSE))</f>
        <v>EEZ</v>
      </c>
      <c r="T4813" s="2" t="str">
        <f>IF(C4813="Total", (VLOOKUP(B4813,Recommended_fish_intake!A$4:D$122,4,FALSE)), "NA")</f>
        <v>NA</v>
      </c>
      <c r="U4813" s="2" t="str">
        <f t="shared" si="409"/>
        <v>NA</v>
      </c>
    </row>
    <row r="4814" spans="1:21" ht="14.25" customHeight="1">
      <c r="A4814" s="2" t="s">
        <v>90</v>
      </c>
      <c r="B4814" s="2">
        <v>2015</v>
      </c>
      <c r="C4814" s="2" t="s">
        <v>53</v>
      </c>
      <c r="D4814" s="2">
        <v>1.2</v>
      </c>
      <c r="E4814" s="2">
        <v>2.2000000000000002</v>
      </c>
      <c r="P4814" s="3">
        <f>E4814*(VLOOKUP(B4814,Price_data!A$1:B$190,2,FALSE))</f>
        <v>1.4489803922</v>
      </c>
      <c r="Q4814" s="3">
        <f>G4814*(VLOOKUP(B4814,Price_data!A$1:B$190,2,FALSE))</f>
        <v>0</v>
      </c>
      <c r="R4814" s="3">
        <f>I4814*(VLOOKUP(B4814,Price_data!A$1:B$190,2,FALSE))</f>
        <v>0</v>
      </c>
      <c r="S4814" s="4" t="str">
        <f>(VLOOKUP(B4814,Price_data!A$1:C$190,3,FALSE))</f>
        <v>EEZ</v>
      </c>
      <c r="T4814" s="2" t="str">
        <f>IF(C4814="Total", (VLOOKUP(B4814,Recommended_fish_intake!A$4:D$122,4,FALSE)), "NA")</f>
        <v>NA</v>
      </c>
      <c r="U4814" s="2" t="str">
        <f t="shared" si="409"/>
        <v>NA</v>
      </c>
    </row>
    <row r="4815" spans="1:21" ht="14.25" customHeight="1">
      <c r="A4815" s="2" t="s">
        <v>90</v>
      </c>
      <c r="B4815" s="2">
        <v>2015</v>
      </c>
      <c r="C4815" s="2" t="s">
        <v>58</v>
      </c>
      <c r="D4815" s="2">
        <v>3.4</v>
      </c>
      <c r="E4815" s="2">
        <v>7.9</v>
      </c>
      <c r="P4815" s="3">
        <f>E4815*(VLOOKUP(B4815,Price_data!A$1:B$190,2,FALSE))</f>
        <v>5.2031568629000002</v>
      </c>
      <c r="Q4815" s="3">
        <f>G4815*(VLOOKUP(B4815,Price_data!A$1:B$190,2,FALSE))</f>
        <v>0</v>
      </c>
      <c r="R4815" s="3">
        <f>I4815*(VLOOKUP(B4815,Price_data!A$1:B$190,2,FALSE))</f>
        <v>0</v>
      </c>
      <c r="S4815" s="4" t="str">
        <f>(VLOOKUP(B4815,Price_data!A$1:C$190,3,FALSE))</f>
        <v>EEZ</v>
      </c>
      <c r="T4815" s="2" t="str">
        <f>IF(C4815="Total", (VLOOKUP(B4815,Recommended_fish_intake!A$4:D$122,4,FALSE)), "NA")</f>
        <v>NA</v>
      </c>
      <c r="U4815" s="2" t="str">
        <f t="shared" si="409"/>
        <v>NA</v>
      </c>
    </row>
    <row r="4816" spans="1:21" ht="14.25" customHeight="1">
      <c r="A4816" s="2" t="s">
        <v>90</v>
      </c>
      <c r="B4816" s="2">
        <v>2015</v>
      </c>
      <c r="C4816" s="2" t="s">
        <v>19</v>
      </c>
      <c r="D4816" s="2">
        <v>3.1</v>
      </c>
      <c r="E4816" s="2">
        <v>1</v>
      </c>
      <c r="P4816" s="3">
        <f>E4816*(VLOOKUP(B4816,Price_data!A$1:B$190,2,FALSE))</f>
        <v>0.65862745099999997</v>
      </c>
      <c r="Q4816" s="3">
        <f>G4816*(VLOOKUP(B4816,Price_data!A$1:B$190,2,FALSE))</f>
        <v>0</v>
      </c>
      <c r="R4816" s="3">
        <f>I4816*(VLOOKUP(B4816,Price_data!A$1:B$190,2,FALSE))</f>
        <v>0</v>
      </c>
      <c r="S4816" s="4" t="str">
        <f>(VLOOKUP(B4816,Price_data!A$1:C$190,3,FALSE))</f>
        <v>EEZ</v>
      </c>
      <c r="T4816" s="2" t="str">
        <f>IF(C4816="Total", (VLOOKUP(B4816,Recommended_fish_intake!A$4:D$122,4,FALSE)), "NA")</f>
        <v>NA</v>
      </c>
      <c r="U4816" s="2" t="str">
        <f t="shared" si="409"/>
        <v>NA</v>
      </c>
    </row>
    <row r="4817" spans="1:21" ht="14.25" customHeight="1">
      <c r="A4817" s="2" t="s">
        <v>90</v>
      </c>
      <c r="B4817" s="2">
        <v>2015</v>
      </c>
      <c r="C4817" s="2" t="s">
        <v>20</v>
      </c>
      <c r="D4817" s="2">
        <v>2.6</v>
      </c>
      <c r="E4817" s="2">
        <v>2</v>
      </c>
      <c r="P4817" s="3">
        <f>E4817*(VLOOKUP(B4817,Price_data!A$1:B$190,2,FALSE))</f>
        <v>1.3172549019999999</v>
      </c>
      <c r="Q4817" s="3">
        <f>G4817*(VLOOKUP(B4817,Price_data!A$1:B$190,2,FALSE))</f>
        <v>0</v>
      </c>
      <c r="R4817" s="3">
        <f>I4817*(VLOOKUP(B4817,Price_data!A$1:B$190,2,FALSE))</f>
        <v>0</v>
      </c>
      <c r="S4817" s="4" t="str">
        <f>(VLOOKUP(B4817,Price_data!A$1:C$190,3,FALSE))</f>
        <v>EEZ</v>
      </c>
      <c r="T4817" s="2" t="str">
        <f>IF(C4817="Total", (VLOOKUP(B4817,Recommended_fish_intake!A$4:D$122,4,FALSE)), "NA")</f>
        <v>NA</v>
      </c>
      <c r="U4817" s="2" t="str">
        <f t="shared" si="409"/>
        <v>NA</v>
      </c>
    </row>
    <row r="4818" spans="1:21" ht="14.25" customHeight="1">
      <c r="A4818" s="2" t="s">
        <v>90</v>
      </c>
      <c r="B4818" s="2">
        <v>2015</v>
      </c>
      <c r="C4818" s="2" t="s">
        <v>36</v>
      </c>
      <c r="D4818" s="2">
        <v>14.1</v>
      </c>
      <c r="E4818" s="2">
        <v>18.899999999999999</v>
      </c>
      <c r="P4818" s="3">
        <f>E4818*(VLOOKUP(B4818,Price_data!A$1:B$190,2,FALSE))</f>
        <v>12.448058823899999</v>
      </c>
      <c r="Q4818" s="3">
        <f>G4818*(VLOOKUP(B4818,Price_data!A$1:B$190,2,FALSE))</f>
        <v>0</v>
      </c>
      <c r="R4818" s="3">
        <f>I4818*(VLOOKUP(B4818,Price_data!A$1:B$190,2,FALSE))</f>
        <v>0</v>
      </c>
      <c r="S4818" s="4" t="str">
        <f>(VLOOKUP(B4818,Price_data!A$1:C$190,3,FALSE))</f>
        <v>EEZ</v>
      </c>
      <c r="T4818" s="2" t="str">
        <f>IF(C4818="Total", (VLOOKUP(B4818,Recommended_fish_intake!A$4:D$122,4,FALSE)), "NA")</f>
        <v>NA</v>
      </c>
      <c r="U4818" s="2" t="str">
        <f t="shared" si="409"/>
        <v>NA</v>
      </c>
    </row>
    <row r="4819" spans="1:21" ht="14.25" customHeight="1">
      <c r="A4819" s="2" t="s">
        <v>90</v>
      </c>
      <c r="B4819" s="2">
        <v>2015</v>
      </c>
      <c r="C4819" s="2" t="s">
        <v>34</v>
      </c>
      <c r="D4819" s="2">
        <v>1.7</v>
      </c>
      <c r="E4819" s="2">
        <v>17.8</v>
      </c>
      <c r="P4819" s="3">
        <f>E4819*(VLOOKUP(B4819,Price_data!A$1:B$190,2,FALSE))</f>
        <v>11.723568627800001</v>
      </c>
      <c r="Q4819" s="3">
        <f>G4819*(VLOOKUP(B4819,Price_data!A$1:B$190,2,FALSE))</f>
        <v>0</v>
      </c>
      <c r="R4819" s="3">
        <f>I4819*(VLOOKUP(B4819,Price_data!A$1:B$190,2,FALSE))</f>
        <v>0</v>
      </c>
      <c r="S4819" s="4" t="str">
        <f>(VLOOKUP(B4819,Price_data!A$1:C$190,3,FALSE))</f>
        <v>EEZ</v>
      </c>
      <c r="T4819" s="2" t="str">
        <f>IF(C4819="Total", (VLOOKUP(B4819,Recommended_fish_intake!A$4:D$122,4,FALSE)), "NA")</f>
        <v>NA</v>
      </c>
      <c r="U4819" s="2" t="str">
        <f t="shared" si="409"/>
        <v>NA</v>
      </c>
    </row>
    <row r="4820" spans="1:21" ht="14.25" customHeight="1">
      <c r="A4820" s="2" t="s">
        <v>90</v>
      </c>
      <c r="B4820" s="2">
        <v>2015</v>
      </c>
      <c r="C4820" s="2" t="s">
        <v>35</v>
      </c>
      <c r="D4820" s="2">
        <v>2.1</v>
      </c>
      <c r="E4820" s="2">
        <v>7</v>
      </c>
      <c r="P4820" s="3">
        <f>E4820*(VLOOKUP(B4820,Price_data!A$1:B$190,2,FALSE))</f>
        <v>4.6103921569999997</v>
      </c>
      <c r="Q4820" s="3">
        <f>G4820*(VLOOKUP(B4820,Price_data!A$1:B$190,2,FALSE))</f>
        <v>0</v>
      </c>
      <c r="R4820" s="3">
        <f>I4820*(VLOOKUP(B4820,Price_data!A$1:B$190,2,FALSE))</f>
        <v>0</v>
      </c>
      <c r="S4820" s="4" t="str">
        <f>(VLOOKUP(B4820,Price_data!A$1:C$190,3,FALSE))</f>
        <v>EEZ</v>
      </c>
      <c r="T4820" s="2" t="str">
        <f>IF(C4820="Total", (VLOOKUP(B4820,Recommended_fish_intake!A$4:D$122,4,FALSE)), "NA")</f>
        <v>NA</v>
      </c>
      <c r="U4820" s="2" t="str">
        <f t="shared" si="409"/>
        <v>NA</v>
      </c>
    </row>
    <row r="4821" spans="1:21" ht="14.25" customHeight="1">
      <c r="A4821" s="2" t="s">
        <v>90</v>
      </c>
      <c r="B4821" s="2">
        <v>2015</v>
      </c>
      <c r="C4821" s="2" t="s">
        <v>52</v>
      </c>
      <c r="D4821" s="2">
        <v>14.3</v>
      </c>
      <c r="E4821" s="2">
        <v>25.9</v>
      </c>
      <c r="P4821" s="3">
        <f>E4821*(VLOOKUP(B4821,Price_data!A$1:B$190,2,FALSE))</f>
        <v>17.058450980899998</v>
      </c>
      <c r="Q4821" s="3">
        <f>G4821*(VLOOKUP(B4821,Price_data!A$1:B$190,2,FALSE))</f>
        <v>0</v>
      </c>
      <c r="R4821" s="3">
        <f>I4821*(VLOOKUP(B4821,Price_data!A$1:B$190,2,FALSE))</f>
        <v>0</v>
      </c>
      <c r="S4821" s="4" t="str">
        <f>(VLOOKUP(B4821,Price_data!A$1:C$190,3,FALSE))</f>
        <v>EEZ</v>
      </c>
      <c r="T4821" s="2" t="str">
        <f>IF(C4821="Total", (VLOOKUP(B4821,Recommended_fish_intake!A$4:D$122,4,FALSE)), "NA")</f>
        <v>NA</v>
      </c>
      <c r="U4821" s="2" t="str">
        <f t="shared" si="409"/>
        <v>NA</v>
      </c>
    </row>
    <row r="4822" spans="1:21" ht="14.25" customHeight="1">
      <c r="A4822" s="2" t="s">
        <v>90</v>
      </c>
      <c r="B4822" s="2">
        <v>2015</v>
      </c>
      <c r="C4822" s="2" t="s">
        <v>30</v>
      </c>
      <c r="D4822" s="2">
        <v>0.3</v>
      </c>
      <c r="E4822" s="2">
        <v>0.8</v>
      </c>
      <c r="P4822" s="3">
        <f>E4822*(VLOOKUP(B4822,Price_data!A$1:B$190,2,FALSE))</f>
        <v>0.52690196079999996</v>
      </c>
      <c r="Q4822" s="3">
        <f>G4822*(VLOOKUP(B4822,Price_data!A$1:B$190,2,FALSE))</f>
        <v>0</v>
      </c>
      <c r="R4822" s="3">
        <f>I4822*(VLOOKUP(B4822,Price_data!A$1:B$190,2,FALSE))</f>
        <v>0</v>
      </c>
      <c r="S4822" s="4" t="str">
        <f>(VLOOKUP(B4822,Price_data!A$1:C$190,3,FALSE))</f>
        <v>EEZ</v>
      </c>
      <c r="T4822" s="2" t="str">
        <f>IF(C4822="Total", (VLOOKUP(B4822,Recommended_fish_intake!A$4:D$122,4,FALSE)), "NA")</f>
        <v>NA</v>
      </c>
      <c r="U4822" s="2" t="str">
        <f t="shared" si="409"/>
        <v>NA</v>
      </c>
    </row>
    <row r="4823" spans="1:21" ht="14.25" customHeight="1">
      <c r="A4823" s="2" t="s">
        <v>90</v>
      </c>
      <c r="B4823" s="2">
        <v>2015</v>
      </c>
      <c r="C4823" s="2" t="s">
        <v>41</v>
      </c>
      <c r="D4823" s="2">
        <v>21.6</v>
      </c>
      <c r="E4823" s="2">
        <v>52.5</v>
      </c>
      <c r="P4823" s="3">
        <f>E4823*(VLOOKUP(B4823,Price_data!A$1:B$190,2,FALSE))</f>
        <v>34.577941177500001</v>
      </c>
      <c r="Q4823" s="3">
        <f>G4823*(VLOOKUP(B4823,Price_data!A$1:B$190,2,FALSE))</f>
        <v>0</v>
      </c>
      <c r="R4823" s="3">
        <f>I4823*(VLOOKUP(B4823,Price_data!A$1:B$190,2,FALSE))</f>
        <v>0</v>
      </c>
      <c r="S4823" s="4" t="str">
        <f>(VLOOKUP(B4823,Price_data!A$1:C$190,3,FALSE))</f>
        <v>EEZ</v>
      </c>
      <c r="T4823" s="2" t="str">
        <f>IF(C4823="Total", (VLOOKUP(B4823,Recommended_fish_intake!A$4:D$122,4,FALSE)), "NA")</f>
        <v>NA</v>
      </c>
      <c r="U4823" s="2" t="str">
        <f t="shared" si="409"/>
        <v>NA</v>
      </c>
    </row>
    <row r="4824" spans="1:21" ht="14.25" customHeight="1">
      <c r="A4824" s="2" t="s">
        <v>90</v>
      </c>
      <c r="B4824" s="2">
        <v>2015</v>
      </c>
      <c r="C4824" s="2" t="s">
        <v>42</v>
      </c>
      <c r="D4824" s="2">
        <v>14.8</v>
      </c>
      <c r="E4824" s="2">
        <v>5.9</v>
      </c>
      <c r="P4824" s="3">
        <f>E4824*(VLOOKUP(B4824,Price_data!A$1:B$190,2,FALSE))</f>
        <v>3.8859019609000001</v>
      </c>
      <c r="Q4824" s="3">
        <f>G4824*(VLOOKUP(B4824,Price_data!A$1:B$190,2,FALSE))</f>
        <v>0</v>
      </c>
      <c r="R4824" s="3">
        <f>I4824*(VLOOKUP(B4824,Price_data!A$1:B$190,2,FALSE))</f>
        <v>0</v>
      </c>
      <c r="S4824" s="4" t="str">
        <f>(VLOOKUP(B4824,Price_data!A$1:C$190,3,FALSE))</f>
        <v>EEZ</v>
      </c>
      <c r="T4824" s="2" t="str">
        <f>IF(C4824="Total", (VLOOKUP(B4824,Recommended_fish_intake!A$4:D$122,4,FALSE)), "NA")</f>
        <v>NA</v>
      </c>
      <c r="U4824" s="2" t="str">
        <f t="shared" si="409"/>
        <v>NA</v>
      </c>
    </row>
    <row r="4825" spans="1:21" ht="14.25" customHeight="1">
      <c r="A4825" s="2" t="s">
        <v>90</v>
      </c>
      <c r="B4825" s="2">
        <v>2015</v>
      </c>
      <c r="C4825" s="2" t="s">
        <v>28</v>
      </c>
      <c r="D4825" s="2">
        <v>64.900000000000006</v>
      </c>
      <c r="E4825" s="2">
        <v>58</v>
      </c>
      <c r="P4825" s="3">
        <f>E4825*(VLOOKUP(B4825,Price_data!A$1:B$190,2,FALSE))</f>
        <v>38.200392158</v>
      </c>
      <c r="Q4825" s="3">
        <f>G4825*(VLOOKUP(B4825,Price_data!A$1:B$190,2,FALSE))</f>
        <v>0</v>
      </c>
      <c r="R4825" s="3">
        <f>I4825*(VLOOKUP(B4825,Price_data!A$1:B$190,2,FALSE))</f>
        <v>0</v>
      </c>
      <c r="S4825" s="4" t="str">
        <f>(VLOOKUP(B4825,Price_data!A$1:C$190,3,FALSE))</f>
        <v>EEZ</v>
      </c>
      <c r="T4825" s="2" t="str">
        <f>IF(C4825="Total", (VLOOKUP(B4825,Recommended_fish_intake!A$4:D$122,4,FALSE)), "NA")</f>
        <v>NA</v>
      </c>
      <c r="U4825" s="2">
        <f t="shared" si="409"/>
        <v>18.172000000000004</v>
      </c>
    </row>
    <row r="4826" spans="1:21" ht="14.25" customHeight="1">
      <c r="A4826" s="2" t="s">
        <v>91</v>
      </c>
      <c r="B4826" s="2">
        <v>2015</v>
      </c>
      <c r="C4826" s="2" t="s">
        <v>22</v>
      </c>
      <c r="D4826" s="2">
        <v>0.02</v>
      </c>
      <c r="E4826" s="2">
        <v>0.03</v>
      </c>
      <c r="P4826" s="3">
        <f>E4826*(VLOOKUP(B4826,Price_data!A$1:B$190,2,FALSE))</f>
        <v>1.9758823529999997E-2</v>
      </c>
      <c r="Q4826" s="3">
        <f>G4826*(VLOOKUP(B4826,Price_data!A$1:B$190,2,FALSE))</f>
        <v>0</v>
      </c>
      <c r="R4826" s="3">
        <f>I4826*(VLOOKUP(B4826,Price_data!A$1:B$190,2,FALSE))</f>
        <v>0</v>
      </c>
      <c r="S4826" s="4" t="str">
        <f>(VLOOKUP(B4826,Price_data!A$1:C$190,3,FALSE))</f>
        <v>EEZ</v>
      </c>
      <c r="T4826" s="2" t="str">
        <f>IF(C4826="Total", (VLOOKUP(B4826,Recommended_fish_intake!A$4:D$122,4,FALSE)), "NA")</f>
        <v>NA</v>
      </c>
      <c r="U4826" s="2" t="str">
        <f t="shared" si="409"/>
        <v>NA</v>
      </c>
    </row>
    <row r="4827" spans="1:21" ht="14.25" customHeight="1">
      <c r="A4827" s="2" t="s">
        <v>91</v>
      </c>
      <c r="B4827" s="2">
        <v>2015</v>
      </c>
      <c r="C4827" s="2" t="s">
        <v>23</v>
      </c>
      <c r="D4827" s="2">
        <v>0</v>
      </c>
      <c r="E4827" s="2">
        <v>0</v>
      </c>
      <c r="P4827" s="3">
        <f>E4827*(VLOOKUP(B4827,Price_data!A$1:B$190,2,FALSE))</f>
        <v>0</v>
      </c>
      <c r="Q4827" s="3">
        <f>G4827*(VLOOKUP(B4827,Price_data!A$1:B$190,2,FALSE))</f>
        <v>0</v>
      </c>
      <c r="R4827" s="3">
        <f>I4827*(VLOOKUP(B4827,Price_data!A$1:B$190,2,FALSE))</f>
        <v>0</v>
      </c>
      <c r="S4827" s="4" t="str">
        <f>(VLOOKUP(B4827,Price_data!A$1:C$190,3,FALSE))</f>
        <v>EEZ</v>
      </c>
      <c r="T4827" s="2" t="str">
        <f>IF(C4827="Total", (VLOOKUP(B4827,Recommended_fish_intake!A$4:D$122,4,FALSE)), "NA")</f>
        <v>NA</v>
      </c>
      <c r="U4827" s="2" t="str">
        <f t="shared" si="409"/>
        <v>NA</v>
      </c>
    </row>
    <row r="4828" spans="1:21" ht="14.25" customHeight="1">
      <c r="A4828" s="2" t="s">
        <v>91</v>
      </c>
      <c r="B4828" s="2">
        <v>2015</v>
      </c>
      <c r="C4828" s="2" t="s">
        <v>53</v>
      </c>
      <c r="D4828" s="2">
        <v>0.1</v>
      </c>
      <c r="E4828" s="2">
        <v>0.19</v>
      </c>
      <c r="P4828" s="3">
        <f>E4828*(VLOOKUP(B4828,Price_data!A$1:B$190,2,FALSE))</f>
        <v>0.12513921569</v>
      </c>
      <c r="Q4828" s="3">
        <f>G4828*(VLOOKUP(B4828,Price_data!A$1:B$190,2,FALSE))</f>
        <v>0</v>
      </c>
      <c r="R4828" s="3">
        <f>I4828*(VLOOKUP(B4828,Price_data!A$1:B$190,2,FALSE))</f>
        <v>0</v>
      </c>
      <c r="S4828" s="4" t="str">
        <f>(VLOOKUP(B4828,Price_data!A$1:C$190,3,FALSE))</f>
        <v>EEZ</v>
      </c>
      <c r="T4828" s="2" t="str">
        <f>IF(C4828="Total", (VLOOKUP(B4828,Recommended_fish_intake!A$4:D$122,4,FALSE)), "NA")</f>
        <v>NA</v>
      </c>
      <c r="U4828" s="2" t="str">
        <f t="shared" si="409"/>
        <v>NA</v>
      </c>
    </row>
    <row r="4829" spans="1:21" ht="14.25" customHeight="1">
      <c r="A4829" s="2" t="s">
        <v>91</v>
      </c>
      <c r="B4829" s="2">
        <v>2015</v>
      </c>
      <c r="C4829" s="2" t="s">
        <v>58</v>
      </c>
      <c r="D4829" s="2">
        <v>0.33</v>
      </c>
      <c r="E4829" s="2">
        <v>1.21</v>
      </c>
      <c r="P4829" s="3">
        <f>E4829*(VLOOKUP(B4829,Price_data!A$1:B$190,2,FALSE))</f>
        <v>0.79693921570999993</v>
      </c>
      <c r="Q4829" s="3">
        <f>G4829*(VLOOKUP(B4829,Price_data!A$1:B$190,2,FALSE))</f>
        <v>0</v>
      </c>
      <c r="R4829" s="3">
        <f>I4829*(VLOOKUP(B4829,Price_data!A$1:B$190,2,FALSE))</f>
        <v>0</v>
      </c>
      <c r="S4829" s="4" t="str">
        <f>(VLOOKUP(B4829,Price_data!A$1:C$190,3,FALSE))</f>
        <v>EEZ</v>
      </c>
      <c r="T4829" s="2" t="str">
        <f>IF(C4829="Total", (VLOOKUP(B4829,Recommended_fish_intake!A$4:D$122,4,FALSE)), "NA")</f>
        <v>NA</v>
      </c>
      <c r="U4829" s="2" t="str">
        <f t="shared" si="409"/>
        <v>NA</v>
      </c>
    </row>
    <row r="4830" spans="1:21" ht="14.25" customHeight="1">
      <c r="A4830" s="2" t="s">
        <v>91</v>
      </c>
      <c r="B4830" s="2">
        <v>2015</v>
      </c>
      <c r="C4830" s="2" t="s">
        <v>19</v>
      </c>
      <c r="D4830" s="2">
        <v>0</v>
      </c>
      <c r="E4830" s="2">
        <v>0</v>
      </c>
      <c r="P4830" s="3">
        <f>E4830*(VLOOKUP(B4830,Price_data!A$1:B$190,2,FALSE))</f>
        <v>0</v>
      </c>
      <c r="Q4830" s="3">
        <f>G4830*(VLOOKUP(B4830,Price_data!A$1:B$190,2,FALSE))</f>
        <v>0</v>
      </c>
      <c r="R4830" s="3">
        <f>I4830*(VLOOKUP(B4830,Price_data!A$1:B$190,2,FALSE))</f>
        <v>0</v>
      </c>
      <c r="S4830" s="4" t="str">
        <f>(VLOOKUP(B4830,Price_data!A$1:C$190,3,FALSE))</f>
        <v>EEZ</v>
      </c>
      <c r="T4830" s="2" t="str">
        <f>IF(C4830="Total", (VLOOKUP(B4830,Recommended_fish_intake!A$4:D$122,4,FALSE)), "NA")</f>
        <v>NA</v>
      </c>
      <c r="U4830" s="2" t="str">
        <f t="shared" si="409"/>
        <v>NA</v>
      </c>
    </row>
    <row r="4831" spans="1:21" ht="14.25" customHeight="1">
      <c r="A4831" s="2" t="s">
        <v>91</v>
      </c>
      <c r="B4831" s="2">
        <v>2015</v>
      </c>
      <c r="C4831" s="2" t="s">
        <v>20</v>
      </c>
      <c r="D4831" s="2">
        <v>0</v>
      </c>
      <c r="E4831" s="2">
        <v>0</v>
      </c>
      <c r="P4831" s="3">
        <f>E4831*(VLOOKUP(B4831,Price_data!A$1:B$190,2,FALSE))</f>
        <v>0</v>
      </c>
      <c r="Q4831" s="3">
        <f>G4831*(VLOOKUP(B4831,Price_data!A$1:B$190,2,FALSE))</f>
        <v>0</v>
      </c>
      <c r="R4831" s="3">
        <f>I4831*(VLOOKUP(B4831,Price_data!A$1:B$190,2,FALSE))</f>
        <v>0</v>
      </c>
      <c r="S4831" s="4" t="str">
        <f>(VLOOKUP(B4831,Price_data!A$1:C$190,3,FALSE))</f>
        <v>EEZ</v>
      </c>
      <c r="T4831" s="2" t="str">
        <f>IF(C4831="Total", (VLOOKUP(B4831,Recommended_fish_intake!A$4:D$122,4,FALSE)), "NA")</f>
        <v>NA</v>
      </c>
      <c r="U4831" s="2" t="str">
        <f t="shared" si="409"/>
        <v>NA</v>
      </c>
    </row>
    <row r="4832" spans="1:21" ht="14.25" customHeight="1">
      <c r="A4832" s="2" t="s">
        <v>91</v>
      </c>
      <c r="B4832" s="2">
        <v>2015</v>
      </c>
      <c r="C4832" s="2" t="s">
        <v>36</v>
      </c>
      <c r="D4832" s="2">
        <v>0.51</v>
      </c>
      <c r="E4832" s="2">
        <v>0.56000000000000005</v>
      </c>
      <c r="P4832" s="3">
        <f>E4832*(VLOOKUP(B4832,Price_data!A$1:B$190,2,FALSE))</f>
        <v>0.36883137256000004</v>
      </c>
      <c r="Q4832" s="3">
        <f>G4832*(VLOOKUP(B4832,Price_data!A$1:B$190,2,FALSE))</f>
        <v>0</v>
      </c>
      <c r="R4832" s="3">
        <f>I4832*(VLOOKUP(B4832,Price_data!A$1:B$190,2,FALSE))</f>
        <v>0</v>
      </c>
      <c r="S4832" s="4" t="str">
        <f>(VLOOKUP(B4832,Price_data!A$1:C$190,3,FALSE))</f>
        <v>EEZ</v>
      </c>
      <c r="T4832" s="2" t="str">
        <f>IF(C4832="Total", (VLOOKUP(B4832,Recommended_fish_intake!A$4:D$122,4,FALSE)), "NA")</f>
        <v>NA</v>
      </c>
      <c r="U4832" s="2" t="str">
        <f t="shared" si="409"/>
        <v>NA</v>
      </c>
    </row>
    <row r="4833" spans="1:21" ht="14.25" customHeight="1">
      <c r="A4833" s="2" t="s">
        <v>91</v>
      </c>
      <c r="B4833" s="2">
        <v>2015</v>
      </c>
      <c r="C4833" s="2" t="s">
        <v>34</v>
      </c>
      <c r="D4833" s="2">
        <v>0.18</v>
      </c>
      <c r="E4833" s="2">
        <v>1.92</v>
      </c>
      <c r="P4833" s="3">
        <f>E4833*(VLOOKUP(B4833,Price_data!A$1:B$190,2,FALSE))</f>
        <v>1.2645647059199998</v>
      </c>
      <c r="Q4833" s="3">
        <f>G4833*(VLOOKUP(B4833,Price_data!A$1:B$190,2,FALSE))</f>
        <v>0</v>
      </c>
      <c r="R4833" s="3">
        <f>I4833*(VLOOKUP(B4833,Price_data!A$1:B$190,2,FALSE))</f>
        <v>0</v>
      </c>
      <c r="S4833" s="4" t="str">
        <f>(VLOOKUP(B4833,Price_data!A$1:C$190,3,FALSE))</f>
        <v>EEZ</v>
      </c>
      <c r="T4833" s="2" t="str">
        <f>IF(C4833="Total", (VLOOKUP(B4833,Recommended_fish_intake!A$4:D$122,4,FALSE)), "NA")</f>
        <v>NA</v>
      </c>
      <c r="U4833" s="2" t="str">
        <f t="shared" si="409"/>
        <v>NA</v>
      </c>
    </row>
    <row r="4834" spans="1:21" ht="14.25" customHeight="1">
      <c r="A4834" s="2" t="s">
        <v>91</v>
      </c>
      <c r="B4834" s="2">
        <v>2015</v>
      </c>
      <c r="C4834" s="2" t="s">
        <v>35</v>
      </c>
      <c r="D4834" s="2">
        <v>0</v>
      </c>
      <c r="E4834" s="2">
        <v>0.01</v>
      </c>
      <c r="P4834" s="3">
        <f>E4834*(VLOOKUP(B4834,Price_data!A$1:B$190,2,FALSE))</f>
        <v>6.5862745100000002E-3</v>
      </c>
      <c r="Q4834" s="3">
        <f>G4834*(VLOOKUP(B4834,Price_data!A$1:B$190,2,FALSE))</f>
        <v>0</v>
      </c>
      <c r="R4834" s="3">
        <f>I4834*(VLOOKUP(B4834,Price_data!A$1:B$190,2,FALSE))</f>
        <v>0</v>
      </c>
      <c r="S4834" s="4" t="str">
        <f>(VLOOKUP(B4834,Price_data!A$1:C$190,3,FALSE))</f>
        <v>EEZ</v>
      </c>
      <c r="T4834" s="2" t="str">
        <f>IF(C4834="Total", (VLOOKUP(B4834,Recommended_fish_intake!A$4:D$122,4,FALSE)), "NA")</f>
        <v>NA</v>
      </c>
      <c r="U4834" s="2" t="str">
        <f t="shared" si="409"/>
        <v>NA</v>
      </c>
    </row>
    <row r="4835" spans="1:21" ht="14.25" customHeight="1">
      <c r="A4835" s="2" t="s">
        <v>91</v>
      </c>
      <c r="B4835" s="2">
        <v>2015</v>
      </c>
      <c r="C4835" s="2" t="s">
        <v>52</v>
      </c>
      <c r="D4835" s="2">
        <v>2.38</v>
      </c>
      <c r="E4835" s="2">
        <v>2.42</v>
      </c>
      <c r="P4835" s="3">
        <f>E4835*(VLOOKUP(B4835,Price_data!A$1:B$190,2,FALSE))</f>
        <v>1.5938784314199999</v>
      </c>
      <c r="Q4835" s="3">
        <f>G4835*(VLOOKUP(B4835,Price_data!A$1:B$190,2,FALSE))</f>
        <v>0</v>
      </c>
      <c r="R4835" s="3">
        <f>I4835*(VLOOKUP(B4835,Price_data!A$1:B$190,2,FALSE))</f>
        <v>0</v>
      </c>
      <c r="S4835" s="4" t="str">
        <f>(VLOOKUP(B4835,Price_data!A$1:C$190,3,FALSE))</f>
        <v>EEZ</v>
      </c>
      <c r="T4835" s="2" t="str">
        <f>IF(C4835="Total", (VLOOKUP(B4835,Recommended_fish_intake!A$4:D$122,4,FALSE)), "NA")</f>
        <v>NA</v>
      </c>
      <c r="U4835" s="2" t="str">
        <f t="shared" si="409"/>
        <v>NA</v>
      </c>
    </row>
    <row r="4836" spans="1:21" ht="14.25" customHeight="1">
      <c r="A4836" s="2" t="s">
        <v>91</v>
      </c>
      <c r="B4836" s="2">
        <v>2015</v>
      </c>
      <c r="C4836" s="2" t="s">
        <v>30</v>
      </c>
      <c r="D4836" s="2">
        <v>0</v>
      </c>
      <c r="E4836" s="2">
        <v>0</v>
      </c>
      <c r="P4836" s="3">
        <f>E4836*(VLOOKUP(B4836,Price_data!A$1:B$190,2,FALSE))</f>
        <v>0</v>
      </c>
      <c r="Q4836" s="3">
        <f>G4836*(VLOOKUP(B4836,Price_data!A$1:B$190,2,FALSE))</f>
        <v>0</v>
      </c>
      <c r="R4836" s="3">
        <f>I4836*(VLOOKUP(B4836,Price_data!A$1:B$190,2,FALSE))</f>
        <v>0</v>
      </c>
      <c r="S4836" s="4" t="str">
        <f>(VLOOKUP(B4836,Price_data!A$1:C$190,3,FALSE))</f>
        <v>EEZ</v>
      </c>
      <c r="T4836" s="2" t="str">
        <f>IF(C4836="Total", (VLOOKUP(B4836,Recommended_fish_intake!A$4:D$122,4,FALSE)), "NA")</f>
        <v>NA</v>
      </c>
      <c r="U4836" s="2" t="str">
        <f t="shared" si="409"/>
        <v>NA</v>
      </c>
    </row>
    <row r="4837" spans="1:21" ht="14.25" customHeight="1">
      <c r="A4837" s="2" t="s">
        <v>91</v>
      </c>
      <c r="B4837" s="2">
        <v>2015</v>
      </c>
      <c r="C4837" s="2" t="s">
        <v>41</v>
      </c>
      <c r="D4837" s="2">
        <v>1.24</v>
      </c>
      <c r="E4837" s="2">
        <v>3.63</v>
      </c>
      <c r="P4837" s="3">
        <f>E4837*(VLOOKUP(B4837,Price_data!A$1:B$190,2,FALSE))</f>
        <v>2.39081764713</v>
      </c>
      <c r="Q4837" s="3">
        <f>G4837*(VLOOKUP(B4837,Price_data!A$1:B$190,2,FALSE))</f>
        <v>0</v>
      </c>
      <c r="R4837" s="3">
        <f>I4837*(VLOOKUP(B4837,Price_data!A$1:B$190,2,FALSE))</f>
        <v>0</v>
      </c>
      <c r="S4837" s="4" t="str">
        <f>(VLOOKUP(B4837,Price_data!A$1:C$190,3,FALSE))</f>
        <v>EEZ</v>
      </c>
      <c r="T4837" s="2" t="str">
        <f>IF(C4837="Total", (VLOOKUP(B4837,Recommended_fish_intake!A$4:D$122,4,FALSE)), "NA")</f>
        <v>NA</v>
      </c>
      <c r="U4837" s="2" t="str">
        <f t="shared" si="409"/>
        <v>NA</v>
      </c>
    </row>
    <row r="4838" spans="1:21" ht="14.25" customHeight="1">
      <c r="A4838" s="2" t="s">
        <v>91</v>
      </c>
      <c r="B4838" s="2">
        <v>2015</v>
      </c>
      <c r="C4838" s="2" t="s">
        <v>42</v>
      </c>
      <c r="D4838" s="2">
        <v>0</v>
      </c>
      <c r="E4838" s="2">
        <v>0</v>
      </c>
      <c r="P4838" s="3">
        <f>E4838*(VLOOKUP(B4838,Price_data!A$1:B$190,2,FALSE))</f>
        <v>0</v>
      </c>
      <c r="Q4838" s="3">
        <f>G4838*(VLOOKUP(B4838,Price_data!A$1:B$190,2,FALSE))</f>
        <v>0</v>
      </c>
      <c r="R4838" s="3">
        <f>I4838*(VLOOKUP(B4838,Price_data!A$1:B$190,2,FALSE))</f>
        <v>0</v>
      </c>
      <c r="S4838" s="4" t="str">
        <f>(VLOOKUP(B4838,Price_data!A$1:C$190,3,FALSE))</f>
        <v>EEZ</v>
      </c>
      <c r="T4838" s="2" t="str">
        <f>IF(C4838="Total", (VLOOKUP(B4838,Recommended_fish_intake!A$4:D$122,4,FALSE)), "NA")</f>
        <v>NA</v>
      </c>
      <c r="U4838" s="2" t="str">
        <f t="shared" si="409"/>
        <v>NA</v>
      </c>
    </row>
    <row r="4839" spans="1:21" ht="14.25" customHeight="1">
      <c r="A4839" s="2" t="s">
        <v>91</v>
      </c>
      <c r="B4839" s="2">
        <v>2015</v>
      </c>
      <c r="C4839" s="2" t="s">
        <v>28</v>
      </c>
      <c r="D4839" s="2">
        <v>8.19</v>
      </c>
      <c r="E4839" s="2">
        <v>9.8699999999999992</v>
      </c>
      <c r="P4839" s="3">
        <f>E4839*(VLOOKUP(B4839,Price_data!A$1:B$190,2,FALSE))</f>
        <v>6.5006529413699994</v>
      </c>
      <c r="Q4839" s="3">
        <f>G4839*(VLOOKUP(B4839,Price_data!A$1:B$190,2,FALSE))</f>
        <v>0</v>
      </c>
      <c r="R4839" s="3">
        <f>I4839*(VLOOKUP(B4839,Price_data!A$1:B$190,2,FALSE))</f>
        <v>0</v>
      </c>
      <c r="S4839" s="4" t="str">
        <f>(VLOOKUP(B4839,Price_data!A$1:C$190,3,FALSE))</f>
        <v>EEZ</v>
      </c>
      <c r="T4839" s="2" t="str">
        <f>IF(C4839="Total", (VLOOKUP(B4839,Recommended_fish_intake!A$4:D$122,4,FALSE)), "NA")</f>
        <v>NA</v>
      </c>
      <c r="U4839" s="2">
        <f t="shared" si="409"/>
        <v>2.2932000000000001</v>
      </c>
    </row>
    <row r="4840" spans="1:21" ht="14.25" customHeight="1">
      <c r="A4840" s="2" t="s">
        <v>39</v>
      </c>
      <c r="B4840" s="2">
        <v>2015</v>
      </c>
      <c r="C4840" s="2" t="s">
        <v>22</v>
      </c>
      <c r="D4840" s="2">
        <v>13.99</v>
      </c>
      <c r="E4840" s="2">
        <v>27.17399648</v>
      </c>
      <c r="P4840" s="3">
        <f>E4840*(VLOOKUP(B4840,Price_data!A$1:B$190,2,FALSE))</f>
        <v>17.897540035105372</v>
      </c>
      <c r="Q4840" s="3">
        <f>G4840*(VLOOKUP(B4840,Price_data!A$1:B$190,2,FALSE))</f>
        <v>0</v>
      </c>
      <c r="R4840" s="3">
        <f>I4840*(VLOOKUP(B4840,Price_data!A$1:B$190,2,FALSE))</f>
        <v>0</v>
      </c>
      <c r="S4840" s="4" t="str">
        <f>(VLOOKUP(B4840,Price_data!A$1:C$190,3,FALSE))</f>
        <v>EEZ</v>
      </c>
      <c r="T4840" s="2" t="str">
        <f>IF(C4840="Total", (VLOOKUP(B4840,Recommended_fish_intake!A$4:D$122,4,FALSE)), "NA")</f>
        <v>NA</v>
      </c>
      <c r="U4840" s="2" t="str">
        <f t="shared" si="409"/>
        <v>NA</v>
      </c>
    </row>
    <row r="4841" spans="1:21" ht="14.25" customHeight="1">
      <c r="A4841" s="2" t="s">
        <v>39</v>
      </c>
      <c r="B4841" s="2">
        <v>2015</v>
      </c>
      <c r="C4841" s="2" t="s">
        <v>23</v>
      </c>
      <c r="D4841" s="2">
        <v>30.88</v>
      </c>
      <c r="E4841" s="2">
        <v>42.131178660000003</v>
      </c>
      <c r="P4841" s="3">
        <f>E4841*(VLOOKUP(B4841,Price_data!A$1:B$190,2,FALSE))</f>
        <v>27.748750808461399</v>
      </c>
      <c r="Q4841" s="3">
        <f>G4841*(VLOOKUP(B4841,Price_data!A$1:B$190,2,FALSE))</f>
        <v>0</v>
      </c>
      <c r="R4841" s="3">
        <f>I4841*(VLOOKUP(B4841,Price_data!A$1:B$190,2,FALSE))</f>
        <v>0</v>
      </c>
      <c r="S4841" s="4" t="str">
        <f>(VLOOKUP(B4841,Price_data!A$1:C$190,3,FALSE))</f>
        <v>EEZ</v>
      </c>
      <c r="T4841" s="2" t="str">
        <f>IF(C4841="Total", (VLOOKUP(B4841,Recommended_fish_intake!A$4:D$122,4,FALSE)), "NA")</f>
        <v>NA</v>
      </c>
      <c r="U4841" s="2" t="str">
        <f t="shared" si="409"/>
        <v>NA</v>
      </c>
    </row>
    <row r="4842" spans="1:21" ht="14.25" customHeight="1">
      <c r="A4842" s="2" t="s">
        <v>39</v>
      </c>
      <c r="B4842" s="2">
        <v>2015</v>
      </c>
      <c r="C4842" s="2" t="s">
        <v>53</v>
      </c>
      <c r="D4842" s="2">
        <v>7.41</v>
      </c>
      <c r="E4842" s="2">
        <v>18.382132510000002</v>
      </c>
      <c r="P4842" s="3">
        <f>E4842*(VLOOKUP(B4842,Price_data!A$1:B$190,2,FALSE))</f>
        <v>12.106977079005533</v>
      </c>
      <c r="Q4842" s="3">
        <f>G4842*(VLOOKUP(B4842,Price_data!A$1:B$190,2,FALSE))</f>
        <v>0</v>
      </c>
      <c r="R4842" s="3">
        <f>I4842*(VLOOKUP(B4842,Price_data!A$1:B$190,2,FALSE))</f>
        <v>0</v>
      </c>
      <c r="S4842" s="4" t="str">
        <f>(VLOOKUP(B4842,Price_data!A$1:C$190,3,FALSE))</f>
        <v>EEZ</v>
      </c>
      <c r="T4842" s="2" t="str">
        <f>IF(C4842="Total", (VLOOKUP(B4842,Recommended_fish_intake!A$4:D$122,4,FALSE)), "NA")</f>
        <v>NA</v>
      </c>
      <c r="U4842" s="2" t="str">
        <f t="shared" si="409"/>
        <v>NA</v>
      </c>
    </row>
    <row r="4843" spans="1:21" ht="14.25" customHeight="1">
      <c r="A4843" s="2" t="s">
        <v>39</v>
      </c>
      <c r="B4843" s="2">
        <v>2015</v>
      </c>
      <c r="C4843" s="2" t="s">
        <v>58</v>
      </c>
      <c r="D4843" s="2">
        <v>10.35</v>
      </c>
      <c r="E4843" s="2">
        <v>25.07595414</v>
      </c>
      <c r="P4843" s="3">
        <f>E4843*(VLOOKUP(B4843,Price_data!A$1:B$190,2,FALSE))</f>
        <v>16.515711756621098</v>
      </c>
      <c r="Q4843" s="3">
        <f>G4843*(VLOOKUP(B4843,Price_data!A$1:B$190,2,FALSE))</f>
        <v>0</v>
      </c>
      <c r="R4843" s="3">
        <f>I4843*(VLOOKUP(B4843,Price_data!A$1:B$190,2,FALSE))</f>
        <v>0</v>
      </c>
      <c r="S4843" s="4" t="str">
        <f>(VLOOKUP(B4843,Price_data!A$1:C$190,3,FALSE))</f>
        <v>EEZ</v>
      </c>
      <c r="T4843" s="2" t="str">
        <f>IF(C4843="Total", (VLOOKUP(B4843,Recommended_fish_intake!A$4:D$122,4,FALSE)), "NA")</f>
        <v>NA</v>
      </c>
      <c r="U4843" s="2" t="str">
        <f t="shared" si="409"/>
        <v>NA</v>
      </c>
    </row>
    <row r="4844" spans="1:21" ht="14.25" customHeight="1">
      <c r="A4844" s="2" t="s">
        <v>39</v>
      </c>
      <c r="B4844" s="2">
        <v>2015</v>
      </c>
      <c r="C4844" s="2" t="s">
        <v>19</v>
      </c>
      <c r="D4844" s="2">
        <v>32.090000000000003</v>
      </c>
      <c r="E4844" s="2">
        <v>11.342566959999999</v>
      </c>
      <c r="P4844" s="3">
        <f>E4844*(VLOOKUP(B4844,Price_data!A$1:B$190,2,FALSE))</f>
        <v>7.4705259646616184</v>
      </c>
      <c r="Q4844" s="3">
        <f>G4844*(VLOOKUP(B4844,Price_data!A$1:B$190,2,FALSE))</f>
        <v>0</v>
      </c>
      <c r="R4844" s="3">
        <f>I4844*(VLOOKUP(B4844,Price_data!A$1:B$190,2,FALSE))</f>
        <v>0</v>
      </c>
      <c r="S4844" s="4" t="str">
        <f>(VLOOKUP(B4844,Price_data!A$1:C$190,3,FALSE))</f>
        <v>EEZ</v>
      </c>
      <c r="T4844" s="2" t="str">
        <f>IF(C4844="Total", (VLOOKUP(B4844,Recommended_fish_intake!A$4:D$122,4,FALSE)), "NA")</f>
        <v>NA</v>
      </c>
      <c r="U4844" s="2" t="str">
        <f t="shared" si="409"/>
        <v>NA</v>
      </c>
    </row>
    <row r="4845" spans="1:21" ht="14.25" customHeight="1">
      <c r="A4845" s="2" t="s">
        <v>39</v>
      </c>
      <c r="B4845" s="2">
        <v>2015</v>
      </c>
      <c r="C4845" s="2" t="s">
        <v>20</v>
      </c>
      <c r="D4845" s="2">
        <v>90.6</v>
      </c>
      <c r="E4845" s="2">
        <v>57.476167660000002</v>
      </c>
      <c r="P4845" s="3">
        <f>E4845*(VLOOKUP(B4845,Price_data!A$1:B$190,2,FALSE))</f>
        <v>37.855381799154436</v>
      </c>
      <c r="Q4845" s="3">
        <f>G4845*(VLOOKUP(B4845,Price_data!A$1:B$190,2,FALSE))</f>
        <v>0</v>
      </c>
      <c r="R4845" s="3">
        <f>I4845*(VLOOKUP(B4845,Price_data!A$1:B$190,2,FALSE))</f>
        <v>0</v>
      </c>
      <c r="S4845" s="4" t="str">
        <f>(VLOOKUP(B4845,Price_data!A$1:C$190,3,FALSE))</f>
        <v>EEZ</v>
      </c>
      <c r="T4845" s="2" t="str">
        <f>IF(C4845="Total", (VLOOKUP(B4845,Recommended_fish_intake!A$4:D$122,4,FALSE)), "NA")</f>
        <v>NA</v>
      </c>
      <c r="U4845" s="2" t="str">
        <f t="shared" si="409"/>
        <v>NA</v>
      </c>
    </row>
    <row r="4846" spans="1:21" ht="14.25" customHeight="1">
      <c r="A4846" s="2" t="s">
        <v>39</v>
      </c>
      <c r="B4846" s="2">
        <v>2015</v>
      </c>
      <c r="C4846" s="2" t="s">
        <v>36</v>
      </c>
      <c r="D4846" s="2">
        <v>12.81</v>
      </c>
      <c r="E4846" s="2">
        <v>18.113636079999999</v>
      </c>
      <c r="P4846" s="3">
        <f>E4846*(VLOOKUP(B4846,Price_data!A$1:B$190,2,FALSE))</f>
        <v>11.930137959712031</v>
      </c>
      <c r="Q4846" s="3">
        <f>G4846*(VLOOKUP(B4846,Price_data!A$1:B$190,2,FALSE))</f>
        <v>0</v>
      </c>
      <c r="R4846" s="3">
        <f>I4846*(VLOOKUP(B4846,Price_data!A$1:B$190,2,FALSE))</f>
        <v>0</v>
      </c>
      <c r="S4846" s="4" t="str">
        <f>(VLOOKUP(B4846,Price_data!A$1:C$190,3,FALSE))</f>
        <v>EEZ</v>
      </c>
      <c r="T4846" s="2" t="str">
        <f>IF(C4846="Total", (VLOOKUP(B4846,Recommended_fish_intake!A$4:D$122,4,FALSE)), "NA")</f>
        <v>NA</v>
      </c>
      <c r="U4846" s="2" t="str">
        <f t="shared" si="409"/>
        <v>NA</v>
      </c>
    </row>
    <row r="4847" spans="1:21" ht="14.25" customHeight="1">
      <c r="A4847" s="2" t="s">
        <v>39</v>
      </c>
      <c r="B4847" s="2">
        <v>2015</v>
      </c>
      <c r="C4847" s="2" t="s">
        <v>34</v>
      </c>
      <c r="D4847" s="2">
        <v>1.05</v>
      </c>
      <c r="E4847" s="2">
        <v>11.07974853</v>
      </c>
      <c r="P4847" s="3">
        <f>E4847*(VLOOKUP(B4847,Price_data!A$1:B$190,2,FALSE))</f>
        <v>7.2974265320348968</v>
      </c>
      <c r="Q4847" s="3">
        <f>G4847*(VLOOKUP(B4847,Price_data!A$1:B$190,2,FALSE))</f>
        <v>0</v>
      </c>
      <c r="R4847" s="3">
        <f>I4847*(VLOOKUP(B4847,Price_data!A$1:B$190,2,FALSE))</f>
        <v>0</v>
      </c>
      <c r="S4847" s="4" t="str">
        <f>(VLOOKUP(B4847,Price_data!A$1:C$190,3,FALSE))</f>
        <v>EEZ</v>
      </c>
      <c r="T4847" s="2" t="str">
        <f>IF(C4847="Total", (VLOOKUP(B4847,Recommended_fish_intake!A$4:D$122,4,FALSE)), "NA")</f>
        <v>NA</v>
      </c>
      <c r="U4847" s="2" t="str">
        <f t="shared" si="409"/>
        <v>NA</v>
      </c>
    </row>
    <row r="4848" spans="1:21" ht="14.25" customHeight="1">
      <c r="A4848" s="2" t="s">
        <v>39</v>
      </c>
      <c r="B4848" s="2">
        <v>2015</v>
      </c>
      <c r="C4848" s="2" t="s">
        <v>35</v>
      </c>
      <c r="D4848" s="2">
        <v>16.059999999999999</v>
      </c>
      <c r="E4848" s="2">
        <v>59.193131229999999</v>
      </c>
      <c r="P4848" s="3">
        <f>E4848*(VLOOKUP(B4848,Price_data!A$1:B$190,2,FALSE))</f>
        <v>38.986221138723394</v>
      </c>
      <c r="Q4848" s="3">
        <f>G4848*(VLOOKUP(B4848,Price_data!A$1:B$190,2,FALSE))</f>
        <v>0</v>
      </c>
      <c r="R4848" s="3">
        <f>I4848*(VLOOKUP(B4848,Price_data!A$1:B$190,2,FALSE))</f>
        <v>0</v>
      </c>
      <c r="S4848" s="4" t="str">
        <f>(VLOOKUP(B4848,Price_data!A$1:C$190,3,FALSE))</f>
        <v>EEZ</v>
      </c>
      <c r="T4848" s="2" t="str">
        <f>IF(C4848="Total", (VLOOKUP(B4848,Recommended_fish_intake!A$4:D$122,4,FALSE)), "NA")</f>
        <v>NA</v>
      </c>
      <c r="U4848" s="2" t="str">
        <f t="shared" si="409"/>
        <v>NA</v>
      </c>
    </row>
    <row r="4849" spans="1:21" ht="14.25" customHeight="1">
      <c r="A4849" s="2" t="s">
        <v>39</v>
      </c>
      <c r="B4849" s="2">
        <v>2015</v>
      </c>
      <c r="C4849" s="2" t="s">
        <v>52</v>
      </c>
      <c r="D4849" s="2">
        <v>14.08</v>
      </c>
      <c r="E4849" s="2">
        <v>24.694702400000001</v>
      </c>
      <c r="P4849" s="3">
        <f>E4849*(VLOOKUP(B4849,Price_data!A$1:B$190,2,FALSE))</f>
        <v>16.264608894915582</v>
      </c>
      <c r="Q4849" s="3">
        <f>G4849*(VLOOKUP(B4849,Price_data!A$1:B$190,2,FALSE))</f>
        <v>0</v>
      </c>
      <c r="R4849" s="3">
        <f>I4849*(VLOOKUP(B4849,Price_data!A$1:B$190,2,FALSE))</f>
        <v>0</v>
      </c>
      <c r="S4849" s="4" t="str">
        <f>(VLOOKUP(B4849,Price_data!A$1:C$190,3,FALSE))</f>
        <v>EEZ</v>
      </c>
      <c r="T4849" s="2" t="str">
        <f>IF(C4849="Total", (VLOOKUP(B4849,Recommended_fish_intake!A$4:D$122,4,FALSE)), "NA")</f>
        <v>NA</v>
      </c>
      <c r="U4849" s="2" t="str">
        <f t="shared" si="409"/>
        <v>NA</v>
      </c>
    </row>
    <row r="4850" spans="1:21" ht="14.25" customHeight="1">
      <c r="A4850" s="2" t="s">
        <v>39</v>
      </c>
      <c r="B4850" s="2">
        <v>2015</v>
      </c>
      <c r="C4850" s="2" t="s">
        <v>30</v>
      </c>
      <c r="D4850" s="2">
        <v>0</v>
      </c>
      <c r="E4850" s="2">
        <v>5.3033000000000004E-3</v>
      </c>
      <c r="P4850" s="3">
        <f>E4850*(VLOOKUP(B4850,Price_data!A$1:B$190,2,FALSE))</f>
        <v>3.4928989608883003E-3</v>
      </c>
      <c r="Q4850" s="3">
        <f>G4850*(VLOOKUP(B4850,Price_data!A$1:B$190,2,FALSE))</f>
        <v>0</v>
      </c>
      <c r="R4850" s="3">
        <f>I4850*(VLOOKUP(B4850,Price_data!A$1:B$190,2,FALSE))</f>
        <v>0</v>
      </c>
      <c r="S4850" s="4" t="str">
        <f>(VLOOKUP(B4850,Price_data!A$1:C$190,3,FALSE))</f>
        <v>EEZ</v>
      </c>
      <c r="T4850" s="2" t="str">
        <f>IF(C4850="Total", (VLOOKUP(B4850,Recommended_fish_intake!A$4:D$122,4,FALSE)), "NA")</f>
        <v>NA</v>
      </c>
      <c r="U4850" s="2" t="str">
        <f t="shared" si="409"/>
        <v>NA</v>
      </c>
    </row>
    <row r="4851" spans="1:21" ht="14.25" customHeight="1">
      <c r="A4851" s="2" t="s">
        <v>39</v>
      </c>
      <c r="B4851" s="2">
        <v>2015</v>
      </c>
      <c r="C4851" s="2" t="s">
        <v>41</v>
      </c>
      <c r="D4851" s="2">
        <v>93.79</v>
      </c>
      <c r="E4851" s="2">
        <v>150.65629809999999</v>
      </c>
      <c r="P4851" s="3">
        <f>E4851*(VLOOKUP(B4851,Price_data!A$1:B$190,2,FALSE))</f>
        <v>99.226373594699126</v>
      </c>
      <c r="Q4851" s="3">
        <f>G4851*(VLOOKUP(B4851,Price_data!A$1:B$190,2,FALSE))</f>
        <v>0</v>
      </c>
      <c r="R4851" s="3">
        <f>I4851*(VLOOKUP(B4851,Price_data!A$1:B$190,2,FALSE))</f>
        <v>0</v>
      </c>
      <c r="S4851" s="4" t="str">
        <f>(VLOOKUP(B4851,Price_data!A$1:C$190,3,FALSE))</f>
        <v>EEZ</v>
      </c>
      <c r="T4851" s="2" t="str">
        <f>IF(C4851="Total", (VLOOKUP(B4851,Recommended_fish_intake!A$4:D$122,4,FALSE)), "NA")</f>
        <v>NA</v>
      </c>
      <c r="U4851" s="2" t="str">
        <f t="shared" si="409"/>
        <v>NA</v>
      </c>
    </row>
    <row r="4852" spans="1:21" ht="14.25" customHeight="1">
      <c r="A4852" s="2" t="s">
        <v>39</v>
      </c>
      <c r="B4852" s="2">
        <v>2015</v>
      </c>
      <c r="C4852" s="2" t="s">
        <v>42</v>
      </c>
      <c r="D4852" s="2">
        <v>136.6</v>
      </c>
      <c r="E4852" s="2">
        <v>71.546008599999993</v>
      </c>
      <c r="P4852" s="3">
        <f>E4852*(VLOOKUP(B4852,Price_data!A$1:B$190,2,FALSE))</f>
        <v>47.122165273442072</v>
      </c>
      <c r="Q4852" s="3">
        <f>G4852*(VLOOKUP(B4852,Price_data!A$1:B$190,2,FALSE))</f>
        <v>0</v>
      </c>
      <c r="R4852" s="3">
        <f>I4852*(VLOOKUP(B4852,Price_data!A$1:B$190,2,FALSE))</f>
        <v>0</v>
      </c>
      <c r="S4852" s="4" t="str">
        <f>(VLOOKUP(B4852,Price_data!A$1:C$190,3,FALSE))</f>
        <v>EEZ</v>
      </c>
      <c r="T4852" s="2" t="str">
        <f>IF(C4852="Total", (VLOOKUP(B4852,Recommended_fish_intake!A$4:D$122,4,FALSE)), "NA")</f>
        <v>NA</v>
      </c>
      <c r="U4852" s="2" t="str">
        <f t="shared" si="409"/>
        <v>NA</v>
      </c>
    </row>
    <row r="4853" spans="1:21" ht="14.25" customHeight="1">
      <c r="A4853" s="2" t="s">
        <v>39</v>
      </c>
      <c r="B4853" s="2">
        <v>2015</v>
      </c>
      <c r="C4853" s="2" t="s">
        <v>28</v>
      </c>
      <c r="D4853" s="2">
        <v>46.84</v>
      </c>
      <c r="E4853" s="2">
        <v>120.1053665</v>
      </c>
      <c r="P4853" s="3">
        <f>E4853*(VLOOKUP(B4853,Price_data!A$1:B$190,2,FALSE))</f>
        <v>79.104691389315789</v>
      </c>
      <c r="Q4853" s="3">
        <f>G4853*(VLOOKUP(B4853,Price_data!A$1:B$190,2,FALSE))</f>
        <v>0</v>
      </c>
      <c r="R4853" s="3">
        <f>I4853*(VLOOKUP(B4853,Price_data!A$1:B$190,2,FALSE))</f>
        <v>0</v>
      </c>
      <c r="S4853" s="4" t="str">
        <f>(VLOOKUP(B4853,Price_data!A$1:C$190,3,FALSE))</f>
        <v>EEZ</v>
      </c>
      <c r="T4853" s="2" t="str">
        <f>IF(C4853="Total", (VLOOKUP(B4853,Recommended_fish_intake!A$4:D$122,4,FALSE)), "NA")</f>
        <v>NA</v>
      </c>
      <c r="U4853" s="2">
        <f t="shared" si="409"/>
        <v>13.115200000000002</v>
      </c>
    </row>
    <row r="4854" spans="1:21" ht="14.25" customHeight="1">
      <c r="A4854" s="2" t="s">
        <v>40</v>
      </c>
      <c r="B4854" s="2">
        <v>2015</v>
      </c>
      <c r="C4854" s="2" t="s">
        <v>22</v>
      </c>
      <c r="D4854" s="2">
        <v>0.05</v>
      </c>
      <c r="E4854" s="2">
        <v>8.6888439999999997E-2</v>
      </c>
      <c r="P4854" s="3">
        <f>E4854*(VLOOKUP(B4854,Price_data!A$1:B$190,2,FALSE))</f>
        <v>5.7227111758566436E-2</v>
      </c>
      <c r="Q4854" s="3">
        <f>G4854*(VLOOKUP(B4854,Price_data!A$1:B$190,2,FALSE))</f>
        <v>0</v>
      </c>
      <c r="R4854" s="3">
        <f>I4854*(VLOOKUP(B4854,Price_data!A$1:B$190,2,FALSE))</f>
        <v>0</v>
      </c>
      <c r="S4854" s="4" t="str">
        <f>(VLOOKUP(B4854,Price_data!A$1:C$190,3,FALSE))</f>
        <v>EEZ</v>
      </c>
      <c r="T4854" s="2" t="str">
        <f>IF(C4854="Total", (VLOOKUP(B4854,Recommended_fish_intake!A$4:D$122,4,FALSE)), "NA")</f>
        <v>NA</v>
      </c>
      <c r="U4854" s="2" t="str">
        <f t="shared" si="409"/>
        <v>NA</v>
      </c>
    </row>
    <row r="4855" spans="1:21" ht="14.25" customHeight="1">
      <c r="A4855" s="2" t="s">
        <v>40</v>
      </c>
      <c r="B4855" s="2">
        <v>2015</v>
      </c>
      <c r="C4855" s="2" t="s">
        <v>23</v>
      </c>
      <c r="D4855" s="2">
        <v>0.61</v>
      </c>
      <c r="E4855" s="2">
        <v>0.66517192999999997</v>
      </c>
      <c r="P4855" s="3">
        <f>E4855*(VLOOKUP(B4855,Price_data!A$1:B$190,2,FALSE))</f>
        <v>0.43810049273265039</v>
      </c>
      <c r="Q4855" s="3">
        <f>G4855*(VLOOKUP(B4855,Price_data!A$1:B$190,2,FALSE))</f>
        <v>0</v>
      </c>
      <c r="R4855" s="3">
        <f>I4855*(VLOOKUP(B4855,Price_data!A$1:B$190,2,FALSE))</f>
        <v>0</v>
      </c>
      <c r="S4855" s="4" t="str">
        <f>(VLOOKUP(B4855,Price_data!A$1:C$190,3,FALSE))</f>
        <v>EEZ</v>
      </c>
      <c r="T4855" s="2" t="str">
        <f>IF(C4855="Total", (VLOOKUP(B4855,Recommended_fish_intake!A$4:D$122,4,FALSE)), "NA")</f>
        <v>NA</v>
      </c>
      <c r="U4855" s="2" t="str">
        <f t="shared" si="409"/>
        <v>NA</v>
      </c>
    </row>
    <row r="4856" spans="1:21" ht="14.25" customHeight="1">
      <c r="A4856" s="2" t="s">
        <v>40</v>
      </c>
      <c r="B4856" s="2">
        <v>2015</v>
      </c>
      <c r="C4856" s="2" t="s">
        <v>53</v>
      </c>
      <c r="D4856" s="2">
        <v>0.11</v>
      </c>
      <c r="E4856" s="2">
        <v>0.15368270000000001</v>
      </c>
      <c r="P4856" s="3">
        <f>E4856*(VLOOKUP(B4856,Price_data!A$1:B$190,2,FALSE))</f>
        <v>0.10121964496379771</v>
      </c>
      <c r="Q4856" s="3">
        <f>G4856*(VLOOKUP(B4856,Price_data!A$1:B$190,2,FALSE))</f>
        <v>0</v>
      </c>
      <c r="R4856" s="3">
        <f>I4856*(VLOOKUP(B4856,Price_data!A$1:B$190,2,FALSE))</f>
        <v>0</v>
      </c>
      <c r="S4856" s="4" t="str">
        <f>(VLOOKUP(B4856,Price_data!A$1:C$190,3,FALSE))</f>
        <v>EEZ</v>
      </c>
      <c r="T4856" s="2" t="str">
        <f>IF(C4856="Total", (VLOOKUP(B4856,Recommended_fish_intake!A$4:D$122,4,FALSE)), "NA")</f>
        <v>NA</v>
      </c>
      <c r="U4856" s="2" t="str">
        <f t="shared" si="409"/>
        <v>NA</v>
      </c>
    </row>
    <row r="4857" spans="1:21" ht="14.25" customHeight="1">
      <c r="A4857" s="2" t="s">
        <v>40</v>
      </c>
      <c r="B4857" s="2">
        <v>2015</v>
      </c>
      <c r="C4857" s="2" t="s">
        <v>58</v>
      </c>
      <c r="D4857" s="2">
        <v>0.22</v>
      </c>
      <c r="E4857" s="2">
        <v>0.53218745999999995</v>
      </c>
      <c r="P4857" s="3">
        <f>E4857*(VLOOKUP(B4857,Price_data!A$1:B$190,2,FALSE))</f>
        <v>0.35051327023396439</v>
      </c>
      <c r="Q4857" s="3">
        <f>G4857*(VLOOKUP(B4857,Price_data!A$1:B$190,2,FALSE))</f>
        <v>0</v>
      </c>
      <c r="R4857" s="3">
        <f>I4857*(VLOOKUP(B4857,Price_data!A$1:B$190,2,FALSE))</f>
        <v>0</v>
      </c>
      <c r="S4857" s="4" t="str">
        <f>(VLOOKUP(B4857,Price_data!A$1:C$190,3,FALSE))</f>
        <v>EEZ</v>
      </c>
      <c r="T4857" s="2" t="str">
        <f>IF(C4857="Total", (VLOOKUP(B4857,Recommended_fish_intake!A$4:D$122,4,FALSE)), "NA")</f>
        <v>NA</v>
      </c>
      <c r="U4857" s="2" t="str">
        <f t="shared" si="409"/>
        <v>NA</v>
      </c>
    </row>
    <row r="4858" spans="1:21" ht="14.25" customHeight="1">
      <c r="A4858" s="2" t="s">
        <v>40</v>
      </c>
      <c r="B4858" s="2">
        <v>2015</v>
      </c>
      <c r="C4858" s="2" t="s">
        <v>19</v>
      </c>
      <c r="D4858" s="2">
        <v>3.38</v>
      </c>
      <c r="E4858" s="2">
        <v>1.0107980999999999</v>
      </c>
      <c r="P4858" s="3">
        <f>E4858*(VLOOKUP(B4858,Price_data!A$1:B$190,2,FALSE))</f>
        <v>0.66573937607864297</v>
      </c>
      <c r="Q4858" s="3">
        <f>G4858*(VLOOKUP(B4858,Price_data!A$1:B$190,2,FALSE))</f>
        <v>0</v>
      </c>
      <c r="R4858" s="3">
        <f>I4858*(VLOOKUP(B4858,Price_data!A$1:B$190,2,FALSE))</f>
        <v>0</v>
      </c>
      <c r="S4858" s="4" t="str">
        <f>(VLOOKUP(B4858,Price_data!A$1:C$190,3,FALSE))</f>
        <v>EEZ</v>
      </c>
      <c r="T4858" s="2" t="str">
        <f>IF(C4858="Total", (VLOOKUP(B4858,Recommended_fish_intake!A$4:D$122,4,FALSE)), "NA")</f>
        <v>NA</v>
      </c>
      <c r="U4858" s="2" t="str">
        <f t="shared" si="409"/>
        <v>NA</v>
      </c>
    </row>
    <row r="4859" spans="1:21" ht="14.25" customHeight="1">
      <c r="A4859" s="2" t="s">
        <v>40</v>
      </c>
      <c r="B4859" s="2">
        <v>2015</v>
      </c>
      <c r="C4859" s="2" t="s">
        <v>20</v>
      </c>
      <c r="D4859" s="2">
        <v>1.64</v>
      </c>
      <c r="E4859" s="2">
        <v>1.1107132</v>
      </c>
      <c r="P4859" s="3">
        <f>E4859*(VLOOKUP(B4859,Price_data!A$1:B$190,2,FALSE))</f>
        <v>0.73154620370805312</v>
      </c>
      <c r="Q4859" s="3">
        <f>G4859*(VLOOKUP(B4859,Price_data!A$1:B$190,2,FALSE))</f>
        <v>0</v>
      </c>
      <c r="R4859" s="3">
        <f>I4859*(VLOOKUP(B4859,Price_data!A$1:B$190,2,FALSE))</f>
        <v>0</v>
      </c>
      <c r="S4859" s="4" t="str">
        <f>(VLOOKUP(B4859,Price_data!A$1:C$190,3,FALSE))</f>
        <v>EEZ</v>
      </c>
      <c r="T4859" s="2" t="str">
        <f>IF(C4859="Total", (VLOOKUP(B4859,Recommended_fish_intake!A$4:D$122,4,FALSE)), "NA")</f>
        <v>NA</v>
      </c>
      <c r="U4859" s="2" t="str">
        <f t="shared" si="409"/>
        <v>NA</v>
      </c>
    </row>
    <row r="4860" spans="1:21" ht="14.25" customHeight="1">
      <c r="A4860" s="2" t="s">
        <v>40</v>
      </c>
      <c r="B4860" s="2">
        <v>2015</v>
      </c>
      <c r="C4860" s="2" t="s">
        <v>36</v>
      </c>
      <c r="D4860" s="2">
        <v>1.22</v>
      </c>
      <c r="E4860" s="2">
        <v>1.11934702</v>
      </c>
      <c r="P4860" s="3">
        <f>E4860*(VLOOKUP(B4860,Price_data!A$1:B$190,2,FALSE))</f>
        <v>0.737232674567046</v>
      </c>
      <c r="Q4860" s="3">
        <f>G4860*(VLOOKUP(B4860,Price_data!A$1:B$190,2,FALSE))</f>
        <v>0</v>
      </c>
      <c r="R4860" s="3">
        <f>I4860*(VLOOKUP(B4860,Price_data!A$1:B$190,2,FALSE))</f>
        <v>0</v>
      </c>
      <c r="S4860" s="4" t="str">
        <f>(VLOOKUP(B4860,Price_data!A$1:C$190,3,FALSE))</f>
        <v>EEZ</v>
      </c>
      <c r="T4860" s="2" t="str">
        <f>IF(C4860="Total", (VLOOKUP(B4860,Recommended_fish_intake!A$4:D$122,4,FALSE)), "NA")</f>
        <v>NA</v>
      </c>
      <c r="U4860" s="2" t="str">
        <f t="shared" si="409"/>
        <v>NA</v>
      </c>
    </row>
    <row r="4861" spans="1:21" ht="14.25" customHeight="1">
      <c r="A4861" s="2" t="s">
        <v>40</v>
      </c>
      <c r="B4861" s="2">
        <v>2015</v>
      </c>
      <c r="C4861" s="2" t="s">
        <v>34</v>
      </c>
      <c r="D4861" s="2">
        <v>0.11</v>
      </c>
      <c r="E4861" s="2">
        <v>0.87302972000000001</v>
      </c>
      <c r="P4861" s="3">
        <f>E4861*(VLOOKUP(B4861,Price_data!A$1:B$190,2,FALSE))</f>
        <v>0.57500133913084372</v>
      </c>
      <c r="Q4861" s="3">
        <f>G4861*(VLOOKUP(B4861,Price_data!A$1:B$190,2,FALSE))</f>
        <v>0</v>
      </c>
      <c r="R4861" s="3">
        <f>I4861*(VLOOKUP(B4861,Price_data!A$1:B$190,2,FALSE))</f>
        <v>0</v>
      </c>
      <c r="S4861" s="4" t="str">
        <f>(VLOOKUP(B4861,Price_data!A$1:C$190,3,FALSE))</f>
        <v>EEZ</v>
      </c>
      <c r="T4861" s="2" t="str">
        <f>IF(C4861="Total", (VLOOKUP(B4861,Recommended_fish_intake!A$4:D$122,4,FALSE)), "NA")</f>
        <v>NA</v>
      </c>
      <c r="U4861" s="2" t="str">
        <f t="shared" si="409"/>
        <v>NA</v>
      </c>
    </row>
    <row r="4862" spans="1:21" ht="14.25" customHeight="1">
      <c r="A4862" s="2" t="s">
        <v>40</v>
      </c>
      <c r="B4862" s="2">
        <v>2015</v>
      </c>
      <c r="C4862" s="2" t="s">
        <v>35</v>
      </c>
      <c r="D4862" s="2">
        <v>7.52</v>
      </c>
      <c r="E4862" s="2">
        <v>15.644898489999999</v>
      </c>
      <c r="P4862" s="3">
        <f>E4862*(VLOOKUP(B4862,Price_data!A$1:B$190,2,FALSE))</f>
        <v>10.304159613622447</v>
      </c>
      <c r="Q4862" s="3">
        <f>G4862*(VLOOKUP(B4862,Price_data!A$1:B$190,2,FALSE))</f>
        <v>0</v>
      </c>
      <c r="R4862" s="3">
        <f>I4862*(VLOOKUP(B4862,Price_data!A$1:B$190,2,FALSE))</f>
        <v>0</v>
      </c>
      <c r="S4862" s="4" t="str">
        <f>(VLOOKUP(B4862,Price_data!A$1:C$190,3,FALSE))</f>
        <v>EEZ</v>
      </c>
      <c r="T4862" s="2" t="str">
        <f>IF(C4862="Total", (VLOOKUP(B4862,Recommended_fish_intake!A$4:D$122,4,FALSE)), "NA")</f>
        <v>NA</v>
      </c>
      <c r="U4862" s="2" t="str">
        <f t="shared" si="409"/>
        <v>NA</v>
      </c>
    </row>
    <row r="4863" spans="1:21" ht="14.25" customHeight="1">
      <c r="A4863" s="2" t="s">
        <v>40</v>
      </c>
      <c r="B4863" s="2">
        <v>2015</v>
      </c>
      <c r="C4863" s="2" t="s">
        <v>52</v>
      </c>
      <c r="D4863" s="2">
        <v>2.27</v>
      </c>
      <c r="E4863" s="2">
        <v>3.3184485600000002</v>
      </c>
      <c r="P4863" s="3">
        <f>E4863*(VLOOKUP(B4863,Price_data!A$1:B$190,2,FALSE))</f>
        <v>2.1856213163474205</v>
      </c>
      <c r="Q4863" s="3">
        <f>G4863*(VLOOKUP(B4863,Price_data!A$1:B$190,2,FALSE))</f>
        <v>0</v>
      </c>
      <c r="R4863" s="3">
        <f>I4863*(VLOOKUP(B4863,Price_data!A$1:B$190,2,FALSE))</f>
        <v>0</v>
      </c>
      <c r="S4863" s="4" t="str">
        <f>(VLOOKUP(B4863,Price_data!A$1:C$190,3,FALSE))</f>
        <v>EEZ</v>
      </c>
      <c r="T4863" s="2" t="str">
        <f>IF(C4863="Total", (VLOOKUP(B4863,Recommended_fish_intake!A$4:D$122,4,FALSE)), "NA")</f>
        <v>NA</v>
      </c>
      <c r="U4863" s="2" t="str">
        <f t="shared" si="409"/>
        <v>NA</v>
      </c>
    </row>
    <row r="4864" spans="1:21" ht="14.25" customHeight="1">
      <c r="A4864" s="2" t="s">
        <v>40</v>
      </c>
      <c r="B4864" s="2">
        <v>2015</v>
      </c>
      <c r="C4864" s="2" t="s">
        <v>30</v>
      </c>
      <c r="D4864" s="2">
        <v>0</v>
      </c>
      <c r="E4864" s="2">
        <v>2.6713400000000002E-2</v>
      </c>
      <c r="P4864" s="3">
        <f>E4864*(VLOOKUP(B4864,Price_data!A$1:B$190,2,FALSE))</f>
        <v>1.7594178549543399E-2</v>
      </c>
      <c r="Q4864" s="3">
        <f>G4864*(VLOOKUP(B4864,Price_data!A$1:B$190,2,FALSE))</f>
        <v>0</v>
      </c>
      <c r="R4864" s="3">
        <f>I4864*(VLOOKUP(B4864,Price_data!A$1:B$190,2,FALSE))</f>
        <v>0</v>
      </c>
      <c r="S4864" s="4" t="str">
        <f>(VLOOKUP(B4864,Price_data!A$1:C$190,3,FALSE))</f>
        <v>EEZ</v>
      </c>
      <c r="T4864" s="2" t="str">
        <f>IF(C4864="Total", (VLOOKUP(B4864,Recommended_fish_intake!A$4:D$122,4,FALSE)), "NA")</f>
        <v>NA</v>
      </c>
      <c r="U4864" s="2" t="str">
        <f t="shared" si="409"/>
        <v>NA</v>
      </c>
    </row>
    <row r="4865" spans="1:21" ht="14.25" customHeight="1">
      <c r="A4865" s="2" t="s">
        <v>40</v>
      </c>
      <c r="B4865" s="2">
        <v>2015</v>
      </c>
      <c r="C4865" s="2" t="s">
        <v>41</v>
      </c>
      <c r="D4865" s="2">
        <v>1.65</v>
      </c>
      <c r="E4865" s="2">
        <v>1.81262615</v>
      </c>
      <c r="P4865" s="3">
        <f>E4865*(VLOOKUP(B4865,Price_data!A$1:B$190,2,FALSE))</f>
        <v>1.1938453407904437</v>
      </c>
      <c r="Q4865" s="3">
        <f>G4865*(VLOOKUP(B4865,Price_data!A$1:B$190,2,FALSE))</f>
        <v>0</v>
      </c>
      <c r="R4865" s="3">
        <f>I4865*(VLOOKUP(B4865,Price_data!A$1:B$190,2,FALSE))</f>
        <v>0</v>
      </c>
      <c r="S4865" s="4" t="str">
        <f>(VLOOKUP(B4865,Price_data!A$1:C$190,3,FALSE))</f>
        <v>EEZ</v>
      </c>
      <c r="T4865" s="2" t="str">
        <f>IF(C4865="Total", (VLOOKUP(B4865,Recommended_fish_intake!A$4:D$122,4,FALSE)), "NA")</f>
        <v>NA</v>
      </c>
      <c r="U4865" s="2" t="str">
        <f t="shared" si="409"/>
        <v>NA</v>
      </c>
    </row>
    <row r="4866" spans="1:21" ht="14.25" customHeight="1">
      <c r="A4866" s="2" t="s">
        <v>40</v>
      </c>
      <c r="B4866" s="2">
        <v>2015</v>
      </c>
      <c r="C4866" s="2" t="s">
        <v>42</v>
      </c>
      <c r="D4866" s="2">
        <v>5.0199999999999996</v>
      </c>
      <c r="E4866" s="2">
        <v>2.1215112999999999</v>
      </c>
      <c r="P4866" s="3">
        <f>E4866*(VLOOKUP(B4866,Price_data!A$1:B$190,2,FALSE))</f>
        <v>1.3972855797866961</v>
      </c>
      <c r="Q4866" s="3">
        <f>G4866*(VLOOKUP(B4866,Price_data!A$1:B$190,2,FALSE))</f>
        <v>0</v>
      </c>
      <c r="R4866" s="3">
        <f>I4866*(VLOOKUP(B4866,Price_data!A$1:B$190,2,FALSE))</f>
        <v>0</v>
      </c>
      <c r="S4866" s="4" t="str">
        <f>(VLOOKUP(B4866,Price_data!A$1:C$190,3,FALSE))</f>
        <v>EEZ</v>
      </c>
      <c r="T4866" s="2" t="str">
        <f>IF(C4866="Total", (VLOOKUP(B4866,Recommended_fish_intake!A$4:D$122,4,FALSE)), "NA")</f>
        <v>NA</v>
      </c>
      <c r="U4866" s="2" t="str">
        <f t="shared" ref="U4866:U4929" si="410">IF(C4866="Wet fish", D4866*0.49, IF(C4866="Shellfish", D4866*0.28, "NA"))</f>
        <v>NA</v>
      </c>
    </row>
    <row r="4867" spans="1:21" ht="14.25" customHeight="1">
      <c r="A4867" s="2" t="s">
        <v>40</v>
      </c>
      <c r="B4867" s="2">
        <v>2015</v>
      </c>
      <c r="C4867" s="2" t="s">
        <v>28</v>
      </c>
      <c r="D4867" s="2">
        <v>12.1</v>
      </c>
      <c r="E4867" s="2">
        <v>21.826747569999998</v>
      </c>
      <c r="P4867" s="3">
        <f>E4867*(VLOOKUP(B4867,Price_data!A$1:B$190,2,FALSE))</f>
        <v>14.375695115649542</v>
      </c>
      <c r="Q4867" s="3">
        <f>G4867*(VLOOKUP(B4867,Price_data!A$1:B$190,2,FALSE))</f>
        <v>0</v>
      </c>
      <c r="R4867" s="3">
        <f>I4867*(VLOOKUP(B4867,Price_data!A$1:B$190,2,FALSE))</f>
        <v>0</v>
      </c>
      <c r="S4867" s="4" t="str">
        <f>(VLOOKUP(B4867,Price_data!A$1:C$190,3,FALSE))</f>
        <v>EEZ</v>
      </c>
      <c r="T4867" s="2" t="str">
        <f>IF(C4867="Total", (VLOOKUP(B4867,Recommended_fish_intake!A$4:D$122,4,FALSE)), "NA")</f>
        <v>NA</v>
      </c>
      <c r="U4867" s="2">
        <f t="shared" si="410"/>
        <v>3.3880000000000003</v>
      </c>
    </row>
    <row r="4868" spans="1:21" ht="14.25" customHeight="1">
      <c r="A4868" s="2" t="s">
        <v>40</v>
      </c>
      <c r="B4868" s="2">
        <v>2015</v>
      </c>
      <c r="C4868" s="2" t="s">
        <v>37</v>
      </c>
      <c r="D4868" s="3">
        <f>D3040+D3045</f>
        <v>2.5</v>
      </c>
      <c r="E4868" s="3">
        <f>E3040+E3045</f>
        <v>4.4000000000000004</v>
      </c>
      <c r="P4868" s="3">
        <f>E4868*(VLOOKUP(B4868,Price_data!A$1:B$190,2,FALSE))</f>
        <v>2.8979607843999999</v>
      </c>
      <c r="Q4868" s="3">
        <f>G4868*(VLOOKUP(B4868,Price_data!A$1:B$190,2,FALSE))</f>
        <v>0</v>
      </c>
      <c r="R4868" s="3">
        <f>I4868*(VLOOKUP(B4868,Price_data!A$1:B$190,2,FALSE))</f>
        <v>0</v>
      </c>
      <c r="S4868" s="4" t="str">
        <f>(VLOOKUP(B4868,Price_data!A$1:C$190,3,FALSE))</f>
        <v>EEZ</v>
      </c>
      <c r="T4868" s="2" t="str">
        <f>IF(C4868="Total", (VLOOKUP(B4868,Recommended_fish_intake!A$4:D$122,4,FALSE)), "NA")</f>
        <v>NA</v>
      </c>
      <c r="U4868" s="2">
        <f t="shared" si="410"/>
        <v>1.2250000000000001</v>
      </c>
    </row>
    <row r="4869" spans="1:21" ht="14.25" customHeight="1">
      <c r="A4869" s="2" t="s">
        <v>39</v>
      </c>
      <c r="B4869" s="2">
        <v>2015</v>
      </c>
      <c r="C4869" s="2" t="s">
        <v>37</v>
      </c>
      <c r="D4869" s="3">
        <f>D2961+D2966</f>
        <v>113.762</v>
      </c>
      <c r="E4869" s="3">
        <f>E2961+E2966</f>
        <v>54.569000000000003</v>
      </c>
      <c r="P4869" s="3">
        <f>E4869*(VLOOKUP(B4869,Price_data!A$1:B$190,2,FALSE))</f>
        <v>35.940641373619002</v>
      </c>
      <c r="Q4869" s="3">
        <f>G4869*(VLOOKUP(B4869,Price_data!A$1:B$190,2,FALSE))</f>
        <v>0</v>
      </c>
      <c r="R4869" s="3">
        <f>I4869*(VLOOKUP(B4869,Price_data!A$1:B$190,2,FALSE))</f>
        <v>0</v>
      </c>
      <c r="S4869" s="4" t="str">
        <f>(VLOOKUP(B4869,Price_data!A$1:C$190,3,FALSE))</f>
        <v>EEZ</v>
      </c>
      <c r="T4869" s="2" t="str">
        <f>IF(C4869="Total", (VLOOKUP(B4869,Recommended_fish_intake!A$4:D$122,4,FALSE)), "NA")</f>
        <v>NA</v>
      </c>
      <c r="U4869" s="2">
        <f t="shared" si="410"/>
        <v>55.743380000000002</v>
      </c>
    </row>
    <row r="4870" spans="1:21" ht="14.25" customHeight="1">
      <c r="A4870" s="2" t="s">
        <v>18</v>
      </c>
      <c r="B4870" s="2">
        <v>2015</v>
      </c>
      <c r="C4870" s="2" t="s">
        <v>22</v>
      </c>
      <c r="D4870" s="3">
        <f t="shared" ref="D4870:E4883" si="411">D2752+D2827</f>
        <v>39.765999999999998</v>
      </c>
      <c r="E4870" s="3">
        <f t="shared" si="411"/>
        <v>18.917999999999999</v>
      </c>
      <c r="P4870" s="3">
        <f>E4870*(VLOOKUP(B4870,Price_data!A$1:B$190,2,FALSE))</f>
        <v>12.459914118017998</v>
      </c>
      <c r="Q4870" s="3">
        <f>G4870*(VLOOKUP(B4870,Price_data!A$1:B$190,2,FALSE))</f>
        <v>0</v>
      </c>
      <c r="R4870" s="3">
        <f>I4870*(VLOOKUP(B4870,Price_data!A$1:B$190,2,FALSE))</f>
        <v>0</v>
      </c>
      <c r="S4870" s="4" t="str">
        <f>(VLOOKUP(B4870,Price_data!A$1:C$190,3,FALSE))</f>
        <v>EEZ</v>
      </c>
      <c r="T4870" s="2" t="str">
        <f>IF(C4870="Total", (VLOOKUP(B4870,Recommended_fish_intake!A$4:D$122,4,FALSE)), "NA")</f>
        <v>NA</v>
      </c>
      <c r="U4870" s="2" t="str">
        <f t="shared" si="410"/>
        <v>NA</v>
      </c>
    </row>
    <row r="4871" spans="1:21" ht="14.25" customHeight="1">
      <c r="A4871" s="2" t="s">
        <v>18</v>
      </c>
      <c r="B4871" s="2">
        <v>2015</v>
      </c>
      <c r="C4871" s="2" t="s">
        <v>23</v>
      </c>
      <c r="D4871" s="3">
        <f t="shared" si="411"/>
        <v>95.876999999999995</v>
      </c>
      <c r="E4871" s="3">
        <f t="shared" si="411"/>
        <v>11.105</v>
      </c>
      <c r="P4871" s="3">
        <f>E4871*(VLOOKUP(B4871,Price_data!A$1:B$190,2,FALSE))</f>
        <v>7.3140578433550001</v>
      </c>
      <c r="Q4871" s="3">
        <f>G4871*(VLOOKUP(B4871,Price_data!A$1:B$190,2,FALSE))</f>
        <v>0</v>
      </c>
      <c r="R4871" s="3">
        <f>I4871*(VLOOKUP(B4871,Price_data!A$1:B$190,2,FALSE))</f>
        <v>0</v>
      </c>
      <c r="S4871" s="4" t="str">
        <f>(VLOOKUP(B4871,Price_data!A$1:C$190,3,FALSE))</f>
        <v>EEZ</v>
      </c>
      <c r="T4871" s="2" t="str">
        <f>IF(C4871="Total", (VLOOKUP(B4871,Recommended_fish_intake!A$4:D$122,4,FALSE)), "NA")</f>
        <v>NA</v>
      </c>
      <c r="U4871" s="2" t="str">
        <f t="shared" si="410"/>
        <v>NA</v>
      </c>
    </row>
    <row r="4872" spans="1:21" ht="14.25" customHeight="1">
      <c r="A4872" s="2" t="s">
        <v>18</v>
      </c>
      <c r="B4872" s="2">
        <v>2015</v>
      </c>
      <c r="C4872" s="2" t="s">
        <v>53</v>
      </c>
      <c r="D4872" s="3">
        <f t="shared" si="411"/>
        <v>140.44</v>
      </c>
      <c r="E4872" s="3">
        <f t="shared" si="411"/>
        <v>20.86</v>
      </c>
      <c r="P4872" s="3">
        <f>E4872*(VLOOKUP(B4872,Price_data!A$1:B$190,2,FALSE))</f>
        <v>13.738968627859999</v>
      </c>
      <c r="Q4872" s="3">
        <f>G4872*(VLOOKUP(B4872,Price_data!A$1:B$190,2,FALSE))</f>
        <v>0</v>
      </c>
      <c r="R4872" s="3">
        <f>I4872*(VLOOKUP(B4872,Price_data!A$1:B$190,2,FALSE))</f>
        <v>0</v>
      </c>
      <c r="S4872" s="4" t="str">
        <f>(VLOOKUP(B4872,Price_data!A$1:C$190,3,FALSE))</f>
        <v>EEZ</v>
      </c>
      <c r="T4872" s="2" t="str">
        <f>IF(C4872="Total", (VLOOKUP(B4872,Recommended_fish_intake!A$4:D$122,4,FALSE)), "NA")</f>
        <v>NA</v>
      </c>
      <c r="U4872" s="2" t="str">
        <f t="shared" si="410"/>
        <v>NA</v>
      </c>
    </row>
    <row r="4873" spans="1:21" ht="14.25" customHeight="1">
      <c r="A4873" s="2" t="s">
        <v>18</v>
      </c>
      <c r="B4873" s="2">
        <v>2015</v>
      </c>
      <c r="C4873" s="2" t="s">
        <v>58</v>
      </c>
      <c r="D4873" s="3">
        <f t="shared" si="411"/>
        <v>5.9</v>
      </c>
      <c r="E4873" s="3">
        <f t="shared" si="411"/>
        <v>1.1000000000000001</v>
      </c>
      <c r="P4873" s="3">
        <f>E4873*(VLOOKUP(B4873,Price_data!A$1:B$190,2,FALSE))</f>
        <v>0.72449019609999998</v>
      </c>
      <c r="Q4873" s="3">
        <f>G4873*(VLOOKUP(B4873,Price_data!A$1:B$190,2,FALSE))</f>
        <v>0</v>
      </c>
      <c r="R4873" s="3">
        <f>I4873*(VLOOKUP(B4873,Price_data!A$1:B$190,2,FALSE))</f>
        <v>0</v>
      </c>
      <c r="S4873" s="4" t="str">
        <f>(VLOOKUP(B4873,Price_data!A$1:C$190,3,FALSE))</f>
        <v>EEZ</v>
      </c>
      <c r="T4873" s="2" t="str">
        <f>IF(C4873="Total", (VLOOKUP(B4873,Recommended_fish_intake!A$4:D$122,4,FALSE)), "NA")</f>
        <v>NA</v>
      </c>
      <c r="U4873" s="2" t="str">
        <f t="shared" si="410"/>
        <v>NA</v>
      </c>
    </row>
    <row r="4874" spans="1:21" ht="14.25" customHeight="1">
      <c r="A4874" s="2" t="s">
        <v>18</v>
      </c>
      <c r="B4874" s="2">
        <v>2015</v>
      </c>
      <c r="C4874" s="2" t="s">
        <v>19</v>
      </c>
      <c r="D4874" s="3">
        <f t="shared" si="411"/>
        <v>15.5</v>
      </c>
      <c r="E4874" s="3">
        <f t="shared" si="411"/>
        <v>17.600000000000001</v>
      </c>
      <c r="P4874" s="3">
        <f>E4874*(VLOOKUP(B4874,Price_data!A$1:B$190,2,FALSE))</f>
        <v>11.5918431376</v>
      </c>
      <c r="Q4874" s="3">
        <f>G4874*(VLOOKUP(B4874,Price_data!A$1:B$190,2,FALSE))</f>
        <v>0</v>
      </c>
      <c r="R4874" s="3">
        <f>I4874*(VLOOKUP(B4874,Price_data!A$1:B$190,2,FALSE))</f>
        <v>0</v>
      </c>
      <c r="S4874" s="4" t="str">
        <f>(VLOOKUP(B4874,Price_data!A$1:C$190,3,FALSE))</f>
        <v>EEZ</v>
      </c>
      <c r="T4874" s="2" t="str">
        <f>IF(C4874="Total", (VLOOKUP(B4874,Recommended_fish_intake!A$4:D$122,4,FALSE)), "NA")</f>
        <v>NA</v>
      </c>
      <c r="U4874" s="2" t="str">
        <f t="shared" si="410"/>
        <v>NA</v>
      </c>
    </row>
    <row r="4875" spans="1:21" ht="14.25" customHeight="1">
      <c r="A4875" s="2" t="s">
        <v>18</v>
      </c>
      <c r="B4875" s="2">
        <v>2015</v>
      </c>
      <c r="C4875" s="2" t="s">
        <v>20</v>
      </c>
      <c r="D4875" s="3" t="e">
        <f t="shared" si="411"/>
        <v>#N/A</v>
      </c>
      <c r="E4875" s="3" t="e">
        <f t="shared" si="411"/>
        <v>#N/A</v>
      </c>
      <c r="P4875" s="3" t="e">
        <f>E4875*(VLOOKUP(B4875,Price_data!A$1:B$190,2,FALSE))</f>
        <v>#N/A</v>
      </c>
      <c r="Q4875" s="3">
        <f>G4875*(VLOOKUP(B4875,Price_data!A$1:B$190,2,FALSE))</f>
        <v>0</v>
      </c>
      <c r="R4875" s="3">
        <f>I4875*(VLOOKUP(B4875,Price_data!A$1:B$190,2,FALSE))</f>
        <v>0</v>
      </c>
      <c r="S4875" s="4" t="str">
        <f>(VLOOKUP(B4875,Price_data!A$1:C$190,3,FALSE))</f>
        <v>EEZ</v>
      </c>
      <c r="T4875" s="2" t="str">
        <f>IF(C4875="Total", (VLOOKUP(B4875,Recommended_fish_intake!A$4:D$122,4,FALSE)), "NA")</f>
        <v>NA</v>
      </c>
      <c r="U4875" s="2" t="str">
        <f t="shared" si="410"/>
        <v>NA</v>
      </c>
    </row>
    <row r="4876" spans="1:21" ht="14.25" customHeight="1">
      <c r="A4876" s="2" t="s">
        <v>18</v>
      </c>
      <c r="B4876" s="2">
        <v>2015</v>
      </c>
      <c r="C4876" s="2" t="s">
        <v>36</v>
      </c>
      <c r="D4876" s="3" t="e">
        <f t="shared" si="411"/>
        <v>#N/A</v>
      </c>
      <c r="E4876" s="3" t="e">
        <f t="shared" si="411"/>
        <v>#N/A</v>
      </c>
      <c r="P4876" s="3" t="e">
        <f>E4876*(VLOOKUP(B4876,Price_data!A$1:B$190,2,FALSE))</f>
        <v>#N/A</v>
      </c>
      <c r="Q4876" s="3">
        <f>G4876*(VLOOKUP(B4876,Price_data!A$1:B$190,2,FALSE))</f>
        <v>0</v>
      </c>
      <c r="R4876" s="3">
        <f>I4876*(VLOOKUP(B4876,Price_data!A$1:B$190,2,FALSE))</f>
        <v>0</v>
      </c>
      <c r="S4876" s="4" t="str">
        <f>(VLOOKUP(B4876,Price_data!A$1:C$190,3,FALSE))</f>
        <v>EEZ</v>
      </c>
      <c r="T4876" s="2" t="str">
        <f>IF(C4876="Total", (VLOOKUP(B4876,Recommended_fish_intake!A$4:D$122,4,FALSE)), "NA")</f>
        <v>NA</v>
      </c>
      <c r="U4876" s="2" t="str">
        <f t="shared" si="410"/>
        <v>NA</v>
      </c>
    </row>
    <row r="4877" spans="1:21" ht="14.25" customHeight="1">
      <c r="A4877" s="2" t="s">
        <v>18</v>
      </c>
      <c r="B4877" s="2">
        <v>2015</v>
      </c>
      <c r="C4877" s="2" t="s">
        <v>34</v>
      </c>
      <c r="D4877" s="3">
        <f t="shared" si="411"/>
        <v>31.2</v>
      </c>
      <c r="E4877" s="3">
        <f t="shared" si="411"/>
        <v>28.7</v>
      </c>
      <c r="P4877" s="3">
        <f>E4877*(VLOOKUP(B4877,Price_data!A$1:B$190,2,FALSE))</f>
        <v>18.9026078437</v>
      </c>
      <c r="Q4877" s="3">
        <f>G4877*(VLOOKUP(B4877,Price_data!A$1:B$190,2,FALSE))</f>
        <v>0</v>
      </c>
      <c r="R4877" s="3">
        <f>I4877*(VLOOKUP(B4877,Price_data!A$1:B$190,2,FALSE))</f>
        <v>0</v>
      </c>
      <c r="S4877" s="4" t="str">
        <f>(VLOOKUP(B4877,Price_data!A$1:C$190,3,FALSE))</f>
        <v>EEZ</v>
      </c>
      <c r="T4877" s="2" t="str">
        <f>IF(C4877="Total", (VLOOKUP(B4877,Recommended_fish_intake!A$4:D$122,4,FALSE)), "NA")</f>
        <v>NA</v>
      </c>
      <c r="U4877" s="2" t="str">
        <f t="shared" si="410"/>
        <v>NA</v>
      </c>
    </row>
    <row r="4878" spans="1:21" ht="14.25" customHeight="1">
      <c r="A4878" s="2" t="s">
        <v>18</v>
      </c>
      <c r="B4878" s="2">
        <v>2015</v>
      </c>
      <c r="C4878" s="2" t="s">
        <v>35</v>
      </c>
      <c r="D4878" s="3">
        <f t="shared" si="411"/>
        <v>6.2</v>
      </c>
      <c r="E4878" s="3">
        <f t="shared" si="411"/>
        <v>4.0999999999999996</v>
      </c>
      <c r="P4878" s="3">
        <f>E4878*(VLOOKUP(B4878,Price_data!A$1:B$190,2,FALSE))</f>
        <v>2.7003725490999995</v>
      </c>
      <c r="Q4878" s="3">
        <f>G4878*(VLOOKUP(B4878,Price_data!A$1:B$190,2,FALSE))</f>
        <v>0</v>
      </c>
      <c r="R4878" s="3">
        <f>I4878*(VLOOKUP(B4878,Price_data!A$1:B$190,2,FALSE))</f>
        <v>0</v>
      </c>
      <c r="S4878" s="4" t="str">
        <f>(VLOOKUP(B4878,Price_data!A$1:C$190,3,FALSE))</f>
        <v>EEZ</v>
      </c>
      <c r="T4878" s="2" t="str">
        <f>IF(C4878="Total", (VLOOKUP(B4878,Recommended_fish_intake!A$4:D$122,4,FALSE)), "NA")</f>
        <v>NA</v>
      </c>
      <c r="U4878" s="2" t="str">
        <f t="shared" si="410"/>
        <v>NA</v>
      </c>
    </row>
    <row r="4879" spans="1:21" ht="14.25" customHeight="1">
      <c r="A4879" s="2" t="s">
        <v>18</v>
      </c>
      <c r="B4879" s="2">
        <v>2015</v>
      </c>
      <c r="C4879" s="2" t="s">
        <v>52</v>
      </c>
      <c r="D4879" s="3">
        <f t="shared" si="411"/>
        <v>3.3</v>
      </c>
      <c r="E4879" s="3">
        <f t="shared" si="411"/>
        <v>6.1</v>
      </c>
      <c r="P4879" s="3">
        <f>E4879*(VLOOKUP(B4879,Price_data!A$1:B$190,2,FALSE))</f>
        <v>4.0176274510999992</v>
      </c>
      <c r="Q4879" s="3">
        <f>G4879*(VLOOKUP(B4879,Price_data!A$1:B$190,2,FALSE))</f>
        <v>0</v>
      </c>
      <c r="R4879" s="3">
        <f>I4879*(VLOOKUP(B4879,Price_data!A$1:B$190,2,FALSE))</f>
        <v>0</v>
      </c>
      <c r="S4879" s="4" t="str">
        <f>(VLOOKUP(B4879,Price_data!A$1:C$190,3,FALSE))</f>
        <v>EEZ</v>
      </c>
      <c r="T4879" s="2" t="str">
        <f>IF(C4879="Total", (VLOOKUP(B4879,Recommended_fish_intake!A$4:D$122,4,FALSE)), "NA")</f>
        <v>NA</v>
      </c>
      <c r="U4879" s="2" t="str">
        <f t="shared" si="410"/>
        <v>NA</v>
      </c>
    </row>
    <row r="4880" spans="1:21" ht="14.25" customHeight="1">
      <c r="A4880" s="2" t="s">
        <v>18</v>
      </c>
      <c r="B4880" s="2">
        <v>2015</v>
      </c>
      <c r="C4880" s="2" t="s">
        <v>30</v>
      </c>
      <c r="D4880" s="3">
        <f t="shared" si="411"/>
        <v>4.2</v>
      </c>
      <c r="E4880" s="3">
        <f t="shared" si="411"/>
        <v>1.9</v>
      </c>
      <c r="P4880" s="3">
        <f>E4880*(VLOOKUP(B4880,Price_data!A$1:B$190,2,FALSE))</f>
        <v>1.2513921568999999</v>
      </c>
      <c r="Q4880" s="3">
        <f>G4880*(VLOOKUP(B4880,Price_data!A$1:B$190,2,FALSE))</f>
        <v>0</v>
      </c>
      <c r="R4880" s="3">
        <f>I4880*(VLOOKUP(B4880,Price_data!A$1:B$190,2,FALSE))</f>
        <v>0</v>
      </c>
      <c r="S4880" s="4" t="str">
        <f>(VLOOKUP(B4880,Price_data!A$1:C$190,3,FALSE))</f>
        <v>EEZ</v>
      </c>
      <c r="T4880" s="2" t="str">
        <f>IF(C4880="Total", (VLOOKUP(B4880,Recommended_fish_intake!A$4:D$122,4,FALSE)), "NA")</f>
        <v>NA</v>
      </c>
      <c r="U4880" s="2" t="str">
        <f t="shared" si="410"/>
        <v>NA</v>
      </c>
    </row>
    <row r="4881" spans="1:21" ht="14.25" customHeight="1">
      <c r="A4881" s="2" t="s">
        <v>18</v>
      </c>
      <c r="B4881" s="2">
        <v>2015</v>
      </c>
      <c r="C4881" s="2" t="s">
        <v>41</v>
      </c>
      <c r="D4881" s="3">
        <f t="shared" si="411"/>
        <v>79.400000000000006</v>
      </c>
      <c r="E4881" s="3">
        <f t="shared" si="411"/>
        <v>106.9</v>
      </c>
      <c r="P4881" s="3">
        <f>E4881*(VLOOKUP(B4881,Price_data!A$1:B$190,2,FALSE))</f>
        <v>70.407274511899999</v>
      </c>
      <c r="Q4881" s="3">
        <f>G4881*(VLOOKUP(B4881,Price_data!A$1:B$190,2,FALSE))</f>
        <v>0</v>
      </c>
      <c r="R4881" s="3">
        <f>I4881*(VLOOKUP(B4881,Price_data!A$1:B$190,2,FALSE))</f>
        <v>0</v>
      </c>
      <c r="S4881" s="4" t="str">
        <f>(VLOOKUP(B4881,Price_data!A$1:C$190,3,FALSE))</f>
        <v>EEZ</v>
      </c>
      <c r="T4881" s="2" t="str">
        <f>IF(C4881="Total", (VLOOKUP(B4881,Recommended_fish_intake!A$4:D$122,4,FALSE)), "NA")</f>
        <v>NA</v>
      </c>
      <c r="U4881" s="2" t="str">
        <f t="shared" si="410"/>
        <v>NA</v>
      </c>
    </row>
    <row r="4882" spans="1:21" ht="14.25" customHeight="1">
      <c r="A4882" s="2" t="s">
        <v>18</v>
      </c>
      <c r="B4882" s="2">
        <v>2015</v>
      </c>
      <c r="C4882" s="2" t="s">
        <v>42</v>
      </c>
      <c r="D4882" s="3">
        <f t="shared" si="411"/>
        <v>44.802</v>
      </c>
      <c r="E4882" s="3">
        <f t="shared" si="411"/>
        <v>36.552</v>
      </c>
      <c r="P4882" s="3">
        <f>E4882*(VLOOKUP(B4882,Price_data!A$1:B$190,2,FALSE))</f>
        <v>24.074150588951998</v>
      </c>
      <c r="Q4882" s="3">
        <f>G4882*(VLOOKUP(B4882,Price_data!A$1:B$190,2,FALSE))</f>
        <v>0</v>
      </c>
      <c r="R4882" s="3">
        <f>I4882*(VLOOKUP(B4882,Price_data!A$1:B$190,2,FALSE))</f>
        <v>0</v>
      </c>
      <c r="S4882" s="4" t="str">
        <f>(VLOOKUP(B4882,Price_data!A$1:C$190,3,FALSE))</f>
        <v>EEZ</v>
      </c>
      <c r="T4882" s="2" t="str">
        <f>IF(C4882="Total", (VLOOKUP(B4882,Recommended_fish_intake!A$4:D$122,4,FALSE)), "NA")</f>
        <v>NA</v>
      </c>
      <c r="U4882" s="2" t="str">
        <f t="shared" si="410"/>
        <v>NA</v>
      </c>
    </row>
    <row r="4883" spans="1:21" ht="14.25" customHeight="1">
      <c r="A4883" s="2" t="s">
        <v>18</v>
      </c>
      <c r="B4883" s="2">
        <v>2015</v>
      </c>
      <c r="C4883" s="2" t="s">
        <v>28</v>
      </c>
      <c r="D4883" s="3">
        <f t="shared" si="411"/>
        <v>96.084000000000003</v>
      </c>
      <c r="E4883" s="3">
        <f t="shared" si="411"/>
        <v>53.417000000000002</v>
      </c>
      <c r="P4883" s="3">
        <f>E4883*(VLOOKUP(B4883,Price_data!A$1:B$190,2,FALSE))</f>
        <v>35.181902550067001</v>
      </c>
      <c r="Q4883" s="3">
        <f>G4883*(VLOOKUP(B4883,Price_data!A$1:B$190,2,FALSE))</f>
        <v>0</v>
      </c>
      <c r="R4883" s="3">
        <f>I4883*(VLOOKUP(B4883,Price_data!A$1:B$190,2,FALSE))</f>
        <v>0</v>
      </c>
      <c r="S4883" s="4" t="str">
        <f>(VLOOKUP(B4883,Price_data!A$1:C$190,3,FALSE))</f>
        <v>EEZ</v>
      </c>
      <c r="T4883" s="2" t="str">
        <f>IF(C4883="Total", (VLOOKUP(B4883,Recommended_fish_intake!A$4:D$122,4,FALSE)), "NA")</f>
        <v>NA</v>
      </c>
      <c r="U4883" s="2">
        <f t="shared" si="410"/>
        <v>26.903520000000004</v>
      </c>
    </row>
    <row r="4884" spans="1:21" ht="14.25" customHeight="1">
      <c r="A4884" s="2" t="s">
        <v>18</v>
      </c>
      <c r="B4884" s="2">
        <v>2015</v>
      </c>
      <c r="C4884" s="2" t="s">
        <v>37</v>
      </c>
      <c r="D4884" s="3">
        <f>D4869+D4864</f>
        <v>113.762</v>
      </c>
      <c r="E4884" s="3">
        <f>E4869+E4864</f>
        <v>54.595713400000001</v>
      </c>
      <c r="P4884" s="3">
        <f>E4884*(VLOOKUP(B4884,Price_data!A$1:B$190,2,FALSE))</f>
        <v>35.958235552168546</v>
      </c>
      <c r="Q4884" s="3">
        <f>G4884*(VLOOKUP(B4884,Price_data!A$1:B$190,2,FALSE))</f>
        <v>0</v>
      </c>
      <c r="R4884" s="3">
        <f>I4884*(VLOOKUP(B4884,Price_data!A$1:B$190,2,FALSE))</f>
        <v>0</v>
      </c>
      <c r="S4884" s="4" t="str">
        <f>(VLOOKUP(B4884,Price_data!A$1:C$190,3,FALSE))</f>
        <v>EEZ</v>
      </c>
      <c r="T4884" s="2" t="str">
        <f>IF(C4884="Total", (VLOOKUP(B4884,Recommended_fish_intake!A$4:D$122,4,FALSE)), "NA")</f>
        <v>NA</v>
      </c>
      <c r="U4884" s="2">
        <f t="shared" si="410"/>
        <v>55.743380000000002</v>
      </c>
    </row>
    <row r="4885" spans="1:21" ht="14.25" customHeight="1">
      <c r="A4885" s="2" t="s">
        <v>15</v>
      </c>
      <c r="B4885" s="2">
        <v>2015</v>
      </c>
      <c r="C4885" s="2" t="s">
        <v>24</v>
      </c>
      <c r="D4885" s="2">
        <v>10.7</v>
      </c>
      <c r="E4885" s="2">
        <v>11</v>
      </c>
      <c r="F4885" s="2">
        <v>0.3</v>
      </c>
      <c r="G4885" s="2">
        <v>0.6</v>
      </c>
      <c r="H4885" s="2">
        <v>2.6</v>
      </c>
      <c r="I4885" s="2">
        <v>2.2000000000000002</v>
      </c>
      <c r="P4885" s="3">
        <f>E4885*(VLOOKUP(B4885,Price_data!A$1:B$190,2,FALSE))</f>
        <v>7.2449019610000001</v>
      </c>
      <c r="Q4885" s="3">
        <f>G4885*(VLOOKUP(B4885,Price_data!A$1:B$190,2,FALSE))</f>
        <v>0.3951764706</v>
      </c>
      <c r="R4885" s="3">
        <f>I4885*(VLOOKUP(B4885,Price_data!A$1:B$190,2,FALSE))</f>
        <v>1.4489803922</v>
      </c>
      <c r="S4885" s="4" t="str">
        <f>(VLOOKUP(B4885,Price_data!A$1:C$190,3,FALSE))</f>
        <v>EEZ</v>
      </c>
      <c r="T4885" s="2" t="str">
        <f>IF(C4885="Total", (VLOOKUP(B4885,Recommended_fish_intake!A$4:D$122,4,FALSE)), "NA")</f>
        <v>NA</v>
      </c>
      <c r="U4885" s="2" t="str">
        <f t="shared" si="410"/>
        <v>NA</v>
      </c>
    </row>
    <row r="4886" spans="1:21" ht="14.25" customHeight="1">
      <c r="A4886" s="2" t="s">
        <v>15</v>
      </c>
      <c r="B4886" s="2">
        <v>2015</v>
      </c>
      <c r="C4886" s="2" t="s">
        <v>60</v>
      </c>
      <c r="D4886" s="2">
        <v>1.6</v>
      </c>
      <c r="E4886" s="2">
        <v>3.1</v>
      </c>
      <c r="F4886" s="2">
        <v>3.6</v>
      </c>
      <c r="G4886" s="2">
        <v>7.6</v>
      </c>
      <c r="H4886" s="2">
        <v>29.3</v>
      </c>
      <c r="I4886" s="2">
        <v>57.8</v>
      </c>
      <c r="P4886" s="3">
        <f>E4886*(VLOOKUP(B4886,Price_data!A$1:B$190,2,FALSE))</f>
        <v>2.0417450980999998</v>
      </c>
      <c r="Q4886" s="3">
        <f>G4886*(VLOOKUP(B4886,Price_data!A$1:B$190,2,FALSE))</f>
        <v>5.0055686275999998</v>
      </c>
      <c r="R4886" s="3">
        <f>I4886*(VLOOKUP(B4886,Price_data!A$1:B$190,2,FALSE))</f>
        <v>38.068666667799995</v>
      </c>
      <c r="S4886" s="4" t="str">
        <f>(VLOOKUP(B4886,Price_data!A$1:C$190,3,FALSE))</f>
        <v>EEZ</v>
      </c>
      <c r="T4886" s="2" t="str">
        <f>IF(C4886="Total", (VLOOKUP(B4886,Recommended_fish_intake!A$4:D$122,4,FALSE)), "NA")</f>
        <v>NA</v>
      </c>
      <c r="U4886" s="2" t="str">
        <f t="shared" si="410"/>
        <v>NA</v>
      </c>
    </row>
    <row r="4887" spans="1:21" ht="14.25" customHeight="1">
      <c r="A4887" s="2" t="s">
        <v>15</v>
      </c>
      <c r="B4887" s="2">
        <v>2015</v>
      </c>
      <c r="C4887" s="2" t="s">
        <v>29</v>
      </c>
      <c r="D4887" s="2" t="s">
        <v>17</v>
      </c>
      <c r="E4887" s="2" t="s">
        <v>17</v>
      </c>
      <c r="F4887" s="2">
        <v>113.7</v>
      </c>
      <c r="G4887" s="2">
        <v>493.6</v>
      </c>
      <c r="H4887" s="2">
        <v>71.8</v>
      </c>
      <c r="I4887" s="2">
        <v>345.8</v>
      </c>
      <c r="P4887" s="3" t="e">
        <f>E4887*(VLOOKUP(B4887,Price_data!A$1:B$190,2,FALSE))</f>
        <v>#VALUE!</v>
      </c>
      <c r="Q4887" s="3">
        <f>G4887*(VLOOKUP(B4887,Price_data!A$1:B$190,2,FALSE))</f>
        <v>325.0985098136</v>
      </c>
      <c r="R4887" s="3">
        <f>I4887*(VLOOKUP(B4887,Price_data!A$1:B$190,2,FALSE))</f>
        <v>227.75337255580001</v>
      </c>
      <c r="S4887" s="4" t="str">
        <f>(VLOOKUP(B4887,Price_data!A$1:C$190,3,FALSE))</f>
        <v>EEZ</v>
      </c>
      <c r="T4887" s="2" t="str">
        <f>IF(C4887="Total", (VLOOKUP(B4887,Recommended_fish_intake!A$4:D$122,4,FALSE)), "NA")</f>
        <v>NA</v>
      </c>
      <c r="U4887" s="2" t="str">
        <f t="shared" si="410"/>
        <v>NA</v>
      </c>
    </row>
    <row r="4888" spans="1:21" ht="14.25" customHeight="1">
      <c r="A4888" s="2" t="s">
        <v>15</v>
      </c>
      <c r="B4888" s="2">
        <v>2015</v>
      </c>
      <c r="C4888" s="2" t="s">
        <v>93</v>
      </c>
      <c r="D4888" s="2">
        <v>4.2</v>
      </c>
      <c r="E4888" s="2">
        <v>1.6</v>
      </c>
      <c r="F4888" s="2">
        <v>4.5</v>
      </c>
      <c r="G4888" s="2">
        <v>7.6</v>
      </c>
      <c r="H4888" s="2">
        <v>12.9</v>
      </c>
      <c r="I4888" s="2">
        <v>30.6</v>
      </c>
      <c r="P4888" s="3">
        <f>E4888*(VLOOKUP(B4888,Price_data!A$1:B$190,2,FALSE))</f>
        <v>1.0538039215999999</v>
      </c>
      <c r="Q4888" s="3">
        <f>G4888*(VLOOKUP(B4888,Price_data!A$1:B$190,2,FALSE))</f>
        <v>5.0055686275999998</v>
      </c>
      <c r="R4888" s="3">
        <f>I4888*(VLOOKUP(B4888,Price_data!A$1:B$190,2,FALSE))</f>
        <v>20.1540000006</v>
      </c>
      <c r="S4888" s="4" t="str">
        <f>(VLOOKUP(B4888,Price_data!A$1:C$190,3,FALSE))</f>
        <v>EEZ</v>
      </c>
      <c r="T4888" s="2" t="str">
        <f>IF(C4888="Total", (VLOOKUP(B4888,Recommended_fish_intake!A$4:D$122,4,FALSE)), "NA")</f>
        <v>NA</v>
      </c>
      <c r="U4888" s="2" t="str">
        <f t="shared" si="410"/>
        <v>NA</v>
      </c>
    </row>
    <row r="4889" spans="1:21" ht="14.25" customHeight="1">
      <c r="A4889" s="2" t="s">
        <v>15</v>
      </c>
      <c r="B4889" s="2">
        <v>2015</v>
      </c>
      <c r="C4889" s="2" t="s">
        <v>43</v>
      </c>
      <c r="D4889" s="2" t="s">
        <v>17</v>
      </c>
      <c r="E4889" s="2" t="s">
        <v>17</v>
      </c>
      <c r="F4889" s="2">
        <v>5.3</v>
      </c>
      <c r="G4889" s="2">
        <v>19.2</v>
      </c>
      <c r="H4889" s="2">
        <v>119</v>
      </c>
      <c r="I4889" s="2">
        <v>357.4</v>
      </c>
      <c r="P4889" s="3" t="e">
        <f>E4889*(VLOOKUP(B4889,Price_data!A$1:B$190,2,FALSE))</f>
        <v>#VALUE!</v>
      </c>
      <c r="Q4889" s="3">
        <f>G4889*(VLOOKUP(B4889,Price_data!A$1:B$190,2,FALSE))</f>
        <v>12.6456470592</v>
      </c>
      <c r="R4889" s="3">
        <f>I4889*(VLOOKUP(B4889,Price_data!A$1:B$190,2,FALSE))</f>
        <v>235.39345098739997</v>
      </c>
      <c r="S4889" s="4" t="str">
        <f>(VLOOKUP(B4889,Price_data!A$1:C$190,3,FALSE))</f>
        <v>EEZ</v>
      </c>
      <c r="T4889" s="2" t="str">
        <f>IF(C4889="Total", (VLOOKUP(B4889,Recommended_fish_intake!A$4:D$122,4,FALSE)), "NA")</f>
        <v>NA</v>
      </c>
      <c r="U4889" s="2" t="str">
        <f t="shared" si="410"/>
        <v>NA</v>
      </c>
    </row>
    <row r="4890" spans="1:21" ht="14.25" customHeight="1">
      <c r="A4890" s="2" t="s">
        <v>15</v>
      </c>
      <c r="B4890" s="2">
        <v>2015</v>
      </c>
      <c r="C4890" s="2" t="s">
        <v>25</v>
      </c>
      <c r="D4890" s="2">
        <v>3.5</v>
      </c>
      <c r="E4890" s="2">
        <v>3.6</v>
      </c>
      <c r="F4890" s="4">
        <v>0.4</v>
      </c>
      <c r="G4890" s="4">
        <v>0.6</v>
      </c>
      <c r="H4890" s="4">
        <v>4.4000000000000004</v>
      </c>
      <c r="I4890" s="4">
        <v>12.4</v>
      </c>
      <c r="P4890" s="3">
        <f>E4890*(VLOOKUP(B4890,Price_data!A$1:B$190,2,FALSE))</f>
        <v>2.3710588235999999</v>
      </c>
      <c r="Q4890" s="3">
        <f>G4890*(VLOOKUP(B4890,Price_data!A$1:B$190,2,FALSE))</f>
        <v>0.3951764706</v>
      </c>
      <c r="R4890" s="3">
        <f>I4890*(VLOOKUP(B4890,Price_data!A$1:B$190,2,FALSE))</f>
        <v>8.1669803923999993</v>
      </c>
      <c r="S4890" s="4" t="str">
        <f>(VLOOKUP(B4890,Price_data!A$1:C$190,3,FALSE))</f>
        <v>EEZ</v>
      </c>
      <c r="T4890" s="2" t="str">
        <f>IF(C4890="Total", (VLOOKUP(B4890,Recommended_fish_intake!A$4:D$122,4,FALSE)), "NA")</f>
        <v>NA</v>
      </c>
      <c r="U4890" s="2" t="str">
        <f t="shared" si="410"/>
        <v>NA</v>
      </c>
    </row>
    <row r="4891" spans="1:21" ht="14.25" customHeight="1">
      <c r="A4891" s="2" t="s">
        <v>15</v>
      </c>
      <c r="B4891" s="2">
        <v>2015</v>
      </c>
      <c r="C4891" s="2" t="s">
        <v>16</v>
      </c>
      <c r="D4891" s="2">
        <v>416</v>
      </c>
      <c r="E4891" s="2">
        <v>553</v>
      </c>
      <c r="F4891" s="2">
        <v>442</v>
      </c>
      <c r="G4891" s="2">
        <v>1336.7</v>
      </c>
      <c r="H4891" s="2">
        <v>680.4</v>
      </c>
      <c r="I4891" s="2">
        <v>2671.6</v>
      </c>
      <c r="P4891" s="3">
        <f>E4891*(VLOOKUP(B4891,Price_data!A$1:B$190,2,FALSE))</f>
        <v>364.220980403</v>
      </c>
      <c r="Q4891" s="3">
        <f>G4891*(VLOOKUP(B4891,Price_data!A$1:B$190,2,FALSE))</f>
        <v>880.38731375170005</v>
      </c>
      <c r="R4891" s="3">
        <f>I4891*(VLOOKUP(B4891,Price_data!A$1:B$190,2,FALSE))</f>
        <v>1759.5890980915999</v>
      </c>
      <c r="S4891" s="4" t="str">
        <f>(VLOOKUP(B4891,Price_data!A$1:C$190,3,FALSE))</f>
        <v>EEZ</v>
      </c>
      <c r="T4891" s="2">
        <f>IF(C4891="Total", (VLOOKUP(B4891,Recommended_fish_intake!A$4:D$122,4,FALSE)), "NA")</f>
        <v>866.43411048558005</v>
      </c>
      <c r="U4891" s="2" t="str">
        <f t="shared" si="410"/>
        <v>NA</v>
      </c>
    </row>
    <row r="4892" spans="1:21" ht="14.25" customHeight="1">
      <c r="A4892" s="2" t="s">
        <v>90</v>
      </c>
      <c r="B4892" s="2">
        <v>2015</v>
      </c>
      <c r="C4892" s="2" t="s">
        <v>16</v>
      </c>
      <c r="D4892" s="2">
        <v>101.3</v>
      </c>
      <c r="E4892" s="2">
        <v>161.4</v>
      </c>
      <c r="P4892" s="3">
        <f>E4892*(VLOOKUP(B4892,Price_data!A$1:B$190,2,FALSE))</f>
        <v>106.3024705914</v>
      </c>
      <c r="Q4892" s="3">
        <f>G4892*(VLOOKUP(B4892,Price_data!A$1:B$190,2,FALSE))</f>
        <v>0</v>
      </c>
      <c r="R4892" s="3">
        <f>I4892*(VLOOKUP(B4892,Price_data!A$1:B$190,2,FALSE))</f>
        <v>0</v>
      </c>
      <c r="S4892" s="4" t="str">
        <f>(VLOOKUP(B4892,Price_data!A$1:C$190,3,FALSE))</f>
        <v>EEZ</v>
      </c>
      <c r="T4892" s="2">
        <f>IF(C4892="Total", (VLOOKUP(B4892,Recommended_fish_intake!A$4:D$122,4,FALSE)), "NA")</f>
        <v>866.43411048558005</v>
      </c>
      <c r="U4892" s="2" t="str">
        <f t="shared" si="410"/>
        <v>NA</v>
      </c>
    </row>
    <row r="4893" spans="1:21" ht="14.25" customHeight="1">
      <c r="A4893" s="2" t="s">
        <v>91</v>
      </c>
      <c r="B4893" s="2">
        <v>2015</v>
      </c>
      <c r="C4893" s="2" t="s">
        <v>16</v>
      </c>
      <c r="D4893" s="2">
        <v>9.43</v>
      </c>
      <c r="E4893" s="2">
        <v>13.5</v>
      </c>
      <c r="P4893" s="3">
        <f>E4893*(VLOOKUP(B4893,Price_data!A$1:B$190,2,FALSE))</f>
        <v>8.8914705884999989</v>
      </c>
      <c r="Q4893" s="3">
        <f>G4893*(VLOOKUP(B4893,Price_data!A$1:B$190,2,FALSE))</f>
        <v>0</v>
      </c>
      <c r="R4893" s="3">
        <f>I4893*(VLOOKUP(B4893,Price_data!A$1:B$190,2,FALSE))</f>
        <v>0</v>
      </c>
      <c r="S4893" s="4" t="str">
        <f>(VLOOKUP(B4893,Price_data!A$1:C$190,3,FALSE))</f>
        <v>EEZ</v>
      </c>
      <c r="T4893" s="2">
        <f>IF(C4893="Total", (VLOOKUP(B4893,Recommended_fish_intake!A$4:D$122,4,FALSE)), "NA")</f>
        <v>866.43411048558005</v>
      </c>
      <c r="U4893" s="2" t="str">
        <f t="shared" si="410"/>
        <v>NA</v>
      </c>
    </row>
    <row r="4894" spans="1:21" ht="14.25" customHeight="1">
      <c r="A4894" s="2" t="s">
        <v>39</v>
      </c>
      <c r="B4894" s="2">
        <v>2015</v>
      </c>
      <c r="C4894" s="2" t="s">
        <v>16</v>
      </c>
      <c r="D4894" s="2">
        <v>277.23</v>
      </c>
      <c r="E4894" s="2">
        <v>342.30767329999998</v>
      </c>
      <c r="P4894" s="3">
        <f>E4894*(VLOOKUP(B4894,Price_data!A$1:B$190,2,FALSE))</f>
        <v>225.45323032331973</v>
      </c>
      <c r="Q4894" s="3">
        <f>G4894*(VLOOKUP(B4894,Price_data!A$1:B$190,2,FALSE))</f>
        <v>0</v>
      </c>
      <c r="R4894" s="3">
        <f>I4894*(VLOOKUP(B4894,Price_data!A$1:B$190,2,FALSE))</f>
        <v>0</v>
      </c>
      <c r="S4894" s="4" t="str">
        <f>(VLOOKUP(B4894,Price_data!A$1:C$190,3,FALSE))</f>
        <v>EEZ</v>
      </c>
      <c r="T4894" s="2">
        <f>IF(C4894="Total", (VLOOKUP(B4894,Recommended_fish_intake!A$4:D$122,4,FALSE)), "NA")</f>
        <v>866.43411048558005</v>
      </c>
      <c r="U4894" s="2" t="str">
        <f t="shared" si="410"/>
        <v>NA</v>
      </c>
    </row>
    <row r="4895" spans="1:21" ht="14.25" customHeight="1">
      <c r="A4895" s="2" t="s">
        <v>40</v>
      </c>
      <c r="B4895" s="2">
        <v>2015</v>
      </c>
      <c r="C4895" s="2" t="s">
        <v>16</v>
      </c>
      <c r="D4895" s="2">
        <v>18.77</v>
      </c>
      <c r="E4895" s="2">
        <v>25.76088502</v>
      </c>
      <c r="P4895" s="3">
        <f>E4895*(VLOOKUP(B4895,Price_data!A$1:B$190,2,FALSE))</f>
        <v>16.966826036226685</v>
      </c>
      <c r="Q4895" s="3">
        <f>G4895*(VLOOKUP(B4895,Price_data!A$1:B$190,2,FALSE))</f>
        <v>0</v>
      </c>
      <c r="R4895" s="3">
        <f>I4895*(VLOOKUP(B4895,Price_data!A$1:B$190,2,FALSE))</f>
        <v>0</v>
      </c>
      <c r="S4895" s="4" t="str">
        <f>(VLOOKUP(B4895,Price_data!A$1:C$190,3,FALSE))</f>
        <v>EEZ</v>
      </c>
      <c r="T4895" s="2">
        <f>IF(C4895="Total", (VLOOKUP(B4895,Recommended_fish_intake!A$4:D$122,4,FALSE)), "NA")</f>
        <v>866.43411048558005</v>
      </c>
      <c r="U4895" s="2" t="str">
        <f t="shared" si="410"/>
        <v>NA</v>
      </c>
    </row>
    <row r="4896" spans="1:21" ht="14.25" customHeight="1">
      <c r="A4896" s="2" t="s">
        <v>18</v>
      </c>
      <c r="B4896" s="2">
        <v>2015</v>
      </c>
      <c r="C4896" s="2" t="s">
        <v>16</v>
      </c>
      <c r="D4896" s="3">
        <f>D2778+D2853</f>
        <v>2.0830000000000002</v>
      </c>
      <c r="E4896" s="3">
        <f>E2778+E2853</f>
        <v>2.1440000000000001</v>
      </c>
      <c r="P4896" s="3">
        <f>E4896*(VLOOKUP(B4896,Price_data!A$1:B$190,2,FALSE))</f>
        <v>1.4120972549440001</v>
      </c>
      <c r="Q4896" s="3">
        <f>G4896*(VLOOKUP(B4896,Price_data!A$1:B$190,2,FALSE))</f>
        <v>0</v>
      </c>
      <c r="R4896" s="3">
        <f>I4896*(VLOOKUP(B4896,Price_data!A$1:B$190,2,FALSE))</f>
        <v>0</v>
      </c>
      <c r="S4896" s="4" t="str">
        <f>(VLOOKUP(B4896,Price_data!A$1:C$190,3,FALSE))</f>
        <v>EEZ</v>
      </c>
      <c r="T4896" s="2">
        <f>IF(C4896="Total", (VLOOKUP(B4896,Recommended_fish_intake!A$4:D$122,4,FALSE)), "NA")</f>
        <v>866.43411048558005</v>
      </c>
      <c r="U4896" s="2" t="str">
        <f t="shared" si="410"/>
        <v>NA</v>
      </c>
    </row>
    <row r="4897" spans="1:21" ht="14.25" customHeight="1">
      <c r="A4897" s="2" t="s">
        <v>15</v>
      </c>
      <c r="B4897" s="2">
        <v>2016</v>
      </c>
      <c r="C4897" s="2" t="s">
        <v>22</v>
      </c>
      <c r="D4897" s="2">
        <v>20.7</v>
      </c>
      <c r="E4897" s="2">
        <v>41.7</v>
      </c>
      <c r="F4897" s="2">
        <v>17.2</v>
      </c>
      <c r="G4897" s="2">
        <v>58.9</v>
      </c>
      <c r="H4897" s="2">
        <v>120.5</v>
      </c>
      <c r="I4897" s="2">
        <v>491.1</v>
      </c>
      <c r="P4897" s="3">
        <f>E4897*(VLOOKUP(B4897,Price_data!A$1:B$190,2,FALSE))</f>
        <v>26.99629950912</v>
      </c>
      <c r="Q4897" s="3">
        <f>G4897*(VLOOKUP(B4897,Price_data!A$1:B$190,2,FALSE))</f>
        <v>38.13146381504</v>
      </c>
      <c r="R4897" s="3">
        <f>I4897*(VLOOKUP(B4897,Price_data!A$1:B$190,2,FALSE))</f>
        <v>317.93483666496002</v>
      </c>
      <c r="S4897" s="4" t="str">
        <f>(VLOOKUP(B4897,Price_data!A$1:C$190,3,FALSE))</f>
        <v>EEZ</v>
      </c>
      <c r="T4897" s="2" t="str">
        <f>IF(C4897="Total", (VLOOKUP(B4897,Recommended_fish_intake!A$4:D$122,4,FALSE)), "NA")</f>
        <v>NA</v>
      </c>
      <c r="U4897" s="2" t="str">
        <f t="shared" si="410"/>
        <v>NA</v>
      </c>
    </row>
    <row r="4898" spans="1:21" ht="14.25" customHeight="1">
      <c r="A4898" s="2" t="s">
        <v>15</v>
      </c>
      <c r="B4898" s="2">
        <v>2016</v>
      </c>
      <c r="C4898" s="2" t="s">
        <v>23</v>
      </c>
      <c r="D4898" s="2">
        <v>33.1</v>
      </c>
      <c r="E4898" s="2">
        <v>44</v>
      </c>
      <c r="F4898" s="2">
        <v>1.2</v>
      </c>
      <c r="G4898" s="2">
        <v>3.7</v>
      </c>
      <c r="H4898" s="2">
        <v>44.9</v>
      </c>
      <c r="I4898" s="2">
        <v>113.7</v>
      </c>
      <c r="P4898" s="3">
        <f>E4898*(VLOOKUP(B4898,Price_data!A$1:B$190,2,FALSE))</f>
        <v>28.485304038399999</v>
      </c>
      <c r="Q4898" s="3">
        <f>G4898*(VLOOKUP(B4898,Price_data!A$1:B$190,2,FALSE))</f>
        <v>2.3953551123199999</v>
      </c>
      <c r="R4898" s="3">
        <f>I4898*(VLOOKUP(B4898,Price_data!A$1:B$190,2,FALSE))</f>
        <v>73.608615208320003</v>
      </c>
      <c r="S4898" s="4" t="str">
        <f>(VLOOKUP(B4898,Price_data!A$1:C$190,3,FALSE))</f>
        <v>EEZ</v>
      </c>
      <c r="T4898" s="2" t="str">
        <f>IF(C4898="Total", (VLOOKUP(B4898,Recommended_fish_intake!A$4:D$122,4,FALSE)), "NA")</f>
        <v>NA</v>
      </c>
      <c r="U4898" s="2" t="str">
        <f t="shared" si="410"/>
        <v>NA</v>
      </c>
    </row>
    <row r="4899" spans="1:21" ht="14.25" customHeight="1">
      <c r="A4899" s="2" t="s">
        <v>15</v>
      </c>
      <c r="B4899" s="2">
        <v>2016</v>
      </c>
      <c r="C4899" s="2" t="s">
        <v>53</v>
      </c>
      <c r="D4899" s="2">
        <v>11.4</v>
      </c>
      <c r="E4899" s="2">
        <v>26.9</v>
      </c>
      <c r="F4899" s="2">
        <v>7.6</v>
      </c>
      <c r="G4899" s="2">
        <v>25.1</v>
      </c>
      <c r="H4899" s="2">
        <v>3.5</v>
      </c>
      <c r="I4899" s="2">
        <v>10.4</v>
      </c>
      <c r="P4899" s="3">
        <f>E4899*(VLOOKUP(B4899,Price_data!A$1:B$190,2,FALSE))</f>
        <v>17.414879059839997</v>
      </c>
      <c r="Q4899" s="3">
        <f>G4899*(VLOOKUP(B4899,Price_data!A$1:B$190,2,FALSE))</f>
        <v>16.249571167359999</v>
      </c>
      <c r="R4899" s="3">
        <f>I4899*(VLOOKUP(B4899,Price_data!A$1:B$190,2,FALSE))</f>
        <v>6.7328900454400005</v>
      </c>
      <c r="S4899" s="4" t="str">
        <f>(VLOOKUP(B4899,Price_data!A$1:C$190,3,FALSE))</f>
        <v>EEZ</v>
      </c>
      <c r="T4899" s="2" t="str">
        <f>IF(C4899="Total", (VLOOKUP(B4899,Recommended_fish_intake!A$4:D$122,4,FALSE)), "NA")</f>
        <v>NA</v>
      </c>
      <c r="U4899" s="2" t="str">
        <f t="shared" si="410"/>
        <v>NA</v>
      </c>
    </row>
    <row r="4900" spans="1:21" ht="14.25" customHeight="1">
      <c r="A4900" s="2" t="s">
        <v>15</v>
      </c>
      <c r="B4900" s="2">
        <v>2016</v>
      </c>
      <c r="C4900" s="2" t="s">
        <v>58</v>
      </c>
      <c r="D4900" s="2">
        <v>16.399999999999999</v>
      </c>
      <c r="E4900" s="2">
        <v>46.8</v>
      </c>
      <c r="F4900" s="2">
        <v>4.2</v>
      </c>
      <c r="G4900" s="2">
        <v>24.4</v>
      </c>
      <c r="H4900" s="2">
        <v>1.7</v>
      </c>
      <c r="I4900" s="2">
        <v>5.6</v>
      </c>
      <c r="P4900" s="3">
        <f>E4900*(VLOOKUP(B4900,Price_data!A$1:B$190,2,FALSE))</f>
        <v>30.298005204479999</v>
      </c>
      <c r="Q4900" s="3">
        <f>G4900*(VLOOKUP(B4900,Price_data!A$1:B$190,2,FALSE))</f>
        <v>15.796395875839998</v>
      </c>
      <c r="R4900" s="3">
        <f>I4900*(VLOOKUP(B4900,Price_data!A$1:B$190,2,FALSE))</f>
        <v>3.6254023321599997</v>
      </c>
      <c r="S4900" s="4" t="str">
        <f>(VLOOKUP(B4900,Price_data!A$1:C$190,3,FALSE))</f>
        <v>EEZ</v>
      </c>
      <c r="T4900" s="2" t="str">
        <f>IF(C4900="Total", (VLOOKUP(B4900,Recommended_fish_intake!A$4:D$122,4,FALSE)), "NA")</f>
        <v>NA</v>
      </c>
      <c r="U4900" s="2" t="str">
        <f t="shared" si="410"/>
        <v>NA</v>
      </c>
    </row>
    <row r="4901" spans="1:21" ht="14.25" customHeight="1">
      <c r="A4901" s="2" t="s">
        <v>15</v>
      </c>
      <c r="B4901" s="2">
        <v>2016</v>
      </c>
      <c r="C4901" s="2" t="s">
        <v>19</v>
      </c>
      <c r="D4901" s="2">
        <v>40.5</v>
      </c>
      <c r="E4901" s="2">
        <v>25.3</v>
      </c>
      <c r="F4901" s="2">
        <v>44.1</v>
      </c>
      <c r="G4901" s="2">
        <v>38.4</v>
      </c>
      <c r="H4901" s="2">
        <v>10.199999999999999</v>
      </c>
      <c r="I4901" s="2">
        <v>15.4</v>
      </c>
      <c r="P4901" s="3">
        <f>E4901*(VLOOKUP(B4901,Price_data!A$1:B$190,2,FALSE))</f>
        <v>16.379049822079999</v>
      </c>
      <c r="Q4901" s="3">
        <f>G4901*(VLOOKUP(B4901,Price_data!A$1:B$190,2,FALSE))</f>
        <v>24.859901706239999</v>
      </c>
      <c r="R4901" s="3">
        <f>I4901*(VLOOKUP(B4901,Price_data!A$1:B$190,2,FALSE))</f>
        <v>9.9698564134400005</v>
      </c>
      <c r="S4901" s="4" t="str">
        <f>(VLOOKUP(B4901,Price_data!A$1:C$190,3,FALSE))</f>
        <v>EEZ</v>
      </c>
      <c r="T4901" s="2" t="str">
        <f>IF(C4901="Total", (VLOOKUP(B4901,Recommended_fish_intake!A$4:D$122,4,FALSE)), "NA")</f>
        <v>NA</v>
      </c>
      <c r="U4901" s="2" t="str">
        <f t="shared" si="410"/>
        <v>NA</v>
      </c>
    </row>
    <row r="4902" spans="1:21" ht="14.25" customHeight="1">
      <c r="A4902" s="2" t="s">
        <v>15</v>
      </c>
      <c r="B4902" s="2">
        <v>2016</v>
      </c>
      <c r="C4902" s="2" t="s">
        <v>20</v>
      </c>
      <c r="D4902" s="2">
        <v>103.9</v>
      </c>
      <c r="E4902" s="2">
        <v>88.8</v>
      </c>
      <c r="F4902" s="2">
        <v>83.7</v>
      </c>
      <c r="G4902" s="2">
        <v>81</v>
      </c>
      <c r="H4902" s="2">
        <v>19</v>
      </c>
      <c r="I4902" s="2">
        <v>42.9</v>
      </c>
      <c r="P4902" s="3">
        <f>E4902*(VLOOKUP(B4902,Price_data!A$1:B$190,2,FALSE))</f>
        <v>57.488522695679997</v>
      </c>
      <c r="Q4902" s="3">
        <f>G4902*(VLOOKUP(B4902,Price_data!A$1:B$190,2,FALSE))</f>
        <v>52.438855161599996</v>
      </c>
      <c r="R4902" s="3">
        <f>I4902*(VLOOKUP(B4902,Price_data!A$1:B$190,2,FALSE))</f>
        <v>27.773171437439998</v>
      </c>
      <c r="S4902" s="4" t="str">
        <f>(VLOOKUP(B4902,Price_data!A$1:C$190,3,FALSE))</f>
        <v>EEZ</v>
      </c>
      <c r="T4902" s="2" t="str">
        <f>IF(C4902="Total", (VLOOKUP(B4902,Recommended_fish_intake!A$4:D$122,4,FALSE)), "NA")</f>
        <v>NA</v>
      </c>
      <c r="U4902" s="2" t="str">
        <f t="shared" si="410"/>
        <v>NA</v>
      </c>
    </row>
    <row r="4903" spans="1:21" ht="14.25" customHeight="1">
      <c r="A4903" s="2" t="s">
        <v>15</v>
      </c>
      <c r="B4903" s="2">
        <v>2016</v>
      </c>
      <c r="C4903" s="2" t="s">
        <v>36</v>
      </c>
      <c r="D4903" s="2">
        <v>32.4</v>
      </c>
      <c r="E4903" s="2">
        <v>47</v>
      </c>
      <c r="F4903" s="2">
        <v>16.7</v>
      </c>
      <c r="G4903" s="2">
        <v>65.900000000000006</v>
      </c>
      <c r="H4903" s="2">
        <v>2.8</v>
      </c>
      <c r="I4903" s="2">
        <v>19.899999999999999</v>
      </c>
      <c r="P4903" s="3">
        <f>E4903*(VLOOKUP(B4903,Price_data!A$1:B$190,2,FALSE))</f>
        <v>30.427483859199999</v>
      </c>
      <c r="Q4903" s="3">
        <f>G4903*(VLOOKUP(B4903,Price_data!A$1:B$190,2,FALSE))</f>
        <v>42.663216730240002</v>
      </c>
      <c r="R4903" s="3">
        <f>I4903*(VLOOKUP(B4903,Price_data!A$1:B$190,2,FALSE))</f>
        <v>12.883126144639999</v>
      </c>
      <c r="S4903" s="4" t="str">
        <f>(VLOOKUP(B4903,Price_data!A$1:C$190,3,FALSE))</f>
        <v>EEZ</v>
      </c>
      <c r="T4903" s="2" t="str">
        <f>IF(C4903="Total", (VLOOKUP(B4903,Recommended_fish_intake!A$4:D$122,4,FALSE)), "NA")</f>
        <v>NA</v>
      </c>
      <c r="U4903" s="2" t="str">
        <f t="shared" si="410"/>
        <v>NA</v>
      </c>
    </row>
    <row r="4904" spans="1:21" ht="14.25" customHeight="1">
      <c r="A4904" s="2" t="s">
        <v>15</v>
      </c>
      <c r="B4904" s="2">
        <v>2016</v>
      </c>
      <c r="C4904" s="2" t="s">
        <v>34</v>
      </c>
      <c r="D4904" s="2">
        <v>3.3</v>
      </c>
      <c r="E4904" s="2">
        <v>39.6</v>
      </c>
      <c r="F4904" s="2">
        <v>3.9</v>
      </c>
      <c r="G4904" s="2">
        <v>47.3</v>
      </c>
      <c r="H4904" s="2">
        <v>2.7</v>
      </c>
      <c r="I4904" s="2">
        <v>37.6</v>
      </c>
      <c r="P4904" s="3">
        <f>E4904*(VLOOKUP(B4904,Price_data!A$1:B$190,2,FALSE))</f>
        <v>25.636773634560001</v>
      </c>
      <c r="Q4904" s="3">
        <f>G4904*(VLOOKUP(B4904,Price_data!A$1:B$190,2,FALSE))</f>
        <v>30.621701841279997</v>
      </c>
      <c r="R4904" s="3">
        <f>I4904*(VLOOKUP(B4904,Price_data!A$1:B$190,2,FALSE))</f>
        <v>24.34198708736</v>
      </c>
      <c r="S4904" s="4" t="str">
        <f>(VLOOKUP(B4904,Price_data!A$1:C$190,3,FALSE))</f>
        <v>EEZ</v>
      </c>
      <c r="T4904" s="2" t="str">
        <f>IF(C4904="Total", (VLOOKUP(B4904,Recommended_fish_intake!A$4:D$122,4,FALSE)), "NA")</f>
        <v>NA</v>
      </c>
      <c r="U4904" s="2" t="str">
        <f t="shared" si="410"/>
        <v>NA</v>
      </c>
    </row>
    <row r="4905" spans="1:21" ht="14.25" customHeight="1">
      <c r="A4905" s="2" t="s">
        <v>15</v>
      </c>
      <c r="B4905" s="2">
        <v>2016</v>
      </c>
      <c r="C4905" s="2" t="s">
        <v>35</v>
      </c>
      <c r="D4905" s="2">
        <v>30.7</v>
      </c>
      <c r="E4905" s="2">
        <v>100.5</v>
      </c>
      <c r="F4905" s="2">
        <v>13.9</v>
      </c>
      <c r="G4905" s="2">
        <v>113.4</v>
      </c>
      <c r="H4905" s="2">
        <v>3</v>
      </c>
      <c r="I4905" s="2">
        <v>10.3</v>
      </c>
      <c r="P4905" s="3">
        <f>E4905*(VLOOKUP(B4905,Price_data!A$1:B$190,2,FALSE))</f>
        <v>65.063023996799998</v>
      </c>
      <c r="Q4905" s="3">
        <f>G4905*(VLOOKUP(B4905,Price_data!A$1:B$190,2,FALSE))</f>
        <v>73.414397226239998</v>
      </c>
      <c r="R4905" s="3">
        <f>I4905*(VLOOKUP(B4905,Price_data!A$1:B$190,2,FALSE))</f>
        <v>6.6681507180800006</v>
      </c>
      <c r="S4905" s="4" t="str">
        <f>(VLOOKUP(B4905,Price_data!A$1:C$190,3,FALSE))</f>
        <v>EEZ</v>
      </c>
      <c r="T4905" s="2" t="str">
        <f>IF(C4905="Total", (VLOOKUP(B4905,Recommended_fish_intake!A$4:D$122,4,FALSE)), "NA")</f>
        <v>NA</v>
      </c>
      <c r="U4905" s="2" t="str">
        <f t="shared" si="410"/>
        <v>NA</v>
      </c>
    </row>
    <row r="4906" spans="1:21" ht="14.25" customHeight="1">
      <c r="A4906" s="2" t="s">
        <v>15</v>
      </c>
      <c r="B4906" s="2">
        <v>2016</v>
      </c>
      <c r="C4906" s="2" t="s">
        <v>52</v>
      </c>
      <c r="D4906" s="2">
        <v>38.5</v>
      </c>
      <c r="E4906" s="2">
        <v>74.099999999999994</v>
      </c>
      <c r="F4906" s="2">
        <v>12.9</v>
      </c>
      <c r="G4906" s="2">
        <v>127.7</v>
      </c>
      <c r="H4906" s="2">
        <v>3.7</v>
      </c>
      <c r="I4906" s="2">
        <v>41.4</v>
      </c>
      <c r="P4906" s="3">
        <f>E4906*(VLOOKUP(B4906,Price_data!A$1:B$190,2,FALSE))</f>
        <v>47.971841573759995</v>
      </c>
      <c r="Q4906" s="3">
        <f>G4906*(VLOOKUP(B4906,Price_data!A$1:B$190,2,FALSE))</f>
        <v>82.672121038719993</v>
      </c>
      <c r="R4906" s="3">
        <f>I4906*(VLOOKUP(B4906,Price_data!A$1:B$190,2,FALSE))</f>
        <v>26.802081527039999</v>
      </c>
      <c r="S4906" s="4" t="str">
        <f>(VLOOKUP(B4906,Price_data!A$1:C$190,3,FALSE))</f>
        <v>EEZ</v>
      </c>
      <c r="T4906" s="2" t="str">
        <f>IF(C4906="Total", (VLOOKUP(B4906,Recommended_fish_intake!A$4:D$122,4,FALSE)), "NA")</f>
        <v>NA</v>
      </c>
      <c r="U4906" s="2" t="str">
        <f t="shared" si="410"/>
        <v>NA</v>
      </c>
    </row>
    <row r="4907" spans="1:21" ht="14.25" customHeight="1">
      <c r="A4907" s="2" t="s">
        <v>15</v>
      </c>
      <c r="B4907" s="2">
        <v>2016</v>
      </c>
      <c r="C4907" s="2" t="s">
        <v>30</v>
      </c>
      <c r="D4907" s="2">
        <v>0.8</v>
      </c>
      <c r="E4907" s="2">
        <v>3</v>
      </c>
      <c r="F4907" s="2">
        <v>12.6</v>
      </c>
      <c r="G4907" s="2">
        <v>86.5</v>
      </c>
      <c r="H4907" s="2">
        <v>81.8</v>
      </c>
      <c r="I4907" s="2">
        <v>644.5</v>
      </c>
      <c r="P4907" s="3">
        <f>E4907*(VLOOKUP(B4907,Price_data!A$1:B$190,2,FALSE))</f>
        <v>1.9421798207999998</v>
      </c>
      <c r="Q4907" s="3">
        <f>G4907*(VLOOKUP(B4907,Price_data!A$1:B$190,2,FALSE))</f>
        <v>55.999518166400001</v>
      </c>
      <c r="R4907" s="3">
        <f>I4907*(VLOOKUP(B4907,Price_data!A$1:B$190,2,FALSE))</f>
        <v>417.24496483519999</v>
      </c>
      <c r="S4907" s="4" t="str">
        <f>(VLOOKUP(B4907,Price_data!A$1:C$190,3,FALSE))</f>
        <v>EEZ</v>
      </c>
      <c r="T4907" s="2" t="str">
        <f>IF(C4907="Total", (VLOOKUP(B4907,Recommended_fish_intake!A$4:D$122,4,FALSE)), "NA")</f>
        <v>NA</v>
      </c>
      <c r="U4907" s="2" t="str">
        <f t="shared" si="410"/>
        <v>NA</v>
      </c>
    </row>
    <row r="4908" spans="1:21" ht="14.25" customHeight="1">
      <c r="A4908" s="2" t="s">
        <v>15</v>
      </c>
      <c r="B4908" s="2">
        <v>2016</v>
      </c>
      <c r="C4908" s="2" t="s">
        <v>41</v>
      </c>
      <c r="D4908" s="2">
        <v>132.19999999999999</v>
      </c>
      <c r="E4908" s="2">
        <v>254.9</v>
      </c>
      <c r="P4908" s="3">
        <f>E4908*(VLOOKUP(B4908,Price_data!A$1:B$190,2,FALSE))</f>
        <v>165.02054544064001</v>
      </c>
      <c r="Q4908" s="3">
        <f>G4908*(VLOOKUP(B4908,Price_data!A$1:B$190,2,FALSE))</f>
        <v>0</v>
      </c>
      <c r="R4908" s="3">
        <f>I4908*(VLOOKUP(B4908,Price_data!A$1:B$190,2,FALSE))</f>
        <v>0</v>
      </c>
      <c r="S4908" s="4" t="str">
        <f>(VLOOKUP(B4908,Price_data!A$1:C$190,3,FALSE))</f>
        <v>EEZ</v>
      </c>
      <c r="T4908" s="2" t="str">
        <f>IF(C4908="Total", (VLOOKUP(B4908,Recommended_fish_intake!A$4:D$122,4,FALSE)), "NA")</f>
        <v>NA</v>
      </c>
      <c r="U4908" s="2" t="str">
        <f t="shared" si="410"/>
        <v>NA</v>
      </c>
    </row>
    <row r="4909" spans="1:21" ht="14.25" customHeight="1">
      <c r="A4909" s="2" t="s">
        <v>15</v>
      </c>
      <c r="B4909" s="2">
        <v>2016</v>
      </c>
      <c r="C4909" s="2" t="s">
        <v>42</v>
      </c>
      <c r="D4909" s="2">
        <v>170.4</v>
      </c>
      <c r="E4909" s="2">
        <v>120.7</v>
      </c>
      <c r="P4909" s="3">
        <f>E4909*(VLOOKUP(B4909,Price_data!A$1:B$190,2,FALSE))</f>
        <v>78.140368123520005</v>
      </c>
      <c r="Q4909" s="3">
        <f>G4909*(VLOOKUP(B4909,Price_data!A$1:B$190,2,FALSE))</f>
        <v>0</v>
      </c>
      <c r="R4909" s="3">
        <f>I4909*(VLOOKUP(B4909,Price_data!A$1:B$190,2,FALSE))</f>
        <v>0</v>
      </c>
      <c r="S4909" s="4" t="str">
        <f>(VLOOKUP(B4909,Price_data!A$1:C$190,3,FALSE))</f>
        <v>EEZ</v>
      </c>
      <c r="T4909" s="2" t="str">
        <f>IF(C4909="Total", (VLOOKUP(B4909,Recommended_fish_intake!A$4:D$122,4,FALSE)), "NA")</f>
        <v>NA</v>
      </c>
      <c r="U4909" s="2" t="str">
        <f t="shared" si="410"/>
        <v>NA</v>
      </c>
    </row>
    <row r="4910" spans="1:21" ht="14.25" customHeight="1">
      <c r="A4910" s="2" t="s">
        <v>15</v>
      </c>
      <c r="B4910" s="2">
        <v>2016</v>
      </c>
      <c r="C4910" s="2" t="s">
        <v>28</v>
      </c>
      <c r="D4910" s="2">
        <v>141.80000000000001</v>
      </c>
      <c r="E4910" s="2">
        <v>317.8</v>
      </c>
      <c r="F4910" s="2">
        <v>89.4</v>
      </c>
      <c r="G4910" s="2">
        <v>557.20000000000005</v>
      </c>
      <c r="H4910" s="2">
        <v>118.3</v>
      </c>
      <c r="I4910" s="2">
        <v>845.9</v>
      </c>
      <c r="P4910" s="3">
        <f>E4910*(VLOOKUP(B4910,Price_data!A$1:B$190,2,FALSE))</f>
        <v>205.74158235007999</v>
      </c>
      <c r="Q4910" s="3">
        <f>G4910*(VLOOKUP(B4910,Price_data!A$1:B$190,2,FALSE))</f>
        <v>360.72753204992</v>
      </c>
      <c r="R4910" s="3">
        <f>I4910*(VLOOKUP(B4910,Price_data!A$1:B$190,2,FALSE))</f>
        <v>547.62997013823997</v>
      </c>
      <c r="S4910" s="4" t="str">
        <f>(VLOOKUP(B4910,Price_data!A$1:C$190,3,FALSE))</f>
        <v>EEZ</v>
      </c>
      <c r="T4910" s="2" t="str">
        <f>IF(C4910="Total", (VLOOKUP(B4910,Recommended_fish_intake!A$4:D$122,4,FALSE)), "NA")</f>
        <v>NA</v>
      </c>
      <c r="U4910" s="2">
        <f t="shared" si="410"/>
        <v>39.704000000000008</v>
      </c>
    </row>
    <row r="4911" spans="1:21" ht="14.25" customHeight="1">
      <c r="A4911" s="2" t="s">
        <v>15</v>
      </c>
      <c r="B4911" s="2">
        <v>2016</v>
      </c>
      <c r="C4911" s="2" t="s">
        <v>37</v>
      </c>
      <c r="D4911" s="3">
        <f>D4891+D4896</f>
        <v>418.08300000000003</v>
      </c>
      <c r="E4911" s="3">
        <f>E4891+E4896</f>
        <v>555.14400000000001</v>
      </c>
      <c r="F4911" s="2">
        <v>350.5</v>
      </c>
      <c r="G4911" s="2">
        <v>1081.3</v>
      </c>
      <c r="H4911" s="2">
        <v>610.9</v>
      </c>
      <c r="I4911" s="2">
        <v>2223.3000000000002</v>
      </c>
      <c r="P4911" s="3">
        <f>E4911*(VLOOKUP(B4911,Price_data!A$1:B$190,2,FALSE))</f>
        <v>359.39649147939838</v>
      </c>
      <c r="Q4911" s="3">
        <f>G4911*(VLOOKUP(B4911,Price_data!A$1:B$190,2,FALSE))</f>
        <v>700.02634674367994</v>
      </c>
      <c r="R4911" s="3">
        <f>I4911*(VLOOKUP(B4911,Price_data!A$1:B$190,2,FALSE))</f>
        <v>1439.3494651948802</v>
      </c>
      <c r="S4911" s="4" t="str">
        <f>(VLOOKUP(B4911,Price_data!A$1:C$190,3,FALSE))</f>
        <v>EEZ</v>
      </c>
      <c r="T4911" s="2" t="str">
        <f>IF(C4911="Total", (VLOOKUP(B4911,Recommended_fish_intake!A$4:D$122,4,FALSE)), "NA")</f>
        <v>NA</v>
      </c>
      <c r="U4911" s="2">
        <f t="shared" si="410"/>
        <v>204.86067</v>
      </c>
    </row>
    <row r="4912" spans="1:21" ht="14.25" customHeight="1">
      <c r="A4912" s="2" t="s">
        <v>90</v>
      </c>
      <c r="B4912" s="2">
        <v>2016</v>
      </c>
      <c r="C4912" s="2" t="s">
        <v>22</v>
      </c>
      <c r="D4912" s="2">
        <v>4.2</v>
      </c>
      <c r="E4912" s="2">
        <v>7.3</v>
      </c>
      <c r="P4912" s="3">
        <f>E4912*(VLOOKUP(B4912,Price_data!A$1:B$190,2,FALSE))</f>
        <v>4.7259708972799999</v>
      </c>
      <c r="Q4912" s="3">
        <f>G4912*(VLOOKUP(B4912,Price_data!A$1:B$190,2,FALSE))</f>
        <v>0</v>
      </c>
      <c r="R4912" s="3">
        <f>I4912*(VLOOKUP(B4912,Price_data!A$1:B$190,2,FALSE))</f>
        <v>0</v>
      </c>
      <c r="S4912" s="4" t="str">
        <f>(VLOOKUP(B4912,Price_data!A$1:C$190,3,FALSE))</f>
        <v>EEZ</v>
      </c>
      <c r="T4912" s="2" t="str">
        <f>IF(C4912="Total", (VLOOKUP(B4912,Recommended_fish_intake!A$4:D$122,4,FALSE)), "NA")</f>
        <v>NA</v>
      </c>
      <c r="U4912" s="2" t="str">
        <f t="shared" si="410"/>
        <v>NA</v>
      </c>
    </row>
    <row r="4913" spans="1:21" ht="14.25" customHeight="1">
      <c r="A4913" s="2" t="s">
        <v>90</v>
      </c>
      <c r="B4913" s="2">
        <v>2016</v>
      </c>
      <c r="C4913" s="2" t="s">
        <v>23</v>
      </c>
      <c r="D4913" s="2">
        <v>0.7</v>
      </c>
      <c r="E4913" s="2">
        <v>1.4</v>
      </c>
      <c r="P4913" s="3">
        <f>E4913*(VLOOKUP(B4913,Price_data!A$1:B$190,2,FALSE))</f>
        <v>0.90635058303999994</v>
      </c>
      <c r="Q4913" s="3">
        <f>G4913*(VLOOKUP(B4913,Price_data!A$1:B$190,2,FALSE))</f>
        <v>0</v>
      </c>
      <c r="R4913" s="3">
        <f>I4913*(VLOOKUP(B4913,Price_data!A$1:B$190,2,FALSE))</f>
        <v>0</v>
      </c>
      <c r="S4913" s="4" t="str">
        <f>(VLOOKUP(B4913,Price_data!A$1:C$190,3,FALSE))</f>
        <v>EEZ</v>
      </c>
      <c r="T4913" s="2" t="str">
        <f>IF(C4913="Total", (VLOOKUP(B4913,Recommended_fish_intake!A$4:D$122,4,FALSE)), "NA")</f>
        <v>NA</v>
      </c>
      <c r="U4913" s="2" t="str">
        <f t="shared" si="410"/>
        <v>NA</v>
      </c>
    </row>
    <row r="4914" spans="1:21" ht="14.25" customHeight="1">
      <c r="A4914" s="2" t="s">
        <v>90</v>
      </c>
      <c r="B4914" s="2">
        <v>2016</v>
      </c>
      <c r="C4914" s="2" t="s">
        <v>53</v>
      </c>
      <c r="D4914" s="2">
        <v>1.3</v>
      </c>
      <c r="E4914" s="2">
        <v>2.7</v>
      </c>
      <c r="P4914" s="3">
        <f>E4914*(VLOOKUP(B4914,Price_data!A$1:B$190,2,FALSE))</f>
        <v>1.74796183872</v>
      </c>
      <c r="Q4914" s="3">
        <f>G4914*(VLOOKUP(B4914,Price_data!A$1:B$190,2,FALSE))</f>
        <v>0</v>
      </c>
      <c r="R4914" s="3">
        <f>I4914*(VLOOKUP(B4914,Price_data!A$1:B$190,2,FALSE))</f>
        <v>0</v>
      </c>
      <c r="S4914" s="4" t="str">
        <f>(VLOOKUP(B4914,Price_data!A$1:C$190,3,FALSE))</f>
        <v>EEZ</v>
      </c>
      <c r="T4914" s="2" t="str">
        <f>IF(C4914="Total", (VLOOKUP(B4914,Recommended_fish_intake!A$4:D$122,4,FALSE)), "NA")</f>
        <v>NA</v>
      </c>
      <c r="U4914" s="2" t="str">
        <f t="shared" si="410"/>
        <v>NA</v>
      </c>
    </row>
    <row r="4915" spans="1:21" ht="14.25" customHeight="1">
      <c r="A4915" s="2" t="s">
        <v>90</v>
      </c>
      <c r="B4915" s="2">
        <v>2016</v>
      </c>
      <c r="C4915" s="2" t="s">
        <v>58</v>
      </c>
      <c r="D4915" s="2">
        <v>3.3</v>
      </c>
      <c r="E4915" s="2">
        <v>9.3000000000000007</v>
      </c>
      <c r="P4915" s="3">
        <f>E4915*(VLOOKUP(B4915,Price_data!A$1:B$190,2,FALSE))</f>
        <v>6.0207574444800001</v>
      </c>
      <c r="Q4915" s="3">
        <f>G4915*(VLOOKUP(B4915,Price_data!A$1:B$190,2,FALSE))</f>
        <v>0</v>
      </c>
      <c r="R4915" s="3">
        <f>I4915*(VLOOKUP(B4915,Price_data!A$1:B$190,2,FALSE))</f>
        <v>0</v>
      </c>
      <c r="S4915" s="4" t="str">
        <f>(VLOOKUP(B4915,Price_data!A$1:C$190,3,FALSE))</f>
        <v>EEZ</v>
      </c>
      <c r="T4915" s="2" t="str">
        <f>IF(C4915="Total", (VLOOKUP(B4915,Recommended_fish_intake!A$4:D$122,4,FALSE)), "NA")</f>
        <v>NA</v>
      </c>
      <c r="U4915" s="2" t="str">
        <f t="shared" si="410"/>
        <v>NA</v>
      </c>
    </row>
    <row r="4916" spans="1:21" ht="14.25" customHeight="1">
      <c r="A4916" s="2" t="s">
        <v>90</v>
      </c>
      <c r="B4916" s="2">
        <v>2016</v>
      </c>
      <c r="C4916" s="2" t="s">
        <v>19</v>
      </c>
      <c r="D4916" s="2">
        <v>2.5</v>
      </c>
      <c r="E4916" s="2">
        <v>1.1000000000000001</v>
      </c>
      <c r="P4916" s="3">
        <f>E4916*(VLOOKUP(B4916,Price_data!A$1:B$190,2,FALSE))</f>
        <v>0.71213260096000008</v>
      </c>
      <c r="Q4916" s="3">
        <f>G4916*(VLOOKUP(B4916,Price_data!A$1:B$190,2,FALSE))</f>
        <v>0</v>
      </c>
      <c r="R4916" s="3">
        <f>I4916*(VLOOKUP(B4916,Price_data!A$1:B$190,2,FALSE))</f>
        <v>0</v>
      </c>
      <c r="S4916" s="4" t="str">
        <f>(VLOOKUP(B4916,Price_data!A$1:C$190,3,FALSE))</f>
        <v>EEZ</v>
      </c>
      <c r="T4916" s="2" t="str">
        <f>IF(C4916="Total", (VLOOKUP(B4916,Recommended_fish_intake!A$4:D$122,4,FALSE)), "NA")</f>
        <v>NA</v>
      </c>
      <c r="U4916" s="2" t="str">
        <f t="shared" si="410"/>
        <v>NA</v>
      </c>
    </row>
    <row r="4917" spans="1:21" ht="14.25" customHeight="1">
      <c r="A4917" s="2" t="s">
        <v>90</v>
      </c>
      <c r="B4917" s="2">
        <v>2016</v>
      </c>
      <c r="C4917" s="2" t="s">
        <v>20</v>
      </c>
      <c r="D4917" s="2">
        <v>2.2999999999999998</v>
      </c>
      <c r="E4917" s="2">
        <v>1.9</v>
      </c>
      <c r="P4917" s="3">
        <f>E4917*(VLOOKUP(B4917,Price_data!A$1:B$190,2,FALSE))</f>
        <v>1.2300472198399999</v>
      </c>
      <c r="Q4917" s="3">
        <f>G4917*(VLOOKUP(B4917,Price_data!A$1:B$190,2,FALSE))</f>
        <v>0</v>
      </c>
      <c r="R4917" s="3">
        <f>I4917*(VLOOKUP(B4917,Price_data!A$1:B$190,2,FALSE))</f>
        <v>0</v>
      </c>
      <c r="S4917" s="4" t="str">
        <f>(VLOOKUP(B4917,Price_data!A$1:C$190,3,FALSE))</f>
        <v>EEZ</v>
      </c>
      <c r="T4917" s="2" t="str">
        <f>IF(C4917="Total", (VLOOKUP(B4917,Recommended_fish_intake!A$4:D$122,4,FALSE)), "NA")</f>
        <v>NA</v>
      </c>
      <c r="U4917" s="2" t="str">
        <f t="shared" si="410"/>
        <v>NA</v>
      </c>
    </row>
    <row r="4918" spans="1:21" ht="14.25" customHeight="1">
      <c r="A4918" s="2" t="s">
        <v>90</v>
      </c>
      <c r="B4918" s="2">
        <v>2016</v>
      </c>
      <c r="C4918" s="2" t="s">
        <v>36</v>
      </c>
      <c r="D4918" s="2">
        <v>16.100000000000001</v>
      </c>
      <c r="E4918" s="2">
        <v>22.7</v>
      </c>
      <c r="P4918" s="3">
        <f>E4918*(VLOOKUP(B4918,Price_data!A$1:B$190,2,FALSE))</f>
        <v>14.695827310719999</v>
      </c>
      <c r="Q4918" s="3">
        <f>G4918*(VLOOKUP(B4918,Price_data!A$1:B$190,2,FALSE))</f>
        <v>0</v>
      </c>
      <c r="R4918" s="3">
        <f>I4918*(VLOOKUP(B4918,Price_data!A$1:B$190,2,FALSE))</f>
        <v>0</v>
      </c>
      <c r="S4918" s="4" t="str">
        <f>(VLOOKUP(B4918,Price_data!A$1:C$190,3,FALSE))</f>
        <v>EEZ</v>
      </c>
      <c r="T4918" s="2" t="str">
        <f>IF(C4918="Total", (VLOOKUP(B4918,Recommended_fish_intake!A$4:D$122,4,FALSE)), "NA")</f>
        <v>NA</v>
      </c>
      <c r="U4918" s="2" t="str">
        <f t="shared" si="410"/>
        <v>NA</v>
      </c>
    </row>
    <row r="4919" spans="1:21" ht="14.25" customHeight="1">
      <c r="A4919" s="2" t="s">
        <v>90</v>
      </c>
      <c r="B4919" s="2">
        <v>2016</v>
      </c>
      <c r="C4919" s="2" t="s">
        <v>34</v>
      </c>
      <c r="D4919" s="2">
        <v>1.8</v>
      </c>
      <c r="E4919" s="2">
        <v>22.2</v>
      </c>
      <c r="P4919" s="3">
        <f>E4919*(VLOOKUP(B4919,Price_data!A$1:B$190,2,FALSE))</f>
        <v>14.372130673919999</v>
      </c>
      <c r="Q4919" s="3">
        <f>G4919*(VLOOKUP(B4919,Price_data!A$1:B$190,2,FALSE))</f>
        <v>0</v>
      </c>
      <c r="R4919" s="3">
        <f>I4919*(VLOOKUP(B4919,Price_data!A$1:B$190,2,FALSE))</f>
        <v>0</v>
      </c>
      <c r="S4919" s="4" t="str">
        <f>(VLOOKUP(B4919,Price_data!A$1:C$190,3,FALSE))</f>
        <v>EEZ</v>
      </c>
      <c r="T4919" s="2" t="str">
        <f>IF(C4919="Total", (VLOOKUP(B4919,Recommended_fish_intake!A$4:D$122,4,FALSE)), "NA")</f>
        <v>NA</v>
      </c>
      <c r="U4919" s="2" t="str">
        <f t="shared" si="410"/>
        <v>NA</v>
      </c>
    </row>
    <row r="4920" spans="1:21" ht="14.25" customHeight="1">
      <c r="A4920" s="2" t="s">
        <v>90</v>
      </c>
      <c r="B4920" s="2">
        <v>2016</v>
      </c>
      <c r="C4920" s="2" t="s">
        <v>35</v>
      </c>
      <c r="D4920" s="2">
        <v>3.4</v>
      </c>
      <c r="E4920" s="2">
        <v>11.3</v>
      </c>
      <c r="P4920" s="3">
        <f>E4920*(VLOOKUP(B4920,Price_data!A$1:B$190,2,FALSE))</f>
        <v>7.3155439916800002</v>
      </c>
      <c r="Q4920" s="3">
        <f>G4920*(VLOOKUP(B4920,Price_data!A$1:B$190,2,FALSE))</f>
        <v>0</v>
      </c>
      <c r="R4920" s="3">
        <f>I4920*(VLOOKUP(B4920,Price_data!A$1:B$190,2,FALSE))</f>
        <v>0</v>
      </c>
      <c r="S4920" s="4" t="str">
        <f>(VLOOKUP(B4920,Price_data!A$1:C$190,3,FALSE))</f>
        <v>EEZ</v>
      </c>
      <c r="T4920" s="2" t="str">
        <f>IF(C4920="Total", (VLOOKUP(B4920,Recommended_fish_intake!A$4:D$122,4,FALSE)), "NA")</f>
        <v>NA</v>
      </c>
      <c r="U4920" s="2" t="str">
        <f t="shared" si="410"/>
        <v>NA</v>
      </c>
    </row>
    <row r="4921" spans="1:21" ht="14.25" customHeight="1">
      <c r="A4921" s="2" t="s">
        <v>90</v>
      </c>
      <c r="B4921" s="2">
        <v>2016</v>
      </c>
      <c r="C4921" s="2" t="s">
        <v>52</v>
      </c>
      <c r="D4921" s="2">
        <v>11.6</v>
      </c>
      <c r="E4921" s="2">
        <v>24.1</v>
      </c>
      <c r="P4921" s="3">
        <f>E4921*(VLOOKUP(B4921,Price_data!A$1:B$190,2,FALSE))</f>
        <v>15.60217789376</v>
      </c>
      <c r="Q4921" s="3">
        <f>G4921*(VLOOKUP(B4921,Price_data!A$1:B$190,2,FALSE))</f>
        <v>0</v>
      </c>
      <c r="R4921" s="3">
        <f>I4921*(VLOOKUP(B4921,Price_data!A$1:B$190,2,FALSE))</f>
        <v>0</v>
      </c>
      <c r="S4921" s="4" t="str">
        <f>(VLOOKUP(B4921,Price_data!A$1:C$190,3,FALSE))</f>
        <v>EEZ</v>
      </c>
      <c r="T4921" s="2" t="str">
        <f>IF(C4921="Total", (VLOOKUP(B4921,Recommended_fish_intake!A$4:D$122,4,FALSE)), "NA")</f>
        <v>NA</v>
      </c>
      <c r="U4921" s="2" t="str">
        <f t="shared" si="410"/>
        <v>NA</v>
      </c>
    </row>
    <row r="4922" spans="1:21" ht="14.25" customHeight="1">
      <c r="A4922" s="2" t="s">
        <v>90</v>
      </c>
      <c r="B4922" s="2">
        <v>2016</v>
      </c>
      <c r="C4922" s="2" t="s">
        <v>30</v>
      </c>
      <c r="D4922" s="2">
        <v>0.8</v>
      </c>
      <c r="E4922" s="2">
        <v>3</v>
      </c>
      <c r="P4922" s="3">
        <f>E4922*(VLOOKUP(B4922,Price_data!A$1:B$190,2,FALSE))</f>
        <v>1.9421798207999998</v>
      </c>
      <c r="Q4922" s="3">
        <f>G4922*(VLOOKUP(B4922,Price_data!A$1:B$190,2,FALSE))</f>
        <v>0</v>
      </c>
      <c r="R4922" s="3">
        <f>I4922*(VLOOKUP(B4922,Price_data!A$1:B$190,2,FALSE))</f>
        <v>0</v>
      </c>
      <c r="S4922" s="4" t="str">
        <f>(VLOOKUP(B4922,Price_data!A$1:C$190,3,FALSE))</f>
        <v>EEZ</v>
      </c>
      <c r="T4922" s="2" t="str">
        <f>IF(C4922="Total", (VLOOKUP(B4922,Recommended_fish_intake!A$4:D$122,4,FALSE)), "NA")</f>
        <v>NA</v>
      </c>
      <c r="U4922" s="2" t="str">
        <f t="shared" si="410"/>
        <v>NA</v>
      </c>
    </row>
    <row r="4923" spans="1:21" ht="14.25" customHeight="1">
      <c r="A4923" s="2" t="s">
        <v>90</v>
      </c>
      <c r="B4923" s="2">
        <v>2016</v>
      </c>
      <c r="C4923" s="2" t="s">
        <v>41</v>
      </c>
      <c r="D4923" s="2">
        <v>26</v>
      </c>
      <c r="E4923" s="2">
        <v>65.7</v>
      </c>
      <c r="P4923" s="3">
        <f>E4923*(VLOOKUP(B4923,Price_data!A$1:B$190,2,FALSE))</f>
        <v>42.533738075519999</v>
      </c>
      <c r="Q4923" s="3">
        <f>G4923*(VLOOKUP(B4923,Price_data!A$1:B$190,2,FALSE))</f>
        <v>0</v>
      </c>
      <c r="R4923" s="3">
        <f>I4923*(VLOOKUP(B4923,Price_data!A$1:B$190,2,FALSE))</f>
        <v>0</v>
      </c>
      <c r="S4923" s="4" t="str">
        <f>(VLOOKUP(B4923,Price_data!A$1:C$190,3,FALSE))</f>
        <v>EEZ</v>
      </c>
      <c r="T4923" s="2" t="str">
        <f>IF(C4923="Total", (VLOOKUP(B4923,Recommended_fish_intake!A$4:D$122,4,FALSE)), "NA")</f>
        <v>NA</v>
      </c>
      <c r="U4923" s="2" t="str">
        <f t="shared" si="410"/>
        <v>NA</v>
      </c>
    </row>
    <row r="4924" spans="1:21" ht="14.25" customHeight="1">
      <c r="A4924" s="2" t="s">
        <v>90</v>
      </c>
      <c r="B4924" s="2">
        <v>2016</v>
      </c>
      <c r="C4924" s="2" t="s">
        <v>42</v>
      </c>
      <c r="D4924" s="2">
        <v>16.8</v>
      </c>
      <c r="E4924" s="2">
        <v>6.7</v>
      </c>
      <c r="P4924" s="3">
        <f>E4924*(VLOOKUP(B4924,Price_data!A$1:B$190,2,FALSE))</f>
        <v>4.3375349331199997</v>
      </c>
      <c r="Q4924" s="3">
        <f>G4924*(VLOOKUP(B4924,Price_data!A$1:B$190,2,FALSE))</f>
        <v>0</v>
      </c>
      <c r="R4924" s="3">
        <f>I4924*(VLOOKUP(B4924,Price_data!A$1:B$190,2,FALSE))</f>
        <v>0</v>
      </c>
      <c r="S4924" s="4" t="str">
        <f>(VLOOKUP(B4924,Price_data!A$1:C$190,3,FALSE))</f>
        <v>EEZ</v>
      </c>
      <c r="T4924" s="2" t="str">
        <f>IF(C4924="Total", (VLOOKUP(B4924,Recommended_fish_intake!A$4:D$122,4,FALSE)), "NA")</f>
        <v>NA</v>
      </c>
      <c r="U4924" s="2" t="str">
        <f t="shared" si="410"/>
        <v>NA</v>
      </c>
    </row>
    <row r="4925" spans="1:21" ht="14.25" customHeight="1">
      <c r="A4925" s="2" t="s">
        <v>90</v>
      </c>
      <c r="B4925" s="2">
        <v>2016</v>
      </c>
      <c r="C4925" s="2" t="s">
        <v>28</v>
      </c>
      <c r="D4925" s="2">
        <v>61.2</v>
      </c>
      <c r="E4925" s="2">
        <v>117.5</v>
      </c>
      <c r="P4925" s="3">
        <f>E4925*(VLOOKUP(B4925,Price_data!A$1:B$190,2,FALSE))</f>
        <v>76.068709647999995</v>
      </c>
      <c r="Q4925" s="3">
        <f>G4925*(VLOOKUP(B4925,Price_data!A$1:B$190,2,FALSE))</f>
        <v>0</v>
      </c>
      <c r="R4925" s="3">
        <f>I4925*(VLOOKUP(B4925,Price_data!A$1:B$190,2,FALSE))</f>
        <v>0</v>
      </c>
      <c r="S4925" s="4" t="str">
        <f>(VLOOKUP(B4925,Price_data!A$1:C$190,3,FALSE))</f>
        <v>EEZ</v>
      </c>
      <c r="T4925" s="2" t="str">
        <f>IF(C4925="Total", (VLOOKUP(B4925,Recommended_fish_intake!A$4:D$122,4,FALSE)), "NA")</f>
        <v>NA</v>
      </c>
      <c r="U4925" s="2">
        <f t="shared" si="410"/>
        <v>17.136000000000003</v>
      </c>
    </row>
    <row r="4926" spans="1:21" ht="14.25" customHeight="1">
      <c r="A4926" s="2" t="s">
        <v>91</v>
      </c>
      <c r="B4926" s="2">
        <v>2016</v>
      </c>
      <c r="C4926" s="2" t="s">
        <v>22</v>
      </c>
      <c r="D4926" s="2">
        <v>0.01</v>
      </c>
      <c r="E4926" s="2">
        <v>0.03</v>
      </c>
      <c r="P4926" s="3">
        <f>E4926*(VLOOKUP(B4926,Price_data!A$1:B$190,2,FALSE))</f>
        <v>1.9421798208E-2</v>
      </c>
      <c r="Q4926" s="3">
        <f>G4926*(VLOOKUP(B4926,Price_data!A$1:B$190,2,FALSE))</f>
        <v>0</v>
      </c>
      <c r="R4926" s="3">
        <f>I4926*(VLOOKUP(B4926,Price_data!A$1:B$190,2,FALSE))</f>
        <v>0</v>
      </c>
      <c r="S4926" s="4" t="str">
        <f>(VLOOKUP(B4926,Price_data!A$1:C$190,3,FALSE))</f>
        <v>EEZ</v>
      </c>
      <c r="T4926" s="2" t="str">
        <f>IF(C4926="Total", (VLOOKUP(B4926,Recommended_fish_intake!A$4:D$122,4,FALSE)), "NA")</f>
        <v>NA</v>
      </c>
      <c r="U4926" s="2" t="str">
        <f t="shared" si="410"/>
        <v>NA</v>
      </c>
    </row>
    <row r="4927" spans="1:21" ht="14.25" customHeight="1">
      <c r="A4927" s="2" t="s">
        <v>91</v>
      </c>
      <c r="B4927" s="2">
        <v>2016</v>
      </c>
      <c r="C4927" s="2" t="s">
        <v>23</v>
      </c>
      <c r="D4927" s="2">
        <v>0</v>
      </c>
      <c r="E4927" s="2">
        <v>0</v>
      </c>
      <c r="P4927" s="3">
        <f>E4927*(VLOOKUP(B4927,Price_data!A$1:B$190,2,FALSE))</f>
        <v>0</v>
      </c>
      <c r="Q4927" s="3">
        <f>G4927*(VLOOKUP(B4927,Price_data!A$1:B$190,2,FALSE))</f>
        <v>0</v>
      </c>
      <c r="R4927" s="3">
        <f>I4927*(VLOOKUP(B4927,Price_data!A$1:B$190,2,FALSE))</f>
        <v>0</v>
      </c>
      <c r="S4927" s="4" t="str">
        <f>(VLOOKUP(B4927,Price_data!A$1:C$190,3,FALSE))</f>
        <v>EEZ</v>
      </c>
      <c r="T4927" s="2" t="str">
        <f>IF(C4927="Total", (VLOOKUP(B4927,Recommended_fish_intake!A$4:D$122,4,FALSE)), "NA")</f>
        <v>NA</v>
      </c>
      <c r="U4927" s="2" t="str">
        <f t="shared" si="410"/>
        <v>NA</v>
      </c>
    </row>
    <row r="4928" spans="1:21" ht="14.25" customHeight="1">
      <c r="A4928" s="2" t="s">
        <v>91</v>
      </c>
      <c r="B4928" s="2">
        <v>2016</v>
      </c>
      <c r="C4928" s="2" t="s">
        <v>53</v>
      </c>
      <c r="D4928" s="2">
        <v>0.1</v>
      </c>
      <c r="E4928" s="2">
        <v>0.2</v>
      </c>
      <c r="P4928" s="3">
        <f>E4928*(VLOOKUP(B4928,Price_data!A$1:B$190,2,FALSE))</f>
        <v>0.12947865472</v>
      </c>
      <c r="Q4928" s="3">
        <f>G4928*(VLOOKUP(B4928,Price_data!A$1:B$190,2,FALSE))</f>
        <v>0</v>
      </c>
      <c r="R4928" s="3">
        <f>I4928*(VLOOKUP(B4928,Price_data!A$1:B$190,2,FALSE))</f>
        <v>0</v>
      </c>
      <c r="S4928" s="4" t="str">
        <f>(VLOOKUP(B4928,Price_data!A$1:C$190,3,FALSE))</f>
        <v>EEZ</v>
      </c>
      <c r="T4928" s="2" t="str">
        <f>IF(C4928="Total", (VLOOKUP(B4928,Recommended_fish_intake!A$4:D$122,4,FALSE)), "NA")</f>
        <v>NA</v>
      </c>
      <c r="U4928" s="2" t="str">
        <f t="shared" si="410"/>
        <v>NA</v>
      </c>
    </row>
    <row r="4929" spans="1:21" ht="14.25" customHeight="1">
      <c r="A4929" s="2" t="s">
        <v>91</v>
      </c>
      <c r="B4929" s="2">
        <v>2016</v>
      </c>
      <c r="C4929" s="2" t="s">
        <v>58</v>
      </c>
      <c r="D4929" s="2">
        <v>0.32</v>
      </c>
      <c r="E4929" s="2">
        <v>1.19</v>
      </c>
      <c r="P4929" s="3">
        <f>E4929*(VLOOKUP(B4929,Price_data!A$1:B$190,2,FALSE))</f>
        <v>0.77039799558399991</v>
      </c>
      <c r="Q4929" s="3">
        <f>G4929*(VLOOKUP(B4929,Price_data!A$1:B$190,2,FALSE))</f>
        <v>0</v>
      </c>
      <c r="R4929" s="3">
        <f>I4929*(VLOOKUP(B4929,Price_data!A$1:B$190,2,FALSE))</f>
        <v>0</v>
      </c>
      <c r="S4929" s="4" t="str">
        <f>(VLOOKUP(B4929,Price_data!A$1:C$190,3,FALSE))</f>
        <v>EEZ</v>
      </c>
      <c r="T4929" s="2" t="str">
        <f>IF(C4929="Total", (VLOOKUP(B4929,Recommended_fish_intake!A$4:D$122,4,FALSE)), "NA")</f>
        <v>NA</v>
      </c>
      <c r="U4929" s="2" t="str">
        <f t="shared" si="410"/>
        <v>NA</v>
      </c>
    </row>
    <row r="4930" spans="1:21" ht="14.25" customHeight="1">
      <c r="A4930" s="2" t="s">
        <v>91</v>
      </c>
      <c r="B4930" s="2">
        <v>2016</v>
      </c>
      <c r="C4930" s="2" t="s">
        <v>19</v>
      </c>
      <c r="D4930" s="2">
        <v>0</v>
      </c>
      <c r="E4930" s="2">
        <v>0</v>
      </c>
      <c r="P4930" s="3">
        <f>E4930*(VLOOKUP(B4930,Price_data!A$1:B$190,2,FALSE))</f>
        <v>0</v>
      </c>
      <c r="Q4930" s="3">
        <f>G4930*(VLOOKUP(B4930,Price_data!A$1:B$190,2,FALSE))</f>
        <v>0</v>
      </c>
      <c r="R4930" s="3">
        <f>I4930*(VLOOKUP(B4930,Price_data!A$1:B$190,2,FALSE))</f>
        <v>0</v>
      </c>
      <c r="S4930" s="4" t="str">
        <f>(VLOOKUP(B4930,Price_data!A$1:C$190,3,FALSE))</f>
        <v>EEZ</v>
      </c>
      <c r="T4930" s="2" t="str">
        <f>IF(C4930="Total", (VLOOKUP(B4930,Recommended_fish_intake!A$4:D$122,4,FALSE)), "NA")</f>
        <v>NA</v>
      </c>
      <c r="U4930" s="2" t="str">
        <f t="shared" ref="U4930:U4993" si="412">IF(C4930="Wet fish", D4930*0.49, IF(C4930="Shellfish", D4930*0.28, "NA"))</f>
        <v>NA</v>
      </c>
    </row>
    <row r="4931" spans="1:21" ht="14.25" customHeight="1">
      <c r="A4931" s="2" t="s">
        <v>91</v>
      </c>
      <c r="B4931" s="2">
        <v>2016</v>
      </c>
      <c r="C4931" s="2" t="s">
        <v>20</v>
      </c>
      <c r="D4931" s="2">
        <v>0</v>
      </c>
      <c r="E4931" s="2">
        <v>0</v>
      </c>
      <c r="P4931" s="3">
        <f>E4931*(VLOOKUP(B4931,Price_data!A$1:B$190,2,FALSE))</f>
        <v>0</v>
      </c>
      <c r="Q4931" s="3">
        <f>G4931*(VLOOKUP(B4931,Price_data!A$1:B$190,2,FALSE))</f>
        <v>0</v>
      </c>
      <c r="R4931" s="3">
        <f>I4931*(VLOOKUP(B4931,Price_data!A$1:B$190,2,FALSE))</f>
        <v>0</v>
      </c>
      <c r="S4931" s="4" t="str">
        <f>(VLOOKUP(B4931,Price_data!A$1:C$190,3,FALSE))</f>
        <v>EEZ</v>
      </c>
      <c r="T4931" s="2" t="str">
        <f>IF(C4931="Total", (VLOOKUP(B4931,Recommended_fish_intake!A$4:D$122,4,FALSE)), "NA")</f>
        <v>NA</v>
      </c>
      <c r="U4931" s="2" t="str">
        <f t="shared" si="412"/>
        <v>NA</v>
      </c>
    </row>
    <row r="4932" spans="1:21" ht="14.25" customHeight="1">
      <c r="A4932" s="2" t="s">
        <v>91</v>
      </c>
      <c r="B4932" s="2">
        <v>2016</v>
      </c>
      <c r="C4932" s="2" t="s">
        <v>36</v>
      </c>
      <c r="D4932" s="2">
        <v>0.52</v>
      </c>
      <c r="E4932" s="2">
        <v>0.66</v>
      </c>
      <c r="P4932" s="3">
        <f>E4932*(VLOOKUP(B4932,Price_data!A$1:B$190,2,FALSE))</f>
        <v>0.42727956057600003</v>
      </c>
      <c r="Q4932" s="3">
        <f>G4932*(VLOOKUP(B4932,Price_data!A$1:B$190,2,FALSE))</f>
        <v>0</v>
      </c>
      <c r="R4932" s="3">
        <f>I4932*(VLOOKUP(B4932,Price_data!A$1:B$190,2,FALSE))</f>
        <v>0</v>
      </c>
      <c r="S4932" s="4" t="str">
        <f>(VLOOKUP(B4932,Price_data!A$1:C$190,3,FALSE))</f>
        <v>EEZ</v>
      </c>
      <c r="T4932" s="2" t="str">
        <f>IF(C4932="Total", (VLOOKUP(B4932,Recommended_fish_intake!A$4:D$122,4,FALSE)), "NA")</f>
        <v>NA</v>
      </c>
      <c r="U4932" s="2" t="str">
        <f t="shared" si="412"/>
        <v>NA</v>
      </c>
    </row>
    <row r="4933" spans="1:21" ht="14.25" customHeight="1">
      <c r="A4933" s="2" t="s">
        <v>91</v>
      </c>
      <c r="B4933" s="2">
        <v>2016</v>
      </c>
      <c r="C4933" s="2" t="s">
        <v>34</v>
      </c>
      <c r="D4933" s="2">
        <v>0.17</v>
      </c>
      <c r="E4933" s="2">
        <v>2.04</v>
      </c>
      <c r="P4933" s="3">
        <f>E4933*(VLOOKUP(B4933,Price_data!A$1:B$190,2,FALSE))</f>
        <v>1.320682278144</v>
      </c>
      <c r="Q4933" s="3">
        <f>G4933*(VLOOKUP(B4933,Price_data!A$1:B$190,2,FALSE))</f>
        <v>0</v>
      </c>
      <c r="R4933" s="3">
        <f>I4933*(VLOOKUP(B4933,Price_data!A$1:B$190,2,FALSE))</f>
        <v>0</v>
      </c>
      <c r="S4933" s="4" t="str">
        <f>(VLOOKUP(B4933,Price_data!A$1:C$190,3,FALSE))</f>
        <v>EEZ</v>
      </c>
      <c r="T4933" s="2" t="str">
        <f>IF(C4933="Total", (VLOOKUP(B4933,Recommended_fish_intake!A$4:D$122,4,FALSE)), "NA")</f>
        <v>NA</v>
      </c>
      <c r="U4933" s="2" t="str">
        <f t="shared" si="412"/>
        <v>NA</v>
      </c>
    </row>
    <row r="4934" spans="1:21" ht="14.25" customHeight="1">
      <c r="A4934" s="2" t="s">
        <v>91</v>
      </c>
      <c r="B4934" s="2">
        <v>2016</v>
      </c>
      <c r="C4934" s="2" t="s">
        <v>35</v>
      </c>
      <c r="D4934" s="2">
        <v>0.02</v>
      </c>
      <c r="E4934" s="2">
        <v>0.05</v>
      </c>
      <c r="P4934" s="3">
        <f>E4934*(VLOOKUP(B4934,Price_data!A$1:B$190,2,FALSE))</f>
        <v>3.2369663680000001E-2</v>
      </c>
      <c r="Q4934" s="3">
        <f>G4934*(VLOOKUP(B4934,Price_data!A$1:B$190,2,FALSE))</f>
        <v>0</v>
      </c>
      <c r="R4934" s="3">
        <f>I4934*(VLOOKUP(B4934,Price_data!A$1:B$190,2,FALSE))</f>
        <v>0</v>
      </c>
      <c r="S4934" s="4" t="str">
        <f>(VLOOKUP(B4934,Price_data!A$1:C$190,3,FALSE))</f>
        <v>EEZ</v>
      </c>
      <c r="T4934" s="2" t="str">
        <f>IF(C4934="Total", (VLOOKUP(B4934,Recommended_fish_intake!A$4:D$122,4,FALSE)), "NA")</f>
        <v>NA</v>
      </c>
      <c r="U4934" s="2" t="str">
        <f t="shared" si="412"/>
        <v>NA</v>
      </c>
    </row>
    <row r="4935" spans="1:21" ht="14.25" customHeight="1">
      <c r="A4935" s="2" t="s">
        <v>91</v>
      </c>
      <c r="B4935" s="2">
        <v>2016</v>
      </c>
      <c r="C4935" s="2" t="s">
        <v>52</v>
      </c>
      <c r="D4935" s="2">
        <v>2.38</v>
      </c>
      <c r="E4935" s="2">
        <v>2.73</v>
      </c>
      <c r="P4935" s="3">
        <f>E4935*(VLOOKUP(B4935,Price_data!A$1:B$190,2,FALSE))</f>
        <v>1.767383636928</v>
      </c>
      <c r="Q4935" s="3">
        <f>G4935*(VLOOKUP(B4935,Price_data!A$1:B$190,2,FALSE))</f>
        <v>0</v>
      </c>
      <c r="R4935" s="3">
        <f>I4935*(VLOOKUP(B4935,Price_data!A$1:B$190,2,FALSE))</f>
        <v>0</v>
      </c>
      <c r="S4935" s="4" t="str">
        <f>(VLOOKUP(B4935,Price_data!A$1:C$190,3,FALSE))</f>
        <v>EEZ</v>
      </c>
      <c r="T4935" s="2" t="str">
        <f>IF(C4935="Total", (VLOOKUP(B4935,Recommended_fish_intake!A$4:D$122,4,FALSE)), "NA")</f>
        <v>NA</v>
      </c>
      <c r="U4935" s="2" t="str">
        <f t="shared" si="412"/>
        <v>NA</v>
      </c>
    </row>
    <row r="4936" spans="1:21" ht="14.25" customHeight="1">
      <c r="A4936" s="2" t="s">
        <v>91</v>
      </c>
      <c r="B4936" s="2">
        <v>2016</v>
      </c>
      <c r="C4936" s="2" t="s">
        <v>30</v>
      </c>
      <c r="D4936" s="2">
        <v>0</v>
      </c>
      <c r="E4936" s="2">
        <v>0</v>
      </c>
      <c r="P4936" s="3">
        <f>E4936*(VLOOKUP(B4936,Price_data!A$1:B$190,2,FALSE))</f>
        <v>0</v>
      </c>
      <c r="Q4936" s="3">
        <f>G4936*(VLOOKUP(B4936,Price_data!A$1:B$190,2,FALSE))</f>
        <v>0</v>
      </c>
      <c r="R4936" s="3">
        <f>I4936*(VLOOKUP(B4936,Price_data!A$1:B$190,2,FALSE))</f>
        <v>0</v>
      </c>
      <c r="S4936" s="4" t="str">
        <f>(VLOOKUP(B4936,Price_data!A$1:C$190,3,FALSE))</f>
        <v>EEZ</v>
      </c>
      <c r="T4936" s="2" t="str">
        <f>IF(C4936="Total", (VLOOKUP(B4936,Recommended_fish_intake!A$4:D$122,4,FALSE)), "NA")</f>
        <v>NA</v>
      </c>
      <c r="U4936" s="2" t="str">
        <f t="shared" si="412"/>
        <v>NA</v>
      </c>
    </row>
    <row r="4937" spans="1:21" ht="14.25" customHeight="1">
      <c r="A4937" s="2" t="s">
        <v>91</v>
      </c>
      <c r="B4937" s="2">
        <v>2016</v>
      </c>
      <c r="C4937" s="2" t="s">
        <v>41</v>
      </c>
      <c r="D4937" s="2">
        <v>1.24</v>
      </c>
      <c r="E4937" s="2">
        <v>3.77</v>
      </c>
      <c r="P4937" s="3">
        <f>E4937*(VLOOKUP(B4937,Price_data!A$1:B$190,2,FALSE))</f>
        <v>2.4406726414720001</v>
      </c>
      <c r="Q4937" s="3">
        <f>G4937*(VLOOKUP(B4937,Price_data!A$1:B$190,2,FALSE))</f>
        <v>0</v>
      </c>
      <c r="R4937" s="3">
        <f>I4937*(VLOOKUP(B4937,Price_data!A$1:B$190,2,FALSE))</f>
        <v>0</v>
      </c>
      <c r="S4937" s="4" t="str">
        <f>(VLOOKUP(B4937,Price_data!A$1:C$190,3,FALSE))</f>
        <v>EEZ</v>
      </c>
      <c r="T4937" s="2" t="str">
        <f>IF(C4937="Total", (VLOOKUP(B4937,Recommended_fish_intake!A$4:D$122,4,FALSE)), "NA")</f>
        <v>NA</v>
      </c>
      <c r="U4937" s="2" t="str">
        <f t="shared" si="412"/>
        <v>NA</v>
      </c>
    </row>
    <row r="4938" spans="1:21" ht="14.25" customHeight="1">
      <c r="A4938" s="2" t="s">
        <v>91</v>
      </c>
      <c r="B4938" s="2">
        <v>2016</v>
      </c>
      <c r="C4938" s="2" t="s">
        <v>42</v>
      </c>
      <c r="D4938" s="2">
        <v>0</v>
      </c>
      <c r="E4938" s="2">
        <v>0</v>
      </c>
      <c r="P4938" s="3">
        <f>E4938*(VLOOKUP(B4938,Price_data!A$1:B$190,2,FALSE))</f>
        <v>0</v>
      </c>
      <c r="Q4938" s="3">
        <f>G4938*(VLOOKUP(B4938,Price_data!A$1:B$190,2,FALSE))</f>
        <v>0</v>
      </c>
      <c r="R4938" s="3">
        <f>I4938*(VLOOKUP(B4938,Price_data!A$1:B$190,2,FALSE))</f>
        <v>0</v>
      </c>
      <c r="S4938" s="4" t="str">
        <f>(VLOOKUP(B4938,Price_data!A$1:C$190,3,FALSE))</f>
        <v>EEZ</v>
      </c>
      <c r="T4938" s="2" t="str">
        <f>IF(C4938="Total", (VLOOKUP(B4938,Recommended_fish_intake!A$4:D$122,4,FALSE)), "NA")</f>
        <v>NA</v>
      </c>
      <c r="U4938" s="2" t="str">
        <f t="shared" si="412"/>
        <v>NA</v>
      </c>
    </row>
    <row r="4939" spans="1:21" ht="14.25" customHeight="1">
      <c r="A4939" s="2" t="s">
        <v>91</v>
      </c>
      <c r="B4939" s="2">
        <v>2016</v>
      </c>
      <c r="C4939" s="2" t="s">
        <v>28</v>
      </c>
      <c r="D4939" s="2">
        <v>9.65</v>
      </c>
      <c r="E4939" s="2">
        <v>12.94</v>
      </c>
      <c r="P4939" s="3">
        <f>E4939*(VLOOKUP(B4939,Price_data!A$1:B$190,2,FALSE))</f>
        <v>8.3772689603839989</v>
      </c>
      <c r="Q4939" s="3">
        <f>G4939*(VLOOKUP(B4939,Price_data!A$1:B$190,2,FALSE))</f>
        <v>0</v>
      </c>
      <c r="R4939" s="3">
        <f>I4939*(VLOOKUP(B4939,Price_data!A$1:B$190,2,FALSE))</f>
        <v>0</v>
      </c>
      <c r="S4939" s="4" t="str">
        <f>(VLOOKUP(B4939,Price_data!A$1:C$190,3,FALSE))</f>
        <v>EEZ</v>
      </c>
      <c r="T4939" s="2" t="str">
        <f>IF(C4939="Total", (VLOOKUP(B4939,Recommended_fish_intake!A$4:D$122,4,FALSE)), "NA")</f>
        <v>NA</v>
      </c>
      <c r="U4939" s="2">
        <f t="shared" si="412"/>
        <v>2.7020000000000004</v>
      </c>
    </row>
    <row r="4940" spans="1:21" ht="14.25" customHeight="1">
      <c r="A4940" s="2" t="s">
        <v>39</v>
      </c>
      <c r="B4940" s="2">
        <v>2016</v>
      </c>
      <c r="C4940" s="2" t="s">
        <v>22</v>
      </c>
      <c r="D4940" s="2">
        <v>16.48</v>
      </c>
      <c r="E4940" s="2">
        <v>34.292969659999997</v>
      </c>
      <c r="P4940" s="3">
        <f>E4940*(VLOOKUP(B4940,Price_data!A$1:B$190,2,FALSE))</f>
        <v>22.201037889652877</v>
      </c>
      <c r="Q4940" s="3">
        <f>G4940*(VLOOKUP(B4940,Price_data!A$1:B$190,2,FALSE))</f>
        <v>0</v>
      </c>
      <c r="R4940" s="3">
        <f>I4940*(VLOOKUP(B4940,Price_data!A$1:B$190,2,FALSE))</f>
        <v>0</v>
      </c>
      <c r="S4940" s="4" t="str">
        <f>(VLOOKUP(B4940,Price_data!A$1:C$190,3,FALSE))</f>
        <v>EEZ</v>
      </c>
      <c r="T4940" s="2" t="str">
        <f>IF(C4940="Total", (VLOOKUP(B4940,Recommended_fish_intake!A$4:D$122,4,FALSE)), "NA")</f>
        <v>NA</v>
      </c>
      <c r="U4940" s="2" t="str">
        <f t="shared" si="412"/>
        <v>NA</v>
      </c>
    </row>
    <row r="4941" spans="1:21" ht="14.25" customHeight="1">
      <c r="A4941" s="2" t="s">
        <v>39</v>
      </c>
      <c r="B4941" s="2">
        <v>2016</v>
      </c>
      <c r="C4941" s="2" t="s">
        <v>23</v>
      </c>
      <c r="D4941" s="2">
        <v>31.59</v>
      </c>
      <c r="E4941" s="2">
        <v>41.753476079999999</v>
      </c>
      <c r="P4941" s="3">
        <f>E4941*(VLOOKUP(B4941,Price_data!A$1:B$190,2,FALSE))</f>
        <v>27.030919563610492</v>
      </c>
      <c r="Q4941" s="3">
        <f>G4941*(VLOOKUP(B4941,Price_data!A$1:B$190,2,FALSE))</f>
        <v>0</v>
      </c>
      <c r="R4941" s="3">
        <f>I4941*(VLOOKUP(B4941,Price_data!A$1:B$190,2,FALSE))</f>
        <v>0</v>
      </c>
      <c r="S4941" s="4" t="str">
        <f>(VLOOKUP(B4941,Price_data!A$1:C$190,3,FALSE))</f>
        <v>EEZ</v>
      </c>
      <c r="T4941" s="2" t="str">
        <f>IF(C4941="Total", (VLOOKUP(B4941,Recommended_fish_intake!A$4:D$122,4,FALSE)), "NA")</f>
        <v>NA</v>
      </c>
      <c r="U4941" s="2" t="str">
        <f t="shared" si="412"/>
        <v>NA</v>
      </c>
    </row>
    <row r="4942" spans="1:21" ht="14.25" customHeight="1">
      <c r="A4942" s="2" t="s">
        <v>39</v>
      </c>
      <c r="B4942" s="2">
        <v>2016</v>
      </c>
      <c r="C4942" s="2" t="s">
        <v>53</v>
      </c>
      <c r="D4942" s="2">
        <v>9.9</v>
      </c>
      <c r="E4942" s="2">
        <v>23.816047399999999</v>
      </c>
      <c r="P4942" s="3">
        <f>E4942*(VLOOKUP(B4942,Price_data!A$1:B$190,2,FALSE))</f>
        <v>15.418348890498768</v>
      </c>
      <c r="Q4942" s="3">
        <f>G4942*(VLOOKUP(B4942,Price_data!A$1:B$190,2,FALSE))</f>
        <v>0</v>
      </c>
      <c r="R4942" s="3">
        <f>I4942*(VLOOKUP(B4942,Price_data!A$1:B$190,2,FALSE))</f>
        <v>0</v>
      </c>
      <c r="S4942" s="4" t="str">
        <f>(VLOOKUP(B4942,Price_data!A$1:C$190,3,FALSE))</f>
        <v>EEZ</v>
      </c>
      <c r="T4942" s="2" t="str">
        <f>IF(C4942="Total", (VLOOKUP(B4942,Recommended_fish_intake!A$4:D$122,4,FALSE)), "NA")</f>
        <v>NA</v>
      </c>
      <c r="U4942" s="2" t="str">
        <f t="shared" si="412"/>
        <v>NA</v>
      </c>
    </row>
    <row r="4943" spans="1:21" ht="14.25" customHeight="1">
      <c r="A4943" s="2" t="s">
        <v>39</v>
      </c>
      <c r="B4943" s="2">
        <v>2016</v>
      </c>
      <c r="C4943" s="2" t="s">
        <v>58</v>
      </c>
      <c r="D4943" s="2">
        <v>12.51</v>
      </c>
      <c r="E4943" s="2">
        <v>35.759986840000003</v>
      </c>
      <c r="P4943" s="3">
        <f>E4943*(VLOOKUP(B4943,Price_data!A$1:B$190,2,FALSE))</f>
        <v>23.150774944240521</v>
      </c>
      <c r="Q4943" s="3">
        <f>G4943*(VLOOKUP(B4943,Price_data!A$1:B$190,2,FALSE))</f>
        <v>0</v>
      </c>
      <c r="R4943" s="3">
        <f>I4943*(VLOOKUP(B4943,Price_data!A$1:B$190,2,FALSE))</f>
        <v>0</v>
      </c>
      <c r="S4943" s="4" t="str">
        <f>(VLOOKUP(B4943,Price_data!A$1:C$190,3,FALSE))</f>
        <v>EEZ</v>
      </c>
      <c r="T4943" s="2" t="str">
        <f>IF(C4943="Total", (VLOOKUP(B4943,Recommended_fish_intake!A$4:D$122,4,FALSE)), "NA")</f>
        <v>NA</v>
      </c>
      <c r="U4943" s="2" t="str">
        <f t="shared" si="412"/>
        <v>NA</v>
      </c>
    </row>
    <row r="4944" spans="1:21" ht="14.25" customHeight="1">
      <c r="A4944" s="2" t="s">
        <v>39</v>
      </c>
      <c r="B4944" s="2">
        <v>2016</v>
      </c>
      <c r="C4944" s="2" t="s">
        <v>19</v>
      </c>
      <c r="D4944" s="2">
        <v>33.11</v>
      </c>
      <c r="E4944" s="2">
        <v>21.665149199999998</v>
      </c>
      <c r="P4944" s="3">
        <f>E4944*(VLOOKUP(B4944,Price_data!A$1:B$190,2,FALSE))</f>
        <v>14.02587186362042</v>
      </c>
      <c r="Q4944" s="3">
        <f>G4944*(VLOOKUP(B4944,Price_data!A$1:B$190,2,FALSE))</f>
        <v>0</v>
      </c>
      <c r="R4944" s="3">
        <f>I4944*(VLOOKUP(B4944,Price_data!A$1:B$190,2,FALSE))</f>
        <v>0</v>
      </c>
      <c r="S4944" s="4" t="str">
        <f>(VLOOKUP(B4944,Price_data!A$1:C$190,3,FALSE))</f>
        <v>EEZ</v>
      </c>
      <c r="T4944" s="2" t="str">
        <f>IF(C4944="Total", (VLOOKUP(B4944,Recommended_fish_intake!A$4:D$122,4,FALSE)), "NA")</f>
        <v>NA</v>
      </c>
      <c r="U4944" s="2" t="str">
        <f t="shared" si="412"/>
        <v>NA</v>
      </c>
    </row>
    <row r="4945" spans="1:21" ht="14.25" customHeight="1">
      <c r="A4945" s="2" t="s">
        <v>39</v>
      </c>
      <c r="B4945" s="2">
        <v>2016</v>
      </c>
      <c r="C4945" s="2" t="s">
        <v>20</v>
      </c>
      <c r="D4945" s="2">
        <v>99.24</v>
      </c>
      <c r="E4945" s="2">
        <v>85.323913520000005</v>
      </c>
      <c r="P4945" s="3">
        <f>E4945*(VLOOKUP(B4945,Price_data!A$1:B$190,2,FALSE))</f>
        <v>55.238127690076098</v>
      </c>
      <c r="Q4945" s="3">
        <f>G4945*(VLOOKUP(B4945,Price_data!A$1:B$190,2,FALSE))</f>
        <v>0</v>
      </c>
      <c r="R4945" s="3">
        <f>I4945*(VLOOKUP(B4945,Price_data!A$1:B$190,2,FALSE))</f>
        <v>0</v>
      </c>
      <c r="S4945" s="4" t="str">
        <f>(VLOOKUP(B4945,Price_data!A$1:C$190,3,FALSE))</f>
        <v>EEZ</v>
      </c>
      <c r="T4945" s="2" t="str">
        <f>IF(C4945="Total", (VLOOKUP(B4945,Recommended_fish_intake!A$4:D$122,4,FALSE)), "NA")</f>
        <v>NA</v>
      </c>
      <c r="U4945" s="2" t="str">
        <f t="shared" si="412"/>
        <v>NA</v>
      </c>
    </row>
    <row r="4946" spans="1:21" ht="14.25" customHeight="1">
      <c r="A4946" s="2" t="s">
        <v>39</v>
      </c>
      <c r="B4946" s="2">
        <v>2016</v>
      </c>
      <c r="C4946" s="2" t="s">
        <v>36</v>
      </c>
      <c r="D4946" s="2">
        <v>13.91</v>
      </c>
      <c r="E4946" s="2">
        <v>21.752574670000001</v>
      </c>
      <c r="P4946" s="3">
        <f>E4946*(VLOOKUP(B4946,Price_data!A$1:B$190,2,FALSE))</f>
        <v>14.08247052483974</v>
      </c>
      <c r="Q4946" s="3">
        <f>G4946*(VLOOKUP(B4946,Price_data!A$1:B$190,2,FALSE))</f>
        <v>0</v>
      </c>
      <c r="R4946" s="3">
        <f>I4946*(VLOOKUP(B4946,Price_data!A$1:B$190,2,FALSE))</f>
        <v>0</v>
      </c>
      <c r="S4946" s="4" t="str">
        <f>(VLOOKUP(B4946,Price_data!A$1:C$190,3,FALSE))</f>
        <v>EEZ</v>
      </c>
      <c r="T4946" s="2" t="str">
        <f>IF(C4946="Total", (VLOOKUP(B4946,Recommended_fish_intake!A$4:D$122,4,FALSE)), "NA")</f>
        <v>NA</v>
      </c>
      <c r="U4946" s="2" t="str">
        <f t="shared" si="412"/>
        <v>NA</v>
      </c>
    </row>
    <row r="4947" spans="1:21" ht="14.25" customHeight="1">
      <c r="A4947" s="2" t="s">
        <v>39</v>
      </c>
      <c r="B4947" s="2">
        <v>2016</v>
      </c>
      <c r="C4947" s="2" t="s">
        <v>34</v>
      </c>
      <c r="D4947" s="2">
        <v>1.1399999999999999</v>
      </c>
      <c r="E4947" s="2">
        <v>13.700887959999999</v>
      </c>
      <c r="P4947" s="3">
        <f>E4947*(VLOOKUP(B4947,Price_data!A$1:B$190,2,FALSE))</f>
        <v>8.869862707651226</v>
      </c>
      <c r="Q4947" s="3">
        <f>G4947*(VLOOKUP(B4947,Price_data!A$1:B$190,2,FALSE))</f>
        <v>0</v>
      </c>
      <c r="R4947" s="3">
        <f>I4947*(VLOOKUP(B4947,Price_data!A$1:B$190,2,FALSE))</f>
        <v>0</v>
      </c>
      <c r="S4947" s="4" t="str">
        <f>(VLOOKUP(B4947,Price_data!A$1:C$190,3,FALSE))</f>
        <v>EEZ</v>
      </c>
      <c r="T4947" s="2" t="str">
        <f>IF(C4947="Total", (VLOOKUP(B4947,Recommended_fish_intake!A$4:D$122,4,FALSE)), "NA")</f>
        <v>NA</v>
      </c>
      <c r="U4947" s="2" t="str">
        <f t="shared" si="412"/>
        <v>NA</v>
      </c>
    </row>
    <row r="4948" spans="1:21" ht="14.25" customHeight="1">
      <c r="A4948" s="2" t="s">
        <v>39</v>
      </c>
      <c r="B4948" s="2">
        <v>2016</v>
      </c>
      <c r="C4948" s="2" t="s">
        <v>35</v>
      </c>
      <c r="D4948" s="2">
        <v>19.97</v>
      </c>
      <c r="E4948" s="2">
        <v>72.569006160000001</v>
      </c>
      <c r="P4948" s="3">
        <f>E4948*(VLOOKUP(B4948,Price_data!A$1:B$190,2,FALSE))</f>
        <v>46.980686459820966</v>
      </c>
      <c r="Q4948" s="3">
        <f>G4948*(VLOOKUP(B4948,Price_data!A$1:B$190,2,FALSE))</f>
        <v>0</v>
      </c>
      <c r="R4948" s="3">
        <f>I4948*(VLOOKUP(B4948,Price_data!A$1:B$190,2,FALSE))</f>
        <v>0</v>
      </c>
      <c r="S4948" s="4" t="str">
        <f>(VLOOKUP(B4948,Price_data!A$1:C$190,3,FALSE))</f>
        <v>EEZ</v>
      </c>
      <c r="T4948" s="2" t="str">
        <f>IF(C4948="Total", (VLOOKUP(B4948,Recommended_fish_intake!A$4:D$122,4,FALSE)), "NA")</f>
        <v>NA</v>
      </c>
      <c r="U4948" s="2" t="str">
        <f t="shared" si="412"/>
        <v>NA</v>
      </c>
    </row>
    <row r="4949" spans="1:21" ht="14.25" customHeight="1">
      <c r="A4949" s="2" t="s">
        <v>39</v>
      </c>
      <c r="B4949" s="2">
        <v>2016</v>
      </c>
      <c r="C4949" s="2" t="s">
        <v>52</v>
      </c>
      <c r="D4949" s="2">
        <v>16.149999999999999</v>
      </c>
      <c r="E4949" s="2">
        <v>33.194234780000002</v>
      </c>
      <c r="P4949" s="3">
        <f>E4949*(VLOOKUP(B4949,Price_data!A$1:B$190,2,FALSE))</f>
        <v>21.489724318871176</v>
      </c>
      <c r="Q4949" s="3">
        <f>G4949*(VLOOKUP(B4949,Price_data!A$1:B$190,2,FALSE))</f>
        <v>0</v>
      </c>
      <c r="R4949" s="3">
        <f>I4949*(VLOOKUP(B4949,Price_data!A$1:B$190,2,FALSE))</f>
        <v>0</v>
      </c>
      <c r="S4949" s="4" t="str">
        <f>(VLOOKUP(B4949,Price_data!A$1:C$190,3,FALSE))</f>
        <v>EEZ</v>
      </c>
      <c r="T4949" s="2" t="str">
        <f>IF(C4949="Total", (VLOOKUP(B4949,Recommended_fish_intake!A$4:D$122,4,FALSE)), "NA")</f>
        <v>NA</v>
      </c>
      <c r="U4949" s="2" t="str">
        <f t="shared" si="412"/>
        <v>NA</v>
      </c>
    </row>
    <row r="4950" spans="1:21" ht="14.25" customHeight="1">
      <c r="A4950" s="2" t="s">
        <v>39</v>
      </c>
      <c r="B4950" s="2">
        <v>2016</v>
      </c>
      <c r="C4950" s="2" t="s">
        <v>30</v>
      </c>
      <c r="D4950" s="2">
        <v>0</v>
      </c>
      <c r="E4950" s="2">
        <v>7.5133600000000002E-3</v>
      </c>
      <c r="P4950" s="3">
        <f>E4950*(VLOOKUP(B4950,Price_data!A$1:B$190,2,FALSE))</f>
        <v>4.8640987261352958E-3</v>
      </c>
      <c r="Q4950" s="3">
        <f>G4950*(VLOOKUP(B4950,Price_data!A$1:B$190,2,FALSE))</f>
        <v>0</v>
      </c>
      <c r="R4950" s="3">
        <f>I4950*(VLOOKUP(B4950,Price_data!A$1:B$190,2,FALSE))</f>
        <v>0</v>
      </c>
      <c r="S4950" s="4" t="str">
        <f>(VLOOKUP(B4950,Price_data!A$1:C$190,3,FALSE))</f>
        <v>EEZ</v>
      </c>
      <c r="T4950" s="2" t="str">
        <f>IF(C4950="Total", (VLOOKUP(B4950,Recommended_fish_intake!A$4:D$122,4,FALSE)), "NA")</f>
        <v>NA</v>
      </c>
      <c r="U4950" s="2" t="str">
        <f t="shared" si="412"/>
        <v>NA</v>
      </c>
    </row>
    <row r="4951" spans="1:21" ht="14.25" customHeight="1">
      <c r="A4951" s="2" t="s">
        <v>39</v>
      </c>
      <c r="B4951" s="2">
        <v>2016</v>
      </c>
      <c r="C4951" s="2" t="s">
        <v>41</v>
      </c>
      <c r="D4951" s="2">
        <v>103.1</v>
      </c>
      <c r="E4951" s="2">
        <v>182.99485799999999</v>
      </c>
      <c r="P4951" s="3">
        <f>E4951*(VLOOKUP(B4951,Price_data!A$1:B$190,2,FALSE))</f>
        <v>118.46964017258715</v>
      </c>
      <c r="Q4951" s="3">
        <f>G4951*(VLOOKUP(B4951,Price_data!A$1:B$190,2,FALSE))</f>
        <v>0</v>
      </c>
      <c r="R4951" s="3">
        <f>I4951*(VLOOKUP(B4951,Price_data!A$1:B$190,2,FALSE))</f>
        <v>0</v>
      </c>
      <c r="S4951" s="4" t="str">
        <f>(VLOOKUP(B4951,Price_data!A$1:C$190,3,FALSE))</f>
        <v>EEZ</v>
      </c>
      <c r="T4951" s="2" t="str">
        <f>IF(C4951="Total", (VLOOKUP(B4951,Recommended_fish_intake!A$4:D$122,4,FALSE)), "NA")</f>
        <v>NA</v>
      </c>
      <c r="U4951" s="2" t="str">
        <f t="shared" si="412"/>
        <v>NA</v>
      </c>
    </row>
    <row r="4952" spans="1:21" ht="14.25" customHeight="1">
      <c r="A4952" s="2" t="s">
        <v>39</v>
      </c>
      <c r="B4952" s="2">
        <v>2016</v>
      </c>
      <c r="C4952" s="2" t="s">
        <v>42</v>
      </c>
      <c r="D4952" s="2">
        <v>146.44</v>
      </c>
      <c r="E4952" s="2">
        <v>109.8471802</v>
      </c>
      <c r="P4952" s="3">
        <f>E4952*(VLOOKUP(B4952,Price_data!A$1:B$190,2,FALSE))</f>
        <v>71.114325585407101</v>
      </c>
      <c r="Q4952" s="3">
        <f>G4952*(VLOOKUP(B4952,Price_data!A$1:B$190,2,FALSE))</f>
        <v>0</v>
      </c>
      <c r="R4952" s="3">
        <f>I4952*(VLOOKUP(B4952,Price_data!A$1:B$190,2,FALSE))</f>
        <v>0</v>
      </c>
      <c r="S4952" s="4" t="str">
        <f>(VLOOKUP(B4952,Price_data!A$1:C$190,3,FALSE))</f>
        <v>EEZ</v>
      </c>
      <c r="T4952" s="2" t="str">
        <f>IF(C4952="Total", (VLOOKUP(B4952,Recommended_fish_intake!A$4:D$122,4,FALSE)), "NA")</f>
        <v>NA</v>
      </c>
      <c r="U4952" s="2" t="str">
        <f t="shared" si="412"/>
        <v>NA</v>
      </c>
    </row>
    <row r="4953" spans="1:21" ht="14.25" customHeight="1">
      <c r="A4953" s="2" t="s">
        <v>39</v>
      </c>
      <c r="B4953" s="2">
        <v>2016</v>
      </c>
      <c r="C4953" s="2" t="s">
        <v>28</v>
      </c>
      <c r="D4953" s="2">
        <v>55.34</v>
      </c>
      <c r="E4953" s="2">
        <v>152.00228899999999</v>
      </c>
      <c r="P4953" s="3">
        <f>E4953*(VLOOKUP(B4953,Price_data!A$1:B$190,2,FALSE))</f>
        <v>98.405259470403266</v>
      </c>
      <c r="Q4953" s="3">
        <f>G4953*(VLOOKUP(B4953,Price_data!A$1:B$190,2,FALSE))</f>
        <v>0</v>
      </c>
      <c r="R4953" s="3">
        <f>I4953*(VLOOKUP(B4953,Price_data!A$1:B$190,2,FALSE))</f>
        <v>0</v>
      </c>
      <c r="S4953" s="4" t="str">
        <f>(VLOOKUP(B4953,Price_data!A$1:C$190,3,FALSE))</f>
        <v>EEZ</v>
      </c>
      <c r="T4953" s="2" t="str">
        <f>IF(C4953="Total", (VLOOKUP(B4953,Recommended_fish_intake!A$4:D$122,4,FALSE)), "NA")</f>
        <v>NA</v>
      </c>
      <c r="U4953" s="2">
        <f t="shared" si="412"/>
        <v>15.495200000000002</v>
      </c>
    </row>
    <row r="4954" spans="1:21" ht="14.25" customHeight="1">
      <c r="A4954" s="2" t="s">
        <v>40</v>
      </c>
      <c r="B4954" s="2">
        <v>2016</v>
      </c>
      <c r="C4954" s="2" t="s">
        <v>22</v>
      </c>
      <c r="D4954" s="2">
        <v>4.08373E-2</v>
      </c>
      <c r="E4954" s="2">
        <v>6.1148500000000001E-2</v>
      </c>
      <c r="P4954" s="3">
        <f>E4954*(VLOOKUP(B4954,Price_data!A$1:B$190,2,FALSE))</f>
        <v>3.9587127590729597E-2</v>
      </c>
      <c r="Q4954" s="3">
        <f>G4954*(VLOOKUP(B4954,Price_data!A$1:B$190,2,FALSE))</f>
        <v>0</v>
      </c>
      <c r="R4954" s="3">
        <f>I4954*(VLOOKUP(B4954,Price_data!A$1:B$190,2,FALSE))</f>
        <v>0</v>
      </c>
      <c r="S4954" s="4" t="str">
        <f>(VLOOKUP(B4954,Price_data!A$1:C$190,3,FALSE))</f>
        <v>EEZ</v>
      </c>
      <c r="T4954" s="2" t="str">
        <f>IF(C4954="Total", (VLOOKUP(B4954,Recommended_fish_intake!A$4:D$122,4,FALSE)), "NA")</f>
        <v>NA</v>
      </c>
      <c r="U4954" s="2" t="str">
        <f t="shared" si="412"/>
        <v>NA</v>
      </c>
    </row>
    <row r="4955" spans="1:21" ht="14.25" customHeight="1">
      <c r="A4955" s="2" t="s">
        <v>40</v>
      </c>
      <c r="B4955" s="2">
        <v>2016</v>
      </c>
      <c r="C4955" s="2" t="s">
        <v>23</v>
      </c>
      <c r="D4955" s="2">
        <v>0.83853420000000001</v>
      </c>
      <c r="E4955" s="2">
        <v>1.01718675</v>
      </c>
      <c r="P4955" s="3">
        <f>E4955*(VLOOKUP(B4955,Price_data!A$1:B$190,2,FALSE))</f>
        <v>0.65851985994504481</v>
      </c>
      <c r="Q4955" s="3">
        <f>G4955*(VLOOKUP(B4955,Price_data!A$1:B$190,2,FALSE))</f>
        <v>0</v>
      </c>
      <c r="R4955" s="3">
        <f>I4955*(VLOOKUP(B4955,Price_data!A$1:B$190,2,FALSE))</f>
        <v>0</v>
      </c>
      <c r="S4955" s="4" t="str">
        <f>(VLOOKUP(B4955,Price_data!A$1:C$190,3,FALSE))</f>
        <v>EEZ</v>
      </c>
      <c r="T4955" s="2" t="str">
        <f>IF(C4955="Total", (VLOOKUP(B4955,Recommended_fish_intake!A$4:D$122,4,FALSE)), "NA")</f>
        <v>NA</v>
      </c>
      <c r="U4955" s="2" t="str">
        <f t="shared" si="412"/>
        <v>NA</v>
      </c>
    </row>
    <row r="4956" spans="1:21" ht="14.25" customHeight="1">
      <c r="A4956" s="2" t="s">
        <v>40</v>
      </c>
      <c r="B4956" s="2">
        <v>2016</v>
      </c>
      <c r="C4956" s="2" t="s">
        <v>53</v>
      </c>
      <c r="D4956" s="2">
        <v>0.1042467</v>
      </c>
      <c r="E4956" s="2">
        <v>0.17381526999999999</v>
      </c>
      <c r="P4956" s="3">
        <f>E4956*(VLOOKUP(B4956,Price_data!A$1:B$190,2,FALSE))</f>
        <v>0.11252683664696786</v>
      </c>
      <c r="Q4956" s="3">
        <f>G4956*(VLOOKUP(B4956,Price_data!A$1:B$190,2,FALSE))</f>
        <v>0</v>
      </c>
      <c r="R4956" s="3">
        <f>I4956*(VLOOKUP(B4956,Price_data!A$1:B$190,2,FALSE))</f>
        <v>0</v>
      </c>
      <c r="S4956" s="4" t="str">
        <f>(VLOOKUP(B4956,Price_data!A$1:C$190,3,FALSE))</f>
        <v>EEZ</v>
      </c>
      <c r="T4956" s="2" t="str">
        <f>IF(C4956="Total", (VLOOKUP(B4956,Recommended_fish_intake!A$4:D$122,4,FALSE)), "NA")</f>
        <v>NA</v>
      </c>
      <c r="U4956" s="2" t="str">
        <f t="shared" si="412"/>
        <v>NA</v>
      </c>
    </row>
    <row r="4957" spans="1:21" ht="14.25" customHeight="1">
      <c r="A4957" s="2" t="s">
        <v>40</v>
      </c>
      <c r="B4957" s="2">
        <v>2016</v>
      </c>
      <c r="C4957" s="2" t="s">
        <v>58</v>
      </c>
      <c r="D4957" s="2">
        <v>0.30352269999999998</v>
      </c>
      <c r="E4957" s="2">
        <v>0.59129054000000003</v>
      </c>
      <c r="P4957" s="3">
        <f>E4957*(VLOOKUP(B4957,Price_data!A$1:B$190,2,FALSE))</f>
        <v>0.38279751833931175</v>
      </c>
      <c r="Q4957" s="3">
        <f>G4957*(VLOOKUP(B4957,Price_data!A$1:B$190,2,FALSE))</f>
        <v>0</v>
      </c>
      <c r="R4957" s="3">
        <f>I4957*(VLOOKUP(B4957,Price_data!A$1:B$190,2,FALSE))</f>
        <v>0</v>
      </c>
      <c r="S4957" s="4" t="str">
        <f>(VLOOKUP(B4957,Price_data!A$1:C$190,3,FALSE))</f>
        <v>EEZ</v>
      </c>
      <c r="T4957" s="2" t="str">
        <f>IF(C4957="Total", (VLOOKUP(B4957,Recommended_fish_intake!A$4:D$122,4,FALSE)), "NA")</f>
        <v>NA</v>
      </c>
      <c r="U4957" s="2" t="str">
        <f t="shared" si="412"/>
        <v>NA</v>
      </c>
    </row>
    <row r="4958" spans="1:21" ht="14.25" customHeight="1">
      <c r="A4958" s="2" t="s">
        <v>40</v>
      </c>
      <c r="B4958" s="2">
        <v>2016</v>
      </c>
      <c r="C4958" s="2" t="s">
        <v>19</v>
      </c>
      <c r="D4958" s="2">
        <v>4.8038373999999999</v>
      </c>
      <c r="E4958" s="2">
        <v>2.4990113599999999</v>
      </c>
      <c r="P4958" s="3">
        <f>E4958*(VLOOKUP(B4958,Price_data!A$1:B$190,2,FALSE))</f>
        <v>1.6178431451139881</v>
      </c>
      <c r="Q4958" s="3">
        <f>G4958*(VLOOKUP(B4958,Price_data!A$1:B$190,2,FALSE))</f>
        <v>0</v>
      </c>
      <c r="R4958" s="3">
        <f>I4958*(VLOOKUP(B4958,Price_data!A$1:B$190,2,FALSE))</f>
        <v>0</v>
      </c>
      <c r="S4958" s="4" t="str">
        <f>(VLOOKUP(B4958,Price_data!A$1:C$190,3,FALSE))</f>
        <v>EEZ</v>
      </c>
      <c r="T4958" s="2" t="str">
        <f>IF(C4958="Total", (VLOOKUP(B4958,Recommended_fish_intake!A$4:D$122,4,FALSE)), "NA")</f>
        <v>NA</v>
      </c>
      <c r="U4958" s="2" t="str">
        <f t="shared" si="412"/>
        <v>NA</v>
      </c>
    </row>
    <row r="4959" spans="1:21" ht="14.25" customHeight="1">
      <c r="A4959" s="2" t="s">
        <v>40</v>
      </c>
      <c r="B4959" s="2">
        <v>2016</v>
      </c>
      <c r="C4959" s="2" t="s">
        <v>20</v>
      </c>
      <c r="D4959" s="2">
        <v>2.3025600000000002</v>
      </c>
      <c r="E4959" s="2">
        <v>1.6087830000000001</v>
      </c>
      <c r="P4959" s="3">
        <f>E4959*(VLOOKUP(B4959,Price_data!A$1:B$190,2,FALSE))</f>
        <v>1.0415152928820288</v>
      </c>
      <c r="Q4959" s="3">
        <f>G4959*(VLOOKUP(B4959,Price_data!A$1:B$190,2,FALSE))</f>
        <v>0</v>
      </c>
      <c r="R4959" s="3">
        <f>I4959*(VLOOKUP(B4959,Price_data!A$1:B$190,2,FALSE))</f>
        <v>0</v>
      </c>
      <c r="S4959" s="4" t="str">
        <f>(VLOOKUP(B4959,Price_data!A$1:C$190,3,FALSE))</f>
        <v>EEZ</v>
      </c>
      <c r="T4959" s="2" t="str">
        <f>IF(C4959="Total", (VLOOKUP(B4959,Recommended_fish_intake!A$4:D$122,4,FALSE)), "NA")</f>
        <v>NA</v>
      </c>
      <c r="U4959" s="2" t="str">
        <f t="shared" si="412"/>
        <v>NA</v>
      </c>
    </row>
    <row r="4960" spans="1:21" ht="14.25" customHeight="1">
      <c r="A4960" s="2" t="s">
        <v>40</v>
      </c>
      <c r="B4960" s="2">
        <v>2016</v>
      </c>
      <c r="C4960" s="2" t="s">
        <v>36</v>
      </c>
      <c r="D4960" s="2">
        <v>1.2603495</v>
      </c>
      <c r="E4960" s="2">
        <v>1.2426811200000001</v>
      </c>
      <c r="P4960" s="3">
        <f>E4960*(VLOOKUP(B4960,Price_data!A$1:B$190,2,FALSE))</f>
        <v>0.80450339831771445</v>
      </c>
      <c r="Q4960" s="3">
        <f>G4960*(VLOOKUP(B4960,Price_data!A$1:B$190,2,FALSE))</f>
        <v>0</v>
      </c>
      <c r="R4960" s="3">
        <f>I4960*(VLOOKUP(B4960,Price_data!A$1:B$190,2,FALSE))</f>
        <v>0</v>
      </c>
      <c r="S4960" s="4" t="str">
        <f>(VLOOKUP(B4960,Price_data!A$1:C$190,3,FALSE))</f>
        <v>EEZ</v>
      </c>
      <c r="T4960" s="2" t="str">
        <f>IF(C4960="Total", (VLOOKUP(B4960,Recommended_fish_intake!A$4:D$122,4,FALSE)), "NA")</f>
        <v>NA</v>
      </c>
      <c r="U4960" s="2" t="str">
        <f t="shared" si="412"/>
        <v>NA</v>
      </c>
    </row>
    <row r="4961" spans="1:21" ht="14.25" customHeight="1">
      <c r="A4961" s="2" t="s">
        <v>40</v>
      </c>
      <c r="B4961" s="2">
        <v>2016</v>
      </c>
      <c r="C4961" s="2" t="s">
        <v>34</v>
      </c>
      <c r="D4961" s="2">
        <v>8.0471500000000001E-2</v>
      </c>
      <c r="E4961" s="2">
        <v>0.91324824000000004</v>
      </c>
      <c r="P4961" s="3">
        <f>E4961*(VLOOKUP(B4961,Price_data!A$1:B$190,2,FALSE))</f>
        <v>0.59123076770303851</v>
      </c>
      <c r="Q4961" s="3">
        <f>G4961*(VLOOKUP(B4961,Price_data!A$1:B$190,2,FALSE))</f>
        <v>0</v>
      </c>
      <c r="R4961" s="3">
        <f>I4961*(VLOOKUP(B4961,Price_data!A$1:B$190,2,FALSE))</f>
        <v>0</v>
      </c>
      <c r="S4961" s="4" t="str">
        <f>(VLOOKUP(B4961,Price_data!A$1:C$190,3,FALSE))</f>
        <v>EEZ</v>
      </c>
      <c r="T4961" s="2" t="str">
        <f>IF(C4961="Total", (VLOOKUP(B4961,Recommended_fish_intake!A$4:D$122,4,FALSE)), "NA")</f>
        <v>NA</v>
      </c>
      <c r="U4961" s="2" t="str">
        <f t="shared" si="412"/>
        <v>NA</v>
      </c>
    </row>
    <row r="4962" spans="1:21" ht="14.25" customHeight="1">
      <c r="A4962" s="2" t="s">
        <v>40</v>
      </c>
      <c r="B4962" s="2">
        <v>2016</v>
      </c>
      <c r="C4962" s="2" t="s">
        <v>35</v>
      </c>
      <c r="D4962" s="2">
        <v>7.3157562</v>
      </c>
      <c r="E4962" s="2">
        <v>16.487198419999999</v>
      </c>
      <c r="P4962" s="3">
        <f>E4962*(VLOOKUP(B4962,Price_data!A$1:B$190,2,FALSE))</f>
        <v>10.673701357616547</v>
      </c>
      <c r="Q4962" s="3">
        <f>G4962*(VLOOKUP(B4962,Price_data!A$1:B$190,2,FALSE))</f>
        <v>0</v>
      </c>
      <c r="R4962" s="3">
        <f>I4962*(VLOOKUP(B4962,Price_data!A$1:B$190,2,FALSE))</f>
        <v>0</v>
      </c>
      <c r="S4962" s="4" t="str">
        <f>(VLOOKUP(B4962,Price_data!A$1:C$190,3,FALSE))</f>
        <v>EEZ</v>
      </c>
      <c r="T4962" s="2" t="str">
        <f>IF(C4962="Total", (VLOOKUP(B4962,Recommended_fish_intake!A$4:D$122,4,FALSE)), "NA")</f>
        <v>NA</v>
      </c>
      <c r="U4962" s="2" t="str">
        <f t="shared" si="412"/>
        <v>NA</v>
      </c>
    </row>
    <row r="4963" spans="1:21" ht="14.25" customHeight="1">
      <c r="A4963" s="2" t="s">
        <v>40</v>
      </c>
      <c r="B4963" s="2">
        <v>2016</v>
      </c>
      <c r="C4963" s="2" t="s">
        <v>52</v>
      </c>
      <c r="D4963" s="2">
        <v>1.6007212</v>
      </c>
      <c r="E4963" s="2">
        <v>3.47795319</v>
      </c>
      <c r="P4963" s="3">
        <f>E4963*(VLOOKUP(B4963,Price_data!A$1:B$190,2,FALSE))</f>
        <v>2.2516035011016626</v>
      </c>
      <c r="Q4963" s="3">
        <f>G4963*(VLOOKUP(B4963,Price_data!A$1:B$190,2,FALSE))</f>
        <v>0</v>
      </c>
      <c r="R4963" s="3">
        <f>I4963*(VLOOKUP(B4963,Price_data!A$1:B$190,2,FALSE))</f>
        <v>0</v>
      </c>
      <c r="S4963" s="4" t="str">
        <f>(VLOOKUP(B4963,Price_data!A$1:C$190,3,FALSE))</f>
        <v>EEZ</v>
      </c>
      <c r="T4963" s="2" t="str">
        <f>IF(C4963="Total", (VLOOKUP(B4963,Recommended_fish_intake!A$4:D$122,4,FALSE)), "NA")</f>
        <v>NA</v>
      </c>
      <c r="U4963" s="2" t="str">
        <f t="shared" si="412"/>
        <v>NA</v>
      </c>
    </row>
    <row r="4964" spans="1:21" ht="14.25" customHeight="1">
      <c r="A4964" s="2" t="s">
        <v>40</v>
      </c>
      <c r="B4964" s="2">
        <v>2016</v>
      </c>
      <c r="C4964" s="2" t="s">
        <v>30</v>
      </c>
      <c r="D4964" s="2">
        <v>4.3100000000000001E-4</v>
      </c>
      <c r="E4964" s="2">
        <v>6.5799999999999999E-3</v>
      </c>
      <c r="P4964" s="3">
        <f>E4964*(VLOOKUP(B4964,Price_data!A$1:B$190,2,FALSE))</f>
        <v>4.2598477402879999E-3</v>
      </c>
      <c r="Q4964" s="3">
        <f>G4964*(VLOOKUP(B4964,Price_data!A$1:B$190,2,FALSE))</f>
        <v>0</v>
      </c>
      <c r="R4964" s="3">
        <f>I4964*(VLOOKUP(B4964,Price_data!A$1:B$190,2,FALSE))</f>
        <v>0</v>
      </c>
      <c r="S4964" s="4" t="str">
        <f>(VLOOKUP(B4964,Price_data!A$1:C$190,3,FALSE))</f>
        <v>EEZ</v>
      </c>
      <c r="T4964" s="2" t="str">
        <f>IF(C4964="Total", (VLOOKUP(B4964,Recommended_fish_intake!A$4:D$122,4,FALSE)), "NA")</f>
        <v>NA</v>
      </c>
      <c r="U4964" s="2" t="str">
        <f t="shared" si="412"/>
        <v>NA</v>
      </c>
    </row>
    <row r="4965" spans="1:21" ht="14.25" customHeight="1">
      <c r="A4965" s="2" t="s">
        <v>40</v>
      </c>
      <c r="B4965" s="2">
        <v>2016</v>
      </c>
      <c r="C4965" s="2" t="s">
        <v>41</v>
      </c>
      <c r="D4965" s="2">
        <v>1.7839841000000001</v>
      </c>
      <c r="E4965" s="2">
        <v>2.2485398399999998</v>
      </c>
      <c r="P4965" s="3">
        <f>E4965*(VLOOKUP(B4965,Price_data!A$1:B$190,2,FALSE))</f>
        <v>1.45568956783762</v>
      </c>
      <c r="Q4965" s="3">
        <f>G4965*(VLOOKUP(B4965,Price_data!A$1:B$190,2,FALSE))</f>
        <v>0</v>
      </c>
      <c r="R4965" s="3">
        <f>I4965*(VLOOKUP(B4965,Price_data!A$1:B$190,2,FALSE))</f>
        <v>0</v>
      </c>
      <c r="S4965" s="4" t="str">
        <f>(VLOOKUP(B4965,Price_data!A$1:C$190,3,FALSE))</f>
        <v>EEZ</v>
      </c>
      <c r="T4965" s="2" t="str">
        <f>IF(C4965="Total", (VLOOKUP(B4965,Recommended_fish_intake!A$4:D$122,4,FALSE)), "NA")</f>
        <v>NA</v>
      </c>
      <c r="U4965" s="2" t="str">
        <f t="shared" si="412"/>
        <v>NA</v>
      </c>
    </row>
    <row r="4966" spans="1:21" ht="14.25" customHeight="1">
      <c r="A4966" s="2" t="s">
        <v>40</v>
      </c>
      <c r="B4966" s="2">
        <v>2016</v>
      </c>
      <c r="C4966" s="2" t="s">
        <v>42</v>
      </c>
      <c r="D4966" s="2">
        <v>7.1064506999999999</v>
      </c>
      <c r="E4966" s="2">
        <v>4.1082443599999996</v>
      </c>
      <c r="P4966" s="3">
        <f>E4966*(VLOOKUP(B4966,Price_data!A$1:B$190,2,FALSE))</f>
        <v>2.6596497649691364</v>
      </c>
      <c r="Q4966" s="3">
        <f>G4966*(VLOOKUP(B4966,Price_data!A$1:B$190,2,FALSE))</f>
        <v>0</v>
      </c>
      <c r="R4966" s="3">
        <f>I4966*(VLOOKUP(B4966,Price_data!A$1:B$190,2,FALSE))</f>
        <v>0</v>
      </c>
      <c r="S4966" s="4" t="str">
        <f>(VLOOKUP(B4966,Price_data!A$1:C$190,3,FALSE))</f>
        <v>EEZ</v>
      </c>
      <c r="T4966" s="2" t="str">
        <f>IF(C4966="Total", (VLOOKUP(B4966,Recommended_fish_intake!A$4:D$122,4,FALSE)), "NA")</f>
        <v>NA</v>
      </c>
      <c r="U4966" s="2" t="str">
        <f t="shared" si="412"/>
        <v>NA</v>
      </c>
    </row>
    <row r="4967" spans="1:21" ht="14.25" customHeight="1">
      <c r="A4967" s="2" t="s">
        <v>40</v>
      </c>
      <c r="B4967" s="2">
        <v>2016</v>
      </c>
      <c r="C4967" s="2" t="s">
        <v>28</v>
      </c>
      <c r="D4967" s="2">
        <v>10.6389219</v>
      </c>
      <c r="E4967" s="2">
        <v>22.477635899999999</v>
      </c>
      <c r="P4967" s="3">
        <f>E4967*(VLOOKUP(B4967,Price_data!A$1:B$190,2,FALSE))</f>
        <v>14.551870288089882</v>
      </c>
      <c r="Q4967" s="3">
        <f>G4967*(VLOOKUP(B4967,Price_data!A$1:B$190,2,FALSE))</f>
        <v>0</v>
      </c>
      <c r="R4967" s="3">
        <f>I4967*(VLOOKUP(B4967,Price_data!A$1:B$190,2,FALSE))</f>
        <v>0</v>
      </c>
      <c r="S4967" s="4" t="str">
        <f>(VLOOKUP(B4967,Price_data!A$1:C$190,3,FALSE))</f>
        <v>EEZ</v>
      </c>
      <c r="T4967" s="2" t="str">
        <f>IF(C4967="Total", (VLOOKUP(B4967,Recommended_fish_intake!A$4:D$122,4,FALSE)), "NA")</f>
        <v>NA</v>
      </c>
      <c r="U4967" s="2">
        <f t="shared" si="412"/>
        <v>2.9788981320000003</v>
      </c>
    </row>
    <row r="4968" spans="1:21" ht="14.25" customHeight="1">
      <c r="A4968" s="2" t="s">
        <v>40</v>
      </c>
      <c r="B4968" s="2">
        <v>2016</v>
      </c>
      <c r="C4968" s="2" t="s">
        <v>37</v>
      </c>
      <c r="D4968" s="3">
        <f>D3140+D3145</f>
        <v>1.5</v>
      </c>
      <c r="E4968" s="3">
        <f>E3140+E3145</f>
        <v>2.5</v>
      </c>
      <c r="P4968" s="3">
        <f>E4968*(VLOOKUP(B4968,Price_data!A$1:B$190,2,FALSE))</f>
        <v>1.618483184</v>
      </c>
      <c r="Q4968" s="3">
        <f>G4968*(VLOOKUP(B4968,Price_data!A$1:B$190,2,FALSE))</f>
        <v>0</v>
      </c>
      <c r="R4968" s="3">
        <f>I4968*(VLOOKUP(B4968,Price_data!A$1:B$190,2,FALSE))</f>
        <v>0</v>
      </c>
      <c r="S4968" s="4" t="str">
        <f>(VLOOKUP(B4968,Price_data!A$1:C$190,3,FALSE))</f>
        <v>EEZ</v>
      </c>
      <c r="T4968" s="2" t="str">
        <f>IF(C4968="Total", (VLOOKUP(B4968,Recommended_fish_intake!A$4:D$122,4,FALSE)), "NA")</f>
        <v>NA</v>
      </c>
      <c r="U4968" s="2">
        <f t="shared" si="412"/>
        <v>0.73499999999999999</v>
      </c>
    </row>
    <row r="4969" spans="1:21" ht="14.25" customHeight="1">
      <c r="A4969" s="2" t="s">
        <v>39</v>
      </c>
      <c r="B4969" s="2">
        <v>2016</v>
      </c>
      <c r="C4969" s="2" t="s">
        <v>37</v>
      </c>
      <c r="D4969" s="3">
        <f>D3061+D3066</f>
        <v>30.990000000000002</v>
      </c>
      <c r="E4969" s="3">
        <f>E3061+E3066</f>
        <v>22.128999999999998</v>
      </c>
      <c r="P4969" s="3">
        <f>E4969*(VLOOKUP(B4969,Price_data!A$1:B$190,2,FALSE))</f>
        <v>14.326165751494399</v>
      </c>
      <c r="Q4969" s="3">
        <f>G4969*(VLOOKUP(B4969,Price_data!A$1:B$190,2,FALSE))</f>
        <v>0</v>
      </c>
      <c r="R4969" s="3">
        <f>I4969*(VLOOKUP(B4969,Price_data!A$1:B$190,2,FALSE))</f>
        <v>0</v>
      </c>
      <c r="S4969" s="4" t="str">
        <f>(VLOOKUP(B4969,Price_data!A$1:C$190,3,FALSE))</f>
        <v>EEZ</v>
      </c>
      <c r="T4969" s="2" t="str">
        <f>IF(C4969="Total", (VLOOKUP(B4969,Recommended_fish_intake!A$4:D$122,4,FALSE)), "NA")</f>
        <v>NA</v>
      </c>
      <c r="U4969" s="2">
        <f t="shared" si="412"/>
        <v>15.1851</v>
      </c>
    </row>
    <row r="4970" spans="1:21" ht="14.25" customHeight="1">
      <c r="A4970" s="2" t="s">
        <v>18</v>
      </c>
      <c r="B4970" s="2">
        <v>2016</v>
      </c>
      <c r="C4970" s="2" t="s">
        <v>22</v>
      </c>
      <c r="D4970" s="3">
        <f t="shared" ref="D4970:E4983" si="413">D2852+D2927</f>
        <v>60.834000000000003</v>
      </c>
      <c r="E4970" s="3">
        <f t="shared" si="413"/>
        <v>15.645</v>
      </c>
      <c r="P4970" s="3">
        <f>E4970*(VLOOKUP(B4970,Price_data!A$1:B$190,2,FALSE))</f>
        <v>10.128467765471999</v>
      </c>
      <c r="Q4970" s="3">
        <f>G4970*(VLOOKUP(B4970,Price_data!A$1:B$190,2,FALSE))</f>
        <v>0</v>
      </c>
      <c r="R4970" s="3">
        <f>I4970*(VLOOKUP(B4970,Price_data!A$1:B$190,2,FALSE))</f>
        <v>0</v>
      </c>
      <c r="S4970" s="4" t="str">
        <f>(VLOOKUP(B4970,Price_data!A$1:C$190,3,FALSE))</f>
        <v>EEZ</v>
      </c>
      <c r="T4970" s="2" t="str">
        <f>IF(C4970="Total", (VLOOKUP(B4970,Recommended_fish_intake!A$4:D$122,4,FALSE)), "NA")</f>
        <v>NA</v>
      </c>
      <c r="U4970" s="2" t="str">
        <f t="shared" si="412"/>
        <v>NA</v>
      </c>
    </row>
    <row r="4971" spans="1:21" ht="14.25" customHeight="1">
      <c r="A4971" s="2" t="s">
        <v>18</v>
      </c>
      <c r="B4971" s="2">
        <v>2016</v>
      </c>
      <c r="C4971" s="2" t="s">
        <v>23</v>
      </c>
      <c r="D4971" s="3">
        <f t="shared" si="413"/>
        <v>7.2</v>
      </c>
      <c r="E4971" s="3">
        <f t="shared" si="413"/>
        <v>1.2</v>
      </c>
      <c r="P4971" s="3">
        <f>E4971*(VLOOKUP(B4971,Price_data!A$1:B$190,2,FALSE))</f>
        <v>0.77687192831999996</v>
      </c>
      <c r="Q4971" s="3">
        <f>G4971*(VLOOKUP(B4971,Price_data!A$1:B$190,2,FALSE))</f>
        <v>0</v>
      </c>
      <c r="R4971" s="3">
        <f>I4971*(VLOOKUP(B4971,Price_data!A$1:B$190,2,FALSE))</f>
        <v>0</v>
      </c>
      <c r="S4971" s="4" t="str">
        <f>(VLOOKUP(B4971,Price_data!A$1:C$190,3,FALSE))</f>
        <v>EEZ</v>
      </c>
      <c r="T4971" s="2" t="str">
        <f>IF(C4971="Total", (VLOOKUP(B4971,Recommended_fish_intake!A$4:D$122,4,FALSE)), "NA")</f>
        <v>NA</v>
      </c>
      <c r="U4971" s="2" t="str">
        <f t="shared" si="412"/>
        <v>NA</v>
      </c>
    </row>
    <row r="4972" spans="1:21" ht="14.25" customHeight="1">
      <c r="A4972" s="2" t="s">
        <v>18</v>
      </c>
      <c r="B4972" s="2">
        <v>2016</v>
      </c>
      <c r="C4972" s="2" t="s">
        <v>53</v>
      </c>
      <c r="D4972" s="3">
        <f t="shared" si="413"/>
        <v>12.5</v>
      </c>
      <c r="E4972" s="3">
        <f t="shared" si="413"/>
        <v>16</v>
      </c>
      <c r="P4972" s="3">
        <f>E4972*(VLOOKUP(B4972,Price_data!A$1:B$190,2,FALSE))</f>
        <v>10.3582923776</v>
      </c>
      <c r="Q4972" s="3">
        <f>G4972*(VLOOKUP(B4972,Price_data!A$1:B$190,2,FALSE))</f>
        <v>0</v>
      </c>
      <c r="R4972" s="3">
        <f>I4972*(VLOOKUP(B4972,Price_data!A$1:B$190,2,FALSE))</f>
        <v>0</v>
      </c>
      <c r="S4972" s="4" t="str">
        <f>(VLOOKUP(B4972,Price_data!A$1:C$190,3,FALSE))</f>
        <v>EEZ</v>
      </c>
      <c r="T4972" s="2" t="str">
        <f>IF(C4972="Total", (VLOOKUP(B4972,Recommended_fish_intake!A$4:D$122,4,FALSE)), "NA")</f>
        <v>NA</v>
      </c>
      <c r="U4972" s="2" t="str">
        <f t="shared" si="412"/>
        <v>NA</v>
      </c>
    </row>
    <row r="4973" spans="1:21" ht="14.25" customHeight="1">
      <c r="A4973" s="2" t="s">
        <v>18</v>
      </c>
      <c r="B4973" s="2">
        <v>2016</v>
      </c>
      <c r="C4973" s="2" t="s">
        <v>58</v>
      </c>
      <c r="D4973" s="3" t="e">
        <f t="shared" si="413"/>
        <v>#N/A</v>
      </c>
      <c r="E4973" s="3" t="e">
        <f t="shared" si="413"/>
        <v>#N/A</v>
      </c>
      <c r="P4973" s="3" t="e">
        <f>E4973*(VLOOKUP(B4973,Price_data!A$1:B$190,2,FALSE))</f>
        <v>#N/A</v>
      </c>
      <c r="Q4973" s="3">
        <f>G4973*(VLOOKUP(B4973,Price_data!A$1:B$190,2,FALSE))</f>
        <v>0</v>
      </c>
      <c r="R4973" s="3">
        <f>I4973*(VLOOKUP(B4973,Price_data!A$1:B$190,2,FALSE))</f>
        <v>0</v>
      </c>
      <c r="S4973" s="4" t="str">
        <f>(VLOOKUP(B4973,Price_data!A$1:C$190,3,FALSE))</f>
        <v>EEZ</v>
      </c>
      <c r="T4973" s="2" t="str">
        <f>IF(C4973="Total", (VLOOKUP(B4973,Recommended_fish_intake!A$4:D$122,4,FALSE)), "NA")</f>
        <v>NA</v>
      </c>
      <c r="U4973" s="2" t="str">
        <f t="shared" si="412"/>
        <v>NA</v>
      </c>
    </row>
    <row r="4974" spans="1:21" ht="14.25" customHeight="1">
      <c r="A4974" s="2" t="s">
        <v>18</v>
      </c>
      <c r="B4974" s="2">
        <v>2016</v>
      </c>
      <c r="C4974" s="2" t="s">
        <v>19</v>
      </c>
      <c r="D4974" s="3" t="e">
        <f t="shared" si="413"/>
        <v>#N/A</v>
      </c>
      <c r="E4974" s="3" t="e">
        <f t="shared" si="413"/>
        <v>#N/A</v>
      </c>
      <c r="P4974" s="3" t="e">
        <f>E4974*(VLOOKUP(B4974,Price_data!A$1:B$190,2,FALSE))</f>
        <v>#N/A</v>
      </c>
      <c r="Q4974" s="3">
        <f>G4974*(VLOOKUP(B4974,Price_data!A$1:B$190,2,FALSE))</f>
        <v>0</v>
      </c>
      <c r="R4974" s="3">
        <f>I4974*(VLOOKUP(B4974,Price_data!A$1:B$190,2,FALSE))</f>
        <v>0</v>
      </c>
      <c r="S4974" s="4" t="str">
        <f>(VLOOKUP(B4974,Price_data!A$1:C$190,3,FALSE))</f>
        <v>EEZ</v>
      </c>
      <c r="T4974" s="2" t="str">
        <f>IF(C4974="Total", (VLOOKUP(B4974,Recommended_fish_intake!A$4:D$122,4,FALSE)), "NA")</f>
        <v>NA</v>
      </c>
      <c r="U4974" s="2" t="str">
        <f t="shared" si="412"/>
        <v>NA</v>
      </c>
    </row>
    <row r="4975" spans="1:21" ht="14.25" customHeight="1">
      <c r="A4975" s="2" t="s">
        <v>18</v>
      </c>
      <c r="B4975" s="2">
        <v>2016</v>
      </c>
      <c r="C4975" s="2" t="s">
        <v>20</v>
      </c>
      <c r="D4975" s="3">
        <f t="shared" si="413"/>
        <v>31.1</v>
      </c>
      <c r="E4975" s="3">
        <f t="shared" si="413"/>
        <v>28.9</v>
      </c>
      <c r="P4975" s="3">
        <f>E4975*(VLOOKUP(B4975,Price_data!A$1:B$190,2,FALSE))</f>
        <v>18.709665607039998</v>
      </c>
      <c r="Q4975" s="3">
        <f>G4975*(VLOOKUP(B4975,Price_data!A$1:B$190,2,FALSE))</f>
        <v>0</v>
      </c>
      <c r="R4975" s="3">
        <f>I4975*(VLOOKUP(B4975,Price_data!A$1:B$190,2,FALSE))</f>
        <v>0</v>
      </c>
      <c r="S4975" s="4" t="str">
        <f>(VLOOKUP(B4975,Price_data!A$1:C$190,3,FALSE))</f>
        <v>EEZ</v>
      </c>
      <c r="T4975" s="2" t="str">
        <f>IF(C4975="Total", (VLOOKUP(B4975,Recommended_fish_intake!A$4:D$122,4,FALSE)), "NA")</f>
        <v>NA</v>
      </c>
      <c r="U4975" s="2" t="str">
        <f t="shared" si="412"/>
        <v>NA</v>
      </c>
    </row>
    <row r="4976" spans="1:21" ht="14.25" customHeight="1">
      <c r="A4976" s="2" t="s">
        <v>18</v>
      </c>
      <c r="B4976" s="2">
        <v>2016</v>
      </c>
      <c r="C4976" s="2" t="s">
        <v>36</v>
      </c>
      <c r="D4976" s="3">
        <f t="shared" si="413"/>
        <v>6.1</v>
      </c>
      <c r="E4976" s="3">
        <f t="shared" si="413"/>
        <v>4</v>
      </c>
      <c r="P4976" s="3">
        <f>E4976*(VLOOKUP(B4976,Price_data!A$1:B$190,2,FALSE))</f>
        <v>2.5895730943999999</v>
      </c>
      <c r="Q4976" s="3">
        <f>G4976*(VLOOKUP(B4976,Price_data!A$1:B$190,2,FALSE))</f>
        <v>0</v>
      </c>
      <c r="R4976" s="3">
        <f>I4976*(VLOOKUP(B4976,Price_data!A$1:B$190,2,FALSE))</f>
        <v>0</v>
      </c>
      <c r="S4976" s="4" t="str">
        <f>(VLOOKUP(B4976,Price_data!A$1:C$190,3,FALSE))</f>
        <v>EEZ</v>
      </c>
      <c r="T4976" s="2" t="str">
        <f>IF(C4976="Total", (VLOOKUP(B4976,Recommended_fish_intake!A$4:D$122,4,FALSE)), "NA")</f>
        <v>NA</v>
      </c>
      <c r="U4976" s="2" t="str">
        <f t="shared" si="412"/>
        <v>NA</v>
      </c>
    </row>
    <row r="4977" spans="1:21" ht="14.25" customHeight="1">
      <c r="A4977" s="2" t="s">
        <v>18</v>
      </c>
      <c r="B4977" s="2">
        <v>2016</v>
      </c>
      <c r="C4977" s="2" t="s">
        <v>34</v>
      </c>
      <c r="D4977" s="3">
        <f t="shared" si="413"/>
        <v>3.9</v>
      </c>
      <c r="E4977" s="3">
        <f t="shared" si="413"/>
        <v>7.4</v>
      </c>
      <c r="P4977" s="3">
        <f>E4977*(VLOOKUP(B4977,Price_data!A$1:B$190,2,FALSE))</f>
        <v>4.7907102246399997</v>
      </c>
      <c r="Q4977" s="3">
        <f>G4977*(VLOOKUP(B4977,Price_data!A$1:B$190,2,FALSE))</f>
        <v>0</v>
      </c>
      <c r="R4977" s="3">
        <f>I4977*(VLOOKUP(B4977,Price_data!A$1:B$190,2,FALSE))</f>
        <v>0</v>
      </c>
      <c r="S4977" s="4" t="str">
        <f>(VLOOKUP(B4977,Price_data!A$1:C$190,3,FALSE))</f>
        <v>EEZ</v>
      </c>
      <c r="T4977" s="2" t="str">
        <f>IF(C4977="Total", (VLOOKUP(B4977,Recommended_fish_intake!A$4:D$122,4,FALSE)), "NA")</f>
        <v>NA</v>
      </c>
      <c r="U4977" s="2" t="str">
        <f t="shared" si="412"/>
        <v>NA</v>
      </c>
    </row>
    <row r="4978" spans="1:21" ht="14.25" customHeight="1">
      <c r="A4978" s="2" t="s">
        <v>18</v>
      </c>
      <c r="B4978" s="2">
        <v>2016</v>
      </c>
      <c r="C4978" s="2" t="s">
        <v>35</v>
      </c>
      <c r="D4978" s="3">
        <f t="shared" si="413"/>
        <v>4.5999999999999996</v>
      </c>
      <c r="E4978" s="3">
        <f t="shared" si="413"/>
        <v>1.9</v>
      </c>
      <c r="P4978" s="3">
        <f>E4978*(VLOOKUP(B4978,Price_data!A$1:B$190,2,FALSE))</f>
        <v>1.2300472198399999</v>
      </c>
      <c r="Q4978" s="3">
        <f>G4978*(VLOOKUP(B4978,Price_data!A$1:B$190,2,FALSE))</f>
        <v>0</v>
      </c>
      <c r="R4978" s="3">
        <f>I4978*(VLOOKUP(B4978,Price_data!A$1:B$190,2,FALSE))</f>
        <v>0</v>
      </c>
      <c r="S4978" s="4" t="str">
        <f>(VLOOKUP(B4978,Price_data!A$1:C$190,3,FALSE))</f>
        <v>EEZ</v>
      </c>
      <c r="T4978" s="2" t="str">
        <f>IF(C4978="Total", (VLOOKUP(B4978,Recommended_fish_intake!A$4:D$122,4,FALSE)), "NA")</f>
        <v>NA</v>
      </c>
      <c r="U4978" s="2" t="str">
        <f t="shared" si="412"/>
        <v>NA</v>
      </c>
    </row>
    <row r="4979" spans="1:21" ht="14.25" customHeight="1">
      <c r="A4979" s="2" t="s">
        <v>18</v>
      </c>
      <c r="B4979" s="2">
        <v>2016</v>
      </c>
      <c r="C4979" s="2" t="s">
        <v>52</v>
      </c>
      <c r="D4979" s="3">
        <f t="shared" si="413"/>
        <v>80.5</v>
      </c>
      <c r="E4979" s="3">
        <f t="shared" si="413"/>
        <v>107.6</v>
      </c>
      <c r="P4979" s="3">
        <f>E4979*(VLOOKUP(B4979,Price_data!A$1:B$190,2,FALSE))</f>
        <v>69.659516239359988</v>
      </c>
      <c r="Q4979" s="3">
        <f>G4979*(VLOOKUP(B4979,Price_data!A$1:B$190,2,FALSE))</f>
        <v>0</v>
      </c>
      <c r="R4979" s="3">
        <f>I4979*(VLOOKUP(B4979,Price_data!A$1:B$190,2,FALSE))</f>
        <v>0</v>
      </c>
      <c r="S4979" s="4" t="str">
        <f>(VLOOKUP(B4979,Price_data!A$1:C$190,3,FALSE))</f>
        <v>EEZ</v>
      </c>
      <c r="T4979" s="2" t="str">
        <f>IF(C4979="Total", (VLOOKUP(B4979,Recommended_fish_intake!A$4:D$122,4,FALSE)), "NA")</f>
        <v>NA</v>
      </c>
      <c r="U4979" s="2" t="str">
        <f t="shared" si="412"/>
        <v>NA</v>
      </c>
    </row>
    <row r="4980" spans="1:21" ht="14.25" customHeight="1">
      <c r="A4980" s="2" t="s">
        <v>18</v>
      </c>
      <c r="B4980" s="2">
        <v>2016</v>
      </c>
      <c r="C4980" s="2" t="s">
        <v>30</v>
      </c>
      <c r="D4980" s="3">
        <f t="shared" si="413"/>
        <v>43.07</v>
      </c>
      <c r="E4980" s="3">
        <f t="shared" si="413"/>
        <v>39.174999999999997</v>
      </c>
      <c r="P4980" s="3">
        <f>E4980*(VLOOKUP(B4980,Price_data!A$1:B$190,2,FALSE))</f>
        <v>25.361631493279997</v>
      </c>
      <c r="Q4980" s="3">
        <f>G4980*(VLOOKUP(B4980,Price_data!A$1:B$190,2,FALSE))</f>
        <v>0</v>
      </c>
      <c r="R4980" s="3">
        <f>I4980*(VLOOKUP(B4980,Price_data!A$1:B$190,2,FALSE))</f>
        <v>0</v>
      </c>
      <c r="S4980" s="4" t="str">
        <f>(VLOOKUP(B4980,Price_data!A$1:C$190,3,FALSE))</f>
        <v>EEZ</v>
      </c>
      <c r="T4980" s="2" t="str">
        <f>IF(C4980="Total", (VLOOKUP(B4980,Recommended_fish_intake!A$4:D$122,4,FALSE)), "NA")</f>
        <v>NA</v>
      </c>
      <c r="U4980" s="2" t="str">
        <f t="shared" si="412"/>
        <v>NA</v>
      </c>
    </row>
    <row r="4981" spans="1:21" ht="14.25" customHeight="1">
      <c r="A4981" s="2" t="s">
        <v>18</v>
      </c>
      <c r="B4981" s="2">
        <v>2016</v>
      </c>
      <c r="C4981" s="2" t="s">
        <v>41</v>
      </c>
      <c r="D4981" s="3">
        <f t="shared" si="413"/>
        <v>106.494</v>
      </c>
      <c r="E4981" s="3">
        <f t="shared" si="413"/>
        <v>55.037000000000006</v>
      </c>
      <c r="P4981" s="3">
        <f>E4981*(VLOOKUP(B4981,Price_data!A$1:B$190,2,FALSE))</f>
        <v>35.630583599123206</v>
      </c>
      <c r="Q4981" s="3">
        <f>G4981*(VLOOKUP(B4981,Price_data!A$1:B$190,2,FALSE))</f>
        <v>0</v>
      </c>
      <c r="R4981" s="3">
        <f>I4981*(VLOOKUP(B4981,Price_data!A$1:B$190,2,FALSE))</f>
        <v>0</v>
      </c>
      <c r="S4981" s="4" t="str">
        <f>(VLOOKUP(B4981,Price_data!A$1:C$190,3,FALSE))</f>
        <v>EEZ</v>
      </c>
      <c r="T4981" s="2" t="str">
        <f>IF(C4981="Total", (VLOOKUP(B4981,Recommended_fish_intake!A$4:D$122,4,FALSE)), "NA")</f>
        <v>NA</v>
      </c>
      <c r="U4981" s="2" t="str">
        <f t="shared" si="412"/>
        <v>NA</v>
      </c>
    </row>
    <row r="4982" spans="1:21" ht="14.25" customHeight="1">
      <c r="A4982" s="2" t="s">
        <v>18</v>
      </c>
      <c r="B4982" s="2">
        <v>2016</v>
      </c>
      <c r="C4982" s="2" t="s">
        <v>42</v>
      </c>
      <c r="D4982" s="3">
        <f t="shared" si="413"/>
        <v>61.198</v>
      </c>
      <c r="E4982" s="3">
        <f t="shared" si="413"/>
        <v>52.204000000000001</v>
      </c>
      <c r="P4982" s="3">
        <f>E4982*(VLOOKUP(B4982,Price_data!A$1:B$190,2,FALSE))</f>
        <v>33.7965184550144</v>
      </c>
      <c r="Q4982" s="3">
        <f>G4982*(VLOOKUP(B4982,Price_data!A$1:B$190,2,FALSE))</f>
        <v>0</v>
      </c>
      <c r="R4982" s="3">
        <f>I4982*(VLOOKUP(B4982,Price_data!A$1:B$190,2,FALSE))</f>
        <v>0</v>
      </c>
      <c r="S4982" s="4" t="str">
        <f>(VLOOKUP(B4982,Price_data!A$1:C$190,3,FALSE))</f>
        <v>EEZ</v>
      </c>
      <c r="T4982" s="2" t="str">
        <f>IF(C4982="Total", (VLOOKUP(B4982,Recommended_fish_intake!A$4:D$122,4,FALSE)), "NA")</f>
        <v>NA</v>
      </c>
      <c r="U4982" s="2" t="str">
        <f t="shared" si="412"/>
        <v>NA</v>
      </c>
    </row>
    <row r="4983" spans="1:21" ht="14.25" customHeight="1">
      <c r="A4983" s="2" t="s">
        <v>18</v>
      </c>
      <c r="B4983" s="2">
        <v>2016</v>
      </c>
      <c r="C4983" s="2" t="s">
        <v>28</v>
      </c>
      <c r="D4983" s="3">
        <f t="shared" si="413"/>
        <v>41.471000000000004</v>
      </c>
      <c r="E4983" s="3">
        <f t="shared" si="413"/>
        <v>28.544</v>
      </c>
      <c r="P4983" s="3">
        <f>E4983*(VLOOKUP(B4983,Price_data!A$1:B$190,2,FALSE))</f>
        <v>18.4791936016384</v>
      </c>
      <c r="Q4983" s="3">
        <f>G4983*(VLOOKUP(B4983,Price_data!A$1:B$190,2,FALSE))</f>
        <v>0</v>
      </c>
      <c r="R4983" s="3">
        <f>I4983*(VLOOKUP(B4983,Price_data!A$1:B$190,2,FALSE))</f>
        <v>0</v>
      </c>
      <c r="S4983" s="4" t="str">
        <f>(VLOOKUP(B4983,Price_data!A$1:C$190,3,FALSE))</f>
        <v>EEZ</v>
      </c>
      <c r="T4983" s="2" t="str">
        <f>IF(C4983="Total", (VLOOKUP(B4983,Recommended_fish_intake!A$4:D$122,4,FALSE)), "NA")</f>
        <v>NA</v>
      </c>
      <c r="U4983" s="2">
        <f t="shared" si="412"/>
        <v>11.611880000000003</v>
      </c>
    </row>
    <row r="4984" spans="1:21" ht="14.25" customHeight="1">
      <c r="A4984" s="2" t="s">
        <v>18</v>
      </c>
      <c r="B4984" s="2">
        <v>2016</v>
      </c>
      <c r="C4984" s="2" t="s">
        <v>37</v>
      </c>
      <c r="D4984" s="3">
        <f>D4969+D4964</f>
        <v>30.990431000000001</v>
      </c>
      <c r="E4984" s="3">
        <f>E4969+E4964</f>
        <v>22.135579999999997</v>
      </c>
      <c r="P4984" s="3">
        <f>E4984*(VLOOKUP(B4984,Price_data!A$1:B$190,2,FALSE))</f>
        <v>14.330425599234687</v>
      </c>
      <c r="Q4984" s="3">
        <f>G4984*(VLOOKUP(B4984,Price_data!A$1:B$190,2,FALSE))</f>
        <v>0</v>
      </c>
      <c r="R4984" s="3">
        <f>I4984*(VLOOKUP(B4984,Price_data!A$1:B$190,2,FALSE))</f>
        <v>0</v>
      </c>
      <c r="S4984" s="4" t="str">
        <f>(VLOOKUP(B4984,Price_data!A$1:C$190,3,FALSE))</f>
        <v>EEZ</v>
      </c>
      <c r="T4984" s="2" t="str">
        <f>IF(C4984="Total", (VLOOKUP(B4984,Recommended_fish_intake!A$4:D$122,4,FALSE)), "NA")</f>
        <v>NA</v>
      </c>
      <c r="U4984" s="2">
        <f t="shared" si="412"/>
        <v>15.18531119</v>
      </c>
    </row>
    <row r="4985" spans="1:21" ht="14.25" customHeight="1">
      <c r="A4985" s="2" t="s">
        <v>15</v>
      </c>
      <c r="B4985" s="2">
        <v>2016</v>
      </c>
      <c r="C4985" s="2" t="s">
        <v>24</v>
      </c>
      <c r="D4985" s="2">
        <v>10.3</v>
      </c>
      <c r="E4985" s="2">
        <v>10.8</v>
      </c>
      <c r="F4985" s="2">
        <v>0.5</v>
      </c>
      <c r="G4985" s="2">
        <v>0.8</v>
      </c>
      <c r="H4985" s="2">
        <v>3.9</v>
      </c>
      <c r="I4985" s="2">
        <v>3.3</v>
      </c>
      <c r="P4985" s="3">
        <f>E4985*(VLOOKUP(B4985,Price_data!A$1:B$190,2,FALSE))</f>
        <v>6.99184735488</v>
      </c>
      <c r="Q4985" s="3">
        <f>G4985*(VLOOKUP(B4985,Price_data!A$1:B$190,2,FALSE))</f>
        <v>0.51791461888000001</v>
      </c>
      <c r="R4985" s="3">
        <f>I4985*(VLOOKUP(B4985,Price_data!A$1:B$190,2,FALSE))</f>
        <v>2.1363978028799999</v>
      </c>
      <c r="S4985" s="4" t="str">
        <f>(VLOOKUP(B4985,Price_data!A$1:C$190,3,FALSE))</f>
        <v>EEZ</v>
      </c>
      <c r="T4985" s="2" t="str">
        <f>IF(C4985="Total", (VLOOKUP(B4985,Recommended_fish_intake!A$4:D$122,4,FALSE)), "NA")</f>
        <v>NA</v>
      </c>
      <c r="U4985" s="2" t="str">
        <f t="shared" si="412"/>
        <v>NA</v>
      </c>
    </row>
    <row r="4986" spans="1:21" ht="14.25" customHeight="1">
      <c r="A4986" s="2" t="s">
        <v>15</v>
      </c>
      <c r="B4986" s="2">
        <v>2016</v>
      </c>
      <c r="C4986" s="2" t="s">
        <v>60</v>
      </c>
      <c r="D4986" s="2">
        <v>1.9</v>
      </c>
      <c r="E4986" s="2">
        <v>4.3</v>
      </c>
      <c r="F4986" s="2">
        <v>2</v>
      </c>
      <c r="G4986" s="2">
        <v>6</v>
      </c>
      <c r="H4986" s="2">
        <v>31.1</v>
      </c>
      <c r="I4986" s="2">
        <v>66.099999999999994</v>
      </c>
      <c r="P4986" s="3">
        <f>E4986*(VLOOKUP(B4986,Price_data!A$1:B$190,2,FALSE))</f>
        <v>2.78379107648</v>
      </c>
      <c r="Q4986" s="3">
        <f>G4986*(VLOOKUP(B4986,Price_data!A$1:B$190,2,FALSE))</f>
        <v>3.8843596415999997</v>
      </c>
      <c r="R4986" s="3">
        <f>I4986*(VLOOKUP(B4986,Price_data!A$1:B$190,2,FALSE))</f>
        <v>42.792695384959998</v>
      </c>
      <c r="S4986" s="4" t="str">
        <f>(VLOOKUP(B4986,Price_data!A$1:C$190,3,FALSE))</f>
        <v>EEZ</v>
      </c>
      <c r="T4986" s="2" t="str">
        <f>IF(C4986="Total", (VLOOKUP(B4986,Recommended_fish_intake!A$4:D$122,4,FALSE)), "NA")</f>
        <v>NA</v>
      </c>
      <c r="U4986" s="2" t="str">
        <f t="shared" si="412"/>
        <v>NA</v>
      </c>
    </row>
    <row r="4987" spans="1:21" ht="14.25" customHeight="1">
      <c r="A4987" s="2" t="s">
        <v>15</v>
      </c>
      <c r="B4987" s="2">
        <v>2016</v>
      </c>
      <c r="C4987" s="2" t="s">
        <v>29</v>
      </c>
      <c r="D4987" s="2" t="s">
        <v>17</v>
      </c>
      <c r="E4987" s="2" t="s">
        <v>17</v>
      </c>
      <c r="F4987" s="2">
        <v>105.3</v>
      </c>
      <c r="G4987" s="2">
        <v>580.70000000000005</v>
      </c>
      <c r="H4987" s="2">
        <v>85.8</v>
      </c>
      <c r="I4987" s="2">
        <v>488.7</v>
      </c>
      <c r="P4987" s="3" t="e">
        <f>E4987*(VLOOKUP(B4987,Price_data!A$1:B$190,2,FALSE))</f>
        <v>#VALUE!</v>
      </c>
      <c r="Q4987" s="3">
        <f>G4987*(VLOOKUP(B4987,Price_data!A$1:B$190,2,FALSE))</f>
        <v>375.94127397952002</v>
      </c>
      <c r="R4987" s="3">
        <f>I4987*(VLOOKUP(B4987,Price_data!A$1:B$190,2,FALSE))</f>
        <v>316.38109280831998</v>
      </c>
      <c r="S4987" s="4" t="str">
        <f>(VLOOKUP(B4987,Price_data!A$1:C$190,3,FALSE))</f>
        <v>EEZ</v>
      </c>
      <c r="T4987" s="2" t="str">
        <f>IF(C4987="Total", (VLOOKUP(B4987,Recommended_fish_intake!A$4:D$122,4,FALSE)), "NA")</f>
        <v>NA</v>
      </c>
      <c r="U4987" s="2" t="str">
        <f t="shared" si="412"/>
        <v>NA</v>
      </c>
    </row>
    <row r="4988" spans="1:21" ht="14.25" customHeight="1">
      <c r="A4988" s="2" t="s">
        <v>15</v>
      </c>
      <c r="B4988" s="2">
        <v>2016</v>
      </c>
      <c r="C4988" s="2" t="s">
        <v>93</v>
      </c>
      <c r="D4988" s="2">
        <v>8</v>
      </c>
      <c r="E4988" s="2">
        <v>2.6</v>
      </c>
      <c r="F4988" s="2">
        <v>7.6</v>
      </c>
      <c r="G4988" s="2">
        <v>9.4</v>
      </c>
      <c r="H4988" s="2">
        <v>13.5</v>
      </c>
      <c r="I4988" s="2">
        <v>34.4</v>
      </c>
      <c r="P4988" s="3">
        <f>E4988*(VLOOKUP(B4988,Price_data!A$1:B$190,2,FALSE))</f>
        <v>1.6832225113600001</v>
      </c>
      <c r="Q4988" s="3">
        <f>G4988*(VLOOKUP(B4988,Price_data!A$1:B$190,2,FALSE))</f>
        <v>6.0854967718399999</v>
      </c>
      <c r="R4988" s="3">
        <f>I4988*(VLOOKUP(B4988,Price_data!A$1:B$190,2,FALSE))</f>
        <v>22.27032861184</v>
      </c>
      <c r="S4988" s="4" t="str">
        <f>(VLOOKUP(B4988,Price_data!A$1:C$190,3,FALSE))</f>
        <v>EEZ</v>
      </c>
      <c r="T4988" s="2" t="str">
        <f>IF(C4988="Total", (VLOOKUP(B4988,Recommended_fish_intake!A$4:D$122,4,FALSE)), "NA")</f>
        <v>NA</v>
      </c>
      <c r="U4988" s="2" t="str">
        <f t="shared" si="412"/>
        <v>NA</v>
      </c>
    </row>
    <row r="4989" spans="1:21" ht="14.25" customHeight="1">
      <c r="A4989" s="2" t="s">
        <v>15</v>
      </c>
      <c r="B4989" s="2">
        <v>2016</v>
      </c>
      <c r="C4989" s="2" t="s">
        <v>43</v>
      </c>
      <c r="D4989" s="2" t="s">
        <v>17</v>
      </c>
      <c r="E4989" s="2" t="s">
        <v>17</v>
      </c>
      <c r="F4989" s="2">
        <v>5.9</v>
      </c>
      <c r="G4989" s="2">
        <v>22.6</v>
      </c>
      <c r="H4989" s="2">
        <v>122.7</v>
      </c>
      <c r="I4989" s="2">
        <v>390.8</v>
      </c>
      <c r="P4989" s="3" t="e">
        <f>E4989*(VLOOKUP(B4989,Price_data!A$1:B$190,2,FALSE))</f>
        <v>#VALUE!</v>
      </c>
      <c r="Q4989" s="3">
        <f>G4989*(VLOOKUP(B4989,Price_data!A$1:B$190,2,FALSE))</f>
        <v>14.63108798336</v>
      </c>
      <c r="R4989" s="3">
        <f>I4989*(VLOOKUP(B4989,Price_data!A$1:B$190,2,FALSE))</f>
        <v>253.00129132288001</v>
      </c>
      <c r="S4989" s="4" t="str">
        <f>(VLOOKUP(B4989,Price_data!A$1:C$190,3,FALSE))</f>
        <v>EEZ</v>
      </c>
      <c r="T4989" s="2" t="str">
        <f>IF(C4989="Total", (VLOOKUP(B4989,Recommended_fish_intake!A$4:D$122,4,FALSE)), "NA")</f>
        <v>NA</v>
      </c>
      <c r="U4989" s="2" t="str">
        <f t="shared" si="412"/>
        <v>NA</v>
      </c>
    </row>
    <row r="4990" spans="1:21" ht="14.25" customHeight="1">
      <c r="A4990" s="2" t="s">
        <v>15</v>
      </c>
      <c r="B4990" s="2">
        <v>2016</v>
      </c>
      <c r="C4990" s="2" t="s">
        <v>25</v>
      </c>
      <c r="D4990" s="2">
        <v>4.7</v>
      </c>
      <c r="E4990" s="2">
        <v>5.3</v>
      </c>
      <c r="F4990" s="4">
        <v>1.1000000000000001</v>
      </c>
      <c r="G4990" s="4">
        <v>1.6</v>
      </c>
      <c r="H4990" s="4">
        <v>4.2</v>
      </c>
      <c r="I4990" s="4">
        <v>12.4</v>
      </c>
      <c r="P4990" s="3">
        <f>E4990*(VLOOKUP(B4990,Price_data!A$1:B$190,2,FALSE))</f>
        <v>3.4311843500799997</v>
      </c>
      <c r="Q4990" s="3">
        <f>G4990*(VLOOKUP(B4990,Price_data!A$1:B$190,2,FALSE))</f>
        <v>1.03582923776</v>
      </c>
      <c r="R4990" s="3">
        <f>I4990*(VLOOKUP(B4990,Price_data!A$1:B$190,2,FALSE))</f>
        <v>8.0276765926400007</v>
      </c>
      <c r="S4990" s="4" t="str">
        <f>(VLOOKUP(B4990,Price_data!A$1:C$190,3,FALSE))</f>
        <v>EEZ</v>
      </c>
      <c r="T4990" s="2" t="str">
        <f>IF(C4990="Total", (VLOOKUP(B4990,Recommended_fish_intake!A$4:D$122,4,FALSE)), "NA")</f>
        <v>NA</v>
      </c>
      <c r="U4990" s="2" t="str">
        <f t="shared" si="412"/>
        <v>NA</v>
      </c>
    </row>
    <row r="4991" spans="1:21" ht="14.25" customHeight="1">
      <c r="A4991" s="2" t="s">
        <v>15</v>
      </c>
      <c r="B4991" s="2">
        <v>2016</v>
      </c>
      <c r="C4991" s="2" t="s">
        <v>16</v>
      </c>
      <c r="D4991" s="2">
        <v>444.4</v>
      </c>
      <c r="E4991" s="2">
        <v>693.4</v>
      </c>
      <c r="F4991" s="2">
        <v>439.9</v>
      </c>
      <c r="G4991" s="2">
        <v>1638.4</v>
      </c>
      <c r="H4991" s="2">
        <v>729.2</v>
      </c>
      <c r="I4991" s="2">
        <v>3069.3</v>
      </c>
      <c r="P4991" s="3">
        <f>E4991*(VLOOKUP(B4991,Price_data!A$1:B$190,2,FALSE))</f>
        <v>448.90249591423998</v>
      </c>
      <c r="Q4991" s="3">
        <f>G4991*(VLOOKUP(B4991,Price_data!A$1:B$190,2,FALSE))</f>
        <v>1060.68913946624</v>
      </c>
      <c r="R4991" s="3">
        <f>I4991*(VLOOKUP(B4991,Price_data!A$1:B$190,2,FALSE))</f>
        <v>1987.0441746604802</v>
      </c>
      <c r="S4991" s="4" t="str">
        <f>(VLOOKUP(B4991,Price_data!A$1:C$190,3,FALSE))</f>
        <v>EEZ</v>
      </c>
      <c r="T4991" s="2">
        <f>IF(C4991="Total", (VLOOKUP(B4991,Recommended_fish_intake!A$4:D$122,4,FALSE)), "NA")</f>
        <v>873.22310718552001</v>
      </c>
      <c r="U4991" s="2" t="str">
        <f t="shared" si="412"/>
        <v>NA</v>
      </c>
    </row>
    <row r="4992" spans="1:21" ht="14.25" customHeight="1">
      <c r="A4992" s="2" t="s">
        <v>90</v>
      </c>
      <c r="B4992" s="2">
        <v>2016</v>
      </c>
      <c r="C4992" s="2" t="s">
        <v>16</v>
      </c>
      <c r="D4992" s="2">
        <v>100.8</v>
      </c>
      <c r="E4992" s="2">
        <v>189.9</v>
      </c>
      <c r="P4992" s="3">
        <f>E4992*(VLOOKUP(B4992,Price_data!A$1:B$190,2,FALSE))</f>
        <v>122.93998265664</v>
      </c>
      <c r="Q4992" s="3">
        <f>G4992*(VLOOKUP(B4992,Price_data!A$1:B$190,2,FALSE))</f>
        <v>0</v>
      </c>
      <c r="R4992" s="3">
        <f>I4992*(VLOOKUP(B4992,Price_data!A$1:B$190,2,FALSE))</f>
        <v>0</v>
      </c>
      <c r="S4992" s="4" t="str">
        <f>(VLOOKUP(B4992,Price_data!A$1:C$190,3,FALSE))</f>
        <v>EEZ</v>
      </c>
      <c r="T4992" s="2">
        <f>IF(C4992="Total", (VLOOKUP(B4992,Recommended_fish_intake!A$4:D$122,4,FALSE)), "NA")</f>
        <v>873.22310718552001</v>
      </c>
      <c r="U4992" s="2" t="str">
        <f t="shared" si="412"/>
        <v>NA</v>
      </c>
    </row>
    <row r="4993" spans="1:21" ht="14.25" customHeight="1">
      <c r="A4993" s="2" t="s">
        <v>91</v>
      </c>
      <c r="B4993" s="2">
        <v>2016</v>
      </c>
      <c r="C4993" s="2" t="s">
        <v>16</v>
      </c>
      <c r="D4993" s="2">
        <v>10.9</v>
      </c>
      <c r="E4993" s="2">
        <v>16.72</v>
      </c>
      <c r="P4993" s="3">
        <f>E4993*(VLOOKUP(B4993,Price_data!A$1:B$190,2,FALSE))</f>
        <v>10.824415534591999</v>
      </c>
      <c r="Q4993" s="3">
        <f>G4993*(VLOOKUP(B4993,Price_data!A$1:B$190,2,FALSE))</f>
        <v>0</v>
      </c>
      <c r="R4993" s="3">
        <f>I4993*(VLOOKUP(B4993,Price_data!A$1:B$190,2,FALSE))</f>
        <v>0</v>
      </c>
      <c r="S4993" s="4" t="str">
        <f>(VLOOKUP(B4993,Price_data!A$1:C$190,3,FALSE))</f>
        <v>EEZ</v>
      </c>
      <c r="T4993" s="2">
        <f>IF(C4993="Total", (VLOOKUP(B4993,Recommended_fish_intake!A$4:D$122,4,FALSE)), "NA")</f>
        <v>873.22310718552001</v>
      </c>
      <c r="U4993" s="2" t="str">
        <f t="shared" si="412"/>
        <v>NA</v>
      </c>
    </row>
    <row r="4994" spans="1:21" ht="14.25" customHeight="1">
      <c r="A4994" s="2" t="s">
        <v>39</v>
      </c>
      <c r="B4994" s="2">
        <v>2016</v>
      </c>
      <c r="C4994" s="2" t="s">
        <v>16</v>
      </c>
      <c r="D4994" s="2">
        <v>304.89</v>
      </c>
      <c r="E4994" s="2">
        <v>444.84432720000001</v>
      </c>
      <c r="P4994" s="3">
        <f>E4994*(VLOOKUP(B4994,Price_data!A$1:B$190,2,FALSE))</f>
        <v>287.98922522839752</v>
      </c>
      <c r="Q4994" s="3">
        <f>G4994*(VLOOKUP(B4994,Price_data!A$1:B$190,2,FALSE))</f>
        <v>0</v>
      </c>
      <c r="R4994" s="3">
        <f>I4994*(VLOOKUP(B4994,Price_data!A$1:B$190,2,FALSE))</f>
        <v>0</v>
      </c>
      <c r="S4994" s="4" t="str">
        <f>(VLOOKUP(B4994,Price_data!A$1:C$190,3,FALSE))</f>
        <v>EEZ</v>
      </c>
      <c r="T4994" s="2">
        <f>IF(C4994="Total", (VLOOKUP(B4994,Recommended_fish_intake!A$4:D$122,4,FALSE)), "NA")</f>
        <v>873.22310718552001</v>
      </c>
      <c r="U4994" s="2" t="str">
        <f t="shared" ref="U4994:U5057" si="414">IF(C4994="Wet fish", D4994*0.49, IF(C4994="Shellfish", D4994*0.28, "NA"))</f>
        <v>NA</v>
      </c>
    </row>
    <row r="4995" spans="1:21" ht="14.25" customHeight="1">
      <c r="A4995" s="2" t="s">
        <v>40</v>
      </c>
      <c r="B4995" s="2">
        <v>2016</v>
      </c>
      <c r="C4995" s="2" t="s">
        <v>16</v>
      </c>
      <c r="D4995" s="2">
        <v>19.529356700000001</v>
      </c>
      <c r="E4995" s="2">
        <v>28.834420099999999</v>
      </c>
      <c r="P4995" s="3">
        <f>E4995*(VLOOKUP(B4995,Price_data!A$1:B$190,2,FALSE))</f>
        <v>18.667209620896639</v>
      </c>
      <c r="Q4995" s="3">
        <f>G4995*(VLOOKUP(B4995,Price_data!A$1:B$190,2,FALSE))</f>
        <v>0</v>
      </c>
      <c r="R4995" s="3">
        <f>I4995*(VLOOKUP(B4995,Price_data!A$1:B$190,2,FALSE))</f>
        <v>0</v>
      </c>
      <c r="S4995" s="4" t="str">
        <f>(VLOOKUP(B4995,Price_data!A$1:C$190,3,FALSE))</f>
        <v>EEZ</v>
      </c>
      <c r="T4995" s="2">
        <f>IF(C4995="Total", (VLOOKUP(B4995,Recommended_fish_intake!A$4:D$122,4,FALSE)), "NA")</f>
        <v>873.22310718552001</v>
      </c>
      <c r="U4995" s="2" t="str">
        <f t="shared" si="414"/>
        <v>NA</v>
      </c>
    </row>
    <row r="4996" spans="1:21" ht="14.25" customHeight="1">
      <c r="A4996" s="2" t="s">
        <v>18</v>
      </c>
      <c r="B4996" s="2">
        <v>2016</v>
      </c>
      <c r="C4996" s="2" t="s">
        <v>16</v>
      </c>
      <c r="D4996" s="3">
        <f>D2878+D2953</f>
        <v>0.33</v>
      </c>
      <c r="E4996" s="3">
        <f>E2878+E2953</f>
        <v>0.52300000000000002</v>
      </c>
      <c r="P4996" s="3">
        <f>E4996*(VLOOKUP(B4996,Price_data!A$1:B$190,2,FALSE))</f>
        <v>0.33858668209280002</v>
      </c>
      <c r="Q4996" s="3">
        <f>G4996*(VLOOKUP(B4996,Price_data!A$1:B$190,2,FALSE))</f>
        <v>0</v>
      </c>
      <c r="R4996" s="3">
        <f>I4996*(VLOOKUP(B4996,Price_data!A$1:B$190,2,FALSE))</f>
        <v>0</v>
      </c>
      <c r="S4996" s="4" t="str">
        <f>(VLOOKUP(B4996,Price_data!A$1:C$190,3,FALSE))</f>
        <v>EEZ</v>
      </c>
      <c r="T4996" s="2">
        <f>IF(C4996="Total", (VLOOKUP(B4996,Recommended_fish_intake!A$4:D$122,4,FALSE)), "NA")</f>
        <v>873.22310718552001</v>
      </c>
      <c r="U4996" s="2" t="str">
        <f t="shared" si="414"/>
        <v>NA</v>
      </c>
    </row>
    <row r="4997" spans="1:21" ht="14.25" customHeight="1">
      <c r="A4997" s="2" t="s">
        <v>15</v>
      </c>
      <c r="B4997" s="2">
        <v>2017</v>
      </c>
      <c r="C4997" s="2" t="s">
        <v>22</v>
      </c>
      <c r="D4997" s="2">
        <v>21.6</v>
      </c>
      <c r="E4997" s="2">
        <v>48</v>
      </c>
      <c r="F4997" s="2">
        <v>16.7</v>
      </c>
      <c r="G4997" s="2">
        <v>63.2</v>
      </c>
      <c r="H4997" s="2">
        <v>110</v>
      </c>
      <c r="I4997" s="2">
        <v>493.5</v>
      </c>
      <c r="P4997" s="3">
        <f>E4997*(VLOOKUP(B4997,Price_data!A$1:B$190,2,FALSE))</f>
        <v>29.999441808</v>
      </c>
      <c r="Q4997" s="3">
        <f>G4997*(VLOOKUP(B4997,Price_data!A$1:B$190,2,FALSE))</f>
        <v>39.499265047200005</v>
      </c>
      <c r="R4997" s="3">
        <f>I4997*(VLOOKUP(B4997,Price_data!A$1:B$190,2,FALSE))</f>
        <v>308.43176108850002</v>
      </c>
      <c r="S4997" s="4" t="str">
        <f>(VLOOKUP(B4997,Price_data!A$1:C$190,3,FALSE))</f>
        <v>EEZ</v>
      </c>
      <c r="T4997" s="2" t="str">
        <f>IF(C4997="Total", (VLOOKUP(B4997,Recommended_fish_intake!A$4:D$122,4,FALSE)), "NA")</f>
        <v>NA</v>
      </c>
      <c r="U4997" s="2" t="str">
        <f t="shared" si="414"/>
        <v>NA</v>
      </c>
    </row>
    <row r="4998" spans="1:21" ht="14.25" customHeight="1">
      <c r="A4998" s="2" t="s">
        <v>15</v>
      </c>
      <c r="B4998" s="2">
        <v>2017</v>
      </c>
      <c r="C4998" s="2" t="s">
        <v>23</v>
      </c>
      <c r="D4998" s="2">
        <v>33.5</v>
      </c>
      <c r="E4998" s="2">
        <v>50.6</v>
      </c>
      <c r="F4998" s="2">
        <v>1.2</v>
      </c>
      <c r="G4998" s="2">
        <v>3.5</v>
      </c>
      <c r="H4998" s="2">
        <v>47</v>
      </c>
      <c r="I4998" s="2">
        <v>129.9</v>
      </c>
      <c r="P4998" s="3">
        <f>E4998*(VLOOKUP(B4998,Price_data!A$1:B$190,2,FALSE))</f>
        <v>31.624411572600003</v>
      </c>
      <c r="Q4998" s="3">
        <f>G4998*(VLOOKUP(B4998,Price_data!A$1:B$190,2,FALSE))</f>
        <v>2.1874592985000003</v>
      </c>
      <c r="R4998" s="3">
        <f>I4998*(VLOOKUP(B4998,Price_data!A$1:B$190,2,FALSE))</f>
        <v>81.185989392900012</v>
      </c>
      <c r="S4998" s="4" t="str">
        <f>(VLOOKUP(B4998,Price_data!A$1:C$190,3,FALSE))</f>
        <v>EEZ</v>
      </c>
      <c r="T4998" s="2" t="str">
        <f>IF(C4998="Total", (VLOOKUP(B4998,Recommended_fish_intake!A$4:D$122,4,FALSE)), "NA")</f>
        <v>NA</v>
      </c>
      <c r="U4998" s="2" t="str">
        <f t="shared" si="414"/>
        <v>NA</v>
      </c>
    </row>
    <row r="4999" spans="1:21" ht="14.25" customHeight="1">
      <c r="A4999" s="2" t="s">
        <v>15</v>
      </c>
      <c r="B4999" s="2">
        <v>2017</v>
      </c>
      <c r="C4999" s="2" t="s">
        <v>53</v>
      </c>
      <c r="D4999" s="2">
        <v>12.6</v>
      </c>
      <c r="E4999" s="2">
        <v>27.4</v>
      </c>
      <c r="F4999" s="2">
        <v>8.1</v>
      </c>
      <c r="G4999" s="2">
        <v>33.1</v>
      </c>
      <c r="H4999" s="2">
        <v>2.5</v>
      </c>
      <c r="I4999" s="2">
        <v>8.1999999999999993</v>
      </c>
      <c r="P4999" s="3">
        <f>E4999*(VLOOKUP(B4999,Price_data!A$1:B$190,2,FALSE))</f>
        <v>17.124681365400001</v>
      </c>
      <c r="Q4999" s="3">
        <f>G4999*(VLOOKUP(B4999,Price_data!A$1:B$190,2,FALSE))</f>
        <v>20.687115080100003</v>
      </c>
      <c r="R4999" s="3">
        <f>I4999*(VLOOKUP(B4999,Price_data!A$1:B$190,2,FALSE))</f>
        <v>5.1249046421999997</v>
      </c>
      <c r="S4999" s="4" t="str">
        <f>(VLOOKUP(B4999,Price_data!A$1:C$190,3,FALSE))</f>
        <v>EEZ</v>
      </c>
      <c r="T4999" s="2" t="str">
        <f>IF(C4999="Total", (VLOOKUP(B4999,Recommended_fish_intake!A$4:D$122,4,FALSE)), "NA")</f>
        <v>NA</v>
      </c>
      <c r="U4999" s="2" t="str">
        <f t="shared" si="414"/>
        <v>NA</v>
      </c>
    </row>
    <row r="5000" spans="1:21" ht="14.25" customHeight="1">
      <c r="A5000" s="2" t="s">
        <v>15</v>
      </c>
      <c r="B5000" s="2">
        <v>2017</v>
      </c>
      <c r="C5000" s="2" t="s">
        <v>58</v>
      </c>
      <c r="D5000" s="2">
        <v>16.2</v>
      </c>
      <c r="E5000" s="2">
        <v>46.8</v>
      </c>
      <c r="F5000" s="2">
        <v>4.5</v>
      </c>
      <c r="G5000" s="2">
        <v>31</v>
      </c>
      <c r="H5000" s="2">
        <v>1.7</v>
      </c>
      <c r="I5000" s="2">
        <v>5.9</v>
      </c>
      <c r="P5000" s="3">
        <f>E5000*(VLOOKUP(B5000,Price_data!A$1:B$190,2,FALSE))</f>
        <v>29.2494557628</v>
      </c>
      <c r="Q5000" s="3">
        <f>G5000*(VLOOKUP(B5000,Price_data!A$1:B$190,2,FALSE))</f>
        <v>19.374639501000001</v>
      </c>
      <c r="R5000" s="3">
        <f>I5000*(VLOOKUP(B5000,Price_data!A$1:B$190,2,FALSE))</f>
        <v>3.6874313889000003</v>
      </c>
      <c r="S5000" s="4" t="str">
        <f>(VLOOKUP(B5000,Price_data!A$1:C$190,3,FALSE))</f>
        <v>EEZ</v>
      </c>
      <c r="T5000" s="2" t="str">
        <f>IF(C5000="Total", (VLOOKUP(B5000,Recommended_fish_intake!A$4:D$122,4,FALSE)), "NA")</f>
        <v>NA</v>
      </c>
      <c r="U5000" s="2" t="str">
        <f t="shared" si="414"/>
        <v>NA</v>
      </c>
    </row>
    <row r="5001" spans="1:21" ht="14.25" customHeight="1">
      <c r="A5001" s="2" t="s">
        <v>15</v>
      </c>
      <c r="B5001" s="2">
        <v>2017</v>
      </c>
      <c r="C5001" s="2" t="s">
        <v>19</v>
      </c>
      <c r="D5001" s="2">
        <v>44.9</v>
      </c>
      <c r="E5001" s="2">
        <v>18.2</v>
      </c>
      <c r="F5001" s="2">
        <v>41.6</v>
      </c>
      <c r="G5001" s="2">
        <v>37.200000000000003</v>
      </c>
      <c r="H5001" s="2">
        <v>7</v>
      </c>
      <c r="I5001" s="2">
        <v>13.3</v>
      </c>
      <c r="P5001" s="3">
        <f>E5001*(VLOOKUP(B5001,Price_data!A$1:B$190,2,FALSE))</f>
        <v>11.3747883522</v>
      </c>
      <c r="Q5001" s="3">
        <f>G5001*(VLOOKUP(B5001,Price_data!A$1:B$190,2,FALSE))</f>
        <v>23.249567401200004</v>
      </c>
      <c r="R5001" s="3">
        <f>I5001*(VLOOKUP(B5001,Price_data!A$1:B$190,2,FALSE))</f>
        <v>8.3123453343000016</v>
      </c>
      <c r="S5001" s="4" t="str">
        <f>(VLOOKUP(B5001,Price_data!A$1:C$190,3,FALSE))</f>
        <v>EEZ</v>
      </c>
      <c r="T5001" s="2" t="str">
        <f>IF(C5001="Total", (VLOOKUP(B5001,Recommended_fish_intake!A$4:D$122,4,FALSE)), "NA")</f>
        <v>NA</v>
      </c>
      <c r="U5001" s="2" t="str">
        <f t="shared" si="414"/>
        <v>NA</v>
      </c>
    </row>
    <row r="5002" spans="1:21" ht="14.25" customHeight="1">
      <c r="A5002" s="2" t="s">
        <v>15</v>
      </c>
      <c r="B5002" s="2">
        <v>2017</v>
      </c>
      <c r="C5002" s="2" t="s">
        <v>20</v>
      </c>
      <c r="D5002" s="2">
        <v>95.5</v>
      </c>
      <c r="E5002" s="2">
        <v>86.5</v>
      </c>
      <c r="F5002" s="2">
        <v>77.5</v>
      </c>
      <c r="G5002" s="2">
        <v>87.4</v>
      </c>
      <c r="H5002" s="2">
        <v>26.4</v>
      </c>
      <c r="I5002" s="2">
        <v>52.3</v>
      </c>
      <c r="P5002" s="3">
        <f>E5002*(VLOOKUP(B5002,Price_data!A$1:B$190,2,FALSE))</f>
        <v>54.061494091500002</v>
      </c>
      <c r="Q5002" s="3">
        <f>G5002*(VLOOKUP(B5002,Price_data!A$1:B$190,2,FALSE))</f>
        <v>54.623983625400008</v>
      </c>
      <c r="R5002" s="3">
        <f>I5002*(VLOOKUP(B5002,Price_data!A$1:B$190,2,FALSE))</f>
        <v>32.6868918033</v>
      </c>
      <c r="S5002" s="4" t="str">
        <f>(VLOOKUP(B5002,Price_data!A$1:C$190,3,FALSE))</f>
        <v>EEZ</v>
      </c>
      <c r="T5002" s="2" t="str">
        <f>IF(C5002="Total", (VLOOKUP(B5002,Recommended_fish_intake!A$4:D$122,4,FALSE)), "NA")</f>
        <v>NA</v>
      </c>
      <c r="U5002" s="2" t="str">
        <f t="shared" si="414"/>
        <v>NA</v>
      </c>
    </row>
    <row r="5003" spans="1:21" ht="14.25" customHeight="1">
      <c r="A5003" s="2" t="s">
        <v>15</v>
      </c>
      <c r="B5003" s="2">
        <v>2017</v>
      </c>
      <c r="C5003" s="2" t="s">
        <v>36</v>
      </c>
      <c r="D5003" s="2">
        <v>31</v>
      </c>
      <c r="E5003" s="2">
        <v>54.1</v>
      </c>
      <c r="F5003" s="2">
        <v>15.3</v>
      </c>
      <c r="G5003" s="2">
        <v>71.8</v>
      </c>
      <c r="H5003" s="2">
        <v>2.9</v>
      </c>
      <c r="I5003" s="2">
        <v>20.5</v>
      </c>
      <c r="P5003" s="3">
        <f>E5003*(VLOOKUP(B5003,Price_data!A$1:B$190,2,FALSE))</f>
        <v>33.811870871100005</v>
      </c>
      <c r="Q5003" s="3">
        <f>G5003*(VLOOKUP(B5003,Price_data!A$1:B$190,2,FALSE))</f>
        <v>44.874165037800005</v>
      </c>
      <c r="R5003" s="3">
        <f>I5003*(VLOOKUP(B5003,Price_data!A$1:B$190,2,FALSE))</f>
        <v>12.812261605500002</v>
      </c>
      <c r="S5003" s="4" t="str">
        <f>(VLOOKUP(B5003,Price_data!A$1:C$190,3,FALSE))</f>
        <v>EEZ</v>
      </c>
      <c r="T5003" s="2" t="str">
        <f>IF(C5003="Total", (VLOOKUP(B5003,Recommended_fish_intake!A$4:D$122,4,FALSE)), "NA")</f>
        <v>NA</v>
      </c>
      <c r="U5003" s="2" t="str">
        <f t="shared" si="414"/>
        <v>NA</v>
      </c>
    </row>
    <row r="5004" spans="1:21" ht="14.25" customHeight="1">
      <c r="A5004" s="2" t="s">
        <v>15</v>
      </c>
      <c r="B5004" s="2">
        <v>2017</v>
      </c>
      <c r="C5004" s="2" t="s">
        <v>34</v>
      </c>
      <c r="D5004" s="2">
        <v>3.4</v>
      </c>
      <c r="E5004" s="2">
        <v>44.7</v>
      </c>
      <c r="F5004" s="2">
        <v>4.9000000000000004</v>
      </c>
      <c r="G5004" s="2">
        <v>62</v>
      </c>
      <c r="H5004" s="2">
        <v>2.1</v>
      </c>
      <c r="I5004" s="2">
        <v>31.3</v>
      </c>
      <c r="P5004" s="3">
        <f>E5004*(VLOOKUP(B5004,Price_data!A$1:B$190,2,FALSE))</f>
        <v>27.936980183700005</v>
      </c>
      <c r="Q5004" s="3">
        <f>G5004*(VLOOKUP(B5004,Price_data!A$1:B$190,2,FALSE))</f>
        <v>38.749279002000002</v>
      </c>
      <c r="R5004" s="3">
        <f>I5004*(VLOOKUP(B5004,Price_data!A$1:B$190,2,FALSE))</f>
        <v>19.562136012300002</v>
      </c>
      <c r="S5004" s="4" t="str">
        <f>(VLOOKUP(B5004,Price_data!A$1:C$190,3,FALSE))</f>
        <v>EEZ</v>
      </c>
      <c r="T5004" s="2" t="str">
        <f>IF(C5004="Total", (VLOOKUP(B5004,Recommended_fish_intake!A$4:D$122,4,FALSE)), "NA")</f>
        <v>NA</v>
      </c>
      <c r="U5004" s="2" t="str">
        <f t="shared" si="414"/>
        <v>NA</v>
      </c>
    </row>
    <row r="5005" spans="1:21" ht="14.25" customHeight="1">
      <c r="A5005" s="2" t="s">
        <v>15</v>
      </c>
      <c r="B5005" s="2">
        <v>2017</v>
      </c>
      <c r="C5005" s="2" t="s">
        <v>35</v>
      </c>
      <c r="D5005" s="2">
        <v>30.1</v>
      </c>
      <c r="E5005" s="2">
        <v>100</v>
      </c>
      <c r="F5005" s="2">
        <v>13.3</v>
      </c>
      <c r="G5005" s="2">
        <v>119.7</v>
      </c>
      <c r="H5005" s="2">
        <v>2.6</v>
      </c>
      <c r="I5005" s="2">
        <v>10</v>
      </c>
      <c r="P5005" s="3">
        <f>E5005*(VLOOKUP(B5005,Price_data!A$1:B$190,2,FALSE))</f>
        <v>62.498837100000003</v>
      </c>
      <c r="Q5005" s="3">
        <f>G5005*(VLOOKUP(B5005,Price_data!A$1:B$190,2,FALSE))</f>
        <v>74.811108008700003</v>
      </c>
      <c r="R5005" s="3">
        <f>I5005*(VLOOKUP(B5005,Price_data!A$1:B$190,2,FALSE))</f>
        <v>6.2498837100000006</v>
      </c>
      <c r="S5005" s="4" t="str">
        <f>(VLOOKUP(B5005,Price_data!A$1:C$190,3,FALSE))</f>
        <v>EEZ</v>
      </c>
      <c r="T5005" s="2" t="str">
        <f>IF(C5005="Total", (VLOOKUP(B5005,Recommended_fish_intake!A$4:D$122,4,FALSE)), "NA")</f>
        <v>NA</v>
      </c>
      <c r="U5005" s="2" t="str">
        <f t="shared" si="414"/>
        <v>NA</v>
      </c>
    </row>
    <row r="5006" spans="1:21" ht="14.25" customHeight="1">
      <c r="A5006" s="2" t="s">
        <v>15</v>
      </c>
      <c r="B5006" s="2">
        <v>2017</v>
      </c>
      <c r="C5006" s="2" t="s">
        <v>52</v>
      </c>
      <c r="D5006" s="2">
        <v>32.4</v>
      </c>
      <c r="E5006" s="2">
        <v>74.5</v>
      </c>
      <c r="F5006" s="2">
        <v>8.3000000000000007</v>
      </c>
      <c r="G5006" s="2">
        <v>102.2</v>
      </c>
      <c r="H5006" s="2">
        <v>1.3</v>
      </c>
      <c r="I5006" s="2">
        <v>20.3</v>
      </c>
      <c r="P5006" s="3">
        <f>E5006*(VLOOKUP(B5006,Price_data!A$1:B$190,2,FALSE))</f>
        <v>46.561633639500002</v>
      </c>
      <c r="Q5006" s="3">
        <f>G5006*(VLOOKUP(B5006,Price_data!A$1:B$190,2,FALSE))</f>
        <v>63.873811516200007</v>
      </c>
      <c r="R5006" s="3">
        <f>I5006*(VLOOKUP(B5006,Price_data!A$1:B$190,2,FALSE))</f>
        <v>12.687263931300002</v>
      </c>
      <c r="S5006" s="4" t="str">
        <f>(VLOOKUP(B5006,Price_data!A$1:C$190,3,FALSE))</f>
        <v>EEZ</v>
      </c>
      <c r="T5006" s="2" t="str">
        <f>IF(C5006="Total", (VLOOKUP(B5006,Recommended_fish_intake!A$4:D$122,4,FALSE)), "NA")</f>
        <v>NA</v>
      </c>
      <c r="U5006" s="2" t="str">
        <f t="shared" si="414"/>
        <v>NA</v>
      </c>
    </row>
    <row r="5007" spans="1:21" ht="14.25" customHeight="1">
      <c r="A5007" s="2" t="s">
        <v>15</v>
      </c>
      <c r="B5007" s="2">
        <v>2017</v>
      </c>
      <c r="C5007" s="2" t="s">
        <v>30</v>
      </c>
      <c r="D5007" s="2">
        <v>0.6</v>
      </c>
      <c r="E5007" s="2">
        <v>2.6</v>
      </c>
      <c r="F5007" s="2">
        <v>14.2</v>
      </c>
      <c r="G5007" s="2">
        <v>106.3</v>
      </c>
      <c r="H5007" s="2">
        <v>81</v>
      </c>
      <c r="I5007" s="2">
        <v>684.1</v>
      </c>
      <c r="P5007" s="3">
        <f>E5007*(VLOOKUP(B5007,Price_data!A$1:B$190,2,FALSE))</f>
        <v>1.6249697646000001</v>
      </c>
      <c r="Q5007" s="3">
        <f>G5007*(VLOOKUP(B5007,Price_data!A$1:B$190,2,FALSE))</f>
        <v>66.436263837300004</v>
      </c>
      <c r="R5007" s="3">
        <f>I5007*(VLOOKUP(B5007,Price_data!A$1:B$190,2,FALSE))</f>
        <v>427.55454460110002</v>
      </c>
      <c r="S5007" s="4" t="str">
        <f>(VLOOKUP(B5007,Price_data!A$1:C$190,3,FALSE))</f>
        <v>EEZ</v>
      </c>
      <c r="T5007" s="2" t="str">
        <f>IF(C5007="Total", (VLOOKUP(B5007,Recommended_fish_intake!A$4:D$122,4,FALSE)), "NA")</f>
        <v>NA</v>
      </c>
      <c r="U5007" s="2" t="str">
        <f t="shared" si="414"/>
        <v>NA</v>
      </c>
    </row>
    <row r="5008" spans="1:21" ht="14.25" customHeight="1">
      <c r="A5008" s="2" t="s">
        <v>15</v>
      </c>
      <c r="B5008" s="2">
        <v>2017</v>
      </c>
      <c r="C5008" s="2" t="s">
        <v>41</v>
      </c>
      <c r="D5008" s="2">
        <v>132.9</v>
      </c>
      <c r="E5008" s="2">
        <v>269</v>
      </c>
      <c r="P5008" s="3">
        <f>E5008*(VLOOKUP(B5008,Price_data!A$1:B$190,2,FALSE))</f>
        <v>168.12187179900002</v>
      </c>
      <c r="Q5008" s="3">
        <f>G5008*(VLOOKUP(B5008,Price_data!A$1:B$190,2,FALSE))</f>
        <v>0</v>
      </c>
      <c r="R5008" s="3">
        <f>I5008*(VLOOKUP(B5008,Price_data!A$1:B$190,2,FALSE))</f>
        <v>0</v>
      </c>
      <c r="S5008" s="4" t="str">
        <f>(VLOOKUP(B5008,Price_data!A$1:C$190,3,FALSE))</f>
        <v>EEZ</v>
      </c>
      <c r="T5008" s="2" t="str">
        <f>IF(C5008="Total", (VLOOKUP(B5008,Recommended_fish_intake!A$4:D$122,4,FALSE)), "NA")</f>
        <v>NA</v>
      </c>
      <c r="U5008" s="2" t="str">
        <f t="shared" si="414"/>
        <v>NA</v>
      </c>
    </row>
    <row r="5009" spans="1:21" ht="14.25" customHeight="1">
      <c r="A5009" s="2" t="s">
        <v>15</v>
      </c>
      <c r="B5009" s="2">
        <v>2017</v>
      </c>
      <c r="C5009" s="2" t="s">
        <v>42</v>
      </c>
      <c r="D5009" s="2">
        <v>164.8</v>
      </c>
      <c r="E5009" s="2">
        <v>109.7</v>
      </c>
      <c r="P5009" s="3">
        <f>E5009*(VLOOKUP(B5009,Price_data!A$1:B$190,2,FALSE))</f>
        <v>68.561224298700012</v>
      </c>
      <c r="Q5009" s="3">
        <f>G5009*(VLOOKUP(B5009,Price_data!A$1:B$190,2,FALSE))</f>
        <v>0</v>
      </c>
      <c r="R5009" s="3">
        <f>I5009*(VLOOKUP(B5009,Price_data!A$1:B$190,2,FALSE))</f>
        <v>0</v>
      </c>
      <c r="S5009" s="4" t="str">
        <f>(VLOOKUP(B5009,Price_data!A$1:C$190,3,FALSE))</f>
        <v>EEZ</v>
      </c>
      <c r="T5009" s="2" t="str">
        <f>IF(C5009="Total", (VLOOKUP(B5009,Recommended_fish_intake!A$4:D$122,4,FALSE)), "NA")</f>
        <v>NA</v>
      </c>
      <c r="U5009" s="2" t="str">
        <f t="shared" si="414"/>
        <v>NA</v>
      </c>
    </row>
    <row r="5010" spans="1:21" ht="14.25" customHeight="1">
      <c r="A5010" s="2" t="s">
        <v>15</v>
      </c>
      <c r="B5010" s="2">
        <v>2017</v>
      </c>
      <c r="C5010" s="2" t="s">
        <v>28</v>
      </c>
      <c r="D5010" s="2">
        <v>137.69999999999999</v>
      </c>
      <c r="E5010" s="2">
        <v>349.8</v>
      </c>
      <c r="F5010" s="2">
        <v>85.8</v>
      </c>
      <c r="G5010" s="2">
        <v>601.9</v>
      </c>
      <c r="H5010" s="2">
        <v>113.6</v>
      </c>
      <c r="I5010" s="2">
        <v>868</v>
      </c>
      <c r="P5010" s="3">
        <f>E5010*(VLOOKUP(B5010,Price_data!A$1:B$190,2,FALSE))</f>
        <v>218.62093217580002</v>
      </c>
      <c r="Q5010" s="3">
        <f>G5010*(VLOOKUP(B5010,Price_data!A$1:B$190,2,FALSE))</f>
        <v>376.18050050490001</v>
      </c>
      <c r="R5010" s="3">
        <f>I5010*(VLOOKUP(B5010,Price_data!A$1:B$190,2,FALSE))</f>
        <v>542.48990602800006</v>
      </c>
      <c r="S5010" s="4" t="str">
        <f>(VLOOKUP(B5010,Price_data!A$1:C$190,3,FALSE))</f>
        <v>EEZ</v>
      </c>
      <c r="T5010" s="2" t="str">
        <f>IF(C5010="Total", (VLOOKUP(B5010,Recommended_fish_intake!A$4:D$122,4,FALSE)), "NA")</f>
        <v>NA</v>
      </c>
      <c r="U5010" s="2">
        <f t="shared" si="414"/>
        <v>38.555999999999997</v>
      </c>
    </row>
    <row r="5011" spans="1:21" ht="14.25" customHeight="1">
      <c r="A5011" s="2" t="s">
        <v>15</v>
      </c>
      <c r="B5011" s="2">
        <v>2017</v>
      </c>
      <c r="C5011" s="2" t="s">
        <v>37</v>
      </c>
      <c r="D5011" s="3">
        <f>D4991+D4996</f>
        <v>444.72999999999996</v>
      </c>
      <c r="E5011" s="3">
        <f>E4991+E4996</f>
        <v>693.923</v>
      </c>
      <c r="F5011" s="2">
        <v>373.7</v>
      </c>
      <c r="G5011" s="2">
        <v>1301.9000000000001</v>
      </c>
      <c r="H5011" s="2">
        <v>590.5</v>
      </c>
      <c r="I5011" s="2">
        <v>2329.1999999999998</v>
      </c>
      <c r="P5011" s="3">
        <f>E5011*(VLOOKUP(B5011,Price_data!A$1:B$190,2,FALSE))</f>
        <v>433.69380536943305</v>
      </c>
      <c r="Q5011" s="3">
        <f>G5011*(VLOOKUP(B5011,Price_data!A$1:B$190,2,FALSE))</f>
        <v>813.67236020490009</v>
      </c>
      <c r="R5011" s="3">
        <f>I5011*(VLOOKUP(B5011,Price_data!A$1:B$190,2,FALSE))</f>
        <v>1455.7229137331999</v>
      </c>
      <c r="S5011" s="4" t="str">
        <f>(VLOOKUP(B5011,Price_data!A$1:C$190,3,FALSE))</f>
        <v>EEZ</v>
      </c>
      <c r="T5011" s="2" t="str">
        <f>IF(C5011="Total", (VLOOKUP(B5011,Recommended_fish_intake!A$4:D$122,4,FALSE)), "NA")</f>
        <v>NA</v>
      </c>
      <c r="U5011" s="2">
        <f t="shared" si="414"/>
        <v>217.91769999999997</v>
      </c>
    </row>
    <row r="5012" spans="1:21" ht="14.25" customHeight="1">
      <c r="A5012" s="2" t="s">
        <v>90</v>
      </c>
      <c r="B5012" s="2">
        <v>2017</v>
      </c>
      <c r="C5012" s="2" t="s">
        <v>22</v>
      </c>
      <c r="D5012" s="2">
        <v>3.5</v>
      </c>
      <c r="E5012" s="2">
        <v>6.1</v>
      </c>
      <c r="P5012" s="3">
        <f>E5012*(VLOOKUP(B5012,Price_data!A$1:B$190,2,FALSE))</f>
        <v>3.8124290631000002</v>
      </c>
      <c r="Q5012" s="3">
        <f>G5012*(VLOOKUP(B5012,Price_data!A$1:B$190,2,FALSE))</f>
        <v>0</v>
      </c>
      <c r="R5012" s="3">
        <f>I5012*(VLOOKUP(B5012,Price_data!A$1:B$190,2,FALSE))</f>
        <v>0</v>
      </c>
      <c r="S5012" s="4" t="str">
        <f>(VLOOKUP(B5012,Price_data!A$1:C$190,3,FALSE))</f>
        <v>EEZ</v>
      </c>
      <c r="T5012" s="2" t="str">
        <f>IF(C5012="Total", (VLOOKUP(B5012,Recommended_fish_intake!A$4:D$122,4,FALSE)), "NA")</f>
        <v>NA</v>
      </c>
      <c r="U5012" s="2" t="str">
        <f t="shared" si="414"/>
        <v>NA</v>
      </c>
    </row>
    <row r="5013" spans="1:21" ht="14.25" customHeight="1">
      <c r="A5013" s="2" t="s">
        <v>90</v>
      </c>
      <c r="B5013" s="2">
        <v>2017</v>
      </c>
      <c r="C5013" s="2" t="s">
        <v>23</v>
      </c>
      <c r="D5013" s="2">
        <v>0.7</v>
      </c>
      <c r="E5013" s="2">
        <v>1.2</v>
      </c>
      <c r="P5013" s="3">
        <f>E5013*(VLOOKUP(B5013,Price_data!A$1:B$190,2,FALSE))</f>
        <v>0.74998604520000001</v>
      </c>
      <c r="Q5013" s="3">
        <f>G5013*(VLOOKUP(B5013,Price_data!A$1:B$190,2,FALSE))</f>
        <v>0</v>
      </c>
      <c r="R5013" s="3">
        <f>I5013*(VLOOKUP(B5013,Price_data!A$1:B$190,2,FALSE))</f>
        <v>0</v>
      </c>
      <c r="S5013" s="4" t="str">
        <f>(VLOOKUP(B5013,Price_data!A$1:C$190,3,FALSE))</f>
        <v>EEZ</v>
      </c>
      <c r="T5013" s="2" t="str">
        <f>IF(C5013="Total", (VLOOKUP(B5013,Recommended_fish_intake!A$4:D$122,4,FALSE)), "NA")</f>
        <v>NA</v>
      </c>
      <c r="U5013" s="2" t="str">
        <f t="shared" si="414"/>
        <v>NA</v>
      </c>
    </row>
    <row r="5014" spans="1:21" ht="14.25" customHeight="1">
      <c r="A5014" s="2" t="s">
        <v>90</v>
      </c>
      <c r="B5014" s="2">
        <v>2017</v>
      </c>
      <c r="C5014" s="2" t="s">
        <v>53</v>
      </c>
      <c r="D5014" s="2">
        <v>1.5</v>
      </c>
      <c r="E5014" s="2">
        <v>3.6</v>
      </c>
      <c r="P5014" s="3">
        <f>E5014*(VLOOKUP(B5014,Price_data!A$1:B$190,2,FALSE))</f>
        <v>2.2499581356</v>
      </c>
      <c r="Q5014" s="3">
        <f>G5014*(VLOOKUP(B5014,Price_data!A$1:B$190,2,FALSE))</f>
        <v>0</v>
      </c>
      <c r="R5014" s="3">
        <f>I5014*(VLOOKUP(B5014,Price_data!A$1:B$190,2,FALSE))</f>
        <v>0</v>
      </c>
      <c r="S5014" s="4" t="str">
        <f>(VLOOKUP(B5014,Price_data!A$1:C$190,3,FALSE))</f>
        <v>EEZ</v>
      </c>
      <c r="T5014" s="2" t="str">
        <f>IF(C5014="Total", (VLOOKUP(B5014,Recommended_fish_intake!A$4:D$122,4,FALSE)), "NA")</f>
        <v>NA</v>
      </c>
      <c r="U5014" s="2" t="str">
        <f t="shared" si="414"/>
        <v>NA</v>
      </c>
    </row>
    <row r="5015" spans="1:21" ht="14.25" customHeight="1">
      <c r="A5015" s="2" t="s">
        <v>90</v>
      </c>
      <c r="B5015" s="2">
        <v>2017</v>
      </c>
      <c r="C5015" s="2" t="s">
        <v>58</v>
      </c>
      <c r="D5015" s="2">
        <v>2.6</v>
      </c>
      <c r="E5015" s="2">
        <v>8</v>
      </c>
      <c r="P5015" s="3">
        <f>E5015*(VLOOKUP(B5015,Price_data!A$1:B$190,2,FALSE))</f>
        <v>4.9999069680000003</v>
      </c>
      <c r="Q5015" s="3">
        <f>G5015*(VLOOKUP(B5015,Price_data!A$1:B$190,2,FALSE))</f>
        <v>0</v>
      </c>
      <c r="R5015" s="3">
        <f>I5015*(VLOOKUP(B5015,Price_data!A$1:B$190,2,FALSE))</f>
        <v>0</v>
      </c>
      <c r="S5015" s="4" t="str">
        <f>(VLOOKUP(B5015,Price_data!A$1:C$190,3,FALSE))</f>
        <v>EEZ</v>
      </c>
      <c r="T5015" s="2" t="str">
        <f>IF(C5015="Total", (VLOOKUP(B5015,Recommended_fish_intake!A$4:D$122,4,FALSE)), "NA")</f>
        <v>NA</v>
      </c>
      <c r="U5015" s="2" t="str">
        <f t="shared" si="414"/>
        <v>NA</v>
      </c>
    </row>
    <row r="5016" spans="1:21" ht="14.25" customHeight="1">
      <c r="A5016" s="2" t="s">
        <v>90</v>
      </c>
      <c r="B5016" s="2">
        <v>2017</v>
      </c>
      <c r="C5016" s="2" t="s">
        <v>19</v>
      </c>
      <c r="D5016" s="2">
        <v>3.8</v>
      </c>
      <c r="E5016" s="2">
        <v>1.6</v>
      </c>
      <c r="P5016" s="3">
        <f>E5016*(VLOOKUP(B5016,Price_data!A$1:B$190,2,FALSE))</f>
        <v>0.99998139360000016</v>
      </c>
      <c r="Q5016" s="3">
        <f>G5016*(VLOOKUP(B5016,Price_data!A$1:B$190,2,FALSE))</f>
        <v>0</v>
      </c>
      <c r="R5016" s="3">
        <f>I5016*(VLOOKUP(B5016,Price_data!A$1:B$190,2,FALSE))</f>
        <v>0</v>
      </c>
      <c r="S5016" s="4" t="str">
        <f>(VLOOKUP(B5016,Price_data!A$1:C$190,3,FALSE))</f>
        <v>EEZ</v>
      </c>
      <c r="T5016" s="2" t="str">
        <f>IF(C5016="Total", (VLOOKUP(B5016,Recommended_fish_intake!A$4:D$122,4,FALSE)), "NA")</f>
        <v>NA</v>
      </c>
      <c r="U5016" s="2" t="str">
        <f t="shared" si="414"/>
        <v>NA</v>
      </c>
    </row>
    <row r="5017" spans="1:21" ht="14.25" customHeight="1">
      <c r="A5017" s="2" t="s">
        <v>90</v>
      </c>
      <c r="B5017" s="2">
        <v>2017</v>
      </c>
      <c r="C5017" s="2" t="s">
        <v>20</v>
      </c>
      <c r="D5017" s="2">
        <v>2.7</v>
      </c>
      <c r="E5017" s="2">
        <v>2.4</v>
      </c>
      <c r="P5017" s="3">
        <f>E5017*(VLOOKUP(B5017,Price_data!A$1:B$190,2,FALSE))</f>
        <v>1.4999720904</v>
      </c>
      <c r="Q5017" s="3">
        <f>G5017*(VLOOKUP(B5017,Price_data!A$1:B$190,2,FALSE))</f>
        <v>0</v>
      </c>
      <c r="R5017" s="3">
        <f>I5017*(VLOOKUP(B5017,Price_data!A$1:B$190,2,FALSE))</f>
        <v>0</v>
      </c>
      <c r="S5017" s="4" t="str">
        <f>(VLOOKUP(B5017,Price_data!A$1:C$190,3,FALSE))</f>
        <v>EEZ</v>
      </c>
      <c r="T5017" s="2" t="str">
        <f>IF(C5017="Total", (VLOOKUP(B5017,Recommended_fish_intake!A$4:D$122,4,FALSE)), "NA")</f>
        <v>NA</v>
      </c>
      <c r="U5017" s="2" t="str">
        <f t="shared" si="414"/>
        <v>NA</v>
      </c>
    </row>
    <row r="5018" spans="1:21" ht="14.25" customHeight="1">
      <c r="A5018" s="2" t="s">
        <v>90</v>
      </c>
      <c r="B5018" s="2">
        <v>2017</v>
      </c>
      <c r="C5018" s="2" t="s">
        <v>36</v>
      </c>
      <c r="D5018" s="2">
        <v>14.8</v>
      </c>
      <c r="E5018" s="2">
        <v>24.9</v>
      </c>
      <c r="P5018" s="3">
        <f>E5018*(VLOOKUP(B5018,Price_data!A$1:B$190,2,FALSE))</f>
        <v>15.562210437900001</v>
      </c>
      <c r="Q5018" s="3">
        <f>G5018*(VLOOKUP(B5018,Price_data!A$1:B$190,2,FALSE))</f>
        <v>0</v>
      </c>
      <c r="R5018" s="3">
        <f>I5018*(VLOOKUP(B5018,Price_data!A$1:B$190,2,FALSE))</f>
        <v>0</v>
      </c>
      <c r="S5018" s="4" t="str">
        <f>(VLOOKUP(B5018,Price_data!A$1:C$190,3,FALSE))</f>
        <v>EEZ</v>
      </c>
      <c r="T5018" s="2" t="str">
        <f>IF(C5018="Total", (VLOOKUP(B5018,Recommended_fish_intake!A$4:D$122,4,FALSE)), "NA")</f>
        <v>NA</v>
      </c>
      <c r="U5018" s="2" t="str">
        <f t="shared" si="414"/>
        <v>NA</v>
      </c>
    </row>
    <row r="5019" spans="1:21" ht="14.25" customHeight="1">
      <c r="A5019" s="2" t="s">
        <v>90</v>
      </c>
      <c r="B5019" s="2">
        <v>2017</v>
      </c>
      <c r="C5019" s="2" t="s">
        <v>34</v>
      </c>
      <c r="D5019" s="2">
        <v>1.9</v>
      </c>
      <c r="E5019" s="2">
        <v>24.8</v>
      </c>
      <c r="P5019" s="3">
        <f>E5019*(VLOOKUP(B5019,Price_data!A$1:B$190,2,FALSE))</f>
        <v>15.499711600800001</v>
      </c>
      <c r="Q5019" s="3">
        <f>G5019*(VLOOKUP(B5019,Price_data!A$1:B$190,2,FALSE))</f>
        <v>0</v>
      </c>
      <c r="R5019" s="3">
        <f>I5019*(VLOOKUP(B5019,Price_data!A$1:B$190,2,FALSE))</f>
        <v>0</v>
      </c>
      <c r="S5019" s="4" t="str">
        <f>(VLOOKUP(B5019,Price_data!A$1:C$190,3,FALSE))</f>
        <v>EEZ</v>
      </c>
      <c r="T5019" s="2" t="str">
        <f>IF(C5019="Total", (VLOOKUP(B5019,Recommended_fish_intake!A$4:D$122,4,FALSE)), "NA")</f>
        <v>NA</v>
      </c>
      <c r="U5019" s="2" t="str">
        <f t="shared" si="414"/>
        <v>NA</v>
      </c>
    </row>
    <row r="5020" spans="1:21" ht="14.25" customHeight="1">
      <c r="A5020" s="2" t="s">
        <v>90</v>
      </c>
      <c r="B5020" s="2">
        <v>2017</v>
      </c>
      <c r="C5020" s="2" t="s">
        <v>35</v>
      </c>
      <c r="D5020" s="2">
        <v>3.1</v>
      </c>
      <c r="E5020" s="2">
        <v>9.8000000000000007</v>
      </c>
      <c r="P5020" s="3">
        <f>E5020*(VLOOKUP(B5020,Price_data!A$1:B$190,2,FALSE))</f>
        <v>6.1248860358000012</v>
      </c>
      <c r="Q5020" s="3">
        <f>G5020*(VLOOKUP(B5020,Price_data!A$1:B$190,2,FALSE))</f>
        <v>0</v>
      </c>
      <c r="R5020" s="3">
        <f>I5020*(VLOOKUP(B5020,Price_data!A$1:B$190,2,FALSE))</f>
        <v>0</v>
      </c>
      <c r="S5020" s="4" t="str">
        <f>(VLOOKUP(B5020,Price_data!A$1:C$190,3,FALSE))</f>
        <v>EEZ</v>
      </c>
      <c r="T5020" s="2" t="str">
        <f>IF(C5020="Total", (VLOOKUP(B5020,Recommended_fish_intake!A$4:D$122,4,FALSE)), "NA")</f>
        <v>NA</v>
      </c>
      <c r="U5020" s="2" t="str">
        <f t="shared" si="414"/>
        <v>NA</v>
      </c>
    </row>
    <row r="5021" spans="1:21" ht="14.25" customHeight="1">
      <c r="A5021" s="2" t="s">
        <v>90</v>
      </c>
      <c r="B5021" s="2">
        <v>2017</v>
      </c>
      <c r="C5021" s="2" t="s">
        <v>52</v>
      </c>
      <c r="D5021" s="2">
        <v>15.2</v>
      </c>
      <c r="E5021" s="2">
        <v>35.299999999999997</v>
      </c>
      <c r="P5021" s="3">
        <f>E5021*(VLOOKUP(B5021,Price_data!A$1:B$190,2,FALSE))</f>
        <v>22.0620894963</v>
      </c>
      <c r="Q5021" s="3">
        <f>G5021*(VLOOKUP(B5021,Price_data!A$1:B$190,2,FALSE))</f>
        <v>0</v>
      </c>
      <c r="R5021" s="3">
        <f>I5021*(VLOOKUP(B5021,Price_data!A$1:B$190,2,FALSE))</f>
        <v>0</v>
      </c>
      <c r="S5021" s="4" t="str">
        <f>(VLOOKUP(B5021,Price_data!A$1:C$190,3,FALSE))</f>
        <v>EEZ</v>
      </c>
      <c r="T5021" s="2" t="str">
        <f>IF(C5021="Total", (VLOOKUP(B5021,Recommended_fish_intake!A$4:D$122,4,FALSE)), "NA")</f>
        <v>NA</v>
      </c>
      <c r="U5021" s="2" t="str">
        <f t="shared" si="414"/>
        <v>NA</v>
      </c>
    </row>
    <row r="5022" spans="1:21" ht="14.25" customHeight="1">
      <c r="A5022" s="2" t="s">
        <v>90</v>
      </c>
      <c r="B5022" s="2">
        <v>2017</v>
      </c>
      <c r="C5022" s="2" t="s">
        <v>30</v>
      </c>
      <c r="D5022" s="2">
        <v>0.6</v>
      </c>
      <c r="E5022" s="2">
        <v>2.5</v>
      </c>
      <c r="P5022" s="3">
        <f>E5022*(VLOOKUP(B5022,Price_data!A$1:B$190,2,FALSE))</f>
        <v>1.5624709275000002</v>
      </c>
      <c r="Q5022" s="3">
        <f>G5022*(VLOOKUP(B5022,Price_data!A$1:B$190,2,FALSE))</f>
        <v>0</v>
      </c>
      <c r="R5022" s="3">
        <f>I5022*(VLOOKUP(B5022,Price_data!A$1:B$190,2,FALSE))</f>
        <v>0</v>
      </c>
      <c r="S5022" s="4" t="str">
        <f>(VLOOKUP(B5022,Price_data!A$1:C$190,3,FALSE))</f>
        <v>EEZ</v>
      </c>
      <c r="T5022" s="2" t="str">
        <f>IF(C5022="Total", (VLOOKUP(B5022,Recommended_fish_intake!A$4:D$122,4,FALSE)), "NA")</f>
        <v>NA</v>
      </c>
      <c r="U5022" s="2" t="str">
        <f t="shared" si="414"/>
        <v>NA</v>
      </c>
    </row>
    <row r="5023" spans="1:21" ht="14.25" customHeight="1">
      <c r="A5023" s="2" t="s">
        <v>90</v>
      </c>
      <c r="B5023" s="2">
        <v>2017</v>
      </c>
      <c r="C5023" s="2" t="s">
        <v>41</v>
      </c>
      <c r="D5023" s="2">
        <v>23</v>
      </c>
      <c r="E5023" s="2">
        <v>63.8</v>
      </c>
      <c r="P5023" s="3">
        <f>E5023*(VLOOKUP(B5023,Price_data!A$1:B$190,2,FALSE))</f>
        <v>39.8742580698</v>
      </c>
      <c r="Q5023" s="3">
        <f>G5023*(VLOOKUP(B5023,Price_data!A$1:B$190,2,FALSE))</f>
        <v>0</v>
      </c>
      <c r="R5023" s="3">
        <f>I5023*(VLOOKUP(B5023,Price_data!A$1:B$190,2,FALSE))</f>
        <v>0</v>
      </c>
      <c r="S5023" s="4" t="str">
        <f>(VLOOKUP(B5023,Price_data!A$1:C$190,3,FALSE))</f>
        <v>EEZ</v>
      </c>
      <c r="T5023" s="2" t="str">
        <f>IF(C5023="Total", (VLOOKUP(B5023,Recommended_fish_intake!A$4:D$122,4,FALSE)), "NA")</f>
        <v>NA</v>
      </c>
      <c r="U5023" s="2" t="str">
        <f t="shared" si="414"/>
        <v>NA</v>
      </c>
    </row>
    <row r="5024" spans="1:21" ht="14.25" customHeight="1">
      <c r="A5024" s="2" t="s">
        <v>90</v>
      </c>
      <c r="B5024" s="2">
        <v>2017</v>
      </c>
      <c r="C5024" s="2" t="s">
        <v>42</v>
      </c>
      <c r="D5024" s="2">
        <v>16.399999999999999</v>
      </c>
      <c r="E5024" s="2">
        <v>7.2</v>
      </c>
      <c r="P5024" s="3">
        <f>E5024*(VLOOKUP(B5024,Price_data!A$1:B$190,2,FALSE))</f>
        <v>4.4999162712</v>
      </c>
      <c r="Q5024" s="3">
        <f>G5024*(VLOOKUP(B5024,Price_data!A$1:B$190,2,FALSE))</f>
        <v>0</v>
      </c>
      <c r="R5024" s="3">
        <f>I5024*(VLOOKUP(B5024,Price_data!A$1:B$190,2,FALSE))</f>
        <v>0</v>
      </c>
      <c r="S5024" s="4" t="str">
        <f>(VLOOKUP(B5024,Price_data!A$1:C$190,3,FALSE))</f>
        <v>EEZ</v>
      </c>
      <c r="T5024" s="2" t="str">
        <f>IF(C5024="Total", (VLOOKUP(B5024,Recommended_fish_intake!A$4:D$122,4,FALSE)), "NA")</f>
        <v>NA</v>
      </c>
      <c r="U5024" s="2" t="str">
        <f t="shared" si="414"/>
        <v>NA</v>
      </c>
    </row>
    <row r="5025" spans="1:21" ht="14.25" customHeight="1">
      <c r="A5025" s="2" t="s">
        <v>90</v>
      </c>
      <c r="B5025" s="2">
        <v>2017</v>
      </c>
      <c r="C5025" s="2" t="s">
        <v>28</v>
      </c>
      <c r="D5025" s="2">
        <v>59.3</v>
      </c>
      <c r="E5025" s="2">
        <v>143.30000000000001</v>
      </c>
      <c r="P5025" s="3">
        <f>E5025*(VLOOKUP(B5025,Price_data!A$1:B$190,2,FALSE))</f>
        <v>89.560833564300012</v>
      </c>
      <c r="Q5025" s="3">
        <f>G5025*(VLOOKUP(B5025,Price_data!A$1:B$190,2,FALSE))</f>
        <v>0</v>
      </c>
      <c r="R5025" s="3">
        <f>I5025*(VLOOKUP(B5025,Price_data!A$1:B$190,2,FALSE))</f>
        <v>0</v>
      </c>
      <c r="S5025" s="4" t="str">
        <f>(VLOOKUP(B5025,Price_data!A$1:C$190,3,FALSE))</f>
        <v>EEZ</v>
      </c>
      <c r="T5025" s="2" t="str">
        <f>IF(C5025="Total", (VLOOKUP(B5025,Recommended_fish_intake!A$4:D$122,4,FALSE)), "NA")</f>
        <v>NA</v>
      </c>
      <c r="U5025" s="2">
        <f t="shared" si="414"/>
        <v>16.603999999999999</v>
      </c>
    </row>
    <row r="5026" spans="1:21" ht="14.25" customHeight="1">
      <c r="A5026" s="2" t="s">
        <v>91</v>
      </c>
      <c r="B5026" s="2">
        <v>2017</v>
      </c>
      <c r="C5026" s="2" t="s">
        <v>22</v>
      </c>
      <c r="D5026" s="2">
        <v>0</v>
      </c>
      <c r="E5026" s="2">
        <v>0.01</v>
      </c>
      <c r="P5026" s="3">
        <f>E5026*(VLOOKUP(B5026,Price_data!A$1:B$190,2,FALSE))</f>
        <v>6.249883710000001E-3</v>
      </c>
      <c r="Q5026" s="3">
        <f>G5026*(VLOOKUP(B5026,Price_data!A$1:B$190,2,FALSE))</f>
        <v>0</v>
      </c>
      <c r="R5026" s="3">
        <f>I5026*(VLOOKUP(B5026,Price_data!A$1:B$190,2,FALSE))</f>
        <v>0</v>
      </c>
      <c r="S5026" s="4" t="str">
        <f>(VLOOKUP(B5026,Price_data!A$1:C$190,3,FALSE))</f>
        <v>EEZ</v>
      </c>
      <c r="T5026" s="2" t="str">
        <f>IF(C5026="Total", (VLOOKUP(B5026,Recommended_fish_intake!A$4:D$122,4,FALSE)), "NA")</f>
        <v>NA</v>
      </c>
      <c r="U5026" s="2" t="str">
        <f t="shared" si="414"/>
        <v>NA</v>
      </c>
    </row>
    <row r="5027" spans="1:21" ht="14.25" customHeight="1">
      <c r="A5027" s="2" t="s">
        <v>91</v>
      </c>
      <c r="B5027" s="2">
        <v>2017</v>
      </c>
      <c r="C5027" s="2" t="s">
        <v>23</v>
      </c>
      <c r="D5027" s="2">
        <v>0</v>
      </c>
      <c r="E5027" s="2">
        <v>0</v>
      </c>
      <c r="P5027" s="3">
        <f>E5027*(VLOOKUP(B5027,Price_data!A$1:B$190,2,FALSE))</f>
        <v>0</v>
      </c>
      <c r="Q5027" s="3">
        <f>G5027*(VLOOKUP(B5027,Price_data!A$1:B$190,2,FALSE))</f>
        <v>0</v>
      </c>
      <c r="R5027" s="3">
        <f>I5027*(VLOOKUP(B5027,Price_data!A$1:B$190,2,FALSE))</f>
        <v>0</v>
      </c>
      <c r="S5027" s="4" t="str">
        <f>(VLOOKUP(B5027,Price_data!A$1:C$190,3,FALSE))</f>
        <v>EEZ</v>
      </c>
      <c r="T5027" s="2" t="str">
        <f>IF(C5027="Total", (VLOOKUP(B5027,Recommended_fish_intake!A$4:D$122,4,FALSE)), "NA")</f>
        <v>NA</v>
      </c>
      <c r="U5027" s="2" t="str">
        <f t="shared" si="414"/>
        <v>NA</v>
      </c>
    </row>
    <row r="5028" spans="1:21" ht="14.25" customHeight="1">
      <c r="A5028" s="2" t="s">
        <v>91</v>
      </c>
      <c r="B5028" s="2">
        <v>2017</v>
      </c>
      <c r="C5028" s="2" t="s">
        <v>53</v>
      </c>
      <c r="D5028" s="2">
        <v>0.05</v>
      </c>
      <c r="E5028" s="2">
        <v>0.11</v>
      </c>
      <c r="P5028" s="3">
        <f>E5028*(VLOOKUP(B5028,Price_data!A$1:B$190,2,FALSE))</f>
        <v>6.8748720810000011E-2</v>
      </c>
      <c r="Q5028" s="3">
        <f>G5028*(VLOOKUP(B5028,Price_data!A$1:B$190,2,FALSE))</f>
        <v>0</v>
      </c>
      <c r="R5028" s="3">
        <f>I5028*(VLOOKUP(B5028,Price_data!A$1:B$190,2,FALSE))</f>
        <v>0</v>
      </c>
      <c r="S5028" s="4" t="str">
        <f>(VLOOKUP(B5028,Price_data!A$1:C$190,3,FALSE))</f>
        <v>EEZ</v>
      </c>
      <c r="T5028" s="2" t="str">
        <f>IF(C5028="Total", (VLOOKUP(B5028,Recommended_fish_intake!A$4:D$122,4,FALSE)), "NA")</f>
        <v>NA</v>
      </c>
      <c r="U5028" s="2" t="str">
        <f t="shared" si="414"/>
        <v>NA</v>
      </c>
    </row>
    <row r="5029" spans="1:21" ht="14.25" customHeight="1">
      <c r="A5029" s="2" t="s">
        <v>91</v>
      </c>
      <c r="B5029" s="2">
        <v>2017</v>
      </c>
      <c r="C5029" s="2" t="s">
        <v>58</v>
      </c>
      <c r="D5029" s="2">
        <v>0.14000000000000001</v>
      </c>
      <c r="E5029" s="2">
        <v>0.53</v>
      </c>
      <c r="P5029" s="3">
        <f>E5029*(VLOOKUP(B5029,Price_data!A$1:B$190,2,FALSE))</f>
        <v>0.33124383663000007</v>
      </c>
      <c r="Q5029" s="3">
        <f>G5029*(VLOOKUP(B5029,Price_data!A$1:B$190,2,FALSE))</f>
        <v>0</v>
      </c>
      <c r="R5029" s="3">
        <f>I5029*(VLOOKUP(B5029,Price_data!A$1:B$190,2,FALSE))</f>
        <v>0</v>
      </c>
      <c r="S5029" s="4" t="str">
        <f>(VLOOKUP(B5029,Price_data!A$1:C$190,3,FALSE))</f>
        <v>EEZ</v>
      </c>
      <c r="T5029" s="2" t="str">
        <f>IF(C5029="Total", (VLOOKUP(B5029,Recommended_fish_intake!A$4:D$122,4,FALSE)), "NA")</f>
        <v>NA</v>
      </c>
      <c r="U5029" s="2" t="str">
        <f t="shared" si="414"/>
        <v>NA</v>
      </c>
    </row>
    <row r="5030" spans="1:21" ht="14.25" customHeight="1">
      <c r="A5030" s="2" t="s">
        <v>91</v>
      </c>
      <c r="B5030" s="2">
        <v>2017</v>
      </c>
      <c r="C5030" s="2" t="s">
        <v>19</v>
      </c>
      <c r="D5030" s="2">
        <v>0</v>
      </c>
      <c r="E5030" s="2">
        <v>0</v>
      </c>
      <c r="P5030" s="3">
        <f>E5030*(VLOOKUP(B5030,Price_data!A$1:B$190,2,FALSE))</f>
        <v>0</v>
      </c>
      <c r="Q5030" s="3">
        <f>G5030*(VLOOKUP(B5030,Price_data!A$1:B$190,2,FALSE))</f>
        <v>0</v>
      </c>
      <c r="R5030" s="3">
        <f>I5030*(VLOOKUP(B5030,Price_data!A$1:B$190,2,FALSE))</f>
        <v>0</v>
      </c>
      <c r="S5030" s="4" t="str">
        <f>(VLOOKUP(B5030,Price_data!A$1:C$190,3,FALSE))</f>
        <v>EEZ</v>
      </c>
      <c r="T5030" s="2" t="str">
        <f>IF(C5030="Total", (VLOOKUP(B5030,Recommended_fish_intake!A$4:D$122,4,FALSE)), "NA")</f>
        <v>NA</v>
      </c>
      <c r="U5030" s="2" t="str">
        <f t="shared" si="414"/>
        <v>NA</v>
      </c>
    </row>
    <row r="5031" spans="1:21" ht="14.25" customHeight="1">
      <c r="A5031" s="2" t="s">
        <v>91</v>
      </c>
      <c r="B5031" s="2">
        <v>2017</v>
      </c>
      <c r="C5031" s="2" t="s">
        <v>20</v>
      </c>
      <c r="D5031" s="2">
        <v>0</v>
      </c>
      <c r="E5031" s="2">
        <v>0</v>
      </c>
      <c r="P5031" s="3">
        <f>E5031*(VLOOKUP(B5031,Price_data!A$1:B$190,2,FALSE))</f>
        <v>0</v>
      </c>
      <c r="Q5031" s="3">
        <f>G5031*(VLOOKUP(B5031,Price_data!A$1:B$190,2,FALSE))</f>
        <v>0</v>
      </c>
      <c r="R5031" s="3">
        <f>I5031*(VLOOKUP(B5031,Price_data!A$1:B$190,2,FALSE))</f>
        <v>0</v>
      </c>
      <c r="S5031" s="4" t="str">
        <f>(VLOOKUP(B5031,Price_data!A$1:C$190,3,FALSE))</f>
        <v>EEZ</v>
      </c>
      <c r="T5031" s="2" t="str">
        <f>IF(C5031="Total", (VLOOKUP(B5031,Recommended_fish_intake!A$4:D$122,4,FALSE)), "NA")</f>
        <v>NA</v>
      </c>
      <c r="U5031" s="2" t="str">
        <f t="shared" si="414"/>
        <v>NA</v>
      </c>
    </row>
    <row r="5032" spans="1:21" ht="14.25" customHeight="1">
      <c r="A5032" s="2" t="s">
        <v>91</v>
      </c>
      <c r="B5032" s="2">
        <v>2017</v>
      </c>
      <c r="C5032" s="2" t="s">
        <v>36</v>
      </c>
      <c r="D5032" s="2">
        <v>0.79</v>
      </c>
      <c r="E5032" s="2">
        <v>1.25</v>
      </c>
      <c r="P5032" s="3">
        <f>E5032*(VLOOKUP(B5032,Price_data!A$1:B$190,2,FALSE))</f>
        <v>0.78123546375000008</v>
      </c>
      <c r="Q5032" s="3">
        <f>G5032*(VLOOKUP(B5032,Price_data!A$1:B$190,2,FALSE))</f>
        <v>0</v>
      </c>
      <c r="R5032" s="3">
        <f>I5032*(VLOOKUP(B5032,Price_data!A$1:B$190,2,FALSE))</f>
        <v>0</v>
      </c>
      <c r="S5032" s="4" t="str">
        <f>(VLOOKUP(B5032,Price_data!A$1:C$190,3,FALSE))</f>
        <v>EEZ</v>
      </c>
      <c r="T5032" s="2" t="str">
        <f>IF(C5032="Total", (VLOOKUP(B5032,Recommended_fish_intake!A$4:D$122,4,FALSE)), "NA")</f>
        <v>NA</v>
      </c>
      <c r="U5032" s="2" t="str">
        <f t="shared" si="414"/>
        <v>NA</v>
      </c>
    </row>
    <row r="5033" spans="1:21" ht="14.25" customHeight="1">
      <c r="A5033" s="2" t="s">
        <v>91</v>
      </c>
      <c r="B5033" s="2">
        <v>2017</v>
      </c>
      <c r="C5033" s="2" t="s">
        <v>34</v>
      </c>
      <c r="D5033" s="2">
        <v>0.16</v>
      </c>
      <c r="E5033" s="2">
        <v>2.09</v>
      </c>
      <c r="P5033" s="3">
        <f>E5033*(VLOOKUP(B5033,Price_data!A$1:B$190,2,FALSE))</f>
        <v>1.30622569539</v>
      </c>
      <c r="Q5033" s="3">
        <f>G5033*(VLOOKUP(B5033,Price_data!A$1:B$190,2,FALSE))</f>
        <v>0</v>
      </c>
      <c r="R5033" s="3">
        <f>I5033*(VLOOKUP(B5033,Price_data!A$1:B$190,2,FALSE))</f>
        <v>0</v>
      </c>
      <c r="S5033" s="4" t="str">
        <f>(VLOOKUP(B5033,Price_data!A$1:C$190,3,FALSE))</f>
        <v>EEZ</v>
      </c>
      <c r="T5033" s="2" t="str">
        <f>IF(C5033="Total", (VLOOKUP(B5033,Recommended_fish_intake!A$4:D$122,4,FALSE)), "NA")</f>
        <v>NA</v>
      </c>
      <c r="U5033" s="2" t="str">
        <f t="shared" si="414"/>
        <v>NA</v>
      </c>
    </row>
    <row r="5034" spans="1:21" ht="14.25" customHeight="1">
      <c r="A5034" s="2" t="s">
        <v>91</v>
      </c>
      <c r="B5034" s="2">
        <v>2017</v>
      </c>
      <c r="C5034" s="2" t="s">
        <v>35</v>
      </c>
      <c r="D5034" s="2">
        <v>0.01</v>
      </c>
      <c r="E5034" s="2">
        <v>0.04</v>
      </c>
      <c r="P5034" s="3">
        <f>E5034*(VLOOKUP(B5034,Price_data!A$1:B$190,2,FALSE))</f>
        <v>2.4999534840000004E-2</v>
      </c>
      <c r="Q5034" s="3">
        <f>G5034*(VLOOKUP(B5034,Price_data!A$1:B$190,2,FALSE))</f>
        <v>0</v>
      </c>
      <c r="R5034" s="3">
        <f>I5034*(VLOOKUP(B5034,Price_data!A$1:B$190,2,FALSE))</f>
        <v>0</v>
      </c>
      <c r="S5034" s="4" t="str">
        <f>(VLOOKUP(B5034,Price_data!A$1:C$190,3,FALSE))</f>
        <v>EEZ</v>
      </c>
      <c r="T5034" s="2" t="str">
        <f>IF(C5034="Total", (VLOOKUP(B5034,Recommended_fish_intake!A$4:D$122,4,FALSE)), "NA")</f>
        <v>NA</v>
      </c>
      <c r="U5034" s="2" t="str">
        <f t="shared" si="414"/>
        <v>NA</v>
      </c>
    </row>
    <row r="5035" spans="1:21" ht="14.25" customHeight="1">
      <c r="A5035" s="2" t="s">
        <v>91</v>
      </c>
      <c r="B5035" s="2">
        <v>2017</v>
      </c>
      <c r="C5035" s="2" t="s">
        <v>52</v>
      </c>
      <c r="D5035" s="2">
        <v>0.78</v>
      </c>
      <c r="E5035" s="2">
        <v>1.45</v>
      </c>
      <c r="P5035" s="3">
        <f>E5035*(VLOOKUP(B5035,Price_data!A$1:B$190,2,FALSE))</f>
        <v>0.90623313795000005</v>
      </c>
      <c r="Q5035" s="3">
        <f>G5035*(VLOOKUP(B5035,Price_data!A$1:B$190,2,FALSE))</f>
        <v>0</v>
      </c>
      <c r="R5035" s="3">
        <f>I5035*(VLOOKUP(B5035,Price_data!A$1:B$190,2,FALSE))</f>
        <v>0</v>
      </c>
      <c r="S5035" s="4" t="str">
        <f>(VLOOKUP(B5035,Price_data!A$1:C$190,3,FALSE))</f>
        <v>EEZ</v>
      </c>
      <c r="T5035" s="2" t="str">
        <f>IF(C5035="Total", (VLOOKUP(B5035,Recommended_fish_intake!A$4:D$122,4,FALSE)), "NA")</f>
        <v>NA</v>
      </c>
      <c r="U5035" s="2" t="str">
        <f t="shared" si="414"/>
        <v>NA</v>
      </c>
    </row>
    <row r="5036" spans="1:21" ht="14.25" customHeight="1">
      <c r="A5036" s="2" t="s">
        <v>91</v>
      </c>
      <c r="B5036" s="2">
        <v>2017</v>
      </c>
      <c r="C5036" s="2" t="s">
        <v>30</v>
      </c>
      <c r="D5036" s="2">
        <v>0</v>
      </c>
      <c r="E5036" s="2">
        <v>0</v>
      </c>
      <c r="P5036" s="3">
        <f>E5036*(VLOOKUP(B5036,Price_data!A$1:B$190,2,FALSE))</f>
        <v>0</v>
      </c>
      <c r="Q5036" s="3">
        <f>G5036*(VLOOKUP(B5036,Price_data!A$1:B$190,2,FALSE))</f>
        <v>0</v>
      </c>
      <c r="R5036" s="3">
        <f>I5036*(VLOOKUP(B5036,Price_data!A$1:B$190,2,FALSE))</f>
        <v>0</v>
      </c>
      <c r="S5036" s="4" t="str">
        <f>(VLOOKUP(B5036,Price_data!A$1:C$190,3,FALSE))</f>
        <v>EEZ</v>
      </c>
      <c r="T5036" s="2" t="str">
        <f>IF(C5036="Total", (VLOOKUP(B5036,Recommended_fish_intake!A$4:D$122,4,FALSE)), "NA")</f>
        <v>NA</v>
      </c>
      <c r="U5036" s="2" t="str">
        <f t="shared" si="414"/>
        <v>NA</v>
      </c>
    </row>
    <row r="5037" spans="1:21" ht="14.25" customHeight="1">
      <c r="A5037" s="2" t="s">
        <v>91</v>
      </c>
      <c r="B5037" s="2">
        <v>2017</v>
      </c>
      <c r="C5037" s="2" t="s">
        <v>41</v>
      </c>
      <c r="D5037" s="2">
        <v>0.7</v>
      </c>
      <c r="E5037" s="2">
        <v>2.14</v>
      </c>
      <c r="P5037" s="3">
        <f>E5037*(VLOOKUP(B5037,Price_data!A$1:B$190,2,FALSE))</f>
        <v>1.3374751139400001</v>
      </c>
      <c r="Q5037" s="3">
        <f>G5037*(VLOOKUP(B5037,Price_data!A$1:B$190,2,FALSE))</f>
        <v>0</v>
      </c>
      <c r="R5037" s="3">
        <f>I5037*(VLOOKUP(B5037,Price_data!A$1:B$190,2,FALSE))</f>
        <v>0</v>
      </c>
      <c r="S5037" s="4" t="str">
        <f>(VLOOKUP(B5037,Price_data!A$1:C$190,3,FALSE))</f>
        <v>EEZ</v>
      </c>
      <c r="T5037" s="2" t="str">
        <f>IF(C5037="Total", (VLOOKUP(B5037,Recommended_fish_intake!A$4:D$122,4,FALSE)), "NA")</f>
        <v>NA</v>
      </c>
      <c r="U5037" s="2" t="str">
        <f t="shared" si="414"/>
        <v>NA</v>
      </c>
    </row>
    <row r="5038" spans="1:21" ht="14.25" customHeight="1">
      <c r="A5038" s="2" t="s">
        <v>91</v>
      </c>
      <c r="B5038" s="2">
        <v>2017</v>
      </c>
      <c r="C5038" s="2" t="s">
        <v>42</v>
      </c>
      <c r="D5038" s="2">
        <v>0</v>
      </c>
      <c r="E5038" s="2">
        <v>0</v>
      </c>
      <c r="P5038" s="3">
        <f>E5038*(VLOOKUP(B5038,Price_data!A$1:B$190,2,FALSE))</f>
        <v>0</v>
      </c>
      <c r="Q5038" s="3">
        <f>G5038*(VLOOKUP(B5038,Price_data!A$1:B$190,2,FALSE))</f>
        <v>0</v>
      </c>
      <c r="R5038" s="3">
        <f>I5038*(VLOOKUP(B5038,Price_data!A$1:B$190,2,FALSE))</f>
        <v>0</v>
      </c>
      <c r="S5038" s="4" t="str">
        <f>(VLOOKUP(B5038,Price_data!A$1:C$190,3,FALSE))</f>
        <v>EEZ</v>
      </c>
      <c r="T5038" s="2" t="str">
        <f>IF(C5038="Total", (VLOOKUP(B5038,Recommended_fish_intake!A$4:D$122,4,FALSE)), "NA")</f>
        <v>NA</v>
      </c>
      <c r="U5038" s="2" t="str">
        <f t="shared" si="414"/>
        <v>NA</v>
      </c>
    </row>
    <row r="5039" spans="1:21" ht="14.25" customHeight="1">
      <c r="A5039" s="2" t="s">
        <v>91</v>
      </c>
      <c r="B5039" s="2">
        <v>2017</v>
      </c>
      <c r="C5039" s="2" t="s">
        <v>28</v>
      </c>
      <c r="D5039" s="2">
        <v>9.19</v>
      </c>
      <c r="E5039" s="2">
        <v>13.71</v>
      </c>
      <c r="P5039" s="3">
        <f>E5039*(VLOOKUP(B5039,Price_data!A$1:B$190,2,FALSE))</f>
        <v>8.5685905664100019</v>
      </c>
      <c r="Q5039" s="3">
        <f>G5039*(VLOOKUP(B5039,Price_data!A$1:B$190,2,FALSE))</f>
        <v>0</v>
      </c>
      <c r="R5039" s="3">
        <f>I5039*(VLOOKUP(B5039,Price_data!A$1:B$190,2,FALSE))</f>
        <v>0</v>
      </c>
      <c r="S5039" s="4" t="str">
        <f>(VLOOKUP(B5039,Price_data!A$1:C$190,3,FALSE))</f>
        <v>EEZ</v>
      </c>
      <c r="T5039" s="2" t="str">
        <f>IF(C5039="Total", (VLOOKUP(B5039,Recommended_fish_intake!A$4:D$122,4,FALSE)), "NA")</f>
        <v>NA</v>
      </c>
      <c r="U5039" s="2">
        <f t="shared" si="414"/>
        <v>2.5731999999999999</v>
      </c>
    </row>
    <row r="5040" spans="1:21" ht="14.25" customHeight="1">
      <c r="A5040" s="2" t="s">
        <v>39</v>
      </c>
      <c r="B5040" s="2">
        <v>2017</v>
      </c>
      <c r="C5040" s="2" t="s">
        <v>22</v>
      </c>
      <c r="D5040" s="2">
        <v>18.094471500000001</v>
      </c>
      <c r="E5040" s="2">
        <v>41.845174929999999</v>
      </c>
      <c r="P5040" s="3">
        <f>E5040*(VLOOKUP(B5040,Price_data!A$1:B$190,2,FALSE))</f>
        <v>26.152747713710742</v>
      </c>
      <c r="Q5040" s="3">
        <f>G5040*(VLOOKUP(B5040,Price_data!A$1:B$190,2,FALSE))</f>
        <v>0</v>
      </c>
      <c r="R5040" s="3">
        <f>I5040*(VLOOKUP(B5040,Price_data!A$1:B$190,2,FALSE))</f>
        <v>0</v>
      </c>
      <c r="S5040" s="4" t="str">
        <f>(VLOOKUP(B5040,Price_data!A$1:C$190,3,FALSE))</f>
        <v>EEZ</v>
      </c>
      <c r="T5040" s="2" t="str">
        <f>IF(C5040="Total", (VLOOKUP(B5040,Recommended_fish_intake!A$4:D$122,4,FALSE)), "NA")</f>
        <v>NA</v>
      </c>
      <c r="U5040" s="2" t="str">
        <f t="shared" si="414"/>
        <v>NA</v>
      </c>
    </row>
    <row r="5041" spans="1:21" ht="14.25" customHeight="1">
      <c r="A5041" s="2" t="s">
        <v>39</v>
      </c>
      <c r="B5041" s="2">
        <v>2017</v>
      </c>
      <c r="C5041" s="2" t="s">
        <v>23</v>
      </c>
      <c r="D5041" s="2">
        <v>31.530076600000001</v>
      </c>
      <c r="E5041" s="2">
        <v>47.411095660000001</v>
      </c>
      <c r="P5041" s="3">
        <f>E5041*(VLOOKUP(B5041,Price_data!A$1:B$190,2,FALSE))</f>
        <v>29.631383443868572</v>
      </c>
      <c r="Q5041" s="3">
        <f>G5041*(VLOOKUP(B5041,Price_data!A$1:B$190,2,FALSE))</f>
        <v>0</v>
      </c>
      <c r="R5041" s="3">
        <f>I5041*(VLOOKUP(B5041,Price_data!A$1:B$190,2,FALSE))</f>
        <v>0</v>
      </c>
      <c r="S5041" s="4" t="str">
        <f>(VLOOKUP(B5041,Price_data!A$1:C$190,3,FALSE))</f>
        <v>EEZ</v>
      </c>
      <c r="T5041" s="2" t="str">
        <f>IF(C5041="Total", (VLOOKUP(B5041,Recommended_fish_intake!A$4:D$122,4,FALSE)), "NA")</f>
        <v>NA</v>
      </c>
      <c r="U5041" s="2" t="str">
        <f t="shared" si="414"/>
        <v>NA</v>
      </c>
    </row>
    <row r="5042" spans="1:21" ht="14.25" customHeight="1">
      <c r="A5042" s="2" t="s">
        <v>39</v>
      </c>
      <c r="B5042" s="2">
        <v>2017</v>
      </c>
      <c r="C5042" s="2" t="s">
        <v>53</v>
      </c>
      <c r="D5042" s="2">
        <v>10.840386799999999</v>
      </c>
      <c r="E5042" s="2">
        <v>23.24225925</v>
      </c>
      <c r="P5042" s="3">
        <f>E5042*(VLOOKUP(B5042,Price_data!A$1:B$190,2,FALSE))</f>
        <v>14.526141747017183</v>
      </c>
      <c r="Q5042" s="3">
        <f>G5042*(VLOOKUP(B5042,Price_data!A$1:B$190,2,FALSE))</f>
        <v>0</v>
      </c>
      <c r="R5042" s="3">
        <f>I5042*(VLOOKUP(B5042,Price_data!A$1:B$190,2,FALSE))</f>
        <v>0</v>
      </c>
      <c r="S5042" s="4" t="str">
        <f>(VLOOKUP(B5042,Price_data!A$1:C$190,3,FALSE))</f>
        <v>EEZ</v>
      </c>
      <c r="T5042" s="2" t="str">
        <f>IF(C5042="Total", (VLOOKUP(B5042,Recommended_fish_intake!A$4:D$122,4,FALSE)), "NA")</f>
        <v>NA</v>
      </c>
      <c r="U5042" s="2" t="str">
        <f t="shared" si="414"/>
        <v>NA</v>
      </c>
    </row>
    <row r="5043" spans="1:21" ht="14.25" customHeight="1">
      <c r="A5043" s="2" t="s">
        <v>39</v>
      </c>
      <c r="B5043" s="2">
        <v>2017</v>
      </c>
      <c r="C5043" s="2" t="s">
        <v>58</v>
      </c>
      <c r="D5043" s="2">
        <v>12.922277100000001</v>
      </c>
      <c r="E5043" s="2">
        <v>36.735952249999997</v>
      </c>
      <c r="P5043" s="3">
        <f>E5043*(VLOOKUP(B5043,Price_data!A$1:B$190,2,FALSE))</f>
        <v>22.959542953861284</v>
      </c>
      <c r="Q5043" s="3">
        <f>G5043*(VLOOKUP(B5043,Price_data!A$1:B$190,2,FALSE))</f>
        <v>0</v>
      </c>
      <c r="R5043" s="3">
        <f>I5043*(VLOOKUP(B5043,Price_data!A$1:B$190,2,FALSE))</f>
        <v>0</v>
      </c>
      <c r="S5043" s="4" t="str">
        <f>(VLOOKUP(B5043,Price_data!A$1:C$190,3,FALSE))</f>
        <v>EEZ</v>
      </c>
      <c r="T5043" s="2" t="str">
        <f>IF(C5043="Total", (VLOOKUP(B5043,Recommended_fish_intake!A$4:D$122,4,FALSE)), "NA")</f>
        <v>NA</v>
      </c>
      <c r="U5043" s="2" t="str">
        <f t="shared" si="414"/>
        <v>NA</v>
      </c>
    </row>
    <row r="5044" spans="1:21" ht="14.25" customHeight="1">
      <c r="A5044" s="2" t="s">
        <v>39</v>
      </c>
      <c r="B5044" s="2">
        <v>2017</v>
      </c>
      <c r="C5044" s="2" t="s">
        <v>19</v>
      </c>
      <c r="D5044" s="2">
        <v>37.3705815</v>
      </c>
      <c r="E5044" s="2">
        <v>15.242019109999999</v>
      </c>
      <c r="P5044" s="3">
        <f>E5044*(VLOOKUP(B5044,Price_data!A$1:B$190,2,FALSE))</f>
        <v>9.5260846943097697</v>
      </c>
      <c r="Q5044" s="3">
        <f>G5044*(VLOOKUP(B5044,Price_data!A$1:B$190,2,FALSE))</f>
        <v>0</v>
      </c>
      <c r="R5044" s="3">
        <f>I5044*(VLOOKUP(B5044,Price_data!A$1:B$190,2,FALSE))</f>
        <v>0</v>
      </c>
      <c r="S5044" s="4" t="str">
        <f>(VLOOKUP(B5044,Price_data!A$1:C$190,3,FALSE))</f>
        <v>EEZ</v>
      </c>
      <c r="T5044" s="2" t="str">
        <f>IF(C5044="Total", (VLOOKUP(B5044,Recommended_fish_intake!A$4:D$122,4,FALSE)), "NA")</f>
        <v>NA</v>
      </c>
      <c r="U5044" s="2" t="str">
        <f t="shared" si="414"/>
        <v>NA</v>
      </c>
    </row>
    <row r="5045" spans="1:21" ht="14.25" customHeight="1">
      <c r="A5045" s="2" t="s">
        <v>39</v>
      </c>
      <c r="B5045" s="2">
        <v>2017</v>
      </c>
      <c r="C5045" s="2" t="s">
        <v>20</v>
      </c>
      <c r="D5045" s="2">
        <v>90.277847199999997</v>
      </c>
      <c r="E5045" s="2">
        <v>81.53747731</v>
      </c>
      <c r="P5045" s="3">
        <f>E5045*(VLOOKUP(B5045,Price_data!A$1:B$190,2,FALSE))</f>
        <v>50.959975119426367</v>
      </c>
      <c r="Q5045" s="3">
        <f>G5045*(VLOOKUP(B5045,Price_data!A$1:B$190,2,FALSE))</f>
        <v>0</v>
      </c>
      <c r="R5045" s="3">
        <f>I5045*(VLOOKUP(B5045,Price_data!A$1:B$190,2,FALSE))</f>
        <v>0</v>
      </c>
      <c r="S5045" s="4" t="str">
        <f>(VLOOKUP(B5045,Price_data!A$1:C$190,3,FALSE))</f>
        <v>EEZ</v>
      </c>
      <c r="T5045" s="2" t="str">
        <f>IF(C5045="Total", (VLOOKUP(B5045,Recommended_fish_intake!A$4:D$122,4,FALSE)), "NA")</f>
        <v>NA</v>
      </c>
      <c r="U5045" s="2" t="str">
        <f t="shared" si="414"/>
        <v>NA</v>
      </c>
    </row>
    <row r="5046" spans="1:21" ht="14.25" customHeight="1">
      <c r="A5046" s="2" t="s">
        <v>39</v>
      </c>
      <c r="B5046" s="2">
        <v>2017</v>
      </c>
      <c r="C5046" s="2" t="s">
        <v>36</v>
      </c>
      <c r="D5046" s="2">
        <v>13.556881300000001</v>
      </c>
      <c r="E5046" s="2">
        <v>25.711037309999998</v>
      </c>
      <c r="P5046" s="3">
        <f>E5046*(VLOOKUP(B5046,Price_data!A$1:B$190,2,FALSE))</f>
        <v>16.06909932509712</v>
      </c>
      <c r="Q5046" s="3">
        <f>G5046*(VLOOKUP(B5046,Price_data!A$1:B$190,2,FALSE))</f>
        <v>0</v>
      </c>
      <c r="R5046" s="3">
        <f>I5046*(VLOOKUP(B5046,Price_data!A$1:B$190,2,FALSE))</f>
        <v>0</v>
      </c>
      <c r="S5046" s="4" t="str">
        <f>(VLOOKUP(B5046,Price_data!A$1:C$190,3,FALSE))</f>
        <v>EEZ</v>
      </c>
      <c r="T5046" s="2" t="str">
        <f>IF(C5046="Total", (VLOOKUP(B5046,Recommended_fish_intake!A$4:D$122,4,FALSE)), "NA")</f>
        <v>NA</v>
      </c>
      <c r="U5046" s="2" t="str">
        <f t="shared" si="414"/>
        <v>NA</v>
      </c>
    </row>
    <row r="5047" spans="1:21" ht="14.25" customHeight="1">
      <c r="A5047" s="2" t="s">
        <v>39</v>
      </c>
      <c r="B5047" s="2">
        <v>2017</v>
      </c>
      <c r="C5047" s="2" t="s">
        <v>34</v>
      </c>
      <c r="D5047" s="2">
        <v>1.2211225000000001</v>
      </c>
      <c r="E5047" s="2">
        <v>16.372331110000001</v>
      </c>
      <c r="P5047" s="3">
        <f>E5047*(VLOOKUP(B5047,Price_data!A$1:B$190,2,FALSE))</f>
        <v>10.232516549911523</v>
      </c>
      <c r="Q5047" s="3">
        <f>G5047*(VLOOKUP(B5047,Price_data!A$1:B$190,2,FALSE))</f>
        <v>0</v>
      </c>
      <c r="R5047" s="3">
        <f>I5047*(VLOOKUP(B5047,Price_data!A$1:B$190,2,FALSE))</f>
        <v>0</v>
      </c>
      <c r="S5047" s="4" t="str">
        <f>(VLOOKUP(B5047,Price_data!A$1:C$190,3,FALSE))</f>
        <v>EEZ</v>
      </c>
      <c r="T5047" s="2" t="str">
        <f>IF(C5047="Total", (VLOOKUP(B5047,Recommended_fish_intake!A$4:D$122,4,FALSE)), "NA")</f>
        <v>NA</v>
      </c>
      <c r="U5047" s="2" t="str">
        <f t="shared" si="414"/>
        <v>NA</v>
      </c>
    </row>
    <row r="5048" spans="1:21" ht="14.25" customHeight="1">
      <c r="A5048" s="2" t="s">
        <v>39</v>
      </c>
      <c r="B5048" s="2">
        <v>2017</v>
      </c>
      <c r="C5048" s="2" t="s">
        <v>35</v>
      </c>
      <c r="D5048" s="2">
        <v>20.705417499999999</v>
      </c>
      <c r="E5048" s="2">
        <v>75.378126449999996</v>
      </c>
      <c r="P5048" s="3">
        <f>E5048*(VLOOKUP(B5048,Price_data!A$1:B$190,2,FALSE))</f>
        <v>47.110452459017516</v>
      </c>
      <c r="Q5048" s="3">
        <f>G5048*(VLOOKUP(B5048,Price_data!A$1:B$190,2,FALSE))</f>
        <v>0</v>
      </c>
      <c r="R5048" s="3">
        <f>I5048*(VLOOKUP(B5048,Price_data!A$1:B$190,2,FALSE))</f>
        <v>0</v>
      </c>
      <c r="S5048" s="4" t="str">
        <f>(VLOOKUP(B5048,Price_data!A$1:C$190,3,FALSE))</f>
        <v>EEZ</v>
      </c>
      <c r="T5048" s="2" t="str">
        <f>IF(C5048="Total", (VLOOKUP(B5048,Recommended_fish_intake!A$4:D$122,4,FALSE)), "NA")</f>
        <v>NA</v>
      </c>
      <c r="U5048" s="2" t="str">
        <f t="shared" si="414"/>
        <v>NA</v>
      </c>
    </row>
    <row r="5049" spans="1:21" ht="14.25" customHeight="1">
      <c r="A5049" s="2" t="s">
        <v>39</v>
      </c>
      <c r="B5049" s="2">
        <v>2017</v>
      </c>
      <c r="C5049" s="2" t="s">
        <v>52</v>
      </c>
      <c r="D5049" s="2">
        <v>10.8472198</v>
      </c>
      <c r="E5049" s="2">
        <v>26.302899289999999</v>
      </c>
      <c r="P5049" s="3">
        <f>E5049*(VLOOKUP(B5049,Price_data!A$1:B$190,2,FALSE))</f>
        <v>16.439006179834156</v>
      </c>
      <c r="Q5049" s="3">
        <f>G5049*(VLOOKUP(B5049,Price_data!A$1:B$190,2,FALSE))</f>
        <v>0</v>
      </c>
      <c r="R5049" s="3">
        <f>I5049*(VLOOKUP(B5049,Price_data!A$1:B$190,2,FALSE))</f>
        <v>0</v>
      </c>
      <c r="S5049" s="4" t="str">
        <f>(VLOOKUP(B5049,Price_data!A$1:C$190,3,FALSE))</f>
        <v>EEZ</v>
      </c>
      <c r="T5049" s="2" t="str">
        <f>IF(C5049="Total", (VLOOKUP(B5049,Recommended_fish_intake!A$4:D$122,4,FALSE)), "NA")</f>
        <v>NA</v>
      </c>
      <c r="U5049" s="2" t="str">
        <f t="shared" si="414"/>
        <v>NA</v>
      </c>
    </row>
    <row r="5050" spans="1:21" ht="14.25" customHeight="1">
      <c r="A5050" s="2" t="s">
        <v>39</v>
      </c>
      <c r="B5050" s="2">
        <v>2017</v>
      </c>
      <c r="C5050" s="2" t="s">
        <v>30</v>
      </c>
      <c r="D5050" s="2">
        <v>6.6934000000000004E-3</v>
      </c>
      <c r="E5050" s="2">
        <v>5.0778110000000001E-2</v>
      </c>
      <c r="P5050" s="3">
        <f>E5050*(VLOOKUP(B5050,Price_data!A$1:B$190,2,FALSE))</f>
        <v>3.1735728251358813E-2</v>
      </c>
      <c r="Q5050" s="3">
        <f>G5050*(VLOOKUP(B5050,Price_data!A$1:B$190,2,FALSE))</f>
        <v>0</v>
      </c>
      <c r="R5050" s="3">
        <f>I5050*(VLOOKUP(B5050,Price_data!A$1:B$190,2,FALSE))</f>
        <v>0</v>
      </c>
      <c r="S5050" s="4" t="str">
        <f>(VLOOKUP(B5050,Price_data!A$1:C$190,3,FALSE))</f>
        <v>EEZ</v>
      </c>
      <c r="T5050" s="2" t="str">
        <f>IF(C5050="Total", (VLOOKUP(B5050,Recommended_fish_intake!A$4:D$122,4,FALSE)), "NA")</f>
        <v>NA</v>
      </c>
      <c r="U5050" s="2" t="str">
        <f t="shared" si="414"/>
        <v>NA</v>
      </c>
    </row>
    <row r="5051" spans="1:21" ht="14.25" customHeight="1">
      <c r="A5051" s="2" t="s">
        <v>39</v>
      </c>
      <c r="B5051" s="2">
        <v>2017</v>
      </c>
      <c r="C5051" s="2" t="s">
        <v>41</v>
      </c>
      <c r="D5051" s="2">
        <v>106.3536472</v>
      </c>
      <c r="E5051" s="2">
        <v>198.4300623</v>
      </c>
      <c r="P5051" s="3">
        <f>E5051*(VLOOKUP(B5051,Price_data!A$1:B$190,2,FALSE))</f>
        <v>124.01648139430553</v>
      </c>
      <c r="Q5051" s="3">
        <f>G5051*(VLOOKUP(B5051,Price_data!A$1:B$190,2,FALSE))</f>
        <v>0</v>
      </c>
      <c r="R5051" s="3">
        <f>I5051*(VLOOKUP(B5051,Price_data!A$1:B$190,2,FALSE))</f>
        <v>0</v>
      </c>
      <c r="S5051" s="4" t="str">
        <f>(VLOOKUP(B5051,Price_data!A$1:C$190,3,FALSE))</f>
        <v>EEZ</v>
      </c>
      <c r="T5051" s="2" t="str">
        <f>IF(C5051="Total", (VLOOKUP(B5051,Recommended_fish_intake!A$4:D$122,4,FALSE)), "NA")</f>
        <v>NA</v>
      </c>
      <c r="U5051" s="2" t="str">
        <f t="shared" si="414"/>
        <v>NA</v>
      </c>
    </row>
    <row r="5052" spans="1:21" ht="14.25" customHeight="1">
      <c r="A5052" s="2" t="s">
        <v>39</v>
      </c>
      <c r="B5052" s="2">
        <v>2017</v>
      </c>
      <c r="C5052" s="2" t="s">
        <v>42</v>
      </c>
      <c r="D5052" s="2">
        <v>142.13230110000001</v>
      </c>
      <c r="E5052" s="2">
        <v>98.672081390000002</v>
      </c>
      <c r="P5052" s="3">
        <f>E5052*(VLOOKUP(B5052,Price_data!A$1:B$190,2,FALSE))</f>
        <v>61.668903411115522</v>
      </c>
      <c r="Q5052" s="3">
        <f>G5052*(VLOOKUP(B5052,Price_data!A$1:B$190,2,FALSE))</f>
        <v>0</v>
      </c>
      <c r="R5052" s="3">
        <f>I5052*(VLOOKUP(B5052,Price_data!A$1:B$190,2,FALSE))</f>
        <v>0</v>
      </c>
      <c r="S5052" s="4" t="str">
        <f>(VLOOKUP(B5052,Price_data!A$1:C$190,3,FALSE))</f>
        <v>EEZ</v>
      </c>
      <c r="T5052" s="2" t="str">
        <f>IF(C5052="Total", (VLOOKUP(B5052,Recommended_fish_intake!A$4:D$122,4,FALSE)), "NA")</f>
        <v>NA</v>
      </c>
      <c r="U5052" s="2" t="str">
        <f t="shared" si="414"/>
        <v>NA</v>
      </c>
    </row>
    <row r="5053" spans="1:21" ht="14.25" customHeight="1">
      <c r="A5053" s="2" t="s">
        <v>39</v>
      </c>
      <c r="B5053" s="2">
        <v>2017</v>
      </c>
      <c r="C5053" s="2" t="s">
        <v>28</v>
      </c>
      <c r="D5053" s="2">
        <v>51.960644600000002</v>
      </c>
      <c r="E5053" s="2">
        <v>161.259174</v>
      </c>
      <c r="P5053" s="3">
        <f>E5053*(VLOOKUP(B5053,Price_data!A$1:B$190,2,FALSE))</f>
        <v>100.78510846706556</v>
      </c>
      <c r="Q5053" s="3">
        <f>G5053*(VLOOKUP(B5053,Price_data!A$1:B$190,2,FALSE))</f>
        <v>0</v>
      </c>
      <c r="R5053" s="3">
        <f>I5053*(VLOOKUP(B5053,Price_data!A$1:B$190,2,FALSE))</f>
        <v>0</v>
      </c>
      <c r="S5053" s="4" t="str">
        <f>(VLOOKUP(B5053,Price_data!A$1:C$190,3,FALSE))</f>
        <v>EEZ</v>
      </c>
      <c r="T5053" s="2" t="str">
        <f>IF(C5053="Total", (VLOOKUP(B5053,Recommended_fish_intake!A$4:D$122,4,FALSE)), "NA")</f>
        <v>NA</v>
      </c>
      <c r="U5053" s="2">
        <f t="shared" si="414"/>
        <v>14.548980488000002</v>
      </c>
    </row>
    <row r="5054" spans="1:21" ht="14.25" customHeight="1">
      <c r="A5054" s="2" t="s">
        <v>40</v>
      </c>
      <c r="B5054" s="2">
        <v>2017</v>
      </c>
      <c r="C5054" s="2" t="s">
        <v>22</v>
      </c>
      <c r="D5054" s="2">
        <v>4.08829E-2</v>
      </c>
      <c r="E5054" s="2">
        <v>8.9879269999999997E-2</v>
      </c>
      <c r="P5054" s="3">
        <f>E5054*(VLOOKUP(B5054,Price_data!A$1:B$190,2,FALSE))</f>
        <v>5.6173498543969171E-2</v>
      </c>
      <c r="Q5054" s="3">
        <f>G5054*(VLOOKUP(B5054,Price_data!A$1:B$190,2,FALSE))</f>
        <v>0</v>
      </c>
      <c r="R5054" s="3">
        <f>I5054*(VLOOKUP(B5054,Price_data!A$1:B$190,2,FALSE))</f>
        <v>0</v>
      </c>
      <c r="S5054" s="4" t="str">
        <f>(VLOOKUP(B5054,Price_data!A$1:C$190,3,FALSE))</f>
        <v>EEZ</v>
      </c>
      <c r="T5054" s="2" t="str">
        <f>IF(C5054="Total", (VLOOKUP(B5054,Recommended_fish_intake!A$4:D$122,4,FALSE)), "NA")</f>
        <v>NA</v>
      </c>
      <c r="U5054" s="2" t="str">
        <f t="shared" si="414"/>
        <v>NA</v>
      </c>
    </row>
    <row r="5055" spans="1:21" ht="14.25" customHeight="1">
      <c r="A5055" s="2" t="s">
        <v>40</v>
      </c>
      <c r="B5055" s="2">
        <v>2017</v>
      </c>
      <c r="C5055" s="2" t="s">
        <v>23</v>
      </c>
      <c r="D5055" s="2">
        <v>1.2704314000000001</v>
      </c>
      <c r="E5055" s="2">
        <v>1.92411642</v>
      </c>
      <c r="P5055" s="3">
        <f>E5055*(VLOOKUP(B5055,Price_data!A$1:B$190,2,FALSE))</f>
        <v>1.2025503869501519</v>
      </c>
      <c r="Q5055" s="3">
        <f>G5055*(VLOOKUP(B5055,Price_data!A$1:B$190,2,FALSE))</f>
        <v>0</v>
      </c>
      <c r="R5055" s="3">
        <f>I5055*(VLOOKUP(B5055,Price_data!A$1:B$190,2,FALSE))</f>
        <v>0</v>
      </c>
      <c r="S5055" s="4" t="str">
        <f>(VLOOKUP(B5055,Price_data!A$1:C$190,3,FALSE))</f>
        <v>EEZ</v>
      </c>
      <c r="T5055" s="2" t="str">
        <f>IF(C5055="Total", (VLOOKUP(B5055,Recommended_fish_intake!A$4:D$122,4,FALSE)), "NA")</f>
        <v>NA</v>
      </c>
      <c r="U5055" s="2" t="str">
        <f t="shared" si="414"/>
        <v>NA</v>
      </c>
    </row>
    <row r="5056" spans="1:21" ht="14.25" customHeight="1">
      <c r="A5056" s="2" t="s">
        <v>40</v>
      </c>
      <c r="B5056" s="2">
        <v>2017</v>
      </c>
      <c r="C5056" s="2" t="s">
        <v>53</v>
      </c>
      <c r="D5056" s="2">
        <v>0.18357390000000001</v>
      </c>
      <c r="E5056" s="2">
        <v>0.40070307999999999</v>
      </c>
      <c r="P5056" s="3">
        <f>E5056*(VLOOKUP(B5056,Price_data!A$1:B$190,2,FALSE))</f>
        <v>0.25043476522388269</v>
      </c>
      <c r="Q5056" s="3">
        <f>G5056*(VLOOKUP(B5056,Price_data!A$1:B$190,2,FALSE))</f>
        <v>0</v>
      </c>
      <c r="R5056" s="3">
        <f>I5056*(VLOOKUP(B5056,Price_data!A$1:B$190,2,FALSE))</f>
        <v>0</v>
      </c>
      <c r="S5056" s="4" t="str">
        <f>(VLOOKUP(B5056,Price_data!A$1:C$190,3,FALSE))</f>
        <v>EEZ</v>
      </c>
      <c r="T5056" s="2" t="str">
        <f>IF(C5056="Total", (VLOOKUP(B5056,Recommended_fish_intake!A$4:D$122,4,FALSE)), "NA")</f>
        <v>NA</v>
      </c>
      <c r="U5056" s="2" t="str">
        <f t="shared" si="414"/>
        <v>NA</v>
      </c>
    </row>
    <row r="5057" spans="1:21" ht="14.25" customHeight="1">
      <c r="A5057" s="2" t="s">
        <v>40</v>
      </c>
      <c r="B5057" s="2">
        <v>2017</v>
      </c>
      <c r="C5057" s="2" t="s">
        <v>58</v>
      </c>
      <c r="D5057" s="2">
        <v>0.55352520000000005</v>
      </c>
      <c r="E5057" s="2">
        <v>1.5402187599999999</v>
      </c>
      <c r="P5057" s="3">
        <f>E5057*(VLOOKUP(B5057,Price_data!A$1:B$190,2,FALSE))</f>
        <v>0.96261881379603997</v>
      </c>
      <c r="Q5057" s="3">
        <f>G5057*(VLOOKUP(B5057,Price_data!A$1:B$190,2,FALSE))</f>
        <v>0</v>
      </c>
      <c r="R5057" s="3">
        <f>I5057*(VLOOKUP(B5057,Price_data!A$1:B$190,2,FALSE))</f>
        <v>0</v>
      </c>
      <c r="S5057" s="4" t="str">
        <f>(VLOOKUP(B5057,Price_data!A$1:C$190,3,FALSE))</f>
        <v>EEZ</v>
      </c>
      <c r="T5057" s="2" t="str">
        <f>IF(C5057="Total", (VLOOKUP(B5057,Recommended_fish_intake!A$4:D$122,4,FALSE)), "NA")</f>
        <v>NA</v>
      </c>
      <c r="U5057" s="2" t="str">
        <f t="shared" si="414"/>
        <v>NA</v>
      </c>
    </row>
    <row r="5058" spans="1:21" ht="14.25" customHeight="1">
      <c r="A5058" s="2" t="s">
        <v>40</v>
      </c>
      <c r="B5058" s="2">
        <v>2017</v>
      </c>
      <c r="C5058" s="2" t="s">
        <v>19</v>
      </c>
      <c r="D5058" s="2">
        <v>3.7625725999999999</v>
      </c>
      <c r="E5058" s="2">
        <v>1.3307131999999999</v>
      </c>
      <c r="P5058" s="3">
        <f>E5058*(VLOOKUP(B5058,Price_data!A$1:B$190,2,FALSE))</f>
        <v>0.83168027513619724</v>
      </c>
      <c r="Q5058" s="3">
        <f>G5058*(VLOOKUP(B5058,Price_data!A$1:B$190,2,FALSE))</f>
        <v>0</v>
      </c>
      <c r="R5058" s="3">
        <f>I5058*(VLOOKUP(B5058,Price_data!A$1:B$190,2,FALSE))</f>
        <v>0</v>
      </c>
      <c r="S5058" s="4" t="str">
        <f>(VLOOKUP(B5058,Price_data!A$1:C$190,3,FALSE))</f>
        <v>EEZ</v>
      </c>
      <c r="T5058" s="2" t="str">
        <f>IF(C5058="Total", (VLOOKUP(B5058,Recommended_fish_intake!A$4:D$122,4,FALSE)), "NA")</f>
        <v>NA</v>
      </c>
      <c r="U5058" s="2" t="str">
        <f t="shared" ref="U5058:U5121" si="415">IF(C5058="Wet fish", D5058*0.49, IF(C5058="Shellfish", D5058*0.28, "NA"))</f>
        <v>NA</v>
      </c>
    </row>
    <row r="5059" spans="1:21" ht="14.25" customHeight="1">
      <c r="A5059" s="2" t="s">
        <v>40</v>
      </c>
      <c r="B5059" s="2">
        <v>2017</v>
      </c>
      <c r="C5059" s="2" t="s">
        <v>20</v>
      </c>
      <c r="D5059" s="2">
        <v>2.5710380000000002</v>
      </c>
      <c r="E5059" s="2">
        <v>2.4827729999999999</v>
      </c>
      <c r="P5059" s="3">
        <f>E5059*(VLOOKUP(B5059,Price_data!A$1:B$190,2,FALSE))</f>
        <v>1.5517042528327831</v>
      </c>
      <c r="Q5059" s="3">
        <f>G5059*(VLOOKUP(B5059,Price_data!A$1:B$190,2,FALSE))</f>
        <v>0</v>
      </c>
      <c r="R5059" s="3">
        <f>I5059*(VLOOKUP(B5059,Price_data!A$1:B$190,2,FALSE))</f>
        <v>0</v>
      </c>
      <c r="S5059" s="4" t="str">
        <f>(VLOOKUP(B5059,Price_data!A$1:C$190,3,FALSE))</f>
        <v>EEZ</v>
      </c>
      <c r="T5059" s="2" t="str">
        <f>IF(C5059="Total", (VLOOKUP(B5059,Recommended_fish_intake!A$4:D$122,4,FALSE)), "NA")</f>
        <v>NA</v>
      </c>
      <c r="U5059" s="2" t="str">
        <f t="shared" si="415"/>
        <v>NA</v>
      </c>
    </row>
    <row r="5060" spans="1:21" ht="14.25" customHeight="1">
      <c r="A5060" s="2" t="s">
        <v>40</v>
      </c>
      <c r="B5060" s="2">
        <v>2017</v>
      </c>
      <c r="C5060" s="2" t="s">
        <v>36</v>
      </c>
      <c r="D5060" s="2">
        <v>1.3920132999999999</v>
      </c>
      <c r="E5060" s="2">
        <v>1.63473801</v>
      </c>
      <c r="P5060" s="3">
        <f>E5060*(VLOOKUP(B5060,Price_data!A$1:B$190,2,FALSE))</f>
        <v>1.0216922458816817</v>
      </c>
      <c r="Q5060" s="3">
        <f>G5060*(VLOOKUP(B5060,Price_data!A$1:B$190,2,FALSE))</f>
        <v>0</v>
      </c>
      <c r="R5060" s="3">
        <f>I5060*(VLOOKUP(B5060,Price_data!A$1:B$190,2,FALSE))</f>
        <v>0</v>
      </c>
      <c r="S5060" s="4" t="str">
        <f>(VLOOKUP(B5060,Price_data!A$1:C$190,3,FALSE))</f>
        <v>EEZ</v>
      </c>
      <c r="T5060" s="2" t="str">
        <f>IF(C5060="Total", (VLOOKUP(B5060,Recommended_fish_intake!A$4:D$122,4,FALSE)), "NA")</f>
        <v>NA</v>
      </c>
      <c r="U5060" s="2" t="str">
        <f t="shared" si="415"/>
        <v>NA</v>
      </c>
    </row>
    <row r="5061" spans="1:21" ht="14.25" customHeight="1">
      <c r="A5061" s="2" t="s">
        <v>40</v>
      </c>
      <c r="B5061" s="2">
        <v>2017</v>
      </c>
      <c r="C5061" s="2" t="s">
        <v>34</v>
      </c>
      <c r="D5061" s="2">
        <v>7.0043300000000003E-2</v>
      </c>
      <c r="E5061" s="2">
        <v>0.79853158000000002</v>
      </c>
      <c r="P5061" s="3">
        <f>E5061*(VLOOKUP(B5061,Price_data!A$1:B$190,2,FALSE))</f>
        <v>0.49907295137625624</v>
      </c>
      <c r="Q5061" s="3">
        <f>G5061*(VLOOKUP(B5061,Price_data!A$1:B$190,2,FALSE))</f>
        <v>0</v>
      </c>
      <c r="R5061" s="3">
        <f>I5061*(VLOOKUP(B5061,Price_data!A$1:B$190,2,FALSE))</f>
        <v>0</v>
      </c>
      <c r="S5061" s="4" t="str">
        <f>(VLOOKUP(B5061,Price_data!A$1:C$190,3,FALSE))</f>
        <v>EEZ</v>
      </c>
      <c r="T5061" s="2" t="str">
        <f>IF(C5061="Total", (VLOOKUP(B5061,Recommended_fish_intake!A$4:D$122,4,FALSE)), "NA")</f>
        <v>NA</v>
      </c>
      <c r="U5061" s="2" t="str">
        <f t="shared" si="415"/>
        <v>NA</v>
      </c>
    </row>
    <row r="5062" spans="1:21" ht="14.25" customHeight="1">
      <c r="A5062" s="2" t="s">
        <v>40</v>
      </c>
      <c r="B5062" s="2">
        <v>2017</v>
      </c>
      <c r="C5062" s="2" t="s">
        <v>35</v>
      </c>
      <c r="D5062" s="2">
        <v>6.2003765</v>
      </c>
      <c r="E5062" s="2">
        <v>14.6592699</v>
      </c>
      <c r="P5062" s="3">
        <f>E5062*(VLOOKUP(B5062,Price_data!A$1:B$190,2,FALSE))</f>
        <v>9.161873214850333</v>
      </c>
      <c r="Q5062" s="3">
        <f>G5062*(VLOOKUP(B5062,Price_data!A$1:B$190,2,FALSE))</f>
        <v>0</v>
      </c>
      <c r="R5062" s="3">
        <f>I5062*(VLOOKUP(B5062,Price_data!A$1:B$190,2,FALSE))</f>
        <v>0</v>
      </c>
      <c r="S5062" s="4" t="str">
        <f>(VLOOKUP(B5062,Price_data!A$1:C$190,3,FALSE))</f>
        <v>EEZ</v>
      </c>
      <c r="T5062" s="2" t="str">
        <f>IF(C5062="Total", (VLOOKUP(B5062,Recommended_fish_intake!A$4:D$122,4,FALSE)), "NA")</f>
        <v>NA</v>
      </c>
      <c r="U5062" s="2" t="str">
        <f t="shared" si="415"/>
        <v>NA</v>
      </c>
    </row>
    <row r="5063" spans="1:21" ht="14.25" customHeight="1">
      <c r="A5063" s="2" t="s">
        <v>40</v>
      </c>
      <c r="B5063" s="2">
        <v>2017</v>
      </c>
      <c r="C5063" s="2" t="s">
        <v>52</v>
      </c>
      <c r="D5063" s="2">
        <v>1.1440774</v>
      </c>
      <c r="E5063" s="2">
        <v>3.1195966799999999</v>
      </c>
      <c r="P5063" s="3">
        <f>E5063*(VLOOKUP(B5063,Price_data!A$1:B$190,2,FALSE))</f>
        <v>1.9497116472102083</v>
      </c>
      <c r="Q5063" s="3">
        <f>G5063*(VLOOKUP(B5063,Price_data!A$1:B$190,2,FALSE))</f>
        <v>0</v>
      </c>
      <c r="R5063" s="3">
        <f>I5063*(VLOOKUP(B5063,Price_data!A$1:B$190,2,FALSE))</f>
        <v>0</v>
      </c>
      <c r="S5063" s="4" t="str">
        <f>(VLOOKUP(B5063,Price_data!A$1:C$190,3,FALSE))</f>
        <v>EEZ</v>
      </c>
      <c r="T5063" s="2" t="str">
        <f>IF(C5063="Total", (VLOOKUP(B5063,Recommended_fish_intake!A$4:D$122,4,FALSE)), "NA")</f>
        <v>NA</v>
      </c>
      <c r="U5063" s="2" t="str">
        <f t="shared" si="415"/>
        <v>NA</v>
      </c>
    </row>
    <row r="5064" spans="1:21" ht="14.25" customHeight="1">
      <c r="A5064" s="2" t="s">
        <v>40</v>
      </c>
      <c r="B5064" s="2">
        <v>2017</v>
      </c>
      <c r="C5064" s="2" t="s">
        <v>30</v>
      </c>
      <c r="D5064" s="2">
        <v>6.3100000000000005E-4</v>
      </c>
      <c r="E5064" s="2">
        <v>5.607E-3</v>
      </c>
      <c r="P5064" s="3">
        <f>E5064*(VLOOKUP(B5064,Price_data!A$1:B$190,2,FALSE))</f>
        <v>3.5043097961970004E-3</v>
      </c>
      <c r="Q5064" s="3">
        <f>G5064*(VLOOKUP(B5064,Price_data!A$1:B$190,2,FALSE))</f>
        <v>0</v>
      </c>
      <c r="R5064" s="3">
        <f>I5064*(VLOOKUP(B5064,Price_data!A$1:B$190,2,FALSE))</f>
        <v>0</v>
      </c>
      <c r="S5064" s="4" t="str">
        <f>(VLOOKUP(B5064,Price_data!A$1:C$190,3,FALSE))</f>
        <v>EEZ</v>
      </c>
      <c r="T5064" s="2" t="str">
        <f>IF(C5064="Total", (VLOOKUP(B5064,Recommended_fish_intake!A$4:D$122,4,FALSE)), "NA")</f>
        <v>NA</v>
      </c>
      <c r="U5064" s="2" t="str">
        <f t="shared" si="415"/>
        <v>NA</v>
      </c>
    </row>
    <row r="5065" spans="1:21" ht="14.25" customHeight="1">
      <c r="A5065" s="2" t="s">
        <v>40</v>
      </c>
      <c r="B5065" s="2">
        <v>2017</v>
      </c>
      <c r="C5065" s="2" t="s">
        <v>41</v>
      </c>
      <c r="D5065" s="2">
        <v>2.8102820999999998</v>
      </c>
      <c r="E5065" s="2">
        <v>4.5103745499999999</v>
      </c>
      <c r="P5065" s="3">
        <f>E5065*(VLOOKUP(B5065,Price_data!A$1:B$190,2,FALSE))</f>
        <v>2.8189316426043582</v>
      </c>
      <c r="Q5065" s="3">
        <f>G5065*(VLOOKUP(B5065,Price_data!A$1:B$190,2,FALSE))</f>
        <v>0</v>
      </c>
      <c r="R5065" s="3">
        <f>I5065*(VLOOKUP(B5065,Price_data!A$1:B$190,2,FALSE))</f>
        <v>0</v>
      </c>
      <c r="S5065" s="4" t="str">
        <f>(VLOOKUP(B5065,Price_data!A$1:C$190,3,FALSE))</f>
        <v>EEZ</v>
      </c>
      <c r="T5065" s="2" t="str">
        <f>IF(C5065="Total", (VLOOKUP(B5065,Recommended_fish_intake!A$4:D$122,4,FALSE)), "NA")</f>
        <v>NA</v>
      </c>
      <c r="U5065" s="2" t="str">
        <f t="shared" si="415"/>
        <v>NA</v>
      </c>
    </row>
    <row r="5066" spans="1:21" ht="14.25" customHeight="1">
      <c r="A5066" s="2" t="s">
        <v>40</v>
      </c>
      <c r="B5066" s="2">
        <v>2017</v>
      </c>
      <c r="C5066" s="2" t="s">
        <v>42</v>
      </c>
      <c r="D5066" s="2">
        <v>6.3336106000000001</v>
      </c>
      <c r="E5066" s="2">
        <v>3.8134861999999998</v>
      </c>
      <c r="P5066" s="3">
        <f>E5066*(VLOOKUP(B5066,Price_data!A$1:B$190,2,FALSE))</f>
        <v>2.38338452796898</v>
      </c>
      <c r="Q5066" s="3">
        <f>G5066*(VLOOKUP(B5066,Price_data!A$1:B$190,2,FALSE))</f>
        <v>0</v>
      </c>
      <c r="R5066" s="3">
        <f>I5066*(VLOOKUP(B5066,Price_data!A$1:B$190,2,FALSE))</f>
        <v>0</v>
      </c>
      <c r="S5066" s="4" t="str">
        <f>(VLOOKUP(B5066,Price_data!A$1:C$190,3,FALSE))</f>
        <v>EEZ</v>
      </c>
      <c r="T5066" s="2" t="str">
        <f>IF(C5066="Total", (VLOOKUP(B5066,Recommended_fish_intake!A$4:D$122,4,FALSE)), "NA")</f>
        <v>NA</v>
      </c>
      <c r="U5066" s="2" t="str">
        <f t="shared" si="415"/>
        <v>NA</v>
      </c>
    </row>
    <row r="5067" spans="1:21" ht="14.25" customHeight="1">
      <c r="A5067" s="2" t="s">
        <v>40</v>
      </c>
      <c r="B5067" s="2">
        <v>2017</v>
      </c>
      <c r="C5067" s="2" t="s">
        <v>28</v>
      </c>
      <c r="D5067" s="2">
        <v>9.5482572000000001</v>
      </c>
      <c r="E5067" s="2">
        <v>20.854408970000001</v>
      </c>
      <c r="P5067" s="3">
        <f>E5067*(VLOOKUP(B5067,Price_data!A$1:B$190,2,FALSE))</f>
        <v>13.03376309032809</v>
      </c>
      <c r="Q5067" s="3">
        <f>G5067*(VLOOKUP(B5067,Price_data!A$1:B$190,2,FALSE))</f>
        <v>0</v>
      </c>
      <c r="R5067" s="3">
        <f>I5067*(VLOOKUP(B5067,Price_data!A$1:B$190,2,FALSE))</f>
        <v>0</v>
      </c>
      <c r="S5067" s="4" t="str">
        <f>(VLOOKUP(B5067,Price_data!A$1:C$190,3,FALSE))</f>
        <v>EEZ</v>
      </c>
      <c r="T5067" s="2" t="str">
        <f>IF(C5067="Total", (VLOOKUP(B5067,Recommended_fish_intake!A$4:D$122,4,FALSE)), "NA")</f>
        <v>NA</v>
      </c>
      <c r="U5067" s="2">
        <f t="shared" si="415"/>
        <v>2.6735120160000001</v>
      </c>
    </row>
    <row r="5068" spans="1:21" ht="14.25" customHeight="1">
      <c r="A5068" s="2" t="s">
        <v>40</v>
      </c>
      <c r="B5068" s="2">
        <v>2017</v>
      </c>
      <c r="C5068" s="2" t="s">
        <v>37</v>
      </c>
      <c r="D5068" s="3">
        <f>D3240+D3245</f>
        <v>0</v>
      </c>
      <c r="E5068" s="3">
        <f>E3240+E3245</f>
        <v>0</v>
      </c>
      <c r="P5068" s="3">
        <f>E5068*(VLOOKUP(B5068,Price_data!A$1:B$190,2,FALSE))</f>
        <v>0</v>
      </c>
      <c r="Q5068" s="3">
        <f>G5068*(VLOOKUP(B5068,Price_data!A$1:B$190,2,FALSE))</f>
        <v>0</v>
      </c>
      <c r="R5068" s="3">
        <f>I5068*(VLOOKUP(B5068,Price_data!A$1:B$190,2,FALSE))</f>
        <v>0</v>
      </c>
      <c r="S5068" s="4" t="str">
        <f>(VLOOKUP(B5068,Price_data!A$1:C$190,3,FALSE))</f>
        <v>EEZ</v>
      </c>
      <c r="T5068" s="2" t="str">
        <f>IF(C5068="Total", (VLOOKUP(B5068,Recommended_fish_intake!A$4:D$122,4,FALSE)), "NA")</f>
        <v>NA</v>
      </c>
      <c r="U5068" s="2">
        <f t="shared" si="415"/>
        <v>0</v>
      </c>
    </row>
    <row r="5069" spans="1:21" ht="14.25" customHeight="1">
      <c r="A5069" s="2" t="s">
        <v>39</v>
      </c>
      <c r="B5069" s="2">
        <v>2017</v>
      </c>
      <c r="C5069" s="2" t="s">
        <v>37</v>
      </c>
      <c r="D5069" s="3">
        <f>D3161+D3166</f>
        <v>64.106999999999999</v>
      </c>
      <c r="E5069" s="3">
        <f>E3161+E3166</f>
        <v>62.094999999999999</v>
      </c>
      <c r="P5069" s="3">
        <f>E5069*(VLOOKUP(B5069,Price_data!A$1:B$190,2,FALSE))</f>
        <v>38.808652897245004</v>
      </c>
      <c r="Q5069" s="3">
        <f>G5069*(VLOOKUP(B5069,Price_data!A$1:B$190,2,FALSE))</f>
        <v>0</v>
      </c>
      <c r="R5069" s="3">
        <f>I5069*(VLOOKUP(B5069,Price_data!A$1:B$190,2,FALSE))</f>
        <v>0</v>
      </c>
      <c r="S5069" s="4" t="str">
        <f>(VLOOKUP(B5069,Price_data!A$1:C$190,3,FALSE))</f>
        <v>EEZ</v>
      </c>
      <c r="T5069" s="2" t="str">
        <f>IF(C5069="Total", (VLOOKUP(B5069,Recommended_fish_intake!A$4:D$122,4,FALSE)), "NA")</f>
        <v>NA</v>
      </c>
      <c r="U5069" s="2">
        <f t="shared" si="415"/>
        <v>31.412430000000001</v>
      </c>
    </row>
    <row r="5070" spans="1:21" ht="14.25" customHeight="1">
      <c r="A5070" s="2" t="s">
        <v>18</v>
      </c>
      <c r="B5070" s="2">
        <v>2017</v>
      </c>
      <c r="C5070" s="2" t="s">
        <v>22</v>
      </c>
      <c r="D5070" s="3">
        <f t="shared" ref="D5070:E5083" si="416">D2952+D3027</f>
        <v>12.9</v>
      </c>
      <c r="E5070" s="3">
        <f t="shared" si="416"/>
        <v>15.5</v>
      </c>
      <c r="P5070" s="3">
        <f>E5070*(VLOOKUP(B5070,Price_data!A$1:B$190,2,FALSE))</f>
        <v>9.6873197505000004</v>
      </c>
      <c r="Q5070" s="3">
        <f>G5070*(VLOOKUP(B5070,Price_data!A$1:B$190,2,FALSE))</f>
        <v>0</v>
      </c>
      <c r="R5070" s="3">
        <f>I5070*(VLOOKUP(B5070,Price_data!A$1:B$190,2,FALSE))</f>
        <v>0</v>
      </c>
      <c r="S5070" s="4" t="str">
        <f>(VLOOKUP(B5070,Price_data!A$1:C$190,3,FALSE))</f>
        <v>EEZ</v>
      </c>
      <c r="T5070" s="2" t="str">
        <f>IF(C5070="Total", (VLOOKUP(B5070,Recommended_fish_intake!A$4:D$122,4,FALSE)), "NA")</f>
        <v>NA</v>
      </c>
      <c r="U5070" s="2" t="str">
        <f t="shared" si="415"/>
        <v>NA</v>
      </c>
    </row>
    <row r="5071" spans="1:21" ht="14.25" customHeight="1">
      <c r="A5071" s="2" t="s">
        <v>18</v>
      </c>
      <c r="B5071" s="2">
        <v>2017</v>
      </c>
      <c r="C5071" s="2" t="s">
        <v>23</v>
      </c>
      <c r="D5071" s="3" t="e">
        <f t="shared" si="416"/>
        <v>#N/A</v>
      </c>
      <c r="E5071" s="3" t="e">
        <f t="shared" si="416"/>
        <v>#N/A</v>
      </c>
      <c r="P5071" s="3" t="e">
        <f>E5071*(VLOOKUP(B5071,Price_data!A$1:B$190,2,FALSE))</f>
        <v>#N/A</v>
      </c>
      <c r="Q5071" s="3">
        <f>G5071*(VLOOKUP(B5071,Price_data!A$1:B$190,2,FALSE))</f>
        <v>0</v>
      </c>
      <c r="R5071" s="3">
        <f>I5071*(VLOOKUP(B5071,Price_data!A$1:B$190,2,FALSE))</f>
        <v>0</v>
      </c>
      <c r="S5071" s="4" t="str">
        <f>(VLOOKUP(B5071,Price_data!A$1:C$190,3,FALSE))</f>
        <v>EEZ</v>
      </c>
      <c r="T5071" s="2" t="str">
        <f>IF(C5071="Total", (VLOOKUP(B5071,Recommended_fish_intake!A$4:D$122,4,FALSE)), "NA")</f>
        <v>NA</v>
      </c>
      <c r="U5071" s="2" t="str">
        <f t="shared" si="415"/>
        <v>NA</v>
      </c>
    </row>
    <row r="5072" spans="1:21" ht="14.25" customHeight="1">
      <c r="A5072" s="2" t="s">
        <v>18</v>
      </c>
      <c r="B5072" s="2">
        <v>2017</v>
      </c>
      <c r="C5072" s="2" t="s">
        <v>53</v>
      </c>
      <c r="D5072" s="3" t="e">
        <f t="shared" si="416"/>
        <v>#N/A</v>
      </c>
      <c r="E5072" s="3" t="e">
        <f t="shared" si="416"/>
        <v>#N/A</v>
      </c>
      <c r="P5072" s="3" t="e">
        <f>E5072*(VLOOKUP(B5072,Price_data!A$1:B$190,2,FALSE))</f>
        <v>#N/A</v>
      </c>
      <c r="Q5072" s="3">
        <f>G5072*(VLOOKUP(B5072,Price_data!A$1:B$190,2,FALSE))</f>
        <v>0</v>
      </c>
      <c r="R5072" s="3">
        <f>I5072*(VLOOKUP(B5072,Price_data!A$1:B$190,2,FALSE))</f>
        <v>0</v>
      </c>
      <c r="S5072" s="4" t="str">
        <f>(VLOOKUP(B5072,Price_data!A$1:C$190,3,FALSE))</f>
        <v>EEZ</v>
      </c>
      <c r="T5072" s="2" t="str">
        <f>IF(C5072="Total", (VLOOKUP(B5072,Recommended_fish_intake!A$4:D$122,4,FALSE)), "NA")</f>
        <v>NA</v>
      </c>
      <c r="U5072" s="2" t="str">
        <f t="shared" si="415"/>
        <v>NA</v>
      </c>
    </row>
    <row r="5073" spans="1:21" ht="14.25" customHeight="1">
      <c r="A5073" s="2" t="s">
        <v>18</v>
      </c>
      <c r="B5073" s="2">
        <v>2017</v>
      </c>
      <c r="C5073" s="2" t="s">
        <v>58</v>
      </c>
      <c r="D5073" s="3">
        <f t="shared" si="416"/>
        <v>30.7</v>
      </c>
      <c r="E5073" s="3">
        <f t="shared" si="416"/>
        <v>32.4</v>
      </c>
      <c r="P5073" s="3">
        <f>E5073*(VLOOKUP(B5073,Price_data!A$1:B$190,2,FALSE))</f>
        <v>20.2496232204</v>
      </c>
      <c r="Q5073" s="3">
        <f>G5073*(VLOOKUP(B5073,Price_data!A$1:B$190,2,FALSE))</f>
        <v>0</v>
      </c>
      <c r="R5073" s="3">
        <f>I5073*(VLOOKUP(B5073,Price_data!A$1:B$190,2,FALSE))</f>
        <v>0</v>
      </c>
      <c r="S5073" s="4" t="str">
        <f>(VLOOKUP(B5073,Price_data!A$1:C$190,3,FALSE))</f>
        <v>EEZ</v>
      </c>
      <c r="T5073" s="2" t="str">
        <f>IF(C5073="Total", (VLOOKUP(B5073,Recommended_fish_intake!A$4:D$122,4,FALSE)), "NA")</f>
        <v>NA</v>
      </c>
      <c r="U5073" s="2" t="str">
        <f t="shared" si="415"/>
        <v>NA</v>
      </c>
    </row>
    <row r="5074" spans="1:21" ht="14.25" customHeight="1">
      <c r="A5074" s="2" t="s">
        <v>18</v>
      </c>
      <c r="B5074" s="2">
        <v>2017</v>
      </c>
      <c r="C5074" s="2" t="s">
        <v>19</v>
      </c>
      <c r="D5074" s="3">
        <f t="shared" si="416"/>
        <v>5.4</v>
      </c>
      <c r="E5074" s="3">
        <f t="shared" si="416"/>
        <v>4.5</v>
      </c>
      <c r="P5074" s="3">
        <f>E5074*(VLOOKUP(B5074,Price_data!A$1:B$190,2,FALSE))</f>
        <v>2.8124476695</v>
      </c>
      <c r="Q5074" s="3">
        <f>G5074*(VLOOKUP(B5074,Price_data!A$1:B$190,2,FALSE))</f>
        <v>0</v>
      </c>
      <c r="R5074" s="3">
        <f>I5074*(VLOOKUP(B5074,Price_data!A$1:B$190,2,FALSE))</f>
        <v>0</v>
      </c>
      <c r="S5074" s="4" t="str">
        <f>(VLOOKUP(B5074,Price_data!A$1:C$190,3,FALSE))</f>
        <v>EEZ</v>
      </c>
      <c r="T5074" s="2" t="str">
        <f>IF(C5074="Total", (VLOOKUP(B5074,Recommended_fish_intake!A$4:D$122,4,FALSE)), "NA")</f>
        <v>NA</v>
      </c>
      <c r="U5074" s="2" t="str">
        <f t="shared" si="415"/>
        <v>NA</v>
      </c>
    </row>
    <row r="5075" spans="1:21" ht="14.25" customHeight="1">
      <c r="A5075" s="2" t="s">
        <v>18</v>
      </c>
      <c r="B5075" s="2">
        <v>2017</v>
      </c>
      <c r="C5075" s="2" t="s">
        <v>20</v>
      </c>
      <c r="D5075" s="3">
        <f t="shared" si="416"/>
        <v>2.8</v>
      </c>
      <c r="E5075" s="3">
        <f t="shared" si="416"/>
        <v>5.9</v>
      </c>
      <c r="P5075" s="3">
        <f>E5075*(VLOOKUP(B5075,Price_data!A$1:B$190,2,FALSE))</f>
        <v>3.6874313889000003</v>
      </c>
      <c r="Q5075" s="3">
        <f>G5075*(VLOOKUP(B5075,Price_data!A$1:B$190,2,FALSE))</f>
        <v>0</v>
      </c>
      <c r="R5075" s="3">
        <f>I5075*(VLOOKUP(B5075,Price_data!A$1:B$190,2,FALSE))</f>
        <v>0</v>
      </c>
      <c r="S5075" s="4" t="str">
        <f>(VLOOKUP(B5075,Price_data!A$1:C$190,3,FALSE))</f>
        <v>EEZ</v>
      </c>
      <c r="T5075" s="2" t="str">
        <f>IF(C5075="Total", (VLOOKUP(B5075,Recommended_fish_intake!A$4:D$122,4,FALSE)), "NA")</f>
        <v>NA</v>
      </c>
      <c r="U5075" s="2" t="str">
        <f t="shared" si="415"/>
        <v>NA</v>
      </c>
    </row>
    <row r="5076" spans="1:21" ht="14.25" customHeight="1">
      <c r="A5076" s="2" t="s">
        <v>18</v>
      </c>
      <c r="B5076" s="2">
        <v>2017</v>
      </c>
      <c r="C5076" s="2" t="s">
        <v>36</v>
      </c>
      <c r="D5076" s="3">
        <f t="shared" si="416"/>
        <v>4.9000000000000004</v>
      </c>
      <c r="E5076" s="3">
        <f t="shared" si="416"/>
        <v>2.2000000000000002</v>
      </c>
      <c r="P5076" s="3">
        <f>E5076*(VLOOKUP(B5076,Price_data!A$1:B$190,2,FALSE))</f>
        <v>1.3749744162000002</v>
      </c>
      <c r="Q5076" s="3">
        <f>G5076*(VLOOKUP(B5076,Price_data!A$1:B$190,2,FALSE))</f>
        <v>0</v>
      </c>
      <c r="R5076" s="3">
        <f>I5076*(VLOOKUP(B5076,Price_data!A$1:B$190,2,FALSE))</f>
        <v>0</v>
      </c>
      <c r="S5076" s="4" t="str">
        <f>(VLOOKUP(B5076,Price_data!A$1:C$190,3,FALSE))</f>
        <v>EEZ</v>
      </c>
      <c r="T5076" s="2" t="str">
        <f>IF(C5076="Total", (VLOOKUP(B5076,Recommended_fish_intake!A$4:D$122,4,FALSE)), "NA")</f>
        <v>NA</v>
      </c>
      <c r="U5076" s="2" t="str">
        <f t="shared" si="415"/>
        <v>NA</v>
      </c>
    </row>
    <row r="5077" spans="1:21" ht="14.25" customHeight="1">
      <c r="A5077" s="2" t="s">
        <v>18</v>
      </c>
      <c r="B5077" s="2">
        <v>2017</v>
      </c>
      <c r="C5077" s="2" t="s">
        <v>34</v>
      </c>
      <c r="D5077" s="3">
        <f t="shared" si="416"/>
        <v>74.3</v>
      </c>
      <c r="E5077" s="3">
        <f t="shared" si="416"/>
        <v>101.7</v>
      </c>
      <c r="P5077" s="3">
        <f>E5077*(VLOOKUP(B5077,Price_data!A$1:B$190,2,FALSE))</f>
        <v>63.561317330700007</v>
      </c>
      <c r="Q5077" s="3">
        <f>G5077*(VLOOKUP(B5077,Price_data!A$1:B$190,2,FALSE))</f>
        <v>0</v>
      </c>
      <c r="R5077" s="3">
        <f>I5077*(VLOOKUP(B5077,Price_data!A$1:B$190,2,FALSE))</f>
        <v>0</v>
      </c>
      <c r="S5077" s="4" t="str">
        <f>(VLOOKUP(B5077,Price_data!A$1:C$190,3,FALSE))</f>
        <v>EEZ</v>
      </c>
      <c r="T5077" s="2" t="str">
        <f>IF(C5077="Total", (VLOOKUP(B5077,Recommended_fish_intake!A$4:D$122,4,FALSE)), "NA")</f>
        <v>NA</v>
      </c>
      <c r="U5077" s="2" t="str">
        <f t="shared" si="415"/>
        <v>NA</v>
      </c>
    </row>
    <row r="5078" spans="1:21" ht="14.25" customHeight="1">
      <c r="A5078" s="2" t="s">
        <v>18</v>
      </c>
      <c r="B5078" s="2">
        <v>2017</v>
      </c>
      <c r="C5078" s="2" t="s">
        <v>35</v>
      </c>
      <c r="D5078" s="3">
        <f t="shared" si="416"/>
        <v>38.836000000000006</v>
      </c>
      <c r="E5078" s="3">
        <f t="shared" si="416"/>
        <v>36.375</v>
      </c>
      <c r="P5078" s="3">
        <f>E5078*(VLOOKUP(B5078,Price_data!A$1:B$190,2,FALSE))</f>
        <v>22.733951995125</v>
      </c>
      <c r="Q5078" s="3">
        <f>G5078*(VLOOKUP(B5078,Price_data!A$1:B$190,2,FALSE))</f>
        <v>0</v>
      </c>
      <c r="R5078" s="3">
        <f>I5078*(VLOOKUP(B5078,Price_data!A$1:B$190,2,FALSE))</f>
        <v>0</v>
      </c>
      <c r="S5078" s="4" t="str">
        <f>(VLOOKUP(B5078,Price_data!A$1:C$190,3,FALSE))</f>
        <v>EEZ</v>
      </c>
      <c r="T5078" s="2" t="str">
        <f>IF(C5078="Total", (VLOOKUP(B5078,Recommended_fish_intake!A$4:D$122,4,FALSE)), "NA")</f>
        <v>NA</v>
      </c>
      <c r="U5078" s="2" t="str">
        <f t="shared" si="415"/>
        <v>NA</v>
      </c>
    </row>
    <row r="5079" spans="1:21" ht="14.25" customHeight="1">
      <c r="A5079" s="2" t="s">
        <v>18</v>
      </c>
      <c r="B5079" s="2">
        <v>2017</v>
      </c>
      <c r="C5079" s="2" t="s">
        <v>52</v>
      </c>
      <c r="D5079" s="3">
        <f t="shared" si="416"/>
        <v>86.513000000000005</v>
      </c>
      <c r="E5079" s="3">
        <f t="shared" si="416"/>
        <v>43.297000000000004</v>
      </c>
      <c r="P5079" s="3">
        <f>E5079*(VLOOKUP(B5079,Price_data!A$1:B$190,2,FALSE))</f>
        <v>27.060121499187005</v>
      </c>
      <c r="Q5079" s="3">
        <f>G5079*(VLOOKUP(B5079,Price_data!A$1:B$190,2,FALSE))</f>
        <v>0</v>
      </c>
      <c r="R5079" s="3">
        <f>I5079*(VLOOKUP(B5079,Price_data!A$1:B$190,2,FALSE))</f>
        <v>0</v>
      </c>
      <c r="S5079" s="4" t="str">
        <f>(VLOOKUP(B5079,Price_data!A$1:C$190,3,FALSE))</f>
        <v>EEZ</v>
      </c>
      <c r="T5079" s="2" t="str">
        <f>IF(C5079="Total", (VLOOKUP(B5079,Recommended_fish_intake!A$4:D$122,4,FALSE)), "NA")</f>
        <v>NA</v>
      </c>
      <c r="U5079" s="2" t="str">
        <f t="shared" si="415"/>
        <v>NA</v>
      </c>
    </row>
    <row r="5080" spans="1:21" ht="14.25" customHeight="1">
      <c r="A5080" s="2" t="s">
        <v>18</v>
      </c>
      <c r="B5080" s="2">
        <v>2017</v>
      </c>
      <c r="C5080" s="2" t="s">
        <v>30</v>
      </c>
      <c r="D5080" s="3">
        <f t="shared" si="416"/>
        <v>42.643999999999998</v>
      </c>
      <c r="E5080" s="3">
        <f t="shared" si="416"/>
        <v>43.610999999999997</v>
      </c>
      <c r="P5080" s="3">
        <f>E5080*(VLOOKUP(B5080,Price_data!A$1:B$190,2,FALSE))</f>
        <v>27.256367847680998</v>
      </c>
      <c r="Q5080" s="3">
        <f>G5080*(VLOOKUP(B5080,Price_data!A$1:B$190,2,FALSE))</f>
        <v>0</v>
      </c>
      <c r="R5080" s="3">
        <f>I5080*(VLOOKUP(B5080,Price_data!A$1:B$190,2,FALSE))</f>
        <v>0</v>
      </c>
      <c r="S5080" s="4" t="str">
        <f>(VLOOKUP(B5080,Price_data!A$1:C$190,3,FALSE))</f>
        <v>EEZ</v>
      </c>
      <c r="T5080" s="2" t="str">
        <f>IF(C5080="Total", (VLOOKUP(B5080,Recommended_fish_intake!A$4:D$122,4,FALSE)), "NA")</f>
        <v>NA</v>
      </c>
      <c r="U5080" s="2" t="str">
        <f t="shared" si="415"/>
        <v>NA</v>
      </c>
    </row>
    <row r="5081" spans="1:21" ht="14.25" customHeight="1">
      <c r="A5081" s="2" t="s">
        <v>18</v>
      </c>
      <c r="B5081" s="2">
        <v>2017</v>
      </c>
      <c r="C5081" s="2" t="s">
        <v>41</v>
      </c>
      <c r="D5081" s="3">
        <f t="shared" si="416"/>
        <v>42.899000000000001</v>
      </c>
      <c r="E5081" s="3">
        <f t="shared" si="416"/>
        <v>33.052</v>
      </c>
      <c r="P5081" s="3">
        <f>E5081*(VLOOKUP(B5081,Price_data!A$1:B$190,2,FALSE))</f>
        <v>20.657115638292002</v>
      </c>
      <c r="Q5081" s="3">
        <f>G5081*(VLOOKUP(B5081,Price_data!A$1:B$190,2,FALSE))</f>
        <v>0</v>
      </c>
      <c r="R5081" s="3">
        <f>I5081*(VLOOKUP(B5081,Price_data!A$1:B$190,2,FALSE))</f>
        <v>0</v>
      </c>
      <c r="S5081" s="4" t="str">
        <f>(VLOOKUP(B5081,Price_data!A$1:C$190,3,FALSE))</f>
        <v>EEZ</v>
      </c>
      <c r="T5081" s="2" t="str">
        <f>IF(C5081="Total", (VLOOKUP(B5081,Recommended_fish_intake!A$4:D$122,4,FALSE)), "NA")</f>
        <v>NA</v>
      </c>
      <c r="U5081" s="2" t="str">
        <f t="shared" si="415"/>
        <v>NA</v>
      </c>
    </row>
    <row r="5082" spans="1:21" ht="14.25" customHeight="1">
      <c r="A5082" s="2" t="s">
        <v>18</v>
      </c>
      <c r="B5082" s="2">
        <v>2017</v>
      </c>
      <c r="C5082" s="2" t="s">
        <v>42</v>
      </c>
      <c r="D5082" s="3">
        <f t="shared" si="416"/>
        <v>225.98000000000002</v>
      </c>
      <c r="E5082" s="3">
        <f t="shared" si="416"/>
        <v>176.405</v>
      </c>
      <c r="P5082" s="3">
        <f>E5082*(VLOOKUP(B5082,Price_data!A$1:B$190,2,FALSE))</f>
        <v>110.251073586255</v>
      </c>
      <c r="Q5082" s="3">
        <f>G5082*(VLOOKUP(B5082,Price_data!A$1:B$190,2,FALSE))</f>
        <v>0</v>
      </c>
      <c r="R5082" s="3">
        <f>I5082*(VLOOKUP(B5082,Price_data!A$1:B$190,2,FALSE))</f>
        <v>0</v>
      </c>
      <c r="S5082" s="4" t="str">
        <f>(VLOOKUP(B5082,Price_data!A$1:C$190,3,FALSE))</f>
        <v>EEZ</v>
      </c>
      <c r="T5082" s="2" t="str">
        <f>IF(C5082="Total", (VLOOKUP(B5082,Recommended_fish_intake!A$4:D$122,4,FALSE)), "NA")</f>
        <v>NA</v>
      </c>
      <c r="U5082" s="2" t="str">
        <f t="shared" si="415"/>
        <v>NA</v>
      </c>
    </row>
    <row r="5083" spans="1:21" ht="14.25" customHeight="1">
      <c r="A5083" s="2" t="s">
        <v>18</v>
      </c>
      <c r="B5083" s="2">
        <v>2017</v>
      </c>
      <c r="C5083" s="2" t="s">
        <v>28</v>
      </c>
      <c r="D5083" s="3">
        <f t="shared" si="416"/>
        <v>52.137</v>
      </c>
      <c r="E5083" s="3">
        <f t="shared" si="416"/>
        <v>9.8049999999999997</v>
      </c>
      <c r="P5083" s="3">
        <f>E5083*(VLOOKUP(B5083,Price_data!A$1:B$190,2,FALSE))</f>
        <v>6.1280109776550002</v>
      </c>
      <c r="Q5083" s="3">
        <f>G5083*(VLOOKUP(B5083,Price_data!A$1:B$190,2,FALSE))</f>
        <v>0</v>
      </c>
      <c r="R5083" s="3">
        <f>I5083*(VLOOKUP(B5083,Price_data!A$1:B$190,2,FALSE))</f>
        <v>0</v>
      </c>
      <c r="S5083" s="4" t="str">
        <f>(VLOOKUP(B5083,Price_data!A$1:C$190,3,FALSE))</f>
        <v>EEZ</v>
      </c>
      <c r="T5083" s="2" t="str">
        <f>IF(C5083="Total", (VLOOKUP(B5083,Recommended_fish_intake!A$4:D$122,4,FALSE)), "NA")</f>
        <v>NA</v>
      </c>
      <c r="U5083" s="2">
        <f t="shared" si="415"/>
        <v>14.598360000000001</v>
      </c>
    </row>
    <row r="5084" spans="1:21" ht="14.25" customHeight="1">
      <c r="A5084" s="2" t="s">
        <v>18</v>
      </c>
      <c r="B5084" s="2">
        <v>2017</v>
      </c>
      <c r="C5084" s="2" t="s">
        <v>37</v>
      </c>
      <c r="D5084" s="3">
        <f>D5069+D5064</f>
        <v>64.107630999999998</v>
      </c>
      <c r="E5084" s="3">
        <f>E5069+E5064</f>
        <v>62.100606999999997</v>
      </c>
      <c r="P5084" s="3">
        <f>E5084*(VLOOKUP(B5084,Price_data!A$1:B$190,2,FALSE))</f>
        <v>38.812157207041196</v>
      </c>
      <c r="Q5084" s="3">
        <f>G5084*(VLOOKUP(B5084,Price_data!A$1:B$190,2,FALSE))</f>
        <v>0</v>
      </c>
      <c r="R5084" s="3">
        <f>I5084*(VLOOKUP(B5084,Price_data!A$1:B$190,2,FALSE))</f>
        <v>0</v>
      </c>
      <c r="S5084" s="4" t="str">
        <f>(VLOOKUP(B5084,Price_data!A$1:C$190,3,FALSE))</f>
        <v>EEZ</v>
      </c>
      <c r="T5084" s="2" t="str">
        <f>IF(C5084="Total", (VLOOKUP(B5084,Recommended_fish_intake!A$4:D$122,4,FALSE)), "NA")</f>
        <v>NA</v>
      </c>
      <c r="U5084" s="2">
        <f t="shared" si="415"/>
        <v>31.41273919</v>
      </c>
    </row>
    <row r="5085" spans="1:21" ht="14.25" customHeight="1">
      <c r="A5085" s="2" t="s">
        <v>15</v>
      </c>
      <c r="B5085" s="2">
        <v>2017</v>
      </c>
      <c r="C5085" s="2" t="s">
        <v>24</v>
      </c>
      <c r="D5085" s="2">
        <v>9.9</v>
      </c>
      <c r="E5085" s="2">
        <v>12.3</v>
      </c>
      <c r="F5085" s="2">
        <v>0.4</v>
      </c>
      <c r="G5085" s="2">
        <v>0.8</v>
      </c>
      <c r="H5085" s="2">
        <v>4.4000000000000004</v>
      </c>
      <c r="I5085" s="2">
        <v>4.2</v>
      </c>
      <c r="P5085" s="3">
        <f>E5085*(VLOOKUP(B5085,Price_data!A$1:B$190,2,FALSE))</f>
        <v>7.687356963300001</v>
      </c>
      <c r="Q5085" s="3">
        <f>G5085*(VLOOKUP(B5085,Price_data!A$1:B$190,2,FALSE))</f>
        <v>0.49999069680000008</v>
      </c>
      <c r="R5085" s="3">
        <f>I5085*(VLOOKUP(B5085,Price_data!A$1:B$190,2,FALSE))</f>
        <v>2.6249511582000005</v>
      </c>
      <c r="S5085" s="4" t="str">
        <f>(VLOOKUP(B5085,Price_data!A$1:C$190,3,FALSE))</f>
        <v>EEZ</v>
      </c>
      <c r="T5085" s="2" t="str">
        <f>IF(C5085="Total", (VLOOKUP(B5085,Recommended_fish_intake!A$4:D$122,4,FALSE)), "NA")</f>
        <v>NA</v>
      </c>
      <c r="U5085" s="2" t="str">
        <f t="shared" si="415"/>
        <v>NA</v>
      </c>
    </row>
    <row r="5086" spans="1:21" ht="14.25" customHeight="1">
      <c r="A5086" s="2" t="s">
        <v>15</v>
      </c>
      <c r="B5086" s="2">
        <v>2017</v>
      </c>
      <c r="C5086" s="2" t="s">
        <v>60</v>
      </c>
      <c r="D5086" s="2">
        <v>1.5</v>
      </c>
      <c r="E5086" s="2">
        <v>3.9</v>
      </c>
      <c r="F5086" s="2">
        <v>2.1</v>
      </c>
      <c r="G5086" s="2">
        <v>6.9</v>
      </c>
      <c r="H5086" s="2">
        <v>29.8</v>
      </c>
      <c r="I5086" s="2">
        <v>63.4</v>
      </c>
      <c r="P5086" s="3">
        <f>E5086*(VLOOKUP(B5086,Price_data!A$1:B$190,2,FALSE))</f>
        <v>2.4374546469</v>
      </c>
      <c r="Q5086" s="3">
        <f>G5086*(VLOOKUP(B5086,Price_data!A$1:B$190,2,FALSE))</f>
        <v>4.3124197599000009</v>
      </c>
      <c r="R5086" s="3">
        <f>I5086*(VLOOKUP(B5086,Price_data!A$1:B$190,2,FALSE))</f>
        <v>39.624262721400001</v>
      </c>
      <c r="S5086" s="4" t="str">
        <f>(VLOOKUP(B5086,Price_data!A$1:C$190,3,FALSE))</f>
        <v>EEZ</v>
      </c>
      <c r="T5086" s="2" t="str">
        <f>IF(C5086="Total", (VLOOKUP(B5086,Recommended_fish_intake!A$4:D$122,4,FALSE)), "NA")</f>
        <v>NA</v>
      </c>
      <c r="U5086" s="2" t="str">
        <f t="shared" si="415"/>
        <v>NA</v>
      </c>
    </row>
    <row r="5087" spans="1:21" ht="14.25" customHeight="1">
      <c r="A5087" s="2" t="s">
        <v>15</v>
      </c>
      <c r="B5087" s="2">
        <v>2017</v>
      </c>
      <c r="C5087" s="2" t="s">
        <v>29</v>
      </c>
      <c r="D5087" s="2" t="s">
        <v>17</v>
      </c>
      <c r="E5087" s="2" t="s">
        <v>17</v>
      </c>
      <c r="F5087" s="2">
        <v>116.1</v>
      </c>
      <c r="G5087" s="2">
        <v>725.6</v>
      </c>
      <c r="H5087" s="2">
        <v>74</v>
      </c>
      <c r="I5087" s="2">
        <v>489.5</v>
      </c>
      <c r="P5087" s="3" t="e">
        <f>E5087*(VLOOKUP(B5087,Price_data!A$1:B$190,2,FALSE))</f>
        <v>#VALUE!</v>
      </c>
      <c r="Q5087" s="3">
        <f>G5087*(VLOOKUP(B5087,Price_data!A$1:B$190,2,FALSE))</f>
        <v>453.49156199760006</v>
      </c>
      <c r="R5087" s="3">
        <f>I5087*(VLOOKUP(B5087,Price_data!A$1:B$190,2,FALSE))</f>
        <v>305.93180760450002</v>
      </c>
      <c r="S5087" s="4" t="str">
        <f>(VLOOKUP(B5087,Price_data!A$1:C$190,3,FALSE))</f>
        <v>EEZ</v>
      </c>
      <c r="T5087" s="2" t="str">
        <f>IF(C5087="Total", (VLOOKUP(B5087,Recommended_fish_intake!A$4:D$122,4,FALSE)), "NA")</f>
        <v>NA</v>
      </c>
      <c r="U5087" s="2" t="str">
        <f t="shared" si="415"/>
        <v>NA</v>
      </c>
    </row>
    <row r="5088" spans="1:21" ht="14.25" customHeight="1">
      <c r="A5088" s="2" t="s">
        <v>15</v>
      </c>
      <c r="B5088" s="2">
        <v>2017</v>
      </c>
      <c r="C5088" s="2" t="s">
        <v>93</v>
      </c>
      <c r="D5088" s="2">
        <v>7.1</v>
      </c>
      <c r="E5088" s="2">
        <v>2.4</v>
      </c>
      <c r="F5088" s="2">
        <v>7.3</v>
      </c>
      <c r="G5088" s="2">
        <v>9.8000000000000007</v>
      </c>
      <c r="H5088" s="2">
        <v>13.8</v>
      </c>
      <c r="I5088" s="2">
        <v>34.700000000000003</v>
      </c>
      <c r="P5088" s="3">
        <f>E5088*(VLOOKUP(B5088,Price_data!A$1:B$190,2,FALSE))</f>
        <v>1.4999720904</v>
      </c>
      <c r="Q5088" s="3">
        <f>G5088*(VLOOKUP(B5088,Price_data!A$1:B$190,2,FALSE))</f>
        <v>6.1248860358000012</v>
      </c>
      <c r="R5088" s="3">
        <f>I5088*(VLOOKUP(B5088,Price_data!A$1:B$190,2,FALSE))</f>
        <v>21.687096473700002</v>
      </c>
      <c r="S5088" s="4" t="str">
        <f>(VLOOKUP(B5088,Price_data!A$1:C$190,3,FALSE))</f>
        <v>EEZ</v>
      </c>
      <c r="T5088" s="2" t="str">
        <f>IF(C5088="Total", (VLOOKUP(B5088,Recommended_fish_intake!A$4:D$122,4,FALSE)), "NA")</f>
        <v>NA</v>
      </c>
      <c r="U5088" s="2" t="str">
        <f t="shared" si="415"/>
        <v>NA</v>
      </c>
    </row>
    <row r="5089" spans="1:21" ht="14.25" customHeight="1">
      <c r="A5089" s="2" t="s">
        <v>15</v>
      </c>
      <c r="B5089" s="2">
        <v>2017</v>
      </c>
      <c r="C5089" s="2" t="s">
        <v>43</v>
      </c>
      <c r="D5089" s="2" t="s">
        <v>17</v>
      </c>
      <c r="E5089" s="2" t="s">
        <v>17</v>
      </c>
      <c r="F5089" s="2">
        <v>4.8</v>
      </c>
      <c r="G5089" s="2">
        <v>20</v>
      </c>
      <c r="H5089" s="2">
        <v>114.1</v>
      </c>
      <c r="I5089" s="2">
        <v>428.6</v>
      </c>
      <c r="P5089" s="3" t="e">
        <f>E5089*(VLOOKUP(B5089,Price_data!A$1:B$190,2,FALSE))</f>
        <v>#VALUE!</v>
      </c>
      <c r="Q5089" s="3">
        <f>G5089*(VLOOKUP(B5089,Price_data!A$1:B$190,2,FALSE))</f>
        <v>12.499767420000001</v>
      </c>
      <c r="R5089" s="3">
        <f>I5089*(VLOOKUP(B5089,Price_data!A$1:B$190,2,FALSE))</f>
        <v>267.87001581060002</v>
      </c>
      <c r="S5089" s="4" t="str">
        <f>(VLOOKUP(B5089,Price_data!A$1:C$190,3,FALSE))</f>
        <v>EEZ</v>
      </c>
      <c r="T5089" s="2" t="str">
        <f>IF(C5089="Total", (VLOOKUP(B5089,Recommended_fish_intake!A$4:D$122,4,FALSE)), "NA")</f>
        <v>NA</v>
      </c>
      <c r="U5089" s="2" t="str">
        <f t="shared" si="415"/>
        <v>NA</v>
      </c>
    </row>
    <row r="5090" spans="1:21" ht="14.25" customHeight="1">
      <c r="A5090" s="2" t="s">
        <v>15</v>
      </c>
      <c r="B5090" s="2">
        <v>2017</v>
      </c>
      <c r="C5090" s="2" t="s">
        <v>25</v>
      </c>
      <c r="D5090" s="2">
        <v>4.8</v>
      </c>
      <c r="E5090" s="2">
        <v>6.5</v>
      </c>
      <c r="F5090" s="4">
        <v>1.6</v>
      </c>
      <c r="G5090" s="4">
        <v>3</v>
      </c>
      <c r="H5090" s="4">
        <v>4.5</v>
      </c>
      <c r="I5090" s="4">
        <v>15.2</v>
      </c>
      <c r="P5090" s="3">
        <f>E5090*(VLOOKUP(B5090,Price_data!A$1:B$190,2,FALSE))</f>
        <v>4.0624244115000003</v>
      </c>
      <c r="Q5090" s="3">
        <f>G5090*(VLOOKUP(B5090,Price_data!A$1:B$190,2,FALSE))</f>
        <v>1.874965113</v>
      </c>
      <c r="R5090" s="3">
        <f>I5090*(VLOOKUP(B5090,Price_data!A$1:B$190,2,FALSE))</f>
        <v>9.4998232391999995</v>
      </c>
      <c r="S5090" s="4" t="str">
        <f>(VLOOKUP(B5090,Price_data!A$1:C$190,3,FALSE))</f>
        <v>EEZ</v>
      </c>
      <c r="T5090" s="2" t="str">
        <f>IF(C5090="Total", (VLOOKUP(B5090,Recommended_fish_intake!A$4:D$122,4,FALSE)), "NA")</f>
        <v>NA</v>
      </c>
      <c r="U5090" s="2" t="str">
        <f t="shared" si="415"/>
        <v>NA</v>
      </c>
    </row>
    <row r="5091" spans="1:21" ht="14.25" customHeight="1">
      <c r="A5091" s="2" t="s">
        <v>15</v>
      </c>
      <c r="B5091" s="2">
        <v>2017</v>
      </c>
      <c r="C5091" s="2" t="s">
        <v>16</v>
      </c>
      <c r="D5091" s="2">
        <v>435.5</v>
      </c>
      <c r="E5091" s="2">
        <v>728.4</v>
      </c>
      <c r="F5091" s="2">
        <v>459.5</v>
      </c>
      <c r="G5091" s="2">
        <v>1903.8</v>
      </c>
      <c r="H5091" s="2">
        <v>704.2</v>
      </c>
      <c r="I5091" s="2">
        <v>3197.2</v>
      </c>
      <c r="P5091" s="3">
        <f>E5091*(VLOOKUP(B5091,Price_data!A$1:B$190,2,FALSE))</f>
        <v>455.24152943640001</v>
      </c>
      <c r="Q5091" s="3">
        <f>G5091*(VLOOKUP(B5091,Price_data!A$1:B$190,2,FALSE))</f>
        <v>1189.8528607098001</v>
      </c>
      <c r="R5091" s="3">
        <f>I5091*(VLOOKUP(B5091,Price_data!A$1:B$190,2,FALSE))</f>
        <v>1998.2128197612001</v>
      </c>
      <c r="S5091" s="4" t="str">
        <f>(VLOOKUP(B5091,Price_data!A$1:C$190,3,FALSE))</f>
        <v>EEZ</v>
      </c>
      <c r="T5091" s="2">
        <f>IF(C5091="Total", (VLOOKUP(B5091,Recommended_fish_intake!A$4:D$122,4,FALSE)), "NA")</f>
        <v>877.99446595769996</v>
      </c>
      <c r="U5091" s="2" t="str">
        <f t="shared" si="415"/>
        <v>NA</v>
      </c>
    </row>
    <row r="5092" spans="1:21" ht="14.25" customHeight="1">
      <c r="A5092" s="2" t="s">
        <v>90</v>
      </c>
      <c r="B5092" s="2">
        <v>2017</v>
      </c>
      <c r="C5092" s="2" t="s">
        <v>16</v>
      </c>
      <c r="D5092" s="2">
        <v>100.6</v>
      </c>
      <c r="E5092" s="2">
        <v>214.4</v>
      </c>
      <c r="P5092" s="3">
        <f>E5092*(VLOOKUP(B5092,Price_data!A$1:B$190,2,FALSE))</f>
        <v>133.99750674240002</v>
      </c>
      <c r="Q5092" s="3">
        <f>G5092*(VLOOKUP(B5092,Price_data!A$1:B$190,2,FALSE))</f>
        <v>0</v>
      </c>
      <c r="R5092" s="3">
        <f>I5092*(VLOOKUP(B5092,Price_data!A$1:B$190,2,FALSE))</f>
        <v>0</v>
      </c>
      <c r="S5092" s="4" t="str">
        <f>(VLOOKUP(B5092,Price_data!A$1:C$190,3,FALSE))</f>
        <v>EEZ</v>
      </c>
      <c r="T5092" s="2">
        <f>IF(C5092="Total", (VLOOKUP(B5092,Recommended_fish_intake!A$4:D$122,4,FALSE)), "NA")</f>
        <v>877.99446595769996</v>
      </c>
      <c r="U5092" s="2" t="str">
        <f t="shared" si="415"/>
        <v>NA</v>
      </c>
    </row>
    <row r="5093" spans="1:21" ht="14.25" customHeight="1">
      <c r="A5093" s="2" t="s">
        <v>91</v>
      </c>
      <c r="B5093" s="2">
        <v>2017</v>
      </c>
      <c r="C5093" s="2" t="s">
        <v>16</v>
      </c>
      <c r="D5093" s="2">
        <v>9.89</v>
      </c>
      <c r="E5093" s="2">
        <v>15.86</v>
      </c>
      <c r="P5093" s="3">
        <f>E5093*(VLOOKUP(B5093,Price_data!A$1:B$190,2,FALSE))</f>
        <v>9.91231556406</v>
      </c>
      <c r="Q5093" s="3">
        <f>G5093*(VLOOKUP(B5093,Price_data!A$1:B$190,2,FALSE))</f>
        <v>0</v>
      </c>
      <c r="R5093" s="3">
        <f>I5093*(VLOOKUP(B5093,Price_data!A$1:B$190,2,FALSE))</f>
        <v>0</v>
      </c>
      <c r="S5093" s="4" t="str">
        <f>(VLOOKUP(B5093,Price_data!A$1:C$190,3,FALSE))</f>
        <v>EEZ</v>
      </c>
      <c r="T5093" s="2">
        <f>IF(C5093="Total", (VLOOKUP(B5093,Recommended_fish_intake!A$4:D$122,4,FALSE)), "NA")</f>
        <v>877.99446595769996</v>
      </c>
      <c r="U5093" s="2" t="str">
        <f t="shared" si="415"/>
        <v>NA</v>
      </c>
    </row>
    <row r="5094" spans="1:21" ht="14.25" customHeight="1">
      <c r="A5094" s="2" t="s">
        <v>39</v>
      </c>
      <c r="B5094" s="2">
        <v>2017</v>
      </c>
      <c r="C5094" s="2" t="s">
        <v>16</v>
      </c>
      <c r="D5094" s="2">
        <v>300.44659289999998</v>
      </c>
      <c r="E5094" s="2">
        <v>458.36131760000001</v>
      </c>
      <c r="P5094" s="3">
        <f>E5094*(VLOOKUP(B5094,Price_data!A$1:B$190,2,FALSE))</f>
        <v>286.47049321623763</v>
      </c>
      <c r="Q5094" s="3">
        <f>G5094*(VLOOKUP(B5094,Price_data!A$1:B$190,2,FALSE))</f>
        <v>0</v>
      </c>
      <c r="R5094" s="3">
        <f>I5094*(VLOOKUP(B5094,Price_data!A$1:B$190,2,FALSE))</f>
        <v>0</v>
      </c>
      <c r="S5094" s="4" t="str">
        <f>(VLOOKUP(B5094,Price_data!A$1:C$190,3,FALSE))</f>
        <v>EEZ</v>
      </c>
      <c r="T5094" s="2">
        <f>IF(C5094="Total", (VLOOKUP(B5094,Recommended_fish_intake!A$4:D$122,4,FALSE)), "NA")</f>
        <v>877.99446595769996</v>
      </c>
      <c r="U5094" s="2" t="str">
        <f t="shared" si="415"/>
        <v>NA</v>
      </c>
    </row>
    <row r="5095" spans="1:21" ht="14.25" customHeight="1">
      <c r="A5095" s="2" t="s">
        <v>40</v>
      </c>
      <c r="B5095" s="2">
        <v>2017</v>
      </c>
      <c r="C5095" s="2" t="s">
        <v>16</v>
      </c>
      <c r="D5095" s="2">
        <v>18.6921499</v>
      </c>
      <c r="E5095" s="2">
        <v>29.178269719999999</v>
      </c>
      <c r="P5095" s="3">
        <f>E5095*(VLOOKUP(B5095,Price_data!A$1:B$190,2,FALSE))</f>
        <v>18.236079260901427</v>
      </c>
      <c r="Q5095" s="3">
        <f>G5095*(VLOOKUP(B5095,Price_data!A$1:B$190,2,FALSE))</f>
        <v>0</v>
      </c>
      <c r="R5095" s="3">
        <f>I5095*(VLOOKUP(B5095,Price_data!A$1:B$190,2,FALSE))</f>
        <v>0</v>
      </c>
      <c r="S5095" s="4" t="str">
        <f>(VLOOKUP(B5095,Price_data!A$1:C$190,3,FALSE))</f>
        <v>EEZ</v>
      </c>
      <c r="T5095" s="2">
        <f>IF(C5095="Total", (VLOOKUP(B5095,Recommended_fish_intake!A$4:D$122,4,FALSE)), "NA")</f>
        <v>877.99446595769996</v>
      </c>
      <c r="U5095" s="2" t="str">
        <f t="shared" si="415"/>
        <v>NA</v>
      </c>
    </row>
    <row r="5096" spans="1:21" ht="14.25" customHeight="1">
      <c r="A5096" s="2" t="s">
        <v>18</v>
      </c>
      <c r="B5096" s="2">
        <v>2017</v>
      </c>
      <c r="C5096" s="2" t="s">
        <v>16</v>
      </c>
      <c r="D5096" s="3">
        <f>D2978+D3053</f>
        <v>9.8019999999999996</v>
      </c>
      <c r="E5096" s="3">
        <f>E2978+E3053</f>
        <v>8.6579999999999995</v>
      </c>
      <c r="P5096" s="3">
        <f>E5096*(VLOOKUP(B5096,Price_data!A$1:B$190,2,FALSE))</f>
        <v>5.4111493161180002</v>
      </c>
      <c r="Q5096" s="3">
        <f>G5096*(VLOOKUP(B5096,Price_data!A$1:B$190,2,FALSE))</f>
        <v>0</v>
      </c>
      <c r="R5096" s="3">
        <f>I5096*(VLOOKUP(B5096,Price_data!A$1:B$190,2,FALSE))</f>
        <v>0</v>
      </c>
      <c r="S5096" s="4" t="str">
        <f>(VLOOKUP(B5096,Price_data!A$1:C$190,3,FALSE))</f>
        <v>EEZ</v>
      </c>
      <c r="T5096" s="2">
        <f>IF(C5096="Total", (VLOOKUP(B5096,Recommended_fish_intake!A$4:D$122,4,FALSE)), "NA")</f>
        <v>877.99446595769996</v>
      </c>
      <c r="U5096" s="2" t="str">
        <f t="shared" si="415"/>
        <v>NA</v>
      </c>
    </row>
    <row r="5097" spans="1:21" ht="14.25" customHeight="1">
      <c r="A5097" s="2" t="s">
        <v>15</v>
      </c>
      <c r="B5097" s="2">
        <v>2018</v>
      </c>
      <c r="C5097" s="2" t="s">
        <v>22</v>
      </c>
      <c r="D5097" s="2">
        <v>24.6</v>
      </c>
      <c r="E5097" s="2">
        <v>56.3</v>
      </c>
      <c r="F5097" s="2">
        <v>14.4</v>
      </c>
      <c r="G5097" s="2">
        <v>58.7</v>
      </c>
      <c r="H5097" s="2">
        <v>102.9</v>
      </c>
      <c r="I5097" s="2">
        <v>495.4</v>
      </c>
      <c r="P5097" s="3">
        <f>E5097*(VLOOKUP(B5097,Price_data!A$1:B$190,2,FALSE))</f>
        <v>34.049639898300001</v>
      </c>
      <c r="Q5097" s="3">
        <f>G5097*(VLOOKUP(B5097,Price_data!A$1:B$190,2,FALSE))</f>
        <v>35.501134316700004</v>
      </c>
      <c r="R5097" s="3">
        <f>I5097*(VLOOKUP(B5097,Price_data!A$1:B$190,2,FALSE))</f>
        <v>299.61263953140002</v>
      </c>
      <c r="S5097" s="4" t="str">
        <f>(VLOOKUP(B5097,Price_data!A$1:C$190,3,FALSE))</f>
        <v>EEZ</v>
      </c>
      <c r="T5097" s="2" t="str">
        <f>IF(C5097="Total", (VLOOKUP(B5097,Recommended_fish_intake!A$4:D$122,4,FALSE)), "NA")</f>
        <v>NA</v>
      </c>
      <c r="U5097" s="2" t="str">
        <f t="shared" si="415"/>
        <v>NA</v>
      </c>
    </row>
    <row r="5098" spans="1:21" ht="14.25" customHeight="1">
      <c r="A5098" s="2" t="s">
        <v>15</v>
      </c>
      <c r="B5098" s="2">
        <v>2018</v>
      </c>
      <c r="C5098" s="2" t="s">
        <v>23</v>
      </c>
      <c r="D5098" s="2">
        <v>35.200000000000003</v>
      </c>
      <c r="E5098" s="2">
        <v>51</v>
      </c>
      <c r="F5098" s="2">
        <v>1.3</v>
      </c>
      <c r="G5098" s="2">
        <v>3.9</v>
      </c>
      <c r="H5098" s="2">
        <v>49.8</v>
      </c>
      <c r="I5098" s="2">
        <v>159.1</v>
      </c>
      <c r="P5098" s="3">
        <f>E5098*(VLOOKUP(B5098,Price_data!A$1:B$190,2,FALSE))</f>
        <v>30.844256391000002</v>
      </c>
      <c r="Q5098" s="3">
        <f>G5098*(VLOOKUP(B5098,Price_data!A$1:B$190,2,FALSE))</f>
        <v>2.3586784298999999</v>
      </c>
      <c r="R5098" s="3">
        <f>I5098*(VLOOKUP(B5098,Price_data!A$1:B$190,2,FALSE))</f>
        <v>96.221984153099996</v>
      </c>
      <c r="S5098" s="4" t="str">
        <f>(VLOOKUP(B5098,Price_data!A$1:C$190,3,FALSE))</f>
        <v>EEZ</v>
      </c>
      <c r="T5098" s="2" t="str">
        <f>IF(C5098="Total", (VLOOKUP(B5098,Recommended_fish_intake!A$4:D$122,4,FALSE)), "NA")</f>
        <v>NA</v>
      </c>
      <c r="U5098" s="2" t="str">
        <f t="shared" si="415"/>
        <v>NA</v>
      </c>
    </row>
    <row r="5099" spans="1:21" ht="14.25" customHeight="1">
      <c r="A5099" s="2" t="s">
        <v>15</v>
      </c>
      <c r="B5099" s="2">
        <v>2018</v>
      </c>
      <c r="C5099" s="2" t="s">
        <v>53</v>
      </c>
      <c r="D5099" s="2">
        <v>11.3</v>
      </c>
      <c r="E5099" s="2">
        <v>25.4</v>
      </c>
      <c r="F5099" s="2">
        <v>6.6</v>
      </c>
      <c r="G5099" s="2">
        <v>29.5</v>
      </c>
      <c r="H5099" s="2">
        <v>2.8</v>
      </c>
      <c r="I5099" s="2">
        <v>8.1999999999999993</v>
      </c>
      <c r="P5099" s="3">
        <f>E5099*(VLOOKUP(B5099,Price_data!A$1:B$190,2,FALSE))</f>
        <v>15.3616492614</v>
      </c>
      <c r="Q5099" s="3">
        <f>G5099*(VLOOKUP(B5099,Price_data!A$1:B$190,2,FALSE))</f>
        <v>17.841285559500001</v>
      </c>
      <c r="R5099" s="3">
        <f>I5099*(VLOOKUP(B5099,Price_data!A$1:B$190,2,FALSE))</f>
        <v>4.9592725961999999</v>
      </c>
      <c r="S5099" s="4" t="str">
        <f>(VLOOKUP(B5099,Price_data!A$1:C$190,3,FALSE))</f>
        <v>EEZ</v>
      </c>
      <c r="T5099" s="2" t="str">
        <f>IF(C5099="Total", (VLOOKUP(B5099,Recommended_fish_intake!A$4:D$122,4,FALSE)), "NA")</f>
        <v>NA</v>
      </c>
      <c r="U5099" s="2" t="str">
        <f t="shared" si="415"/>
        <v>NA</v>
      </c>
    </row>
    <row r="5100" spans="1:21" ht="14.25" customHeight="1">
      <c r="A5100" s="2" t="s">
        <v>15</v>
      </c>
      <c r="B5100" s="2">
        <v>2018</v>
      </c>
      <c r="C5100" s="2" t="s">
        <v>58</v>
      </c>
      <c r="D5100" s="2">
        <v>15</v>
      </c>
      <c r="E5100" s="2">
        <v>47.4</v>
      </c>
      <c r="F5100" s="2">
        <v>3.8</v>
      </c>
      <c r="G5100" s="2">
        <v>30.3</v>
      </c>
      <c r="H5100" s="2">
        <v>1.4</v>
      </c>
      <c r="I5100" s="2">
        <v>5.0999999999999996</v>
      </c>
      <c r="P5100" s="3">
        <f>E5100*(VLOOKUP(B5100,Price_data!A$1:B$190,2,FALSE))</f>
        <v>28.667014763400001</v>
      </c>
      <c r="Q5100" s="3">
        <f>G5100*(VLOOKUP(B5100,Price_data!A$1:B$190,2,FALSE))</f>
        <v>18.325117032300003</v>
      </c>
      <c r="R5100" s="3">
        <f>I5100*(VLOOKUP(B5100,Price_data!A$1:B$190,2,FALSE))</f>
        <v>3.0844256391</v>
      </c>
      <c r="S5100" s="4" t="str">
        <f>(VLOOKUP(B5100,Price_data!A$1:C$190,3,FALSE))</f>
        <v>EEZ</v>
      </c>
      <c r="T5100" s="2" t="str">
        <f>IF(C5100="Total", (VLOOKUP(B5100,Recommended_fish_intake!A$4:D$122,4,FALSE)), "NA")</f>
        <v>NA</v>
      </c>
      <c r="U5100" s="2" t="str">
        <f t="shared" si="415"/>
        <v>NA</v>
      </c>
    </row>
    <row r="5101" spans="1:21" ht="14.25" customHeight="1">
      <c r="A5101" s="2" t="s">
        <v>15</v>
      </c>
      <c r="B5101" s="2">
        <v>2018</v>
      </c>
      <c r="C5101" s="2" t="s">
        <v>19</v>
      </c>
      <c r="D5101" s="2">
        <v>48.7</v>
      </c>
      <c r="E5101" s="2">
        <v>17.7</v>
      </c>
      <c r="F5101" s="2">
        <v>51.2</v>
      </c>
      <c r="G5101" s="2">
        <v>34.200000000000003</v>
      </c>
      <c r="H5101" s="2">
        <v>4.5</v>
      </c>
      <c r="I5101" s="2">
        <v>10.6</v>
      </c>
      <c r="P5101" s="3">
        <f>E5101*(VLOOKUP(B5101,Price_data!A$1:B$190,2,FALSE))</f>
        <v>10.7047713357</v>
      </c>
      <c r="Q5101" s="3">
        <f>G5101*(VLOOKUP(B5101,Price_data!A$1:B$190,2,FALSE))</f>
        <v>20.683795462200003</v>
      </c>
      <c r="R5101" s="3">
        <f>I5101*(VLOOKUP(B5101,Price_data!A$1:B$190,2,FALSE))</f>
        <v>6.4107670146000002</v>
      </c>
      <c r="S5101" s="4" t="str">
        <f>(VLOOKUP(B5101,Price_data!A$1:C$190,3,FALSE))</f>
        <v>EEZ</v>
      </c>
      <c r="T5101" s="2" t="str">
        <f>IF(C5101="Total", (VLOOKUP(B5101,Recommended_fish_intake!A$4:D$122,4,FALSE)), "NA")</f>
        <v>NA</v>
      </c>
      <c r="U5101" s="2" t="str">
        <f t="shared" si="415"/>
        <v>NA</v>
      </c>
    </row>
    <row r="5102" spans="1:21" ht="14.25" customHeight="1">
      <c r="A5102" s="2" t="s">
        <v>15</v>
      </c>
      <c r="B5102" s="2">
        <v>2018</v>
      </c>
      <c r="C5102" s="2" t="s">
        <v>20</v>
      </c>
      <c r="D5102" s="2">
        <v>81</v>
      </c>
      <c r="E5102" s="2">
        <v>84.8</v>
      </c>
      <c r="F5102" s="2">
        <v>67.3</v>
      </c>
      <c r="G5102" s="2">
        <v>81.099999999999994</v>
      </c>
      <c r="H5102" s="2">
        <v>14</v>
      </c>
      <c r="I5102" s="2">
        <v>40.700000000000003</v>
      </c>
      <c r="P5102" s="3">
        <f>E5102*(VLOOKUP(B5102,Price_data!A$1:B$190,2,FALSE))</f>
        <v>51.286136116800002</v>
      </c>
      <c r="Q5102" s="3">
        <f>G5102*(VLOOKUP(B5102,Price_data!A$1:B$190,2,FALSE))</f>
        <v>49.0484155551</v>
      </c>
      <c r="R5102" s="3">
        <f>I5102*(VLOOKUP(B5102,Price_data!A$1:B$190,2,FALSE))</f>
        <v>24.614926178700003</v>
      </c>
      <c r="S5102" s="4" t="str">
        <f>(VLOOKUP(B5102,Price_data!A$1:C$190,3,FALSE))</f>
        <v>EEZ</v>
      </c>
      <c r="T5102" s="2" t="str">
        <f>IF(C5102="Total", (VLOOKUP(B5102,Recommended_fish_intake!A$4:D$122,4,FALSE)), "NA")</f>
        <v>NA</v>
      </c>
      <c r="U5102" s="2" t="str">
        <f t="shared" si="415"/>
        <v>NA</v>
      </c>
    </row>
    <row r="5103" spans="1:21" ht="14.25" customHeight="1">
      <c r="A5103" s="2" t="s">
        <v>15</v>
      </c>
      <c r="B5103" s="2">
        <v>2018</v>
      </c>
      <c r="C5103" s="2" t="s">
        <v>36</v>
      </c>
      <c r="D5103" s="2">
        <v>29.7</v>
      </c>
      <c r="E5103" s="2">
        <v>70.2</v>
      </c>
      <c r="F5103" s="2">
        <v>16.600000000000001</v>
      </c>
      <c r="G5103" s="2">
        <v>99.8</v>
      </c>
      <c r="H5103" s="2">
        <v>3.9</v>
      </c>
      <c r="I5103" s="2">
        <v>23.6</v>
      </c>
      <c r="P5103" s="3">
        <f>E5103*(VLOOKUP(B5103,Price_data!A$1:B$190,2,FALSE))</f>
        <v>42.456211738200004</v>
      </c>
      <c r="Q5103" s="3">
        <f>G5103*(VLOOKUP(B5103,Price_data!A$1:B$190,2,FALSE))</f>
        <v>60.357976231800002</v>
      </c>
      <c r="R5103" s="3">
        <f>I5103*(VLOOKUP(B5103,Price_data!A$1:B$190,2,FALSE))</f>
        <v>14.273028447600002</v>
      </c>
      <c r="S5103" s="4" t="str">
        <f>(VLOOKUP(B5103,Price_data!A$1:C$190,3,FALSE))</f>
        <v>EEZ</v>
      </c>
      <c r="T5103" s="2" t="str">
        <f>IF(C5103="Total", (VLOOKUP(B5103,Recommended_fish_intake!A$4:D$122,4,FALSE)), "NA")</f>
        <v>NA</v>
      </c>
      <c r="U5103" s="2" t="str">
        <f t="shared" si="415"/>
        <v>NA</v>
      </c>
    </row>
    <row r="5104" spans="1:21" ht="14.25" customHeight="1">
      <c r="A5104" s="2" t="s">
        <v>15</v>
      </c>
      <c r="B5104" s="2">
        <v>2018</v>
      </c>
      <c r="C5104" s="2" t="s">
        <v>34</v>
      </c>
      <c r="D5104" s="2">
        <v>3.2</v>
      </c>
      <c r="E5104" s="2">
        <v>44.5</v>
      </c>
      <c r="F5104" s="2">
        <v>4.2</v>
      </c>
      <c r="G5104" s="2">
        <v>60.5</v>
      </c>
      <c r="H5104" s="2">
        <v>2</v>
      </c>
      <c r="I5104" s="2">
        <v>30.6</v>
      </c>
      <c r="P5104" s="3">
        <f>E5104*(VLOOKUP(B5104,Price_data!A$1:B$190,2,FALSE))</f>
        <v>26.913125674500002</v>
      </c>
      <c r="Q5104" s="3">
        <f>G5104*(VLOOKUP(B5104,Price_data!A$1:B$190,2,FALSE))</f>
        <v>36.589755130500002</v>
      </c>
      <c r="R5104" s="3">
        <f>I5104*(VLOOKUP(B5104,Price_data!A$1:B$190,2,FALSE))</f>
        <v>18.506553834600002</v>
      </c>
      <c r="S5104" s="4" t="str">
        <f>(VLOOKUP(B5104,Price_data!A$1:C$190,3,FALSE))</f>
        <v>EEZ</v>
      </c>
      <c r="T5104" s="2" t="str">
        <f>IF(C5104="Total", (VLOOKUP(B5104,Recommended_fish_intake!A$4:D$122,4,FALSE)), "NA")</f>
        <v>NA</v>
      </c>
      <c r="U5104" s="2" t="str">
        <f t="shared" si="415"/>
        <v>NA</v>
      </c>
    </row>
    <row r="5105" spans="1:21" ht="14.25" customHeight="1">
      <c r="A5105" s="2" t="s">
        <v>15</v>
      </c>
      <c r="B5105" s="2">
        <v>2018</v>
      </c>
      <c r="C5105" s="2" t="s">
        <v>35</v>
      </c>
      <c r="D5105" s="2">
        <v>25.1</v>
      </c>
      <c r="E5105" s="2">
        <v>85.9</v>
      </c>
      <c r="F5105" s="2">
        <v>12.9</v>
      </c>
      <c r="G5105" s="2">
        <v>108.2</v>
      </c>
      <c r="H5105" s="2">
        <v>2.6</v>
      </c>
      <c r="I5105" s="2">
        <v>11.9</v>
      </c>
      <c r="P5105" s="3">
        <f>E5105*(VLOOKUP(B5105,Price_data!A$1:B$190,2,FALSE))</f>
        <v>51.951404391900006</v>
      </c>
      <c r="Q5105" s="3">
        <f>G5105*(VLOOKUP(B5105,Price_data!A$1:B$190,2,FALSE))</f>
        <v>65.438206696200012</v>
      </c>
      <c r="R5105" s="3">
        <f>I5105*(VLOOKUP(B5105,Price_data!A$1:B$190,2,FALSE))</f>
        <v>7.1969931579000006</v>
      </c>
      <c r="S5105" s="4" t="str">
        <f>(VLOOKUP(B5105,Price_data!A$1:C$190,3,FALSE))</f>
        <v>EEZ</v>
      </c>
      <c r="T5105" s="2" t="str">
        <f>IF(C5105="Total", (VLOOKUP(B5105,Recommended_fish_intake!A$4:D$122,4,FALSE)), "NA")</f>
        <v>NA</v>
      </c>
      <c r="U5105" s="2" t="str">
        <f t="shared" si="415"/>
        <v>NA</v>
      </c>
    </row>
    <row r="5106" spans="1:21" ht="14.25" customHeight="1">
      <c r="A5106" s="2" t="s">
        <v>15</v>
      </c>
      <c r="B5106" s="2">
        <v>2018</v>
      </c>
      <c r="C5106" s="2" t="s">
        <v>52</v>
      </c>
      <c r="D5106" s="2">
        <v>29</v>
      </c>
      <c r="E5106" s="2">
        <v>71.3</v>
      </c>
      <c r="F5106" s="2">
        <v>7.6</v>
      </c>
      <c r="G5106" s="2">
        <v>88.9</v>
      </c>
      <c r="H5106" s="2">
        <v>1.3</v>
      </c>
      <c r="I5106" s="2">
        <v>19.7</v>
      </c>
      <c r="P5106" s="3">
        <f>E5106*(VLOOKUP(B5106,Price_data!A$1:B$190,2,FALSE))</f>
        <v>43.121480013300001</v>
      </c>
      <c r="Q5106" s="3">
        <f>G5106*(VLOOKUP(B5106,Price_data!A$1:B$190,2,FALSE))</f>
        <v>53.765772414900006</v>
      </c>
      <c r="R5106" s="3">
        <f>I5106*(VLOOKUP(B5106,Price_data!A$1:B$190,2,FALSE))</f>
        <v>11.9143500177</v>
      </c>
      <c r="S5106" s="4" t="str">
        <f>(VLOOKUP(B5106,Price_data!A$1:C$190,3,FALSE))</f>
        <v>EEZ</v>
      </c>
      <c r="T5106" s="2" t="str">
        <f>IF(C5106="Total", (VLOOKUP(B5106,Recommended_fish_intake!A$4:D$122,4,FALSE)), "NA")</f>
        <v>NA</v>
      </c>
      <c r="U5106" s="2" t="str">
        <f t="shared" si="415"/>
        <v>NA</v>
      </c>
    </row>
    <row r="5107" spans="1:21" ht="14.25" customHeight="1">
      <c r="A5107" s="2" t="s">
        <v>15</v>
      </c>
      <c r="B5107" s="2">
        <v>2018</v>
      </c>
      <c r="C5107" s="2" t="s">
        <v>30</v>
      </c>
      <c r="D5107" s="2">
        <v>1.1000000000000001</v>
      </c>
      <c r="E5107" s="2">
        <v>2.7</v>
      </c>
      <c r="F5107" s="2">
        <v>13.1</v>
      </c>
      <c r="G5107" s="2">
        <v>88.8</v>
      </c>
      <c r="H5107" s="2">
        <v>80.2</v>
      </c>
      <c r="I5107" s="2">
        <v>640.4</v>
      </c>
      <c r="P5107" s="3">
        <f>E5107*(VLOOKUP(B5107,Price_data!A$1:B$190,2,FALSE))</f>
        <v>1.6329312207000002</v>
      </c>
      <c r="Q5107" s="3">
        <f>G5107*(VLOOKUP(B5107,Price_data!A$1:B$190,2,FALSE))</f>
        <v>53.705293480800002</v>
      </c>
      <c r="R5107" s="3">
        <f>I5107*(VLOOKUP(B5107,Price_data!A$1:B$190,2,FALSE))</f>
        <v>387.30709397639998</v>
      </c>
      <c r="S5107" s="4" t="str">
        <f>(VLOOKUP(B5107,Price_data!A$1:C$190,3,FALSE))</f>
        <v>EEZ</v>
      </c>
      <c r="T5107" s="2" t="str">
        <f>IF(C5107="Total", (VLOOKUP(B5107,Recommended_fish_intake!A$4:D$122,4,FALSE)), "NA")</f>
        <v>NA</v>
      </c>
      <c r="U5107" s="2" t="str">
        <f t="shared" si="415"/>
        <v>NA</v>
      </c>
    </row>
    <row r="5108" spans="1:21" ht="14.25" customHeight="1">
      <c r="A5108" s="2" t="s">
        <v>15</v>
      </c>
      <c r="B5108" s="2">
        <v>2018</v>
      </c>
      <c r="C5108" s="2" t="s">
        <v>41</v>
      </c>
      <c r="D5108" s="2">
        <v>143.1</v>
      </c>
      <c r="E5108" s="2">
        <v>288.60000000000002</v>
      </c>
      <c r="P5108" s="3">
        <f>E5108*(VLOOKUP(B5108,Price_data!A$1:B$190,2,FALSE))</f>
        <v>174.54220381260004</v>
      </c>
      <c r="Q5108" s="3">
        <f>G5108*(VLOOKUP(B5108,Price_data!A$1:B$190,2,FALSE))</f>
        <v>0</v>
      </c>
      <c r="R5108" s="3">
        <f>I5108*(VLOOKUP(B5108,Price_data!A$1:B$190,2,FALSE))</f>
        <v>0</v>
      </c>
      <c r="S5108" s="4" t="str">
        <f>(VLOOKUP(B5108,Price_data!A$1:C$190,3,FALSE))</f>
        <v>EEZ</v>
      </c>
      <c r="T5108" s="2" t="str">
        <f>IF(C5108="Total", (VLOOKUP(B5108,Recommended_fish_intake!A$4:D$122,4,FALSE)), "NA")</f>
        <v>NA</v>
      </c>
      <c r="U5108" s="2" t="str">
        <f t="shared" si="415"/>
        <v>NA</v>
      </c>
    </row>
    <row r="5109" spans="1:21" ht="14.25" customHeight="1">
      <c r="A5109" s="2" t="s">
        <v>15</v>
      </c>
      <c r="B5109" s="2">
        <v>2018</v>
      </c>
      <c r="C5109" s="2" t="s">
        <v>42</v>
      </c>
      <c r="D5109" s="2">
        <v>161.30000000000001</v>
      </c>
      <c r="E5109" s="2">
        <v>110.8</v>
      </c>
      <c r="P5109" s="3">
        <f>E5109*(VLOOKUP(B5109,Price_data!A$1:B$190,2,FALSE))</f>
        <v>67.010658982799995</v>
      </c>
      <c r="Q5109" s="3">
        <f>G5109*(VLOOKUP(B5109,Price_data!A$1:B$190,2,FALSE))</f>
        <v>0</v>
      </c>
      <c r="R5109" s="3">
        <f>I5109*(VLOOKUP(B5109,Price_data!A$1:B$190,2,FALSE))</f>
        <v>0</v>
      </c>
      <c r="S5109" s="4" t="str">
        <f>(VLOOKUP(B5109,Price_data!A$1:C$190,3,FALSE))</f>
        <v>EEZ</v>
      </c>
      <c r="T5109" s="2" t="str">
        <f>IF(C5109="Total", (VLOOKUP(B5109,Recommended_fish_intake!A$4:D$122,4,FALSE)), "NA")</f>
        <v>NA</v>
      </c>
      <c r="U5109" s="2" t="str">
        <f t="shared" si="415"/>
        <v>NA</v>
      </c>
    </row>
    <row r="5110" spans="1:21" ht="14.25" customHeight="1">
      <c r="A5110" s="2" t="s">
        <v>15</v>
      </c>
      <c r="B5110" s="2">
        <v>2018</v>
      </c>
      <c r="C5110" s="2" t="s">
        <v>28</v>
      </c>
      <c r="D5110" s="2">
        <v>124.2</v>
      </c>
      <c r="E5110" s="2">
        <v>341</v>
      </c>
      <c r="F5110" s="2">
        <v>79.5</v>
      </c>
      <c r="G5110" s="2">
        <v>575.9</v>
      </c>
      <c r="H5110" s="2">
        <v>114.5</v>
      </c>
      <c r="I5110" s="2">
        <v>830.1</v>
      </c>
      <c r="P5110" s="3">
        <f>E5110*(VLOOKUP(B5110,Price_data!A$1:B$190,2,FALSE))</f>
        <v>206.23316528100003</v>
      </c>
      <c r="Q5110" s="3">
        <f>G5110*(VLOOKUP(B5110,Price_data!A$1:B$190,2,FALSE))</f>
        <v>348.29818148190003</v>
      </c>
      <c r="R5110" s="3">
        <f>I5110*(VLOOKUP(B5110,Price_data!A$1:B$190,2,FALSE))</f>
        <v>502.03563196410005</v>
      </c>
      <c r="S5110" s="4" t="str">
        <f>(VLOOKUP(B5110,Price_data!A$1:C$190,3,FALSE))</f>
        <v>EEZ</v>
      </c>
      <c r="T5110" s="2" t="str">
        <f>IF(C5110="Total", (VLOOKUP(B5110,Recommended_fish_intake!A$4:D$122,4,FALSE)), "NA")</f>
        <v>NA</v>
      </c>
      <c r="U5110" s="2">
        <f t="shared" si="415"/>
        <v>34.776000000000003</v>
      </c>
    </row>
    <row r="5111" spans="1:21" ht="14.25" customHeight="1">
      <c r="A5111" s="2" t="s">
        <v>15</v>
      </c>
      <c r="B5111" s="2">
        <v>2018</v>
      </c>
      <c r="C5111" s="2" t="s">
        <v>37</v>
      </c>
      <c r="D5111" s="3">
        <f>D5091+D5096</f>
        <v>445.30200000000002</v>
      </c>
      <c r="E5111" s="3">
        <f>E5091+E5096</f>
        <v>737.05799999999999</v>
      </c>
      <c r="F5111" s="2">
        <v>368.1</v>
      </c>
      <c r="G5111" s="2">
        <v>1215.3</v>
      </c>
      <c r="H5111" s="2">
        <v>559.5</v>
      </c>
      <c r="I5111" s="2">
        <v>2362.8000000000002</v>
      </c>
      <c r="P5111" s="3">
        <f>E5111*(VLOOKUP(B5111,Price_data!A$1:B$190,2,FALSE))</f>
        <v>445.76482209877804</v>
      </c>
      <c r="Q5111" s="3">
        <f>G5111*(VLOOKUP(B5111,Price_data!A$1:B$190,2,FALSE))</f>
        <v>735.00048611730006</v>
      </c>
      <c r="R5111" s="3">
        <f>I5111*(VLOOKUP(B5111,Price_data!A$1:B$190,2,FALSE))</f>
        <v>1428.9962549148001</v>
      </c>
      <c r="S5111" s="4" t="str">
        <f>(VLOOKUP(B5111,Price_data!A$1:C$190,3,FALSE))</f>
        <v>EEZ</v>
      </c>
      <c r="T5111" s="2" t="str">
        <f>IF(C5111="Total", (VLOOKUP(B5111,Recommended_fish_intake!A$4:D$122,4,FALSE)), "NA")</f>
        <v>NA</v>
      </c>
      <c r="U5111" s="2">
        <f t="shared" si="415"/>
        <v>218.19798</v>
      </c>
    </row>
    <row r="5112" spans="1:21" ht="14.25" customHeight="1">
      <c r="A5112" s="2" t="s">
        <v>90</v>
      </c>
      <c r="B5112" s="2">
        <v>2018</v>
      </c>
      <c r="C5112" s="2" t="s">
        <v>22</v>
      </c>
      <c r="D5112" s="2">
        <v>2.8</v>
      </c>
      <c r="E5112" s="2">
        <v>5.2</v>
      </c>
      <c r="P5112" s="3">
        <f>E5112*(VLOOKUP(B5112,Price_data!A$1:B$190,2,FALSE))</f>
        <v>3.1449045732000003</v>
      </c>
      <c r="Q5112" s="3">
        <f>G5112*(VLOOKUP(B5112,Price_data!A$1:B$190,2,FALSE))</f>
        <v>0</v>
      </c>
      <c r="R5112" s="3">
        <f>I5112*(VLOOKUP(B5112,Price_data!A$1:B$190,2,FALSE))</f>
        <v>0</v>
      </c>
      <c r="S5112" s="4" t="str">
        <f>(VLOOKUP(B5112,Price_data!A$1:C$190,3,FALSE))</f>
        <v>EEZ</v>
      </c>
      <c r="T5112" s="2" t="str">
        <f>IF(C5112="Total", (VLOOKUP(B5112,Recommended_fish_intake!A$4:D$122,4,FALSE)), "NA")</f>
        <v>NA</v>
      </c>
      <c r="U5112" s="2" t="str">
        <f t="shared" si="415"/>
        <v>NA</v>
      </c>
    </row>
    <row r="5113" spans="1:21" ht="14.25" customHeight="1">
      <c r="A5113" s="2" t="s">
        <v>90</v>
      </c>
      <c r="B5113" s="2">
        <v>2018</v>
      </c>
      <c r="C5113" s="2" t="s">
        <v>23</v>
      </c>
      <c r="D5113" s="2">
        <v>0.9</v>
      </c>
      <c r="E5113" s="2">
        <v>1.3</v>
      </c>
      <c r="P5113" s="3">
        <f>E5113*(VLOOKUP(B5113,Price_data!A$1:B$190,2,FALSE))</f>
        <v>0.78622614330000007</v>
      </c>
      <c r="Q5113" s="3">
        <f>G5113*(VLOOKUP(B5113,Price_data!A$1:B$190,2,FALSE))</f>
        <v>0</v>
      </c>
      <c r="R5113" s="3">
        <f>I5113*(VLOOKUP(B5113,Price_data!A$1:B$190,2,FALSE))</f>
        <v>0</v>
      </c>
      <c r="S5113" s="4" t="str">
        <f>(VLOOKUP(B5113,Price_data!A$1:C$190,3,FALSE))</f>
        <v>EEZ</v>
      </c>
      <c r="T5113" s="2" t="str">
        <f>IF(C5113="Total", (VLOOKUP(B5113,Recommended_fish_intake!A$4:D$122,4,FALSE)), "NA")</f>
        <v>NA</v>
      </c>
      <c r="U5113" s="2" t="str">
        <f t="shared" si="415"/>
        <v>NA</v>
      </c>
    </row>
    <row r="5114" spans="1:21" ht="14.25" customHeight="1">
      <c r="A5114" s="2" t="s">
        <v>90</v>
      </c>
      <c r="B5114" s="2">
        <v>2018</v>
      </c>
      <c r="C5114" s="2" t="s">
        <v>53</v>
      </c>
      <c r="D5114" s="2">
        <v>1.9</v>
      </c>
      <c r="E5114" s="2">
        <v>4.9000000000000004</v>
      </c>
      <c r="P5114" s="3">
        <f>E5114*(VLOOKUP(B5114,Price_data!A$1:B$190,2,FALSE))</f>
        <v>2.9634677709000004</v>
      </c>
      <c r="Q5114" s="3">
        <f>G5114*(VLOOKUP(B5114,Price_data!A$1:B$190,2,FALSE))</f>
        <v>0</v>
      </c>
      <c r="R5114" s="3">
        <f>I5114*(VLOOKUP(B5114,Price_data!A$1:B$190,2,FALSE))</f>
        <v>0</v>
      </c>
      <c r="S5114" s="4" t="str">
        <f>(VLOOKUP(B5114,Price_data!A$1:C$190,3,FALSE))</f>
        <v>EEZ</v>
      </c>
      <c r="T5114" s="2" t="str">
        <f>IF(C5114="Total", (VLOOKUP(B5114,Recommended_fish_intake!A$4:D$122,4,FALSE)), "NA")</f>
        <v>NA</v>
      </c>
      <c r="U5114" s="2" t="str">
        <f t="shared" si="415"/>
        <v>NA</v>
      </c>
    </row>
    <row r="5115" spans="1:21" ht="14.25" customHeight="1">
      <c r="A5115" s="2" t="s">
        <v>90</v>
      </c>
      <c r="B5115" s="2">
        <v>2018</v>
      </c>
      <c r="C5115" s="2" t="s">
        <v>58</v>
      </c>
      <c r="D5115" s="2">
        <v>2</v>
      </c>
      <c r="E5115" s="2">
        <v>6.5</v>
      </c>
      <c r="P5115" s="3">
        <f>E5115*(VLOOKUP(B5115,Price_data!A$1:B$190,2,FALSE))</f>
        <v>3.9311307165000002</v>
      </c>
      <c r="Q5115" s="3">
        <f>G5115*(VLOOKUP(B5115,Price_data!A$1:B$190,2,FALSE))</f>
        <v>0</v>
      </c>
      <c r="R5115" s="3">
        <f>I5115*(VLOOKUP(B5115,Price_data!A$1:B$190,2,FALSE))</f>
        <v>0</v>
      </c>
      <c r="S5115" s="4" t="str">
        <f>(VLOOKUP(B5115,Price_data!A$1:C$190,3,FALSE))</f>
        <v>EEZ</v>
      </c>
      <c r="T5115" s="2" t="str">
        <f>IF(C5115="Total", (VLOOKUP(B5115,Recommended_fish_intake!A$4:D$122,4,FALSE)), "NA")</f>
        <v>NA</v>
      </c>
      <c r="U5115" s="2" t="str">
        <f t="shared" si="415"/>
        <v>NA</v>
      </c>
    </row>
    <row r="5116" spans="1:21" ht="14.25" customHeight="1">
      <c r="A5116" s="2" t="s">
        <v>90</v>
      </c>
      <c r="B5116" s="2">
        <v>2018</v>
      </c>
      <c r="C5116" s="2" t="s">
        <v>19</v>
      </c>
      <c r="D5116" s="2">
        <v>0.5</v>
      </c>
      <c r="E5116" s="2">
        <v>0.2</v>
      </c>
      <c r="P5116" s="3">
        <f>E5116*(VLOOKUP(B5116,Price_data!A$1:B$190,2,FALSE))</f>
        <v>0.12095786820000001</v>
      </c>
      <c r="Q5116" s="3">
        <f>G5116*(VLOOKUP(B5116,Price_data!A$1:B$190,2,FALSE))</f>
        <v>0</v>
      </c>
      <c r="R5116" s="3">
        <f>I5116*(VLOOKUP(B5116,Price_data!A$1:B$190,2,FALSE))</f>
        <v>0</v>
      </c>
      <c r="S5116" s="4" t="str">
        <f>(VLOOKUP(B5116,Price_data!A$1:C$190,3,FALSE))</f>
        <v>EEZ</v>
      </c>
      <c r="T5116" s="2" t="str">
        <f>IF(C5116="Total", (VLOOKUP(B5116,Recommended_fish_intake!A$4:D$122,4,FALSE)), "NA")</f>
        <v>NA</v>
      </c>
      <c r="U5116" s="2" t="str">
        <f t="shared" si="415"/>
        <v>NA</v>
      </c>
    </row>
    <row r="5117" spans="1:21" ht="14.25" customHeight="1">
      <c r="A5117" s="2" t="s">
        <v>90</v>
      </c>
      <c r="B5117" s="2">
        <v>2018</v>
      </c>
      <c r="C5117" s="2" t="s">
        <v>20</v>
      </c>
      <c r="D5117" s="2">
        <v>0.8</v>
      </c>
      <c r="E5117" s="2">
        <v>1</v>
      </c>
      <c r="P5117" s="3">
        <f>E5117*(VLOOKUP(B5117,Price_data!A$1:B$190,2,FALSE))</f>
        <v>0.60478934100000004</v>
      </c>
      <c r="Q5117" s="3">
        <f>G5117*(VLOOKUP(B5117,Price_data!A$1:B$190,2,FALSE))</f>
        <v>0</v>
      </c>
      <c r="R5117" s="3">
        <f>I5117*(VLOOKUP(B5117,Price_data!A$1:B$190,2,FALSE))</f>
        <v>0</v>
      </c>
      <c r="S5117" s="4" t="str">
        <f>(VLOOKUP(B5117,Price_data!A$1:C$190,3,FALSE))</f>
        <v>EEZ</v>
      </c>
      <c r="T5117" s="2" t="str">
        <f>IF(C5117="Total", (VLOOKUP(B5117,Recommended_fish_intake!A$4:D$122,4,FALSE)), "NA")</f>
        <v>NA</v>
      </c>
      <c r="U5117" s="2" t="str">
        <f t="shared" si="415"/>
        <v>NA</v>
      </c>
    </row>
    <row r="5118" spans="1:21" ht="14.25" customHeight="1">
      <c r="A5118" s="2" t="s">
        <v>90</v>
      </c>
      <c r="B5118" s="2">
        <v>2018</v>
      </c>
      <c r="C5118" s="2" t="s">
        <v>36</v>
      </c>
      <c r="D5118" s="2">
        <v>15</v>
      </c>
      <c r="E5118" s="2">
        <v>34.299999999999997</v>
      </c>
      <c r="P5118" s="3">
        <f>E5118*(VLOOKUP(B5118,Price_data!A$1:B$190,2,FALSE))</f>
        <v>20.7442743963</v>
      </c>
      <c r="Q5118" s="3">
        <f>G5118*(VLOOKUP(B5118,Price_data!A$1:B$190,2,FALSE))</f>
        <v>0</v>
      </c>
      <c r="R5118" s="3">
        <f>I5118*(VLOOKUP(B5118,Price_data!A$1:B$190,2,FALSE))</f>
        <v>0</v>
      </c>
      <c r="S5118" s="4" t="str">
        <f>(VLOOKUP(B5118,Price_data!A$1:C$190,3,FALSE))</f>
        <v>EEZ</v>
      </c>
      <c r="T5118" s="2" t="str">
        <f>IF(C5118="Total", (VLOOKUP(B5118,Recommended_fish_intake!A$4:D$122,4,FALSE)), "NA")</f>
        <v>NA</v>
      </c>
      <c r="U5118" s="2" t="str">
        <f t="shared" si="415"/>
        <v>NA</v>
      </c>
    </row>
    <row r="5119" spans="1:21" ht="14.25" customHeight="1">
      <c r="A5119" s="2" t="s">
        <v>90</v>
      </c>
      <c r="B5119" s="2">
        <v>2018</v>
      </c>
      <c r="C5119" s="2" t="s">
        <v>34</v>
      </c>
      <c r="D5119" s="2">
        <v>1.6</v>
      </c>
      <c r="E5119" s="2">
        <v>22.9</v>
      </c>
      <c r="P5119" s="3">
        <f>E5119*(VLOOKUP(B5119,Price_data!A$1:B$190,2,FALSE))</f>
        <v>13.8496759089</v>
      </c>
      <c r="Q5119" s="3">
        <f>G5119*(VLOOKUP(B5119,Price_data!A$1:B$190,2,FALSE))</f>
        <v>0</v>
      </c>
      <c r="R5119" s="3">
        <f>I5119*(VLOOKUP(B5119,Price_data!A$1:B$190,2,FALSE))</f>
        <v>0</v>
      </c>
      <c r="S5119" s="4" t="str">
        <f>(VLOOKUP(B5119,Price_data!A$1:C$190,3,FALSE))</f>
        <v>EEZ</v>
      </c>
      <c r="T5119" s="2" t="str">
        <f>IF(C5119="Total", (VLOOKUP(B5119,Recommended_fish_intake!A$4:D$122,4,FALSE)), "NA")</f>
        <v>NA</v>
      </c>
      <c r="U5119" s="2" t="str">
        <f t="shared" si="415"/>
        <v>NA</v>
      </c>
    </row>
    <row r="5120" spans="1:21" ht="14.25" customHeight="1">
      <c r="A5120" s="2" t="s">
        <v>90</v>
      </c>
      <c r="B5120" s="2">
        <v>2018</v>
      </c>
      <c r="C5120" s="2" t="s">
        <v>35</v>
      </c>
      <c r="D5120" s="2">
        <v>2.2999999999999998</v>
      </c>
      <c r="E5120" s="2">
        <v>7.7</v>
      </c>
      <c r="P5120" s="3">
        <f>E5120*(VLOOKUP(B5120,Price_data!A$1:B$190,2,FALSE))</f>
        <v>4.6568779257000008</v>
      </c>
      <c r="Q5120" s="3">
        <f>G5120*(VLOOKUP(B5120,Price_data!A$1:B$190,2,FALSE))</f>
        <v>0</v>
      </c>
      <c r="R5120" s="3">
        <f>I5120*(VLOOKUP(B5120,Price_data!A$1:B$190,2,FALSE))</f>
        <v>0</v>
      </c>
      <c r="S5120" s="4" t="str">
        <f>(VLOOKUP(B5120,Price_data!A$1:C$190,3,FALSE))</f>
        <v>EEZ</v>
      </c>
      <c r="T5120" s="2" t="str">
        <f>IF(C5120="Total", (VLOOKUP(B5120,Recommended_fish_intake!A$4:D$122,4,FALSE)), "NA")</f>
        <v>NA</v>
      </c>
      <c r="U5120" s="2" t="str">
        <f t="shared" si="415"/>
        <v>NA</v>
      </c>
    </row>
    <row r="5121" spans="1:21" ht="14.25" customHeight="1">
      <c r="A5121" s="2" t="s">
        <v>90</v>
      </c>
      <c r="B5121" s="2">
        <v>2018</v>
      </c>
      <c r="C5121" s="2" t="s">
        <v>52</v>
      </c>
      <c r="D5121" s="2">
        <v>14.9</v>
      </c>
      <c r="E5121" s="2">
        <v>36.4</v>
      </c>
      <c r="P5121" s="3">
        <f>E5121*(VLOOKUP(B5121,Price_data!A$1:B$190,2,FALSE))</f>
        <v>22.014332012400001</v>
      </c>
      <c r="Q5121" s="3">
        <f>G5121*(VLOOKUP(B5121,Price_data!A$1:B$190,2,FALSE))</f>
        <v>0</v>
      </c>
      <c r="R5121" s="3">
        <f>I5121*(VLOOKUP(B5121,Price_data!A$1:B$190,2,FALSE))</f>
        <v>0</v>
      </c>
      <c r="S5121" s="4" t="str">
        <f>(VLOOKUP(B5121,Price_data!A$1:C$190,3,FALSE))</f>
        <v>EEZ</v>
      </c>
      <c r="T5121" s="2" t="str">
        <f>IF(C5121="Total", (VLOOKUP(B5121,Recommended_fish_intake!A$4:D$122,4,FALSE)), "NA")</f>
        <v>NA</v>
      </c>
      <c r="U5121" s="2" t="str">
        <f t="shared" si="415"/>
        <v>NA</v>
      </c>
    </row>
    <row r="5122" spans="1:21" ht="14.25" customHeight="1">
      <c r="A5122" s="2" t="s">
        <v>90</v>
      </c>
      <c r="B5122" s="2">
        <v>2018</v>
      </c>
      <c r="C5122" s="2" t="s">
        <v>30</v>
      </c>
      <c r="D5122" s="2">
        <v>1.1000000000000001</v>
      </c>
      <c r="E5122" s="2">
        <v>2.7</v>
      </c>
      <c r="P5122" s="3">
        <f>E5122*(VLOOKUP(B5122,Price_data!A$1:B$190,2,FALSE))</f>
        <v>1.6329312207000002</v>
      </c>
      <c r="Q5122" s="3">
        <f>G5122*(VLOOKUP(B5122,Price_data!A$1:B$190,2,FALSE))</f>
        <v>0</v>
      </c>
      <c r="R5122" s="3">
        <f>I5122*(VLOOKUP(B5122,Price_data!A$1:B$190,2,FALSE))</f>
        <v>0</v>
      </c>
      <c r="S5122" s="4" t="str">
        <f>(VLOOKUP(B5122,Price_data!A$1:C$190,3,FALSE))</f>
        <v>EEZ</v>
      </c>
      <c r="T5122" s="2" t="str">
        <f>IF(C5122="Total", (VLOOKUP(B5122,Recommended_fish_intake!A$4:D$122,4,FALSE)), "NA")</f>
        <v>NA</v>
      </c>
      <c r="U5122" s="2" t="str">
        <f t="shared" ref="U5122:U5185" si="417">IF(C5122="Wet fish", D5122*0.49, IF(C5122="Shellfish", D5122*0.28, "NA"))</f>
        <v>NA</v>
      </c>
    </row>
    <row r="5123" spans="1:21" ht="14.25" customHeight="1">
      <c r="A5123" s="2" t="s">
        <v>90</v>
      </c>
      <c r="B5123" s="2">
        <v>2018</v>
      </c>
      <c r="C5123" s="2" t="s">
        <v>41</v>
      </c>
      <c r="D5123" s="2">
        <v>22.3</v>
      </c>
      <c r="E5123" s="2">
        <v>64.900000000000006</v>
      </c>
      <c r="P5123" s="3">
        <f>E5123*(VLOOKUP(B5123,Price_data!A$1:B$190,2,FALSE))</f>
        <v>39.250828230900005</v>
      </c>
      <c r="Q5123" s="3">
        <f>G5123*(VLOOKUP(B5123,Price_data!A$1:B$190,2,FALSE))</f>
        <v>0</v>
      </c>
      <c r="R5123" s="3">
        <f>I5123*(VLOOKUP(B5123,Price_data!A$1:B$190,2,FALSE))</f>
        <v>0</v>
      </c>
      <c r="S5123" s="4" t="str">
        <f>(VLOOKUP(B5123,Price_data!A$1:C$190,3,FALSE))</f>
        <v>EEZ</v>
      </c>
      <c r="T5123" s="2" t="str">
        <f>IF(C5123="Total", (VLOOKUP(B5123,Recommended_fish_intake!A$4:D$122,4,FALSE)), "NA")</f>
        <v>NA</v>
      </c>
      <c r="U5123" s="2" t="str">
        <f t="shared" si="417"/>
        <v>NA</v>
      </c>
    </row>
    <row r="5124" spans="1:21" ht="14.25" customHeight="1">
      <c r="A5124" s="2" t="s">
        <v>90</v>
      </c>
      <c r="B5124" s="2">
        <v>2018</v>
      </c>
      <c r="C5124" s="2" t="s">
        <v>42</v>
      </c>
      <c r="D5124" s="2">
        <v>12.8</v>
      </c>
      <c r="E5124" s="2">
        <v>5.7</v>
      </c>
      <c r="P5124" s="3">
        <f>E5124*(VLOOKUP(B5124,Price_data!A$1:B$190,2,FALSE))</f>
        <v>3.4472992437000003</v>
      </c>
      <c r="Q5124" s="3">
        <f>G5124*(VLOOKUP(B5124,Price_data!A$1:B$190,2,FALSE))</f>
        <v>0</v>
      </c>
      <c r="R5124" s="3">
        <f>I5124*(VLOOKUP(B5124,Price_data!A$1:B$190,2,FALSE))</f>
        <v>0</v>
      </c>
      <c r="S5124" s="4" t="str">
        <f>(VLOOKUP(B5124,Price_data!A$1:C$190,3,FALSE))</f>
        <v>EEZ</v>
      </c>
      <c r="T5124" s="2" t="str">
        <f>IF(C5124="Total", (VLOOKUP(B5124,Recommended_fish_intake!A$4:D$122,4,FALSE)), "NA")</f>
        <v>NA</v>
      </c>
      <c r="U5124" s="2" t="str">
        <f t="shared" si="417"/>
        <v>NA</v>
      </c>
    </row>
    <row r="5125" spans="1:21" ht="14.25" customHeight="1">
      <c r="A5125" s="2" t="s">
        <v>90</v>
      </c>
      <c r="B5125" s="2">
        <v>2018</v>
      </c>
      <c r="C5125" s="2" t="s">
        <v>28</v>
      </c>
      <c r="D5125" s="2">
        <v>66.3</v>
      </c>
      <c r="E5125" s="2">
        <v>142.69999999999999</v>
      </c>
      <c r="P5125" s="3">
        <f>E5125*(VLOOKUP(B5125,Price_data!A$1:B$190,2,FALSE))</f>
        <v>86.303438960699992</v>
      </c>
      <c r="Q5125" s="3">
        <f>G5125*(VLOOKUP(B5125,Price_data!A$1:B$190,2,FALSE))</f>
        <v>0</v>
      </c>
      <c r="R5125" s="3">
        <f>I5125*(VLOOKUP(B5125,Price_data!A$1:B$190,2,FALSE))</f>
        <v>0</v>
      </c>
      <c r="S5125" s="4" t="str">
        <f>(VLOOKUP(B5125,Price_data!A$1:C$190,3,FALSE))</f>
        <v>EEZ</v>
      </c>
      <c r="T5125" s="2" t="str">
        <f>IF(C5125="Total", (VLOOKUP(B5125,Recommended_fish_intake!A$4:D$122,4,FALSE)), "NA")</f>
        <v>NA</v>
      </c>
      <c r="U5125" s="2">
        <f t="shared" si="417"/>
        <v>18.564</v>
      </c>
    </row>
    <row r="5126" spans="1:21" ht="14.25" customHeight="1">
      <c r="A5126" s="2" t="s">
        <v>91</v>
      </c>
      <c r="B5126" s="2">
        <v>2018</v>
      </c>
      <c r="C5126" s="2" t="s">
        <v>22</v>
      </c>
      <c r="D5126" s="2">
        <v>0.02</v>
      </c>
      <c r="E5126" s="2">
        <v>0.04</v>
      </c>
      <c r="P5126" s="3">
        <f>E5126*(VLOOKUP(B5126,Price_data!A$1:B$190,2,FALSE))</f>
        <v>2.4191573640000002E-2</v>
      </c>
      <c r="Q5126" s="3">
        <f>G5126*(VLOOKUP(B5126,Price_data!A$1:B$190,2,FALSE))</f>
        <v>0</v>
      </c>
      <c r="R5126" s="3">
        <f>I5126*(VLOOKUP(B5126,Price_data!A$1:B$190,2,FALSE))</f>
        <v>0</v>
      </c>
      <c r="S5126" s="4" t="str">
        <f>(VLOOKUP(B5126,Price_data!A$1:C$190,3,FALSE))</f>
        <v>EEZ</v>
      </c>
      <c r="T5126" s="2" t="str">
        <f>IF(C5126="Total", (VLOOKUP(B5126,Recommended_fish_intake!A$4:D$122,4,FALSE)), "NA")</f>
        <v>NA</v>
      </c>
      <c r="U5126" s="2" t="str">
        <f t="shared" si="417"/>
        <v>NA</v>
      </c>
    </row>
    <row r="5127" spans="1:21" ht="14.25" customHeight="1">
      <c r="A5127" s="2" t="s">
        <v>91</v>
      </c>
      <c r="B5127" s="2">
        <v>2018</v>
      </c>
      <c r="C5127" s="2" t="s">
        <v>23</v>
      </c>
      <c r="D5127" s="2">
        <v>0.01</v>
      </c>
      <c r="E5127" s="2">
        <v>0.01</v>
      </c>
      <c r="P5127" s="3">
        <f>E5127*(VLOOKUP(B5127,Price_data!A$1:B$190,2,FALSE))</f>
        <v>6.0478934100000005E-3</v>
      </c>
      <c r="Q5127" s="3">
        <f>G5127*(VLOOKUP(B5127,Price_data!A$1:B$190,2,FALSE))</f>
        <v>0</v>
      </c>
      <c r="R5127" s="3">
        <f>I5127*(VLOOKUP(B5127,Price_data!A$1:B$190,2,FALSE))</f>
        <v>0</v>
      </c>
      <c r="S5127" s="4" t="str">
        <f>(VLOOKUP(B5127,Price_data!A$1:C$190,3,FALSE))</f>
        <v>EEZ</v>
      </c>
      <c r="T5127" s="2" t="str">
        <f>IF(C5127="Total", (VLOOKUP(B5127,Recommended_fish_intake!A$4:D$122,4,FALSE)), "NA")</f>
        <v>NA</v>
      </c>
      <c r="U5127" s="2" t="str">
        <f t="shared" si="417"/>
        <v>NA</v>
      </c>
    </row>
    <row r="5128" spans="1:21" ht="14.25" customHeight="1">
      <c r="A5128" s="2" t="s">
        <v>91</v>
      </c>
      <c r="B5128" s="2">
        <v>2018</v>
      </c>
      <c r="C5128" s="2" t="s">
        <v>53</v>
      </c>
      <c r="D5128" s="2">
        <v>0.04</v>
      </c>
      <c r="E5128" s="2">
        <v>7.0000000000000007E-2</v>
      </c>
      <c r="P5128" s="3">
        <f>E5128*(VLOOKUP(B5128,Price_data!A$1:B$190,2,FALSE))</f>
        <v>4.2335253870000006E-2</v>
      </c>
      <c r="Q5128" s="3">
        <f>G5128*(VLOOKUP(B5128,Price_data!A$1:B$190,2,FALSE))</f>
        <v>0</v>
      </c>
      <c r="R5128" s="3">
        <f>I5128*(VLOOKUP(B5128,Price_data!A$1:B$190,2,FALSE))</f>
        <v>0</v>
      </c>
      <c r="S5128" s="4" t="str">
        <f>(VLOOKUP(B5128,Price_data!A$1:C$190,3,FALSE))</f>
        <v>EEZ</v>
      </c>
      <c r="T5128" s="2" t="str">
        <f>IF(C5128="Total", (VLOOKUP(B5128,Recommended_fish_intake!A$4:D$122,4,FALSE)), "NA")</f>
        <v>NA</v>
      </c>
      <c r="U5128" s="2" t="str">
        <f t="shared" si="417"/>
        <v>NA</v>
      </c>
    </row>
    <row r="5129" spans="1:21" ht="14.25" customHeight="1">
      <c r="A5129" s="2" t="s">
        <v>91</v>
      </c>
      <c r="B5129" s="2">
        <v>2018</v>
      </c>
      <c r="C5129" s="2" t="s">
        <v>58</v>
      </c>
      <c r="D5129" s="2">
        <v>0.12</v>
      </c>
      <c r="E5129" s="2">
        <v>0.37</v>
      </c>
      <c r="P5129" s="3">
        <f>E5129*(VLOOKUP(B5129,Price_data!A$1:B$190,2,FALSE))</f>
        <v>0.22377205617000001</v>
      </c>
      <c r="Q5129" s="3">
        <f>G5129*(VLOOKUP(B5129,Price_data!A$1:B$190,2,FALSE))</f>
        <v>0</v>
      </c>
      <c r="R5129" s="3">
        <f>I5129*(VLOOKUP(B5129,Price_data!A$1:B$190,2,FALSE))</f>
        <v>0</v>
      </c>
      <c r="S5129" s="4" t="str">
        <f>(VLOOKUP(B5129,Price_data!A$1:C$190,3,FALSE))</f>
        <v>EEZ</v>
      </c>
      <c r="T5129" s="2" t="str">
        <f>IF(C5129="Total", (VLOOKUP(B5129,Recommended_fish_intake!A$4:D$122,4,FALSE)), "NA")</f>
        <v>NA</v>
      </c>
      <c r="U5129" s="2" t="str">
        <f t="shared" si="417"/>
        <v>NA</v>
      </c>
    </row>
    <row r="5130" spans="1:21" ht="14.25" customHeight="1">
      <c r="A5130" s="2" t="s">
        <v>91</v>
      </c>
      <c r="B5130" s="2">
        <v>2018</v>
      </c>
      <c r="C5130" s="2" t="s">
        <v>19</v>
      </c>
      <c r="D5130" s="2">
        <v>0</v>
      </c>
      <c r="E5130" s="2">
        <v>0</v>
      </c>
      <c r="P5130" s="3">
        <f>E5130*(VLOOKUP(B5130,Price_data!A$1:B$190,2,FALSE))</f>
        <v>0</v>
      </c>
      <c r="Q5130" s="3">
        <f>G5130*(VLOOKUP(B5130,Price_data!A$1:B$190,2,FALSE))</f>
        <v>0</v>
      </c>
      <c r="R5130" s="3">
        <f>I5130*(VLOOKUP(B5130,Price_data!A$1:B$190,2,FALSE))</f>
        <v>0</v>
      </c>
      <c r="S5130" s="4" t="str">
        <f>(VLOOKUP(B5130,Price_data!A$1:C$190,3,FALSE))</f>
        <v>EEZ</v>
      </c>
      <c r="T5130" s="2" t="str">
        <f>IF(C5130="Total", (VLOOKUP(B5130,Recommended_fish_intake!A$4:D$122,4,FALSE)), "NA")</f>
        <v>NA</v>
      </c>
      <c r="U5130" s="2" t="str">
        <f t="shared" si="417"/>
        <v>NA</v>
      </c>
    </row>
    <row r="5131" spans="1:21" ht="14.25" customHeight="1">
      <c r="A5131" s="2" t="s">
        <v>91</v>
      </c>
      <c r="B5131" s="2">
        <v>2018</v>
      </c>
      <c r="C5131" s="2" t="s">
        <v>20</v>
      </c>
      <c r="D5131" s="2">
        <v>0</v>
      </c>
      <c r="E5131" s="2">
        <v>0</v>
      </c>
      <c r="P5131" s="3">
        <f>E5131*(VLOOKUP(B5131,Price_data!A$1:B$190,2,FALSE))</f>
        <v>0</v>
      </c>
      <c r="Q5131" s="3">
        <f>G5131*(VLOOKUP(B5131,Price_data!A$1:B$190,2,FALSE))</f>
        <v>0</v>
      </c>
      <c r="R5131" s="3">
        <f>I5131*(VLOOKUP(B5131,Price_data!A$1:B$190,2,FALSE))</f>
        <v>0</v>
      </c>
      <c r="S5131" s="4" t="str">
        <f>(VLOOKUP(B5131,Price_data!A$1:C$190,3,FALSE))</f>
        <v>EEZ</v>
      </c>
      <c r="T5131" s="2" t="str">
        <f>IF(C5131="Total", (VLOOKUP(B5131,Recommended_fish_intake!A$4:D$122,4,FALSE)), "NA")</f>
        <v>NA</v>
      </c>
      <c r="U5131" s="2" t="str">
        <f t="shared" si="417"/>
        <v>NA</v>
      </c>
    </row>
    <row r="5132" spans="1:21" ht="14.25" customHeight="1">
      <c r="A5132" s="2" t="s">
        <v>91</v>
      </c>
      <c r="B5132" s="2">
        <v>2018</v>
      </c>
      <c r="C5132" s="2" t="s">
        <v>36</v>
      </c>
      <c r="D5132" s="2">
        <v>0.8</v>
      </c>
      <c r="E5132" s="2">
        <v>1.69</v>
      </c>
      <c r="P5132" s="3">
        <f>E5132*(VLOOKUP(B5132,Price_data!A$1:B$190,2,FALSE))</f>
        <v>1.02209398629</v>
      </c>
      <c r="Q5132" s="3">
        <f>G5132*(VLOOKUP(B5132,Price_data!A$1:B$190,2,FALSE))</f>
        <v>0</v>
      </c>
      <c r="R5132" s="3">
        <f>I5132*(VLOOKUP(B5132,Price_data!A$1:B$190,2,FALSE))</f>
        <v>0</v>
      </c>
      <c r="S5132" s="4" t="str">
        <f>(VLOOKUP(B5132,Price_data!A$1:C$190,3,FALSE))</f>
        <v>EEZ</v>
      </c>
      <c r="T5132" s="2" t="str">
        <f>IF(C5132="Total", (VLOOKUP(B5132,Recommended_fish_intake!A$4:D$122,4,FALSE)), "NA")</f>
        <v>NA</v>
      </c>
      <c r="U5132" s="2" t="str">
        <f t="shared" si="417"/>
        <v>NA</v>
      </c>
    </row>
    <row r="5133" spans="1:21" ht="14.25" customHeight="1">
      <c r="A5133" s="2" t="s">
        <v>91</v>
      </c>
      <c r="B5133" s="2">
        <v>2018</v>
      </c>
      <c r="C5133" s="2" t="s">
        <v>34</v>
      </c>
      <c r="D5133" s="2">
        <v>0.21</v>
      </c>
      <c r="E5133" s="2">
        <v>2.82</v>
      </c>
      <c r="P5133" s="3">
        <f>E5133*(VLOOKUP(B5133,Price_data!A$1:B$190,2,FALSE))</f>
        <v>1.70550594162</v>
      </c>
      <c r="Q5133" s="3">
        <f>G5133*(VLOOKUP(B5133,Price_data!A$1:B$190,2,FALSE))</f>
        <v>0</v>
      </c>
      <c r="R5133" s="3">
        <f>I5133*(VLOOKUP(B5133,Price_data!A$1:B$190,2,FALSE))</f>
        <v>0</v>
      </c>
      <c r="S5133" s="4" t="str">
        <f>(VLOOKUP(B5133,Price_data!A$1:C$190,3,FALSE))</f>
        <v>EEZ</v>
      </c>
      <c r="T5133" s="2" t="str">
        <f>IF(C5133="Total", (VLOOKUP(B5133,Recommended_fish_intake!A$4:D$122,4,FALSE)), "NA")</f>
        <v>NA</v>
      </c>
      <c r="U5133" s="2" t="str">
        <f t="shared" si="417"/>
        <v>NA</v>
      </c>
    </row>
    <row r="5134" spans="1:21" ht="14.25" customHeight="1">
      <c r="A5134" s="2" t="s">
        <v>91</v>
      </c>
      <c r="B5134" s="2">
        <v>2018</v>
      </c>
      <c r="C5134" s="2" t="s">
        <v>35</v>
      </c>
      <c r="D5134" s="2">
        <v>0.05</v>
      </c>
      <c r="E5134" s="2">
        <v>0.12</v>
      </c>
      <c r="P5134" s="3">
        <f>E5134*(VLOOKUP(B5134,Price_data!A$1:B$190,2,FALSE))</f>
        <v>7.2574720920000002E-2</v>
      </c>
      <c r="Q5134" s="3">
        <f>G5134*(VLOOKUP(B5134,Price_data!A$1:B$190,2,FALSE))</f>
        <v>0</v>
      </c>
      <c r="R5134" s="3">
        <f>I5134*(VLOOKUP(B5134,Price_data!A$1:B$190,2,FALSE))</f>
        <v>0</v>
      </c>
      <c r="S5134" s="4" t="str">
        <f>(VLOOKUP(B5134,Price_data!A$1:C$190,3,FALSE))</f>
        <v>EEZ</v>
      </c>
      <c r="T5134" s="2" t="str">
        <f>IF(C5134="Total", (VLOOKUP(B5134,Recommended_fish_intake!A$4:D$122,4,FALSE)), "NA")</f>
        <v>NA</v>
      </c>
      <c r="U5134" s="2" t="str">
        <f t="shared" si="417"/>
        <v>NA</v>
      </c>
    </row>
    <row r="5135" spans="1:21" ht="14.25" customHeight="1">
      <c r="A5135" s="2" t="s">
        <v>91</v>
      </c>
      <c r="B5135" s="2">
        <v>2018</v>
      </c>
      <c r="C5135" s="2" t="s">
        <v>52</v>
      </c>
      <c r="D5135" s="2">
        <v>1.05</v>
      </c>
      <c r="E5135" s="2">
        <v>2.4300000000000002</v>
      </c>
      <c r="P5135" s="3">
        <f>E5135*(VLOOKUP(B5135,Price_data!A$1:B$190,2,FALSE))</f>
        <v>1.4696380986300002</v>
      </c>
      <c r="Q5135" s="3">
        <f>G5135*(VLOOKUP(B5135,Price_data!A$1:B$190,2,FALSE))</f>
        <v>0</v>
      </c>
      <c r="R5135" s="3">
        <f>I5135*(VLOOKUP(B5135,Price_data!A$1:B$190,2,FALSE))</f>
        <v>0</v>
      </c>
      <c r="S5135" s="4" t="str">
        <f>(VLOOKUP(B5135,Price_data!A$1:C$190,3,FALSE))</f>
        <v>EEZ</v>
      </c>
      <c r="T5135" s="2" t="str">
        <f>IF(C5135="Total", (VLOOKUP(B5135,Recommended_fish_intake!A$4:D$122,4,FALSE)), "NA")</f>
        <v>NA</v>
      </c>
      <c r="U5135" s="2" t="str">
        <f t="shared" si="417"/>
        <v>NA</v>
      </c>
    </row>
    <row r="5136" spans="1:21" ht="14.25" customHeight="1">
      <c r="A5136" s="2" t="s">
        <v>91</v>
      </c>
      <c r="B5136" s="2">
        <v>2018</v>
      </c>
      <c r="C5136" s="2" t="s">
        <v>30</v>
      </c>
      <c r="D5136" s="2">
        <v>0</v>
      </c>
      <c r="E5136" s="2">
        <v>0</v>
      </c>
      <c r="P5136" s="3">
        <f>E5136*(VLOOKUP(B5136,Price_data!A$1:B$190,2,FALSE))</f>
        <v>0</v>
      </c>
      <c r="Q5136" s="3">
        <f>G5136*(VLOOKUP(B5136,Price_data!A$1:B$190,2,FALSE))</f>
        <v>0</v>
      </c>
      <c r="R5136" s="3">
        <f>I5136*(VLOOKUP(B5136,Price_data!A$1:B$190,2,FALSE))</f>
        <v>0</v>
      </c>
      <c r="S5136" s="4" t="str">
        <f>(VLOOKUP(B5136,Price_data!A$1:C$190,3,FALSE))</f>
        <v>EEZ</v>
      </c>
      <c r="T5136" s="2" t="str">
        <f>IF(C5136="Total", (VLOOKUP(B5136,Recommended_fish_intake!A$4:D$122,4,FALSE)), "NA")</f>
        <v>NA</v>
      </c>
      <c r="U5136" s="2" t="str">
        <f t="shared" si="417"/>
        <v>NA</v>
      </c>
    </row>
    <row r="5137" spans="1:21" ht="14.25" customHeight="1">
      <c r="A5137" s="2" t="s">
        <v>91</v>
      </c>
      <c r="B5137" s="2">
        <v>2018</v>
      </c>
      <c r="C5137" s="2" t="s">
        <v>41</v>
      </c>
      <c r="D5137" s="2">
        <v>0.83</v>
      </c>
      <c r="E5137" s="2">
        <v>2.35</v>
      </c>
      <c r="P5137" s="3">
        <f>E5137*(VLOOKUP(B5137,Price_data!A$1:B$190,2,FALSE))</f>
        <v>1.4212549513500001</v>
      </c>
      <c r="Q5137" s="3">
        <f>G5137*(VLOOKUP(B5137,Price_data!A$1:B$190,2,FALSE))</f>
        <v>0</v>
      </c>
      <c r="R5137" s="3">
        <f>I5137*(VLOOKUP(B5137,Price_data!A$1:B$190,2,FALSE))</f>
        <v>0</v>
      </c>
      <c r="S5137" s="4" t="str">
        <f>(VLOOKUP(B5137,Price_data!A$1:C$190,3,FALSE))</f>
        <v>EEZ</v>
      </c>
      <c r="T5137" s="2" t="str">
        <f>IF(C5137="Total", (VLOOKUP(B5137,Recommended_fish_intake!A$4:D$122,4,FALSE)), "NA")</f>
        <v>NA</v>
      </c>
      <c r="U5137" s="2" t="str">
        <f t="shared" si="417"/>
        <v>NA</v>
      </c>
    </row>
    <row r="5138" spans="1:21" ht="14.25" customHeight="1">
      <c r="A5138" s="2" t="s">
        <v>91</v>
      </c>
      <c r="B5138" s="2">
        <v>2018</v>
      </c>
      <c r="C5138" s="2" t="s">
        <v>42</v>
      </c>
      <c r="D5138" s="2">
        <v>0</v>
      </c>
      <c r="E5138" s="2">
        <v>0</v>
      </c>
      <c r="P5138" s="3">
        <f>E5138*(VLOOKUP(B5138,Price_data!A$1:B$190,2,FALSE))</f>
        <v>0</v>
      </c>
      <c r="Q5138" s="3">
        <f>G5138*(VLOOKUP(B5138,Price_data!A$1:B$190,2,FALSE))</f>
        <v>0</v>
      </c>
      <c r="R5138" s="3">
        <f>I5138*(VLOOKUP(B5138,Price_data!A$1:B$190,2,FALSE))</f>
        <v>0</v>
      </c>
      <c r="S5138" s="4" t="str">
        <f>(VLOOKUP(B5138,Price_data!A$1:C$190,3,FALSE))</f>
        <v>EEZ</v>
      </c>
      <c r="T5138" s="2" t="str">
        <f>IF(C5138="Total", (VLOOKUP(B5138,Recommended_fish_intake!A$4:D$122,4,FALSE)), "NA")</f>
        <v>NA</v>
      </c>
      <c r="U5138" s="2" t="str">
        <f t="shared" si="417"/>
        <v>NA</v>
      </c>
    </row>
    <row r="5139" spans="1:21" ht="14.25" customHeight="1">
      <c r="A5139" s="2" t="s">
        <v>91</v>
      </c>
      <c r="B5139" s="2">
        <v>2018</v>
      </c>
      <c r="C5139" s="2" t="s">
        <v>28</v>
      </c>
      <c r="D5139" s="2">
        <v>7.59</v>
      </c>
      <c r="E5139" s="2">
        <v>14.69</v>
      </c>
      <c r="P5139" s="3">
        <f>E5139*(VLOOKUP(B5139,Price_data!A$1:B$190,2,FALSE))</f>
        <v>8.8843554192899994</v>
      </c>
      <c r="Q5139" s="3">
        <f>G5139*(VLOOKUP(B5139,Price_data!A$1:B$190,2,FALSE))</f>
        <v>0</v>
      </c>
      <c r="R5139" s="3">
        <f>I5139*(VLOOKUP(B5139,Price_data!A$1:B$190,2,FALSE))</f>
        <v>0</v>
      </c>
      <c r="S5139" s="4" t="str">
        <f>(VLOOKUP(B5139,Price_data!A$1:C$190,3,FALSE))</f>
        <v>EEZ</v>
      </c>
      <c r="T5139" s="2" t="str">
        <f>IF(C5139="Total", (VLOOKUP(B5139,Recommended_fish_intake!A$4:D$122,4,FALSE)), "NA")</f>
        <v>NA</v>
      </c>
      <c r="U5139" s="2">
        <f t="shared" si="417"/>
        <v>2.1252</v>
      </c>
    </row>
    <row r="5140" spans="1:21" ht="14.25" customHeight="1">
      <c r="A5140" s="2" t="s">
        <v>39</v>
      </c>
      <c r="B5140" s="2">
        <v>2018</v>
      </c>
      <c r="C5140" s="2" t="s">
        <v>22</v>
      </c>
      <c r="D5140" s="2">
        <v>21.673344100000001</v>
      </c>
      <c r="E5140" s="2">
        <v>50.718473080000003</v>
      </c>
      <c r="P5140" s="3">
        <f>E5140*(VLOOKUP(B5140,Price_data!A$1:B$190,2,FALSE))</f>
        <v>30.673991910579442</v>
      </c>
      <c r="Q5140" s="3">
        <f>G5140*(VLOOKUP(B5140,Price_data!A$1:B$190,2,FALSE))</f>
        <v>0</v>
      </c>
      <c r="R5140" s="3">
        <f>I5140*(VLOOKUP(B5140,Price_data!A$1:B$190,2,FALSE))</f>
        <v>0</v>
      </c>
      <c r="S5140" s="4" t="str">
        <f>(VLOOKUP(B5140,Price_data!A$1:C$190,3,FALSE))</f>
        <v>EEZ</v>
      </c>
      <c r="T5140" s="2" t="str">
        <f>IF(C5140="Total", (VLOOKUP(B5140,Recommended_fish_intake!A$4:D$122,4,FALSE)), "NA")</f>
        <v>NA</v>
      </c>
      <c r="U5140" s="2" t="str">
        <f t="shared" si="417"/>
        <v>NA</v>
      </c>
    </row>
    <row r="5141" spans="1:21" ht="14.25" customHeight="1">
      <c r="A5141" s="2" t="s">
        <v>39</v>
      </c>
      <c r="B5141" s="2">
        <v>2018</v>
      </c>
      <c r="C5141" s="2" t="s">
        <v>23</v>
      </c>
      <c r="D5141" s="2">
        <v>32.6905523</v>
      </c>
      <c r="E5141" s="2">
        <v>47.456329840000002</v>
      </c>
      <c r="P5141" s="3">
        <f>E5141*(VLOOKUP(B5141,Price_data!A$1:B$190,2,FALSE))</f>
        <v>28.701082450212237</v>
      </c>
      <c r="Q5141" s="3">
        <f>G5141*(VLOOKUP(B5141,Price_data!A$1:B$190,2,FALSE))</f>
        <v>0</v>
      </c>
      <c r="R5141" s="3">
        <f>I5141*(VLOOKUP(B5141,Price_data!A$1:B$190,2,FALSE))</f>
        <v>0</v>
      </c>
      <c r="S5141" s="4" t="str">
        <f>(VLOOKUP(B5141,Price_data!A$1:C$190,3,FALSE))</f>
        <v>EEZ</v>
      </c>
      <c r="T5141" s="2" t="str">
        <f>IF(C5141="Total", (VLOOKUP(B5141,Recommended_fish_intake!A$4:D$122,4,FALSE)), "NA")</f>
        <v>NA</v>
      </c>
      <c r="U5141" s="2" t="str">
        <f t="shared" si="417"/>
        <v>NA</v>
      </c>
    </row>
    <row r="5142" spans="1:21" ht="14.25" customHeight="1">
      <c r="A5142" s="2" t="s">
        <v>39</v>
      </c>
      <c r="B5142" s="2">
        <v>2018</v>
      </c>
      <c r="C5142" s="2" t="s">
        <v>53</v>
      </c>
      <c r="D5142" s="2">
        <v>9.2876201999999992</v>
      </c>
      <c r="E5142" s="2">
        <v>20.170619680000001</v>
      </c>
      <c r="P5142" s="3">
        <f>E5142*(VLOOKUP(B5142,Price_data!A$1:B$190,2,FALSE))</f>
        <v>12.198975783828832</v>
      </c>
      <c r="Q5142" s="3">
        <f>G5142*(VLOOKUP(B5142,Price_data!A$1:B$190,2,FALSE))</f>
        <v>0</v>
      </c>
      <c r="R5142" s="3">
        <f>I5142*(VLOOKUP(B5142,Price_data!A$1:B$190,2,FALSE))</f>
        <v>0</v>
      </c>
      <c r="S5142" s="4" t="str">
        <f>(VLOOKUP(B5142,Price_data!A$1:C$190,3,FALSE))</f>
        <v>EEZ</v>
      </c>
      <c r="T5142" s="2" t="str">
        <f>IF(C5142="Total", (VLOOKUP(B5142,Recommended_fish_intake!A$4:D$122,4,FALSE)), "NA")</f>
        <v>NA</v>
      </c>
      <c r="U5142" s="2" t="str">
        <f t="shared" si="417"/>
        <v>NA</v>
      </c>
    </row>
    <row r="5143" spans="1:21" ht="14.25" customHeight="1">
      <c r="A5143" s="2" t="s">
        <v>39</v>
      </c>
      <c r="B5143" s="2">
        <v>2018</v>
      </c>
      <c r="C5143" s="2" t="s">
        <v>58</v>
      </c>
      <c r="D5143" s="2">
        <v>12.726320400000001</v>
      </c>
      <c r="E5143" s="2">
        <v>40.079649969999998</v>
      </c>
      <c r="P5143" s="3">
        <f>E5143*(VLOOKUP(B5143,Price_data!A$1:B$190,2,FALSE))</f>
        <v>24.239745092866972</v>
      </c>
      <c r="Q5143" s="3">
        <f>G5143*(VLOOKUP(B5143,Price_data!A$1:B$190,2,FALSE))</f>
        <v>0</v>
      </c>
      <c r="R5143" s="3">
        <f>I5143*(VLOOKUP(B5143,Price_data!A$1:B$190,2,FALSE))</f>
        <v>0</v>
      </c>
      <c r="S5143" s="4" t="str">
        <f>(VLOOKUP(B5143,Price_data!A$1:C$190,3,FALSE))</f>
        <v>EEZ</v>
      </c>
      <c r="T5143" s="2" t="str">
        <f>IF(C5143="Total", (VLOOKUP(B5143,Recommended_fish_intake!A$4:D$122,4,FALSE)), "NA")</f>
        <v>NA</v>
      </c>
      <c r="U5143" s="2" t="str">
        <f t="shared" si="417"/>
        <v>NA</v>
      </c>
    </row>
    <row r="5144" spans="1:21" ht="14.25" customHeight="1">
      <c r="A5144" s="2" t="s">
        <v>39</v>
      </c>
      <c r="B5144" s="2">
        <v>2018</v>
      </c>
      <c r="C5144" s="2" t="s">
        <v>19</v>
      </c>
      <c r="D5144" s="2">
        <v>42.944763199999997</v>
      </c>
      <c r="E5144" s="2">
        <v>15.72791552</v>
      </c>
      <c r="P5144" s="3">
        <f>E5144*(VLOOKUP(B5144,Price_data!A$1:B$190,2,FALSE))</f>
        <v>9.512075662644472</v>
      </c>
      <c r="Q5144" s="3">
        <f>G5144*(VLOOKUP(B5144,Price_data!A$1:B$190,2,FALSE))</f>
        <v>0</v>
      </c>
      <c r="R5144" s="3">
        <f>I5144*(VLOOKUP(B5144,Price_data!A$1:B$190,2,FALSE))</f>
        <v>0</v>
      </c>
      <c r="S5144" s="4" t="str">
        <f>(VLOOKUP(B5144,Price_data!A$1:C$190,3,FALSE))</f>
        <v>EEZ</v>
      </c>
      <c r="T5144" s="2" t="str">
        <f>IF(C5144="Total", (VLOOKUP(B5144,Recommended_fish_intake!A$4:D$122,4,FALSE)), "NA")</f>
        <v>NA</v>
      </c>
      <c r="U5144" s="2" t="str">
        <f t="shared" si="417"/>
        <v>NA</v>
      </c>
    </row>
    <row r="5145" spans="1:21" ht="14.25" customHeight="1">
      <c r="A5145" s="2" t="s">
        <v>39</v>
      </c>
      <c r="B5145" s="2">
        <v>2018</v>
      </c>
      <c r="C5145" s="2" t="s">
        <v>20</v>
      </c>
      <c r="D5145" s="2">
        <v>77.806704999999994</v>
      </c>
      <c r="E5145" s="2">
        <v>81.440277800000004</v>
      </c>
      <c r="P5145" s="3">
        <f>E5145*(VLOOKUP(B5145,Price_data!A$1:B$190,2,FALSE))</f>
        <v>49.254211941518932</v>
      </c>
      <c r="Q5145" s="3">
        <f>G5145*(VLOOKUP(B5145,Price_data!A$1:B$190,2,FALSE))</f>
        <v>0</v>
      </c>
      <c r="R5145" s="3">
        <f>I5145*(VLOOKUP(B5145,Price_data!A$1:B$190,2,FALSE))</f>
        <v>0</v>
      </c>
      <c r="S5145" s="4" t="str">
        <f>(VLOOKUP(B5145,Price_data!A$1:C$190,3,FALSE))</f>
        <v>EEZ</v>
      </c>
      <c r="T5145" s="2" t="str">
        <f>IF(C5145="Total", (VLOOKUP(B5145,Recommended_fish_intake!A$4:D$122,4,FALSE)), "NA")</f>
        <v>NA</v>
      </c>
      <c r="U5145" s="2" t="str">
        <f t="shared" si="417"/>
        <v>NA</v>
      </c>
    </row>
    <row r="5146" spans="1:21" ht="14.25" customHeight="1">
      <c r="A5146" s="2" t="s">
        <v>39</v>
      </c>
      <c r="B5146" s="2">
        <v>2018</v>
      </c>
      <c r="C5146" s="2" t="s">
        <v>36</v>
      </c>
      <c r="D5146" s="2">
        <v>11.6600597</v>
      </c>
      <c r="E5146" s="2">
        <v>30.332018130000002</v>
      </c>
      <c r="P5146" s="3">
        <f>E5146*(VLOOKUP(B5146,Price_data!A$1:B$190,2,FALSE))</f>
        <v>18.344481256042755</v>
      </c>
      <c r="Q5146" s="3">
        <f>G5146*(VLOOKUP(B5146,Price_data!A$1:B$190,2,FALSE))</f>
        <v>0</v>
      </c>
      <c r="R5146" s="3">
        <f>I5146*(VLOOKUP(B5146,Price_data!A$1:B$190,2,FALSE))</f>
        <v>0</v>
      </c>
      <c r="S5146" s="4" t="str">
        <f>(VLOOKUP(B5146,Price_data!A$1:C$190,3,FALSE))</f>
        <v>EEZ</v>
      </c>
      <c r="T5146" s="2" t="str">
        <f>IF(C5146="Total", (VLOOKUP(B5146,Recommended_fish_intake!A$4:D$122,4,FALSE)), "NA")</f>
        <v>NA</v>
      </c>
      <c r="U5146" s="2" t="str">
        <f t="shared" si="417"/>
        <v>NA</v>
      </c>
    </row>
    <row r="5147" spans="1:21" ht="14.25" customHeight="1">
      <c r="A5147" s="2" t="s">
        <v>39</v>
      </c>
      <c r="B5147" s="2">
        <v>2018</v>
      </c>
      <c r="C5147" s="2" t="s">
        <v>34</v>
      </c>
      <c r="D5147" s="2">
        <v>1.2166170000000001</v>
      </c>
      <c r="E5147" s="2">
        <v>17.311708830000001</v>
      </c>
      <c r="P5147" s="3">
        <f>E5147*(VLOOKUP(B5147,Price_data!A$1:B$190,2,FALSE))</f>
        <v>10.469936974879582</v>
      </c>
      <c r="Q5147" s="3">
        <f>G5147*(VLOOKUP(B5147,Price_data!A$1:B$190,2,FALSE))</f>
        <v>0</v>
      </c>
      <c r="R5147" s="3">
        <f>I5147*(VLOOKUP(B5147,Price_data!A$1:B$190,2,FALSE))</f>
        <v>0</v>
      </c>
      <c r="S5147" s="4" t="str">
        <f>(VLOOKUP(B5147,Price_data!A$1:C$190,3,FALSE))</f>
        <v>EEZ</v>
      </c>
      <c r="T5147" s="2" t="str">
        <f>IF(C5147="Total", (VLOOKUP(B5147,Recommended_fish_intake!A$4:D$122,4,FALSE)), "NA")</f>
        <v>NA</v>
      </c>
      <c r="U5147" s="2" t="str">
        <f t="shared" si="417"/>
        <v>NA</v>
      </c>
    </row>
    <row r="5148" spans="1:21" ht="14.25" customHeight="1">
      <c r="A5148" s="2" t="s">
        <v>39</v>
      </c>
      <c r="B5148" s="2">
        <v>2018</v>
      </c>
      <c r="C5148" s="2" t="s">
        <v>35</v>
      </c>
      <c r="D5148" s="2">
        <v>17.697972</v>
      </c>
      <c r="E5148" s="2">
        <v>66.051115850000002</v>
      </c>
      <c r="P5148" s="3">
        <f>E5148*(VLOOKUP(B5148,Price_data!A$1:B$190,2,FALSE))</f>
        <v>39.947010827236156</v>
      </c>
      <c r="Q5148" s="3">
        <f>G5148*(VLOOKUP(B5148,Price_data!A$1:B$190,2,FALSE))</f>
        <v>0</v>
      </c>
      <c r="R5148" s="3">
        <f>I5148*(VLOOKUP(B5148,Price_data!A$1:B$190,2,FALSE))</f>
        <v>0</v>
      </c>
      <c r="S5148" s="4" t="str">
        <f>(VLOOKUP(B5148,Price_data!A$1:C$190,3,FALSE))</f>
        <v>EEZ</v>
      </c>
      <c r="T5148" s="2" t="str">
        <f>IF(C5148="Total", (VLOOKUP(B5148,Recommended_fish_intake!A$4:D$122,4,FALSE)), "NA")</f>
        <v>NA</v>
      </c>
      <c r="U5148" s="2" t="str">
        <f t="shared" si="417"/>
        <v>NA</v>
      </c>
    </row>
    <row r="5149" spans="1:21" ht="14.25" customHeight="1">
      <c r="A5149" s="2" t="s">
        <v>39</v>
      </c>
      <c r="B5149" s="2">
        <v>2018</v>
      </c>
      <c r="C5149" s="2" t="s">
        <v>52</v>
      </c>
      <c r="D5149" s="2">
        <v>8.8193414000000008</v>
      </c>
      <c r="E5149" s="2">
        <v>23.08726751</v>
      </c>
      <c r="P5149" s="3">
        <f>E5149*(VLOOKUP(B5149,Price_data!A$1:B$190,2,FALSE))</f>
        <v>13.962933302863611</v>
      </c>
      <c r="Q5149" s="3">
        <f>G5149*(VLOOKUP(B5149,Price_data!A$1:B$190,2,FALSE))</f>
        <v>0</v>
      </c>
      <c r="R5149" s="3">
        <f>I5149*(VLOOKUP(B5149,Price_data!A$1:B$190,2,FALSE))</f>
        <v>0</v>
      </c>
      <c r="S5149" s="4" t="str">
        <f>(VLOOKUP(B5149,Price_data!A$1:C$190,3,FALSE))</f>
        <v>EEZ</v>
      </c>
      <c r="T5149" s="2" t="str">
        <f>IF(C5149="Total", (VLOOKUP(B5149,Recommended_fish_intake!A$4:D$122,4,FALSE)), "NA")</f>
        <v>NA</v>
      </c>
      <c r="U5149" s="2" t="str">
        <f t="shared" si="417"/>
        <v>NA</v>
      </c>
    </row>
    <row r="5150" spans="1:21" ht="14.25" customHeight="1">
      <c r="A5150" s="2" t="s">
        <v>39</v>
      </c>
      <c r="B5150" s="2">
        <v>2018</v>
      </c>
      <c r="C5150" s="2" t="s">
        <v>30</v>
      </c>
      <c r="D5150" s="2">
        <v>5.1574000000000004E-3</v>
      </c>
      <c r="E5150" s="2">
        <v>3.0842749999999999E-2</v>
      </c>
      <c r="P5150" s="3">
        <f>E5150*(VLOOKUP(B5150,Price_data!A$1:B$190,2,FALSE))</f>
        <v>1.8653366447127749E-2</v>
      </c>
      <c r="Q5150" s="3">
        <f>G5150*(VLOOKUP(B5150,Price_data!A$1:B$190,2,FALSE))</f>
        <v>0</v>
      </c>
      <c r="R5150" s="3">
        <f>I5150*(VLOOKUP(B5150,Price_data!A$1:B$190,2,FALSE))</f>
        <v>0</v>
      </c>
      <c r="S5150" s="4" t="str">
        <f>(VLOOKUP(B5150,Price_data!A$1:C$190,3,FALSE))</f>
        <v>EEZ</v>
      </c>
      <c r="T5150" s="2" t="str">
        <f>IF(C5150="Total", (VLOOKUP(B5150,Recommended_fish_intake!A$4:D$122,4,FALSE)), "NA")</f>
        <v>NA</v>
      </c>
      <c r="U5150" s="2" t="str">
        <f t="shared" si="417"/>
        <v>NA</v>
      </c>
    </row>
    <row r="5151" spans="1:21" ht="14.25" customHeight="1">
      <c r="A5151" s="2" t="s">
        <v>39</v>
      </c>
      <c r="B5151" s="2">
        <v>2018</v>
      </c>
      <c r="C5151" s="2" t="s">
        <v>41</v>
      </c>
      <c r="D5151" s="2">
        <v>117.0264698</v>
      </c>
      <c r="E5151" s="2">
        <v>217.4109325</v>
      </c>
      <c r="P5151" s="3">
        <f>E5151*(VLOOKUP(B5151,Price_data!A$1:B$190,2,FALSE))</f>
        <v>131.48781459287048</v>
      </c>
      <c r="Q5151" s="3">
        <f>G5151*(VLOOKUP(B5151,Price_data!A$1:B$190,2,FALSE))</f>
        <v>0</v>
      </c>
      <c r="R5151" s="3">
        <f>I5151*(VLOOKUP(B5151,Price_data!A$1:B$190,2,FALSE))</f>
        <v>0</v>
      </c>
      <c r="S5151" s="4" t="str">
        <f>(VLOOKUP(B5151,Price_data!A$1:C$190,3,FALSE))</f>
        <v>EEZ</v>
      </c>
      <c r="T5151" s="2" t="str">
        <f>IF(C5151="Total", (VLOOKUP(B5151,Recommended_fish_intake!A$4:D$122,4,FALSE)), "NA")</f>
        <v>NA</v>
      </c>
      <c r="U5151" s="2" t="str">
        <f t="shared" si="417"/>
        <v>NA</v>
      </c>
    </row>
    <row r="5152" spans="1:21" ht="14.25" customHeight="1">
      <c r="A5152" s="2" t="s">
        <v>39</v>
      </c>
      <c r="B5152" s="2">
        <v>2018</v>
      </c>
      <c r="C5152" s="2" t="s">
        <v>42</v>
      </c>
      <c r="D5152" s="2">
        <v>140.9470762</v>
      </c>
      <c r="E5152" s="2">
        <v>101.0232479</v>
      </c>
      <c r="P5152" s="3">
        <f>E5152*(VLOOKUP(B5152,Price_data!A$1:B$190,2,FALSE))</f>
        <v>61.09778352312064</v>
      </c>
      <c r="Q5152" s="3">
        <f>G5152*(VLOOKUP(B5152,Price_data!A$1:B$190,2,FALSE))</f>
        <v>0</v>
      </c>
      <c r="R5152" s="3">
        <f>I5152*(VLOOKUP(B5152,Price_data!A$1:B$190,2,FALSE))</f>
        <v>0</v>
      </c>
      <c r="S5152" s="4" t="str">
        <f>(VLOOKUP(B5152,Price_data!A$1:C$190,3,FALSE))</f>
        <v>EEZ</v>
      </c>
      <c r="T5152" s="2" t="str">
        <f>IF(C5152="Total", (VLOOKUP(B5152,Recommended_fish_intake!A$4:D$122,4,FALSE)), "NA")</f>
        <v>NA</v>
      </c>
      <c r="U5152" s="2" t="str">
        <f t="shared" si="417"/>
        <v>NA</v>
      </c>
    </row>
    <row r="5153" spans="1:21" ht="14.25" customHeight="1">
      <c r="A5153" s="2" t="s">
        <v>39</v>
      </c>
      <c r="B5153" s="2">
        <v>2018</v>
      </c>
      <c r="C5153" s="2" t="s">
        <v>28</v>
      </c>
      <c r="D5153" s="2">
        <v>44.206222199999999</v>
      </c>
      <c r="E5153" s="2">
        <v>155.16679189999999</v>
      </c>
      <c r="P5153" s="3">
        <f>E5153*(VLOOKUP(B5153,Price_data!A$1:B$190,2,FALSE))</f>
        <v>93.843221818285144</v>
      </c>
      <c r="Q5153" s="3">
        <f>G5153*(VLOOKUP(B5153,Price_data!A$1:B$190,2,FALSE))</f>
        <v>0</v>
      </c>
      <c r="R5153" s="3">
        <f>I5153*(VLOOKUP(B5153,Price_data!A$1:B$190,2,FALSE))</f>
        <v>0</v>
      </c>
      <c r="S5153" s="4" t="str">
        <f>(VLOOKUP(B5153,Price_data!A$1:C$190,3,FALSE))</f>
        <v>EEZ</v>
      </c>
      <c r="T5153" s="2" t="str">
        <f>IF(C5153="Total", (VLOOKUP(B5153,Recommended_fish_intake!A$4:D$122,4,FALSE)), "NA")</f>
        <v>NA</v>
      </c>
      <c r="U5153" s="2">
        <f t="shared" si="417"/>
        <v>12.377742216000001</v>
      </c>
    </row>
    <row r="5154" spans="1:21" ht="14.25" customHeight="1">
      <c r="A5154" s="2" t="s">
        <v>40</v>
      </c>
      <c r="B5154" s="2">
        <v>2018</v>
      </c>
      <c r="C5154" s="2" t="s">
        <v>22</v>
      </c>
      <c r="D5154" s="2">
        <v>0.1151437</v>
      </c>
      <c r="E5154" s="2">
        <v>0.29255541000000002</v>
      </c>
      <c r="P5154" s="3">
        <f>E5154*(VLOOKUP(B5154,Price_data!A$1:B$190,2,FALSE))</f>
        <v>0.17693439361988483</v>
      </c>
      <c r="Q5154" s="3">
        <f>G5154*(VLOOKUP(B5154,Price_data!A$1:B$190,2,FALSE))</f>
        <v>0</v>
      </c>
      <c r="R5154" s="3">
        <f>I5154*(VLOOKUP(B5154,Price_data!A$1:B$190,2,FALSE))</f>
        <v>0</v>
      </c>
      <c r="S5154" s="4" t="str">
        <f>(VLOOKUP(B5154,Price_data!A$1:C$190,3,FALSE))</f>
        <v>EEZ</v>
      </c>
      <c r="T5154" s="2" t="str">
        <f>IF(C5154="Total", (VLOOKUP(B5154,Recommended_fish_intake!A$4:D$122,4,FALSE)), "NA")</f>
        <v>NA</v>
      </c>
      <c r="U5154" s="2" t="str">
        <f t="shared" si="417"/>
        <v>NA</v>
      </c>
    </row>
    <row r="5155" spans="1:21" ht="14.25" customHeight="1">
      <c r="A5155" s="2" t="s">
        <v>40</v>
      </c>
      <c r="B5155" s="2">
        <v>2018</v>
      </c>
      <c r="C5155" s="2" t="s">
        <v>23</v>
      </c>
      <c r="D5155" s="2">
        <v>1.6042536999999999</v>
      </c>
      <c r="E5155" s="2">
        <v>2.1784827299999998</v>
      </c>
      <c r="P5155" s="3">
        <f>E5155*(VLOOKUP(B5155,Price_data!A$1:B$190,2,FALSE))</f>
        <v>1.317523134656581</v>
      </c>
      <c r="Q5155" s="3">
        <f>G5155*(VLOOKUP(B5155,Price_data!A$1:B$190,2,FALSE))</f>
        <v>0</v>
      </c>
      <c r="R5155" s="3">
        <f>I5155*(VLOOKUP(B5155,Price_data!A$1:B$190,2,FALSE))</f>
        <v>0</v>
      </c>
      <c r="S5155" s="4" t="str">
        <f>(VLOOKUP(B5155,Price_data!A$1:C$190,3,FALSE))</f>
        <v>EEZ</v>
      </c>
      <c r="T5155" s="2" t="str">
        <f>IF(C5155="Total", (VLOOKUP(B5155,Recommended_fish_intake!A$4:D$122,4,FALSE)), "NA")</f>
        <v>NA</v>
      </c>
      <c r="U5155" s="2" t="str">
        <f t="shared" si="417"/>
        <v>NA</v>
      </c>
    </row>
    <row r="5156" spans="1:21" ht="14.25" customHeight="1">
      <c r="A5156" s="2" t="s">
        <v>40</v>
      </c>
      <c r="B5156" s="2">
        <v>2018</v>
      </c>
      <c r="C5156" s="2" t="s">
        <v>53</v>
      </c>
      <c r="D5156" s="2">
        <v>0.1193898</v>
      </c>
      <c r="E5156" s="2">
        <v>0.28675389000000001</v>
      </c>
      <c r="P5156" s="3">
        <f>E5156*(VLOOKUP(B5156,Price_data!A$1:B$190,2,FALSE))</f>
        <v>0.17342569616228651</v>
      </c>
      <c r="Q5156" s="3">
        <f>G5156*(VLOOKUP(B5156,Price_data!A$1:B$190,2,FALSE))</f>
        <v>0</v>
      </c>
      <c r="R5156" s="3">
        <f>I5156*(VLOOKUP(B5156,Price_data!A$1:B$190,2,FALSE))</f>
        <v>0</v>
      </c>
      <c r="S5156" s="4" t="str">
        <f>(VLOOKUP(B5156,Price_data!A$1:C$190,3,FALSE))</f>
        <v>EEZ</v>
      </c>
      <c r="T5156" s="2" t="str">
        <f>IF(C5156="Total", (VLOOKUP(B5156,Recommended_fish_intake!A$4:D$122,4,FALSE)), "NA")</f>
        <v>NA</v>
      </c>
      <c r="U5156" s="2" t="str">
        <f t="shared" si="417"/>
        <v>NA</v>
      </c>
    </row>
    <row r="5157" spans="1:21" ht="14.25" customHeight="1">
      <c r="A5157" s="2" t="s">
        <v>40</v>
      </c>
      <c r="B5157" s="2">
        <v>2018</v>
      </c>
      <c r="C5157" s="2" t="s">
        <v>58</v>
      </c>
      <c r="D5157" s="2">
        <v>0.1885183</v>
      </c>
      <c r="E5157" s="2">
        <v>0.43802690999999999</v>
      </c>
      <c r="P5157" s="3">
        <f>E5157*(VLOOKUP(B5157,Price_data!A$1:B$190,2,FALSE))</f>
        <v>0.26491400623916633</v>
      </c>
      <c r="Q5157" s="3">
        <f>G5157*(VLOOKUP(B5157,Price_data!A$1:B$190,2,FALSE))</f>
        <v>0</v>
      </c>
      <c r="R5157" s="3">
        <f>I5157*(VLOOKUP(B5157,Price_data!A$1:B$190,2,FALSE))</f>
        <v>0</v>
      </c>
      <c r="S5157" s="4" t="str">
        <f>(VLOOKUP(B5157,Price_data!A$1:C$190,3,FALSE))</f>
        <v>EEZ</v>
      </c>
      <c r="T5157" s="2" t="str">
        <f>IF(C5157="Total", (VLOOKUP(B5157,Recommended_fish_intake!A$4:D$122,4,FALSE)), "NA")</f>
        <v>NA</v>
      </c>
      <c r="U5157" s="2" t="str">
        <f t="shared" si="417"/>
        <v>NA</v>
      </c>
    </row>
    <row r="5158" spans="1:21" ht="14.25" customHeight="1">
      <c r="A5158" s="2" t="s">
        <v>40</v>
      </c>
      <c r="B5158" s="2">
        <v>2018</v>
      </c>
      <c r="C5158" s="2" t="s">
        <v>19</v>
      </c>
      <c r="D5158" s="2">
        <v>5.2363891999999996</v>
      </c>
      <c r="E5158" s="2">
        <v>1.7839643000000001</v>
      </c>
      <c r="P5158" s="3">
        <f>E5158*(VLOOKUP(B5158,Price_data!A$1:B$190,2,FALSE))</f>
        <v>1.0789225933645263</v>
      </c>
      <c r="Q5158" s="3">
        <f>G5158*(VLOOKUP(B5158,Price_data!A$1:B$190,2,FALSE))</f>
        <v>0</v>
      </c>
      <c r="R5158" s="3">
        <f>I5158*(VLOOKUP(B5158,Price_data!A$1:B$190,2,FALSE))</f>
        <v>0</v>
      </c>
      <c r="S5158" s="4" t="str">
        <f>(VLOOKUP(B5158,Price_data!A$1:C$190,3,FALSE))</f>
        <v>EEZ</v>
      </c>
      <c r="T5158" s="2" t="str">
        <f>IF(C5158="Total", (VLOOKUP(B5158,Recommended_fish_intake!A$4:D$122,4,FALSE)), "NA")</f>
        <v>NA</v>
      </c>
      <c r="U5158" s="2" t="str">
        <f t="shared" si="417"/>
        <v>NA</v>
      </c>
    </row>
    <row r="5159" spans="1:21" ht="14.25" customHeight="1">
      <c r="A5159" s="2" t="s">
        <v>40</v>
      </c>
      <c r="B5159" s="2">
        <v>2018</v>
      </c>
      <c r="C5159" s="2" t="s">
        <v>20</v>
      </c>
      <c r="D5159" s="2">
        <v>2.3790399999999998</v>
      </c>
      <c r="E5159" s="2">
        <v>2.2753100000000002</v>
      </c>
      <c r="P5159" s="3">
        <f>E5159*(VLOOKUP(B5159,Price_data!A$1:B$190,2,FALSE))</f>
        <v>1.3760832354707102</v>
      </c>
      <c r="Q5159" s="3">
        <f>G5159*(VLOOKUP(B5159,Price_data!A$1:B$190,2,FALSE))</f>
        <v>0</v>
      </c>
      <c r="R5159" s="3">
        <f>I5159*(VLOOKUP(B5159,Price_data!A$1:B$190,2,FALSE))</f>
        <v>0</v>
      </c>
      <c r="S5159" s="4" t="str">
        <f>(VLOOKUP(B5159,Price_data!A$1:C$190,3,FALSE))</f>
        <v>EEZ</v>
      </c>
      <c r="T5159" s="2" t="str">
        <f>IF(C5159="Total", (VLOOKUP(B5159,Recommended_fish_intake!A$4:D$122,4,FALSE)), "NA")</f>
        <v>NA</v>
      </c>
      <c r="U5159" s="2" t="str">
        <f t="shared" si="417"/>
        <v>NA</v>
      </c>
    </row>
    <row r="5160" spans="1:21" ht="14.25" customHeight="1">
      <c r="A5160" s="2" t="s">
        <v>40</v>
      </c>
      <c r="B5160" s="2">
        <v>2018</v>
      </c>
      <c r="C5160" s="2" t="s">
        <v>36</v>
      </c>
      <c r="D5160" s="2">
        <v>1.5488656000000001</v>
      </c>
      <c r="E5160" s="2">
        <v>2.6160524999999999</v>
      </c>
      <c r="P5160" s="3">
        <f>E5160*(VLOOKUP(B5160,Price_data!A$1:B$190,2,FALSE))</f>
        <v>1.5821606674964026</v>
      </c>
      <c r="Q5160" s="3">
        <f>G5160*(VLOOKUP(B5160,Price_data!A$1:B$190,2,FALSE))</f>
        <v>0</v>
      </c>
      <c r="R5160" s="3">
        <f>I5160*(VLOOKUP(B5160,Price_data!A$1:B$190,2,FALSE))</f>
        <v>0</v>
      </c>
      <c r="S5160" s="4" t="str">
        <f>(VLOOKUP(B5160,Price_data!A$1:C$190,3,FALSE))</f>
        <v>EEZ</v>
      </c>
      <c r="T5160" s="2" t="str">
        <f>IF(C5160="Total", (VLOOKUP(B5160,Recommended_fish_intake!A$4:D$122,4,FALSE)), "NA")</f>
        <v>NA</v>
      </c>
      <c r="U5160" s="2" t="str">
        <f t="shared" si="417"/>
        <v>NA</v>
      </c>
    </row>
    <row r="5161" spans="1:21" ht="14.25" customHeight="1">
      <c r="A5161" s="2" t="s">
        <v>40</v>
      </c>
      <c r="B5161" s="2">
        <v>2018</v>
      </c>
      <c r="C5161" s="2" t="s">
        <v>34</v>
      </c>
      <c r="D5161" s="2">
        <v>6.01106E-2</v>
      </c>
      <c r="E5161" s="2">
        <v>0.78647186999999996</v>
      </c>
      <c r="P5161" s="3">
        <f>E5161*(VLOOKUP(B5161,Price_data!A$1:B$190,2,FALSE))</f>
        <v>0.47564980397233769</v>
      </c>
      <c r="Q5161" s="3">
        <f>G5161*(VLOOKUP(B5161,Price_data!A$1:B$190,2,FALSE))</f>
        <v>0</v>
      </c>
      <c r="R5161" s="3">
        <f>I5161*(VLOOKUP(B5161,Price_data!A$1:B$190,2,FALSE))</f>
        <v>0</v>
      </c>
      <c r="S5161" s="4" t="str">
        <f>(VLOOKUP(B5161,Price_data!A$1:C$190,3,FALSE))</f>
        <v>EEZ</v>
      </c>
      <c r="T5161" s="2" t="str">
        <f>IF(C5161="Total", (VLOOKUP(B5161,Recommended_fish_intake!A$4:D$122,4,FALSE)), "NA")</f>
        <v>NA</v>
      </c>
      <c r="U5161" s="2" t="str">
        <f t="shared" si="417"/>
        <v>NA</v>
      </c>
    </row>
    <row r="5162" spans="1:21" ht="14.25" customHeight="1">
      <c r="A5162" s="2" t="s">
        <v>40</v>
      </c>
      <c r="B5162" s="2">
        <v>2018</v>
      </c>
      <c r="C5162" s="2" t="s">
        <v>35</v>
      </c>
      <c r="D5162" s="2">
        <v>5.0702438000000001</v>
      </c>
      <c r="E5162" s="2">
        <v>11.909164949999999</v>
      </c>
      <c r="P5162" s="3">
        <f>E5162*(VLOOKUP(B5162,Price_data!A$1:B$190,2,FALSE))</f>
        <v>7.2025360219707979</v>
      </c>
      <c r="Q5162" s="3">
        <f>G5162*(VLOOKUP(B5162,Price_data!A$1:B$190,2,FALSE))</f>
        <v>0</v>
      </c>
      <c r="R5162" s="3">
        <f>I5162*(VLOOKUP(B5162,Price_data!A$1:B$190,2,FALSE))</f>
        <v>0</v>
      </c>
      <c r="S5162" s="4" t="str">
        <f>(VLOOKUP(B5162,Price_data!A$1:C$190,3,FALSE))</f>
        <v>EEZ</v>
      </c>
      <c r="T5162" s="2" t="str">
        <f>IF(C5162="Total", (VLOOKUP(B5162,Recommended_fish_intake!A$4:D$122,4,FALSE)), "NA")</f>
        <v>NA</v>
      </c>
      <c r="U5162" s="2" t="str">
        <f t="shared" si="417"/>
        <v>NA</v>
      </c>
    </row>
    <row r="5163" spans="1:21" ht="14.25" customHeight="1">
      <c r="A5163" s="2" t="s">
        <v>40</v>
      </c>
      <c r="B5163" s="2">
        <v>2018</v>
      </c>
      <c r="C5163" s="2" t="s">
        <v>52</v>
      </c>
      <c r="D5163" s="2">
        <v>0.96606930000000002</v>
      </c>
      <c r="E5163" s="2">
        <v>2.2992803899999998</v>
      </c>
      <c r="P5163" s="3">
        <f>E5163*(VLOOKUP(B5163,Price_data!A$1:B$190,2,FALSE))</f>
        <v>1.390580271842323</v>
      </c>
      <c r="Q5163" s="3">
        <f>G5163*(VLOOKUP(B5163,Price_data!A$1:B$190,2,FALSE))</f>
        <v>0</v>
      </c>
      <c r="R5163" s="3">
        <f>I5163*(VLOOKUP(B5163,Price_data!A$1:B$190,2,FALSE))</f>
        <v>0</v>
      </c>
      <c r="S5163" s="4" t="str">
        <f>(VLOOKUP(B5163,Price_data!A$1:C$190,3,FALSE))</f>
        <v>EEZ</v>
      </c>
      <c r="T5163" s="2" t="str">
        <f>IF(C5163="Total", (VLOOKUP(B5163,Recommended_fish_intake!A$4:D$122,4,FALSE)), "NA")</f>
        <v>NA</v>
      </c>
      <c r="U5163" s="2" t="str">
        <f t="shared" si="417"/>
        <v>NA</v>
      </c>
    </row>
    <row r="5164" spans="1:21" ht="14.25" customHeight="1">
      <c r="A5164" s="2" t="s">
        <v>40</v>
      </c>
      <c r="B5164" s="2">
        <v>2018</v>
      </c>
      <c r="C5164" s="2" t="s">
        <v>30</v>
      </c>
      <c r="D5164" s="2">
        <v>1.1037E-3</v>
      </c>
      <c r="E5164" s="2">
        <v>1.04577E-2</v>
      </c>
      <c r="P5164" s="3">
        <f>E5164*(VLOOKUP(B5164,Price_data!A$1:B$190,2,FALSE))</f>
        <v>6.3247054913757005E-3</v>
      </c>
      <c r="Q5164" s="3">
        <f>G5164*(VLOOKUP(B5164,Price_data!A$1:B$190,2,FALSE))</f>
        <v>0</v>
      </c>
      <c r="R5164" s="3">
        <f>I5164*(VLOOKUP(B5164,Price_data!A$1:B$190,2,FALSE))</f>
        <v>0</v>
      </c>
      <c r="S5164" s="4" t="str">
        <f>(VLOOKUP(B5164,Price_data!A$1:C$190,3,FALSE))</f>
        <v>EEZ</v>
      </c>
      <c r="T5164" s="2" t="str">
        <f>IF(C5164="Total", (VLOOKUP(B5164,Recommended_fish_intake!A$4:D$122,4,FALSE)), "NA")</f>
        <v>NA</v>
      </c>
      <c r="U5164" s="2" t="str">
        <f t="shared" si="417"/>
        <v>NA</v>
      </c>
    </row>
    <row r="5165" spans="1:21" ht="14.25" customHeight="1">
      <c r="A5165" s="2" t="s">
        <v>40</v>
      </c>
      <c r="B5165" s="2">
        <v>2018</v>
      </c>
      <c r="C5165" s="2" t="s">
        <v>41</v>
      </c>
      <c r="D5165" s="2">
        <v>2.8193125999999999</v>
      </c>
      <c r="E5165" s="2">
        <v>3.9007261299999998</v>
      </c>
      <c r="P5165" s="3">
        <f>E5165*(VLOOKUP(B5165,Price_data!A$1:B$190,2,FALSE))</f>
        <v>2.3591175855841802</v>
      </c>
      <c r="Q5165" s="3">
        <f>G5165*(VLOOKUP(B5165,Price_data!A$1:B$190,2,FALSE))</f>
        <v>0</v>
      </c>
      <c r="R5165" s="3">
        <f>I5165*(VLOOKUP(B5165,Price_data!A$1:B$190,2,FALSE))</f>
        <v>0</v>
      </c>
      <c r="S5165" s="4" t="str">
        <f>(VLOOKUP(B5165,Price_data!A$1:C$190,3,FALSE))</f>
        <v>EEZ</v>
      </c>
      <c r="T5165" s="2" t="str">
        <f>IF(C5165="Total", (VLOOKUP(B5165,Recommended_fish_intake!A$4:D$122,4,FALSE)), "NA")</f>
        <v>NA</v>
      </c>
      <c r="U5165" s="2" t="str">
        <f t="shared" si="417"/>
        <v>NA</v>
      </c>
    </row>
    <row r="5166" spans="1:21" ht="14.25" customHeight="1">
      <c r="A5166" s="2" t="s">
        <v>40</v>
      </c>
      <c r="B5166" s="2">
        <v>2018</v>
      </c>
      <c r="C5166" s="2" t="s">
        <v>42</v>
      </c>
      <c r="D5166" s="2">
        <v>7.6154489999999999</v>
      </c>
      <c r="E5166" s="2">
        <v>4.0592743000000002</v>
      </c>
      <c r="P5166" s="3">
        <f>E5166*(VLOOKUP(B5166,Price_data!A$1:B$190,2,FALSE))</f>
        <v>2.4550058288352368</v>
      </c>
      <c r="Q5166" s="3">
        <f>G5166*(VLOOKUP(B5166,Price_data!A$1:B$190,2,FALSE))</f>
        <v>0</v>
      </c>
      <c r="R5166" s="3">
        <f>I5166*(VLOOKUP(B5166,Price_data!A$1:B$190,2,FALSE))</f>
        <v>0</v>
      </c>
      <c r="S5166" s="4" t="str">
        <f>(VLOOKUP(B5166,Price_data!A$1:C$190,3,FALSE))</f>
        <v>EEZ</v>
      </c>
      <c r="T5166" s="2" t="str">
        <f>IF(C5166="Total", (VLOOKUP(B5166,Recommended_fish_intake!A$4:D$122,4,FALSE)), "NA")</f>
        <v>NA</v>
      </c>
      <c r="U5166" s="2" t="str">
        <f t="shared" si="417"/>
        <v>NA</v>
      </c>
    </row>
    <row r="5167" spans="1:21" ht="14.25" customHeight="1">
      <c r="A5167" s="2" t="s">
        <v>40</v>
      </c>
      <c r="B5167" s="2">
        <v>2018</v>
      </c>
      <c r="C5167" s="2" t="s">
        <v>28</v>
      </c>
      <c r="D5167" s="2">
        <v>8.1527378000000006</v>
      </c>
      <c r="E5167" s="2">
        <v>18.07798481</v>
      </c>
      <c r="P5167" s="3">
        <f>E5167*(VLOOKUP(B5167,Price_data!A$1:B$190,2,FALSE))</f>
        <v>10.933372519847911</v>
      </c>
      <c r="Q5167" s="3">
        <f>G5167*(VLOOKUP(B5167,Price_data!A$1:B$190,2,FALSE))</f>
        <v>0</v>
      </c>
      <c r="R5167" s="3">
        <f>I5167*(VLOOKUP(B5167,Price_data!A$1:B$190,2,FALSE))</f>
        <v>0</v>
      </c>
      <c r="S5167" s="4" t="str">
        <f>(VLOOKUP(B5167,Price_data!A$1:C$190,3,FALSE))</f>
        <v>EEZ</v>
      </c>
      <c r="T5167" s="2" t="str">
        <f>IF(C5167="Total", (VLOOKUP(B5167,Recommended_fish_intake!A$4:D$122,4,FALSE)), "NA")</f>
        <v>NA</v>
      </c>
      <c r="U5167" s="2">
        <f t="shared" si="417"/>
        <v>2.2827665840000004</v>
      </c>
    </row>
    <row r="5168" spans="1:21" ht="14.25" customHeight="1">
      <c r="A5168" s="2" t="s">
        <v>40</v>
      </c>
      <c r="B5168" s="2">
        <v>2018</v>
      </c>
      <c r="C5168" s="2" t="s">
        <v>37</v>
      </c>
      <c r="D5168" s="3">
        <f>D3340+D3345</f>
        <v>0</v>
      </c>
      <c r="E5168" s="3">
        <f>E3340+E3345</f>
        <v>0</v>
      </c>
      <c r="P5168" s="3">
        <f>E5168*(VLOOKUP(B5168,Price_data!A$1:B$190,2,FALSE))</f>
        <v>0</v>
      </c>
      <c r="Q5168" s="3">
        <f>G5168*(VLOOKUP(B5168,Price_data!A$1:B$190,2,FALSE))</f>
        <v>0</v>
      </c>
      <c r="R5168" s="3">
        <f>I5168*(VLOOKUP(B5168,Price_data!A$1:B$190,2,FALSE))</f>
        <v>0</v>
      </c>
      <c r="S5168" s="4" t="str">
        <f>(VLOOKUP(B5168,Price_data!A$1:C$190,3,FALSE))</f>
        <v>EEZ</v>
      </c>
      <c r="T5168" s="2" t="str">
        <f>IF(C5168="Total", (VLOOKUP(B5168,Recommended_fish_intake!A$4:D$122,4,FALSE)), "NA")</f>
        <v>NA</v>
      </c>
      <c r="U5168" s="2">
        <f t="shared" si="417"/>
        <v>0</v>
      </c>
    </row>
    <row r="5169" spans="1:21" ht="14.25" customHeight="1">
      <c r="A5169" s="2" t="s">
        <v>39</v>
      </c>
      <c r="B5169" s="2">
        <v>2018</v>
      </c>
      <c r="C5169" s="2" t="s">
        <v>37</v>
      </c>
      <c r="D5169" s="3">
        <f>D3261+D3266</f>
        <v>103.59399999999999</v>
      </c>
      <c r="E5169" s="3">
        <f>E3261+E3266</f>
        <v>15.987</v>
      </c>
      <c r="P5169" s="3">
        <f>E5169*(VLOOKUP(B5169,Price_data!A$1:B$190,2,FALSE))</f>
        <v>9.6687671945670015</v>
      </c>
      <c r="Q5169" s="3">
        <f>G5169*(VLOOKUP(B5169,Price_data!A$1:B$190,2,FALSE))</f>
        <v>0</v>
      </c>
      <c r="R5169" s="3">
        <f>I5169*(VLOOKUP(B5169,Price_data!A$1:B$190,2,FALSE))</f>
        <v>0</v>
      </c>
      <c r="S5169" s="4" t="str">
        <f>(VLOOKUP(B5169,Price_data!A$1:C$190,3,FALSE))</f>
        <v>EEZ</v>
      </c>
      <c r="T5169" s="2" t="str">
        <f>IF(C5169="Total", (VLOOKUP(B5169,Recommended_fish_intake!A$4:D$122,4,FALSE)), "NA")</f>
        <v>NA</v>
      </c>
      <c r="U5169" s="2">
        <f t="shared" si="417"/>
        <v>50.761059999999993</v>
      </c>
    </row>
    <row r="5170" spans="1:21" ht="14.25" customHeight="1">
      <c r="A5170" s="2" t="s">
        <v>18</v>
      </c>
      <c r="B5170" s="2">
        <v>2018</v>
      </c>
      <c r="C5170" s="2" t="s">
        <v>22</v>
      </c>
      <c r="D5170" s="3" t="e">
        <f t="shared" ref="D5170:E5183" si="418">D3052+D3127</f>
        <v>#N/A</v>
      </c>
      <c r="E5170" s="3" t="e">
        <f t="shared" si="418"/>
        <v>#N/A</v>
      </c>
      <c r="P5170" s="3" t="e">
        <f>E5170*(VLOOKUP(B5170,Price_data!A$1:B$190,2,FALSE))</f>
        <v>#N/A</v>
      </c>
      <c r="Q5170" s="3">
        <f>G5170*(VLOOKUP(B5170,Price_data!A$1:B$190,2,FALSE))</f>
        <v>0</v>
      </c>
      <c r="R5170" s="3">
        <f>I5170*(VLOOKUP(B5170,Price_data!A$1:B$190,2,FALSE))</f>
        <v>0</v>
      </c>
      <c r="S5170" s="4" t="str">
        <f>(VLOOKUP(B5170,Price_data!A$1:C$190,3,FALSE))</f>
        <v>EEZ</v>
      </c>
      <c r="T5170" s="2" t="str">
        <f>IF(C5170="Total", (VLOOKUP(B5170,Recommended_fish_intake!A$4:D$122,4,FALSE)), "NA")</f>
        <v>NA</v>
      </c>
      <c r="U5170" s="2" t="str">
        <f t="shared" si="417"/>
        <v>NA</v>
      </c>
    </row>
    <row r="5171" spans="1:21" ht="14.25" customHeight="1">
      <c r="A5171" s="2" t="s">
        <v>18</v>
      </c>
      <c r="B5171" s="2">
        <v>2018</v>
      </c>
      <c r="C5171" s="2" t="s">
        <v>23</v>
      </c>
      <c r="D5171" s="3">
        <f t="shared" si="418"/>
        <v>19</v>
      </c>
      <c r="E5171" s="3">
        <f t="shared" si="418"/>
        <v>24.8</v>
      </c>
      <c r="P5171" s="3">
        <f>E5171*(VLOOKUP(B5171,Price_data!A$1:B$190,2,FALSE))</f>
        <v>14.998775656800001</v>
      </c>
      <c r="Q5171" s="3">
        <f>G5171*(VLOOKUP(B5171,Price_data!A$1:B$190,2,FALSE))</f>
        <v>0</v>
      </c>
      <c r="R5171" s="3">
        <f>I5171*(VLOOKUP(B5171,Price_data!A$1:B$190,2,FALSE))</f>
        <v>0</v>
      </c>
      <c r="S5171" s="4" t="str">
        <f>(VLOOKUP(B5171,Price_data!A$1:C$190,3,FALSE))</f>
        <v>EEZ</v>
      </c>
      <c r="T5171" s="2" t="str">
        <f>IF(C5171="Total", (VLOOKUP(B5171,Recommended_fish_intake!A$4:D$122,4,FALSE)), "NA")</f>
        <v>NA</v>
      </c>
      <c r="U5171" s="2" t="str">
        <f t="shared" si="417"/>
        <v>NA</v>
      </c>
    </row>
    <row r="5172" spans="1:21" ht="14.25" customHeight="1">
      <c r="A5172" s="2" t="s">
        <v>18</v>
      </c>
      <c r="B5172" s="2">
        <v>2018</v>
      </c>
      <c r="C5172" s="2" t="s">
        <v>53</v>
      </c>
      <c r="D5172" s="3">
        <f t="shared" si="418"/>
        <v>3.4</v>
      </c>
      <c r="E5172" s="3">
        <f t="shared" si="418"/>
        <v>3.3</v>
      </c>
      <c r="P5172" s="3">
        <f>E5172*(VLOOKUP(B5172,Price_data!A$1:B$190,2,FALSE))</f>
        <v>1.9958048253</v>
      </c>
      <c r="Q5172" s="3">
        <f>G5172*(VLOOKUP(B5172,Price_data!A$1:B$190,2,FALSE))</f>
        <v>0</v>
      </c>
      <c r="R5172" s="3">
        <f>I5172*(VLOOKUP(B5172,Price_data!A$1:B$190,2,FALSE))</f>
        <v>0</v>
      </c>
      <c r="S5172" s="4" t="str">
        <f>(VLOOKUP(B5172,Price_data!A$1:C$190,3,FALSE))</f>
        <v>EEZ</v>
      </c>
      <c r="T5172" s="2" t="str">
        <f>IF(C5172="Total", (VLOOKUP(B5172,Recommended_fish_intake!A$4:D$122,4,FALSE)), "NA")</f>
        <v>NA</v>
      </c>
      <c r="U5172" s="2" t="str">
        <f t="shared" si="417"/>
        <v>NA</v>
      </c>
    </row>
    <row r="5173" spans="1:21" ht="14.25" customHeight="1">
      <c r="A5173" s="2" t="s">
        <v>18</v>
      </c>
      <c r="B5173" s="2">
        <v>2018</v>
      </c>
      <c r="C5173" s="2" t="s">
        <v>58</v>
      </c>
      <c r="D5173" s="3">
        <f t="shared" si="418"/>
        <v>3.1</v>
      </c>
      <c r="E5173" s="3">
        <f t="shared" si="418"/>
        <v>6.6</v>
      </c>
      <c r="P5173" s="3">
        <f>E5173*(VLOOKUP(B5173,Price_data!A$1:B$190,2,FALSE))</f>
        <v>3.9916096506000001</v>
      </c>
      <c r="Q5173" s="3">
        <f>G5173*(VLOOKUP(B5173,Price_data!A$1:B$190,2,FALSE))</f>
        <v>0</v>
      </c>
      <c r="R5173" s="3">
        <f>I5173*(VLOOKUP(B5173,Price_data!A$1:B$190,2,FALSE))</f>
        <v>0</v>
      </c>
      <c r="S5173" s="4" t="str">
        <f>(VLOOKUP(B5173,Price_data!A$1:C$190,3,FALSE))</f>
        <v>EEZ</v>
      </c>
      <c r="T5173" s="2" t="str">
        <f>IF(C5173="Total", (VLOOKUP(B5173,Recommended_fish_intake!A$4:D$122,4,FALSE)), "NA")</f>
        <v>NA</v>
      </c>
      <c r="U5173" s="2" t="str">
        <f t="shared" si="417"/>
        <v>NA</v>
      </c>
    </row>
    <row r="5174" spans="1:21" ht="14.25" customHeight="1">
      <c r="A5174" s="2" t="s">
        <v>18</v>
      </c>
      <c r="B5174" s="2">
        <v>2018</v>
      </c>
      <c r="C5174" s="2" t="s">
        <v>19</v>
      </c>
      <c r="D5174" s="3">
        <f t="shared" si="418"/>
        <v>3.9</v>
      </c>
      <c r="E5174" s="3">
        <f t="shared" si="418"/>
        <v>1.9</v>
      </c>
      <c r="P5174" s="3">
        <f>E5174*(VLOOKUP(B5174,Price_data!A$1:B$190,2,FALSE))</f>
        <v>1.1490997479</v>
      </c>
      <c r="Q5174" s="3">
        <f>G5174*(VLOOKUP(B5174,Price_data!A$1:B$190,2,FALSE))</f>
        <v>0</v>
      </c>
      <c r="R5174" s="3">
        <f>I5174*(VLOOKUP(B5174,Price_data!A$1:B$190,2,FALSE))</f>
        <v>0</v>
      </c>
      <c r="S5174" s="4" t="str">
        <f>(VLOOKUP(B5174,Price_data!A$1:C$190,3,FALSE))</f>
        <v>EEZ</v>
      </c>
      <c r="T5174" s="2" t="str">
        <f>IF(C5174="Total", (VLOOKUP(B5174,Recommended_fish_intake!A$4:D$122,4,FALSE)), "NA")</f>
        <v>NA</v>
      </c>
      <c r="U5174" s="2" t="str">
        <f t="shared" si="417"/>
        <v>NA</v>
      </c>
    </row>
    <row r="5175" spans="1:21" ht="14.25" customHeight="1">
      <c r="A5175" s="2" t="s">
        <v>18</v>
      </c>
      <c r="B5175" s="2">
        <v>2018</v>
      </c>
      <c r="C5175" s="2" t="s">
        <v>20</v>
      </c>
      <c r="D5175" s="3">
        <f t="shared" si="418"/>
        <v>60</v>
      </c>
      <c r="E5175" s="3">
        <f t="shared" si="418"/>
        <v>96</v>
      </c>
      <c r="P5175" s="3">
        <f>E5175*(VLOOKUP(B5175,Price_data!A$1:B$190,2,FALSE))</f>
        <v>58.059776736000003</v>
      </c>
      <c r="Q5175" s="3">
        <f>G5175*(VLOOKUP(B5175,Price_data!A$1:B$190,2,FALSE))</f>
        <v>0</v>
      </c>
      <c r="R5175" s="3">
        <f>I5175*(VLOOKUP(B5175,Price_data!A$1:B$190,2,FALSE))</f>
        <v>0</v>
      </c>
      <c r="S5175" s="4" t="str">
        <f>(VLOOKUP(B5175,Price_data!A$1:C$190,3,FALSE))</f>
        <v>EEZ</v>
      </c>
      <c r="T5175" s="2" t="str">
        <f>IF(C5175="Total", (VLOOKUP(B5175,Recommended_fish_intake!A$4:D$122,4,FALSE)), "NA")</f>
        <v>NA</v>
      </c>
      <c r="U5175" s="2" t="str">
        <f t="shared" si="417"/>
        <v>NA</v>
      </c>
    </row>
    <row r="5176" spans="1:21" ht="14.25" customHeight="1">
      <c r="A5176" s="2" t="s">
        <v>18</v>
      </c>
      <c r="B5176" s="2">
        <v>2018</v>
      </c>
      <c r="C5176" s="2" t="s">
        <v>36</v>
      </c>
      <c r="D5176" s="3">
        <f t="shared" si="418"/>
        <v>40.205999999999996</v>
      </c>
      <c r="E5176" s="3">
        <f t="shared" si="418"/>
        <v>44.446000000000005</v>
      </c>
      <c r="P5176" s="3">
        <f>E5176*(VLOOKUP(B5176,Price_data!A$1:B$190,2,FALSE))</f>
        <v>26.880467050086004</v>
      </c>
      <c r="Q5176" s="3">
        <f>G5176*(VLOOKUP(B5176,Price_data!A$1:B$190,2,FALSE))</f>
        <v>0</v>
      </c>
      <c r="R5176" s="3">
        <f>I5176*(VLOOKUP(B5176,Price_data!A$1:B$190,2,FALSE))</f>
        <v>0</v>
      </c>
      <c r="S5176" s="4" t="str">
        <f>(VLOOKUP(B5176,Price_data!A$1:C$190,3,FALSE))</f>
        <v>EEZ</v>
      </c>
      <c r="T5176" s="2" t="str">
        <f>IF(C5176="Total", (VLOOKUP(B5176,Recommended_fish_intake!A$4:D$122,4,FALSE)), "NA")</f>
        <v>NA</v>
      </c>
      <c r="U5176" s="2" t="str">
        <f t="shared" si="417"/>
        <v>NA</v>
      </c>
    </row>
    <row r="5177" spans="1:21" ht="14.25" customHeight="1">
      <c r="A5177" s="2" t="s">
        <v>18</v>
      </c>
      <c r="B5177" s="2">
        <v>2018</v>
      </c>
      <c r="C5177" s="2" t="s">
        <v>34</v>
      </c>
      <c r="D5177" s="3">
        <f t="shared" si="418"/>
        <v>83.840999999999994</v>
      </c>
      <c r="E5177" s="3">
        <f t="shared" si="418"/>
        <v>54.378999999999998</v>
      </c>
      <c r="P5177" s="3">
        <f>E5177*(VLOOKUP(B5177,Price_data!A$1:B$190,2,FALSE))</f>
        <v>32.887839574239003</v>
      </c>
      <c r="Q5177" s="3">
        <f>G5177*(VLOOKUP(B5177,Price_data!A$1:B$190,2,FALSE))</f>
        <v>0</v>
      </c>
      <c r="R5177" s="3">
        <f>I5177*(VLOOKUP(B5177,Price_data!A$1:B$190,2,FALSE))</f>
        <v>0</v>
      </c>
      <c r="S5177" s="4" t="str">
        <f>(VLOOKUP(B5177,Price_data!A$1:C$190,3,FALSE))</f>
        <v>EEZ</v>
      </c>
      <c r="T5177" s="2" t="str">
        <f>IF(C5177="Total", (VLOOKUP(B5177,Recommended_fish_intake!A$4:D$122,4,FALSE)), "NA")</f>
        <v>NA</v>
      </c>
      <c r="U5177" s="2" t="str">
        <f t="shared" si="417"/>
        <v>NA</v>
      </c>
    </row>
    <row r="5178" spans="1:21" ht="14.25" customHeight="1">
      <c r="A5178" s="2" t="s">
        <v>18</v>
      </c>
      <c r="B5178" s="2">
        <v>2018</v>
      </c>
      <c r="C5178" s="2" t="s">
        <v>35</v>
      </c>
      <c r="D5178" s="3">
        <f t="shared" si="418"/>
        <v>32.884999999999998</v>
      </c>
      <c r="E5178" s="3">
        <f t="shared" si="418"/>
        <v>36.634</v>
      </c>
      <c r="P5178" s="3">
        <f>E5178*(VLOOKUP(B5178,Price_data!A$1:B$190,2,FALSE))</f>
        <v>22.155852718194001</v>
      </c>
      <c r="Q5178" s="3">
        <f>G5178*(VLOOKUP(B5178,Price_data!A$1:B$190,2,FALSE))</f>
        <v>0</v>
      </c>
      <c r="R5178" s="3">
        <f>I5178*(VLOOKUP(B5178,Price_data!A$1:B$190,2,FALSE))</f>
        <v>0</v>
      </c>
      <c r="S5178" s="4" t="str">
        <f>(VLOOKUP(B5178,Price_data!A$1:C$190,3,FALSE))</f>
        <v>EEZ</v>
      </c>
      <c r="T5178" s="2" t="str">
        <f>IF(C5178="Total", (VLOOKUP(B5178,Recommended_fish_intake!A$4:D$122,4,FALSE)), "NA")</f>
        <v>NA</v>
      </c>
      <c r="U5178" s="2" t="str">
        <f t="shared" si="417"/>
        <v>NA</v>
      </c>
    </row>
    <row r="5179" spans="1:21" ht="14.25" customHeight="1">
      <c r="A5179" s="2" t="s">
        <v>18</v>
      </c>
      <c r="B5179" s="2">
        <v>2018</v>
      </c>
      <c r="C5179" s="2" t="s">
        <v>52</v>
      </c>
      <c r="D5179" s="3">
        <f t="shared" si="418"/>
        <v>33.176000000000002</v>
      </c>
      <c r="E5179" s="3">
        <f t="shared" si="418"/>
        <v>26.082000000000001</v>
      </c>
      <c r="P5179" s="3">
        <f>E5179*(VLOOKUP(B5179,Price_data!A$1:B$190,2,FALSE))</f>
        <v>15.774115591962001</v>
      </c>
      <c r="Q5179" s="3">
        <f>G5179*(VLOOKUP(B5179,Price_data!A$1:B$190,2,FALSE))</f>
        <v>0</v>
      </c>
      <c r="R5179" s="3">
        <f>I5179*(VLOOKUP(B5179,Price_data!A$1:B$190,2,FALSE))</f>
        <v>0</v>
      </c>
      <c r="S5179" s="4" t="str">
        <f>(VLOOKUP(B5179,Price_data!A$1:C$190,3,FALSE))</f>
        <v>EEZ</v>
      </c>
      <c r="T5179" s="2" t="str">
        <f>IF(C5179="Total", (VLOOKUP(B5179,Recommended_fish_intake!A$4:D$122,4,FALSE)), "NA")</f>
        <v>NA</v>
      </c>
      <c r="U5179" s="2" t="str">
        <f t="shared" si="417"/>
        <v>NA</v>
      </c>
    </row>
    <row r="5180" spans="1:21" ht="14.25" customHeight="1">
      <c r="A5180" s="2" t="s">
        <v>18</v>
      </c>
      <c r="B5180" s="2">
        <v>2018</v>
      </c>
      <c r="C5180" s="2" t="s">
        <v>30</v>
      </c>
      <c r="D5180" s="3">
        <f t="shared" si="418"/>
        <v>210.02200000000002</v>
      </c>
      <c r="E5180" s="3">
        <f t="shared" si="418"/>
        <v>191.16799999999998</v>
      </c>
      <c r="P5180" s="3">
        <f>E5180*(VLOOKUP(B5180,Price_data!A$1:B$190,2,FALSE))</f>
        <v>115.616368740288</v>
      </c>
      <c r="Q5180" s="3">
        <f>G5180*(VLOOKUP(B5180,Price_data!A$1:B$190,2,FALSE))</f>
        <v>0</v>
      </c>
      <c r="R5180" s="3">
        <f>I5180*(VLOOKUP(B5180,Price_data!A$1:B$190,2,FALSE))</f>
        <v>0</v>
      </c>
      <c r="S5180" s="4" t="str">
        <f>(VLOOKUP(B5180,Price_data!A$1:C$190,3,FALSE))</f>
        <v>EEZ</v>
      </c>
      <c r="T5180" s="2" t="str">
        <f>IF(C5180="Total", (VLOOKUP(B5180,Recommended_fish_intake!A$4:D$122,4,FALSE)), "NA")</f>
        <v>NA</v>
      </c>
      <c r="U5180" s="2" t="str">
        <f t="shared" si="417"/>
        <v>NA</v>
      </c>
    </row>
    <row r="5181" spans="1:21" ht="14.25" customHeight="1">
      <c r="A5181" s="2" t="s">
        <v>18</v>
      </c>
      <c r="B5181" s="2">
        <v>2018</v>
      </c>
      <c r="C5181" s="2" t="s">
        <v>41</v>
      </c>
      <c r="D5181" s="3">
        <f t="shared" si="418"/>
        <v>36.659999999999997</v>
      </c>
      <c r="E5181" s="3">
        <f t="shared" si="418"/>
        <v>10.338999999999999</v>
      </c>
      <c r="P5181" s="3">
        <f>E5181*(VLOOKUP(B5181,Price_data!A$1:B$190,2,FALSE))</f>
        <v>6.2529169965989997</v>
      </c>
      <c r="Q5181" s="3">
        <f>G5181*(VLOOKUP(B5181,Price_data!A$1:B$190,2,FALSE))</f>
        <v>0</v>
      </c>
      <c r="R5181" s="3">
        <f>I5181*(VLOOKUP(B5181,Price_data!A$1:B$190,2,FALSE))</f>
        <v>0</v>
      </c>
      <c r="S5181" s="4" t="str">
        <f>(VLOOKUP(B5181,Price_data!A$1:C$190,3,FALSE))</f>
        <v>EEZ</v>
      </c>
      <c r="T5181" s="2" t="str">
        <f>IF(C5181="Total", (VLOOKUP(B5181,Recommended_fish_intake!A$4:D$122,4,FALSE)), "NA")</f>
        <v>NA</v>
      </c>
      <c r="U5181" s="2" t="str">
        <f t="shared" si="417"/>
        <v>NA</v>
      </c>
    </row>
    <row r="5182" spans="1:21" ht="14.25" customHeight="1">
      <c r="A5182" s="2" t="s">
        <v>18</v>
      </c>
      <c r="B5182" s="2">
        <v>2018</v>
      </c>
      <c r="C5182" s="2" t="s">
        <v>42</v>
      </c>
      <c r="D5182" s="3">
        <f t="shared" si="418"/>
        <v>51.213000000000001</v>
      </c>
      <c r="E5182" s="3">
        <f t="shared" si="418"/>
        <v>32.329000000000001</v>
      </c>
      <c r="P5182" s="3">
        <f>E5182*(VLOOKUP(B5182,Price_data!A$1:B$190,2,FALSE))</f>
        <v>19.552234605189003</v>
      </c>
      <c r="Q5182" s="3">
        <f>G5182*(VLOOKUP(B5182,Price_data!A$1:B$190,2,FALSE))</f>
        <v>0</v>
      </c>
      <c r="R5182" s="3">
        <f>I5182*(VLOOKUP(B5182,Price_data!A$1:B$190,2,FALSE))</f>
        <v>0</v>
      </c>
      <c r="S5182" s="4" t="str">
        <f>(VLOOKUP(B5182,Price_data!A$1:C$190,3,FALSE))</f>
        <v>EEZ</v>
      </c>
      <c r="T5182" s="2" t="str">
        <f>IF(C5182="Total", (VLOOKUP(B5182,Recommended_fish_intake!A$4:D$122,4,FALSE)), "NA")</f>
        <v>NA</v>
      </c>
      <c r="U5182" s="2" t="str">
        <f t="shared" si="417"/>
        <v>NA</v>
      </c>
    </row>
    <row r="5183" spans="1:21" ht="14.25" customHeight="1">
      <c r="A5183" s="2" t="s">
        <v>18</v>
      </c>
      <c r="B5183" s="2">
        <v>2018</v>
      </c>
      <c r="C5183" s="2" t="s">
        <v>28</v>
      </c>
      <c r="D5183" s="3">
        <f t="shared" si="418"/>
        <v>108.197</v>
      </c>
      <c r="E5183" s="3">
        <f t="shared" si="418"/>
        <v>27.004999999999999</v>
      </c>
      <c r="P5183" s="3">
        <f>E5183*(VLOOKUP(B5183,Price_data!A$1:B$190,2,FALSE))</f>
        <v>16.332336153705</v>
      </c>
      <c r="Q5183" s="3">
        <f>G5183*(VLOOKUP(B5183,Price_data!A$1:B$190,2,FALSE))</f>
        <v>0</v>
      </c>
      <c r="R5183" s="3">
        <f>I5183*(VLOOKUP(B5183,Price_data!A$1:B$190,2,FALSE))</f>
        <v>0</v>
      </c>
      <c r="S5183" s="4" t="str">
        <f>(VLOOKUP(B5183,Price_data!A$1:C$190,3,FALSE))</f>
        <v>EEZ</v>
      </c>
      <c r="T5183" s="2" t="str">
        <f>IF(C5183="Total", (VLOOKUP(B5183,Recommended_fish_intake!A$4:D$122,4,FALSE)), "NA")</f>
        <v>NA</v>
      </c>
      <c r="U5183" s="2">
        <f t="shared" si="417"/>
        <v>30.295160000000003</v>
      </c>
    </row>
    <row r="5184" spans="1:21" ht="14.25" customHeight="1">
      <c r="A5184" s="2" t="s">
        <v>18</v>
      </c>
      <c r="B5184" s="2">
        <v>2018</v>
      </c>
      <c r="C5184" s="2" t="s">
        <v>37</v>
      </c>
      <c r="D5184" s="3">
        <f>D5169+D5164</f>
        <v>103.5951037</v>
      </c>
      <c r="E5184" s="3">
        <f>E5169+E5164</f>
        <v>15.9974577</v>
      </c>
      <c r="P5184" s="3">
        <f>E5184*(VLOOKUP(B5184,Price_data!A$1:B$190,2,FALSE))</f>
        <v>9.6750919000583764</v>
      </c>
      <c r="Q5184" s="3">
        <f>G5184*(VLOOKUP(B5184,Price_data!A$1:B$190,2,FALSE))</f>
        <v>0</v>
      </c>
      <c r="R5184" s="3">
        <f>I5184*(VLOOKUP(B5184,Price_data!A$1:B$190,2,FALSE))</f>
        <v>0</v>
      </c>
      <c r="S5184" s="4" t="str">
        <f>(VLOOKUP(B5184,Price_data!A$1:C$190,3,FALSE))</f>
        <v>EEZ</v>
      </c>
      <c r="T5184" s="2" t="str">
        <f>IF(C5184="Total", (VLOOKUP(B5184,Recommended_fish_intake!A$4:D$122,4,FALSE)), "NA")</f>
        <v>NA</v>
      </c>
      <c r="U5184" s="2">
        <f t="shared" si="417"/>
        <v>50.761600812999994</v>
      </c>
    </row>
    <row r="5185" spans="1:21" ht="14.25" customHeight="1">
      <c r="A5185" s="2" t="s">
        <v>15</v>
      </c>
      <c r="B5185" s="2">
        <v>2018</v>
      </c>
      <c r="C5185" s="2" t="s">
        <v>24</v>
      </c>
      <c r="D5185" s="2">
        <v>11.4</v>
      </c>
      <c r="E5185" s="2">
        <v>14.5</v>
      </c>
      <c r="F5185" s="2">
        <v>0.5</v>
      </c>
      <c r="G5185" s="2">
        <v>1.1000000000000001</v>
      </c>
      <c r="H5185" s="2">
        <v>2.1</v>
      </c>
      <c r="I5185" s="2">
        <v>2.2999999999999998</v>
      </c>
      <c r="P5185" s="3">
        <f>E5185*(VLOOKUP(B5185,Price_data!A$1:B$190,2,FALSE))</f>
        <v>8.7694454445000005</v>
      </c>
      <c r="Q5185" s="3">
        <f>G5185*(VLOOKUP(B5185,Price_data!A$1:B$190,2,FALSE))</f>
        <v>0.66526827510000008</v>
      </c>
      <c r="R5185" s="3">
        <f>I5185*(VLOOKUP(B5185,Price_data!A$1:B$190,2,FALSE))</f>
        <v>1.3910154843</v>
      </c>
      <c r="S5185" s="4" t="str">
        <f>(VLOOKUP(B5185,Price_data!A$1:C$190,3,FALSE))</f>
        <v>EEZ</v>
      </c>
      <c r="T5185" s="2" t="str">
        <f>IF(C5185="Total", (VLOOKUP(B5185,Recommended_fish_intake!A$4:D$122,4,FALSE)), "NA")</f>
        <v>NA</v>
      </c>
      <c r="U5185" s="2" t="str">
        <f t="shared" si="417"/>
        <v>NA</v>
      </c>
    </row>
    <row r="5186" spans="1:21" ht="14.25" customHeight="1">
      <c r="A5186" s="2" t="s">
        <v>15</v>
      </c>
      <c r="B5186" s="2">
        <v>2018</v>
      </c>
      <c r="C5186" s="2" t="s">
        <v>60</v>
      </c>
      <c r="D5186" s="2">
        <v>1.4</v>
      </c>
      <c r="E5186" s="2">
        <v>4</v>
      </c>
      <c r="F5186" s="2">
        <v>2.4</v>
      </c>
      <c r="G5186" s="2">
        <v>8.5</v>
      </c>
      <c r="H5186" s="2">
        <v>33.9</v>
      </c>
      <c r="I5186" s="2">
        <v>72.599999999999994</v>
      </c>
      <c r="P5186" s="3">
        <f>E5186*(VLOOKUP(B5186,Price_data!A$1:B$190,2,FALSE))</f>
        <v>2.4191573640000001</v>
      </c>
      <c r="Q5186" s="3">
        <f>G5186*(VLOOKUP(B5186,Price_data!A$1:B$190,2,FALSE))</f>
        <v>5.1407093985000003</v>
      </c>
      <c r="R5186" s="3">
        <f>I5186*(VLOOKUP(B5186,Price_data!A$1:B$190,2,FALSE))</f>
        <v>43.9077061566</v>
      </c>
      <c r="S5186" s="4" t="str">
        <f>(VLOOKUP(B5186,Price_data!A$1:C$190,3,FALSE))</f>
        <v>EEZ</v>
      </c>
      <c r="T5186" s="2" t="str">
        <f>IF(C5186="Total", (VLOOKUP(B5186,Recommended_fish_intake!A$4:D$122,4,FALSE)), "NA")</f>
        <v>NA</v>
      </c>
      <c r="U5186" s="2" t="str">
        <f t="shared" ref="U5186:U5249" si="419">IF(C5186="Wet fish", D5186*0.49, IF(C5186="Shellfish", D5186*0.28, "NA"))</f>
        <v>NA</v>
      </c>
    </row>
    <row r="5187" spans="1:21" ht="14.25" customHeight="1">
      <c r="A5187" s="2" t="s">
        <v>15</v>
      </c>
      <c r="B5187" s="2">
        <v>2018</v>
      </c>
      <c r="C5187" s="2" t="s">
        <v>29</v>
      </c>
      <c r="D5187" s="2" t="s">
        <v>17</v>
      </c>
      <c r="E5187" s="2" t="s">
        <v>17</v>
      </c>
      <c r="F5187" s="2">
        <v>100.4</v>
      </c>
      <c r="G5187" s="2">
        <v>639.29999999999995</v>
      </c>
      <c r="H5187" s="2">
        <v>80.099999999999994</v>
      </c>
      <c r="I5187" s="2">
        <v>543</v>
      </c>
      <c r="P5187" s="3" t="e">
        <f>E5187*(VLOOKUP(B5187,Price_data!A$1:B$190,2,FALSE))</f>
        <v>#VALUE!</v>
      </c>
      <c r="Q5187" s="3">
        <f>G5187*(VLOOKUP(B5187,Price_data!A$1:B$190,2,FALSE))</f>
        <v>386.64182570129998</v>
      </c>
      <c r="R5187" s="3">
        <f>I5187*(VLOOKUP(B5187,Price_data!A$1:B$190,2,FALSE))</f>
        <v>328.40061216300001</v>
      </c>
      <c r="S5187" s="4" t="str">
        <f>(VLOOKUP(B5187,Price_data!A$1:C$190,3,FALSE))</f>
        <v>EEZ</v>
      </c>
      <c r="T5187" s="2" t="str">
        <f>IF(C5187="Total", (VLOOKUP(B5187,Recommended_fish_intake!A$4:D$122,4,FALSE)), "NA")</f>
        <v>NA</v>
      </c>
      <c r="U5187" s="2" t="str">
        <f t="shared" si="419"/>
        <v>NA</v>
      </c>
    </row>
    <row r="5188" spans="1:21" ht="14.25" customHeight="1">
      <c r="A5188" s="2" t="s">
        <v>15</v>
      </c>
      <c r="B5188" s="2">
        <v>2018</v>
      </c>
      <c r="C5188" s="2" t="s">
        <v>93</v>
      </c>
      <c r="D5188" s="2">
        <v>8.1999999999999993</v>
      </c>
      <c r="E5188" s="2">
        <v>2.9</v>
      </c>
      <c r="F5188" s="2">
        <v>9.8000000000000007</v>
      </c>
      <c r="G5188" s="2">
        <v>13.1</v>
      </c>
      <c r="H5188" s="2">
        <v>12.3</v>
      </c>
      <c r="I5188" s="2">
        <v>33.6</v>
      </c>
      <c r="P5188" s="3">
        <f>E5188*(VLOOKUP(B5188,Price_data!A$1:B$190,2,FALSE))</f>
        <v>1.7538890889000001</v>
      </c>
      <c r="Q5188" s="3">
        <f>G5188*(VLOOKUP(B5188,Price_data!A$1:B$190,2,FALSE))</f>
        <v>7.9227403671000003</v>
      </c>
      <c r="R5188" s="3">
        <f>I5188*(VLOOKUP(B5188,Price_data!A$1:B$190,2,FALSE))</f>
        <v>20.320921857600002</v>
      </c>
      <c r="S5188" s="4" t="str">
        <f>(VLOOKUP(B5188,Price_data!A$1:C$190,3,FALSE))</f>
        <v>EEZ</v>
      </c>
      <c r="T5188" s="2" t="str">
        <f>IF(C5188="Total", (VLOOKUP(B5188,Recommended_fish_intake!A$4:D$122,4,FALSE)), "NA")</f>
        <v>NA</v>
      </c>
      <c r="U5188" s="2" t="str">
        <f t="shared" si="419"/>
        <v>NA</v>
      </c>
    </row>
    <row r="5189" spans="1:21" ht="14.25" customHeight="1">
      <c r="A5189" s="2" t="s">
        <v>15</v>
      </c>
      <c r="B5189" s="2">
        <v>2018</v>
      </c>
      <c r="C5189" s="2" t="s">
        <v>43</v>
      </c>
      <c r="D5189" s="2" t="s">
        <v>17</v>
      </c>
      <c r="E5189" s="2" t="s">
        <v>17</v>
      </c>
      <c r="F5189" s="2">
        <v>8.1999999999999993</v>
      </c>
      <c r="G5189" s="2">
        <v>25.5</v>
      </c>
      <c r="H5189" s="2">
        <v>109.5</v>
      </c>
      <c r="I5189" s="2">
        <v>437.7</v>
      </c>
      <c r="P5189" s="3" t="e">
        <f>E5189*(VLOOKUP(B5189,Price_data!A$1:B$190,2,FALSE))</f>
        <v>#VALUE!</v>
      </c>
      <c r="Q5189" s="3">
        <f>G5189*(VLOOKUP(B5189,Price_data!A$1:B$190,2,FALSE))</f>
        <v>15.422128195500001</v>
      </c>
      <c r="R5189" s="3">
        <f>I5189*(VLOOKUP(B5189,Price_data!A$1:B$190,2,FALSE))</f>
        <v>264.71629455570002</v>
      </c>
      <c r="S5189" s="4" t="str">
        <f>(VLOOKUP(B5189,Price_data!A$1:C$190,3,FALSE))</f>
        <v>EEZ</v>
      </c>
      <c r="T5189" s="2" t="str">
        <f>IF(C5189="Total", (VLOOKUP(B5189,Recommended_fish_intake!A$4:D$122,4,FALSE)), "NA")</f>
        <v>NA</v>
      </c>
      <c r="U5189" s="2" t="str">
        <f t="shared" si="419"/>
        <v>NA</v>
      </c>
    </row>
    <row r="5190" spans="1:21" ht="14.25" customHeight="1">
      <c r="A5190" s="2" t="s">
        <v>15</v>
      </c>
      <c r="B5190" s="2">
        <v>2018</v>
      </c>
      <c r="C5190" s="2" t="s">
        <v>25</v>
      </c>
      <c r="D5190" s="2">
        <v>4.8</v>
      </c>
      <c r="E5190" s="2">
        <v>8.8000000000000007</v>
      </c>
      <c r="F5190" s="4">
        <v>2.2000000000000002</v>
      </c>
      <c r="G5190" s="4">
        <v>5.2</v>
      </c>
      <c r="H5190" s="4">
        <v>3.3</v>
      </c>
      <c r="I5190" s="4">
        <v>13.2</v>
      </c>
      <c r="P5190" s="3">
        <f>E5190*(VLOOKUP(B5190,Price_data!A$1:B$190,2,FALSE))</f>
        <v>5.3221462008000007</v>
      </c>
      <c r="Q5190" s="3">
        <f>G5190*(VLOOKUP(B5190,Price_data!A$1:B$190,2,FALSE))</f>
        <v>3.1449045732000003</v>
      </c>
      <c r="R5190" s="3">
        <f>I5190*(VLOOKUP(B5190,Price_data!A$1:B$190,2,FALSE))</f>
        <v>7.9832193012000001</v>
      </c>
      <c r="S5190" s="4" t="str">
        <f>(VLOOKUP(B5190,Price_data!A$1:C$190,3,FALSE))</f>
        <v>EEZ</v>
      </c>
      <c r="T5190" s="2" t="str">
        <f>IF(C5190="Total", (VLOOKUP(B5190,Recommended_fish_intake!A$4:D$122,4,FALSE)), "NA")</f>
        <v>NA</v>
      </c>
      <c r="U5190" s="2" t="str">
        <f t="shared" si="419"/>
        <v>NA</v>
      </c>
    </row>
    <row r="5191" spans="1:21" ht="14.25" customHeight="1">
      <c r="A5191" s="2" t="s">
        <v>15</v>
      </c>
      <c r="B5191" s="2">
        <v>2018</v>
      </c>
      <c r="C5191" s="2" t="s">
        <v>16</v>
      </c>
      <c r="D5191" s="2">
        <v>428.6</v>
      </c>
      <c r="E5191" s="2">
        <v>740.3</v>
      </c>
      <c r="F5191" s="2">
        <v>447.6</v>
      </c>
      <c r="G5191" s="2">
        <v>1789.300156</v>
      </c>
      <c r="H5191" s="2">
        <v>674</v>
      </c>
      <c r="I5191" s="2">
        <v>3192.8</v>
      </c>
      <c r="P5191" s="3">
        <f>E5191*(VLOOKUP(B5191,Price_data!A$1:B$190,2,FALSE))</f>
        <v>447.7255491423</v>
      </c>
      <c r="Q5191" s="3">
        <f>G5191*(VLOOKUP(B5191,Price_data!A$1:B$190,2,FALSE))</f>
        <v>1082.1496621984372</v>
      </c>
      <c r="R5191" s="3">
        <f>I5191*(VLOOKUP(B5191,Price_data!A$1:B$190,2,FALSE))</f>
        <v>1930.9714079448001</v>
      </c>
      <c r="S5191" s="4" t="str">
        <f>(VLOOKUP(B5191,Price_data!A$1:C$190,3,FALSE))</f>
        <v>EEZ</v>
      </c>
      <c r="T5191" s="2">
        <f>IF(C5191="Total", (VLOOKUP(B5191,Recommended_fish_intake!A$4:D$122,4,FALSE)), "NA")</f>
        <v>883.00789339308005</v>
      </c>
      <c r="U5191" s="2" t="str">
        <f t="shared" si="419"/>
        <v>NA</v>
      </c>
    </row>
    <row r="5192" spans="1:21" ht="14.25" customHeight="1">
      <c r="A5192" s="2" t="s">
        <v>90</v>
      </c>
      <c r="B5192" s="2">
        <v>2018</v>
      </c>
      <c r="C5192" s="2" t="s">
        <v>16</v>
      </c>
      <c r="D5192" s="2">
        <v>94.4</v>
      </c>
      <c r="E5192" s="2">
        <v>213.3</v>
      </c>
      <c r="P5192" s="3">
        <f>E5192*(VLOOKUP(B5192,Price_data!A$1:B$190,2,FALSE))</f>
        <v>129.00156643530002</v>
      </c>
      <c r="Q5192" s="3">
        <f>G5192*(VLOOKUP(B5192,Price_data!A$1:B$190,2,FALSE))</f>
        <v>0</v>
      </c>
      <c r="R5192" s="3">
        <f>I5192*(VLOOKUP(B5192,Price_data!A$1:B$190,2,FALSE))</f>
        <v>0</v>
      </c>
      <c r="S5192" s="4" t="str">
        <f>(VLOOKUP(B5192,Price_data!A$1:C$190,3,FALSE))</f>
        <v>EEZ</v>
      </c>
      <c r="T5192" s="2">
        <f>IF(C5192="Total", (VLOOKUP(B5192,Recommended_fish_intake!A$4:D$122,4,FALSE)), "NA")</f>
        <v>883.00789339308005</v>
      </c>
      <c r="U5192" s="2" t="str">
        <f t="shared" si="419"/>
        <v>NA</v>
      </c>
    </row>
    <row r="5193" spans="1:21" ht="14.25" customHeight="1">
      <c r="A5193" s="2" t="s">
        <v>91</v>
      </c>
      <c r="B5193" s="2">
        <v>2018</v>
      </c>
      <c r="C5193" s="2" t="s">
        <v>16</v>
      </c>
      <c r="D5193" s="2">
        <v>8.42</v>
      </c>
      <c r="E5193" s="2">
        <v>17.04</v>
      </c>
      <c r="P5193" s="3">
        <f>E5193*(VLOOKUP(B5193,Price_data!A$1:B$190,2,FALSE))</f>
        <v>10.30561037064</v>
      </c>
      <c r="Q5193" s="3">
        <f>G5193*(VLOOKUP(B5193,Price_data!A$1:B$190,2,FALSE))</f>
        <v>0</v>
      </c>
      <c r="R5193" s="3">
        <f>I5193*(VLOOKUP(B5193,Price_data!A$1:B$190,2,FALSE))</f>
        <v>0</v>
      </c>
      <c r="S5193" s="4" t="str">
        <f>(VLOOKUP(B5193,Price_data!A$1:C$190,3,FALSE))</f>
        <v>EEZ</v>
      </c>
      <c r="T5193" s="2">
        <f>IF(C5193="Total", (VLOOKUP(B5193,Recommended_fish_intake!A$4:D$122,4,FALSE)), "NA")</f>
        <v>883.00789339308005</v>
      </c>
      <c r="U5193" s="2" t="str">
        <f t="shared" si="419"/>
        <v>NA</v>
      </c>
    </row>
    <row r="5194" spans="1:21" ht="14.25" customHeight="1">
      <c r="A5194" s="2" t="s">
        <v>39</v>
      </c>
      <c r="B5194" s="2">
        <v>2018</v>
      </c>
      <c r="C5194" s="2" t="s">
        <v>16</v>
      </c>
      <c r="D5194" s="2">
        <v>302.17976820000001</v>
      </c>
      <c r="E5194" s="2">
        <v>473.60097230000002</v>
      </c>
      <c r="P5194" s="3">
        <f>E5194*(VLOOKUP(B5194,Price_data!A$1:B$190,2,FALSE))</f>
        <v>286.42881993427631</v>
      </c>
      <c r="Q5194" s="3">
        <f>G5194*(VLOOKUP(B5194,Price_data!A$1:B$190,2,FALSE))</f>
        <v>0</v>
      </c>
      <c r="R5194" s="3">
        <f>I5194*(VLOOKUP(B5194,Price_data!A$1:B$190,2,FALSE))</f>
        <v>0</v>
      </c>
      <c r="S5194" s="4" t="str">
        <f>(VLOOKUP(B5194,Price_data!A$1:C$190,3,FALSE))</f>
        <v>EEZ</v>
      </c>
      <c r="T5194" s="2">
        <f>IF(C5194="Total", (VLOOKUP(B5194,Recommended_fish_intake!A$4:D$122,4,FALSE)), "NA")</f>
        <v>883.00789339308005</v>
      </c>
      <c r="U5194" s="2" t="str">
        <f t="shared" si="419"/>
        <v>NA</v>
      </c>
    </row>
    <row r="5195" spans="1:21" ht="14.25" customHeight="1">
      <c r="A5195" s="2" t="s">
        <v>40</v>
      </c>
      <c r="B5195" s="2">
        <v>2018</v>
      </c>
      <c r="C5195" s="2" t="s">
        <v>16</v>
      </c>
      <c r="D5195" s="2">
        <v>18.587499399999999</v>
      </c>
      <c r="E5195" s="2">
        <v>26.037985240000001</v>
      </c>
      <c r="P5195" s="3">
        <f>E5195*(VLOOKUP(B5195,Price_data!A$1:B$190,2,FALSE))</f>
        <v>15.747495934267329</v>
      </c>
      <c r="Q5195" s="3">
        <f>G5195*(VLOOKUP(B5195,Price_data!A$1:B$190,2,FALSE))</f>
        <v>0</v>
      </c>
      <c r="R5195" s="3">
        <f>I5195*(VLOOKUP(B5195,Price_data!A$1:B$190,2,FALSE))</f>
        <v>0</v>
      </c>
      <c r="S5195" s="4" t="str">
        <f>(VLOOKUP(B5195,Price_data!A$1:C$190,3,FALSE))</f>
        <v>EEZ</v>
      </c>
      <c r="T5195" s="2">
        <f>IF(C5195="Total", (VLOOKUP(B5195,Recommended_fish_intake!A$4:D$122,4,FALSE)), "NA")</f>
        <v>883.00789339308005</v>
      </c>
      <c r="U5195" s="2" t="str">
        <f t="shared" si="419"/>
        <v>NA</v>
      </c>
    </row>
    <row r="5196" spans="1:21" ht="14.25" customHeight="1">
      <c r="A5196" s="2" t="s">
        <v>18</v>
      </c>
      <c r="B5196" s="2">
        <v>2018</v>
      </c>
      <c r="C5196" s="2" t="s">
        <v>16</v>
      </c>
      <c r="D5196" s="3">
        <f>D3078+D3153</f>
        <v>3.3130000000000002</v>
      </c>
      <c r="E5196" s="3">
        <f>E3078+E3153</f>
        <v>0.746</v>
      </c>
      <c r="P5196" s="3">
        <f>E5196*(VLOOKUP(B5196,Price_data!A$1:B$190,2,FALSE))</f>
        <v>0.45117284838600002</v>
      </c>
      <c r="Q5196" s="3">
        <f>G5196*(VLOOKUP(B5196,Price_data!A$1:B$190,2,FALSE))</f>
        <v>0</v>
      </c>
      <c r="R5196" s="3">
        <f>I5196*(VLOOKUP(B5196,Price_data!A$1:B$190,2,FALSE))</f>
        <v>0</v>
      </c>
      <c r="S5196" s="4" t="str">
        <f>(VLOOKUP(B5196,Price_data!A$1:C$190,3,FALSE))</f>
        <v>EEZ</v>
      </c>
      <c r="T5196" s="2">
        <f>IF(C5196="Total", (VLOOKUP(B5196,Recommended_fish_intake!A$4:D$122,4,FALSE)), "NA")</f>
        <v>883.00789339308005</v>
      </c>
      <c r="U5196" s="2" t="str">
        <f t="shared" si="419"/>
        <v>NA</v>
      </c>
    </row>
    <row r="5197" spans="1:21" ht="14.25" customHeight="1">
      <c r="A5197" s="2" t="s">
        <v>15</v>
      </c>
      <c r="B5197" s="2">
        <v>2019</v>
      </c>
      <c r="C5197" s="2" t="s">
        <v>22</v>
      </c>
      <c r="D5197" s="2">
        <v>22</v>
      </c>
      <c r="E5197" s="2">
        <v>59.7</v>
      </c>
      <c r="F5197" s="2">
        <v>12</v>
      </c>
      <c r="G5197" s="2">
        <v>55</v>
      </c>
      <c r="H5197" s="2">
        <v>105.5</v>
      </c>
      <c r="I5197" s="2">
        <v>571.70000000000005</v>
      </c>
      <c r="P5197" s="3">
        <f>E5197*(VLOOKUP(B5197,Price_data!A$1:B$190,2,FALSE))</f>
        <v>35.202720966690002</v>
      </c>
      <c r="Q5197" s="3">
        <f>G5197*(VLOOKUP(B5197,Price_data!A$1:B$190,2,FALSE))</f>
        <v>32.431317473500002</v>
      </c>
      <c r="R5197" s="3">
        <f>I5197*(VLOOKUP(B5197,Price_data!A$1:B$190,2,FALSE))</f>
        <v>337.10880362909006</v>
      </c>
      <c r="S5197" s="4" t="str">
        <f>(VLOOKUP(B5197,Price_data!A$1:C$190,3,FALSE))</f>
        <v>EEZ</v>
      </c>
      <c r="T5197" s="2" t="str">
        <f>IF(C5197="Total", (VLOOKUP(B5197,Recommended_fish_intake!A$4:D$122,4,FALSE)), "NA")</f>
        <v>NA</v>
      </c>
      <c r="U5197" s="2" t="str">
        <f t="shared" si="419"/>
        <v>NA</v>
      </c>
    </row>
    <row r="5198" spans="1:21" ht="14.25" customHeight="1">
      <c r="A5198" s="2" t="s">
        <v>15</v>
      </c>
      <c r="B5198" s="2">
        <v>2019</v>
      </c>
      <c r="C5198" s="2" t="s">
        <v>23</v>
      </c>
      <c r="D5198" s="2">
        <v>33.299999999999997</v>
      </c>
      <c r="E5198" s="2">
        <v>50.5</v>
      </c>
      <c r="F5198" s="2">
        <v>2</v>
      </c>
      <c r="G5198" s="2">
        <v>5.4</v>
      </c>
      <c r="H5198" s="2">
        <v>51.1</v>
      </c>
      <c r="I5198" s="2">
        <v>179.7</v>
      </c>
      <c r="P5198" s="3">
        <f>E5198*(VLOOKUP(B5198,Price_data!A$1:B$190,2,FALSE))</f>
        <v>29.777846043850001</v>
      </c>
      <c r="Q5198" s="3">
        <f>G5198*(VLOOKUP(B5198,Price_data!A$1:B$190,2,FALSE))</f>
        <v>3.1841657155800003</v>
      </c>
      <c r="R5198" s="3">
        <f>I5198*(VLOOKUP(B5198,Price_data!A$1:B$190,2,FALSE))</f>
        <v>105.96195909069</v>
      </c>
      <c r="S5198" s="4" t="str">
        <f>(VLOOKUP(B5198,Price_data!A$1:C$190,3,FALSE))</f>
        <v>EEZ</v>
      </c>
      <c r="T5198" s="2" t="str">
        <f>IF(C5198="Total", (VLOOKUP(B5198,Recommended_fish_intake!A$4:D$122,4,FALSE)), "NA")</f>
        <v>NA</v>
      </c>
      <c r="U5198" s="2" t="str">
        <f t="shared" si="419"/>
        <v>NA</v>
      </c>
    </row>
    <row r="5199" spans="1:21" ht="14.25" customHeight="1">
      <c r="A5199" s="2" t="s">
        <v>15</v>
      </c>
      <c r="B5199" s="2">
        <v>2019</v>
      </c>
      <c r="C5199" s="2" t="s">
        <v>53</v>
      </c>
      <c r="D5199" s="2">
        <v>10</v>
      </c>
      <c r="E5199" s="2">
        <v>25.3</v>
      </c>
      <c r="F5199" s="2">
        <v>5.0999999999999996</v>
      </c>
      <c r="G5199" s="2">
        <v>23.1</v>
      </c>
      <c r="H5199" s="2">
        <v>2.7</v>
      </c>
      <c r="I5199" s="2">
        <v>8.4</v>
      </c>
      <c r="P5199" s="3">
        <f>E5199*(VLOOKUP(B5199,Price_data!A$1:B$190,2,FALSE))</f>
        <v>14.918406037810001</v>
      </c>
      <c r="Q5199" s="3">
        <f>G5199*(VLOOKUP(B5199,Price_data!A$1:B$190,2,FALSE))</f>
        <v>13.621153338870002</v>
      </c>
      <c r="R5199" s="3">
        <f>I5199*(VLOOKUP(B5199,Price_data!A$1:B$190,2,FALSE))</f>
        <v>4.9531466686800005</v>
      </c>
      <c r="S5199" s="4" t="str">
        <f>(VLOOKUP(B5199,Price_data!A$1:C$190,3,FALSE))</f>
        <v>EEZ</v>
      </c>
      <c r="T5199" s="2" t="str">
        <f>IF(C5199="Total", (VLOOKUP(B5199,Recommended_fish_intake!A$4:D$122,4,FALSE)), "NA")</f>
        <v>NA</v>
      </c>
      <c r="U5199" s="2" t="str">
        <f t="shared" si="419"/>
        <v>NA</v>
      </c>
    </row>
    <row r="5200" spans="1:21" ht="14.25" customHeight="1">
      <c r="A5200" s="2" t="s">
        <v>15</v>
      </c>
      <c r="B5200" s="2">
        <v>2019</v>
      </c>
      <c r="C5200" s="2" t="s">
        <v>58</v>
      </c>
      <c r="D5200" s="2">
        <v>14.4</v>
      </c>
      <c r="E5200" s="2">
        <v>42.9</v>
      </c>
      <c r="F5200" s="2">
        <v>3.8</v>
      </c>
      <c r="G5200" s="2">
        <v>28.1</v>
      </c>
      <c r="H5200" s="2">
        <v>1.7</v>
      </c>
      <c r="I5200" s="2">
        <v>6.9</v>
      </c>
      <c r="P5200" s="3">
        <f>E5200*(VLOOKUP(B5200,Price_data!A$1:B$190,2,FALSE))</f>
        <v>25.296427629330001</v>
      </c>
      <c r="Q5200" s="3">
        <f>G5200*(VLOOKUP(B5200,Price_data!A$1:B$190,2,FALSE))</f>
        <v>16.569454927370003</v>
      </c>
      <c r="R5200" s="3">
        <f>I5200*(VLOOKUP(B5200,Price_data!A$1:B$190,2,FALSE))</f>
        <v>4.0686561921300006</v>
      </c>
      <c r="S5200" s="4" t="str">
        <f>(VLOOKUP(B5200,Price_data!A$1:C$190,3,FALSE))</f>
        <v>EEZ</v>
      </c>
      <c r="T5200" s="2" t="str">
        <f>IF(C5200="Total", (VLOOKUP(B5200,Recommended_fish_intake!A$4:D$122,4,FALSE)), "NA")</f>
        <v>NA</v>
      </c>
      <c r="U5200" s="2" t="str">
        <f t="shared" si="419"/>
        <v>NA</v>
      </c>
    </row>
    <row r="5201" spans="1:21" ht="14.25" customHeight="1">
      <c r="A5201" s="2" t="s">
        <v>15</v>
      </c>
      <c r="B5201" s="2">
        <v>2019</v>
      </c>
      <c r="C5201" s="2" t="s">
        <v>19</v>
      </c>
      <c r="D5201" s="2">
        <v>34.799999999999997</v>
      </c>
      <c r="E5201" s="2">
        <v>17.600000000000001</v>
      </c>
      <c r="F5201" s="2">
        <v>34.700000000000003</v>
      </c>
      <c r="G5201" s="2">
        <v>27.2</v>
      </c>
      <c r="H5201" s="2">
        <v>5.6</v>
      </c>
      <c r="I5201" s="2">
        <v>10.6</v>
      </c>
      <c r="P5201" s="3">
        <f>E5201*(VLOOKUP(B5201,Price_data!A$1:B$190,2,FALSE))</f>
        <v>10.378021591520001</v>
      </c>
      <c r="Q5201" s="3">
        <f>G5201*(VLOOKUP(B5201,Price_data!A$1:B$190,2,FALSE))</f>
        <v>16.03876064144</v>
      </c>
      <c r="R5201" s="3">
        <f>I5201*(VLOOKUP(B5201,Price_data!A$1:B$190,2,FALSE))</f>
        <v>6.25039936762</v>
      </c>
      <c r="S5201" s="4" t="str">
        <f>(VLOOKUP(B5201,Price_data!A$1:C$190,3,FALSE))</f>
        <v>EEZ</v>
      </c>
      <c r="T5201" s="2" t="str">
        <f>IF(C5201="Total", (VLOOKUP(B5201,Recommended_fish_intake!A$4:D$122,4,FALSE)), "NA")</f>
        <v>NA</v>
      </c>
      <c r="U5201" s="2" t="str">
        <f t="shared" si="419"/>
        <v>NA</v>
      </c>
    </row>
    <row r="5202" spans="1:21" ht="14.25" customHeight="1">
      <c r="A5202" s="2" t="s">
        <v>15</v>
      </c>
      <c r="B5202" s="2">
        <v>2019</v>
      </c>
      <c r="C5202" s="2" t="s">
        <v>20</v>
      </c>
      <c r="D5202" s="2">
        <v>61.5</v>
      </c>
      <c r="E5202" s="2">
        <v>76.599999999999994</v>
      </c>
      <c r="F5202" s="2">
        <v>62.2</v>
      </c>
      <c r="G5202" s="2">
        <v>86.5</v>
      </c>
      <c r="H5202" s="2">
        <v>20.100000000000001</v>
      </c>
      <c r="I5202" s="2">
        <v>56</v>
      </c>
      <c r="P5202" s="3">
        <f>E5202*(VLOOKUP(B5202,Price_data!A$1:B$190,2,FALSE))</f>
        <v>45.167980335819998</v>
      </c>
      <c r="Q5202" s="3">
        <f>G5202*(VLOOKUP(B5202,Price_data!A$1:B$190,2,FALSE))</f>
        <v>51.005617481050002</v>
      </c>
      <c r="R5202" s="3">
        <f>I5202*(VLOOKUP(B5202,Price_data!A$1:B$190,2,FALSE))</f>
        <v>33.020977791200004</v>
      </c>
      <c r="S5202" s="4" t="str">
        <f>(VLOOKUP(B5202,Price_data!A$1:C$190,3,FALSE))</f>
        <v>EEZ</v>
      </c>
      <c r="T5202" s="2" t="str">
        <f>IF(C5202="Total", (VLOOKUP(B5202,Recommended_fish_intake!A$4:D$122,4,FALSE)), "NA")</f>
        <v>NA</v>
      </c>
      <c r="U5202" s="2" t="str">
        <f t="shared" si="419"/>
        <v>NA</v>
      </c>
    </row>
    <row r="5203" spans="1:21" ht="14.25" customHeight="1">
      <c r="A5203" s="2" t="s">
        <v>15</v>
      </c>
      <c r="B5203" s="2">
        <v>2019</v>
      </c>
      <c r="C5203" s="2" t="s">
        <v>36</v>
      </c>
      <c r="D5203" s="2">
        <v>30</v>
      </c>
      <c r="E5203" s="2">
        <v>71</v>
      </c>
      <c r="F5203" s="2">
        <v>16.899999999999999</v>
      </c>
      <c r="G5203" s="2">
        <v>102.3</v>
      </c>
      <c r="H5203" s="2">
        <v>3.2</v>
      </c>
      <c r="I5203" s="2">
        <v>27.4</v>
      </c>
      <c r="P5203" s="3">
        <f>E5203*(VLOOKUP(B5203,Price_data!A$1:B$190,2,FALSE))</f>
        <v>41.865882556700001</v>
      </c>
      <c r="Q5203" s="3">
        <f>G5203*(VLOOKUP(B5203,Price_data!A$1:B$190,2,FALSE))</f>
        <v>60.322250500710005</v>
      </c>
      <c r="R5203" s="3">
        <f>I5203*(VLOOKUP(B5203,Price_data!A$1:B$190,2,FALSE))</f>
        <v>16.156692704979999</v>
      </c>
      <c r="S5203" s="4" t="str">
        <f>(VLOOKUP(B5203,Price_data!A$1:C$190,3,FALSE))</f>
        <v>EEZ</v>
      </c>
      <c r="T5203" s="2" t="str">
        <f>IF(C5203="Total", (VLOOKUP(B5203,Recommended_fish_intake!A$4:D$122,4,FALSE)), "NA")</f>
        <v>NA</v>
      </c>
      <c r="U5203" s="2" t="str">
        <f t="shared" si="419"/>
        <v>NA</v>
      </c>
    </row>
    <row r="5204" spans="1:21" ht="14.25" customHeight="1">
      <c r="A5204" s="2" t="s">
        <v>15</v>
      </c>
      <c r="B5204" s="2">
        <v>2019</v>
      </c>
      <c r="C5204" s="2" t="s">
        <v>34</v>
      </c>
      <c r="D5204" s="2">
        <v>3.3</v>
      </c>
      <c r="E5204" s="2">
        <v>46.3</v>
      </c>
      <c r="F5204" s="2">
        <v>4.0999999999999996</v>
      </c>
      <c r="G5204" s="2">
        <v>59.7</v>
      </c>
      <c r="H5204" s="2">
        <v>2</v>
      </c>
      <c r="I5204" s="2">
        <v>32.4</v>
      </c>
      <c r="P5204" s="3">
        <f>E5204*(VLOOKUP(B5204,Price_data!A$1:B$190,2,FALSE))</f>
        <v>27.301272709510002</v>
      </c>
      <c r="Q5204" s="3">
        <f>G5204*(VLOOKUP(B5204,Price_data!A$1:B$190,2,FALSE))</f>
        <v>35.202720966690002</v>
      </c>
      <c r="R5204" s="3">
        <f>I5204*(VLOOKUP(B5204,Price_data!A$1:B$190,2,FALSE))</f>
        <v>19.104994293480001</v>
      </c>
      <c r="S5204" s="4" t="str">
        <f>(VLOOKUP(B5204,Price_data!A$1:C$190,3,FALSE))</f>
        <v>EEZ</v>
      </c>
      <c r="T5204" s="2" t="str">
        <f>IF(C5204="Total", (VLOOKUP(B5204,Recommended_fish_intake!A$4:D$122,4,FALSE)), "NA")</f>
        <v>NA</v>
      </c>
      <c r="U5204" s="2" t="str">
        <f t="shared" si="419"/>
        <v>NA</v>
      </c>
    </row>
    <row r="5205" spans="1:21" ht="14.25" customHeight="1">
      <c r="A5205" s="2" t="s">
        <v>15</v>
      </c>
      <c r="B5205" s="2">
        <v>2019</v>
      </c>
      <c r="C5205" s="2" t="s">
        <v>35</v>
      </c>
      <c r="D5205" s="2">
        <v>33.9</v>
      </c>
      <c r="E5205" s="2">
        <v>112.1</v>
      </c>
      <c r="F5205" s="2">
        <v>14</v>
      </c>
      <c r="G5205" s="2">
        <v>112.5</v>
      </c>
      <c r="H5205" s="2">
        <v>3</v>
      </c>
      <c r="I5205" s="2">
        <v>15.2</v>
      </c>
      <c r="P5205" s="3">
        <f>E5205*(VLOOKUP(B5205,Price_data!A$1:B$190,2,FALSE))</f>
        <v>66.100921614170005</v>
      </c>
      <c r="Q5205" s="3">
        <f>G5205*(VLOOKUP(B5205,Price_data!A$1:B$190,2,FALSE))</f>
        <v>66.336785741250011</v>
      </c>
      <c r="R5205" s="3">
        <f>I5205*(VLOOKUP(B5205,Price_data!A$1:B$190,2,FALSE))</f>
        <v>8.9628368290400005</v>
      </c>
      <c r="S5205" s="4" t="str">
        <f>(VLOOKUP(B5205,Price_data!A$1:C$190,3,FALSE))</f>
        <v>EEZ</v>
      </c>
      <c r="T5205" s="2" t="str">
        <f>IF(C5205="Total", (VLOOKUP(B5205,Recommended_fish_intake!A$4:D$122,4,FALSE)), "NA")</f>
        <v>NA</v>
      </c>
      <c r="U5205" s="2" t="str">
        <f t="shared" si="419"/>
        <v>NA</v>
      </c>
    </row>
    <row r="5206" spans="1:21" ht="14.25" customHeight="1">
      <c r="A5206" s="2" t="s">
        <v>15</v>
      </c>
      <c r="B5206" s="2">
        <v>2019</v>
      </c>
      <c r="C5206" s="2" t="s">
        <v>52</v>
      </c>
      <c r="D5206" s="2">
        <v>28.2</v>
      </c>
      <c r="E5206" s="2">
        <v>61.4</v>
      </c>
      <c r="F5206" s="2">
        <v>7</v>
      </c>
      <c r="G5206" s="2">
        <v>84.4</v>
      </c>
      <c r="H5206" s="2">
        <v>1.2</v>
      </c>
      <c r="I5206" s="2">
        <v>18.5</v>
      </c>
      <c r="P5206" s="3">
        <f>E5206*(VLOOKUP(B5206,Price_data!A$1:B$190,2,FALSE))</f>
        <v>36.205143506780004</v>
      </c>
      <c r="Q5206" s="3">
        <f>G5206*(VLOOKUP(B5206,Price_data!A$1:B$190,2,FALSE))</f>
        <v>49.767330813880008</v>
      </c>
      <c r="R5206" s="3">
        <f>I5206*(VLOOKUP(B5206,Price_data!A$1:B$190,2,FALSE))</f>
        <v>10.908715877450001</v>
      </c>
      <c r="S5206" s="4" t="str">
        <f>(VLOOKUP(B5206,Price_data!A$1:C$190,3,FALSE))</f>
        <v>EEZ</v>
      </c>
      <c r="T5206" s="2" t="str">
        <f>IF(C5206="Total", (VLOOKUP(B5206,Recommended_fish_intake!A$4:D$122,4,FALSE)), "NA")</f>
        <v>NA</v>
      </c>
      <c r="U5206" s="2" t="str">
        <f t="shared" si="419"/>
        <v>NA</v>
      </c>
    </row>
    <row r="5207" spans="1:21" ht="14.25" customHeight="1">
      <c r="A5207" s="2" t="s">
        <v>15</v>
      </c>
      <c r="B5207" s="2">
        <v>2019</v>
      </c>
      <c r="C5207" s="2" t="s">
        <v>30</v>
      </c>
      <c r="D5207" s="2">
        <v>0.4</v>
      </c>
      <c r="E5207" s="2">
        <v>0.7</v>
      </c>
      <c r="F5207" s="2">
        <v>11.2</v>
      </c>
      <c r="G5207" s="2">
        <v>75.900000000000006</v>
      </c>
      <c r="H5207" s="2">
        <v>78.2</v>
      </c>
      <c r="I5207" s="2">
        <v>633.29999999999995</v>
      </c>
      <c r="P5207" s="3">
        <f>E5207*(VLOOKUP(B5207,Price_data!A$1:B$190,2,FALSE))</f>
        <v>0.41276222238999999</v>
      </c>
      <c r="Q5207" s="3">
        <f>G5207*(VLOOKUP(B5207,Price_data!A$1:B$190,2,FALSE))</f>
        <v>44.755218113430004</v>
      </c>
      <c r="R5207" s="3">
        <f>I5207*(VLOOKUP(B5207,Price_data!A$1:B$190,2,FALSE))</f>
        <v>373.43187919940999</v>
      </c>
      <c r="S5207" s="4" t="str">
        <f>(VLOOKUP(B5207,Price_data!A$1:C$190,3,FALSE))</f>
        <v>EEZ</v>
      </c>
      <c r="T5207" s="2" t="str">
        <f>IF(C5207="Total", (VLOOKUP(B5207,Recommended_fish_intake!A$4:D$122,4,FALSE)), "NA")</f>
        <v>NA</v>
      </c>
      <c r="U5207" s="2" t="str">
        <f t="shared" si="419"/>
        <v>NA</v>
      </c>
    </row>
    <row r="5208" spans="1:21" ht="14.25" customHeight="1">
      <c r="A5208" s="2" t="s">
        <v>15</v>
      </c>
      <c r="B5208" s="2">
        <v>2019</v>
      </c>
      <c r="C5208" s="2" t="s">
        <v>41</v>
      </c>
      <c r="D5208" s="2">
        <v>137.1</v>
      </c>
      <c r="E5208" s="2">
        <v>294.60000000000002</v>
      </c>
      <c r="P5208" s="3">
        <f>E5208*(VLOOKUP(B5208,Price_data!A$1:B$190,2,FALSE))</f>
        <v>173.71392959442002</v>
      </c>
      <c r="Q5208" s="3">
        <f>G5208*(VLOOKUP(B5208,Price_data!A$1:B$190,2,FALSE))</f>
        <v>0</v>
      </c>
      <c r="R5208" s="3">
        <f>I5208*(VLOOKUP(B5208,Price_data!A$1:B$190,2,FALSE))</f>
        <v>0</v>
      </c>
      <c r="S5208" s="4" t="str">
        <f>(VLOOKUP(B5208,Price_data!A$1:C$190,3,FALSE))</f>
        <v>EEZ</v>
      </c>
      <c r="T5208" s="2" t="str">
        <f>IF(C5208="Total", (VLOOKUP(B5208,Recommended_fish_intake!A$4:D$122,4,FALSE)), "NA")</f>
        <v>NA</v>
      </c>
      <c r="U5208" s="2" t="str">
        <f t="shared" si="419"/>
        <v>NA</v>
      </c>
    </row>
    <row r="5209" spans="1:21" ht="14.25" customHeight="1">
      <c r="A5209" s="2" t="s">
        <v>15</v>
      </c>
      <c r="B5209" s="2">
        <v>2019</v>
      </c>
      <c r="C5209" s="2" t="s">
        <v>42</v>
      </c>
      <c r="D5209" s="2">
        <v>118.5</v>
      </c>
      <c r="E5209" s="2">
        <v>101.2</v>
      </c>
      <c r="P5209" s="3">
        <f>E5209*(VLOOKUP(B5209,Price_data!A$1:B$190,2,FALSE))</f>
        <v>59.673624151240006</v>
      </c>
      <c r="Q5209" s="3">
        <f>G5209*(VLOOKUP(B5209,Price_data!A$1:B$190,2,FALSE))</f>
        <v>0</v>
      </c>
      <c r="R5209" s="3">
        <f>I5209*(VLOOKUP(B5209,Price_data!A$1:B$190,2,FALSE))</f>
        <v>0</v>
      </c>
      <c r="S5209" s="4" t="str">
        <f>(VLOOKUP(B5209,Price_data!A$1:C$190,3,FALSE))</f>
        <v>EEZ</v>
      </c>
      <c r="T5209" s="2" t="str">
        <f>IF(C5209="Total", (VLOOKUP(B5209,Recommended_fish_intake!A$4:D$122,4,FALSE)), "NA")</f>
        <v>NA</v>
      </c>
      <c r="U5209" s="2" t="str">
        <f t="shared" si="419"/>
        <v>NA</v>
      </c>
    </row>
    <row r="5210" spans="1:21" ht="14.25" customHeight="1">
      <c r="A5210" s="2" t="s">
        <v>15</v>
      </c>
      <c r="B5210" s="2">
        <v>2019</v>
      </c>
      <c r="C5210" s="2" t="s">
        <v>28</v>
      </c>
      <c r="D5210" s="2">
        <v>135.6</v>
      </c>
      <c r="E5210" s="2">
        <v>366.5</v>
      </c>
      <c r="F5210" s="2">
        <v>81.400000000000006</v>
      </c>
      <c r="G5210" s="2">
        <v>560.70000000000005</v>
      </c>
      <c r="H5210" s="2">
        <v>128.30000000000001</v>
      </c>
      <c r="I5210" s="2">
        <v>832.7</v>
      </c>
      <c r="P5210" s="3">
        <f>E5210*(VLOOKUP(B5210,Price_data!A$1:B$190,2,FALSE))</f>
        <v>216.11050643705002</v>
      </c>
      <c r="Q5210" s="3">
        <f>G5210*(VLOOKUP(B5210,Price_data!A$1:B$190,2,FALSE))</f>
        <v>330.62254013439008</v>
      </c>
      <c r="R5210" s="3">
        <f>I5210*(VLOOKUP(B5210,Price_data!A$1:B$190,2,FALSE))</f>
        <v>491.01014654879009</v>
      </c>
      <c r="S5210" s="4" t="str">
        <f>(VLOOKUP(B5210,Price_data!A$1:C$190,3,FALSE))</f>
        <v>EEZ</v>
      </c>
      <c r="T5210" s="2" t="str">
        <f>IF(C5210="Total", (VLOOKUP(B5210,Recommended_fish_intake!A$4:D$122,4,FALSE)), "NA")</f>
        <v>NA</v>
      </c>
      <c r="U5210" s="2">
        <f t="shared" si="419"/>
        <v>37.968000000000004</v>
      </c>
    </row>
    <row r="5211" spans="1:21" ht="14.25" customHeight="1">
      <c r="A5211" s="2" t="s">
        <v>15</v>
      </c>
      <c r="B5211" s="2">
        <v>2019</v>
      </c>
      <c r="C5211" s="2" t="s">
        <v>37</v>
      </c>
      <c r="D5211" s="3">
        <f>D5191+D5196</f>
        <v>431.91300000000001</v>
      </c>
      <c r="E5211" s="3">
        <f>E5191+E5196</f>
        <v>741.04599999999994</v>
      </c>
      <c r="F5211" s="2">
        <v>370.8</v>
      </c>
      <c r="G5211" s="2">
        <v>1443</v>
      </c>
      <c r="H5211" s="2">
        <v>592.70000000000005</v>
      </c>
      <c r="I5211" s="2">
        <v>2624.6</v>
      </c>
      <c r="P5211" s="3">
        <f>E5211*(VLOOKUP(B5211,Price_data!A$1:B$190,2,FALSE))</f>
        <v>436.96541979031417</v>
      </c>
      <c r="Q5211" s="3">
        <f>G5211*(VLOOKUP(B5211,Price_data!A$1:B$190,2,FALSE))</f>
        <v>850.87983844110011</v>
      </c>
      <c r="R5211" s="3">
        <f>I5211*(VLOOKUP(B5211,Price_data!A$1:B$190,2,FALSE))</f>
        <v>1547.6224698354201</v>
      </c>
      <c r="S5211" s="4" t="str">
        <f>(VLOOKUP(B5211,Price_data!A$1:C$190,3,FALSE))</f>
        <v>EEZ</v>
      </c>
      <c r="T5211" s="2" t="str">
        <f>IF(C5211="Total", (VLOOKUP(B5211,Recommended_fish_intake!A$4:D$122,4,FALSE)), "NA")</f>
        <v>NA</v>
      </c>
      <c r="U5211" s="2">
        <f t="shared" si="419"/>
        <v>211.63737</v>
      </c>
    </row>
    <row r="5212" spans="1:21" ht="14.25" customHeight="1">
      <c r="A5212" s="2" t="s">
        <v>90</v>
      </c>
      <c r="B5212" s="2">
        <v>2019</v>
      </c>
      <c r="C5212" s="2" t="s">
        <v>22</v>
      </c>
      <c r="D5212" s="2">
        <v>3.4</v>
      </c>
      <c r="E5212" s="2">
        <v>8.1</v>
      </c>
      <c r="P5212" s="3">
        <f>E5212*(VLOOKUP(B5212,Price_data!A$1:B$190,2,FALSE))</f>
        <v>4.7762485733700002</v>
      </c>
      <c r="Q5212" s="3">
        <f>G5212*(VLOOKUP(B5212,Price_data!A$1:B$190,2,FALSE))</f>
        <v>0</v>
      </c>
      <c r="R5212" s="3">
        <f>I5212*(VLOOKUP(B5212,Price_data!A$1:B$190,2,FALSE))</f>
        <v>0</v>
      </c>
      <c r="S5212" s="4" t="str">
        <f>(VLOOKUP(B5212,Price_data!A$1:C$190,3,FALSE))</f>
        <v>EEZ</v>
      </c>
      <c r="T5212" s="2" t="str">
        <f>IF(C5212="Total", (VLOOKUP(B5212,Recommended_fish_intake!A$4:D$122,4,FALSE)), "NA")</f>
        <v>NA</v>
      </c>
      <c r="U5212" s="2" t="str">
        <f t="shared" si="419"/>
        <v>NA</v>
      </c>
    </row>
    <row r="5213" spans="1:21" ht="14.25" customHeight="1">
      <c r="A5213" s="2" t="s">
        <v>90</v>
      </c>
      <c r="B5213" s="2">
        <v>2019</v>
      </c>
      <c r="C5213" s="2" t="s">
        <v>23</v>
      </c>
      <c r="D5213" s="2">
        <v>0.8</v>
      </c>
      <c r="E5213" s="2">
        <v>1.5</v>
      </c>
      <c r="P5213" s="3">
        <f>E5213*(VLOOKUP(B5213,Price_data!A$1:B$190,2,FALSE))</f>
        <v>0.88449047655000013</v>
      </c>
      <c r="Q5213" s="3">
        <f>G5213*(VLOOKUP(B5213,Price_data!A$1:B$190,2,FALSE))</f>
        <v>0</v>
      </c>
      <c r="R5213" s="3">
        <f>I5213*(VLOOKUP(B5213,Price_data!A$1:B$190,2,FALSE))</f>
        <v>0</v>
      </c>
      <c r="S5213" s="4" t="str">
        <f>(VLOOKUP(B5213,Price_data!A$1:C$190,3,FALSE))</f>
        <v>EEZ</v>
      </c>
      <c r="T5213" s="2" t="str">
        <f>IF(C5213="Total", (VLOOKUP(B5213,Recommended_fish_intake!A$4:D$122,4,FALSE)), "NA")</f>
        <v>NA</v>
      </c>
      <c r="U5213" s="2" t="str">
        <f t="shared" si="419"/>
        <v>NA</v>
      </c>
    </row>
    <row r="5214" spans="1:21" ht="14.25" customHeight="1">
      <c r="A5214" s="2" t="s">
        <v>90</v>
      </c>
      <c r="B5214" s="2">
        <v>2019</v>
      </c>
      <c r="C5214" s="2" t="s">
        <v>53</v>
      </c>
      <c r="D5214" s="2">
        <v>2</v>
      </c>
      <c r="E5214" s="2">
        <v>6.1</v>
      </c>
      <c r="P5214" s="3">
        <f>E5214*(VLOOKUP(B5214,Price_data!A$1:B$190,2,FALSE))</f>
        <v>3.5969279379699999</v>
      </c>
      <c r="Q5214" s="3">
        <f>G5214*(VLOOKUP(B5214,Price_data!A$1:B$190,2,FALSE))</f>
        <v>0</v>
      </c>
      <c r="R5214" s="3">
        <f>I5214*(VLOOKUP(B5214,Price_data!A$1:B$190,2,FALSE))</f>
        <v>0</v>
      </c>
      <c r="S5214" s="4" t="str">
        <f>(VLOOKUP(B5214,Price_data!A$1:C$190,3,FALSE))</f>
        <v>EEZ</v>
      </c>
      <c r="T5214" s="2" t="str">
        <f>IF(C5214="Total", (VLOOKUP(B5214,Recommended_fish_intake!A$4:D$122,4,FALSE)), "NA")</f>
        <v>NA</v>
      </c>
      <c r="U5214" s="2" t="str">
        <f t="shared" si="419"/>
        <v>NA</v>
      </c>
    </row>
    <row r="5215" spans="1:21" ht="14.25" customHeight="1">
      <c r="A5215" s="2" t="s">
        <v>90</v>
      </c>
      <c r="B5215" s="2">
        <v>2019</v>
      </c>
      <c r="C5215" s="2" t="s">
        <v>58</v>
      </c>
      <c r="D5215" s="2">
        <v>2.6</v>
      </c>
      <c r="E5215" s="2">
        <v>7.7</v>
      </c>
      <c r="P5215" s="3">
        <f>E5215*(VLOOKUP(B5215,Price_data!A$1:B$190,2,FALSE))</f>
        <v>4.54038444629</v>
      </c>
      <c r="Q5215" s="3">
        <f>G5215*(VLOOKUP(B5215,Price_data!A$1:B$190,2,FALSE))</f>
        <v>0</v>
      </c>
      <c r="R5215" s="3">
        <f>I5215*(VLOOKUP(B5215,Price_data!A$1:B$190,2,FALSE))</f>
        <v>0</v>
      </c>
      <c r="S5215" s="4" t="str">
        <f>(VLOOKUP(B5215,Price_data!A$1:C$190,3,FALSE))</f>
        <v>EEZ</v>
      </c>
      <c r="T5215" s="2" t="str">
        <f>IF(C5215="Total", (VLOOKUP(B5215,Recommended_fish_intake!A$4:D$122,4,FALSE)), "NA")</f>
        <v>NA</v>
      </c>
      <c r="U5215" s="2" t="str">
        <f t="shared" si="419"/>
        <v>NA</v>
      </c>
    </row>
    <row r="5216" spans="1:21" ht="14.25" customHeight="1">
      <c r="A5216" s="2" t="s">
        <v>90</v>
      </c>
      <c r="B5216" s="2">
        <v>2019</v>
      </c>
      <c r="C5216" s="2" t="s">
        <v>19</v>
      </c>
      <c r="D5216" s="2">
        <v>2.2999999999999998</v>
      </c>
      <c r="E5216" s="2">
        <v>1</v>
      </c>
      <c r="P5216" s="3">
        <f>E5216*(VLOOKUP(B5216,Price_data!A$1:B$190,2,FALSE))</f>
        <v>0.58966031770000005</v>
      </c>
      <c r="Q5216" s="3">
        <f>G5216*(VLOOKUP(B5216,Price_data!A$1:B$190,2,FALSE))</f>
        <v>0</v>
      </c>
      <c r="R5216" s="3">
        <f>I5216*(VLOOKUP(B5216,Price_data!A$1:B$190,2,FALSE))</f>
        <v>0</v>
      </c>
      <c r="S5216" s="4" t="str">
        <f>(VLOOKUP(B5216,Price_data!A$1:C$190,3,FALSE))</f>
        <v>EEZ</v>
      </c>
      <c r="T5216" s="2" t="str">
        <f>IF(C5216="Total", (VLOOKUP(B5216,Recommended_fish_intake!A$4:D$122,4,FALSE)), "NA")</f>
        <v>NA</v>
      </c>
      <c r="U5216" s="2" t="str">
        <f t="shared" si="419"/>
        <v>NA</v>
      </c>
    </row>
    <row r="5217" spans="1:21" ht="14.25" customHeight="1">
      <c r="A5217" s="2" t="s">
        <v>90</v>
      </c>
      <c r="B5217" s="2">
        <v>2019</v>
      </c>
      <c r="C5217" s="2" t="s">
        <v>20</v>
      </c>
      <c r="D5217" s="2">
        <v>0.9</v>
      </c>
      <c r="E5217" s="2">
        <v>1.3</v>
      </c>
      <c r="P5217" s="3">
        <f>E5217*(VLOOKUP(B5217,Price_data!A$1:B$190,2,FALSE))</f>
        <v>0.76655841301000005</v>
      </c>
      <c r="Q5217" s="3">
        <f>G5217*(VLOOKUP(B5217,Price_data!A$1:B$190,2,FALSE))</f>
        <v>0</v>
      </c>
      <c r="R5217" s="3">
        <f>I5217*(VLOOKUP(B5217,Price_data!A$1:B$190,2,FALSE))</f>
        <v>0</v>
      </c>
      <c r="S5217" s="4" t="str">
        <f>(VLOOKUP(B5217,Price_data!A$1:C$190,3,FALSE))</f>
        <v>EEZ</v>
      </c>
      <c r="T5217" s="2" t="str">
        <f>IF(C5217="Total", (VLOOKUP(B5217,Recommended_fish_intake!A$4:D$122,4,FALSE)), "NA")</f>
        <v>NA</v>
      </c>
      <c r="U5217" s="2" t="str">
        <f t="shared" si="419"/>
        <v>NA</v>
      </c>
    </row>
    <row r="5218" spans="1:21" ht="14.25" customHeight="1">
      <c r="A5218" s="2" t="s">
        <v>90</v>
      </c>
      <c r="B5218" s="2">
        <v>2019</v>
      </c>
      <c r="C5218" s="2" t="s">
        <v>36</v>
      </c>
      <c r="D5218" s="2">
        <v>15.4</v>
      </c>
      <c r="E5218" s="2">
        <v>36.700000000000003</v>
      </c>
      <c r="P5218" s="3">
        <f>E5218*(VLOOKUP(B5218,Price_data!A$1:B$190,2,FALSE))</f>
        <v>21.640533659590002</v>
      </c>
      <c r="Q5218" s="3">
        <f>G5218*(VLOOKUP(B5218,Price_data!A$1:B$190,2,FALSE))</f>
        <v>0</v>
      </c>
      <c r="R5218" s="3">
        <f>I5218*(VLOOKUP(B5218,Price_data!A$1:B$190,2,FALSE))</f>
        <v>0</v>
      </c>
      <c r="S5218" s="4" t="str">
        <f>(VLOOKUP(B5218,Price_data!A$1:C$190,3,FALSE))</f>
        <v>EEZ</v>
      </c>
      <c r="T5218" s="2" t="str">
        <f>IF(C5218="Total", (VLOOKUP(B5218,Recommended_fish_intake!A$4:D$122,4,FALSE)), "NA")</f>
        <v>NA</v>
      </c>
      <c r="U5218" s="2" t="str">
        <f t="shared" si="419"/>
        <v>NA</v>
      </c>
    </row>
    <row r="5219" spans="1:21" ht="14.25" customHeight="1">
      <c r="A5219" s="2" t="s">
        <v>90</v>
      </c>
      <c r="B5219" s="2">
        <v>2019</v>
      </c>
      <c r="C5219" s="2" t="s">
        <v>34</v>
      </c>
      <c r="D5219" s="2">
        <v>1.7</v>
      </c>
      <c r="E5219" s="2">
        <v>23.9</v>
      </c>
      <c r="P5219" s="3">
        <f>E5219*(VLOOKUP(B5219,Price_data!A$1:B$190,2,FALSE))</f>
        <v>14.09288159303</v>
      </c>
      <c r="Q5219" s="3">
        <f>G5219*(VLOOKUP(B5219,Price_data!A$1:B$190,2,FALSE))</f>
        <v>0</v>
      </c>
      <c r="R5219" s="3">
        <f>I5219*(VLOOKUP(B5219,Price_data!A$1:B$190,2,FALSE))</f>
        <v>0</v>
      </c>
      <c r="S5219" s="4" t="str">
        <f>(VLOOKUP(B5219,Price_data!A$1:C$190,3,FALSE))</f>
        <v>EEZ</v>
      </c>
      <c r="T5219" s="2" t="str">
        <f>IF(C5219="Total", (VLOOKUP(B5219,Recommended_fish_intake!A$4:D$122,4,FALSE)), "NA")</f>
        <v>NA</v>
      </c>
      <c r="U5219" s="2" t="str">
        <f t="shared" si="419"/>
        <v>NA</v>
      </c>
    </row>
    <row r="5220" spans="1:21" ht="14.25" customHeight="1">
      <c r="A5220" s="2" t="s">
        <v>90</v>
      </c>
      <c r="B5220" s="2">
        <v>2019</v>
      </c>
      <c r="C5220" s="2" t="s">
        <v>35</v>
      </c>
      <c r="D5220" s="2">
        <v>4.2</v>
      </c>
      <c r="E5220" s="2">
        <v>13.8</v>
      </c>
      <c r="P5220" s="3">
        <f>E5220*(VLOOKUP(B5220,Price_data!A$1:B$190,2,FALSE))</f>
        <v>8.1373123842600013</v>
      </c>
      <c r="Q5220" s="3">
        <f>G5220*(VLOOKUP(B5220,Price_data!A$1:B$190,2,FALSE))</f>
        <v>0</v>
      </c>
      <c r="R5220" s="3">
        <f>I5220*(VLOOKUP(B5220,Price_data!A$1:B$190,2,FALSE))</f>
        <v>0</v>
      </c>
      <c r="S5220" s="4" t="str">
        <f>(VLOOKUP(B5220,Price_data!A$1:C$190,3,FALSE))</f>
        <v>EEZ</v>
      </c>
      <c r="T5220" s="2" t="str">
        <f>IF(C5220="Total", (VLOOKUP(B5220,Recommended_fish_intake!A$4:D$122,4,FALSE)), "NA")</f>
        <v>NA</v>
      </c>
      <c r="U5220" s="2" t="str">
        <f t="shared" si="419"/>
        <v>NA</v>
      </c>
    </row>
    <row r="5221" spans="1:21" ht="14.25" customHeight="1">
      <c r="A5221" s="2" t="s">
        <v>90</v>
      </c>
      <c r="B5221" s="2">
        <v>2019</v>
      </c>
      <c r="C5221" s="2" t="s">
        <v>52</v>
      </c>
      <c r="D5221" s="2">
        <v>15.6</v>
      </c>
      <c r="E5221" s="2">
        <v>34.5</v>
      </c>
      <c r="P5221" s="3">
        <f>E5221*(VLOOKUP(B5221,Price_data!A$1:B$190,2,FALSE))</f>
        <v>20.343280960650002</v>
      </c>
      <c r="Q5221" s="3">
        <f>G5221*(VLOOKUP(B5221,Price_data!A$1:B$190,2,FALSE))</f>
        <v>0</v>
      </c>
      <c r="R5221" s="3">
        <f>I5221*(VLOOKUP(B5221,Price_data!A$1:B$190,2,FALSE))</f>
        <v>0</v>
      </c>
      <c r="S5221" s="4" t="str">
        <f>(VLOOKUP(B5221,Price_data!A$1:C$190,3,FALSE))</f>
        <v>EEZ</v>
      </c>
      <c r="T5221" s="2" t="str">
        <f>IF(C5221="Total", (VLOOKUP(B5221,Recommended_fish_intake!A$4:D$122,4,FALSE)), "NA")</f>
        <v>NA</v>
      </c>
      <c r="U5221" s="2" t="str">
        <f t="shared" si="419"/>
        <v>NA</v>
      </c>
    </row>
    <row r="5222" spans="1:21" ht="14.25" customHeight="1">
      <c r="A5222" s="2" t="s">
        <v>90</v>
      </c>
      <c r="B5222" s="2">
        <v>2019</v>
      </c>
      <c r="C5222" s="2" t="s">
        <v>30</v>
      </c>
      <c r="D5222" s="2">
        <v>0.3</v>
      </c>
      <c r="E5222" s="2">
        <v>0.7</v>
      </c>
      <c r="P5222" s="3">
        <f>E5222*(VLOOKUP(B5222,Price_data!A$1:B$190,2,FALSE))</f>
        <v>0.41276222238999999</v>
      </c>
      <c r="Q5222" s="3">
        <f>G5222*(VLOOKUP(B5222,Price_data!A$1:B$190,2,FALSE))</f>
        <v>0</v>
      </c>
      <c r="R5222" s="3">
        <f>I5222*(VLOOKUP(B5222,Price_data!A$1:B$190,2,FALSE))</f>
        <v>0</v>
      </c>
      <c r="S5222" s="4" t="str">
        <f>(VLOOKUP(B5222,Price_data!A$1:C$190,3,FALSE))</f>
        <v>EEZ</v>
      </c>
      <c r="T5222" s="2" t="str">
        <f>IF(C5222="Total", (VLOOKUP(B5222,Recommended_fish_intake!A$4:D$122,4,FALSE)), "NA")</f>
        <v>NA</v>
      </c>
      <c r="U5222" s="2" t="str">
        <f t="shared" si="419"/>
        <v>NA</v>
      </c>
    </row>
    <row r="5223" spans="1:21" ht="14.25" customHeight="1">
      <c r="A5223" s="2" t="s">
        <v>90</v>
      </c>
      <c r="B5223" s="2">
        <v>2019</v>
      </c>
      <c r="C5223" s="2" t="s">
        <v>41</v>
      </c>
      <c r="D5223" s="2">
        <v>23.2</v>
      </c>
      <c r="E5223" s="2">
        <v>72.900000000000006</v>
      </c>
      <c r="P5223" s="3">
        <f>E5223*(VLOOKUP(B5223,Price_data!A$1:B$190,2,FALSE))</f>
        <v>42.986237160330006</v>
      </c>
      <c r="Q5223" s="3">
        <f>G5223*(VLOOKUP(B5223,Price_data!A$1:B$190,2,FALSE))</f>
        <v>0</v>
      </c>
      <c r="R5223" s="3">
        <f>I5223*(VLOOKUP(B5223,Price_data!A$1:B$190,2,FALSE))</f>
        <v>0</v>
      </c>
      <c r="S5223" s="4" t="str">
        <f>(VLOOKUP(B5223,Price_data!A$1:C$190,3,FALSE))</f>
        <v>EEZ</v>
      </c>
      <c r="T5223" s="2" t="str">
        <f>IF(C5223="Total", (VLOOKUP(B5223,Recommended_fish_intake!A$4:D$122,4,FALSE)), "NA")</f>
        <v>NA</v>
      </c>
      <c r="U5223" s="2" t="str">
        <f t="shared" si="419"/>
        <v>NA</v>
      </c>
    </row>
    <row r="5224" spans="1:21" ht="14.25" customHeight="1">
      <c r="A5224" s="2" t="s">
        <v>90</v>
      </c>
      <c r="B5224" s="2">
        <v>2019</v>
      </c>
      <c r="C5224" s="2" t="s">
        <v>42</v>
      </c>
      <c r="D5224" s="2">
        <v>14.4</v>
      </c>
      <c r="E5224" s="2">
        <v>7</v>
      </c>
      <c r="P5224" s="3">
        <f>E5224*(VLOOKUP(B5224,Price_data!A$1:B$190,2,FALSE))</f>
        <v>4.1276222239000004</v>
      </c>
      <c r="Q5224" s="3">
        <f>G5224*(VLOOKUP(B5224,Price_data!A$1:B$190,2,FALSE))</f>
        <v>0</v>
      </c>
      <c r="R5224" s="3">
        <f>I5224*(VLOOKUP(B5224,Price_data!A$1:B$190,2,FALSE))</f>
        <v>0</v>
      </c>
      <c r="S5224" s="4" t="str">
        <f>(VLOOKUP(B5224,Price_data!A$1:C$190,3,FALSE))</f>
        <v>EEZ</v>
      </c>
      <c r="T5224" s="2" t="str">
        <f>IF(C5224="Total", (VLOOKUP(B5224,Recommended_fish_intake!A$4:D$122,4,FALSE)), "NA")</f>
        <v>NA</v>
      </c>
      <c r="U5224" s="2" t="str">
        <f t="shared" si="419"/>
        <v>NA</v>
      </c>
    </row>
    <row r="5225" spans="1:21" ht="14.25" customHeight="1">
      <c r="A5225" s="2" t="s">
        <v>90</v>
      </c>
      <c r="B5225" s="2">
        <v>2019</v>
      </c>
      <c r="C5225" s="2" t="s">
        <v>28</v>
      </c>
      <c r="D5225" s="2">
        <v>103</v>
      </c>
      <c r="E5225" s="2">
        <v>155.30000000000001</v>
      </c>
      <c r="P5225" s="3">
        <f>E5225*(VLOOKUP(B5225,Price_data!A$1:B$190,2,FALSE))</f>
        <v>91.574247338810011</v>
      </c>
      <c r="Q5225" s="3">
        <f>G5225*(VLOOKUP(B5225,Price_data!A$1:B$190,2,FALSE))</f>
        <v>0</v>
      </c>
      <c r="R5225" s="3">
        <f>I5225*(VLOOKUP(B5225,Price_data!A$1:B$190,2,FALSE))</f>
        <v>0</v>
      </c>
      <c r="S5225" s="4" t="str">
        <f>(VLOOKUP(B5225,Price_data!A$1:C$190,3,FALSE))</f>
        <v>EEZ</v>
      </c>
      <c r="T5225" s="2" t="str">
        <f>IF(C5225="Total", (VLOOKUP(B5225,Recommended_fish_intake!A$4:D$122,4,FALSE)), "NA")</f>
        <v>NA</v>
      </c>
      <c r="U5225" s="2">
        <f t="shared" si="419"/>
        <v>28.840000000000003</v>
      </c>
    </row>
    <row r="5226" spans="1:21" ht="14.25" customHeight="1">
      <c r="A5226" s="2" t="s">
        <v>91</v>
      </c>
      <c r="B5226" s="2">
        <v>2019</v>
      </c>
      <c r="C5226" s="2" t="s">
        <v>22</v>
      </c>
      <c r="D5226" s="2">
        <v>0.01</v>
      </c>
      <c r="E5226" s="2">
        <v>0.01</v>
      </c>
      <c r="P5226" s="3">
        <f>E5226*(VLOOKUP(B5226,Price_data!A$1:B$190,2,FALSE))</f>
        <v>5.8966031770000009E-3</v>
      </c>
      <c r="Q5226" s="3">
        <f>G5226*(VLOOKUP(B5226,Price_data!A$1:B$190,2,FALSE))</f>
        <v>0</v>
      </c>
      <c r="R5226" s="3">
        <f>I5226*(VLOOKUP(B5226,Price_data!A$1:B$190,2,FALSE))</f>
        <v>0</v>
      </c>
      <c r="S5226" s="4" t="str">
        <f>(VLOOKUP(B5226,Price_data!A$1:C$190,3,FALSE))</f>
        <v>EEZ</v>
      </c>
      <c r="T5226" s="2" t="str">
        <f>IF(C5226="Total", (VLOOKUP(B5226,Recommended_fish_intake!A$4:D$122,4,FALSE)), "NA")</f>
        <v>NA</v>
      </c>
      <c r="U5226" s="2" t="str">
        <f t="shared" si="419"/>
        <v>NA</v>
      </c>
    </row>
    <row r="5227" spans="1:21" ht="14.25" customHeight="1">
      <c r="A5227" s="2" t="s">
        <v>91</v>
      </c>
      <c r="B5227" s="2">
        <v>2019</v>
      </c>
      <c r="C5227" s="2" t="s">
        <v>23</v>
      </c>
      <c r="D5227" s="2">
        <v>0.01</v>
      </c>
      <c r="E5227" s="2">
        <v>0</v>
      </c>
      <c r="P5227" s="3">
        <f>E5227*(VLOOKUP(B5227,Price_data!A$1:B$190,2,FALSE))</f>
        <v>0</v>
      </c>
      <c r="Q5227" s="3">
        <f>G5227*(VLOOKUP(B5227,Price_data!A$1:B$190,2,FALSE))</f>
        <v>0</v>
      </c>
      <c r="R5227" s="3">
        <f>I5227*(VLOOKUP(B5227,Price_data!A$1:B$190,2,FALSE))</f>
        <v>0</v>
      </c>
      <c r="S5227" s="4" t="str">
        <f>(VLOOKUP(B5227,Price_data!A$1:C$190,3,FALSE))</f>
        <v>EEZ</v>
      </c>
      <c r="T5227" s="2" t="str">
        <f>IF(C5227="Total", (VLOOKUP(B5227,Recommended_fish_intake!A$4:D$122,4,FALSE)), "NA")</f>
        <v>NA</v>
      </c>
      <c r="U5227" s="2" t="str">
        <f t="shared" si="419"/>
        <v>NA</v>
      </c>
    </row>
    <row r="5228" spans="1:21" ht="14.25" customHeight="1">
      <c r="A5228" s="2" t="s">
        <v>91</v>
      </c>
      <c r="B5228" s="2">
        <v>2019</v>
      </c>
      <c r="C5228" s="2" t="s">
        <v>53</v>
      </c>
      <c r="D5228" s="2">
        <v>0.03</v>
      </c>
      <c r="E5228" s="2">
        <v>0.04</v>
      </c>
      <c r="P5228" s="3">
        <f>E5228*(VLOOKUP(B5228,Price_data!A$1:B$190,2,FALSE))</f>
        <v>2.3586412708000003E-2</v>
      </c>
      <c r="Q5228" s="3">
        <f>G5228*(VLOOKUP(B5228,Price_data!A$1:B$190,2,FALSE))</f>
        <v>0</v>
      </c>
      <c r="R5228" s="3">
        <f>I5228*(VLOOKUP(B5228,Price_data!A$1:B$190,2,FALSE))</f>
        <v>0</v>
      </c>
      <c r="S5228" s="4" t="str">
        <f>(VLOOKUP(B5228,Price_data!A$1:C$190,3,FALSE))</f>
        <v>EEZ</v>
      </c>
      <c r="T5228" s="2" t="str">
        <f>IF(C5228="Total", (VLOOKUP(B5228,Recommended_fish_intake!A$4:D$122,4,FALSE)), "NA")</f>
        <v>NA</v>
      </c>
      <c r="U5228" s="2" t="str">
        <f t="shared" si="419"/>
        <v>NA</v>
      </c>
    </row>
    <row r="5229" spans="1:21" ht="14.25" customHeight="1">
      <c r="A5229" s="2" t="s">
        <v>91</v>
      </c>
      <c r="B5229" s="2">
        <v>2019</v>
      </c>
      <c r="C5229" s="2" t="s">
        <v>58</v>
      </c>
      <c r="D5229" s="2">
        <v>0.13</v>
      </c>
      <c r="E5229" s="2">
        <v>0.1</v>
      </c>
      <c r="P5229" s="3">
        <f>E5229*(VLOOKUP(B5229,Price_data!A$1:B$190,2,FALSE))</f>
        <v>5.896603177000001E-2</v>
      </c>
      <c r="Q5229" s="3">
        <f>G5229*(VLOOKUP(B5229,Price_data!A$1:B$190,2,FALSE))</f>
        <v>0</v>
      </c>
      <c r="R5229" s="3">
        <f>I5229*(VLOOKUP(B5229,Price_data!A$1:B$190,2,FALSE))</f>
        <v>0</v>
      </c>
      <c r="S5229" s="4" t="str">
        <f>(VLOOKUP(B5229,Price_data!A$1:C$190,3,FALSE))</f>
        <v>EEZ</v>
      </c>
      <c r="T5229" s="2" t="str">
        <f>IF(C5229="Total", (VLOOKUP(B5229,Recommended_fish_intake!A$4:D$122,4,FALSE)), "NA")</f>
        <v>NA</v>
      </c>
      <c r="U5229" s="2" t="str">
        <f t="shared" si="419"/>
        <v>NA</v>
      </c>
    </row>
    <row r="5230" spans="1:21" ht="14.25" customHeight="1">
      <c r="A5230" s="2" t="s">
        <v>91</v>
      </c>
      <c r="B5230" s="2">
        <v>2019</v>
      </c>
      <c r="C5230" s="2" t="s">
        <v>19</v>
      </c>
      <c r="D5230" s="2">
        <v>0</v>
      </c>
      <c r="E5230" s="2">
        <v>0</v>
      </c>
      <c r="P5230" s="3">
        <f>E5230*(VLOOKUP(B5230,Price_data!A$1:B$190,2,FALSE))</f>
        <v>0</v>
      </c>
      <c r="Q5230" s="3">
        <f>G5230*(VLOOKUP(B5230,Price_data!A$1:B$190,2,FALSE))</f>
        <v>0</v>
      </c>
      <c r="R5230" s="3">
        <f>I5230*(VLOOKUP(B5230,Price_data!A$1:B$190,2,FALSE))</f>
        <v>0</v>
      </c>
      <c r="S5230" s="4" t="str">
        <f>(VLOOKUP(B5230,Price_data!A$1:C$190,3,FALSE))</f>
        <v>EEZ</v>
      </c>
      <c r="T5230" s="2" t="str">
        <f>IF(C5230="Total", (VLOOKUP(B5230,Recommended_fish_intake!A$4:D$122,4,FALSE)), "NA")</f>
        <v>NA</v>
      </c>
      <c r="U5230" s="2" t="str">
        <f t="shared" si="419"/>
        <v>NA</v>
      </c>
    </row>
    <row r="5231" spans="1:21" ht="14.25" customHeight="1">
      <c r="A5231" s="2" t="s">
        <v>91</v>
      </c>
      <c r="B5231" s="2">
        <v>2019</v>
      </c>
      <c r="C5231" s="2" t="s">
        <v>20</v>
      </c>
      <c r="D5231" s="2">
        <v>0</v>
      </c>
      <c r="E5231" s="2">
        <v>0</v>
      </c>
      <c r="P5231" s="3">
        <f>E5231*(VLOOKUP(B5231,Price_data!A$1:B$190,2,FALSE))</f>
        <v>0</v>
      </c>
      <c r="Q5231" s="3">
        <f>G5231*(VLOOKUP(B5231,Price_data!A$1:B$190,2,FALSE))</f>
        <v>0</v>
      </c>
      <c r="R5231" s="3">
        <f>I5231*(VLOOKUP(B5231,Price_data!A$1:B$190,2,FALSE))</f>
        <v>0</v>
      </c>
      <c r="S5231" s="4" t="str">
        <f>(VLOOKUP(B5231,Price_data!A$1:C$190,3,FALSE))</f>
        <v>EEZ</v>
      </c>
      <c r="T5231" s="2" t="str">
        <f>IF(C5231="Total", (VLOOKUP(B5231,Recommended_fish_intake!A$4:D$122,4,FALSE)), "NA")</f>
        <v>NA</v>
      </c>
      <c r="U5231" s="2" t="str">
        <f t="shared" si="419"/>
        <v>NA</v>
      </c>
    </row>
    <row r="5232" spans="1:21" ht="14.25" customHeight="1">
      <c r="A5232" s="2" t="s">
        <v>91</v>
      </c>
      <c r="B5232" s="2">
        <v>2019</v>
      </c>
      <c r="C5232" s="2" t="s">
        <v>36</v>
      </c>
      <c r="D5232" s="2">
        <v>0.71</v>
      </c>
      <c r="E5232" s="2">
        <v>1.3</v>
      </c>
      <c r="P5232" s="3">
        <f>E5232*(VLOOKUP(B5232,Price_data!A$1:B$190,2,FALSE))</f>
        <v>0.76655841301000005</v>
      </c>
      <c r="Q5232" s="3">
        <f>G5232*(VLOOKUP(B5232,Price_data!A$1:B$190,2,FALSE))</f>
        <v>0</v>
      </c>
      <c r="R5232" s="3">
        <f>I5232*(VLOOKUP(B5232,Price_data!A$1:B$190,2,FALSE))</f>
        <v>0</v>
      </c>
      <c r="S5232" s="4" t="str">
        <f>(VLOOKUP(B5232,Price_data!A$1:C$190,3,FALSE))</f>
        <v>EEZ</v>
      </c>
      <c r="T5232" s="2" t="str">
        <f>IF(C5232="Total", (VLOOKUP(B5232,Recommended_fish_intake!A$4:D$122,4,FALSE)), "NA")</f>
        <v>NA</v>
      </c>
      <c r="U5232" s="2" t="str">
        <f t="shared" si="419"/>
        <v>NA</v>
      </c>
    </row>
    <row r="5233" spans="1:21" ht="14.25" customHeight="1">
      <c r="A5233" s="2" t="s">
        <v>91</v>
      </c>
      <c r="B5233" s="2">
        <v>2019</v>
      </c>
      <c r="C5233" s="2" t="s">
        <v>34</v>
      </c>
      <c r="D5233" s="2">
        <v>0.24</v>
      </c>
      <c r="E5233" s="2">
        <v>3.23</v>
      </c>
      <c r="P5233" s="3">
        <f>E5233*(VLOOKUP(B5233,Price_data!A$1:B$190,2,FALSE))</f>
        <v>1.9046028261710002</v>
      </c>
      <c r="Q5233" s="3">
        <f>G5233*(VLOOKUP(B5233,Price_data!A$1:B$190,2,FALSE))</f>
        <v>0</v>
      </c>
      <c r="R5233" s="3">
        <f>I5233*(VLOOKUP(B5233,Price_data!A$1:B$190,2,FALSE))</f>
        <v>0</v>
      </c>
      <c r="S5233" s="4" t="str">
        <f>(VLOOKUP(B5233,Price_data!A$1:C$190,3,FALSE))</f>
        <v>EEZ</v>
      </c>
      <c r="T5233" s="2" t="str">
        <f>IF(C5233="Total", (VLOOKUP(B5233,Recommended_fish_intake!A$4:D$122,4,FALSE)), "NA")</f>
        <v>NA</v>
      </c>
      <c r="U5233" s="2" t="str">
        <f t="shared" si="419"/>
        <v>NA</v>
      </c>
    </row>
    <row r="5234" spans="1:21" ht="14.25" customHeight="1">
      <c r="A5234" s="2" t="s">
        <v>91</v>
      </c>
      <c r="B5234" s="2">
        <v>2019</v>
      </c>
      <c r="C5234" s="2" t="s">
        <v>35</v>
      </c>
      <c r="D5234" s="2">
        <v>0.04</v>
      </c>
      <c r="E5234" s="2">
        <v>0.1</v>
      </c>
      <c r="P5234" s="3">
        <f>E5234*(VLOOKUP(B5234,Price_data!A$1:B$190,2,FALSE))</f>
        <v>5.896603177000001E-2</v>
      </c>
      <c r="Q5234" s="3">
        <f>G5234*(VLOOKUP(B5234,Price_data!A$1:B$190,2,FALSE))</f>
        <v>0</v>
      </c>
      <c r="R5234" s="3">
        <f>I5234*(VLOOKUP(B5234,Price_data!A$1:B$190,2,FALSE))</f>
        <v>0</v>
      </c>
      <c r="S5234" s="4" t="str">
        <f>(VLOOKUP(B5234,Price_data!A$1:C$190,3,FALSE))</f>
        <v>EEZ</v>
      </c>
      <c r="T5234" s="2" t="str">
        <f>IF(C5234="Total", (VLOOKUP(B5234,Recommended_fish_intake!A$4:D$122,4,FALSE)), "NA")</f>
        <v>NA</v>
      </c>
      <c r="U5234" s="2" t="str">
        <f t="shared" si="419"/>
        <v>NA</v>
      </c>
    </row>
    <row r="5235" spans="1:21" ht="14.25" customHeight="1">
      <c r="A5235" s="2" t="s">
        <v>91</v>
      </c>
      <c r="B5235" s="2">
        <v>2019</v>
      </c>
      <c r="C5235" s="2" t="s">
        <v>52</v>
      </c>
      <c r="D5235" s="2">
        <v>0.81</v>
      </c>
      <c r="E5235" s="2">
        <v>1.57</v>
      </c>
      <c r="P5235" s="3">
        <f>E5235*(VLOOKUP(B5235,Price_data!A$1:B$190,2,FALSE))</f>
        <v>0.92576669878900009</v>
      </c>
      <c r="Q5235" s="3">
        <f>G5235*(VLOOKUP(B5235,Price_data!A$1:B$190,2,FALSE))</f>
        <v>0</v>
      </c>
      <c r="R5235" s="3">
        <f>I5235*(VLOOKUP(B5235,Price_data!A$1:B$190,2,FALSE))</f>
        <v>0</v>
      </c>
      <c r="S5235" s="4" t="str">
        <f>(VLOOKUP(B5235,Price_data!A$1:C$190,3,FALSE))</f>
        <v>EEZ</v>
      </c>
      <c r="T5235" s="2" t="str">
        <f>IF(C5235="Total", (VLOOKUP(B5235,Recommended_fish_intake!A$4:D$122,4,FALSE)), "NA")</f>
        <v>NA</v>
      </c>
      <c r="U5235" s="2" t="str">
        <f t="shared" si="419"/>
        <v>NA</v>
      </c>
    </row>
    <row r="5236" spans="1:21" ht="14.25" customHeight="1">
      <c r="A5236" s="2" t="s">
        <v>91</v>
      </c>
      <c r="B5236" s="2">
        <v>2019</v>
      </c>
      <c r="C5236" s="2" t="s">
        <v>30</v>
      </c>
      <c r="D5236" s="2">
        <v>0</v>
      </c>
      <c r="E5236" s="2">
        <v>0</v>
      </c>
      <c r="P5236" s="3">
        <f>E5236*(VLOOKUP(B5236,Price_data!A$1:B$190,2,FALSE))</f>
        <v>0</v>
      </c>
      <c r="Q5236" s="3">
        <f>G5236*(VLOOKUP(B5236,Price_data!A$1:B$190,2,FALSE))</f>
        <v>0</v>
      </c>
      <c r="R5236" s="3">
        <f>I5236*(VLOOKUP(B5236,Price_data!A$1:B$190,2,FALSE))</f>
        <v>0</v>
      </c>
      <c r="S5236" s="4" t="str">
        <f>(VLOOKUP(B5236,Price_data!A$1:C$190,3,FALSE))</f>
        <v>EEZ</v>
      </c>
      <c r="T5236" s="2" t="str">
        <f>IF(C5236="Total", (VLOOKUP(B5236,Recommended_fish_intake!A$4:D$122,4,FALSE)), "NA")</f>
        <v>NA</v>
      </c>
      <c r="U5236" s="2" t="str">
        <f t="shared" si="419"/>
        <v>NA</v>
      </c>
    </row>
    <row r="5237" spans="1:21" ht="14.25" customHeight="1">
      <c r="A5237" s="2" t="s">
        <v>91</v>
      </c>
      <c r="B5237" s="2">
        <v>2019</v>
      </c>
      <c r="C5237" s="2" t="s">
        <v>41</v>
      </c>
      <c r="D5237" s="2">
        <v>0.72</v>
      </c>
      <c r="E5237" s="2">
        <v>1.08</v>
      </c>
      <c r="P5237" s="3">
        <f>E5237*(VLOOKUP(B5237,Price_data!A$1:B$190,2,FALSE))</f>
        <v>0.63683314311600014</v>
      </c>
      <c r="Q5237" s="3">
        <f>G5237*(VLOOKUP(B5237,Price_data!A$1:B$190,2,FALSE))</f>
        <v>0</v>
      </c>
      <c r="R5237" s="3">
        <f>I5237*(VLOOKUP(B5237,Price_data!A$1:B$190,2,FALSE))</f>
        <v>0</v>
      </c>
      <c r="S5237" s="4" t="str">
        <f>(VLOOKUP(B5237,Price_data!A$1:C$190,3,FALSE))</f>
        <v>EEZ</v>
      </c>
      <c r="T5237" s="2" t="str">
        <f>IF(C5237="Total", (VLOOKUP(B5237,Recommended_fish_intake!A$4:D$122,4,FALSE)), "NA")</f>
        <v>NA</v>
      </c>
      <c r="U5237" s="2" t="str">
        <f t="shared" si="419"/>
        <v>NA</v>
      </c>
    </row>
    <row r="5238" spans="1:21" ht="14.25" customHeight="1">
      <c r="A5238" s="2" t="s">
        <v>91</v>
      </c>
      <c r="B5238" s="2">
        <v>2019</v>
      </c>
      <c r="C5238" s="2" t="s">
        <v>42</v>
      </c>
      <c r="D5238" s="2">
        <v>0</v>
      </c>
      <c r="E5238" s="2">
        <v>0</v>
      </c>
      <c r="P5238" s="3">
        <f>E5238*(VLOOKUP(B5238,Price_data!A$1:B$190,2,FALSE))</f>
        <v>0</v>
      </c>
      <c r="Q5238" s="3">
        <f>G5238*(VLOOKUP(B5238,Price_data!A$1:B$190,2,FALSE))</f>
        <v>0</v>
      </c>
      <c r="R5238" s="3">
        <f>I5238*(VLOOKUP(B5238,Price_data!A$1:B$190,2,FALSE))</f>
        <v>0</v>
      </c>
      <c r="S5238" s="4" t="str">
        <f>(VLOOKUP(B5238,Price_data!A$1:C$190,3,FALSE))</f>
        <v>EEZ</v>
      </c>
      <c r="T5238" s="2" t="str">
        <f>IF(C5238="Total", (VLOOKUP(B5238,Recommended_fish_intake!A$4:D$122,4,FALSE)), "NA")</f>
        <v>NA</v>
      </c>
      <c r="U5238" s="2" t="str">
        <f t="shared" si="419"/>
        <v>NA</v>
      </c>
    </row>
    <row r="5239" spans="1:21" ht="14.25" customHeight="1">
      <c r="A5239" s="2" t="s">
        <v>91</v>
      </c>
      <c r="B5239" s="2">
        <v>2019</v>
      </c>
      <c r="C5239" s="2" t="s">
        <v>28</v>
      </c>
      <c r="D5239" s="2">
        <v>5.94</v>
      </c>
      <c r="E5239" s="2">
        <v>11.23</v>
      </c>
      <c r="P5239" s="3">
        <f>E5239*(VLOOKUP(B5239,Price_data!A$1:B$190,2,FALSE))</f>
        <v>6.621885367771001</v>
      </c>
      <c r="Q5239" s="3">
        <f>G5239*(VLOOKUP(B5239,Price_data!A$1:B$190,2,FALSE))</f>
        <v>0</v>
      </c>
      <c r="R5239" s="3">
        <f>I5239*(VLOOKUP(B5239,Price_data!A$1:B$190,2,FALSE))</f>
        <v>0</v>
      </c>
      <c r="S5239" s="4" t="str">
        <f>(VLOOKUP(B5239,Price_data!A$1:C$190,3,FALSE))</f>
        <v>EEZ</v>
      </c>
      <c r="T5239" s="2" t="str">
        <f>IF(C5239="Total", (VLOOKUP(B5239,Recommended_fish_intake!A$4:D$122,4,FALSE)), "NA")</f>
        <v>NA</v>
      </c>
      <c r="U5239" s="2">
        <f t="shared" si="419"/>
        <v>1.6632000000000002</v>
      </c>
    </row>
    <row r="5240" spans="1:21" ht="14.25" customHeight="1">
      <c r="A5240" s="2" t="s">
        <v>39</v>
      </c>
      <c r="B5240" s="2">
        <v>2019</v>
      </c>
      <c r="C5240" s="2" t="s">
        <v>22</v>
      </c>
      <c r="D5240" s="2">
        <v>18.4561928</v>
      </c>
      <c r="E5240" s="2">
        <v>51.016890480000001</v>
      </c>
      <c r="P5240" s="3">
        <f>E5240*(VLOOKUP(B5240,Price_data!A$1:B$190,2,FALSE))</f>
        <v>30.082635848502907</v>
      </c>
      <c r="Q5240" s="3">
        <f>G5240*(VLOOKUP(B5240,Price_data!A$1:B$190,2,FALSE))</f>
        <v>0</v>
      </c>
      <c r="R5240" s="3">
        <f>I5240*(VLOOKUP(B5240,Price_data!A$1:B$190,2,FALSE))</f>
        <v>0</v>
      </c>
      <c r="S5240" s="4" t="str">
        <f>(VLOOKUP(B5240,Price_data!A$1:C$190,3,FALSE))</f>
        <v>EEZ</v>
      </c>
      <c r="T5240" s="2" t="str">
        <f>IF(C5240="Total", (VLOOKUP(B5240,Recommended_fish_intake!A$4:D$122,4,FALSE)), "NA")</f>
        <v>NA</v>
      </c>
      <c r="U5240" s="2" t="str">
        <f t="shared" si="419"/>
        <v>NA</v>
      </c>
    </row>
    <row r="5241" spans="1:21" ht="14.25" customHeight="1">
      <c r="A5241" s="2" t="s">
        <v>39</v>
      </c>
      <c r="B5241" s="2">
        <v>2019</v>
      </c>
      <c r="C5241" s="2" t="s">
        <v>23</v>
      </c>
      <c r="D5241" s="2">
        <v>31.312000000000001</v>
      </c>
      <c r="E5241" s="2">
        <v>47.15744153</v>
      </c>
      <c r="P5241" s="3">
        <f>E5241*(VLOOKUP(B5241,Price_data!A$1:B$190,2,FALSE))</f>
        <v>27.806871954498977</v>
      </c>
      <c r="Q5241" s="3">
        <f>G5241*(VLOOKUP(B5241,Price_data!A$1:B$190,2,FALSE))</f>
        <v>0</v>
      </c>
      <c r="R5241" s="3">
        <f>I5241*(VLOOKUP(B5241,Price_data!A$1:B$190,2,FALSE))</f>
        <v>0</v>
      </c>
      <c r="S5241" s="4" t="str">
        <f>(VLOOKUP(B5241,Price_data!A$1:C$190,3,FALSE))</f>
        <v>EEZ</v>
      </c>
      <c r="T5241" s="2" t="str">
        <f>IF(C5241="Total", (VLOOKUP(B5241,Recommended_fish_intake!A$4:D$122,4,FALSE)), "NA")</f>
        <v>NA</v>
      </c>
      <c r="U5241" s="2" t="str">
        <f t="shared" si="419"/>
        <v>NA</v>
      </c>
    </row>
    <row r="5242" spans="1:21" ht="14.25" customHeight="1">
      <c r="A5242" s="2" t="s">
        <v>39</v>
      </c>
      <c r="B5242" s="2">
        <v>2019</v>
      </c>
      <c r="C5242" s="2" t="s">
        <v>53</v>
      </c>
      <c r="D5242" s="2">
        <v>7.9220201000000001</v>
      </c>
      <c r="E5242" s="2">
        <v>18.833989859999999</v>
      </c>
      <c r="P5242" s="3">
        <f>E5242*(VLOOKUP(B5242,Price_data!A$1:B$190,2,FALSE))</f>
        <v>11.105656444406179</v>
      </c>
      <c r="Q5242" s="3">
        <f>G5242*(VLOOKUP(B5242,Price_data!A$1:B$190,2,FALSE))</f>
        <v>0</v>
      </c>
      <c r="R5242" s="3">
        <f>I5242*(VLOOKUP(B5242,Price_data!A$1:B$190,2,FALSE))</f>
        <v>0</v>
      </c>
      <c r="S5242" s="4" t="str">
        <f>(VLOOKUP(B5242,Price_data!A$1:C$190,3,FALSE))</f>
        <v>EEZ</v>
      </c>
      <c r="T5242" s="2" t="str">
        <f>IF(C5242="Total", (VLOOKUP(B5242,Recommended_fish_intake!A$4:D$122,4,FALSE)), "NA")</f>
        <v>NA</v>
      </c>
      <c r="U5242" s="2" t="str">
        <f t="shared" si="419"/>
        <v>NA</v>
      </c>
    </row>
    <row r="5243" spans="1:21" ht="14.25" customHeight="1">
      <c r="A5243" s="2" t="s">
        <v>39</v>
      </c>
      <c r="B5243" s="2">
        <v>2019</v>
      </c>
      <c r="C5243" s="2" t="s">
        <v>58</v>
      </c>
      <c r="D5243" s="2">
        <v>10.850244200000001</v>
      </c>
      <c r="E5243" s="2">
        <v>34.731736269999999</v>
      </c>
      <c r="P5243" s="3">
        <f>E5243*(VLOOKUP(B5243,Price_data!A$1:B$190,2,FALSE))</f>
        <v>20.479926643240812</v>
      </c>
      <c r="Q5243" s="3">
        <f>G5243*(VLOOKUP(B5243,Price_data!A$1:B$190,2,FALSE))</f>
        <v>0</v>
      </c>
      <c r="R5243" s="3">
        <f>I5243*(VLOOKUP(B5243,Price_data!A$1:B$190,2,FALSE))</f>
        <v>0</v>
      </c>
      <c r="S5243" s="4" t="str">
        <f>(VLOOKUP(B5243,Price_data!A$1:C$190,3,FALSE))</f>
        <v>EEZ</v>
      </c>
      <c r="T5243" s="2" t="str">
        <f>IF(C5243="Total", (VLOOKUP(B5243,Recommended_fish_intake!A$4:D$122,4,FALSE)), "NA")</f>
        <v>NA</v>
      </c>
      <c r="U5243" s="2" t="str">
        <f t="shared" si="419"/>
        <v>NA</v>
      </c>
    </row>
    <row r="5244" spans="1:21" ht="14.25" customHeight="1">
      <c r="A5244" s="2" t="s">
        <v>39</v>
      </c>
      <c r="B5244" s="2">
        <v>2019</v>
      </c>
      <c r="C5244" s="2" t="s">
        <v>19</v>
      </c>
      <c r="D5244" s="2">
        <v>29.8232854</v>
      </c>
      <c r="E5244" s="2">
        <v>15.392128250000001</v>
      </c>
      <c r="P5244" s="3">
        <f>E5244*(VLOOKUP(B5244,Price_data!A$1:B$190,2,FALSE))</f>
        <v>9.0761272339741463</v>
      </c>
      <c r="Q5244" s="3">
        <f>G5244*(VLOOKUP(B5244,Price_data!A$1:B$190,2,FALSE))</f>
        <v>0</v>
      </c>
      <c r="R5244" s="3">
        <f>I5244*(VLOOKUP(B5244,Price_data!A$1:B$190,2,FALSE))</f>
        <v>0</v>
      </c>
      <c r="S5244" s="4" t="str">
        <f>(VLOOKUP(B5244,Price_data!A$1:C$190,3,FALSE))</f>
        <v>EEZ</v>
      </c>
      <c r="T5244" s="2" t="str">
        <f>IF(C5244="Total", (VLOOKUP(B5244,Recommended_fish_intake!A$4:D$122,4,FALSE)), "NA")</f>
        <v>NA</v>
      </c>
      <c r="U5244" s="2" t="str">
        <f t="shared" si="419"/>
        <v>NA</v>
      </c>
    </row>
    <row r="5245" spans="1:21" ht="14.25" customHeight="1">
      <c r="A5245" s="2" t="s">
        <v>39</v>
      </c>
      <c r="B5245" s="2">
        <v>2019</v>
      </c>
      <c r="C5245" s="2" t="s">
        <v>20</v>
      </c>
      <c r="D5245" s="2">
        <v>58.928228400000002</v>
      </c>
      <c r="E5245" s="2">
        <v>73.031417000000005</v>
      </c>
      <c r="P5245" s="3">
        <f>E5245*(VLOOKUP(B5245,Price_data!A$1:B$190,2,FALSE))</f>
        <v>43.063728550301185</v>
      </c>
      <c r="Q5245" s="3">
        <f>G5245*(VLOOKUP(B5245,Price_data!A$1:B$190,2,FALSE))</f>
        <v>0</v>
      </c>
      <c r="R5245" s="3">
        <f>I5245*(VLOOKUP(B5245,Price_data!A$1:B$190,2,FALSE))</f>
        <v>0</v>
      </c>
      <c r="S5245" s="4" t="str">
        <f>(VLOOKUP(B5245,Price_data!A$1:C$190,3,FALSE))</f>
        <v>EEZ</v>
      </c>
      <c r="T5245" s="2" t="str">
        <f>IF(C5245="Total", (VLOOKUP(B5245,Recommended_fish_intake!A$4:D$122,4,FALSE)), "NA")</f>
        <v>NA</v>
      </c>
      <c r="U5245" s="2" t="str">
        <f t="shared" si="419"/>
        <v>NA</v>
      </c>
    </row>
    <row r="5246" spans="1:21" ht="14.25" customHeight="1">
      <c r="A5246" s="2" t="s">
        <v>39</v>
      </c>
      <c r="B5246" s="2">
        <v>2019</v>
      </c>
      <c r="C5246" s="2" t="s">
        <v>36</v>
      </c>
      <c r="D5246" s="2">
        <v>11.8916948</v>
      </c>
      <c r="E5246" s="2">
        <v>28.999618439999999</v>
      </c>
      <c r="P5246" s="3">
        <f>E5246*(VLOOKUP(B5246,Price_data!A$1:B$190,2,FALSE))</f>
        <v>17.099924222509181</v>
      </c>
      <c r="Q5246" s="3">
        <f>G5246*(VLOOKUP(B5246,Price_data!A$1:B$190,2,FALSE))</f>
        <v>0</v>
      </c>
      <c r="R5246" s="3">
        <f>I5246*(VLOOKUP(B5246,Price_data!A$1:B$190,2,FALSE))</f>
        <v>0</v>
      </c>
      <c r="S5246" s="4" t="str">
        <f>(VLOOKUP(B5246,Price_data!A$1:C$190,3,FALSE))</f>
        <v>EEZ</v>
      </c>
      <c r="T5246" s="2" t="str">
        <f>IF(C5246="Total", (VLOOKUP(B5246,Recommended_fish_intake!A$4:D$122,4,FALSE)), "NA")</f>
        <v>NA</v>
      </c>
      <c r="U5246" s="2" t="str">
        <f t="shared" si="419"/>
        <v>NA</v>
      </c>
    </row>
    <row r="5247" spans="1:21" ht="14.25" customHeight="1">
      <c r="A5247" s="2" t="s">
        <v>39</v>
      </c>
      <c r="B5247" s="2">
        <v>2019</v>
      </c>
      <c r="C5247" s="2" t="s">
        <v>34</v>
      </c>
      <c r="D5247" s="2">
        <v>1.2390831</v>
      </c>
      <c r="E5247" s="2">
        <v>17.71266086</v>
      </c>
      <c r="P5247" s="3">
        <f>E5247*(VLOOKUP(B5247,Price_data!A$1:B$190,2,FALSE))</f>
        <v>10.444453230019956</v>
      </c>
      <c r="Q5247" s="3">
        <f>G5247*(VLOOKUP(B5247,Price_data!A$1:B$190,2,FALSE))</f>
        <v>0</v>
      </c>
      <c r="R5247" s="3">
        <f>I5247*(VLOOKUP(B5247,Price_data!A$1:B$190,2,FALSE))</f>
        <v>0</v>
      </c>
      <c r="S5247" s="4" t="str">
        <f>(VLOOKUP(B5247,Price_data!A$1:C$190,3,FALSE))</f>
        <v>EEZ</v>
      </c>
      <c r="T5247" s="2" t="str">
        <f>IF(C5247="Total", (VLOOKUP(B5247,Recommended_fish_intake!A$4:D$122,4,FALSE)), "NA")</f>
        <v>NA</v>
      </c>
      <c r="U5247" s="2" t="str">
        <f t="shared" si="419"/>
        <v>NA</v>
      </c>
    </row>
    <row r="5248" spans="1:21" ht="14.25" customHeight="1">
      <c r="A5248" s="2" t="s">
        <v>39</v>
      </c>
      <c r="B5248" s="2">
        <v>2019</v>
      </c>
      <c r="C5248" s="2" t="s">
        <v>35</v>
      </c>
      <c r="D5248" s="2">
        <v>23.2828184</v>
      </c>
      <c r="E5248" s="2">
        <v>82.468729819999993</v>
      </c>
      <c r="P5248" s="3">
        <f>E5248*(VLOOKUP(B5248,Price_data!A$1:B$190,2,FALSE))</f>
        <v>48.628537425976667</v>
      </c>
      <c r="Q5248" s="3">
        <f>G5248*(VLOOKUP(B5248,Price_data!A$1:B$190,2,FALSE))</f>
        <v>0</v>
      </c>
      <c r="R5248" s="3">
        <f>I5248*(VLOOKUP(B5248,Price_data!A$1:B$190,2,FALSE))</f>
        <v>0</v>
      </c>
      <c r="S5248" s="4" t="str">
        <f>(VLOOKUP(B5248,Price_data!A$1:C$190,3,FALSE))</f>
        <v>EEZ</v>
      </c>
      <c r="T5248" s="2" t="str">
        <f>IF(C5248="Total", (VLOOKUP(B5248,Recommended_fish_intake!A$4:D$122,4,FALSE)), "NA")</f>
        <v>NA</v>
      </c>
      <c r="U5248" s="2" t="str">
        <f t="shared" si="419"/>
        <v>NA</v>
      </c>
    </row>
    <row r="5249" spans="1:21" ht="14.25" customHeight="1">
      <c r="A5249" s="2" t="s">
        <v>39</v>
      </c>
      <c r="B5249" s="2">
        <v>2019</v>
      </c>
      <c r="C5249" s="2" t="s">
        <v>52</v>
      </c>
      <c r="D5249" s="2">
        <v>8.0569813000000003</v>
      </c>
      <c r="E5249" s="2">
        <v>18.616431420000001</v>
      </c>
      <c r="P5249" s="3">
        <f>E5249*(VLOOKUP(B5249,Price_data!A$1:B$190,2,FALSE))</f>
        <v>10.977370865557464</v>
      </c>
      <c r="Q5249" s="3">
        <f>G5249*(VLOOKUP(B5249,Price_data!A$1:B$190,2,FALSE))</f>
        <v>0</v>
      </c>
      <c r="R5249" s="3">
        <f>I5249*(VLOOKUP(B5249,Price_data!A$1:B$190,2,FALSE))</f>
        <v>0</v>
      </c>
      <c r="S5249" s="4" t="str">
        <f>(VLOOKUP(B5249,Price_data!A$1:C$190,3,FALSE))</f>
        <v>EEZ</v>
      </c>
      <c r="T5249" s="2" t="str">
        <f>IF(C5249="Total", (VLOOKUP(B5249,Recommended_fish_intake!A$4:D$122,4,FALSE)), "NA")</f>
        <v>NA</v>
      </c>
      <c r="U5249" s="2" t="str">
        <f t="shared" si="419"/>
        <v>NA</v>
      </c>
    </row>
    <row r="5250" spans="1:21" ht="14.25" customHeight="1">
      <c r="A5250" s="2" t="s">
        <v>39</v>
      </c>
      <c r="B5250" s="2">
        <v>2019</v>
      </c>
      <c r="C5250" s="2" t="s">
        <v>30</v>
      </c>
      <c r="D5250" s="2">
        <v>1.4518000000000001E-3</v>
      </c>
      <c r="E5250" s="2">
        <v>1.7993240000000001E-2</v>
      </c>
      <c r="P5250" s="3">
        <f>E5250*(VLOOKUP(B5250,Price_data!A$1:B$190,2,FALSE))</f>
        <v>1.0609899614852349E-2</v>
      </c>
      <c r="Q5250" s="3">
        <f>G5250*(VLOOKUP(B5250,Price_data!A$1:B$190,2,FALSE))</f>
        <v>0</v>
      </c>
      <c r="R5250" s="3">
        <f>I5250*(VLOOKUP(B5250,Price_data!A$1:B$190,2,FALSE))</f>
        <v>0</v>
      </c>
      <c r="S5250" s="4" t="str">
        <f>(VLOOKUP(B5250,Price_data!A$1:C$190,3,FALSE))</f>
        <v>EEZ</v>
      </c>
      <c r="T5250" s="2" t="str">
        <f>IF(C5250="Total", (VLOOKUP(B5250,Recommended_fish_intake!A$4:D$122,4,FALSE)), "NA")</f>
        <v>NA</v>
      </c>
      <c r="U5250" s="2" t="str">
        <f t="shared" ref="U5250:U5296" si="420">IF(C5250="Wet fish", D5250*0.49, IF(C5250="Shellfish", D5250*0.28, "NA"))</f>
        <v>NA</v>
      </c>
    </row>
    <row r="5251" spans="1:21" ht="14.25" customHeight="1">
      <c r="A5251" s="2" t="s">
        <v>39</v>
      </c>
      <c r="B5251" s="2">
        <v>2019</v>
      </c>
      <c r="C5251" s="2" t="s">
        <v>41</v>
      </c>
      <c r="D5251" s="2">
        <v>110.0819688</v>
      </c>
      <c r="E5251" s="2">
        <v>217.08585360000001</v>
      </c>
      <c r="P5251" s="3">
        <f>E5251*(VLOOKUP(B5251,Price_data!A$1:B$190,2,FALSE))</f>
        <v>128.00691340195169</v>
      </c>
      <c r="Q5251" s="3">
        <f>G5251*(VLOOKUP(B5251,Price_data!A$1:B$190,2,FALSE))</f>
        <v>0</v>
      </c>
      <c r="R5251" s="3">
        <f>I5251*(VLOOKUP(B5251,Price_data!A$1:B$190,2,FALSE))</f>
        <v>0</v>
      </c>
      <c r="S5251" s="4" t="str">
        <f>(VLOOKUP(B5251,Price_data!A$1:C$190,3,FALSE))</f>
        <v>EEZ</v>
      </c>
      <c r="T5251" s="2" t="str">
        <f>IF(C5251="Total", (VLOOKUP(B5251,Recommended_fish_intake!A$4:D$122,4,FALSE)), "NA")</f>
        <v>NA</v>
      </c>
      <c r="U5251" s="2" t="str">
        <f t="shared" si="420"/>
        <v>NA</v>
      </c>
    </row>
    <row r="5252" spans="1:21" ht="14.25" customHeight="1">
      <c r="A5252" s="2" t="s">
        <v>39</v>
      </c>
      <c r="B5252" s="2">
        <v>2019</v>
      </c>
      <c r="C5252" s="2" t="s">
        <v>42</v>
      </c>
      <c r="D5252" s="2">
        <v>99.788797400000007</v>
      </c>
      <c r="E5252" s="2">
        <v>90.793140649999998</v>
      </c>
      <c r="P5252" s="3">
        <f>E5252*(VLOOKUP(B5252,Price_data!A$1:B$190,2,FALSE))</f>
        <v>53.537112160659788</v>
      </c>
      <c r="Q5252" s="3">
        <f>G5252*(VLOOKUP(B5252,Price_data!A$1:B$190,2,FALSE))</f>
        <v>0</v>
      </c>
      <c r="R5252" s="3">
        <f>I5252*(VLOOKUP(B5252,Price_data!A$1:B$190,2,FALSE))</f>
        <v>0</v>
      </c>
      <c r="S5252" s="4" t="str">
        <f>(VLOOKUP(B5252,Price_data!A$1:C$190,3,FALSE))</f>
        <v>EEZ</v>
      </c>
      <c r="T5252" s="2" t="str">
        <f>IF(C5252="Total", (VLOOKUP(B5252,Recommended_fish_intake!A$4:D$122,4,FALSE)), "NA")</f>
        <v>NA</v>
      </c>
      <c r="U5252" s="2" t="str">
        <f t="shared" si="420"/>
        <v>NA</v>
      </c>
    </row>
    <row r="5253" spans="1:21" ht="14.25" customHeight="1">
      <c r="A5253" s="2" t="s">
        <v>39</v>
      </c>
      <c r="B5253" s="2">
        <v>2019</v>
      </c>
      <c r="C5253" s="2" t="s">
        <v>28</v>
      </c>
      <c r="D5253" s="2">
        <v>50.036433500000001</v>
      </c>
      <c r="E5253" s="2">
        <v>170.75210989999999</v>
      </c>
      <c r="P5253" s="3">
        <f>E5253*(VLOOKUP(B5253,Price_data!A$1:B$190,2,FALSE))</f>
        <v>100.68574337157932</v>
      </c>
      <c r="Q5253" s="3">
        <f>G5253*(VLOOKUP(B5253,Price_data!A$1:B$190,2,FALSE))</f>
        <v>0</v>
      </c>
      <c r="R5253" s="3">
        <f>I5253*(VLOOKUP(B5253,Price_data!A$1:B$190,2,FALSE))</f>
        <v>0</v>
      </c>
      <c r="S5253" s="4" t="str">
        <f>(VLOOKUP(B5253,Price_data!A$1:C$190,3,FALSE))</f>
        <v>EEZ</v>
      </c>
      <c r="T5253" s="2" t="str">
        <f>IF(C5253="Total", (VLOOKUP(B5253,Recommended_fish_intake!A$4:D$122,4,FALSE)), "NA")</f>
        <v>NA</v>
      </c>
      <c r="U5253" s="2">
        <f t="shared" si="420"/>
        <v>14.010201380000002</v>
      </c>
    </row>
    <row r="5254" spans="1:21" ht="14.25" customHeight="1">
      <c r="A5254" s="2" t="s">
        <v>40</v>
      </c>
      <c r="B5254" s="2">
        <v>2019</v>
      </c>
      <c r="C5254" s="2" t="s">
        <v>22</v>
      </c>
      <c r="D5254" s="2">
        <v>0.19112889999999999</v>
      </c>
      <c r="E5254" s="2">
        <v>0.54856183999999997</v>
      </c>
      <c r="P5254" s="3">
        <f>E5254*(VLOOKUP(B5254,Price_data!A$1:B$190,2,FALSE))</f>
        <v>0.32346514885249655</v>
      </c>
      <c r="Q5254" s="3">
        <f>G5254*(VLOOKUP(B5254,Price_data!A$1:B$190,2,FALSE))</f>
        <v>0</v>
      </c>
      <c r="R5254" s="3">
        <f>I5254*(VLOOKUP(B5254,Price_data!A$1:B$190,2,FALSE))</f>
        <v>0</v>
      </c>
      <c r="S5254" s="4" t="str">
        <f>(VLOOKUP(B5254,Price_data!A$1:C$190,3,FALSE))</f>
        <v>EEZ</v>
      </c>
      <c r="T5254" s="2" t="str">
        <f>IF(C5254="Total", (VLOOKUP(B5254,Recommended_fish_intake!A$4:D$122,4,FALSE)), "NA")</f>
        <v>NA</v>
      </c>
      <c r="U5254" s="2" t="str">
        <f t="shared" si="420"/>
        <v>NA</v>
      </c>
    </row>
    <row r="5255" spans="1:21" ht="14.25" customHeight="1">
      <c r="A5255" s="2" t="s">
        <v>40</v>
      </c>
      <c r="B5255" s="2">
        <v>2019</v>
      </c>
      <c r="C5255" s="2" t="s">
        <v>23</v>
      </c>
      <c r="D5255" s="2">
        <v>1.2205514</v>
      </c>
      <c r="E5255" s="2">
        <v>1.77258418</v>
      </c>
      <c r="P5255" s="3">
        <f>E5255*(VLOOKUP(B5255,Price_data!A$1:B$190,2,FALSE))</f>
        <v>1.045222550728794</v>
      </c>
      <c r="Q5255" s="3">
        <f>G5255*(VLOOKUP(B5255,Price_data!A$1:B$190,2,FALSE))</f>
        <v>0</v>
      </c>
      <c r="R5255" s="3">
        <f>I5255*(VLOOKUP(B5255,Price_data!A$1:B$190,2,FALSE))</f>
        <v>0</v>
      </c>
      <c r="S5255" s="4" t="str">
        <f>(VLOOKUP(B5255,Price_data!A$1:C$190,3,FALSE))</f>
        <v>EEZ</v>
      </c>
      <c r="T5255" s="2" t="str">
        <f>IF(C5255="Total", (VLOOKUP(B5255,Recommended_fish_intake!A$4:D$122,4,FALSE)), "NA")</f>
        <v>NA</v>
      </c>
      <c r="U5255" s="2" t="str">
        <f t="shared" si="420"/>
        <v>NA</v>
      </c>
    </row>
    <row r="5256" spans="1:21" ht="14.25" customHeight="1">
      <c r="A5256" s="2" t="s">
        <v>40</v>
      </c>
      <c r="B5256" s="2">
        <v>2019</v>
      </c>
      <c r="C5256" s="2" t="s">
        <v>53</v>
      </c>
      <c r="D5256" s="2">
        <v>0.1267752</v>
      </c>
      <c r="E5256" s="2">
        <v>0.30740275</v>
      </c>
      <c r="P5256" s="3">
        <f>E5256*(VLOOKUP(B5256,Price_data!A$1:B$190,2,FALSE))</f>
        <v>0.18126320322685369</v>
      </c>
      <c r="Q5256" s="3">
        <f>G5256*(VLOOKUP(B5256,Price_data!A$1:B$190,2,FALSE))</f>
        <v>0</v>
      </c>
      <c r="R5256" s="3">
        <f>I5256*(VLOOKUP(B5256,Price_data!A$1:B$190,2,FALSE))</f>
        <v>0</v>
      </c>
      <c r="S5256" s="4" t="str">
        <f>(VLOOKUP(B5256,Price_data!A$1:C$190,3,FALSE))</f>
        <v>EEZ</v>
      </c>
      <c r="T5256" s="2" t="str">
        <f>IF(C5256="Total", (VLOOKUP(B5256,Recommended_fish_intake!A$4:D$122,4,FALSE)), "NA")</f>
        <v>NA</v>
      </c>
      <c r="U5256" s="2" t="str">
        <f t="shared" si="420"/>
        <v>NA</v>
      </c>
    </row>
    <row r="5257" spans="1:21" ht="14.25" customHeight="1">
      <c r="A5257" s="2" t="s">
        <v>40</v>
      </c>
      <c r="B5257" s="2">
        <v>2019</v>
      </c>
      <c r="C5257" s="2" t="s">
        <v>58</v>
      </c>
      <c r="D5257" s="2">
        <v>0.7835609</v>
      </c>
      <c r="E5257" s="2">
        <v>0.34491363000000003</v>
      </c>
      <c r="P5257" s="3">
        <f>E5257*(VLOOKUP(B5257,Price_data!A$1:B$190,2,FALSE))</f>
        <v>0.20338188064486029</v>
      </c>
      <c r="Q5257" s="3">
        <f>G5257*(VLOOKUP(B5257,Price_data!A$1:B$190,2,FALSE))</f>
        <v>0</v>
      </c>
      <c r="R5257" s="3">
        <f>I5257*(VLOOKUP(B5257,Price_data!A$1:B$190,2,FALSE))</f>
        <v>0</v>
      </c>
      <c r="S5257" s="4" t="str">
        <f>(VLOOKUP(B5257,Price_data!A$1:C$190,3,FALSE))</f>
        <v>EEZ</v>
      </c>
      <c r="T5257" s="2" t="str">
        <f>IF(C5257="Total", (VLOOKUP(B5257,Recommended_fish_intake!A$4:D$122,4,FALSE)), "NA")</f>
        <v>NA</v>
      </c>
      <c r="U5257" s="2" t="str">
        <f t="shared" si="420"/>
        <v>NA</v>
      </c>
    </row>
    <row r="5258" spans="1:21" ht="14.25" customHeight="1">
      <c r="A5258" s="2" t="s">
        <v>40</v>
      </c>
      <c r="B5258" s="2">
        <v>2019</v>
      </c>
      <c r="C5258" s="2" t="s">
        <v>19</v>
      </c>
      <c r="D5258" s="2">
        <v>2.6695000000000002</v>
      </c>
      <c r="E5258" s="2">
        <v>1.1959234000000001</v>
      </c>
      <c r="P5258" s="3">
        <f>E5258*(VLOOKUP(B5258,Price_data!A$1:B$190,2,FALSE))</f>
        <v>0.70518857198886431</v>
      </c>
      <c r="Q5258" s="3">
        <f>G5258*(VLOOKUP(B5258,Price_data!A$1:B$190,2,FALSE))</f>
        <v>0</v>
      </c>
      <c r="R5258" s="3">
        <f>I5258*(VLOOKUP(B5258,Price_data!A$1:B$190,2,FALSE))</f>
        <v>0</v>
      </c>
      <c r="S5258" s="4" t="str">
        <f>(VLOOKUP(B5258,Price_data!A$1:C$190,3,FALSE))</f>
        <v>EEZ</v>
      </c>
      <c r="T5258" s="2" t="str">
        <f>IF(C5258="Total", (VLOOKUP(B5258,Recommended_fish_intake!A$4:D$122,4,FALSE)), "NA")</f>
        <v>NA</v>
      </c>
      <c r="U5258" s="2" t="str">
        <f t="shared" si="420"/>
        <v>NA</v>
      </c>
    </row>
    <row r="5259" spans="1:21" ht="14.25" customHeight="1">
      <c r="A5259" s="2" t="s">
        <v>40</v>
      </c>
      <c r="B5259" s="2">
        <v>2019</v>
      </c>
      <c r="C5259" s="2" t="s">
        <v>20</v>
      </c>
      <c r="D5259" s="2">
        <v>1.6551179</v>
      </c>
      <c r="E5259" s="2">
        <v>2.2176529999999999</v>
      </c>
      <c r="P5259" s="3">
        <f>E5259*(VLOOKUP(B5259,Price_data!A$1:B$190,2,FALSE))</f>
        <v>1.307661972528358</v>
      </c>
      <c r="Q5259" s="3">
        <f>G5259*(VLOOKUP(B5259,Price_data!A$1:B$190,2,FALSE))</f>
        <v>0</v>
      </c>
      <c r="R5259" s="3">
        <f>I5259*(VLOOKUP(B5259,Price_data!A$1:B$190,2,FALSE))</f>
        <v>0</v>
      </c>
      <c r="S5259" s="4" t="str">
        <f>(VLOOKUP(B5259,Price_data!A$1:C$190,3,FALSE))</f>
        <v>EEZ</v>
      </c>
      <c r="T5259" s="2" t="str">
        <f>IF(C5259="Total", (VLOOKUP(B5259,Recommended_fish_intake!A$4:D$122,4,FALSE)), "NA")</f>
        <v>NA</v>
      </c>
      <c r="U5259" s="2" t="str">
        <f t="shared" si="420"/>
        <v>NA</v>
      </c>
    </row>
    <row r="5260" spans="1:21" ht="14.25" customHeight="1">
      <c r="A5260" s="2" t="s">
        <v>40</v>
      </c>
      <c r="B5260" s="2">
        <v>2019</v>
      </c>
      <c r="C5260" s="2" t="s">
        <v>36</v>
      </c>
      <c r="D5260" s="2">
        <v>1.5689168</v>
      </c>
      <c r="E5260" s="2">
        <v>2.9668835599999999</v>
      </c>
      <c r="P5260" s="3">
        <f>E5260*(VLOOKUP(B5260,Price_data!A$1:B$190,2,FALSE))</f>
        <v>1.7494535025685072</v>
      </c>
      <c r="Q5260" s="3">
        <f>G5260*(VLOOKUP(B5260,Price_data!A$1:B$190,2,FALSE))</f>
        <v>0</v>
      </c>
      <c r="R5260" s="3">
        <f>I5260*(VLOOKUP(B5260,Price_data!A$1:B$190,2,FALSE))</f>
        <v>0</v>
      </c>
      <c r="S5260" s="4" t="str">
        <f>(VLOOKUP(B5260,Price_data!A$1:C$190,3,FALSE))</f>
        <v>EEZ</v>
      </c>
      <c r="T5260" s="2" t="str">
        <f>IF(C5260="Total", (VLOOKUP(B5260,Recommended_fish_intake!A$4:D$122,4,FALSE)), "NA")</f>
        <v>NA</v>
      </c>
      <c r="U5260" s="2" t="str">
        <f t="shared" si="420"/>
        <v>NA</v>
      </c>
    </row>
    <row r="5261" spans="1:21" ht="14.25" customHeight="1">
      <c r="A5261" s="2" t="s">
        <v>40</v>
      </c>
      <c r="B5261" s="2">
        <v>2019</v>
      </c>
      <c r="C5261" s="2" t="s">
        <v>34</v>
      </c>
      <c r="D5261" s="2">
        <v>6.6964499999999996E-2</v>
      </c>
      <c r="E5261" s="2">
        <v>0.7645419</v>
      </c>
      <c r="P5261" s="3">
        <f>E5261*(VLOOKUP(B5261,Price_data!A$1:B$190,2,FALSE))</f>
        <v>0.45082001964896168</v>
      </c>
      <c r="Q5261" s="3">
        <f>G5261*(VLOOKUP(B5261,Price_data!A$1:B$190,2,FALSE))</f>
        <v>0</v>
      </c>
      <c r="R5261" s="3">
        <f>I5261*(VLOOKUP(B5261,Price_data!A$1:B$190,2,FALSE))</f>
        <v>0</v>
      </c>
      <c r="S5261" s="4" t="str">
        <f>(VLOOKUP(B5261,Price_data!A$1:C$190,3,FALSE))</f>
        <v>EEZ</v>
      </c>
      <c r="T5261" s="2" t="str">
        <f>IF(C5261="Total", (VLOOKUP(B5261,Recommended_fish_intake!A$4:D$122,4,FALSE)), "NA")</f>
        <v>NA</v>
      </c>
      <c r="U5261" s="2" t="str">
        <f t="shared" si="420"/>
        <v>NA</v>
      </c>
    </row>
    <row r="5262" spans="1:21" ht="14.25" customHeight="1">
      <c r="A5262" s="2" t="s">
        <v>40</v>
      </c>
      <c r="B5262" s="2">
        <v>2019</v>
      </c>
      <c r="C5262" s="2" t="s">
        <v>35</v>
      </c>
      <c r="D5262" s="2">
        <v>6.2894215999999998</v>
      </c>
      <c r="E5262" s="2">
        <v>15.521184699999999</v>
      </c>
      <c r="P5262" s="3">
        <f>E5262*(VLOOKUP(B5262,Price_data!A$1:B$190,2,FALSE))</f>
        <v>9.1522267012823786</v>
      </c>
      <c r="Q5262" s="3">
        <f>G5262*(VLOOKUP(B5262,Price_data!A$1:B$190,2,FALSE))</f>
        <v>0</v>
      </c>
      <c r="R5262" s="3">
        <f>I5262*(VLOOKUP(B5262,Price_data!A$1:B$190,2,FALSE))</f>
        <v>0</v>
      </c>
      <c r="S5262" s="4" t="str">
        <f>(VLOOKUP(B5262,Price_data!A$1:C$190,3,FALSE))</f>
        <v>EEZ</v>
      </c>
      <c r="T5262" s="2" t="str">
        <f>IF(C5262="Total", (VLOOKUP(B5262,Recommended_fish_intake!A$4:D$122,4,FALSE)), "NA")</f>
        <v>NA</v>
      </c>
      <c r="U5262" s="2" t="str">
        <f t="shared" si="420"/>
        <v>NA</v>
      </c>
    </row>
    <row r="5263" spans="1:21" ht="14.25" customHeight="1">
      <c r="A5263" s="2" t="s">
        <v>40</v>
      </c>
      <c r="B5263" s="2">
        <v>2019</v>
      </c>
      <c r="C5263" s="2" t="s">
        <v>52</v>
      </c>
      <c r="D5263" s="2">
        <v>0.54616620000000005</v>
      </c>
      <c r="E5263" s="2">
        <v>1.24095372</v>
      </c>
      <c r="P5263" s="3">
        <f>E5263*(VLOOKUP(B5263,Price_data!A$1:B$190,2,FALSE))</f>
        <v>0.73174116478619688</v>
      </c>
      <c r="Q5263" s="3">
        <f>G5263*(VLOOKUP(B5263,Price_data!A$1:B$190,2,FALSE))</f>
        <v>0</v>
      </c>
      <c r="R5263" s="3">
        <f>I5263*(VLOOKUP(B5263,Price_data!A$1:B$190,2,FALSE))</f>
        <v>0</v>
      </c>
      <c r="S5263" s="4" t="str">
        <f>(VLOOKUP(B5263,Price_data!A$1:C$190,3,FALSE))</f>
        <v>EEZ</v>
      </c>
      <c r="T5263" s="2" t="str">
        <f>IF(C5263="Total", (VLOOKUP(B5263,Recommended_fish_intake!A$4:D$122,4,FALSE)), "NA")</f>
        <v>NA</v>
      </c>
      <c r="U5263" s="2" t="str">
        <f t="shared" si="420"/>
        <v>NA</v>
      </c>
    </row>
    <row r="5264" spans="1:21" ht="14.25" customHeight="1">
      <c r="A5264" s="2" t="s">
        <v>40</v>
      </c>
      <c r="B5264" s="2">
        <v>2019</v>
      </c>
      <c r="C5264" s="2" t="s">
        <v>30</v>
      </c>
      <c r="D5264" s="2">
        <v>1.1900000000000001E-3</v>
      </c>
      <c r="E5264" s="2">
        <v>1.256445E-2</v>
      </c>
      <c r="P5264" s="3">
        <f>E5264*(VLOOKUP(B5264,Price_data!A$1:B$190,2,FALSE))</f>
        <v>7.4087575787257654E-3</v>
      </c>
      <c r="Q5264" s="3">
        <f>G5264*(VLOOKUP(B5264,Price_data!A$1:B$190,2,FALSE))</f>
        <v>0</v>
      </c>
      <c r="R5264" s="3">
        <f>I5264*(VLOOKUP(B5264,Price_data!A$1:B$190,2,FALSE))</f>
        <v>0</v>
      </c>
      <c r="S5264" s="4" t="str">
        <f>(VLOOKUP(B5264,Price_data!A$1:C$190,3,FALSE))</f>
        <v>EEZ</v>
      </c>
      <c r="T5264" s="2" t="str">
        <f>IF(C5264="Total", (VLOOKUP(B5264,Recommended_fish_intake!A$4:D$122,4,FALSE)), "NA")</f>
        <v>NA</v>
      </c>
      <c r="U5264" s="2" t="str">
        <f t="shared" si="420"/>
        <v>NA</v>
      </c>
    </row>
    <row r="5265" spans="1:21" ht="14.25" customHeight="1">
      <c r="A5265" s="2" t="s">
        <v>40</v>
      </c>
      <c r="B5265" s="2">
        <v>2019</v>
      </c>
      <c r="C5265" s="2" t="s">
        <v>41</v>
      </c>
      <c r="D5265" s="2">
        <v>2.9929760000000001</v>
      </c>
      <c r="E5265" s="2">
        <v>3.4819031200000001</v>
      </c>
      <c r="P5265" s="3">
        <f>E5265*(VLOOKUP(B5265,Price_data!A$1:B$190,2,FALSE))</f>
        <v>2.0531400999398213</v>
      </c>
      <c r="Q5265" s="3">
        <f>G5265*(VLOOKUP(B5265,Price_data!A$1:B$190,2,FALSE))</f>
        <v>0</v>
      </c>
      <c r="R5265" s="3">
        <f>I5265*(VLOOKUP(B5265,Price_data!A$1:B$190,2,FALSE))</f>
        <v>0</v>
      </c>
      <c r="S5265" s="4" t="str">
        <f>(VLOOKUP(B5265,Price_data!A$1:C$190,3,FALSE))</f>
        <v>EEZ</v>
      </c>
      <c r="T5265" s="2" t="str">
        <f>IF(C5265="Total", (VLOOKUP(B5265,Recommended_fish_intake!A$4:D$122,4,FALSE)), "NA")</f>
        <v>NA</v>
      </c>
      <c r="U5265" s="2" t="str">
        <f t="shared" si="420"/>
        <v>NA</v>
      </c>
    </row>
    <row r="5266" spans="1:21" ht="14.25" customHeight="1">
      <c r="A5266" s="2" t="s">
        <v>40</v>
      </c>
      <c r="B5266" s="2">
        <v>2019</v>
      </c>
      <c r="C5266" s="2" t="s">
        <v>42</v>
      </c>
      <c r="D5266" s="2">
        <v>4.3247776</v>
      </c>
      <c r="E5266" s="2">
        <v>3.4136164099999999</v>
      </c>
      <c r="P5266" s="3">
        <f>E5266*(VLOOKUP(B5266,Price_data!A$1:B$190,2,FALSE))</f>
        <v>2.0128741368265337</v>
      </c>
      <c r="Q5266" s="3">
        <f>G5266*(VLOOKUP(B5266,Price_data!A$1:B$190,2,FALSE))</f>
        <v>0</v>
      </c>
      <c r="R5266" s="3">
        <f>I5266*(VLOOKUP(B5266,Price_data!A$1:B$190,2,FALSE))</f>
        <v>0</v>
      </c>
      <c r="S5266" s="4" t="str">
        <f>(VLOOKUP(B5266,Price_data!A$1:C$190,3,FALSE))</f>
        <v>EEZ</v>
      </c>
      <c r="T5266" s="2" t="str">
        <f>IF(C5266="Total", (VLOOKUP(B5266,Recommended_fish_intake!A$4:D$122,4,FALSE)), "NA")</f>
        <v>NA</v>
      </c>
      <c r="U5266" s="2" t="str">
        <f t="shared" si="420"/>
        <v>NA</v>
      </c>
    </row>
    <row r="5267" spans="1:21" ht="14.25" customHeight="1">
      <c r="A5267" s="2" t="s">
        <v>40</v>
      </c>
      <c r="B5267" s="2">
        <v>2019</v>
      </c>
      <c r="C5267" s="2" t="s">
        <v>28</v>
      </c>
      <c r="D5267" s="2">
        <v>8.5917933000000009</v>
      </c>
      <c r="E5267" s="2">
        <v>20.655774350000002</v>
      </c>
      <c r="P5267" s="3">
        <f>E5267*(VLOOKUP(B5267,Price_data!A$1:B$190,2,FALSE))</f>
        <v>12.179890465560513</v>
      </c>
      <c r="Q5267" s="3">
        <f>G5267*(VLOOKUP(B5267,Price_data!A$1:B$190,2,FALSE))</f>
        <v>0</v>
      </c>
      <c r="R5267" s="3">
        <f>I5267*(VLOOKUP(B5267,Price_data!A$1:B$190,2,FALSE))</f>
        <v>0</v>
      </c>
      <c r="S5267" s="4" t="str">
        <f>(VLOOKUP(B5267,Price_data!A$1:C$190,3,FALSE))</f>
        <v>EEZ</v>
      </c>
      <c r="T5267" s="2" t="str">
        <f>IF(C5267="Total", (VLOOKUP(B5267,Recommended_fish_intake!A$4:D$122,4,FALSE)), "NA")</f>
        <v>NA</v>
      </c>
      <c r="U5267" s="2">
        <f t="shared" si="420"/>
        <v>2.4057021240000003</v>
      </c>
    </row>
    <row r="5268" spans="1:21" ht="14.25" customHeight="1">
      <c r="A5268" s="2" t="s">
        <v>40</v>
      </c>
      <c r="B5268" s="2">
        <v>2019</v>
      </c>
      <c r="C5268" s="2" t="s">
        <v>37</v>
      </c>
      <c r="D5268" s="3">
        <f>D3440+D3445</f>
        <v>0</v>
      </c>
      <c r="E5268" s="3">
        <f>E3440+E3445</f>
        <v>0</v>
      </c>
      <c r="P5268" s="3">
        <f>E5268*(VLOOKUP(B5268,Price_data!A$1:B$190,2,FALSE))</f>
        <v>0</v>
      </c>
      <c r="Q5268" s="3">
        <f>G5268*(VLOOKUP(B5268,Price_data!A$1:B$190,2,FALSE))</f>
        <v>0</v>
      </c>
      <c r="R5268" s="3">
        <f>I5268*(VLOOKUP(B5268,Price_data!A$1:B$190,2,FALSE))</f>
        <v>0</v>
      </c>
      <c r="S5268" s="4" t="str">
        <f>(VLOOKUP(B5268,Price_data!A$1:C$190,3,FALSE))</f>
        <v>EEZ</v>
      </c>
      <c r="T5268" s="2" t="str">
        <f>IF(C5268="Total", (VLOOKUP(B5268,Recommended_fish_intake!A$4:D$122,4,FALSE)), "NA")</f>
        <v>NA</v>
      </c>
      <c r="U5268" s="2">
        <f t="shared" si="420"/>
        <v>0</v>
      </c>
    </row>
    <row r="5269" spans="1:21" ht="14.25" customHeight="1">
      <c r="A5269" s="2" t="s">
        <v>39</v>
      </c>
      <c r="B5269" s="2">
        <v>2019</v>
      </c>
      <c r="C5269" s="2" t="s">
        <v>37</v>
      </c>
      <c r="D5269" s="3">
        <f>D3361+D3366</f>
        <v>1.1000000000000001</v>
      </c>
      <c r="E5269" s="3">
        <f>E3361+E3366</f>
        <v>4.7690000000000001</v>
      </c>
      <c r="P5269" s="3">
        <f>E5269*(VLOOKUP(B5269,Price_data!A$1:B$190,2,FALSE))</f>
        <v>2.8120900551113004</v>
      </c>
      <c r="Q5269" s="3">
        <f>G5269*(VLOOKUP(B5269,Price_data!A$1:B$190,2,FALSE))</f>
        <v>0</v>
      </c>
      <c r="R5269" s="3">
        <f>I5269*(VLOOKUP(B5269,Price_data!A$1:B$190,2,FALSE))</f>
        <v>0</v>
      </c>
      <c r="S5269" s="4" t="str">
        <f>(VLOOKUP(B5269,Price_data!A$1:C$190,3,FALSE))</f>
        <v>EEZ</v>
      </c>
      <c r="T5269" s="2" t="str">
        <f>IF(C5269="Total", (VLOOKUP(B5269,Recommended_fish_intake!A$4:D$122,4,FALSE)), "NA")</f>
        <v>NA</v>
      </c>
      <c r="U5269" s="2">
        <f t="shared" si="420"/>
        <v>0.53900000000000003</v>
      </c>
    </row>
    <row r="5270" spans="1:21" ht="14.25" customHeight="1">
      <c r="A5270" s="2" t="s">
        <v>18</v>
      </c>
      <c r="B5270" s="2">
        <v>2019</v>
      </c>
      <c r="C5270" s="2" t="s">
        <v>22</v>
      </c>
      <c r="D5270" s="3">
        <f t="shared" ref="D5270:E5283" si="421">D3152+D3227</f>
        <v>2.8</v>
      </c>
      <c r="E5270" s="3">
        <f t="shared" si="421"/>
        <v>2.9</v>
      </c>
      <c r="P5270" s="3">
        <f>E5270*(VLOOKUP(B5270,Price_data!A$1:B$190,2,FALSE))</f>
        <v>1.71001492133</v>
      </c>
      <c r="Q5270" s="3">
        <f>G5270*(VLOOKUP(B5270,Price_data!A$1:B$190,2,FALSE))</f>
        <v>0</v>
      </c>
      <c r="R5270" s="3">
        <f>I5270*(VLOOKUP(B5270,Price_data!A$1:B$190,2,FALSE))</f>
        <v>0</v>
      </c>
      <c r="S5270" s="4" t="str">
        <f>(VLOOKUP(B5270,Price_data!A$1:C$190,3,FALSE))</f>
        <v>EEZ</v>
      </c>
      <c r="T5270" s="2" t="str">
        <f>IF(C5270="Total", (VLOOKUP(B5270,Recommended_fish_intake!A$4:D$122,4,FALSE)), "NA")</f>
        <v>NA</v>
      </c>
      <c r="U5270" s="2" t="str">
        <f t="shared" si="420"/>
        <v>NA</v>
      </c>
    </row>
    <row r="5271" spans="1:21" ht="14.25" customHeight="1">
      <c r="A5271" s="2" t="s">
        <v>18</v>
      </c>
      <c r="B5271" s="2">
        <v>2019</v>
      </c>
      <c r="C5271" s="2" t="s">
        <v>23</v>
      </c>
      <c r="D5271" s="3">
        <f t="shared" si="421"/>
        <v>2.7</v>
      </c>
      <c r="E5271" s="3">
        <f t="shared" si="421"/>
        <v>5.8</v>
      </c>
      <c r="P5271" s="3">
        <f>E5271*(VLOOKUP(B5271,Price_data!A$1:B$190,2,FALSE))</f>
        <v>3.42002984266</v>
      </c>
      <c r="Q5271" s="3">
        <f>G5271*(VLOOKUP(B5271,Price_data!A$1:B$190,2,FALSE))</f>
        <v>0</v>
      </c>
      <c r="R5271" s="3">
        <f>I5271*(VLOOKUP(B5271,Price_data!A$1:B$190,2,FALSE))</f>
        <v>0</v>
      </c>
      <c r="S5271" s="4" t="str">
        <f>(VLOOKUP(B5271,Price_data!A$1:C$190,3,FALSE))</f>
        <v>EEZ</v>
      </c>
      <c r="T5271" s="2" t="str">
        <f>IF(C5271="Total", (VLOOKUP(B5271,Recommended_fish_intake!A$4:D$122,4,FALSE)), "NA")</f>
        <v>NA</v>
      </c>
      <c r="U5271" s="2" t="str">
        <f t="shared" si="420"/>
        <v>NA</v>
      </c>
    </row>
    <row r="5272" spans="1:21" ht="14.25" customHeight="1">
      <c r="A5272" s="2" t="s">
        <v>18</v>
      </c>
      <c r="B5272" s="2">
        <v>2019</v>
      </c>
      <c r="C5272" s="2" t="s">
        <v>53</v>
      </c>
      <c r="D5272" s="3">
        <f t="shared" si="421"/>
        <v>3.2</v>
      </c>
      <c r="E5272" s="3">
        <f t="shared" si="421"/>
        <v>1.9</v>
      </c>
      <c r="P5272" s="3">
        <f>E5272*(VLOOKUP(B5272,Price_data!A$1:B$190,2,FALSE))</f>
        <v>1.1203546036300001</v>
      </c>
      <c r="Q5272" s="3">
        <f>G5272*(VLOOKUP(B5272,Price_data!A$1:B$190,2,FALSE))</f>
        <v>0</v>
      </c>
      <c r="R5272" s="3">
        <f>I5272*(VLOOKUP(B5272,Price_data!A$1:B$190,2,FALSE))</f>
        <v>0</v>
      </c>
      <c r="S5272" s="4" t="str">
        <f>(VLOOKUP(B5272,Price_data!A$1:C$190,3,FALSE))</f>
        <v>EEZ</v>
      </c>
      <c r="T5272" s="2" t="str">
        <f>IF(C5272="Total", (VLOOKUP(B5272,Recommended_fish_intake!A$4:D$122,4,FALSE)), "NA")</f>
        <v>NA</v>
      </c>
      <c r="U5272" s="2" t="str">
        <f t="shared" si="420"/>
        <v>NA</v>
      </c>
    </row>
    <row r="5273" spans="1:21" ht="14.25" customHeight="1">
      <c r="A5273" s="2" t="s">
        <v>18</v>
      </c>
      <c r="B5273" s="2">
        <v>2019</v>
      </c>
      <c r="C5273" s="2" t="s">
        <v>58</v>
      </c>
      <c r="D5273" s="3">
        <f t="shared" si="421"/>
        <v>51.3</v>
      </c>
      <c r="E5273" s="3">
        <f t="shared" si="421"/>
        <v>81.5</v>
      </c>
      <c r="P5273" s="3">
        <f>E5273*(VLOOKUP(B5273,Price_data!A$1:B$190,2,FALSE))</f>
        <v>48.057315892550001</v>
      </c>
      <c r="Q5273" s="3">
        <f>G5273*(VLOOKUP(B5273,Price_data!A$1:B$190,2,FALSE))</f>
        <v>0</v>
      </c>
      <c r="R5273" s="3">
        <f>I5273*(VLOOKUP(B5273,Price_data!A$1:B$190,2,FALSE))</f>
        <v>0</v>
      </c>
      <c r="S5273" s="4" t="str">
        <f>(VLOOKUP(B5273,Price_data!A$1:C$190,3,FALSE))</f>
        <v>EEZ</v>
      </c>
      <c r="T5273" s="2" t="str">
        <f>IF(C5273="Total", (VLOOKUP(B5273,Recommended_fish_intake!A$4:D$122,4,FALSE)), "NA")</f>
        <v>NA</v>
      </c>
      <c r="U5273" s="2" t="str">
        <f t="shared" si="420"/>
        <v>NA</v>
      </c>
    </row>
    <row r="5274" spans="1:21" ht="14.25" customHeight="1">
      <c r="A5274" s="2" t="s">
        <v>18</v>
      </c>
      <c r="B5274" s="2">
        <v>2019</v>
      </c>
      <c r="C5274" s="2" t="s">
        <v>19</v>
      </c>
      <c r="D5274" s="3">
        <f t="shared" si="421"/>
        <v>26.497999999999998</v>
      </c>
      <c r="E5274" s="3">
        <f t="shared" si="421"/>
        <v>35.536000000000001</v>
      </c>
      <c r="P5274" s="3">
        <f>E5274*(VLOOKUP(B5274,Price_data!A$1:B$190,2,FALSE))</f>
        <v>20.954169049787204</v>
      </c>
      <c r="Q5274" s="3">
        <f>G5274*(VLOOKUP(B5274,Price_data!A$1:B$190,2,FALSE))</f>
        <v>0</v>
      </c>
      <c r="R5274" s="3">
        <f>I5274*(VLOOKUP(B5274,Price_data!A$1:B$190,2,FALSE))</f>
        <v>0</v>
      </c>
      <c r="S5274" s="4" t="str">
        <f>(VLOOKUP(B5274,Price_data!A$1:C$190,3,FALSE))</f>
        <v>EEZ</v>
      </c>
      <c r="T5274" s="2" t="str">
        <f>IF(C5274="Total", (VLOOKUP(B5274,Recommended_fish_intake!A$4:D$122,4,FALSE)), "NA")</f>
        <v>NA</v>
      </c>
      <c r="U5274" s="2" t="str">
        <f t="shared" si="420"/>
        <v>NA</v>
      </c>
    </row>
    <row r="5275" spans="1:21" ht="14.25" customHeight="1">
      <c r="A5275" s="2" t="s">
        <v>18</v>
      </c>
      <c r="B5275" s="2">
        <v>2019</v>
      </c>
      <c r="C5275" s="2" t="s">
        <v>20</v>
      </c>
      <c r="D5275" s="3">
        <f t="shared" si="421"/>
        <v>74.259</v>
      </c>
      <c r="E5275" s="3">
        <f t="shared" si="421"/>
        <v>57.133000000000003</v>
      </c>
      <c r="P5275" s="3">
        <f>E5275*(VLOOKUP(B5275,Price_data!A$1:B$190,2,FALSE))</f>
        <v>33.689062931154105</v>
      </c>
      <c r="Q5275" s="3">
        <f>G5275*(VLOOKUP(B5275,Price_data!A$1:B$190,2,FALSE))</f>
        <v>0</v>
      </c>
      <c r="R5275" s="3">
        <f>I5275*(VLOOKUP(B5275,Price_data!A$1:B$190,2,FALSE))</f>
        <v>0</v>
      </c>
      <c r="S5275" s="4" t="str">
        <f>(VLOOKUP(B5275,Price_data!A$1:C$190,3,FALSE))</f>
        <v>EEZ</v>
      </c>
      <c r="T5275" s="2" t="str">
        <f>IF(C5275="Total", (VLOOKUP(B5275,Recommended_fish_intake!A$4:D$122,4,FALSE)), "NA")</f>
        <v>NA</v>
      </c>
      <c r="U5275" s="2" t="str">
        <f t="shared" si="420"/>
        <v>NA</v>
      </c>
    </row>
    <row r="5276" spans="1:21" ht="14.25" customHeight="1">
      <c r="A5276" s="2" t="s">
        <v>18</v>
      </c>
      <c r="B5276" s="2">
        <v>2019</v>
      </c>
      <c r="C5276" s="2" t="s">
        <v>36</v>
      </c>
      <c r="D5276" s="3">
        <f t="shared" si="421"/>
        <v>28.138999999999999</v>
      </c>
      <c r="E5276" s="3">
        <f t="shared" si="421"/>
        <v>32.639000000000003</v>
      </c>
      <c r="P5276" s="3">
        <f>E5276*(VLOOKUP(B5276,Price_data!A$1:B$190,2,FALSE))</f>
        <v>19.245923109410302</v>
      </c>
      <c r="Q5276" s="3">
        <f>G5276*(VLOOKUP(B5276,Price_data!A$1:B$190,2,FALSE))</f>
        <v>0</v>
      </c>
      <c r="R5276" s="3">
        <f>I5276*(VLOOKUP(B5276,Price_data!A$1:B$190,2,FALSE))</f>
        <v>0</v>
      </c>
      <c r="S5276" s="4" t="str">
        <f>(VLOOKUP(B5276,Price_data!A$1:C$190,3,FALSE))</f>
        <v>EEZ</v>
      </c>
      <c r="T5276" s="2" t="str">
        <f>IF(C5276="Total", (VLOOKUP(B5276,Recommended_fish_intake!A$4:D$122,4,FALSE)), "NA")</f>
        <v>NA</v>
      </c>
      <c r="U5276" s="2" t="str">
        <f t="shared" si="420"/>
        <v>NA</v>
      </c>
    </row>
    <row r="5277" spans="1:21" ht="14.25" customHeight="1">
      <c r="A5277" s="2" t="s">
        <v>18</v>
      </c>
      <c r="B5277" s="2">
        <v>2019</v>
      </c>
      <c r="C5277" s="2" t="s">
        <v>34</v>
      </c>
      <c r="D5277" s="3">
        <f t="shared" si="421"/>
        <v>33.033999999999999</v>
      </c>
      <c r="E5277" s="3">
        <f t="shared" si="421"/>
        <v>24.939</v>
      </c>
      <c r="P5277" s="3">
        <f>E5277*(VLOOKUP(B5277,Price_data!A$1:B$190,2,FALSE))</f>
        <v>14.705538663120301</v>
      </c>
      <c r="Q5277" s="3">
        <f>G5277*(VLOOKUP(B5277,Price_data!A$1:B$190,2,FALSE))</f>
        <v>0</v>
      </c>
      <c r="R5277" s="3">
        <f>I5277*(VLOOKUP(B5277,Price_data!A$1:B$190,2,FALSE))</f>
        <v>0</v>
      </c>
      <c r="S5277" s="4" t="str">
        <f>(VLOOKUP(B5277,Price_data!A$1:C$190,3,FALSE))</f>
        <v>EEZ</v>
      </c>
      <c r="T5277" s="2" t="str">
        <f>IF(C5277="Total", (VLOOKUP(B5277,Recommended_fish_intake!A$4:D$122,4,FALSE)), "NA")</f>
        <v>NA</v>
      </c>
      <c r="U5277" s="2" t="str">
        <f t="shared" si="420"/>
        <v>NA</v>
      </c>
    </row>
    <row r="5278" spans="1:21" ht="14.25" customHeight="1">
      <c r="A5278" s="2" t="s">
        <v>18</v>
      </c>
      <c r="B5278" s="2">
        <v>2019</v>
      </c>
      <c r="C5278" s="2" t="s">
        <v>35</v>
      </c>
      <c r="D5278" s="3">
        <f t="shared" si="421"/>
        <v>176.595</v>
      </c>
      <c r="E5278" s="3">
        <f t="shared" si="421"/>
        <v>181.00099999999998</v>
      </c>
      <c r="P5278" s="3">
        <f>E5278*(VLOOKUP(B5278,Price_data!A$1:B$190,2,FALSE))</f>
        <v>106.72910716401769</v>
      </c>
      <c r="Q5278" s="3">
        <f>G5278*(VLOOKUP(B5278,Price_data!A$1:B$190,2,FALSE))</f>
        <v>0</v>
      </c>
      <c r="R5278" s="3">
        <f>I5278*(VLOOKUP(B5278,Price_data!A$1:B$190,2,FALSE))</f>
        <v>0</v>
      </c>
      <c r="S5278" s="4" t="str">
        <f>(VLOOKUP(B5278,Price_data!A$1:C$190,3,FALSE))</f>
        <v>EEZ</v>
      </c>
      <c r="T5278" s="2" t="str">
        <f>IF(C5278="Total", (VLOOKUP(B5278,Recommended_fish_intake!A$4:D$122,4,FALSE)), "NA")</f>
        <v>NA</v>
      </c>
      <c r="U5278" s="2" t="str">
        <f t="shared" si="420"/>
        <v>NA</v>
      </c>
    </row>
    <row r="5279" spans="1:21" ht="14.25" customHeight="1">
      <c r="A5279" s="2" t="s">
        <v>18</v>
      </c>
      <c r="B5279" s="2">
        <v>2019</v>
      </c>
      <c r="C5279" s="2" t="s">
        <v>52</v>
      </c>
      <c r="D5279" s="3">
        <f t="shared" si="421"/>
        <v>44.99</v>
      </c>
      <c r="E5279" s="3">
        <f t="shared" si="421"/>
        <v>9.3889999999999993</v>
      </c>
      <c r="P5279" s="3">
        <f>E5279*(VLOOKUP(B5279,Price_data!A$1:B$190,2,FALSE))</f>
        <v>5.5363207228853</v>
      </c>
      <c r="Q5279" s="3">
        <f>G5279*(VLOOKUP(B5279,Price_data!A$1:B$190,2,FALSE))</f>
        <v>0</v>
      </c>
      <c r="R5279" s="3">
        <f>I5279*(VLOOKUP(B5279,Price_data!A$1:B$190,2,FALSE))</f>
        <v>0</v>
      </c>
      <c r="S5279" s="4" t="str">
        <f>(VLOOKUP(B5279,Price_data!A$1:C$190,3,FALSE))</f>
        <v>EEZ</v>
      </c>
      <c r="T5279" s="2" t="str">
        <f>IF(C5279="Total", (VLOOKUP(B5279,Recommended_fish_intake!A$4:D$122,4,FALSE)), "NA")</f>
        <v>NA</v>
      </c>
      <c r="U5279" s="2" t="str">
        <f t="shared" si="420"/>
        <v>NA</v>
      </c>
    </row>
    <row r="5280" spans="1:21" ht="14.25" customHeight="1">
      <c r="A5280" s="2" t="s">
        <v>18</v>
      </c>
      <c r="B5280" s="2">
        <v>2019</v>
      </c>
      <c r="C5280" s="2" t="s">
        <v>30</v>
      </c>
      <c r="D5280" s="3">
        <f t="shared" si="421"/>
        <v>44.832000000000001</v>
      </c>
      <c r="E5280" s="3">
        <f t="shared" si="421"/>
        <v>23.598000000000003</v>
      </c>
      <c r="P5280" s="3">
        <f>E5280*(VLOOKUP(B5280,Price_data!A$1:B$190,2,FALSE))</f>
        <v>13.914804177084603</v>
      </c>
      <c r="Q5280" s="3">
        <f>G5280*(VLOOKUP(B5280,Price_data!A$1:B$190,2,FALSE))</f>
        <v>0</v>
      </c>
      <c r="R5280" s="3">
        <f>I5280*(VLOOKUP(B5280,Price_data!A$1:B$190,2,FALSE))</f>
        <v>0</v>
      </c>
      <c r="S5280" s="4" t="str">
        <f>(VLOOKUP(B5280,Price_data!A$1:C$190,3,FALSE))</f>
        <v>EEZ</v>
      </c>
      <c r="T5280" s="2" t="str">
        <f>IF(C5280="Total", (VLOOKUP(B5280,Recommended_fish_intake!A$4:D$122,4,FALSE)), "NA")</f>
        <v>NA</v>
      </c>
      <c r="U5280" s="2" t="str">
        <f t="shared" si="420"/>
        <v>NA</v>
      </c>
    </row>
    <row r="5281" spans="1:21" ht="14.25" customHeight="1">
      <c r="A5281" s="2" t="s">
        <v>18</v>
      </c>
      <c r="B5281" s="2">
        <v>2019</v>
      </c>
      <c r="C5281" s="2" t="s">
        <v>41</v>
      </c>
      <c r="D5281" s="3">
        <f t="shared" si="421"/>
        <v>125.032</v>
      </c>
      <c r="E5281" s="3">
        <f t="shared" si="421"/>
        <v>16.062999999999999</v>
      </c>
      <c r="P5281" s="3">
        <f>E5281*(VLOOKUP(B5281,Price_data!A$1:B$190,2,FALSE))</f>
        <v>9.4717136832150999</v>
      </c>
      <c r="Q5281" s="3">
        <f>G5281*(VLOOKUP(B5281,Price_data!A$1:B$190,2,FALSE))</f>
        <v>0</v>
      </c>
      <c r="R5281" s="3">
        <f>I5281*(VLOOKUP(B5281,Price_data!A$1:B$190,2,FALSE))</f>
        <v>0</v>
      </c>
      <c r="S5281" s="4" t="str">
        <f>(VLOOKUP(B5281,Price_data!A$1:C$190,3,FALSE))</f>
        <v>EEZ</v>
      </c>
      <c r="T5281" s="2" t="str">
        <f>IF(C5281="Total", (VLOOKUP(B5281,Recommended_fish_intake!A$4:D$122,4,FALSE)), "NA")</f>
        <v>NA</v>
      </c>
      <c r="U5281" s="2" t="str">
        <f t="shared" si="420"/>
        <v>NA</v>
      </c>
    </row>
    <row r="5282" spans="1:21" ht="14.25" customHeight="1">
      <c r="A5282" s="2" t="s">
        <v>18</v>
      </c>
      <c r="B5282" s="2">
        <v>2019</v>
      </c>
      <c r="C5282" s="2" t="s">
        <v>42</v>
      </c>
      <c r="D5282" s="3">
        <f t="shared" si="421"/>
        <v>77.103999999999999</v>
      </c>
      <c r="E5282" s="3">
        <f t="shared" si="421"/>
        <v>68.534999999999997</v>
      </c>
      <c r="P5282" s="3">
        <f>E5282*(VLOOKUP(B5282,Price_data!A$1:B$190,2,FALSE))</f>
        <v>40.412369873569503</v>
      </c>
      <c r="Q5282" s="3">
        <f>G5282*(VLOOKUP(B5282,Price_data!A$1:B$190,2,FALSE))</f>
        <v>0</v>
      </c>
      <c r="R5282" s="3">
        <f>I5282*(VLOOKUP(B5282,Price_data!A$1:B$190,2,FALSE))</f>
        <v>0</v>
      </c>
      <c r="S5282" s="4" t="str">
        <f>(VLOOKUP(B5282,Price_data!A$1:C$190,3,FALSE))</f>
        <v>EEZ</v>
      </c>
      <c r="T5282" s="2" t="str">
        <f>IF(C5282="Total", (VLOOKUP(B5282,Recommended_fish_intake!A$4:D$122,4,FALSE)), "NA")</f>
        <v>NA</v>
      </c>
      <c r="U5282" s="2" t="str">
        <f t="shared" si="420"/>
        <v>NA</v>
      </c>
    </row>
    <row r="5283" spans="1:21" ht="14.25" customHeight="1">
      <c r="A5283" s="2" t="s">
        <v>18</v>
      </c>
      <c r="B5283" s="2">
        <v>2019</v>
      </c>
      <c r="C5283" s="2" t="s">
        <v>28</v>
      </c>
      <c r="D5283" s="3">
        <f t="shared" si="421"/>
        <v>0.55500000000000005</v>
      </c>
      <c r="E5283" s="3">
        <f t="shared" si="421"/>
        <v>5.609</v>
      </c>
      <c r="P5283" s="3">
        <f>E5283*(VLOOKUP(B5283,Price_data!A$1:B$190,2,FALSE))</f>
        <v>3.3074047219793004</v>
      </c>
      <c r="Q5283" s="3">
        <f>G5283*(VLOOKUP(B5283,Price_data!A$1:B$190,2,FALSE))</f>
        <v>0</v>
      </c>
      <c r="R5283" s="3">
        <f>I5283*(VLOOKUP(B5283,Price_data!A$1:B$190,2,FALSE))</f>
        <v>0</v>
      </c>
      <c r="S5283" s="4" t="str">
        <f>(VLOOKUP(B5283,Price_data!A$1:C$190,3,FALSE))</f>
        <v>EEZ</v>
      </c>
      <c r="T5283" s="2" t="str">
        <f>IF(C5283="Total", (VLOOKUP(B5283,Recommended_fish_intake!A$4:D$122,4,FALSE)), "NA")</f>
        <v>NA</v>
      </c>
      <c r="U5283" s="2">
        <f t="shared" si="420"/>
        <v>0.15540000000000004</v>
      </c>
    </row>
    <row r="5284" spans="1:21" ht="14.25" customHeight="1">
      <c r="A5284" s="2" t="s">
        <v>18</v>
      </c>
      <c r="B5284" s="2">
        <v>2019</v>
      </c>
      <c r="C5284" s="2" t="s">
        <v>37</v>
      </c>
      <c r="D5284" s="3">
        <f>D5269+D5264</f>
        <v>1.1011900000000001</v>
      </c>
      <c r="E5284" s="3">
        <f>E5269+E5264</f>
        <v>4.7815644500000003</v>
      </c>
      <c r="P5284" s="3">
        <f>E5284*(VLOOKUP(B5284,Price_data!A$1:B$190,2,FALSE))</f>
        <v>2.8194988126900262</v>
      </c>
      <c r="Q5284" s="3">
        <f>G5284*(VLOOKUP(B5284,Price_data!A$1:B$190,2,FALSE))</f>
        <v>0</v>
      </c>
      <c r="R5284" s="3">
        <f>I5284*(VLOOKUP(B5284,Price_data!A$1:B$190,2,FALSE))</f>
        <v>0</v>
      </c>
      <c r="S5284" s="4" t="str">
        <f>(VLOOKUP(B5284,Price_data!A$1:C$190,3,FALSE))</f>
        <v>EEZ</v>
      </c>
      <c r="T5284" s="2" t="str">
        <f>IF(C5284="Total", (VLOOKUP(B5284,Recommended_fish_intake!A$4:D$122,4,FALSE)), "NA")</f>
        <v>NA</v>
      </c>
      <c r="U5284" s="2">
        <f t="shared" si="420"/>
        <v>0.53958310000000009</v>
      </c>
    </row>
    <row r="5285" spans="1:21" ht="14.25" customHeight="1">
      <c r="A5285" s="2" t="s">
        <v>15</v>
      </c>
      <c r="B5285" s="2">
        <v>2019</v>
      </c>
      <c r="C5285" s="2" t="s">
        <v>24</v>
      </c>
      <c r="D5285" s="2">
        <v>12.4</v>
      </c>
      <c r="E5285" s="2">
        <v>16.100000000000001</v>
      </c>
      <c r="F5285" s="2">
        <v>0.8</v>
      </c>
      <c r="G5285" s="2">
        <v>1.6</v>
      </c>
      <c r="H5285" s="2">
        <v>1</v>
      </c>
      <c r="I5285" s="2">
        <v>1.1000000000000001</v>
      </c>
      <c r="P5285" s="3">
        <f>E5285*(VLOOKUP(B5285,Price_data!A$1:B$190,2,FALSE))</f>
        <v>9.4935311149700023</v>
      </c>
      <c r="Q5285" s="3">
        <f>G5285*(VLOOKUP(B5285,Price_data!A$1:B$190,2,FALSE))</f>
        <v>0.94345650832000016</v>
      </c>
      <c r="R5285" s="3">
        <f>I5285*(VLOOKUP(B5285,Price_data!A$1:B$190,2,FALSE))</f>
        <v>0.64862634947000009</v>
      </c>
      <c r="S5285" s="4" t="str">
        <f>(VLOOKUP(B5285,Price_data!A$1:C$190,3,FALSE))</f>
        <v>EEZ</v>
      </c>
      <c r="T5285" s="2" t="str">
        <f>IF(C5285="Total", (VLOOKUP(B5285,Recommended_fish_intake!A$4:D$122,4,FALSE)), "NA")</f>
        <v>NA</v>
      </c>
      <c r="U5285" s="2" t="str">
        <f t="shared" si="420"/>
        <v>NA</v>
      </c>
    </row>
    <row r="5286" spans="1:21" ht="14.25" customHeight="1">
      <c r="A5286" s="2" t="s">
        <v>15</v>
      </c>
      <c r="B5286" s="2">
        <v>2019</v>
      </c>
      <c r="C5286" s="2" t="s">
        <v>60</v>
      </c>
      <c r="D5286" s="2">
        <v>1.3</v>
      </c>
      <c r="E5286" s="2">
        <v>4</v>
      </c>
      <c r="F5286" s="2">
        <v>2.2999999999999998</v>
      </c>
      <c r="G5286" s="2">
        <v>9.1</v>
      </c>
      <c r="H5286" s="2">
        <v>37.299999999999997</v>
      </c>
      <c r="I5286" s="2">
        <v>101.5</v>
      </c>
      <c r="P5286" s="3">
        <f>E5286*(VLOOKUP(B5286,Price_data!A$1:B$190,2,FALSE))</f>
        <v>2.3586412708000002</v>
      </c>
      <c r="Q5286" s="3">
        <f>G5286*(VLOOKUP(B5286,Price_data!A$1:B$190,2,FALSE))</f>
        <v>5.3659088910700001</v>
      </c>
      <c r="R5286" s="3">
        <f>I5286*(VLOOKUP(B5286,Price_data!A$1:B$190,2,FALSE))</f>
        <v>59.850522246550007</v>
      </c>
      <c r="S5286" s="4" t="str">
        <f>(VLOOKUP(B5286,Price_data!A$1:C$190,3,FALSE))</f>
        <v>EEZ</v>
      </c>
      <c r="T5286" s="2" t="str">
        <f>IF(C5286="Total", (VLOOKUP(B5286,Recommended_fish_intake!A$4:D$122,4,FALSE)), "NA")</f>
        <v>NA</v>
      </c>
      <c r="U5286" s="2" t="str">
        <f t="shared" si="420"/>
        <v>NA</v>
      </c>
    </row>
    <row r="5287" spans="1:21" ht="14.25" customHeight="1">
      <c r="A5287" s="2" t="s">
        <v>15</v>
      </c>
      <c r="B5287" s="2">
        <v>2019</v>
      </c>
      <c r="C5287" s="2" t="s">
        <v>29</v>
      </c>
      <c r="D5287" s="2" t="s">
        <v>17</v>
      </c>
      <c r="E5287" s="2" t="s">
        <v>17</v>
      </c>
      <c r="F5287" s="2">
        <v>124.9</v>
      </c>
      <c r="G5287" s="2">
        <v>833.2</v>
      </c>
      <c r="H5287" s="2">
        <v>90.6</v>
      </c>
      <c r="I5287" s="2">
        <v>603.4</v>
      </c>
      <c r="P5287" s="3" t="e">
        <f>E5287*(VLOOKUP(B5287,Price_data!A$1:B$190,2,FALSE))</f>
        <v>#VALUE!</v>
      </c>
      <c r="Q5287" s="3">
        <f>G5287*(VLOOKUP(B5287,Price_data!A$1:B$190,2,FALSE))</f>
        <v>491.30497670764009</v>
      </c>
      <c r="R5287" s="3">
        <f>I5287*(VLOOKUP(B5287,Price_data!A$1:B$190,2,FALSE))</f>
        <v>355.80103570018002</v>
      </c>
      <c r="S5287" s="4" t="str">
        <f>(VLOOKUP(B5287,Price_data!A$1:C$190,3,FALSE))</f>
        <v>EEZ</v>
      </c>
      <c r="T5287" s="2" t="str">
        <f>IF(C5287="Total", (VLOOKUP(B5287,Recommended_fish_intake!A$4:D$122,4,FALSE)), "NA")</f>
        <v>NA</v>
      </c>
      <c r="U5287" s="2" t="str">
        <f t="shared" si="420"/>
        <v>NA</v>
      </c>
    </row>
    <row r="5288" spans="1:21" ht="14.25" customHeight="1">
      <c r="A5288" s="2" t="s">
        <v>15</v>
      </c>
      <c r="B5288" s="2">
        <v>2019</v>
      </c>
      <c r="C5288" s="2" t="s">
        <v>93</v>
      </c>
      <c r="D5288" s="2">
        <v>7</v>
      </c>
      <c r="E5288" s="2">
        <v>2.4</v>
      </c>
      <c r="F5288" s="2">
        <v>7.2</v>
      </c>
      <c r="G5288" s="2">
        <v>11.8</v>
      </c>
      <c r="H5288" s="2">
        <v>13.4</v>
      </c>
      <c r="I5288" s="2">
        <v>36.9</v>
      </c>
      <c r="P5288" s="3">
        <f>E5288*(VLOOKUP(B5288,Price_data!A$1:B$190,2,FALSE))</f>
        <v>1.41518476248</v>
      </c>
      <c r="Q5288" s="3">
        <f>G5288*(VLOOKUP(B5288,Price_data!A$1:B$190,2,FALSE))</f>
        <v>6.9579917488600014</v>
      </c>
      <c r="R5288" s="3">
        <f>I5288*(VLOOKUP(B5288,Price_data!A$1:B$190,2,FALSE))</f>
        <v>21.758465723130001</v>
      </c>
      <c r="S5288" s="4" t="str">
        <f>(VLOOKUP(B5288,Price_data!A$1:C$190,3,FALSE))</f>
        <v>EEZ</v>
      </c>
      <c r="T5288" s="2" t="str">
        <f>IF(C5288="Total", (VLOOKUP(B5288,Recommended_fish_intake!A$4:D$122,4,FALSE)), "NA")</f>
        <v>NA</v>
      </c>
      <c r="U5288" s="2" t="str">
        <f t="shared" si="420"/>
        <v>NA</v>
      </c>
    </row>
    <row r="5289" spans="1:21" ht="14.25" customHeight="1">
      <c r="A5289" s="2" t="s">
        <v>15</v>
      </c>
      <c r="B5289" s="2">
        <v>2019</v>
      </c>
      <c r="C5289" s="2" t="s">
        <v>43</v>
      </c>
      <c r="D5289" s="2" t="s">
        <v>17</v>
      </c>
      <c r="E5289" s="2" t="s">
        <v>17</v>
      </c>
      <c r="F5289" s="2">
        <v>4.8</v>
      </c>
      <c r="G5289" s="2">
        <v>23.3</v>
      </c>
      <c r="H5289" s="2">
        <v>110.3</v>
      </c>
      <c r="I5289" s="2">
        <v>439.9</v>
      </c>
      <c r="P5289" s="3" t="e">
        <f>E5289*(VLOOKUP(B5289,Price_data!A$1:B$190,2,FALSE))</f>
        <v>#VALUE!</v>
      </c>
      <c r="Q5289" s="3">
        <f>G5289*(VLOOKUP(B5289,Price_data!A$1:B$190,2,FALSE))</f>
        <v>13.739085402410002</v>
      </c>
      <c r="R5289" s="3">
        <f>I5289*(VLOOKUP(B5289,Price_data!A$1:B$190,2,FALSE))</f>
        <v>259.39157375623</v>
      </c>
      <c r="S5289" s="4" t="str">
        <f>(VLOOKUP(B5289,Price_data!A$1:C$190,3,FALSE))</f>
        <v>EEZ</v>
      </c>
      <c r="T5289" s="2" t="str">
        <f>IF(C5289="Total", (VLOOKUP(B5289,Recommended_fish_intake!A$4:D$122,4,FALSE)), "NA")</f>
        <v>NA</v>
      </c>
      <c r="U5289" s="2" t="str">
        <f t="shared" si="420"/>
        <v>NA</v>
      </c>
    </row>
    <row r="5290" spans="1:21" ht="14.25" customHeight="1">
      <c r="A5290" s="2" t="s">
        <v>15</v>
      </c>
      <c r="B5290" s="2">
        <v>2019</v>
      </c>
      <c r="C5290" s="2" t="s">
        <v>25</v>
      </c>
      <c r="D5290" s="2">
        <v>3.9</v>
      </c>
      <c r="E5290" s="2">
        <v>7.4</v>
      </c>
      <c r="F5290" s="4">
        <v>1.8</v>
      </c>
      <c r="G5290" s="4">
        <v>4</v>
      </c>
      <c r="H5290" s="4">
        <v>2.2999999999999998</v>
      </c>
      <c r="I5290" s="4">
        <v>10</v>
      </c>
      <c r="P5290" s="3">
        <f>E5290*(VLOOKUP(B5290,Price_data!A$1:B$190,2,FALSE))</f>
        <v>4.3634863509800006</v>
      </c>
      <c r="Q5290" s="3">
        <f>G5290*(VLOOKUP(B5290,Price_data!A$1:B$190,2,FALSE))</f>
        <v>2.3586412708000002</v>
      </c>
      <c r="R5290" s="3">
        <f>I5290*(VLOOKUP(B5290,Price_data!A$1:B$190,2,FALSE))</f>
        <v>5.8966031770000003</v>
      </c>
      <c r="S5290" s="4" t="str">
        <f>(VLOOKUP(B5290,Price_data!A$1:C$190,3,FALSE))</f>
        <v>EEZ</v>
      </c>
      <c r="T5290" s="2" t="str">
        <f>IF(C5290="Total", (VLOOKUP(B5290,Recommended_fish_intake!A$4:D$122,4,FALSE)), "NA")</f>
        <v>NA</v>
      </c>
      <c r="U5290" s="2" t="str">
        <f t="shared" si="420"/>
        <v>NA</v>
      </c>
    </row>
    <row r="5291" spans="1:21" ht="14.25" customHeight="1">
      <c r="A5291" s="2" t="s">
        <v>15</v>
      </c>
      <c r="B5291" s="2">
        <v>2019</v>
      </c>
      <c r="C5291" s="2" t="s">
        <v>16</v>
      </c>
      <c r="D5291" s="2">
        <v>391.2</v>
      </c>
      <c r="E5291" s="2">
        <v>762.3</v>
      </c>
      <c r="F5291" s="2">
        <v>454.29908799999998</v>
      </c>
      <c r="G5291" s="2">
        <v>2013.5518729999999</v>
      </c>
      <c r="H5291" s="2">
        <v>726.17981199999997</v>
      </c>
      <c r="I5291" s="2">
        <v>3473.6477439999999</v>
      </c>
      <c r="P5291" s="3">
        <f>E5291*(VLOOKUP(B5291,Price_data!A$1:B$190,2,FALSE))</f>
        <v>449.49806018270999</v>
      </c>
      <c r="Q5291" s="3">
        <f>G5291*(VLOOKUP(B5291,Price_data!A$1:B$190,2,FALSE))</f>
        <v>1187.31163713861</v>
      </c>
      <c r="R5291" s="3">
        <f>I5291*(VLOOKUP(B5291,Price_data!A$1:B$190,2,FALSE))</f>
        <v>2048.2722323049284</v>
      </c>
      <c r="S5291" s="4" t="str">
        <f>(VLOOKUP(B5291,Price_data!A$1:C$190,3,FALSE))</f>
        <v>EEZ</v>
      </c>
      <c r="T5291" s="2" t="e">
        <f>IF(C5291="Total", (VLOOKUP(B5291,Recommended_fish_intake!A$4:D$122,4,FALSE)), "NA")</f>
        <v>#N/A</v>
      </c>
      <c r="U5291" s="2" t="str">
        <f t="shared" si="420"/>
        <v>NA</v>
      </c>
    </row>
    <row r="5292" spans="1:21" ht="14.25" customHeight="1">
      <c r="A5292" s="2" t="s">
        <v>90</v>
      </c>
      <c r="B5292" s="2">
        <v>2019</v>
      </c>
      <c r="C5292" s="2" t="s">
        <v>16</v>
      </c>
      <c r="D5292" s="2">
        <v>103.9</v>
      </c>
      <c r="E5292" s="2">
        <v>235.2</v>
      </c>
      <c r="P5292" s="3">
        <f>E5292*(VLOOKUP(B5292,Price_data!A$1:B$190,2,FALSE))</f>
        <v>138.68810672303999</v>
      </c>
      <c r="Q5292" s="3">
        <f>G5292*(VLOOKUP(B5292,Price_data!A$1:B$190,2,FALSE))</f>
        <v>0</v>
      </c>
      <c r="R5292" s="3">
        <f>I5292*(VLOOKUP(B5292,Price_data!A$1:B$190,2,FALSE))</f>
        <v>0</v>
      </c>
      <c r="S5292" s="4" t="str">
        <f>(VLOOKUP(B5292,Price_data!A$1:C$190,3,FALSE))</f>
        <v>EEZ</v>
      </c>
      <c r="T5292" s="2" t="e">
        <f>IF(C5292="Total", (VLOOKUP(B5292,Recommended_fish_intake!A$4:D$122,4,FALSE)), "NA")</f>
        <v>#N/A</v>
      </c>
      <c r="U5292" s="2" t="str">
        <f t="shared" si="420"/>
        <v>NA</v>
      </c>
    </row>
    <row r="5293" spans="1:21" ht="14.25" customHeight="1">
      <c r="A5293" s="2" t="s">
        <v>91</v>
      </c>
      <c r="B5293" s="2">
        <v>2019</v>
      </c>
      <c r="C5293" s="2" t="s">
        <v>16</v>
      </c>
      <c r="D5293" s="2">
        <v>6.66</v>
      </c>
      <c r="E5293" s="2">
        <v>12.31</v>
      </c>
      <c r="P5293" s="3">
        <f>E5293*(VLOOKUP(B5293,Price_data!A$1:B$190,2,FALSE))</f>
        <v>7.2587185108870012</v>
      </c>
      <c r="Q5293" s="3">
        <f>G5293*(VLOOKUP(B5293,Price_data!A$1:B$190,2,FALSE))</f>
        <v>0</v>
      </c>
      <c r="R5293" s="3">
        <f>I5293*(VLOOKUP(B5293,Price_data!A$1:B$190,2,FALSE))</f>
        <v>0</v>
      </c>
      <c r="S5293" s="4" t="str">
        <f>(VLOOKUP(B5293,Price_data!A$1:C$190,3,FALSE))</f>
        <v>EEZ</v>
      </c>
      <c r="T5293" s="2" t="e">
        <f>IF(C5293="Total", (VLOOKUP(B5293,Recommended_fish_intake!A$4:D$122,4,FALSE)), "NA")</f>
        <v>#N/A</v>
      </c>
      <c r="U5293" s="2" t="str">
        <f t="shared" si="420"/>
        <v>NA</v>
      </c>
    </row>
    <row r="5294" spans="1:21" ht="14.25" customHeight="1">
      <c r="A5294" s="2" t="s">
        <v>39</v>
      </c>
      <c r="B5294" s="2">
        <v>2019</v>
      </c>
      <c r="C5294" s="2" t="s">
        <v>16</v>
      </c>
      <c r="D5294" s="2">
        <v>259.90719969999998</v>
      </c>
      <c r="E5294" s="2">
        <v>478.63110419999998</v>
      </c>
      <c r="P5294" s="3">
        <f>E5294*(VLOOKUP(B5294,Price_data!A$1:B$190,2,FALSE))</f>
        <v>282.22976896367379</v>
      </c>
      <c r="Q5294" s="3">
        <f>G5294*(VLOOKUP(B5294,Price_data!A$1:B$190,2,FALSE))</f>
        <v>0</v>
      </c>
      <c r="R5294" s="3">
        <f>I5294*(VLOOKUP(B5294,Price_data!A$1:B$190,2,FALSE))</f>
        <v>0</v>
      </c>
      <c r="S5294" s="4" t="str">
        <f>(VLOOKUP(B5294,Price_data!A$1:C$190,3,FALSE))</f>
        <v>EEZ</v>
      </c>
      <c r="T5294" s="2" t="e">
        <f>IF(C5294="Total", (VLOOKUP(B5294,Recommended_fish_intake!A$4:D$122,4,FALSE)), "NA")</f>
        <v>#N/A</v>
      </c>
      <c r="U5294" s="2" t="str">
        <f t="shared" si="420"/>
        <v>NA</v>
      </c>
    </row>
    <row r="5295" spans="1:21" ht="14.25" customHeight="1">
      <c r="A5295" s="2" t="s">
        <v>40</v>
      </c>
      <c r="B5295" s="2">
        <v>2019</v>
      </c>
      <c r="C5295" s="2" t="s">
        <v>16</v>
      </c>
      <c r="D5295" s="2">
        <v>15.9095469</v>
      </c>
      <c r="E5295" s="2">
        <v>27.551293879999999</v>
      </c>
      <c r="P5295" s="3">
        <f>E5295*(VLOOKUP(B5295,Price_data!A$1:B$190,2,FALSE))</f>
        <v>16.245904702326868</v>
      </c>
      <c r="Q5295" s="3">
        <f>G5295*(VLOOKUP(B5295,Price_data!A$1:B$190,2,FALSE))</f>
        <v>0</v>
      </c>
      <c r="R5295" s="3">
        <f>I5295*(VLOOKUP(B5295,Price_data!A$1:B$190,2,FALSE))</f>
        <v>0</v>
      </c>
      <c r="S5295" s="4" t="str">
        <f>(VLOOKUP(B5295,Price_data!A$1:C$190,3,FALSE))</f>
        <v>EEZ</v>
      </c>
      <c r="T5295" s="2" t="e">
        <f>IF(C5295="Total", (VLOOKUP(B5295,Recommended_fish_intake!A$4:D$122,4,FALSE)), "NA")</f>
        <v>#N/A</v>
      </c>
      <c r="U5295" s="2" t="str">
        <f t="shared" si="420"/>
        <v>NA</v>
      </c>
    </row>
    <row r="5296" spans="1:21" ht="14.25" customHeight="1">
      <c r="A5296" s="2" t="s">
        <v>18</v>
      </c>
      <c r="B5296" s="2">
        <v>2019</v>
      </c>
      <c r="C5296" s="2" t="s">
        <v>16</v>
      </c>
      <c r="D5296" s="3">
        <f>D3178+D3253</f>
        <v>0.316</v>
      </c>
      <c r="E5296" s="3">
        <f>E3178+E3253</f>
        <v>0.26100000000000001</v>
      </c>
      <c r="P5296" s="3">
        <f>E5296*(VLOOKUP(B5296,Price_data!A$1:B$190,2,FALSE))</f>
        <v>0.15390134291970001</v>
      </c>
      <c r="Q5296" s="3">
        <f>G5296*(VLOOKUP(B5296,Price_data!A$1:B$190,2,FALSE))</f>
        <v>0</v>
      </c>
      <c r="R5296" s="3">
        <f>I5296*(VLOOKUP(B5296,Price_data!A$1:B$190,2,FALSE))</f>
        <v>0</v>
      </c>
      <c r="S5296" s="4" t="str">
        <f>(VLOOKUP(B5296,Price_data!A$1:C$190,3,FALSE))</f>
        <v>EEZ</v>
      </c>
      <c r="T5296" s="2" t="e">
        <f>IF(C5296="Total", (VLOOKUP(B5296,Recommended_fish_intake!A$4:D$122,4,FALSE)), "NA")</f>
        <v>#N/A</v>
      </c>
      <c r="U5296" s="2" t="str">
        <f t="shared" si="420"/>
        <v>NA</v>
      </c>
    </row>
    <row r="5297" spans="1:21" ht="14.25" customHeight="1">
      <c r="A5297" s="2" t="s">
        <v>15</v>
      </c>
      <c r="B5297" s="2">
        <v>2020</v>
      </c>
      <c r="C5297" s="2" t="s">
        <v>16</v>
      </c>
      <c r="D5297" s="2">
        <v>378.79939519999999</v>
      </c>
      <c r="E5297" s="2">
        <v>601.48391834864401</v>
      </c>
      <c r="F5297" s="2">
        <v>423.5</v>
      </c>
      <c r="G5297" s="2">
        <v>1627.010988</v>
      </c>
      <c r="H5297" s="2">
        <v>671.8</v>
      </c>
      <c r="I5297" s="2">
        <v>3205.6171159999999</v>
      </c>
      <c r="J5297" s="8"/>
      <c r="K5297" s="8"/>
      <c r="P5297" s="3">
        <f>E5297*(VLOOKUP(B5297,Price_data!A$1:B$191,2,FALSE))</f>
        <v>349.42657932812739</v>
      </c>
      <c r="Q5297" s="3">
        <f>G5297*(VLOOKUP(B5297,Price_data!A$1:B$191,2,FALSE))</f>
        <v>945.19714779236972</v>
      </c>
      <c r="R5297" s="3">
        <f>I5297*(VLOOKUP(B5297,Price_data!A$1:B$191,2,FALSE))</f>
        <v>1862.273935028644</v>
      </c>
      <c r="S5297" s="4" t="str">
        <f>(VLOOKUP(B5297,Price_data!A$1:C$191,3,FALSE))</f>
        <v>EEZ</v>
      </c>
      <c r="T5297" s="2">
        <f>IF(C5297="Total", (VLOOKUP(B5297,Recommended_fish_intake!A$2:D$122,4,FALSE)), "NA")</f>
        <v>891.97200405221997</v>
      </c>
      <c r="U5297" s="2">
        <f>U5298+U5305</f>
        <v>161.97077180899998</v>
      </c>
    </row>
    <row r="5298" spans="1:21" ht="14.25" customHeight="1">
      <c r="A5298" s="2" t="s">
        <v>15</v>
      </c>
      <c r="B5298" s="2">
        <v>2020</v>
      </c>
      <c r="C5298" s="2" t="s">
        <v>28</v>
      </c>
      <c r="D5298" s="2">
        <v>112.5758659</v>
      </c>
      <c r="E5298" s="2">
        <v>243.951488109618</v>
      </c>
      <c r="F5298" s="2">
        <v>70.405557999999999</v>
      </c>
      <c r="G5298" s="2">
        <v>452.080443</v>
      </c>
      <c r="H5298" s="2">
        <v>103.163718</v>
      </c>
      <c r="I5298" s="2">
        <v>750.17351900000006</v>
      </c>
      <c r="J5298" s="8"/>
      <c r="K5298" s="8"/>
      <c r="P5298" s="3">
        <f>E5298*(VLOOKUP(B5298,Price_data!A$1:B$191,2,FALSE))</f>
        <v>141.72138508072271</v>
      </c>
      <c r="Q5298" s="3">
        <f>G5298*(VLOOKUP(B5298,Price_data!A$1:B$191,2,FALSE))</f>
        <v>262.63199723166895</v>
      </c>
      <c r="R5298" s="3">
        <f>I5298*(VLOOKUP(B5298,Price_data!A$1:B$191,2,FALSE))</f>
        <v>435.80644245050735</v>
      </c>
      <c r="S5298" s="4" t="str">
        <f>(VLOOKUP(B5298,Price_data!A$1:C$191,3,FALSE))</f>
        <v>EEZ</v>
      </c>
      <c r="T5298" s="2" t="str">
        <f>IF(C5298="Total", (VLOOKUP(B5298,Recommended_fish_intake!A$4:D$122,4,FALSE)), "NA")</f>
        <v>NA</v>
      </c>
      <c r="U5298" s="2">
        <f t="shared" ref="U5298:U5306" si="422">IF(C5298="Wet fish", D5298*0.49, IF(C5298="Shellfish", D5298*0.28, "NA"))</f>
        <v>31.521242452000003</v>
      </c>
    </row>
    <row r="5299" spans="1:21" ht="14.25" customHeight="1">
      <c r="A5299" s="2" t="s">
        <v>15</v>
      </c>
      <c r="B5299" s="2">
        <v>2020</v>
      </c>
      <c r="C5299" s="2" t="s">
        <v>22</v>
      </c>
      <c r="D5299" s="2">
        <v>18.0358172</v>
      </c>
      <c r="E5299" s="2">
        <v>45.924452220790101</v>
      </c>
      <c r="F5299" s="2">
        <v>9.8885649999999998</v>
      </c>
      <c r="G5299" s="2">
        <v>44.649838000000003</v>
      </c>
      <c r="H5299" s="2">
        <v>97.385397999999995</v>
      </c>
      <c r="I5299" s="2">
        <v>530.49170800000002</v>
      </c>
      <c r="J5299" s="8"/>
      <c r="K5299" s="8"/>
      <c r="P5299" s="3">
        <f>E5299*(VLOOKUP(B5299,Price_data!A$1:B$191,2,FALSE))</f>
        <v>26.679390350262196</v>
      </c>
      <c r="Q5299" s="3">
        <f>G5299*(VLOOKUP(B5299,Price_data!A$1:B$191,2,FALSE))</f>
        <v>25.938914880267156</v>
      </c>
      <c r="R5299" s="3">
        <f>I5299*(VLOOKUP(B5299,Price_data!A$1:B$191,2,FALSE))</f>
        <v>308.18430424091434</v>
      </c>
      <c r="S5299" s="4" t="str">
        <f>(VLOOKUP(B5299,Price_data!A$1:C$191,3,FALSE))</f>
        <v>EEZ</v>
      </c>
      <c r="T5299" s="2" t="str">
        <f>IF(C5299="Total", (VLOOKUP(B5299,Recommended_fish_intake!A$4:D$122,4,FALSE)), "NA")</f>
        <v>NA</v>
      </c>
      <c r="U5299" s="2" t="str">
        <f t="shared" si="422"/>
        <v>NA</v>
      </c>
    </row>
    <row r="5300" spans="1:21" ht="14.25" customHeight="1">
      <c r="A5300" s="2" t="s">
        <v>15</v>
      </c>
      <c r="B5300" s="2">
        <v>2020</v>
      </c>
      <c r="C5300" s="2" t="s">
        <v>23</v>
      </c>
      <c r="D5300" s="2">
        <v>28.4862739</v>
      </c>
      <c r="E5300" s="2">
        <v>39.560754162482702</v>
      </c>
      <c r="F5300" s="2">
        <v>1.4818610000000001</v>
      </c>
      <c r="G5300" s="2">
        <v>3.2614329999999998</v>
      </c>
      <c r="H5300" s="2">
        <v>46.982584000000003</v>
      </c>
      <c r="I5300" s="2">
        <v>159.284423</v>
      </c>
      <c r="J5300" s="8"/>
      <c r="K5300" s="8"/>
      <c r="P5300" s="3">
        <f>E5300*(VLOOKUP(B5300,Price_data!A$1:B$191,2,FALSE))</f>
        <v>22.982458185398418</v>
      </c>
      <c r="Q5300" s="3">
        <f>G5300*(VLOOKUP(B5300,Price_data!A$1:B$191,2,FALSE))</f>
        <v>1.8946996621733396</v>
      </c>
      <c r="R5300" s="3">
        <f>I5300*(VLOOKUP(B5300,Price_data!A$1:B$191,2,FALSE))</f>
        <v>92.534828232735535</v>
      </c>
      <c r="S5300" s="4" t="str">
        <f>(VLOOKUP(B5300,Price_data!A$1:C$191,3,FALSE))</f>
        <v>EEZ</v>
      </c>
      <c r="T5300" s="2" t="str">
        <f>IF(C5300="Total", (VLOOKUP(B5300,Recommended_fish_intake!A$4:D$122,4,FALSE)), "NA")</f>
        <v>NA</v>
      </c>
      <c r="U5300" s="2" t="str">
        <f t="shared" si="422"/>
        <v>NA</v>
      </c>
    </row>
    <row r="5301" spans="1:21" ht="14.25" customHeight="1">
      <c r="A5301" s="2" t="s">
        <v>15</v>
      </c>
      <c r="B5301" s="2">
        <v>2020</v>
      </c>
      <c r="C5301" s="2" t="s">
        <v>19</v>
      </c>
      <c r="D5301" s="2">
        <v>35.687645400000001</v>
      </c>
      <c r="E5301" s="2">
        <v>18.824458017900302</v>
      </c>
      <c r="F5301" s="2">
        <v>36.794975000000001</v>
      </c>
      <c r="G5301" s="2">
        <v>30.987390999999999</v>
      </c>
      <c r="H5301" s="2">
        <v>4.4679489999999999</v>
      </c>
      <c r="I5301" s="2">
        <v>9.5225980000000003</v>
      </c>
      <c r="J5301" s="8"/>
      <c r="K5301" s="8"/>
      <c r="P5301" s="3">
        <f>E5301*(VLOOKUP(B5301,Price_data!A$1:B$191,2,FALSE))</f>
        <v>10.935896658650329</v>
      </c>
      <c r="Q5301" s="3">
        <f>G5301*(VLOOKUP(B5301,Price_data!A$1:B$191,2,FALSE))</f>
        <v>18.001841294711003</v>
      </c>
      <c r="R5301" s="3">
        <f>I5301*(VLOOKUP(B5301,Price_data!A$1:B$191,2,FALSE))</f>
        <v>5.532066184898639</v>
      </c>
      <c r="S5301" s="4" t="str">
        <f>(VLOOKUP(B5301,Price_data!A$1:C$191,3,FALSE))</f>
        <v>EEZ</v>
      </c>
      <c r="T5301" s="2" t="str">
        <f>IF(C5301="Total", (VLOOKUP(B5301,Recommended_fish_intake!A$4:D$122,4,FALSE)), "NA")</f>
        <v>NA</v>
      </c>
      <c r="U5301" s="2" t="str">
        <f t="shared" si="422"/>
        <v>NA</v>
      </c>
    </row>
    <row r="5302" spans="1:21" ht="14.25" customHeight="1">
      <c r="A5302" s="2" t="s">
        <v>15</v>
      </c>
      <c r="B5302" s="2">
        <v>2020</v>
      </c>
      <c r="C5302" s="2" t="s">
        <v>20</v>
      </c>
      <c r="D5302" s="2">
        <v>83.131358700000106</v>
      </c>
      <c r="E5302" s="2">
        <v>87.294792337409405</v>
      </c>
      <c r="F5302" s="2">
        <v>70.013717999999997</v>
      </c>
      <c r="G5302" s="2">
        <v>93.722494999999995</v>
      </c>
      <c r="H5302" s="2">
        <v>14.216229999999999</v>
      </c>
      <c r="I5302" s="2">
        <v>46.794016999999997</v>
      </c>
      <c r="J5302" s="8"/>
      <c r="K5302" s="8"/>
      <c r="P5302" s="3">
        <f>E5302*(VLOOKUP(B5302,Price_data!A$1:B$191,2,FALSE))</f>
        <v>50.713110939633424</v>
      </c>
      <c r="Q5302" s="3">
        <f>G5302*(VLOOKUP(B5302,Price_data!A$1:B$191,2,FALSE))</f>
        <v>54.447225993770992</v>
      </c>
      <c r="R5302" s="3">
        <f>I5302*(VLOOKUP(B5302,Price_data!A$1:B$191,2,FALSE))</f>
        <v>27.184556053009064</v>
      </c>
      <c r="S5302" s="4" t="str">
        <f>(VLOOKUP(B5302,Price_data!A$1:C$191,3,FALSE))</f>
        <v>EEZ</v>
      </c>
      <c r="T5302" s="2" t="str">
        <f>IF(C5302="Total", (VLOOKUP(B5302,Recommended_fish_intake!A$4:D$122,4,FALSE)), "NA")</f>
        <v>NA</v>
      </c>
      <c r="U5302" s="2" t="str">
        <f t="shared" si="422"/>
        <v>NA</v>
      </c>
    </row>
    <row r="5303" spans="1:21" ht="14.25" customHeight="1">
      <c r="A5303" s="2" t="s">
        <v>15</v>
      </c>
      <c r="B5303" s="2">
        <v>2020</v>
      </c>
      <c r="C5303" s="2" t="s">
        <v>29</v>
      </c>
      <c r="D5303" s="2">
        <v>0</v>
      </c>
      <c r="E5303" s="2">
        <v>0</v>
      </c>
      <c r="F5303" s="2">
        <v>98.234696000000099</v>
      </c>
      <c r="G5303" s="2">
        <v>620.59371699999997</v>
      </c>
      <c r="H5303" s="2">
        <v>84.284597000000005</v>
      </c>
      <c r="I5303" s="2">
        <v>523.97427100000004</v>
      </c>
      <c r="P5303" s="3">
        <f>E5303*(VLOOKUP(B5303,Price_data!A$1:B$191,2,FALSE))</f>
        <v>0</v>
      </c>
      <c r="Q5303" s="3">
        <f>G5303*(VLOOKUP(B5303,Price_data!A$1:B$191,2,FALSE))</f>
        <v>360.5282420171738</v>
      </c>
      <c r="R5303" s="3">
        <f>I5303*(VLOOKUP(B5303,Price_data!A$1:B$191,2,FALSE))</f>
        <v>304.39805884444723</v>
      </c>
      <c r="S5303" s="4" t="str">
        <f>(VLOOKUP(B5303,Price_data!A$1:C$191,3,FALSE))</f>
        <v>EEZ</v>
      </c>
      <c r="T5303" s="2" t="str">
        <f>IF(C5303="Total", (VLOOKUP(B5303,Recommended_fish_intake!A$4:D$122,4,FALSE)), "NA")</f>
        <v>NA</v>
      </c>
      <c r="U5303" s="2" t="str">
        <f t="shared" si="422"/>
        <v>NA</v>
      </c>
    </row>
    <row r="5304" spans="1:21" ht="14.25" customHeight="1">
      <c r="A5304" s="2" t="s">
        <v>15</v>
      </c>
      <c r="B5304" s="2">
        <v>2020</v>
      </c>
      <c r="C5304" s="2" t="s">
        <v>43</v>
      </c>
      <c r="D5304" s="2">
        <v>0</v>
      </c>
      <c r="E5304" s="2">
        <v>0</v>
      </c>
      <c r="F5304" s="2">
        <v>4.9376629999999997</v>
      </c>
      <c r="G5304" s="2">
        <v>22.155588000000002</v>
      </c>
      <c r="H5304" s="2">
        <v>105.575129</v>
      </c>
      <c r="I5304" s="2">
        <v>409.39621799999998</v>
      </c>
      <c r="P5304" s="3">
        <f>E5304*(VLOOKUP(B5304,Price_data!A$1:B$191,2,FALSE))</f>
        <v>0</v>
      </c>
      <c r="Q5304" s="3">
        <f>G5304*(VLOOKUP(B5304,Price_data!A$1:B$191,2,FALSE))</f>
        <v>12.87108614490983</v>
      </c>
      <c r="R5304" s="3">
        <f>I5304*(VLOOKUP(B5304,Price_data!A$1:B$191,2,FALSE))</f>
        <v>237.83498724016189</v>
      </c>
      <c r="S5304" s="4" t="str">
        <f>(VLOOKUP(B5304,Price_data!A$1:C$191,3,FALSE))</f>
        <v>EEZ</v>
      </c>
      <c r="T5304" s="2" t="str">
        <f>IF(C5304="Total", (VLOOKUP(B5304,Recommended_fish_intake!A$4:D$122,4,FALSE)), "NA")</f>
        <v>NA</v>
      </c>
      <c r="U5304" s="2" t="str">
        <f t="shared" si="422"/>
        <v>NA</v>
      </c>
    </row>
    <row r="5305" spans="1:21" ht="14.25" customHeight="1">
      <c r="A5305" s="2" t="s">
        <v>15</v>
      </c>
      <c r="B5305" s="2">
        <v>2020</v>
      </c>
      <c r="C5305" s="2" t="s">
        <v>37</v>
      </c>
      <c r="D5305" s="2">
        <f>122.6897929+143.5337364</f>
        <v>266.2235293</v>
      </c>
      <c r="E5305" s="2">
        <f>244.851651420601+112.680778818425</f>
        <v>357.53243023902598</v>
      </c>
      <c r="F5305" s="2">
        <v>353.080398</v>
      </c>
      <c r="G5305" s="2">
        <v>1174.9305449999999</v>
      </c>
      <c r="H5305" s="2">
        <v>568.62173099999995</v>
      </c>
      <c r="I5305" s="2">
        <v>2455.443597</v>
      </c>
      <c r="J5305" s="8"/>
      <c r="K5305" s="8"/>
      <c r="P5305" s="3">
        <f>E5305*(VLOOKUP(B5305,Price_data!A$1:B$191,2,FALSE))</f>
        <v>207.70519424740465</v>
      </c>
      <c r="Q5305" s="3">
        <f>G5305*(VLOOKUP(B5305,Price_data!A$1:B$191,2,FALSE))</f>
        <v>682.56515056070077</v>
      </c>
      <c r="R5305" s="3">
        <f>I5305*(VLOOKUP(B5305,Price_data!A$1:B$191,2,FALSE))</f>
        <v>1426.4674925781367</v>
      </c>
      <c r="S5305" s="4" t="str">
        <f>(VLOOKUP(B5305,Price_data!A$1:C$191,3,FALSE))</f>
        <v>EEZ</v>
      </c>
      <c r="T5305" s="2" t="str">
        <f>IF(C5305="Total", (VLOOKUP(B5305,Recommended_fish_intake!A$4:D$122,4,FALSE)), "NA")</f>
        <v>NA</v>
      </c>
      <c r="U5305" s="2">
        <f t="shared" si="422"/>
        <v>130.44952935699999</v>
      </c>
    </row>
    <row r="5306" spans="1:21" ht="14.25" customHeight="1">
      <c r="A5306" s="2" t="s">
        <v>15</v>
      </c>
      <c r="B5306" s="2">
        <v>2020</v>
      </c>
      <c r="C5306" s="2" t="s">
        <v>30</v>
      </c>
      <c r="D5306" s="2">
        <v>1.1032090999999999</v>
      </c>
      <c r="E5306" s="2">
        <v>2.5336951099331602</v>
      </c>
      <c r="F5306" s="2">
        <v>12.163997999999999</v>
      </c>
      <c r="G5306" s="2">
        <v>81.102079000000003</v>
      </c>
      <c r="H5306" s="2">
        <v>76.799329999999998</v>
      </c>
      <c r="I5306" s="2">
        <v>600.18278299999997</v>
      </c>
      <c r="P5306" s="3">
        <f>E5306*(VLOOKUP(B5306,Price_data!A$1:B$191,2,FALSE))</f>
        <v>1.4719269930857393</v>
      </c>
      <c r="Q5306" s="3">
        <f>G5306*(VLOOKUP(B5306,Price_data!A$1:B$191,2,FALSE))</f>
        <v>47.115510784019023</v>
      </c>
      <c r="R5306" s="3">
        <f>I5306*(VLOOKUP(B5306,Price_data!A$1:B$191,2,FALSE))</f>
        <v>348.67069665155003</v>
      </c>
      <c r="S5306" s="4" t="str">
        <f>(VLOOKUP(B5306,Price_data!A$1:C$191,3,FALSE))</f>
        <v>EEZ</v>
      </c>
      <c r="T5306" s="2" t="str">
        <f>IF(C5306="Total", (VLOOKUP(B5306,Recommended_fish_intake!A$4:D$122,4,FALSE)), "NA")</f>
        <v>NA</v>
      </c>
      <c r="U5306" s="2" t="str">
        <f t="shared" si="422"/>
        <v>NA</v>
      </c>
    </row>
  </sheetData>
  <autoFilter ref="A1:U5306" xr:uid="{00000000-0009-0000-0000-000004000000}">
    <sortState xmlns:xlrd2="http://schemas.microsoft.com/office/spreadsheetml/2017/richdata2" ref="A2:U5306">
      <sortCondition ref="B81:B5306"/>
    </sortState>
  </autoFilter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0"/>
  <sheetViews>
    <sheetView workbookViewId="0"/>
  </sheetViews>
  <sheetFormatPr defaultColWidth="14.42578125" defaultRowHeight="15" customHeight="1"/>
  <cols>
    <col min="1" max="3" width="8.7109375" customWidth="1"/>
    <col min="4" max="4" width="12" customWidth="1"/>
    <col min="5" max="5" width="10.28515625" customWidth="1"/>
    <col min="6" max="7" width="9.7109375" customWidth="1"/>
    <col min="8" max="8" width="9.42578125" customWidth="1"/>
    <col min="9" max="9" width="10.28515625" customWidth="1"/>
    <col min="10" max="10" width="9.42578125" customWidth="1"/>
    <col min="11" max="11" width="10.28515625" customWidth="1"/>
    <col min="12" max="12" width="9.42578125" customWidth="1"/>
    <col min="13" max="13" width="16.28515625" customWidth="1"/>
    <col min="14" max="14" width="9.42578125" customWidth="1"/>
    <col min="15" max="16" width="12" customWidth="1"/>
    <col min="17" max="26" width="8.7109375" customWidth="1"/>
  </cols>
  <sheetData>
    <row r="1" spans="1:16" ht="14.25" customHeight="1">
      <c r="A1" s="2" t="s">
        <v>1</v>
      </c>
      <c r="B1" s="2" t="s">
        <v>108</v>
      </c>
      <c r="C1" s="2" t="s">
        <v>109</v>
      </c>
      <c r="D1" s="2" t="s">
        <v>110</v>
      </c>
      <c r="E1" s="2" t="s">
        <v>111</v>
      </c>
      <c r="F1" s="2" t="s">
        <v>112</v>
      </c>
      <c r="G1" s="2" t="s">
        <v>113</v>
      </c>
      <c r="H1" s="2" t="s">
        <v>114</v>
      </c>
      <c r="I1" s="2" t="s">
        <v>115</v>
      </c>
      <c r="J1" s="2" t="s">
        <v>116</v>
      </c>
      <c r="K1" s="2" t="s">
        <v>18</v>
      </c>
      <c r="L1" s="2" t="s">
        <v>40</v>
      </c>
      <c r="M1" s="2" t="s">
        <v>117</v>
      </c>
      <c r="N1" s="2" t="s">
        <v>118</v>
      </c>
    </row>
    <row r="2" spans="1:16" ht="14.25" customHeight="1">
      <c r="A2" s="2">
        <v>2020</v>
      </c>
      <c r="B2" s="2">
        <v>280</v>
      </c>
      <c r="C2" s="2">
        <f t="shared" ref="C2:C122" si="0">(B2*52.143)/1000000000</f>
        <v>1.460004E-5</v>
      </c>
      <c r="D2" s="2">
        <f t="shared" ref="D2:D122" si="1">(G2*C2)+(F2*(C2/2))</f>
        <v>891.97200405221997</v>
      </c>
      <c r="E2" s="2">
        <v>67081234</v>
      </c>
      <c r="F2" s="2">
        <v>11974857</v>
      </c>
      <c r="G2" s="8">
        <f t="shared" ref="G2:G100" si="2">E2-F2</f>
        <v>55106377</v>
      </c>
      <c r="H2" s="2">
        <f t="shared" ref="H2:H122" si="3">(F2/E2)*100</f>
        <v>17.851277154501958</v>
      </c>
    </row>
    <row r="3" spans="1:16" ht="14.25" customHeight="1">
      <c r="A3" s="2">
        <v>2019</v>
      </c>
      <c r="B3" s="2">
        <v>280</v>
      </c>
      <c r="C3" s="2">
        <f t="shared" si="0"/>
        <v>1.460004E-5</v>
      </c>
      <c r="D3" s="2">
        <f t="shared" si="1"/>
        <v>887.92065355265993</v>
      </c>
      <c r="E3" s="8">
        <v>66796807</v>
      </c>
      <c r="F3" s="8">
        <v>11960981</v>
      </c>
      <c r="G3" s="8">
        <f t="shared" si="2"/>
        <v>54835826</v>
      </c>
      <c r="H3" s="2">
        <f t="shared" si="3"/>
        <v>17.906516100387854</v>
      </c>
      <c r="I3" s="8">
        <v>64903140</v>
      </c>
      <c r="J3" s="8">
        <v>5463300</v>
      </c>
      <c r="K3" s="8">
        <v>59439840</v>
      </c>
      <c r="L3" s="8">
        <v>1893667</v>
      </c>
      <c r="M3" s="8"/>
      <c r="O3" s="2" t="s">
        <v>119</v>
      </c>
    </row>
    <row r="4" spans="1:16" ht="14.25" customHeight="1">
      <c r="A4" s="2">
        <v>2018</v>
      </c>
      <c r="B4" s="2">
        <v>280</v>
      </c>
      <c r="C4" s="2">
        <f t="shared" si="0"/>
        <v>1.460004E-5</v>
      </c>
      <c r="D4" s="2">
        <f t="shared" si="1"/>
        <v>883.00789339308005</v>
      </c>
      <c r="E4" s="8">
        <v>66435550</v>
      </c>
      <c r="F4" s="2">
        <v>11911446</v>
      </c>
      <c r="G4" s="8">
        <f t="shared" si="2"/>
        <v>54524104</v>
      </c>
      <c r="H4" s="2">
        <f t="shared" si="3"/>
        <v>17.929325489139476</v>
      </c>
      <c r="I4" s="8">
        <v>64553909</v>
      </c>
      <c r="J4" s="8">
        <v>5438100</v>
      </c>
      <c r="K4" s="8">
        <v>59115809</v>
      </c>
      <c r="L4" s="8">
        <v>1881641</v>
      </c>
      <c r="M4" s="8"/>
      <c r="O4" s="2" t="s">
        <v>107</v>
      </c>
      <c r="P4" s="23" t="s">
        <v>359</v>
      </c>
    </row>
    <row r="5" spans="1:16" ht="14.25" customHeight="1">
      <c r="A5" s="2">
        <v>2017</v>
      </c>
      <c r="B5" s="2">
        <v>280</v>
      </c>
      <c r="C5" s="2">
        <f t="shared" si="0"/>
        <v>1.460004E-5</v>
      </c>
      <c r="D5" s="2">
        <f t="shared" si="1"/>
        <v>877.99446595769996</v>
      </c>
      <c r="E5" s="8">
        <v>66040229</v>
      </c>
      <c r="F5" s="2">
        <v>11807573</v>
      </c>
      <c r="G5" s="8">
        <f t="shared" si="2"/>
        <v>54232656</v>
      </c>
      <c r="H5" s="2">
        <f t="shared" si="3"/>
        <v>17.879364106989996</v>
      </c>
      <c r="I5" s="8">
        <v>64169395</v>
      </c>
      <c r="J5" s="8">
        <v>5424800</v>
      </c>
      <c r="K5" s="8">
        <v>58744595</v>
      </c>
      <c r="L5" s="8">
        <v>1870834</v>
      </c>
      <c r="M5" s="8"/>
      <c r="O5" s="2">
        <f>AVERAGE(H3:H69)</f>
        <v>20.551924961760101</v>
      </c>
      <c r="P5" s="2">
        <f>STDEV(H3:H69)/SQRT(COUNT(H3:H69))</f>
        <v>0.29213315385669414</v>
      </c>
    </row>
    <row r="6" spans="1:16" ht="14.25" customHeight="1">
      <c r="A6" s="2">
        <v>2016</v>
      </c>
      <c r="B6" s="2">
        <v>280</v>
      </c>
      <c r="C6" s="2">
        <f t="shared" si="0"/>
        <v>1.460004E-5</v>
      </c>
      <c r="D6" s="2">
        <f t="shared" si="1"/>
        <v>873.22310718552001</v>
      </c>
      <c r="E6" s="8">
        <v>65648054</v>
      </c>
      <c r="F6" s="2">
        <v>11676832</v>
      </c>
      <c r="G6" s="8">
        <f t="shared" si="2"/>
        <v>53971222</v>
      </c>
      <c r="H6" s="2">
        <f t="shared" si="3"/>
        <v>17.787019246602494</v>
      </c>
      <c r="I6" s="8">
        <v>63785917</v>
      </c>
      <c r="J6" s="8">
        <v>5404700</v>
      </c>
      <c r="K6" s="8">
        <v>58381217</v>
      </c>
      <c r="L6" s="8">
        <v>1862137</v>
      </c>
      <c r="M6" s="8"/>
    </row>
    <row r="7" spans="1:16" ht="14.25" customHeight="1">
      <c r="A7" s="2">
        <v>2015</v>
      </c>
      <c r="B7" s="2">
        <v>280</v>
      </c>
      <c r="C7" s="2">
        <f t="shared" si="0"/>
        <v>1.460004E-5</v>
      </c>
      <c r="D7" s="2">
        <f t="shared" si="1"/>
        <v>866.43411048558005</v>
      </c>
      <c r="E7" s="8">
        <v>65110034</v>
      </c>
      <c r="F7" s="2">
        <v>11530789</v>
      </c>
      <c r="G7" s="8">
        <f t="shared" si="2"/>
        <v>53579245</v>
      </c>
      <c r="H7" s="2">
        <f t="shared" si="3"/>
        <v>17.709695866538787</v>
      </c>
      <c r="I7" s="8">
        <v>63258413</v>
      </c>
      <c r="J7" s="8">
        <v>5373000</v>
      </c>
      <c r="K7" s="8">
        <v>57885413</v>
      </c>
      <c r="L7" s="8">
        <v>1851621</v>
      </c>
      <c r="M7" s="8"/>
      <c r="O7" s="10"/>
      <c r="P7" s="2" t="s">
        <v>120</v>
      </c>
    </row>
    <row r="8" spans="1:16" ht="14.25" customHeight="1">
      <c r="A8" s="2">
        <v>2014</v>
      </c>
      <c r="B8" s="2">
        <v>280</v>
      </c>
      <c r="C8" s="2">
        <f t="shared" si="0"/>
        <v>1.460004E-5</v>
      </c>
      <c r="D8" s="2">
        <f t="shared" si="1"/>
        <v>859.84000971959995</v>
      </c>
      <c r="E8" s="8">
        <v>64596752</v>
      </c>
      <c r="F8" s="2">
        <v>11407524</v>
      </c>
      <c r="G8" s="8">
        <f t="shared" si="2"/>
        <v>53189228</v>
      </c>
      <c r="H8" s="2">
        <f t="shared" si="3"/>
        <v>17.659593782671919</v>
      </c>
      <c r="I8" s="8">
        <v>62756254</v>
      </c>
      <c r="J8" s="8">
        <v>5347600</v>
      </c>
      <c r="K8" s="8">
        <v>57408654</v>
      </c>
      <c r="L8" s="8">
        <v>1840498</v>
      </c>
      <c r="M8" s="8"/>
    </row>
    <row r="9" spans="1:16" ht="14.25" customHeight="1">
      <c r="A9" s="2">
        <v>2013</v>
      </c>
      <c r="B9" s="2">
        <v>280</v>
      </c>
      <c r="C9" s="2">
        <f t="shared" si="0"/>
        <v>1.460004E-5</v>
      </c>
      <c r="D9" s="2">
        <f t="shared" si="1"/>
        <v>853.40222428187997</v>
      </c>
      <c r="E9" s="8">
        <v>64105654</v>
      </c>
      <c r="F9" s="2">
        <v>11307214</v>
      </c>
      <c r="G9" s="8">
        <f t="shared" si="2"/>
        <v>52798440</v>
      </c>
      <c r="H9" s="2">
        <f t="shared" si="3"/>
        <v>17.638403626613027</v>
      </c>
      <c r="I9" s="8">
        <v>62275929</v>
      </c>
      <c r="J9" s="8">
        <v>5327700</v>
      </c>
      <c r="K9" s="8">
        <v>56948229</v>
      </c>
      <c r="L9" s="8">
        <v>1829725</v>
      </c>
      <c r="M9" s="8"/>
    </row>
    <row r="10" spans="1:16" ht="14.25" customHeight="1">
      <c r="A10" s="2">
        <v>2012</v>
      </c>
      <c r="B10" s="2">
        <v>280</v>
      </c>
      <c r="C10" s="2">
        <f t="shared" si="0"/>
        <v>1.460004E-5</v>
      </c>
      <c r="D10" s="2">
        <f t="shared" si="1"/>
        <v>848.23560592679996</v>
      </c>
      <c r="E10" s="8">
        <v>63705030</v>
      </c>
      <c r="F10" s="2">
        <v>11213720</v>
      </c>
      <c r="G10" s="8">
        <f t="shared" si="2"/>
        <v>52491310</v>
      </c>
      <c r="H10" s="2">
        <f t="shared" si="3"/>
        <v>17.602566076807435</v>
      </c>
      <c r="I10" s="8">
        <v>61881396</v>
      </c>
      <c r="J10" s="8">
        <v>5313600</v>
      </c>
      <c r="K10" s="8">
        <v>56567796</v>
      </c>
      <c r="L10" s="8">
        <v>1823634</v>
      </c>
      <c r="M10" s="8"/>
    </row>
    <row r="11" spans="1:16" ht="14.25" customHeight="1">
      <c r="A11" s="2">
        <v>2011</v>
      </c>
      <c r="B11" s="2">
        <v>280</v>
      </c>
      <c r="C11" s="2">
        <f t="shared" si="0"/>
        <v>1.460004E-5</v>
      </c>
      <c r="D11" s="2">
        <f t="shared" si="1"/>
        <v>842.8171441817401</v>
      </c>
      <c r="E11" s="8">
        <v>63285145</v>
      </c>
      <c r="F11" s="2">
        <v>11116203</v>
      </c>
      <c r="G11" s="8">
        <f t="shared" si="2"/>
        <v>52168942</v>
      </c>
      <c r="H11" s="2">
        <f t="shared" si="3"/>
        <v>17.5652643286193</v>
      </c>
      <c r="I11" s="8">
        <v>61470827</v>
      </c>
      <c r="J11" s="8">
        <v>5299900</v>
      </c>
      <c r="K11" s="8">
        <v>56170927</v>
      </c>
      <c r="L11" s="8">
        <v>1814318</v>
      </c>
      <c r="M11" s="8"/>
    </row>
    <row r="12" spans="1:16" ht="14.25" customHeight="1">
      <c r="A12" s="2">
        <v>2010</v>
      </c>
      <c r="B12" s="2">
        <v>280</v>
      </c>
      <c r="C12" s="2">
        <f t="shared" si="0"/>
        <v>1.460004E-5</v>
      </c>
      <c r="D12" s="2">
        <f t="shared" si="1"/>
        <v>835.60193581409999</v>
      </c>
      <c r="E12" s="8">
        <v>62759456</v>
      </c>
      <c r="F12" s="2">
        <v>11053207</v>
      </c>
      <c r="G12" s="8">
        <f t="shared" si="2"/>
        <v>51706249</v>
      </c>
      <c r="H12" s="2">
        <f t="shared" si="3"/>
        <v>17.61201849805709</v>
      </c>
      <c r="I12" s="8">
        <v>60954623</v>
      </c>
      <c r="J12" s="8">
        <v>5262200</v>
      </c>
      <c r="K12" s="8">
        <v>55692423</v>
      </c>
      <c r="L12" s="8">
        <v>1804833</v>
      </c>
      <c r="M12" s="8"/>
    </row>
    <row r="13" spans="1:16" ht="14.25" customHeight="1">
      <c r="A13" s="2">
        <v>2009</v>
      </c>
      <c r="B13" s="2">
        <v>280</v>
      </c>
      <c r="C13" s="2">
        <f t="shared" si="0"/>
        <v>1.460004E-5</v>
      </c>
      <c r="D13" s="2">
        <f t="shared" si="1"/>
        <v>828.83504357471998</v>
      </c>
      <c r="E13" s="8">
        <v>62260486</v>
      </c>
      <c r="F13" s="2">
        <v>10982236</v>
      </c>
      <c r="G13" s="8">
        <f t="shared" si="2"/>
        <v>51278250</v>
      </c>
      <c r="H13" s="2">
        <f t="shared" si="3"/>
        <v>17.639174869274228</v>
      </c>
      <c r="I13" s="8">
        <v>60467153</v>
      </c>
      <c r="J13" s="8">
        <v>5231900</v>
      </c>
      <c r="K13" s="8">
        <v>55235253</v>
      </c>
      <c r="L13" s="8">
        <v>1793333</v>
      </c>
      <c r="M13" s="8"/>
    </row>
    <row r="14" spans="1:16" ht="14.25" customHeight="1">
      <c r="A14" s="2">
        <v>2008</v>
      </c>
      <c r="B14" s="2">
        <v>280</v>
      </c>
      <c r="C14" s="2">
        <f t="shared" si="0"/>
        <v>1.460004E-5</v>
      </c>
      <c r="D14" s="2">
        <f t="shared" si="1"/>
        <v>822.78820340807999</v>
      </c>
      <c r="E14" s="8">
        <v>61823772</v>
      </c>
      <c r="F14" s="2">
        <v>10937140</v>
      </c>
      <c r="G14" s="8">
        <f t="shared" si="2"/>
        <v>50886632</v>
      </c>
      <c r="H14" s="2">
        <f t="shared" si="3"/>
        <v>17.690832581357217</v>
      </c>
      <c r="I14" s="8">
        <v>60044620</v>
      </c>
      <c r="J14" s="8">
        <v>5202900</v>
      </c>
      <c r="K14" s="8">
        <v>54841720</v>
      </c>
      <c r="L14" s="8">
        <v>1779152</v>
      </c>
      <c r="M14" s="8"/>
    </row>
    <row r="15" spans="1:16" ht="14.25" customHeight="1">
      <c r="A15" s="2">
        <v>2007</v>
      </c>
      <c r="B15" s="2">
        <v>280</v>
      </c>
      <c r="C15" s="2">
        <f t="shared" si="0"/>
        <v>1.460004E-5</v>
      </c>
      <c r="D15" s="2">
        <f t="shared" si="1"/>
        <v>815.80107686532006</v>
      </c>
      <c r="E15" s="8">
        <v>61319075</v>
      </c>
      <c r="F15" s="2">
        <v>10884884</v>
      </c>
      <c r="G15" s="8">
        <f t="shared" si="2"/>
        <v>50434191</v>
      </c>
      <c r="H15" s="2">
        <f t="shared" si="3"/>
        <v>17.751220154576696</v>
      </c>
      <c r="I15" s="8">
        <v>59557392</v>
      </c>
      <c r="J15" s="8">
        <v>5170000</v>
      </c>
      <c r="K15" s="8">
        <v>54387392</v>
      </c>
      <c r="L15" s="8">
        <v>1761683</v>
      </c>
      <c r="M15" s="8"/>
    </row>
    <row r="16" spans="1:16" ht="14.25" customHeight="1">
      <c r="A16" s="2">
        <v>2006</v>
      </c>
      <c r="B16" s="2">
        <v>280</v>
      </c>
      <c r="C16" s="2">
        <f t="shared" si="0"/>
        <v>1.460004E-5</v>
      </c>
      <c r="D16" s="2">
        <f t="shared" si="1"/>
        <v>808.7323871991</v>
      </c>
      <c r="E16" s="8">
        <v>60826967</v>
      </c>
      <c r="F16" s="2">
        <v>10868979</v>
      </c>
      <c r="G16" s="8">
        <f t="shared" si="2"/>
        <v>49957988</v>
      </c>
      <c r="H16" s="2">
        <f t="shared" si="3"/>
        <v>17.868684789100204</v>
      </c>
      <c r="I16" s="8">
        <v>59083854</v>
      </c>
      <c r="J16" s="8">
        <v>5133000</v>
      </c>
      <c r="K16" s="8">
        <v>53950854</v>
      </c>
      <c r="L16" s="8">
        <v>1743113</v>
      </c>
      <c r="M16" s="8"/>
    </row>
    <row r="17" spans="1:13" ht="14.25" customHeight="1">
      <c r="A17" s="2">
        <v>2005</v>
      </c>
      <c r="B17" s="2">
        <v>280</v>
      </c>
      <c r="C17" s="2">
        <f t="shared" si="0"/>
        <v>1.460004E-5</v>
      </c>
      <c r="D17" s="2">
        <f t="shared" si="1"/>
        <v>802.41914010258006</v>
      </c>
      <c r="E17" s="8">
        <v>60413276</v>
      </c>
      <c r="F17" s="2">
        <v>10906423</v>
      </c>
      <c r="G17" s="8">
        <f t="shared" si="2"/>
        <v>49506853</v>
      </c>
      <c r="H17" s="2">
        <f t="shared" si="3"/>
        <v>18.053023643346208</v>
      </c>
      <c r="I17" s="8">
        <v>58685543</v>
      </c>
      <c r="J17" s="8">
        <v>5110200</v>
      </c>
      <c r="K17" s="8">
        <v>53575343</v>
      </c>
      <c r="L17" s="8">
        <v>1727733</v>
      </c>
      <c r="M17" s="8"/>
    </row>
    <row r="18" spans="1:13" ht="14.25" customHeight="1">
      <c r="A18" s="2">
        <v>2004</v>
      </c>
      <c r="B18" s="2">
        <v>280</v>
      </c>
      <c r="C18" s="2">
        <f t="shared" si="0"/>
        <v>1.460004E-5</v>
      </c>
      <c r="D18" s="2">
        <f t="shared" si="1"/>
        <v>795.42713714646004</v>
      </c>
      <c r="E18" s="8">
        <v>59950364</v>
      </c>
      <c r="F18" s="2">
        <v>10938405</v>
      </c>
      <c r="G18" s="8">
        <f t="shared" si="2"/>
        <v>49011959</v>
      </c>
      <c r="H18" s="2">
        <f t="shared" si="3"/>
        <v>18.245769116597856</v>
      </c>
      <c r="I18" s="8">
        <v>58236322</v>
      </c>
      <c r="J18" s="8">
        <v>5084300</v>
      </c>
      <c r="K18" s="8">
        <v>53152022</v>
      </c>
      <c r="L18" s="8">
        <v>1714042</v>
      </c>
      <c r="M18" s="8"/>
    </row>
    <row r="19" spans="1:13" ht="14.25" customHeight="1">
      <c r="A19" s="2">
        <v>2003</v>
      </c>
      <c r="B19" s="2">
        <v>280</v>
      </c>
      <c r="C19" s="2">
        <f t="shared" si="0"/>
        <v>1.460004E-5</v>
      </c>
      <c r="D19" s="2">
        <f t="shared" si="1"/>
        <v>790.56982793880002</v>
      </c>
      <c r="E19" s="8">
        <v>59636662</v>
      </c>
      <c r="F19" s="2">
        <v>10976384</v>
      </c>
      <c r="G19" s="8">
        <f t="shared" si="2"/>
        <v>48660278</v>
      </c>
      <c r="H19" s="2">
        <f t="shared" si="3"/>
        <v>18.405429867956059</v>
      </c>
      <c r="I19" s="8">
        <v>57931738</v>
      </c>
      <c r="J19" s="8">
        <v>5068500</v>
      </c>
      <c r="K19" s="8">
        <v>52863238</v>
      </c>
      <c r="L19" s="8">
        <v>1704924</v>
      </c>
      <c r="M19" s="8"/>
    </row>
    <row r="20" spans="1:13" ht="14.25" customHeight="1">
      <c r="A20" s="2">
        <v>2002</v>
      </c>
      <c r="B20" s="2">
        <v>280</v>
      </c>
      <c r="C20" s="2">
        <f t="shared" si="0"/>
        <v>1.460004E-5</v>
      </c>
      <c r="D20" s="2">
        <f t="shared" si="1"/>
        <v>786.17703360378005</v>
      </c>
      <c r="E20" s="8">
        <v>59365677</v>
      </c>
      <c r="F20" s="2">
        <v>11036165</v>
      </c>
      <c r="G20" s="8">
        <f t="shared" si="2"/>
        <v>48329512</v>
      </c>
      <c r="H20" s="2">
        <f t="shared" si="3"/>
        <v>18.590144268042287</v>
      </c>
      <c r="I20" s="8">
        <v>57668143</v>
      </c>
      <c r="J20" s="8">
        <v>5066000</v>
      </c>
      <c r="K20" s="8">
        <v>52602143</v>
      </c>
      <c r="L20" s="8">
        <v>1697534</v>
      </c>
      <c r="M20" s="8"/>
    </row>
    <row r="21" spans="1:13" ht="14.25" customHeight="1">
      <c r="A21" s="2">
        <v>2001</v>
      </c>
      <c r="B21" s="2">
        <v>280</v>
      </c>
      <c r="C21" s="2">
        <f t="shared" si="0"/>
        <v>1.460004E-5</v>
      </c>
      <c r="D21" s="2">
        <f t="shared" si="1"/>
        <v>781.97369668782005</v>
      </c>
      <c r="E21" s="8">
        <v>59113016</v>
      </c>
      <c r="F21" s="2">
        <v>11106641</v>
      </c>
      <c r="G21" s="8">
        <f t="shared" si="2"/>
        <v>48006375</v>
      </c>
      <c r="H21" s="2">
        <f t="shared" si="3"/>
        <v>18.78882478268407</v>
      </c>
      <c r="I21" s="8">
        <v>57424178</v>
      </c>
      <c r="J21" s="8">
        <v>5064200</v>
      </c>
      <c r="K21" s="8">
        <v>52359978</v>
      </c>
      <c r="L21" s="8">
        <v>1688838</v>
      </c>
      <c r="M21" s="8"/>
    </row>
    <row r="22" spans="1:13" ht="14.25" customHeight="1">
      <c r="A22" s="2">
        <v>2000</v>
      </c>
      <c r="B22" s="2">
        <v>280</v>
      </c>
      <c r="C22" s="2">
        <f t="shared" si="0"/>
        <v>1.460004E-5</v>
      </c>
      <c r="D22" s="2">
        <f t="shared" si="1"/>
        <v>777.95265587130007</v>
      </c>
      <c r="E22" s="8">
        <v>58886100</v>
      </c>
      <c r="F22" s="2">
        <v>11203635</v>
      </c>
      <c r="G22" s="8">
        <f t="shared" si="2"/>
        <v>47682465</v>
      </c>
      <c r="H22" s="2">
        <f t="shared" si="3"/>
        <v>19.02594160591379</v>
      </c>
      <c r="I22" s="8">
        <v>57203121</v>
      </c>
      <c r="J22" s="8">
        <v>5062940</v>
      </c>
      <c r="K22" s="8">
        <v>52140181</v>
      </c>
      <c r="L22" s="8">
        <v>1682944</v>
      </c>
      <c r="M22" s="8"/>
    </row>
    <row r="23" spans="1:13" ht="14.25" customHeight="1">
      <c r="A23" s="2">
        <v>1999</v>
      </c>
      <c r="B23" s="2">
        <v>280</v>
      </c>
      <c r="C23" s="2">
        <f t="shared" si="0"/>
        <v>1.460004E-5</v>
      </c>
      <c r="D23" s="2">
        <f t="shared" si="1"/>
        <v>774.41573048112002</v>
      </c>
      <c r="E23" s="8">
        <v>58684400</v>
      </c>
      <c r="F23" s="2">
        <v>11284744</v>
      </c>
      <c r="G23" s="8">
        <f t="shared" si="2"/>
        <v>47399656</v>
      </c>
      <c r="H23" s="2">
        <f t="shared" si="3"/>
        <v>19.229546523437232</v>
      </c>
      <c r="I23" s="8">
        <v>57005421</v>
      </c>
      <c r="J23" s="8">
        <v>5071950</v>
      </c>
      <c r="K23" s="8">
        <v>51933471</v>
      </c>
      <c r="L23" s="8">
        <v>1679006</v>
      </c>
      <c r="M23" s="8"/>
    </row>
    <row r="24" spans="1:13" ht="14.25" customHeight="1">
      <c r="A24" s="2">
        <v>1998</v>
      </c>
      <c r="B24" s="2">
        <v>280</v>
      </c>
      <c r="C24" s="2">
        <f t="shared" si="0"/>
        <v>1.460004E-5</v>
      </c>
      <c r="D24" s="2">
        <f t="shared" si="1"/>
        <v>771.31081297451999</v>
      </c>
      <c r="E24" s="8">
        <v>58474900</v>
      </c>
      <c r="F24" s="2">
        <v>11291074</v>
      </c>
      <c r="G24" s="8">
        <f t="shared" si="2"/>
        <v>47183826</v>
      </c>
      <c r="H24" s="2">
        <f t="shared" si="3"/>
        <v>19.309266026961996</v>
      </c>
      <c r="I24" s="8">
        <v>56797174</v>
      </c>
      <c r="J24" s="8">
        <v>5077070</v>
      </c>
      <c r="K24" s="8">
        <v>51720104</v>
      </c>
      <c r="L24" s="8">
        <v>1677769</v>
      </c>
      <c r="M24" s="8"/>
    </row>
    <row r="25" spans="1:13" ht="14.25" customHeight="1">
      <c r="A25" s="2">
        <v>1997</v>
      </c>
      <c r="B25" s="2">
        <v>280</v>
      </c>
      <c r="C25" s="2">
        <f t="shared" si="0"/>
        <v>1.460004E-5</v>
      </c>
      <c r="D25" s="2">
        <f t="shared" si="1"/>
        <v>768.93800717370004</v>
      </c>
      <c r="E25" s="8">
        <v>58314200</v>
      </c>
      <c r="F25" s="2">
        <v>11294715</v>
      </c>
      <c r="G25" s="8">
        <f t="shared" si="2"/>
        <v>47019485</v>
      </c>
      <c r="H25" s="2">
        <f t="shared" si="3"/>
        <v>19.368721512084537</v>
      </c>
      <c r="I25" s="8">
        <v>56642988</v>
      </c>
      <c r="J25" s="8">
        <v>5083340</v>
      </c>
      <c r="K25" s="8">
        <v>51559648</v>
      </c>
      <c r="L25" s="8">
        <v>1671261</v>
      </c>
      <c r="M25" s="8"/>
    </row>
    <row r="26" spans="1:13" ht="14.25" customHeight="1">
      <c r="A26" s="2">
        <v>1996</v>
      </c>
      <c r="B26" s="2">
        <v>280</v>
      </c>
      <c r="C26" s="2">
        <f t="shared" si="0"/>
        <v>1.460004E-5</v>
      </c>
      <c r="D26" s="2">
        <f t="shared" si="1"/>
        <v>766.84383583626004</v>
      </c>
      <c r="E26" s="8">
        <v>58164400</v>
      </c>
      <c r="F26" s="2">
        <v>11281987</v>
      </c>
      <c r="G26" s="8">
        <f t="shared" si="2"/>
        <v>46882413</v>
      </c>
      <c r="H26" s="2">
        <f t="shared" si="3"/>
        <v>19.396722049913691</v>
      </c>
      <c r="I26" s="8">
        <v>56502623</v>
      </c>
      <c r="J26" s="8">
        <v>5092190</v>
      </c>
      <c r="K26" s="8">
        <v>51410433</v>
      </c>
      <c r="L26" s="8">
        <v>1661751</v>
      </c>
      <c r="M26" s="8"/>
    </row>
    <row r="27" spans="1:13" ht="14.25" customHeight="1">
      <c r="A27" s="2">
        <v>1995</v>
      </c>
      <c r="B27" s="2">
        <v>280</v>
      </c>
      <c r="C27" s="2">
        <f t="shared" si="0"/>
        <v>1.460004E-5</v>
      </c>
      <c r="D27" s="2">
        <f t="shared" si="1"/>
        <v>764.73883856916007</v>
      </c>
      <c r="E27" s="8">
        <v>58024800</v>
      </c>
      <c r="F27" s="2">
        <v>11291142</v>
      </c>
      <c r="G27" s="8">
        <f t="shared" si="2"/>
        <v>46733658</v>
      </c>
      <c r="H27" s="2">
        <f t="shared" si="3"/>
        <v>19.459165736030112</v>
      </c>
      <c r="I27" s="8">
        <v>56375668</v>
      </c>
      <c r="J27" s="8">
        <v>5103690</v>
      </c>
      <c r="K27" s="8">
        <v>51271978</v>
      </c>
      <c r="L27" s="8">
        <v>1649131</v>
      </c>
      <c r="M27" s="8"/>
    </row>
    <row r="28" spans="1:13" ht="14.25" customHeight="1">
      <c r="A28" s="2">
        <v>1994</v>
      </c>
      <c r="B28" s="2">
        <v>280</v>
      </c>
      <c r="C28" s="2">
        <f t="shared" si="0"/>
        <v>1.460004E-5</v>
      </c>
      <c r="D28" s="2">
        <f t="shared" si="1"/>
        <v>762.35795164620004</v>
      </c>
      <c r="E28" s="8">
        <v>57862100</v>
      </c>
      <c r="F28" s="2">
        <v>11291890</v>
      </c>
      <c r="G28" s="8">
        <f t="shared" si="2"/>
        <v>46570210</v>
      </c>
      <c r="H28" s="2">
        <f t="shared" si="3"/>
        <v>19.515174872671402</v>
      </c>
      <c r="I28" s="8">
        <v>56218438</v>
      </c>
      <c r="J28" s="8">
        <v>5102210</v>
      </c>
      <c r="K28" s="8">
        <v>51116228</v>
      </c>
      <c r="L28" s="8">
        <v>1643707</v>
      </c>
      <c r="M28" s="8"/>
    </row>
    <row r="29" spans="1:13" ht="14.25" customHeight="1">
      <c r="A29" s="2">
        <v>1993</v>
      </c>
      <c r="B29" s="2">
        <v>280</v>
      </c>
      <c r="C29" s="2">
        <f t="shared" si="0"/>
        <v>1.460004E-5</v>
      </c>
      <c r="D29" s="2">
        <f t="shared" si="1"/>
        <v>760.54715978513991</v>
      </c>
      <c r="E29" s="8">
        <v>57713900</v>
      </c>
      <c r="F29" s="2">
        <v>11243543</v>
      </c>
      <c r="G29" s="8">
        <f t="shared" si="2"/>
        <v>46470357</v>
      </c>
      <c r="H29" s="2">
        <f t="shared" si="3"/>
        <v>19.481516584393013</v>
      </c>
      <c r="I29" s="8">
        <v>56078337</v>
      </c>
      <c r="J29" s="8">
        <v>5092460</v>
      </c>
      <c r="K29" s="8">
        <v>50985877</v>
      </c>
      <c r="L29" s="8">
        <v>1635552</v>
      </c>
      <c r="M29" s="8"/>
    </row>
    <row r="30" spans="1:13" ht="14.25" customHeight="1">
      <c r="A30" s="2">
        <v>1992</v>
      </c>
      <c r="B30" s="2">
        <v>280</v>
      </c>
      <c r="C30" s="2">
        <f t="shared" si="0"/>
        <v>1.460004E-5</v>
      </c>
      <c r="D30" s="2">
        <f t="shared" si="1"/>
        <v>759.37844118318003</v>
      </c>
      <c r="E30" s="8">
        <v>57584500</v>
      </c>
      <c r="F30" s="2">
        <v>11144841</v>
      </c>
      <c r="G30" s="8">
        <f t="shared" si="2"/>
        <v>46439659</v>
      </c>
      <c r="H30" s="2">
        <f t="shared" si="3"/>
        <v>19.353890369804375</v>
      </c>
      <c r="I30" s="8">
        <v>55961267</v>
      </c>
      <c r="J30" s="8">
        <v>5085620</v>
      </c>
      <c r="K30" s="8">
        <v>50875647</v>
      </c>
      <c r="L30" s="8">
        <v>1623263</v>
      </c>
      <c r="M30" s="8"/>
    </row>
    <row r="31" spans="1:13" ht="14.25" customHeight="1">
      <c r="A31" s="2">
        <v>1991</v>
      </c>
      <c r="B31" s="2">
        <v>280</v>
      </c>
      <c r="C31" s="2">
        <f t="shared" si="0"/>
        <v>1.460004E-5</v>
      </c>
      <c r="D31" s="2">
        <f t="shared" si="1"/>
        <v>758.2473833844</v>
      </c>
      <c r="E31" s="8">
        <v>57438700</v>
      </c>
      <c r="F31" s="2">
        <v>11008180</v>
      </c>
      <c r="G31" s="8">
        <f t="shared" si="2"/>
        <v>46430520</v>
      </c>
      <c r="H31" s="2">
        <f t="shared" si="3"/>
        <v>19.165092524726361</v>
      </c>
      <c r="I31" s="8">
        <v>55831363</v>
      </c>
      <c r="J31" s="8">
        <v>5083330</v>
      </c>
      <c r="K31" s="8">
        <v>50748033</v>
      </c>
      <c r="L31" s="8">
        <v>1607295</v>
      </c>
      <c r="M31" s="8"/>
    </row>
    <row r="32" spans="1:13" ht="14.25" customHeight="1">
      <c r="A32" s="2">
        <v>1990</v>
      </c>
      <c r="B32" s="2">
        <v>280</v>
      </c>
      <c r="C32" s="2">
        <f t="shared" si="0"/>
        <v>1.460004E-5</v>
      </c>
      <c r="D32" s="2">
        <f t="shared" si="1"/>
        <v>756.27328277592005</v>
      </c>
      <c r="E32" s="8">
        <v>57237500</v>
      </c>
      <c r="F32" s="2">
        <v>10876204</v>
      </c>
      <c r="G32" s="8">
        <f t="shared" si="2"/>
        <v>46361296</v>
      </c>
      <c r="H32" s="2">
        <f t="shared" si="3"/>
        <v>19.001885127757152</v>
      </c>
      <c r="I32" s="8">
        <v>55641898</v>
      </c>
      <c r="J32" s="8">
        <v>5081270</v>
      </c>
      <c r="K32" s="8">
        <v>50560628</v>
      </c>
      <c r="L32" s="8">
        <v>1595595</v>
      </c>
      <c r="M32" s="8"/>
    </row>
    <row r="33" spans="1:13" ht="14.25" customHeight="1">
      <c r="A33" s="2">
        <v>1989</v>
      </c>
      <c r="B33" s="2">
        <v>280</v>
      </c>
      <c r="C33" s="2">
        <f t="shared" si="0"/>
        <v>1.460004E-5</v>
      </c>
      <c r="D33" s="2">
        <f t="shared" si="1"/>
        <v>754.55328856362007</v>
      </c>
      <c r="E33" s="8">
        <v>57076500</v>
      </c>
      <c r="F33" s="2">
        <v>10789819</v>
      </c>
      <c r="G33" s="8">
        <f t="shared" si="2"/>
        <v>46286681</v>
      </c>
      <c r="H33" s="2">
        <f t="shared" si="3"/>
        <v>18.904135677555562</v>
      </c>
      <c r="I33" s="8">
        <v>55486016</v>
      </c>
      <c r="J33" s="8">
        <v>5078190</v>
      </c>
      <c r="K33" s="8">
        <v>50407826</v>
      </c>
      <c r="L33" s="8">
        <v>1590435</v>
      </c>
      <c r="M33" s="8"/>
    </row>
    <row r="34" spans="1:13" ht="14.25" customHeight="1">
      <c r="A34" s="2">
        <v>1988</v>
      </c>
      <c r="B34" s="2">
        <v>280</v>
      </c>
      <c r="C34" s="2">
        <f t="shared" si="0"/>
        <v>1.460004E-5</v>
      </c>
      <c r="D34" s="2">
        <f t="shared" si="1"/>
        <v>752.64956744796007</v>
      </c>
      <c r="E34" s="8">
        <v>56916400</v>
      </c>
      <c r="F34" s="2">
        <v>10730402</v>
      </c>
      <c r="G34" s="8">
        <f t="shared" si="2"/>
        <v>46185998</v>
      </c>
      <c r="H34" s="2">
        <f t="shared" si="3"/>
        <v>18.852917612498331</v>
      </c>
      <c r="I34" s="8">
        <v>55331008</v>
      </c>
      <c r="J34" s="8">
        <v>5077440</v>
      </c>
      <c r="K34" s="8">
        <v>50253568</v>
      </c>
      <c r="L34" s="8">
        <v>1585440</v>
      </c>
      <c r="M34" s="8"/>
    </row>
    <row r="35" spans="1:13" ht="14.25" customHeight="1">
      <c r="A35" s="2">
        <v>1987</v>
      </c>
      <c r="B35" s="2">
        <v>280</v>
      </c>
      <c r="C35" s="2">
        <f t="shared" si="0"/>
        <v>1.460004E-5</v>
      </c>
      <c r="D35" s="2">
        <f t="shared" si="1"/>
        <v>751.06106119590004</v>
      </c>
      <c r="E35" s="8">
        <v>56804000</v>
      </c>
      <c r="F35" s="2">
        <v>10723205</v>
      </c>
      <c r="G35" s="8">
        <f t="shared" si="2"/>
        <v>46080795</v>
      </c>
      <c r="H35" s="2">
        <f t="shared" si="3"/>
        <v>18.87755263713823</v>
      </c>
      <c r="I35" s="8">
        <v>55222004</v>
      </c>
      <c r="J35" s="8">
        <v>5099020</v>
      </c>
      <c r="K35" s="8">
        <v>50122984</v>
      </c>
      <c r="L35" s="8">
        <v>1581954</v>
      </c>
      <c r="M35" s="8"/>
    </row>
    <row r="36" spans="1:13" ht="14.25" customHeight="1">
      <c r="A36" s="2">
        <v>1986</v>
      </c>
      <c r="B36" s="2">
        <v>280</v>
      </c>
      <c r="C36" s="2">
        <f t="shared" si="0"/>
        <v>1.460004E-5</v>
      </c>
      <c r="D36" s="2">
        <f t="shared" si="1"/>
        <v>748.90915400028007</v>
      </c>
      <c r="E36" s="8">
        <v>56683800</v>
      </c>
      <c r="F36" s="2">
        <v>10777586</v>
      </c>
      <c r="G36" s="8">
        <f t="shared" si="2"/>
        <v>45906214</v>
      </c>
      <c r="H36" s="2">
        <f t="shared" si="3"/>
        <v>19.013520617883771</v>
      </c>
      <c r="I36" s="8">
        <v>55110334</v>
      </c>
      <c r="J36" s="8">
        <v>5111760</v>
      </c>
      <c r="K36" s="8">
        <v>49998574</v>
      </c>
      <c r="L36" s="8">
        <v>1573501</v>
      </c>
      <c r="M36" s="8"/>
    </row>
    <row r="37" spans="1:13" ht="14.25" customHeight="1">
      <c r="A37" s="2">
        <v>1985</v>
      </c>
      <c r="B37" s="2">
        <v>280</v>
      </c>
      <c r="C37" s="2">
        <f t="shared" si="0"/>
        <v>1.460004E-5</v>
      </c>
      <c r="D37" s="2">
        <f t="shared" si="1"/>
        <v>746.31751549991998</v>
      </c>
      <c r="E37" s="8">
        <v>56554000</v>
      </c>
      <c r="F37" s="2">
        <v>10873004</v>
      </c>
      <c r="G37" s="8">
        <f t="shared" si="2"/>
        <v>45680996</v>
      </c>
      <c r="H37" s="2">
        <f t="shared" si="3"/>
        <v>19.225879690207588</v>
      </c>
      <c r="I37" s="8">
        <v>54988603</v>
      </c>
      <c r="J37" s="8">
        <v>5127890</v>
      </c>
      <c r="K37" s="8">
        <v>49860713</v>
      </c>
      <c r="L37" s="8">
        <v>1565352</v>
      </c>
      <c r="M37" s="8"/>
    </row>
    <row r="38" spans="1:13" ht="14.25" customHeight="1">
      <c r="A38" s="2">
        <v>1984</v>
      </c>
      <c r="B38" s="2">
        <v>280</v>
      </c>
      <c r="C38" s="2">
        <f t="shared" si="0"/>
        <v>1.460004E-5</v>
      </c>
      <c r="D38" s="2">
        <f t="shared" si="1"/>
        <v>743.44973914302011</v>
      </c>
      <c r="E38" s="8">
        <v>56409300</v>
      </c>
      <c r="F38" s="2">
        <v>10976449</v>
      </c>
      <c r="G38" s="8">
        <f t="shared" si="2"/>
        <v>45432851</v>
      </c>
      <c r="H38" s="2">
        <f t="shared" si="3"/>
        <v>19.458580411386066</v>
      </c>
      <c r="I38" s="8">
        <v>54852010</v>
      </c>
      <c r="J38" s="8">
        <v>5138880</v>
      </c>
      <c r="K38" s="8">
        <v>49713130</v>
      </c>
      <c r="L38" s="8">
        <v>1557317</v>
      </c>
      <c r="M38" s="8"/>
    </row>
    <row r="39" spans="1:13" ht="14.25" customHeight="1">
      <c r="A39" s="2">
        <v>1983</v>
      </c>
      <c r="B39" s="2">
        <v>280</v>
      </c>
      <c r="C39" s="2">
        <f t="shared" si="0"/>
        <v>1.460004E-5</v>
      </c>
      <c r="D39" s="2">
        <f t="shared" si="1"/>
        <v>740.77961082761999</v>
      </c>
      <c r="E39" s="8">
        <v>56315700</v>
      </c>
      <c r="F39" s="2">
        <v>11155019</v>
      </c>
      <c r="G39" s="8">
        <f t="shared" si="2"/>
        <v>45160681</v>
      </c>
      <c r="H39" s="2">
        <f t="shared" si="3"/>
        <v>19.808009134220121</v>
      </c>
      <c r="I39" s="8">
        <v>54765117</v>
      </c>
      <c r="J39" s="8">
        <v>5148120</v>
      </c>
      <c r="K39" s="8">
        <v>49616997</v>
      </c>
      <c r="L39" s="8">
        <v>1550560</v>
      </c>
      <c r="M39" s="8"/>
    </row>
    <row r="40" spans="1:13" ht="14.25" customHeight="1">
      <c r="A40" s="2">
        <v>1982</v>
      </c>
      <c r="B40" s="2">
        <v>280</v>
      </c>
      <c r="C40" s="2">
        <f t="shared" si="0"/>
        <v>1.460004E-5</v>
      </c>
      <c r="D40" s="2">
        <f t="shared" si="1"/>
        <v>738.93652367807999</v>
      </c>
      <c r="E40" s="8">
        <v>56290700</v>
      </c>
      <c r="F40" s="2">
        <v>11357496</v>
      </c>
      <c r="G40" s="8">
        <f t="shared" si="2"/>
        <v>44933204</v>
      </c>
      <c r="H40" s="2">
        <f t="shared" si="3"/>
        <v>20.17650517758706</v>
      </c>
      <c r="I40" s="8">
        <v>54746166</v>
      </c>
      <c r="J40" s="8">
        <v>5164540</v>
      </c>
      <c r="K40" s="8">
        <v>49581626</v>
      </c>
      <c r="L40" s="8">
        <v>1544545</v>
      </c>
      <c r="M40" s="8"/>
    </row>
    <row r="41" spans="1:13" ht="14.25" customHeight="1">
      <c r="A41" s="2">
        <v>1981</v>
      </c>
      <c r="B41" s="2">
        <v>280</v>
      </c>
      <c r="C41" s="2">
        <f t="shared" si="0"/>
        <v>1.460004E-5</v>
      </c>
      <c r="D41" s="2">
        <f t="shared" si="1"/>
        <v>738.11608173030004</v>
      </c>
      <c r="E41" s="8">
        <v>56357500</v>
      </c>
      <c r="F41" s="2">
        <v>11603485</v>
      </c>
      <c r="G41" s="8">
        <f t="shared" si="2"/>
        <v>44754015</v>
      </c>
      <c r="H41" s="2">
        <f t="shared" si="3"/>
        <v>20.589069777758063</v>
      </c>
      <c r="I41" s="8">
        <v>54814500</v>
      </c>
      <c r="J41" s="8">
        <v>5180200</v>
      </c>
      <c r="K41" s="8">
        <v>49634300</v>
      </c>
      <c r="L41" s="8">
        <v>1542964</v>
      </c>
      <c r="M41" s="8"/>
    </row>
    <row r="42" spans="1:13" ht="14.25" customHeight="1">
      <c r="A42" s="2">
        <v>1980</v>
      </c>
      <c r="B42" s="2">
        <v>280</v>
      </c>
      <c r="C42" s="2">
        <f t="shared" si="0"/>
        <v>1.460004E-5</v>
      </c>
      <c r="D42" s="2">
        <f t="shared" si="1"/>
        <v>736.07238273114001</v>
      </c>
      <c r="E42" s="8">
        <v>56329700</v>
      </c>
      <c r="F42" s="2">
        <v>11827843</v>
      </c>
      <c r="G42" s="8">
        <f t="shared" si="2"/>
        <v>44501857</v>
      </c>
      <c r="H42" s="2">
        <f t="shared" si="3"/>
        <v>20.997525284175133</v>
      </c>
      <c r="I42" s="8">
        <v>54796900</v>
      </c>
      <c r="J42" s="8">
        <v>5193900</v>
      </c>
      <c r="K42" s="8">
        <v>49603000</v>
      </c>
      <c r="L42" s="8">
        <v>1532773</v>
      </c>
      <c r="M42" s="8"/>
    </row>
    <row r="43" spans="1:13" ht="14.25" customHeight="1">
      <c r="A43" s="2">
        <v>1979</v>
      </c>
      <c r="B43" s="2">
        <v>280</v>
      </c>
      <c r="C43" s="2">
        <f t="shared" si="0"/>
        <v>1.460004E-5</v>
      </c>
      <c r="D43" s="2">
        <f t="shared" si="1"/>
        <v>733.00876873770005</v>
      </c>
      <c r="E43" s="8">
        <v>56240100</v>
      </c>
      <c r="F43" s="2">
        <v>12068315</v>
      </c>
      <c r="G43" s="8">
        <f t="shared" si="2"/>
        <v>44171785</v>
      </c>
      <c r="H43" s="2">
        <f t="shared" si="3"/>
        <v>21.458558928593654</v>
      </c>
      <c r="I43" s="8">
        <v>54711800</v>
      </c>
      <c r="J43" s="8">
        <v>5203600</v>
      </c>
      <c r="K43" s="8">
        <v>49508200</v>
      </c>
      <c r="L43" s="8">
        <v>1528253</v>
      </c>
      <c r="M43" s="8"/>
    </row>
    <row r="44" spans="1:13" ht="14.25" customHeight="1">
      <c r="A44" s="2">
        <v>1978</v>
      </c>
      <c r="B44" s="2">
        <v>280</v>
      </c>
      <c r="C44" s="2">
        <f t="shared" si="0"/>
        <v>1.460004E-5</v>
      </c>
      <c r="D44" s="2">
        <f t="shared" si="1"/>
        <v>730.24287875994003</v>
      </c>
      <c r="E44" s="8">
        <v>56178000</v>
      </c>
      <c r="F44" s="2">
        <v>12323003</v>
      </c>
      <c r="G44" s="8">
        <f t="shared" si="2"/>
        <v>43854997</v>
      </c>
      <c r="H44" s="2">
        <f t="shared" si="3"/>
        <v>21.935638506176794</v>
      </c>
      <c r="I44" s="8">
        <v>54654800</v>
      </c>
      <c r="J44" s="8">
        <v>5212300</v>
      </c>
      <c r="K44" s="8">
        <v>49442500</v>
      </c>
      <c r="L44" s="8">
        <v>1523225</v>
      </c>
      <c r="M44" s="8"/>
    </row>
    <row r="45" spans="1:13" ht="14.25" customHeight="1">
      <c r="A45" s="2">
        <v>1977</v>
      </c>
      <c r="B45" s="2">
        <v>280</v>
      </c>
      <c r="C45" s="2">
        <f t="shared" si="0"/>
        <v>1.460004E-5</v>
      </c>
      <c r="D45" s="2">
        <f t="shared" si="1"/>
        <v>728.34644306424002</v>
      </c>
      <c r="E45" s="8">
        <v>56189900</v>
      </c>
      <c r="F45" s="2">
        <v>12606588</v>
      </c>
      <c r="G45" s="8">
        <f t="shared" si="2"/>
        <v>43583312</v>
      </c>
      <c r="H45" s="2">
        <f t="shared" si="3"/>
        <v>22.435683281159069</v>
      </c>
      <c r="I45" s="8">
        <v>54666600</v>
      </c>
      <c r="J45" s="8">
        <v>5226200</v>
      </c>
      <c r="K45" s="8">
        <v>49440400</v>
      </c>
      <c r="L45" s="8">
        <v>1523310</v>
      </c>
      <c r="M45" s="8"/>
    </row>
    <row r="46" spans="1:13" ht="14.25" customHeight="1">
      <c r="A46" s="2">
        <v>1976</v>
      </c>
      <c r="B46" s="2">
        <v>280</v>
      </c>
      <c r="C46" s="2">
        <f t="shared" si="0"/>
        <v>1.460004E-5</v>
      </c>
      <c r="D46" s="2">
        <f t="shared" si="1"/>
        <v>726.61000190687992</v>
      </c>
      <c r="E46" s="8">
        <v>56216100</v>
      </c>
      <c r="F46" s="2">
        <v>12896856</v>
      </c>
      <c r="G46" s="8">
        <f t="shared" si="2"/>
        <v>43319244</v>
      </c>
      <c r="H46" s="2">
        <f t="shared" si="3"/>
        <v>22.941570119592075</v>
      </c>
      <c r="I46" s="8">
        <v>54692600</v>
      </c>
      <c r="J46" s="8">
        <v>5233400</v>
      </c>
      <c r="K46" s="8">
        <v>49459200</v>
      </c>
      <c r="L46" s="8">
        <v>1523521</v>
      </c>
      <c r="M46" s="8"/>
    </row>
    <row r="47" spans="1:13" ht="14.25" customHeight="1">
      <c r="A47" s="2">
        <v>1975</v>
      </c>
      <c r="B47" s="2">
        <v>280</v>
      </c>
      <c r="C47" s="2">
        <f t="shared" si="0"/>
        <v>1.460004E-5</v>
      </c>
      <c r="D47" s="2">
        <f t="shared" si="1"/>
        <v>724.99416437994</v>
      </c>
      <c r="E47" s="8">
        <v>56225700</v>
      </c>
      <c r="F47" s="2">
        <v>13137403</v>
      </c>
      <c r="G47" s="8">
        <f t="shared" si="2"/>
        <v>43088297</v>
      </c>
      <c r="H47" s="2">
        <f t="shared" si="3"/>
        <v>23.365476997173889</v>
      </c>
      <c r="I47" s="8">
        <v>54702200</v>
      </c>
      <c r="J47" s="8">
        <v>5232400</v>
      </c>
      <c r="K47" s="8">
        <v>49469800</v>
      </c>
      <c r="L47" s="8">
        <v>1523518</v>
      </c>
      <c r="M47" s="8"/>
    </row>
    <row r="48" spans="1:13" ht="14.25" customHeight="1">
      <c r="A48" s="2">
        <v>1974</v>
      </c>
      <c r="B48" s="2">
        <v>280</v>
      </c>
      <c r="C48" s="2">
        <f t="shared" si="0"/>
        <v>1.460004E-5</v>
      </c>
      <c r="D48" s="2">
        <f t="shared" si="1"/>
        <v>723.79461049350004</v>
      </c>
      <c r="E48" s="8">
        <v>56235600</v>
      </c>
      <c r="F48" s="2">
        <v>13321525</v>
      </c>
      <c r="G48" s="8">
        <f t="shared" si="2"/>
        <v>42914075</v>
      </c>
      <c r="H48" s="2">
        <f t="shared" si="3"/>
        <v>23.688775437623143</v>
      </c>
      <c r="I48" s="8">
        <v>54708700</v>
      </c>
      <c r="J48" s="8">
        <v>5240800</v>
      </c>
      <c r="K48" s="8">
        <v>49467900</v>
      </c>
      <c r="L48" s="8">
        <v>1526942</v>
      </c>
      <c r="M48" s="8"/>
    </row>
    <row r="49" spans="1:13" ht="14.25" customHeight="1">
      <c r="A49" s="2">
        <v>1973</v>
      </c>
      <c r="B49" s="2">
        <v>280</v>
      </c>
      <c r="C49" s="2">
        <f t="shared" si="0"/>
        <v>1.460004E-5</v>
      </c>
      <c r="D49" s="2">
        <f t="shared" si="1"/>
        <v>722.64226583640004</v>
      </c>
      <c r="E49" s="8">
        <v>56222900</v>
      </c>
      <c r="F49" s="2">
        <v>13453980</v>
      </c>
      <c r="G49" s="8">
        <f t="shared" si="2"/>
        <v>42768920</v>
      </c>
      <c r="H49" s="2">
        <f t="shared" si="3"/>
        <v>23.92971547180953</v>
      </c>
      <c r="I49" s="8">
        <v>54692900</v>
      </c>
      <c r="J49" s="8">
        <v>5233900</v>
      </c>
      <c r="K49" s="8">
        <v>49459000</v>
      </c>
      <c r="L49" s="8">
        <v>1529993</v>
      </c>
      <c r="M49" s="8"/>
    </row>
    <row r="50" spans="1:13" ht="14.25" customHeight="1">
      <c r="A50" s="2">
        <v>1972</v>
      </c>
      <c r="B50" s="2">
        <v>280</v>
      </c>
      <c r="C50" s="2">
        <f t="shared" si="0"/>
        <v>1.460004E-5</v>
      </c>
      <c r="D50" s="2">
        <f t="shared" si="1"/>
        <v>720.50424327882001</v>
      </c>
      <c r="E50" s="8">
        <v>56096700</v>
      </c>
      <c r="F50" s="2">
        <v>13494459</v>
      </c>
      <c r="G50" s="8">
        <f t="shared" si="2"/>
        <v>42602241</v>
      </c>
      <c r="H50" s="2">
        <f t="shared" si="3"/>
        <v>24.055709159362316</v>
      </c>
      <c r="I50" s="8">
        <v>54557700</v>
      </c>
      <c r="J50" s="8">
        <v>5230600</v>
      </c>
      <c r="K50" s="8">
        <v>49327100</v>
      </c>
      <c r="L50" s="8">
        <v>1538977</v>
      </c>
      <c r="M50" s="8"/>
    </row>
    <row r="51" spans="1:13" ht="14.25" customHeight="1">
      <c r="A51" s="2">
        <v>1971</v>
      </c>
      <c r="B51" s="2">
        <v>280</v>
      </c>
      <c r="C51" s="2">
        <f t="shared" si="0"/>
        <v>1.460004E-5</v>
      </c>
      <c r="D51" s="2">
        <f t="shared" si="1"/>
        <v>718.22969574720003</v>
      </c>
      <c r="E51" s="8">
        <v>55928000</v>
      </c>
      <c r="F51" s="2">
        <v>13468640</v>
      </c>
      <c r="G51" s="8">
        <f t="shared" si="2"/>
        <v>42459360</v>
      </c>
      <c r="H51" s="2">
        <f t="shared" si="3"/>
        <v>24.082105564296956</v>
      </c>
      <c r="I51" s="8">
        <v>54387600</v>
      </c>
      <c r="J51" s="8">
        <v>5235600</v>
      </c>
      <c r="K51" s="8">
        <v>49152000</v>
      </c>
      <c r="L51" s="8">
        <v>1540413</v>
      </c>
      <c r="M51" s="8"/>
    </row>
    <row r="52" spans="1:13" ht="14.25" customHeight="1">
      <c r="A52" s="2">
        <v>1970</v>
      </c>
      <c r="B52" s="2">
        <v>280</v>
      </c>
      <c r="C52" s="2">
        <f t="shared" si="0"/>
        <v>1.460004E-5</v>
      </c>
      <c r="D52" s="2">
        <f t="shared" si="1"/>
        <v>714.37192717799996</v>
      </c>
      <c r="E52" s="8">
        <v>55632200</v>
      </c>
      <c r="F52" s="8">
        <v>13405500</v>
      </c>
      <c r="G52" s="8">
        <f t="shared" si="2"/>
        <v>42226700</v>
      </c>
      <c r="H52" s="2">
        <f t="shared" si="3"/>
        <v>24.096656253033316</v>
      </c>
      <c r="I52" s="8">
        <v>54104800</v>
      </c>
      <c r="J52" s="8">
        <v>5213700</v>
      </c>
      <c r="K52" s="8">
        <v>48891100</v>
      </c>
      <c r="L52" s="8">
        <v>1527400</v>
      </c>
      <c r="M52" s="8"/>
    </row>
    <row r="53" spans="1:13" ht="14.25" customHeight="1">
      <c r="A53" s="2">
        <v>1969</v>
      </c>
      <c r="B53" s="2">
        <v>280</v>
      </c>
      <c r="C53" s="2">
        <f t="shared" si="0"/>
        <v>1.460004E-5</v>
      </c>
      <c r="D53" s="2">
        <f t="shared" si="1"/>
        <v>712.46224194600006</v>
      </c>
      <c r="E53" s="8">
        <v>55460600</v>
      </c>
      <c r="F53" s="2">
        <v>13323900</v>
      </c>
      <c r="G53" s="8">
        <f t="shared" si="2"/>
        <v>42136700</v>
      </c>
      <c r="H53" s="2">
        <f t="shared" si="3"/>
        <v>24.02408196088755</v>
      </c>
      <c r="I53" s="8">
        <v>53946500</v>
      </c>
      <c r="J53" s="8">
        <v>5208500</v>
      </c>
      <c r="K53" s="8">
        <v>48738000</v>
      </c>
      <c r="L53" s="8">
        <v>1514100</v>
      </c>
      <c r="M53" s="8"/>
    </row>
    <row r="54" spans="1:13" ht="14.25" customHeight="1">
      <c r="A54" s="2">
        <v>1968</v>
      </c>
      <c r="B54" s="2">
        <v>280</v>
      </c>
      <c r="C54" s="2">
        <f t="shared" si="0"/>
        <v>1.460004E-5</v>
      </c>
      <c r="D54" s="2">
        <f t="shared" si="1"/>
        <v>709.8123346860001</v>
      </c>
      <c r="E54" s="8">
        <v>55213500</v>
      </c>
      <c r="F54" s="2">
        <v>13192700</v>
      </c>
      <c r="G54" s="8">
        <f t="shared" si="2"/>
        <v>42020800</v>
      </c>
      <c r="H54" s="2">
        <f t="shared" si="3"/>
        <v>23.893975205339274</v>
      </c>
      <c r="I54" s="8">
        <v>53710900</v>
      </c>
      <c r="J54" s="8">
        <v>5200200</v>
      </c>
      <c r="K54" s="8">
        <v>48510700</v>
      </c>
      <c r="L54" s="8">
        <v>1502600</v>
      </c>
      <c r="M54" s="8"/>
    </row>
    <row r="55" spans="1:13" ht="14.25" customHeight="1">
      <c r="A55" s="2">
        <v>1967</v>
      </c>
      <c r="B55" s="2">
        <v>280</v>
      </c>
      <c r="C55" s="2">
        <f t="shared" si="0"/>
        <v>1.460004E-5</v>
      </c>
      <c r="D55" s="2">
        <f t="shared" si="1"/>
        <v>707.35806796199995</v>
      </c>
      <c r="E55" s="8">
        <v>54959000</v>
      </c>
      <c r="F55" s="2">
        <v>13019900</v>
      </c>
      <c r="G55" s="8">
        <f t="shared" si="2"/>
        <v>41939100</v>
      </c>
      <c r="H55" s="2">
        <f t="shared" si="3"/>
        <v>23.690205425862914</v>
      </c>
      <c r="I55" s="8">
        <v>53470200</v>
      </c>
      <c r="J55" s="8">
        <v>5198300</v>
      </c>
      <c r="K55" s="8">
        <v>48271900</v>
      </c>
      <c r="L55" s="8">
        <v>1488800</v>
      </c>
      <c r="M55" s="8"/>
    </row>
    <row r="56" spans="1:13" ht="14.25" customHeight="1">
      <c r="A56" s="2">
        <v>1966</v>
      </c>
      <c r="B56" s="2">
        <v>280</v>
      </c>
      <c r="C56" s="2">
        <f t="shared" si="0"/>
        <v>1.460004E-5</v>
      </c>
      <c r="D56" s="2">
        <f t="shared" si="1"/>
        <v>703.96574866799995</v>
      </c>
      <c r="E56" s="8">
        <v>54642700</v>
      </c>
      <c r="F56" s="2">
        <v>12852000</v>
      </c>
      <c r="G56" s="8">
        <f t="shared" si="2"/>
        <v>41790700</v>
      </c>
      <c r="H56" s="2">
        <f t="shared" si="3"/>
        <v>23.520067639410204</v>
      </c>
      <c r="I56" s="8">
        <v>53167100</v>
      </c>
      <c r="J56" s="8">
        <v>5200600</v>
      </c>
      <c r="K56" s="8">
        <v>47966500</v>
      </c>
      <c r="L56" s="8">
        <v>1475600</v>
      </c>
      <c r="M56" s="8"/>
    </row>
    <row r="57" spans="1:13" ht="14.25" customHeight="1">
      <c r="A57" s="2">
        <v>1965</v>
      </c>
      <c r="B57" s="2">
        <v>280</v>
      </c>
      <c r="C57" s="2">
        <f t="shared" si="0"/>
        <v>1.460004E-5</v>
      </c>
      <c r="D57" s="2">
        <f t="shared" si="1"/>
        <v>700.75665987599996</v>
      </c>
      <c r="E57" s="8">
        <v>54349500</v>
      </c>
      <c r="F57" s="2">
        <v>12705200</v>
      </c>
      <c r="G57" s="8">
        <f t="shared" si="2"/>
        <v>41644300</v>
      </c>
      <c r="H57" s="2">
        <f t="shared" si="3"/>
        <v>23.37684799308181</v>
      </c>
      <c r="I57" s="8">
        <v>52881300</v>
      </c>
      <c r="J57" s="8">
        <v>5209900</v>
      </c>
      <c r="K57" s="8">
        <v>47671400</v>
      </c>
      <c r="L57" s="8">
        <v>1468200</v>
      </c>
      <c r="M57" s="8"/>
    </row>
    <row r="58" spans="1:13" ht="14.25" customHeight="1">
      <c r="A58" s="2">
        <v>1964</v>
      </c>
      <c r="B58" s="2">
        <v>280</v>
      </c>
      <c r="C58" s="2">
        <f t="shared" si="0"/>
        <v>1.460004E-5</v>
      </c>
      <c r="D58" s="2">
        <f t="shared" si="1"/>
        <v>696.68762872799994</v>
      </c>
      <c r="E58" s="8">
        <v>53990800</v>
      </c>
      <c r="F58" s="2">
        <v>12545200</v>
      </c>
      <c r="G58" s="8">
        <f t="shared" si="2"/>
        <v>41445600</v>
      </c>
      <c r="H58" s="2">
        <f t="shared" si="3"/>
        <v>23.235810545500343</v>
      </c>
      <c r="I58" s="8">
        <v>52532800</v>
      </c>
      <c r="J58" s="8">
        <v>5208500</v>
      </c>
      <c r="K58" s="8">
        <v>47324300</v>
      </c>
      <c r="L58" s="8">
        <v>1458000</v>
      </c>
      <c r="M58" s="8"/>
    </row>
    <row r="59" spans="1:13" ht="14.25" customHeight="1">
      <c r="A59" s="2">
        <v>1963</v>
      </c>
      <c r="B59" s="2">
        <v>280</v>
      </c>
      <c r="C59" s="2">
        <f t="shared" si="0"/>
        <v>1.460004E-5</v>
      </c>
      <c r="D59" s="2">
        <f t="shared" si="1"/>
        <v>692.24775656400004</v>
      </c>
      <c r="E59" s="8">
        <v>53624900</v>
      </c>
      <c r="F59" s="2">
        <v>12421600</v>
      </c>
      <c r="G59" s="8">
        <f t="shared" si="2"/>
        <v>41203300</v>
      </c>
      <c r="H59" s="2">
        <f t="shared" si="3"/>
        <v>23.16386603984343</v>
      </c>
      <c r="I59" s="8">
        <v>52178200</v>
      </c>
      <c r="J59" s="8">
        <v>5205100</v>
      </c>
      <c r="K59" s="8">
        <v>46973100</v>
      </c>
      <c r="L59" s="8">
        <v>1446700</v>
      </c>
      <c r="M59" s="8"/>
    </row>
    <row r="60" spans="1:13" ht="14.25" customHeight="1">
      <c r="A60" s="2">
        <v>1962</v>
      </c>
      <c r="B60" s="2">
        <v>280</v>
      </c>
      <c r="C60" s="2">
        <f t="shared" si="0"/>
        <v>1.460004E-5</v>
      </c>
      <c r="D60" s="2">
        <f t="shared" si="1"/>
        <v>687.82540444799997</v>
      </c>
      <c r="E60" s="8">
        <v>53291800</v>
      </c>
      <c r="F60" s="2">
        <v>12361200</v>
      </c>
      <c r="G60" s="8">
        <f t="shared" si="2"/>
        <v>40930600</v>
      </c>
      <c r="H60" s="2">
        <f t="shared" si="3"/>
        <v>23.195313350271523</v>
      </c>
      <c r="I60" s="8">
        <v>51854828</v>
      </c>
      <c r="J60" s="8">
        <v>5197528</v>
      </c>
      <c r="K60" s="8">
        <v>46657300</v>
      </c>
      <c r="L60" s="8">
        <v>1437000</v>
      </c>
      <c r="M60" s="8"/>
    </row>
    <row r="61" spans="1:13" ht="14.25" customHeight="1">
      <c r="A61" s="2">
        <v>1961</v>
      </c>
      <c r="B61" s="2">
        <v>280</v>
      </c>
      <c r="C61" s="2">
        <f t="shared" si="0"/>
        <v>1.460004E-5</v>
      </c>
      <c r="D61" s="2">
        <f t="shared" si="1"/>
        <v>680.76920511599997</v>
      </c>
      <c r="E61" s="8">
        <v>52807400</v>
      </c>
      <c r="F61" s="2">
        <v>12359000</v>
      </c>
      <c r="G61" s="8">
        <f t="shared" si="2"/>
        <v>40448400</v>
      </c>
      <c r="H61" s="2">
        <f t="shared" si="3"/>
        <v>23.403916875286416</v>
      </c>
      <c r="I61" s="8">
        <v>51380036</v>
      </c>
      <c r="J61" s="8">
        <v>5183836</v>
      </c>
      <c r="K61" s="8">
        <v>46196200</v>
      </c>
      <c r="L61" s="8">
        <v>1427400</v>
      </c>
      <c r="M61" s="8"/>
    </row>
    <row r="62" spans="1:13" ht="14.25" customHeight="1">
      <c r="A62" s="2">
        <v>1960</v>
      </c>
      <c r="B62" s="2">
        <v>280</v>
      </c>
      <c r="C62" s="2">
        <f t="shared" si="0"/>
        <v>1.460004E-5</v>
      </c>
      <c r="D62" s="2">
        <f t="shared" si="1"/>
        <v>675.42632047799998</v>
      </c>
      <c r="E62" s="8">
        <v>52372500</v>
      </c>
      <c r="F62" s="2">
        <v>12221100</v>
      </c>
      <c r="G62" s="8">
        <f t="shared" si="2"/>
        <v>40151400</v>
      </c>
      <c r="H62" s="2">
        <f t="shared" si="3"/>
        <v>23.334956322497494</v>
      </c>
      <c r="I62" s="8">
        <v>50952700</v>
      </c>
      <c r="J62" s="8">
        <v>5177700</v>
      </c>
      <c r="K62" s="8">
        <v>45775000</v>
      </c>
      <c r="L62" s="8">
        <v>1419800</v>
      </c>
      <c r="M62" s="8"/>
    </row>
    <row r="63" spans="1:13" ht="14.25" customHeight="1">
      <c r="A63" s="2">
        <v>1959</v>
      </c>
      <c r="B63" s="2">
        <v>280</v>
      </c>
      <c r="C63" s="2">
        <f t="shared" si="0"/>
        <v>1.460004E-5</v>
      </c>
      <c r="D63" s="2">
        <f t="shared" si="1"/>
        <v>670.180526106</v>
      </c>
      <c r="E63" s="8">
        <v>51956300</v>
      </c>
      <c r="F63" s="2">
        <v>12107300</v>
      </c>
      <c r="G63" s="8">
        <f t="shared" si="2"/>
        <v>39849000</v>
      </c>
      <c r="H63" s="2">
        <f t="shared" si="3"/>
        <v>23.302852589580088</v>
      </c>
      <c r="I63" s="8">
        <v>50548600</v>
      </c>
      <c r="J63" s="8">
        <v>5162600</v>
      </c>
      <c r="K63" s="8">
        <v>45386000</v>
      </c>
      <c r="L63" s="8">
        <v>1407700</v>
      </c>
      <c r="M63" s="8"/>
    </row>
    <row r="64" spans="1:13" ht="14.25" customHeight="1">
      <c r="A64" s="2">
        <v>1958</v>
      </c>
      <c r="B64" s="2">
        <v>280</v>
      </c>
      <c r="C64" s="2">
        <f t="shared" si="0"/>
        <v>1.460004E-5</v>
      </c>
      <c r="D64" s="2">
        <f t="shared" si="1"/>
        <v>666.234135294</v>
      </c>
      <c r="E64" s="8">
        <v>51652500</v>
      </c>
      <c r="F64" s="2">
        <v>12040300</v>
      </c>
      <c r="G64" s="8">
        <f t="shared" si="2"/>
        <v>39612200</v>
      </c>
      <c r="H64" s="2">
        <f t="shared" si="3"/>
        <v>23.310197957504478</v>
      </c>
      <c r="I64" s="8">
        <v>50250200</v>
      </c>
      <c r="J64" s="8">
        <v>5141200</v>
      </c>
      <c r="K64" s="8">
        <v>45109000</v>
      </c>
      <c r="L64" s="8">
        <v>1402300</v>
      </c>
      <c r="M64" s="8"/>
    </row>
    <row r="65" spans="1:13" ht="14.25" customHeight="1">
      <c r="A65" s="2">
        <v>1957</v>
      </c>
      <c r="B65" s="2">
        <v>280</v>
      </c>
      <c r="C65" s="2">
        <f t="shared" si="0"/>
        <v>1.460004E-5</v>
      </c>
      <c r="D65" s="2">
        <f t="shared" si="1"/>
        <v>663.59663806800006</v>
      </c>
      <c r="E65" s="8">
        <v>51430200</v>
      </c>
      <c r="F65" s="2">
        <v>11957000</v>
      </c>
      <c r="G65" s="8">
        <f t="shared" si="2"/>
        <v>39473200</v>
      </c>
      <c r="H65" s="2">
        <f t="shared" si="3"/>
        <v>23.248986004332085</v>
      </c>
      <c r="I65" s="8">
        <v>50031700</v>
      </c>
      <c r="J65" s="8">
        <v>5124700</v>
      </c>
      <c r="K65" s="8">
        <v>44907000</v>
      </c>
      <c r="L65" s="8">
        <v>1398500</v>
      </c>
      <c r="M65" s="8"/>
    </row>
    <row r="66" spans="1:13" ht="14.25" customHeight="1">
      <c r="A66" s="2">
        <v>1956</v>
      </c>
      <c r="B66" s="2">
        <v>280</v>
      </c>
      <c r="C66" s="2">
        <f t="shared" si="0"/>
        <v>1.460004E-5</v>
      </c>
      <c r="D66" s="2">
        <f t="shared" si="1"/>
        <v>660.78613036800004</v>
      </c>
      <c r="E66" s="8">
        <v>51183500</v>
      </c>
      <c r="F66" s="2">
        <v>11848600</v>
      </c>
      <c r="G66" s="8">
        <f t="shared" si="2"/>
        <v>39334900</v>
      </c>
      <c r="H66" s="2">
        <f t="shared" si="3"/>
        <v>23.14925708480272</v>
      </c>
      <c r="I66" s="8">
        <v>49786900</v>
      </c>
      <c r="J66" s="8">
        <v>5119900</v>
      </c>
      <c r="K66" s="8">
        <v>44667000</v>
      </c>
      <c r="L66" s="8">
        <v>1396600</v>
      </c>
      <c r="M66" s="8"/>
    </row>
    <row r="67" spans="1:13" ht="14.25" customHeight="1">
      <c r="A67" s="2">
        <v>1955</v>
      </c>
      <c r="B67" s="2">
        <v>280</v>
      </c>
      <c r="C67" s="2">
        <f t="shared" si="0"/>
        <v>1.460004E-5</v>
      </c>
      <c r="D67" s="2">
        <f t="shared" si="1"/>
        <v>658.45085396999991</v>
      </c>
      <c r="E67" s="8">
        <v>50946100</v>
      </c>
      <c r="F67" s="2">
        <v>11693700</v>
      </c>
      <c r="G67" s="8">
        <f t="shared" si="2"/>
        <v>39252400</v>
      </c>
      <c r="H67" s="2">
        <f t="shared" si="3"/>
        <v>22.953081786437039</v>
      </c>
      <c r="I67" s="8">
        <v>49552300</v>
      </c>
      <c r="J67" s="8">
        <v>5111300</v>
      </c>
      <c r="K67" s="8">
        <v>44441000</v>
      </c>
      <c r="L67" s="8">
        <v>1393800</v>
      </c>
      <c r="M67" s="8"/>
    </row>
    <row r="68" spans="1:13" ht="14.25" customHeight="1">
      <c r="A68" s="2">
        <v>1954</v>
      </c>
      <c r="B68" s="2">
        <v>280</v>
      </c>
      <c r="C68" s="2">
        <f t="shared" si="0"/>
        <v>1.460004E-5</v>
      </c>
      <c r="D68" s="2">
        <f t="shared" si="1"/>
        <v>656.40830837400006</v>
      </c>
      <c r="E68" s="8">
        <v>50764900</v>
      </c>
      <c r="F68" s="2">
        <v>11611100</v>
      </c>
      <c r="G68" s="8">
        <f t="shared" si="2"/>
        <v>39153800</v>
      </c>
      <c r="H68" s="2">
        <f t="shared" si="3"/>
        <v>22.872299561311063</v>
      </c>
      <c r="I68" s="8">
        <v>49377600</v>
      </c>
      <c r="J68" s="8">
        <v>5103600</v>
      </c>
      <c r="K68" s="8">
        <v>44274000</v>
      </c>
      <c r="L68" s="8">
        <v>1387300</v>
      </c>
      <c r="M68" s="8"/>
    </row>
    <row r="69" spans="1:13" ht="14.25" customHeight="1">
      <c r="A69" s="2">
        <v>1953</v>
      </c>
      <c r="B69" s="2">
        <v>280</v>
      </c>
      <c r="C69" s="2">
        <f t="shared" si="0"/>
        <v>1.460004E-5</v>
      </c>
      <c r="D69" s="2">
        <f t="shared" si="1"/>
        <v>654.52563321599996</v>
      </c>
      <c r="E69" s="8">
        <v>50592900</v>
      </c>
      <c r="F69" s="2">
        <v>11525000</v>
      </c>
      <c r="G69" s="8">
        <f t="shared" si="2"/>
        <v>39067900</v>
      </c>
      <c r="H69" s="2">
        <f t="shared" si="3"/>
        <v>22.779876227692029</v>
      </c>
      <c r="I69" s="8">
        <v>49208800</v>
      </c>
      <c r="J69" s="8">
        <v>5099800</v>
      </c>
      <c r="K69" s="8">
        <v>44109000</v>
      </c>
      <c r="L69" s="8">
        <v>1384100</v>
      </c>
      <c r="M69" s="8"/>
    </row>
    <row r="70" spans="1:13" ht="14.25" customHeight="1">
      <c r="A70" s="2">
        <v>1952</v>
      </c>
      <c r="B70" s="2">
        <v>280</v>
      </c>
      <c r="C70" s="2">
        <f t="shared" si="0"/>
        <v>1.460004E-5</v>
      </c>
      <c r="D70" s="2">
        <f t="shared" si="1"/>
        <v>660.60967908201701</v>
      </c>
      <c r="E70" s="8">
        <v>50429200</v>
      </c>
      <c r="F70" s="2">
        <f t="shared" ref="F70:F100" si="4">E70*(O$5/100)</f>
        <v>10364171.342815924</v>
      </c>
      <c r="G70" s="8">
        <f t="shared" si="2"/>
        <v>40065028.657184079</v>
      </c>
      <c r="H70" s="2">
        <f t="shared" si="3"/>
        <v>20.551924961760101</v>
      </c>
      <c r="I70" s="8">
        <v>49054200</v>
      </c>
      <c r="J70" s="8">
        <v>5114200</v>
      </c>
      <c r="K70" s="8">
        <v>43955000</v>
      </c>
      <c r="L70" s="8">
        <v>1375000</v>
      </c>
      <c r="M70" s="8"/>
    </row>
    <row r="71" spans="1:13" ht="14.25" customHeight="1">
      <c r="A71" s="2">
        <v>1951</v>
      </c>
      <c r="B71" s="2">
        <v>280</v>
      </c>
      <c r="C71" s="2">
        <f t="shared" si="0"/>
        <v>1.460004E-5</v>
      </c>
      <c r="D71" s="2">
        <f t="shared" si="1"/>
        <v>658.74558531623484</v>
      </c>
      <c r="E71" s="8">
        <v>50286900</v>
      </c>
      <c r="F71" s="2">
        <f t="shared" si="4"/>
        <v>10334925.95359534</v>
      </c>
      <c r="G71" s="8">
        <f t="shared" si="2"/>
        <v>39951974.04640466</v>
      </c>
      <c r="H71" s="2">
        <f t="shared" si="3"/>
        <v>20.551924961760101</v>
      </c>
      <c r="I71" s="8">
        <v>48913900</v>
      </c>
      <c r="J71" s="8">
        <v>5113900</v>
      </c>
      <c r="K71" s="8">
        <v>43815000</v>
      </c>
      <c r="L71" s="8">
        <v>1373000</v>
      </c>
      <c r="M71" s="8"/>
    </row>
    <row r="72" spans="1:13" ht="14.25" customHeight="1">
      <c r="A72" s="2">
        <v>1950</v>
      </c>
      <c r="B72" s="2">
        <v>280</v>
      </c>
      <c r="C72" s="2">
        <f t="shared" si="0"/>
        <v>1.460004E-5</v>
      </c>
      <c r="D72" s="2">
        <f t="shared" si="1"/>
        <v>659.98482122799157</v>
      </c>
      <c r="E72" s="8">
        <v>50381500</v>
      </c>
      <c r="F72" s="2">
        <f t="shared" si="4"/>
        <v>10354368.074609166</v>
      </c>
      <c r="G72" s="8">
        <f t="shared" si="2"/>
        <v>40027131.925390832</v>
      </c>
      <c r="H72" s="2">
        <f t="shared" si="3"/>
        <v>20.551924961760101</v>
      </c>
      <c r="I72" s="8">
        <v>49004500</v>
      </c>
      <c r="J72" s="8">
        <v>5174500</v>
      </c>
      <c r="K72" s="8">
        <v>43830000</v>
      </c>
      <c r="L72" s="8">
        <v>1377000</v>
      </c>
      <c r="M72" s="8"/>
    </row>
    <row r="73" spans="1:13" ht="14.25" customHeight="1">
      <c r="A73" s="2">
        <v>1949</v>
      </c>
      <c r="B73" s="2">
        <v>280</v>
      </c>
      <c r="C73" s="2">
        <f t="shared" si="0"/>
        <v>1.460004E-5</v>
      </c>
      <c r="D73" s="2">
        <f t="shared" si="1"/>
        <v>659.32328408693752</v>
      </c>
      <c r="E73" s="8">
        <v>50331000</v>
      </c>
      <c r="F73" s="2">
        <f t="shared" si="4"/>
        <v>10343989.352503477</v>
      </c>
      <c r="G73" s="8">
        <f t="shared" si="2"/>
        <v>39987010.647496521</v>
      </c>
      <c r="H73" s="2">
        <f t="shared" si="3"/>
        <v>20.551924961760101</v>
      </c>
      <c r="I73" s="8">
        <v>48960000</v>
      </c>
      <c r="J73" s="8">
        <v>5175000</v>
      </c>
      <c r="K73" s="8">
        <v>43595000</v>
      </c>
      <c r="L73" s="8">
        <v>1371000</v>
      </c>
      <c r="M73" s="8"/>
    </row>
    <row r="74" spans="1:13" ht="14.25" customHeight="1">
      <c r="A74" s="2">
        <v>1948</v>
      </c>
      <c r="B74" s="2">
        <v>280</v>
      </c>
      <c r="C74" s="2">
        <f t="shared" si="0"/>
        <v>1.460004E-5</v>
      </c>
      <c r="D74" s="2">
        <f t="shared" si="1"/>
        <v>655.42217991652399</v>
      </c>
      <c r="E74" s="8">
        <v>50033200</v>
      </c>
      <c r="F74" s="2">
        <f t="shared" si="4"/>
        <v>10282785.719967354</v>
      </c>
      <c r="G74" s="8">
        <f t="shared" si="2"/>
        <v>39750414.28003265</v>
      </c>
      <c r="H74" s="2">
        <f t="shared" si="3"/>
        <v>20.551924961760097</v>
      </c>
      <c r="I74" s="8">
        <v>48671200</v>
      </c>
      <c r="J74" s="8">
        <v>5169200</v>
      </c>
      <c r="K74" s="8">
        <v>43296000</v>
      </c>
      <c r="L74" s="8">
        <v>1362000</v>
      </c>
      <c r="M74" s="8"/>
    </row>
    <row r="75" spans="1:13" ht="14.25" customHeight="1">
      <c r="A75" s="2">
        <v>1947</v>
      </c>
      <c r="B75" s="2">
        <v>280</v>
      </c>
      <c r="C75" s="2">
        <f t="shared" si="0"/>
        <v>1.460004E-5</v>
      </c>
      <c r="D75" s="2">
        <f t="shared" si="1"/>
        <v>648.94435583234133</v>
      </c>
      <c r="E75" s="8">
        <v>49538700</v>
      </c>
      <c r="F75" s="2">
        <f t="shared" si="4"/>
        <v>10181156.451031452</v>
      </c>
      <c r="G75" s="8">
        <f t="shared" si="2"/>
        <v>39357543.548968546</v>
      </c>
      <c r="H75" s="2">
        <f t="shared" si="3"/>
        <v>20.551924961760104</v>
      </c>
      <c r="I75" s="8">
        <v>48188700</v>
      </c>
      <c r="J75" s="8">
        <v>5138700</v>
      </c>
      <c r="K75" s="8">
        <v>41786000</v>
      </c>
      <c r="L75" s="8">
        <v>1350000</v>
      </c>
      <c r="M75" s="8"/>
    </row>
    <row r="76" spans="1:13" ht="14.25" customHeight="1">
      <c r="A76" s="2">
        <v>1946</v>
      </c>
      <c r="B76" s="2">
        <v>280</v>
      </c>
      <c r="C76" s="2">
        <f t="shared" si="0"/>
        <v>1.460004E-5</v>
      </c>
      <c r="D76" s="2">
        <f t="shared" si="1"/>
        <v>641.72770610943712</v>
      </c>
      <c r="E76" s="8">
        <v>48987800</v>
      </c>
      <c r="F76" s="2">
        <f t="shared" si="4"/>
        <v>10067935.896417115</v>
      </c>
      <c r="G76" s="8">
        <f t="shared" si="2"/>
        <v>38919864.103582889</v>
      </c>
      <c r="H76" s="2">
        <f t="shared" si="3"/>
        <v>20.551924961760101</v>
      </c>
      <c r="I76" s="8">
        <v>47637800</v>
      </c>
      <c r="J76" s="8">
        <v>4900800</v>
      </c>
      <c r="K76" s="8">
        <v>40759000</v>
      </c>
      <c r="L76" s="8">
        <v>1350000</v>
      </c>
      <c r="M76" s="8"/>
    </row>
    <row r="77" spans="1:13" ht="14.25" customHeight="1">
      <c r="A77" s="2">
        <v>1945</v>
      </c>
      <c r="B77" s="2">
        <v>280</v>
      </c>
      <c r="C77" s="2">
        <f t="shared" si="0"/>
        <v>1.460004E-5</v>
      </c>
      <c r="D77" s="2">
        <f t="shared" si="1"/>
        <v>637.55019731177129</v>
      </c>
      <c r="E77" s="8">
        <v>48668900</v>
      </c>
      <c r="F77" s="2">
        <f t="shared" si="4"/>
        <v>10002395.807714062</v>
      </c>
      <c r="G77" s="8">
        <f t="shared" si="2"/>
        <v>38666504.19228594</v>
      </c>
      <c r="H77" s="2">
        <f t="shared" si="3"/>
        <v>20.551924961760101</v>
      </c>
      <c r="I77" s="8">
        <v>47309900</v>
      </c>
      <c r="J77" s="8">
        <v>4673900</v>
      </c>
      <c r="K77" s="8">
        <v>37916000</v>
      </c>
      <c r="L77" s="8">
        <v>1359000</v>
      </c>
      <c r="M77" s="8"/>
    </row>
    <row r="78" spans="1:13" ht="14.25" customHeight="1">
      <c r="A78" s="2">
        <v>1944</v>
      </c>
      <c r="B78" s="2">
        <v>280</v>
      </c>
      <c r="C78" s="2">
        <f t="shared" si="0"/>
        <v>1.460004E-5</v>
      </c>
      <c r="D78" s="2">
        <f t="shared" si="1"/>
        <v>634.80842060637303</v>
      </c>
      <c r="E78" s="8">
        <v>48459600</v>
      </c>
      <c r="F78" s="2">
        <f t="shared" si="4"/>
        <v>9959380.6287690978</v>
      </c>
      <c r="G78" s="8">
        <f t="shared" si="2"/>
        <v>38500219.3712309</v>
      </c>
      <c r="H78" s="2">
        <f t="shared" si="3"/>
        <v>20.551924961760101</v>
      </c>
      <c r="I78" s="8">
        <v>47102600</v>
      </c>
      <c r="J78" s="8">
        <v>4653600</v>
      </c>
      <c r="K78" s="8">
        <v>37785000</v>
      </c>
      <c r="L78" s="8">
        <v>1357000</v>
      </c>
      <c r="M78" s="8"/>
    </row>
    <row r="79" spans="1:13" ht="14.25" customHeight="1">
      <c r="A79" s="2">
        <v>1943</v>
      </c>
      <c r="B79" s="2">
        <v>280</v>
      </c>
      <c r="C79" s="2">
        <f t="shared" si="0"/>
        <v>1.460004E-5</v>
      </c>
      <c r="D79" s="2">
        <f t="shared" si="1"/>
        <v>632.21467102362647</v>
      </c>
      <c r="E79" s="8">
        <v>48261600</v>
      </c>
      <c r="F79" s="2">
        <f t="shared" si="4"/>
        <v>9918687.8173448127</v>
      </c>
      <c r="G79" s="8">
        <f t="shared" si="2"/>
        <v>38342912.182655185</v>
      </c>
      <c r="H79" s="2">
        <f t="shared" si="3"/>
        <v>20.551924961760101</v>
      </c>
      <c r="I79" s="8">
        <v>46920600</v>
      </c>
      <c r="J79" s="8">
        <v>4661600</v>
      </c>
      <c r="K79" s="8">
        <v>37818000</v>
      </c>
      <c r="L79" s="8">
        <v>1341000</v>
      </c>
      <c r="M79" s="8"/>
    </row>
    <row r="80" spans="1:13" ht="14.25" customHeight="1">
      <c r="A80" s="2">
        <v>1942</v>
      </c>
      <c r="B80" s="2">
        <v>280</v>
      </c>
      <c r="C80" s="2">
        <f t="shared" si="0"/>
        <v>1.460004E-5</v>
      </c>
      <c r="D80" s="2">
        <f t="shared" si="1"/>
        <v>580.62001391955926</v>
      </c>
      <c r="E80" s="8">
        <v>44323000</v>
      </c>
      <c r="F80" s="2">
        <f t="shared" si="4"/>
        <v>9109229.7008009292</v>
      </c>
      <c r="G80" s="8">
        <f t="shared" si="2"/>
        <v>35213770.299199075</v>
      </c>
      <c r="H80" s="2">
        <f t="shared" si="3"/>
        <v>20.551924961760101</v>
      </c>
      <c r="I80" s="8">
        <v>42994000</v>
      </c>
      <c r="J80" s="8">
        <v>4751000</v>
      </c>
      <c r="K80" s="8">
        <v>38243000</v>
      </c>
      <c r="L80" s="8">
        <v>1329000</v>
      </c>
      <c r="M80" s="8"/>
    </row>
    <row r="81" spans="1:13" ht="14.25" customHeight="1">
      <c r="A81" s="2">
        <v>1941</v>
      </c>
      <c r="B81" s="2">
        <v>280</v>
      </c>
      <c r="C81" s="2">
        <f t="shared" si="0"/>
        <v>1.460004E-5</v>
      </c>
      <c r="D81" s="2">
        <f t="shared" si="1"/>
        <v>587.79081453367746</v>
      </c>
      <c r="E81" s="8">
        <v>44870400</v>
      </c>
      <c r="F81" s="2">
        <f t="shared" si="4"/>
        <v>9221730.9380416051</v>
      </c>
      <c r="G81" s="8">
        <f t="shared" si="2"/>
        <v>35648669.061958395</v>
      </c>
      <c r="H81" s="2">
        <f t="shared" si="3"/>
        <v>20.551924961760101</v>
      </c>
      <c r="I81" s="8">
        <v>43562400</v>
      </c>
      <c r="J81" s="8">
        <v>4819400</v>
      </c>
      <c r="K81" s="8">
        <v>38743000</v>
      </c>
      <c r="L81" s="8">
        <v>1308000</v>
      </c>
      <c r="M81" s="8"/>
    </row>
    <row r="82" spans="1:13" ht="14.25" customHeight="1">
      <c r="A82" s="2">
        <v>1940</v>
      </c>
      <c r="B82" s="2">
        <v>280</v>
      </c>
      <c r="C82" s="2">
        <f t="shared" si="0"/>
        <v>1.460004E-5</v>
      </c>
      <c r="D82" s="2">
        <f t="shared" si="1"/>
        <v>602.97079946542817</v>
      </c>
      <c r="E82" s="8">
        <v>46029200</v>
      </c>
      <c r="F82" s="2">
        <f t="shared" si="4"/>
        <v>9459886.6444984805</v>
      </c>
      <c r="G82" s="8">
        <f t="shared" si="2"/>
        <v>36569313.355501518</v>
      </c>
      <c r="H82" s="2">
        <f t="shared" si="3"/>
        <v>20.551924961760101</v>
      </c>
      <c r="I82" s="8">
        <v>44730200</v>
      </c>
      <c r="J82" s="8">
        <v>4841200</v>
      </c>
      <c r="K82" s="8">
        <v>39889000</v>
      </c>
      <c r="L82" s="8">
        <v>1299000</v>
      </c>
      <c r="M82" s="8"/>
    </row>
    <row r="83" spans="1:13" ht="14.25" customHeight="1">
      <c r="A83" s="2">
        <v>1939</v>
      </c>
      <c r="B83" s="2">
        <v>280</v>
      </c>
      <c r="C83" s="2">
        <f t="shared" si="0"/>
        <v>1.460004E-5</v>
      </c>
      <c r="D83" s="2">
        <f t="shared" si="1"/>
        <v>622.86276280583502</v>
      </c>
      <c r="E83" s="8">
        <v>47547700</v>
      </c>
      <c r="F83" s="2">
        <f t="shared" si="4"/>
        <v>9771967.6250428073</v>
      </c>
      <c r="G83" s="8">
        <f t="shared" si="2"/>
        <v>37775732.374957189</v>
      </c>
      <c r="H83" s="2">
        <f t="shared" si="3"/>
        <v>20.551924961760101</v>
      </c>
      <c r="I83" s="8">
        <v>46252700</v>
      </c>
      <c r="J83" s="8">
        <v>5006700</v>
      </c>
      <c r="K83" s="8">
        <v>41460000</v>
      </c>
      <c r="L83" s="8">
        <v>1295000</v>
      </c>
      <c r="M83" s="8"/>
    </row>
    <row r="84" spans="1:13" ht="14.25" customHeight="1">
      <c r="A84" s="2">
        <v>1938</v>
      </c>
      <c r="B84" s="2">
        <v>280</v>
      </c>
      <c r="C84" s="2">
        <f t="shared" si="0"/>
        <v>1.460004E-5</v>
      </c>
      <c r="D84" s="2">
        <f t="shared" si="1"/>
        <v>622.16061645414209</v>
      </c>
      <c r="E84" s="8">
        <v>47494100</v>
      </c>
      <c r="F84" s="2">
        <f t="shared" si="4"/>
        <v>9760951.793263305</v>
      </c>
      <c r="G84" s="8">
        <f t="shared" si="2"/>
        <v>37733148.206736699</v>
      </c>
      <c r="H84" s="2">
        <f t="shared" si="3"/>
        <v>20.551924961760104</v>
      </c>
      <c r="I84" s="8">
        <v>46208100</v>
      </c>
      <c r="J84" s="8">
        <v>4993100</v>
      </c>
      <c r="K84" s="8">
        <v>41215000</v>
      </c>
      <c r="L84" s="8">
        <v>1286000</v>
      </c>
      <c r="M84" s="8"/>
    </row>
    <row r="85" spans="1:13" ht="14.25" customHeight="1">
      <c r="A85" s="2">
        <v>1937</v>
      </c>
      <c r="B85" s="2">
        <v>280</v>
      </c>
      <c r="C85" s="2">
        <f t="shared" si="0"/>
        <v>1.460004E-5</v>
      </c>
      <c r="D85" s="2">
        <f t="shared" si="1"/>
        <v>619.46861878113998</v>
      </c>
      <c r="E85" s="8">
        <v>47288600</v>
      </c>
      <c r="F85" s="2">
        <f t="shared" si="4"/>
        <v>9718717.5874668881</v>
      </c>
      <c r="G85" s="8">
        <f t="shared" si="2"/>
        <v>37569882.412533112</v>
      </c>
      <c r="H85" s="2">
        <f t="shared" si="3"/>
        <v>20.551924961760104</v>
      </c>
      <c r="I85" s="8">
        <v>46007600</v>
      </c>
      <c r="J85" s="8">
        <v>4976600</v>
      </c>
      <c r="K85" s="8">
        <v>41031000</v>
      </c>
      <c r="L85" s="8">
        <v>1281000</v>
      </c>
      <c r="M85" s="8"/>
    </row>
    <row r="86" spans="1:13" ht="14.25" customHeight="1">
      <c r="A86" s="2">
        <v>1936</v>
      </c>
      <c r="B86" s="2">
        <v>280</v>
      </c>
      <c r="C86" s="2">
        <f t="shared" si="0"/>
        <v>1.460004E-5</v>
      </c>
      <c r="D86" s="2">
        <f t="shared" si="1"/>
        <v>616.75304156647667</v>
      </c>
      <c r="E86" s="8">
        <v>47081300</v>
      </c>
      <c r="F86" s="2">
        <f t="shared" si="4"/>
        <v>9676113.4470211584</v>
      </c>
      <c r="G86" s="8">
        <f t="shared" si="2"/>
        <v>37405186.552978843</v>
      </c>
      <c r="H86" s="2">
        <f t="shared" si="3"/>
        <v>20.551924961760101</v>
      </c>
      <c r="J86" s="8">
        <v>4966300</v>
      </c>
      <c r="K86" s="8">
        <v>40839000</v>
      </c>
      <c r="L86" s="8">
        <v>1276000</v>
      </c>
      <c r="M86" s="8"/>
    </row>
    <row r="87" spans="1:13" ht="14.25" customHeight="1">
      <c r="A87" s="2">
        <v>1935</v>
      </c>
      <c r="B87" s="2">
        <v>280</v>
      </c>
      <c r="C87" s="2">
        <f t="shared" si="0"/>
        <v>1.460004E-5</v>
      </c>
      <c r="D87" s="2">
        <f t="shared" si="1"/>
        <v>613.96541575229253</v>
      </c>
      <c r="E87" s="8">
        <v>46868500</v>
      </c>
      <c r="F87" s="2">
        <f t="shared" si="4"/>
        <v>9632378.9507025331</v>
      </c>
      <c r="G87" s="8">
        <f t="shared" si="2"/>
        <v>37236121.049297467</v>
      </c>
      <c r="H87" s="2">
        <f t="shared" si="3"/>
        <v>20.551924961760101</v>
      </c>
      <c r="J87" s="8">
        <v>4952500</v>
      </c>
      <c r="K87" s="8">
        <v>40645000</v>
      </c>
      <c r="L87" s="8">
        <v>1271000</v>
      </c>
      <c r="M87" s="8"/>
    </row>
    <row r="88" spans="1:13" ht="14.25" customHeight="1">
      <c r="A88" s="2">
        <v>1934</v>
      </c>
      <c r="B88" s="2">
        <v>280</v>
      </c>
      <c r="C88" s="2">
        <f t="shared" si="0"/>
        <v>1.460004E-5</v>
      </c>
      <c r="D88" s="2">
        <f t="shared" si="1"/>
        <v>611.31271731539266</v>
      </c>
      <c r="E88" s="8">
        <v>46666000</v>
      </c>
      <c r="F88" s="2">
        <f t="shared" si="4"/>
        <v>9590761.3026549686</v>
      </c>
      <c r="G88" s="8">
        <f t="shared" si="2"/>
        <v>37075238.697345033</v>
      </c>
      <c r="H88" s="2">
        <f t="shared" si="3"/>
        <v>20.551924961760101</v>
      </c>
      <c r="J88" s="8">
        <v>4934000</v>
      </c>
      <c r="K88" s="8">
        <v>40467000</v>
      </c>
      <c r="L88" s="8">
        <v>1265000</v>
      </c>
      <c r="M88" s="8"/>
    </row>
    <row r="89" spans="1:13" ht="14.25" customHeight="1">
      <c r="A89" s="2">
        <v>1933</v>
      </c>
      <c r="B89" s="2">
        <v>280</v>
      </c>
      <c r="C89" s="2">
        <f t="shared" si="0"/>
        <v>1.460004E-5</v>
      </c>
      <c r="D89" s="2">
        <f t="shared" si="1"/>
        <v>609.40015449175144</v>
      </c>
      <c r="E89" s="8">
        <v>46520000</v>
      </c>
      <c r="F89" s="2">
        <f t="shared" si="4"/>
        <v>9560755.4922107998</v>
      </c>
      <c r="G89" s="8">
        <f t="shared" si="2"/>
        <v>36959244.507789202</v>
      </c>
      <c r="H89" s="2">
        <f t="shared" si="3"/>
        <v>20.551924961760104</v>
      </c>
      <c r="J89" s="8">
        <v>4912000</v>
      </c>
      <c r="K89" s="8">
        <v>40350000</v>
      </c>
      <c r="L89" s="8">
        <v>1258000</v>
      </c>
      <c r="M89" s="8"/>
    </row>
    <row r="90" spans="1:13" ht="14.25" customHeight="1">
      <c r="A90" s="2">
        <v>1932</v>
      </c>
      <c r="B90" s="2">
        <v>280</v>
      </c>
      <c r="C90" s="2">
        <f t="shared" si="0"/>
        <v>1.460004E-5</v>
      </c>
      <c r="D90" s="2">
        <f t="shared" si="1"/>
        <v>606.97670159878123</v>
      </c>
      <c r="E90" s="8">
        <v>46335000</v>
      </c>
      <c r="F90" s="2">
        <f t="shared" si="4"/>
        <v>9522734.4310315438</v>
      </c>
      <c r="G90" s="8">
        <f t="shared" si="2"/>
        <v>36812265.56896846</v>
      </c>
      <c r="H90" s="2">
        <f t="shared" si="3"/>
        <v>20.551924961760104</v>
      </c>
      <c r="J90" s="8">
        <v>4883000</v>
      </c>
      <c r="K90" s="8">
        <v>40201000</v>
      </c>
      <c r="L90" s="8">
        <v>1251000</v>
      </c>
      <c r="M90" s="8"/>
    </row>
    <row r="91" spans="1:13" ht="14.25" customHeight="1">
      <c r="A91" s="2">
        <v>1931</v>
      </c>
      <c r="B91" s="2">
        <v>280</v>
      </c>
      <c r="C91" s="2">
        <f t="shared" si="0"/>
        <v>1.460004E-5</v>
      </c>
      <c r="D91" s="2">
        <f t="shared" si="1"/>
        <v>603.552428159741</v>
      </c>
      <c r="E91" s="8">
        <v>46073600</v>
      </c>
      <c r="F91" s="2">
        <f t="shared" si="4"/>
        <v>9469011.6991815027</v>
      </c>
      <c r="G91" s="8">
        <f t="shared" si="2"/>
        <v>36604588.300818495</v>
      </c>
      <c r="H91" s="2">
        <f t="shared" si="3"/>
        <v>20.551924961760104</v>
      </c>
      <c r="J91" s="8">
        <v>4842600</v>
      </c>
      <c r="K91" s="8">
        <v>39988000</v>
      </c>
      <c r="L91" s="8">
        <v>1243000</v>
      </c>
      <c r="M91" s="8"/>
    </row>
    <row r="92" spans="1:13" ht="14.25" customHeight="1">
      <c r="A92" s="2">
        <v>1930</v>
      </c>
      <c r="B92" s="2">
        <v>280</v>
      </c>
      <c r="C92" s="2">
        <f t="shared" si="0"/>
        <v>1.460004E-5</v>
      </c>
      <c r="D92" s="2">
        <f t="shared" si="1"/>
        <v>601.13290519038105</v>
      </c>
      <c r="E92" s="8">
        <v>45888900</v>
      </c>
      <c r="F92" s="2">
        <f t="shared" si="4"/>
        <v>9431052.2937771305</v>
      </c>
      <c r="G92" s="8">
        <f t="shared" si="2"/>
        <v>36457847.706222869</v>
      </c>
      <c r="H92" s="2">
        <f t="shared" si="3"/>
        <v>20.551924961760101</v>
      </c>
      <c r="J92" s="8">
        <v>4845900</v>
      </c>
      <c r="K92" s="8">
        <v>39801000</v>
      </c>
      <c r="L92" s="8">
        <v>1237000</v>
      </c>
      <c r="M92" s="8"/>
    </row>
    <row r="93" spans="1:13" ht="14.25" customHeight="1">
      <c r="A93" s="2">
        <v>1929</v>
      </c>
      <c r="B93" s="2">
        <v>280</v>
      </c>
      <c r="C93" s="2">
        <f t="shared" si="0"/>
        <v>1.460004E-5</v>
      </c>
      <c r="D93" s="2">
        <f t="shared" si="1"/>
        <v>599.06445539686752</v>
      </c>
      <c r="E93" s="8">
        <v>45731000</v>
      </c>
      <c r="F93" s="2">
        <f t="shared" si="4"/>
        <v>9398600.8042625114</v>
      </c>
      <c r="G93" s="8">
        <f t="shared" si="2"/>
        <v>36332399.195737489</v>
      </c>
      <c r="H93" s="2">
        <f t="shared" si="3"/>
        <v>20.551924961760101</v>
      </c>
      <c r="J93" s="8">
        <v>4884000</v>
      </c>
      <c r="K93" s="8">
        <v>39600000</v>
      </c>
      <c r="L93" s="8">
        <v>1240000</v>
      </c>
      <c r="M93" s="8"/>
    </row>
    <row r="94" spans="1:13" ht="14.25" customHeight="1">
      <c r="A94" s="2">
        <v>1928</v>
      </c>
      <c r="B94" s="2">
        <v>280</v>
      </c>
      <c r="C94" s="2">
        <f t="shared" si="0"/>
        <v>1.460004E-5</v>
      </c>
      <c r="D94" s="2">
        <f t="shared" si="1"/>
        <v>597.63920310089384</v>
      </c>
      <c r="E94" s="8">
        <v>45622200</v>
      </c>
      <c r="F94" s="2">
        <f t="shared" si="4"/>
        <v>9376240.3099041171</v>
      </c>
      <c r="G94" s="8">
        <f t="shared" si="2"/>
        <v>36245959.690095887</v>
      </c>
      <c r="H94" s="2">
        <f t="shared" si="3"/>
        <v>20.551924961760101</v>
      </c>
      <c r="J94" s="8">
        <v>4893200</v>
      </c>
      <c r="K94" s="8">
        <v>39483000</v>
      </c>
      <c r="L94" s="8">
        <v>1247000</v>
      </c>
      <c r="M94" s="8"/>
    </row>
    <row r="95" spans="1:13" ht="14.25" customHeight="1">
      <c r="A95" s="2">
        <v>1927</v>
      </c>
      <c r="B95" s="2">
        <v>280</v>
      </c>
      <c r="C95" s="2">
        <f t="shared" si="0"/>
        <v>1.460004E-5</v>
      </c>
      <c r="D95" s="2">
        <f t="shared" si="1"/>
        <v>595.14763153201307</v>
      </c>
      <c r="E95" s="8">
        <v>45432000</v>
      </c>
      <c r="F95" s="2">
        <f t="shared" si="4"/>
        <v>9337150.5486268494</v>
      </c>
      <c r="G95" s="8">
        <f t="shared" si="2"/>
        <v>36094849.451373152</v>
      </c>
      <c r="H95" s="2">
        <f t="shared" si="3"/>
        <v>20.551924961760101</v>
      </c>
      <c r="J95" s="8">
        <v>4892000</v>
      </c>
      <c r="K95" s="8">
        <v>39286000</v>
      </c>
      <c r="L95" s="8">
        <v>1250000</v>
      </c>
      <c r="M95" s="8"/>
    </row>
    <row r="96" spans="1:13" ht="14.25" customHeight="1">
      <c r="A96" s="2">
        <v>1926</v>
      </c>
      <c r="B96" s="2">
        <v>280</v>
      </c>
      <c r="C96" s="2">
        <f t="shared" si="0"/>
        <v>1.460004E-5</v>
      </c>
      <c r="D96" s="2">
        <f t="shared" si="1"/>
        <v>592.339046125241</v>
      </c>
      <c r="E96" s="8">
        <v>45217600</v>
      </c>
      <c r="F96" s="2">
        <f t="shared" si="4"/>
        <v>9293087.2215088364</v>
      </c>
      <c r="G96" s="8">
        <f t="shared" si="2"/>
        <v>35924512.778491162</v>
      </c>
      <c r="H96" s="2">
        <f t="shared" si="3"/>
        <v>20.551924961760104</v>
      </c>
      <c r="J96" s="8">
        <v>4896600</v>
      </c>
      <c r="K96" s="8">
        <v>39114000</v>
      </c>
      <c r="L96" s="8">
        <v>1254000</v>
      </c>
      <c r="M96" s="8"/>
    </row>
    <row r="97" spans="1:16" ht="14.25" customHeight="1">
      <c r="A97" s="2">
        <v>1925</v>
      </c>
      <c r="B97" s="2">
        <v>280</v>
      </c>
      <c r="C97" s="2">
        <f t="shared" si="0"/>
        <v>1.460004E-5</v>
      </c>
      <c r="D97" s="2">
        <f t="shared" si="1"/>
        <v>590.01253134798958</v>
      </c>
      <c r="E97" s="8">
        <v>45040000</v>
      </c>
      <c r="F97" s="2">
        <f t="shared" si="4"/>
        <v>9256587.0027767494</v>
      </c>
      <c r="G97" s="8">
        <f t="shared" si="2"/>
        <v>35783412.997223251</v>
      </c>
      <c r="H97" s="2">
        <f t="shared" si="3"/>
        <v>20.551924961760101</v>
      </c>
      <c r="J97" s="8">
        <v>4893000</v>
      </c>
      <c r="K97" s="8">
        <v>38935000</v>
      </c>
      <c r="L97" s="8">
        <v>1257000</v>
      </c>
      <c r="M97" s="8"/>
    </row>
    <row r="98" spans="1:16" ht="14.25" customHeight="1">
      <c r="A98" s="2">
        <v>1924</v>
      </c>
      <c r="B98" s="2">
        <v>280</v>
      </c>
      <c r="C98" s="2">
        <f t="shared" si="0"/>
        <v>1.460004E-5</v>
      </c>
      <c r="D98" s="2">
        <f t="shared" si="1"/>
        <v>587.98993066326204</v>
      </c>
      <c r="E98" s="8">
        <v>44885600</v>
      </c>
      <c r="F98" s="2">
        <f t="shared" si="4"/>
        <v>9224854.8306357916</v>
      </c>
      <c r="G98" s="8">
        <f t="shared" si="2"/>
        <v>35660745.169364206</v>
      </c>
      <c r="H98" s="2">
        <f t="shared" si="3"/>
        <v>20.551924961760101</v>
      </c>
      <c r="J98" s="8">
        <v>4881600</v>
      </c>
      <c r="K98" s="8">
        <v>38795000</v>
      </c>
      <c r="L98" s="8">
        <v>1258000</v>
      </c>
      <c r="M98" s="8"/>
      <c r="N98" s="4"/>
      <c r="O98" s="4"/>
      <c r="P98" s="4"/>
    </row>
    <row r="99" spans="1:16" ht="14.25" customHeight="1">
      <c r="A99" s="2">
        <v>1923</v>
      </c>
      <c r="B99" s="2">
        <v>280</v>
      </c>
      <c r="C99" s="2">
        <f t="shared" si="0"/>
        <v>1.460004E-5</v>
      </c>
      <c r="D99" s="2">
        <f t="shared" si="1"/>
        <v>583.76526278227357</v>
      </c>
      <c r="E99" s="8">
        <v>44563100</v>
      </c>
      <c r="F99" s="2">
        <f t="shared" si="4"/>
        <v>9158574.8726341166</v>
      </c>
      <c r="G99" s="8">
        <f t="shared" si="2"/>
        <v>35404525.127365887</v>
      </c>
      <c r="H99" s="2">
        <f t="shared" si="3"/>
        <v>20.551924961760104</v>
      </c>
      <c r="J99" s="8">
        <v>4901100</v>
      </c>
      <c r="K99" s="8">
        <v>38449000</v>
      </c>
      <c r="L99" s="8">
        <v>1259000</v>
      </c>
      <c r="M99" s="8"/>
      <c r="N99" s="4"/>
      <c r="O99" s="4"/>
      <c r="P99" s="4"/>
    </row>
    <row r="100" spans="1:16" ht="14.25" customHeight="1">
      <c r="A100" s="4">
        <v>1922</v>
      </c>
      <c r="B100" s="2">
        <v>280</v>
      </c>
      <c r="C100" s="2">
        <f t="shared" si="0"/>
        <v>1.460004E-5</v>
      </c>
      <c r="D100" s="2">
        <f t="shared" si="1"/>
        <v>580.73136175518221</v>
      </c>
      <c r="E100" s="8">
        <v>44331500</v>
      </c>
      <c r="F100" s="2">
        <f t="shared" si="4"/>
        <v>9110976.6144226789</v>
      </c>
      <c r="G100" s="8">
        <f t="shared" si="2"/>
        <v>35220523.385577321</v>
      </c>
      <c r="H100" s="2">
        <f t="shared" si="3"/>
        <v>20.551924961760101</v>
      </c>
      <c r="J100" s="8">
        <v>4904500</v>
      </c>
      <c r="K100" s="8">
        <v>38205000</v>
      </c>
      <c r="L100" s="8">
        <v>1269000</v>
      </c>
      <c r="M100" s="8"/>
      <c r="N100" s="4"/>
      <c r="O100" s="4"/>
      <c r="P100" s="4"/>
    </row>
    <row r="101" spans="1:16" ht="14.25" customHeight="1">
      <c r="A101" s="10">
        <v>1921</v>
      </c>
      <c r="B101" s="2">
        <v>280</v>
      </c>
      <c r="C101" s="2">
        <f t="shared" si="0"/>
        <v>1.460004E-5</v>
      </c>
      <c r="D101" s="2">
        <f t="shared" si="1"/>
        <v>599.82293065364036</v>
      </c>
      <c r="E101" s="8">
        <v>43904100</v>
      </c>
      <c r="F101" s="2">
        <f t="shared" ref="F101:F110" si="5">M101*(O$5/100)</f>
        <v>9410500.3688153718</v>
      </c>
      <c r="G101" s="8">
        <f t="shared" ref="G101:G110" si="6">M101-F101</f>
        <v>36378399.63118463</v>
      </c>
      <c r="H101" s="2">
        <f t="shared" si="3"/>
        <v>21.434217689954632</v>
      </c>
      <c r="J101" s="8">
        <v>4760900</v>
      </c>
      <c r="K101" s="8">
        <v>37932000</v>
      </c>
      <c r="L101" s="8">
        <v>1258000</v>
      </c>
      <c r="M101" s="8">
        <f t="shared" ref="M101:M110" si="7">J101+K101+N101</f>
        <v>45788900</v>
      </c>
      <c r="N101" s="4">
        <v>3096000</v>
      </c>
      <c r="O101" s="8"/>
      <c r="P101" s="4"/>
    </row>
    <row r="102" spans="1:16" ht="14.25" customHeight="1">
      <c r="A102" s="10">
        <v>1920</v>
      </c>
      <c r="B102" s="2">
        <v>280</v>
      </c>
      <c r="C102" s="2">
        <f t="shared" si="0"/>
        <v>1.460004E-5</v>
      </c>
      <c r="D102" s="2">
        <f t="shared" si="1"/>
        <v>595.92575640683697</v>
      </c>
      <c r="E102" s="8">
        <v>43646400</v>
      </c>
      <c r="F102" s="2">
        <f t="shared" si="5"/>
        <v>9349358.392054135</v>
      </c>
      <c r="G102" s="8">
        <f t="shared" si="6"/>
        <v>36142041.607945867</v>
      </c>
      <c r="H102" s="2">
        <f t="shared" si="3"/>
        <v>21.420686223959216</v>
      </c>
      <c r="J102" s="8">
        <v>4864400</v>
      </c>
      <c r="K102" s="8">
        <v>37524000</v>
      </c>
      <c r="L102" s="8">
        <v>1258000</v>
      </c>
      <c r="M102" s="8">
        <f t="shared" si="7"/>
        <v>45491400</v>
      </c>
      <c r="N102" s="4">
        <v>3103000</v>
      </c>
      <c r="O102" s="4"/>
      <c r="P102" s="4"/>
    </row>
    <row r="103" spans="1:16" ht="14.25" customHeight="1">
      <c r="A103" s="10">
        <v>1919</v>
      </c>
      <c r="B103" s="2">
        <v>280</v>
      </c>
      <c r="C103" s="2">
        <f t="shared" si="0"/>
        <v>1.460004E-5</v>
      </c>
      <c r="D103" s="2">
        <f t="shared" si="1"/>
        <v>586.81750345287924</v>
      </c>
      <c r="E103" s="8">
        <v>42944100</v>
      </c>
      <c r="F103" s="2">
        <f t="shared" si="5"/>
        <v>9206460.8577950168</v>
      </c>
      <c r="G103" s="8">
        <f t="shared" si="6"/>
        <v>35589639.142204985</v>
      </c>
      <c r="H103" s="2">
        <f t="shared" si="3"/>
        <v>21.438243804841683</v>
      </c>
      <c r="J103" s="8">
        <v>4894100</v>
      </c>
      <c r="K103" s="8">
        <v>36800000</v>
      </c>
      <c r="L103" s="8">
        <v>1250000</v>
      </c>
      <c r="M103" s="8">
        <f t="shared" si="7"/>
        <v>44796100</v>
      </c>
      <c r="N103" s="4">
        <v>3102000</v>
      </c>
      <c r="O103" s="4"/>
      <c r="P103" s="4"/>
    </row>
    <row r="104" spans="1:16" ht="14.25" customHeight="1">
      <c r="A104" s="10">
        <v>1918</v>
      </c>
      <c r="B104" s="2">
        <v>280</v>
      </c>
      <c r="C104" s="2">
        <f t="shared" si="0"/>
        <v>1.460004E-5</v>
      </c>
      <c r="D104" s="2">
        <f t="shared" si="1"/>
        <v>542.77484955312184</v>
      </c>
      <c r="E104" s="8">
        <v>39582000</v>
      </c>
      <c r="F104" s="2">
        <f t="shared" si="5"/>
        <v>8515484.5886556804</v>
      </c>
      <c r="G104" s="8">
        <f t="shared" si="6"/>
        <v>32918515.41134432</v>
      </c>
      <c r="H104" s="2">
        <f t="shared" si="3"/>
        <v>21.51352783754151</v>
      </c>
      <c r="J104" s="11">
        <f t="shared" ref="J104:J110" si="8">E104-K104-L104</f>
        <v>4344000</v>
      </c>
      <c r="K104" s="8">
        <v>34024000</v>
      </c>
      <c r="L104" s="8">
        <v>1214000</v>
      </c>
      <c r="M104" s="8">
        <f t="shared" si="7"/>
        <v>41434000</v>
      </c>
      <c r="N104" s="4">
        <v>3066000</v>
      </c>
      <c r="O104" s="4"/>
      <c r="P104" s="4"/>
    </row>
    <row r="105" spans="1:16" ht="14.25" customHeight="1">
      <c r="A105" s="10">
        <v>1917</v>
      </c>
      <c r="B105" s="2">
        <v>280</v>
      </c>
      <c r="C105" s="2">
        <f t="shared" si="0"/>
        <v>1.460004E-5</v>
      </c>
      <c r="D105" s="2">
        <f t="shared" si="1"/>
        <v>545.44326768446251</v>
      </c>
      <c r="E105" s="8">
        <v>39780700</v>
      </c>
      <c r="F105" s="2">
        <f t="shared" si="5"/>
        <v>8557348.8598027863</v>
      </c>
      <c r="G105" s="8">
        <f t="shared" si="6"/>
        <v>33080351.140197214</v>
      </c>
      <c r="H105" s="2">
        <f t="shared" si="3"/>
        <v>21.511307895041533</v>
      </c>
      <c r="J105" s="11">
        <f t="shared" si="8"/>
        <v>4375700</v>
      </c>
      <c r="K105" s="8">
        <v>34197000</v>
      </c>
      <c r="L105" s="8">
        <v>1208000</v>
      </c>
      <c r="M105" s="8">
        <f t="shared" si="7"/>
        <v>41637700</v>
      </c>
      <c r="N105" s="4">
        <v>3065000</v>
      </c>
      <c r="O105" s="4"/>
      <c r="P105" s="4"/>
    </row>
    <row r="106" spans="1:16" ht="14.25" customHeight="1">
      <c r="A106" s="10">
        <v>1916</v>
      </c>
      <c r="B106" s="2">
        <v>280</v>
      </c>
      <c r="C106" s="2">
        <f t="shared" si="0"/>
        <v>1.460004E-5</v>
      </c>
      <c r="D106" s="2">
        <f t="shared" si="1"/>
        <v>555.42003375627928</v>
      </c>
      <c r="E106" s="8">
        <v>40536300</v>
      </c>
      <c r="F106" s="2">
        <f t="shared" si="5"/>
        <v>8713872.3203115501</v>
      </c>
      <c r="G106" s="8">
        <f t="shared" si="6"/>
        <v>33685427.679688454</v>
      </c>
      <c r="H106" s="2">
        <f t="shared" si="3"/>
        <v>21.496466920541714</v>
      </c>
      <c r="J106" s="11">
        <f t="shared" si="8"/>
        <v>4689300</v>
      </c>
      <c r="K106" s="8">
        <v>34642000</v>
      </c>
      <c r="L106" s="8">
        <v>1205000</v>
      </c>
      <c r="M106" s="8">
        <f t="shared" si="7"/>
        <v>42399300</v>
      </c>
      <c r="N106" s="4">
        <v>3068000</v>
      </c>
      <c r="O106" s="4"/>
      <c r="P106" s="4"/>
    </row>
    <row r="107" spans="1:16" ht="14.25" customHeight="1">
      <c r="A107" s="10">
        <v>1915</v>
      </c>
      <c r="B107" s="2">
        <v>280</v>
      </c>
      <c r="C107" s="2">
        <f t="shared" si="0"/>
        <v>1.460004E-5</v>
      </c>
      <c r="D107" s="2">
        <f t="shared" si="1"/>
        <v>566.16444490662604</v>
      </c>
      <c r="E107" s="8">
        <v>41361500</v>
      </c>
      <c r="F107" s="2">
        <f t="shared" si="5"/>
        <v>8882439.2088479064</v>
      </c>
      <c r="G107" s="8">
        <f t="shared" si="6"/>
        <v>34337060.79115209</v>
      </c>
      <c r="H107" s="2">
        <f t="shared" si="3"/>
        <v>21.475138012035121</v>
      </c>
      <c r="J107" s="11">
        <f t="shared" si="8"/>
        <v>4867500</v>
      </c>
      <c r="K107" s="8">
        <v>35284000</v>
      </c>
      <c r="L107" s="8">
        <v>1210000</v>
      </c>
      <c r="M107" s="8">
        <f t="shared" si="7"/>
        <v>43219500</v>
      </c>
      <c r="N107" s="2">
        <v>3068000</v>
      </c>
    </row>
    <row r="108" spans="1:16" ht="14.25" customHeight="1">
      <c r="A108" s="10">
        <v>1914</v>
      </c>
      <c r="B108" s="2">
        <v>280</v>
      </c>
      <c r="C108" s="2">
        <f t="shared" si="0"/>
        <v>1.460004E-5</v>
      </c>
      <c r="D108" s="2">
        <f t="shared" si="1"/>
        <v>586.95898070284716</v>
      </c>
      <c r="E108" s="8">
        <v>42956900</v>
      </c>
      <c r="F108" s="2">
        <f t="shared" si="5"/>
        <v>9208680.4656908866</v>
      </c>
      <c r="G108" s="8">
        <f t="shared" si="6"/>
        <v>35598219.534309112</v>
      </c>
      <c r="H108" s="2">
        <f t="shared" si="3"/>
        <v>21.437022843107595</v>
      </c>
      <c r="J108" s="11">
        <f t="shared" si="8"/>
        <v>4747900</v>
      </c>
      <c r="K108" s="8">
        <v>36967000</v>
      </c>
      <c r="L108" s="8">
        <v>1242000</v>
      </c>
      <c r="M108" s="8">
        <f t="shared" si="7"/>
        <v>44806900</v>
      </c>
      <c r="N108" s="2">
        <v>3092000</v>
      </c>
    </row>
    <row r="109" spans="1:16" ht="14.25" customHeight="1">
      <c r="A109" s="10">
        <v>1913</v>
      </c>
      <c r="B109" s="2">
        <v>280</v>
      </c>
      <c r="C109" s="2">
        <f t="shared" si="0"/>
        <v>1.460004E-5</v>
      </c>
      <c r="D109" s="2">
        <f t="shared" si="1"/>
        <v>582.18281354189082</v>
      </c>
      <c r="E109" s="8">
        <v>42582300</v>
      </c>
      <c r="F109" s="2">
        <f t="shared" si="5"/>
        <v>9133748.1472803093</v>
      </c>
      <c r="G109" s="8">
        <f t="shared" si="6"/>
        <v>35308551.852719694</v>
      </c>
      <c r="H109" s="2">
        <f t="shared" si="3"/>
        <v>21.449635522929267</v>
      </c>
      <c r="J109" s="11">
        <f t="shared" si="8"/>
        <v>4765300</v>
      </c>
      <c r="K109" s="8">
        <v>36574000</v>
      </c>
      <c r="L109" s="8">
        <v>1243000</v>
      </c>
      <c r="M109" s="8">
        <f t="shared" si="7"/>
        <v>44442300</v>
      </c>
      <c r="N109" s="2">
        <v>3103000</v>
      </c>
    </row>
    <row r="110" spans="1:16" ht="14.25" customHeight="1">
      <c r="A110" s="10">
        <v>1912</v>
      </c>
      <c r="B110" s="2">
        <v>280</v>
      </c>
      <c r="C110" s="2">
        <f t="shared" si="0"/>
        <v>1.460004E-5</v>
      </c>
      <c r="D110" s="2">
        <f t="shared" si="1"/>
        <v>579.60609362812193</v>
      </c>
      <c r="E110" s="8">
        <v>42373600</v>
      </c>
      <c r="F110" s="2">
        <f t="shared" si="5"/>
        <v>9093322.510880528</v>
      </c>
      <c r="G110" s="8">
        <f t="shared" si="6"/>
        <v>35152277.48911947</v>
      </c>
      <c r="H110" s="2">
        <f t="shared" si="3"/>
        <v>21.459877166161309</v>
      </c>
      <c r="J110" s="11">
        <f t="shared" si="8"/>
        <v>4798600</v>
      </c>
      <c r="K110" s="8">
        <v>36327000</v>
      </c>
      <c r="L110" s="8">
        <v>1248000</v>
      </c>
      <c r="M110" s="8">
        <f t="shared" si="7"/>
        <v>44245600</v>
      </c>
      <c r="N110" s="2">
        <v>3120000</v>
      </c>
    </row>
    <row r="111" spans="1:16" ht="14.25" customHeight="1">
      <c r="A111" s="4">
        <v>1911</v>
      </c>
      <c r="B111" s="2">
        <v>280</v>
      </c>
      <c r="C111" s="2">
        <f t="shared" si="0"/>
        <v>1.460004E-5</v>
      </c>
      <c r="D111" s="2">
        <f t="shared" si="1"/>
        <v>552.67563710180764</v>
      </c>
      <c r="E111" s="8">
        <v>42189800</v>
      </c>
      <c r="F111" s="2">
        <f t="shared" ref="F111:F122" si="9">E111*(O$5/100)</f>
        <v>8670816.0375166629</v>
      </c>
      <c r="G111" s="8">
        <f t="shared" ref="G111:G122" si="10">E111-F111</f>
        <v>33518983.962483339</v>
      </c>
      <c r="H111" s="2">
        <f t="shared" si="3"/>
        <v>20.551924961760101</v>
      </c>
      <c r="J111" s="8" t="s">
        <v>121</v>
      </c>
      <c r="K111" s="8">
        <v>36136000</v>
      </c>
      <c r="L111" s="2" t="s">
        <v>17</v>
      </c>
      <c r="M111" s="8"/>
    </row>
    <row r="112" spans="1:16" ht="14.25" customHeight="1">
      <c r="A112" s="4">
        <v>1910</v>
      </c>
      <c r="B112" s="2">
        <v>280</v>
      </c>
      <c r="C112" s="2">
        <f t="shared" si="0"/>
        <v>1.460004E-5</v>
      </c>
      <c r="D112" s="2">
        <f t="shared" si="1"/>
        <v>588.38685294789457</v>
      </c>
      <c r="E112" s="8">
        <v>44915900</v>
      </c>
      <c r="F112" s="2">
        <f t="shared" si="9"/>
        <v>9231082.063899206</v>
      </c>
      <c r="G112" s="8">
        <f t="shared" si="10"/>
        <v>35684817.936100796</v>
      </c>
      <c r="H112" s="2">
        <f t="shared" si="3"/>
        <v>20.551924961760104</v>
      </c>
      <c r="J112" s="8">
        <v>4738611</v>
      </c>
      <c r="K112" s="8">
        <v>35791900</v>
      </c>
      <c r="L112" s="2" t="s">
        <v>17</v>
      </c>
      <c r="M112" s="8"/>
    </row>
    <row r="113" spans="1:13" ht="14.25" customHeight="1">
      <c r="A113" s="4">
        <v>1909</v>
      </c>
      <c r="B113" s="2">
        <v>280</v>
      </c>
      <c r="C113" s="2">
        <f t="shared" si="0"/>
        <v>1.460004E-5</v>
      </c>
      <c r="D113" s="2">
        <f t="shared" si="1"/>
        <v>583.19411388425453</v>
      </c>
      <c r="E113" s="8">
        <v>44519500</v>
      </c>
      <c r="F113" s="2">
        <f t="shared" si="9"/>
        <v>9149614.2333507892</v>
      </c>
      <c r="G113" s="8">
        <f t="shared" si="10"/>
        <v>35369885.766649209</v>
      </c>
      <c r="H113" s="2">
        <f t="shared" si="3"/>
        <v>20.551924961760104</v>
      </c>
      <c r="J113" s="8">
        <v>4709048</v>
      </c>
      <c r="K113" s="8">
        <v>35423800</v>
      </c>
      <c r="L113" s="2" t="s">
        <v>17</v>
      </c>
      <c r="M113" s="8"/>
    </row>
    <row r="114" spans="1:13" ht="14.25" customHeight="1">
      <c r="A114" s="4">
        <v>1908</v>
      </c>
      <c r="B114" s="2">
        <v>280</v>
      </c>
      <c r="C114" s="2">
        <f t="shared" si="0"/>
        <v>1.460004E-5</v>
      </c>
      <c r="D114" s="2">
        <f t="shared" si="1"/>
        <v>578.01054464237177</v>
      </c>
      <c r="E114" s="8">
        <v>44123800</v>
      </c>
      <c r="F114" s="2">
        <f t="shared" si="9"/>
        <v>9068290.2662771028</v>
      </c>
      <c r="G114" s="8">
        <f t="shared" si="10"/>
        <v>35055509.733722895</v>
      </c>
      <c r="H114" s="2">
        <f t="shared" si="3"/>
        <v>20.551924961760097</v>
      </c>
      <c r="J114" s="8">
        <v>4679671</v>
      </c>
      <c r="K114" s="8">
        <v>35059500</v>
      </c>
      <c r="L114" s="2" t="s">
        <v>17</v>
      </c>
      <c r="M114" s="8"/>
    </row>
    <row r="115" spans="1:13" ht="14.25" customHeight="1">
      <c r="A115" s="4">
        <v>1907</v>
      </c>
      <c r="B115" s="2">
        <v>280</v>
      </c>
      <c r="C115" s="2">
        <f t="shared" si="0"/>
        <v>1.460004E-5</v>
      </c>
      <c r="D115" s="2">
        <f t="shared" si="1"/>
        <v>572.95404293055299</v>
      </c>
      <c r="E115" s="8">
        <v>43737800</v>
      </c>
      <c r="F115" s="2">
        <f t="shared" si="9"/>
        <v>8988959.8359247092</v>
      </c>
      <c r="G115" s="8">
        <f t="shared" si="10"/>
        <v>34748840.164075293</v>
      </c>
      <c r="H115" s="2">
        <f t="shared" si="3"/>
        <v>20.551924961760101</v>
      </c>
      <c r="J115" s="8">
        <v>4650478</v>
      </c>
      <c r="K115" s="8">
        <v>34698900</v>
      </c>
      <c r="L115" s="2" t="s">
        <v>17</v>
      </c>
      <c r="M115" s="8"/>
    </row>
    <row r="116" spans="1:13" ht="14.25" customHeight="1">
      <c r="A116" s="4">
        <v>1906</v>
      </c>
      <c r="B116" s="2">
        <v>280</v>
      </c>
      <c r="C116" s="2">
        <f t="shared" si="0"/>
        <v>1.460004E-5</v>
      </c>
      <c r="D116" s="2">
        <f t="shared" si="1"/>
        <v>568.01936885065095</v>
      </c>
      <c r="E116" s="8">
        <v>43361100</v>
      </c>
      <c r="F116" s="2">
        <f t="shared" si="9"/>
        <v>8911540.7345937584</v>
      </c>
      <c r="G116" s="8">
        <f t="shared" si="10"/>
        <v>34449559.265406244</v>
      </c>
      <c r="H116" s="2">
        <f t="shared" si="3"/>
        <v>20.551924961760097</v>
      </c>
      <c r="J116" s="8">
        <v>4621466</v>
      </c>
      <c r="K116" s="8">
        <v>34342000</v>
      </c>
      <c r="L116" s="2" t="s">
        <v>17</v>
      </c>
      <c r="M116" s="8"/>
    </row>
    <row r="117" spans="1:13" ht="14.25" customHeight="1">
      <c r="A117" s="4">
        <v>1905</v>
      </c>
      <c r="B117" s="2">
        <v>280</v>
      </c>
      <c r="C117" s="2">
        <f t="shared" si="0"/>
        <v>1.460004E-5</v>
      </c>
      <c r="D117" s="2">
        <f t="shared" si="1"/>
        <v>563.03753568742616</v>
      </c>
      <c r="E117" s="8">
        <v>42980800</v>
      </c>
      <c r="F117" s="2">
        <f t="shared" si="9"/>
        <v>8833381.7639641855</v>
      </c>
      <c r="G117" s="8">
        <f t="shared" si="10"/>
        <v>34147418.236035816</v>
      </c>
      <c r="H117" s="2">
        <f t="shared" si="3"/>
        <v>20.551924961760101</v>
      </c>
      <c r="J117" s="8">
        <v>4592636</v>
      </c>
      <c r="K117" s="8">
        <v>33988800</v>
      </c>
      <c r="L117" s="2" t="s">
        <v>17</v>
      </c>
      <c r="M117" s="8"/>
    </row>
    <row r="118" spans="1:13" ht="14.25" customHeight="1">
      <c r="A118" s="4">
        <v>1904</v>
      </c>
      <c r="B118" s="2">
        <v>280</v>
      </c>
      <c r="C118" s="2">
        <f t="shared" si="0"/>
        <v>1.460004E-5</v>
      </c>
      <c r="D118" s="2">
        <f t="shared" si="1"/>
        <v>558.19848974870615</v>
      </c>
      <c r="E118" s="8">
        <v>42611400</v>
      </c>
      <c r="F118" s="2">
        <f t="shared" si="9"/>
        <v>8757462.9531554431</v>
      </c>
      <c r="G118" s="8">
        <f t="shared" si="10"/>
        <v>33853937.046844557</v>
      </c>
      <c r="H118" s="2">
        <f t="shared" si="3"/>
        <v>20.551924961760097</v>
      </c>
      <c r="J118" s="8">
        <v>4563985</v>
      </c>
      <c r="K118" s="8">
        <v>33639300</v>
      </c>
      <c r="L118" s="2" t="s">
        <v>17</v>
      </c>
      <c r="M118" s="8"/>
    </row>
    <row r="119" spans="1:13" ht="14.25" customHeight="1">
      <c r="A119" s="4">
        <v>1903</v>
      </c>
      <c r="B119" s="2">
        <v>280</v>
      </c>
      <c r="C119" s="2">
        <f t="shared" si="0"/>
        <v>1.460004E-5</v>
      </c>
      <c r="D119" s="2">
        <f t="shared" si="1"/>
        <v>553.41970263867631</v>
      </c>
      <c r="E119" s="8">
        <v>42246600</v>
      </c>
      <c r="F119" s="2">
        <f t="shared" si="9"/>
        <v>8682489.5308949426</v>
      </c>
      <c r="G119" s="8">
        <f t="shared" si="10"/>
        <v>33564110.469105057</v>
      </c>
      <c r="H119" s="2">
        <f t="shared" si="3"/>
        <v>20.551924961760101</v>
      </c>
      <c r="J119" s="8">
        <v>4535513</v>
      </c>
      <c r="K119" s="8">
        <v>33293300</v>
      </c>
      <c r="L119" s="2" t="s">
        <v>17</v>
      </c>
      <c r="M119" s="8"/>
    </row>
    <row r="120" spans="1:13" ht="14.25" customHeight="1">
      <c r="A120" s="4">
        <v>1902</v>
      </c>
      <c r="B120" s="2">
        <v>280</v>
      </c>
      <c r="C120" s="2">
        <f t="shared" si="0"/>
        <v>1.460004E-5</v>
      </c>
      <c r="D120" s="2">
        <f t="shared" si="1"/>
        <v>548.78370275315115</v>
      </c>
      <c r="E120" s="8">
        <v>41892700</v>
      </c>
      <c r="F120" s="2">
        <f t="shared" si="9"/>
        <v>8609756.2684552744</v>
      </c>
      <c r="G120" s="8">
        <f t="shared" si="10"/>
        <v>33282943.731544726</v>
      </c>
      <c r="H120" s="2">
        <f t="shared" si="3"/>
        <v>20.551924961760101</v>
      </c>
      <c r="J120" s="8">
        <v>4507220</v>
      </c>
      <c r="K120" s="8">
        <v>32950900</v>
      </c>
      <c r="L120" s="2" t="s">
        <v>17</v>
      </c>
      <c r="M120" s="8"/>
    </row>
    <row r="121" spans="1:13" ht="14.25" customHeight="1">
      <c r="A121" s="4">
        <v>1901</v>
      </c>
      <c r="B121" s="2">
        <v>280</v>
      </c>
      <c r="C121" s="2">
        <f t="shared" si="0"/>
        <v>1.460004E-5</v>
      </c>
      <c r="D121" s="2">
        <f t="shared" si="1"/>
        <v>544.13984302040558</v>
      </c>
      <c r="E121" s="8">
        <v>41538200</v>
      </c>
      <c r="F121" s="2">
        <f t="shared" si="9"/>
        <v>8536899.6944658346</v>
      </c>
      <c r="G121" s="8">
        <f t="shared" si="10"/>
        <v>33001300.305534165</v>
      </c>
      <c r="H121" s="2">
        <f t="shared" si="3"/>
        <v>20.551924961760101</v>
      </c>
      <c r="J121" s="8">
        <v>4479104</v>
      </c>
      <c r="K121" s="8">
        <v>32612000</v>
      </c>
      <c r="L121" s="2" t="s">
        <v>17</v>
      </c>
      <c r="M121" s="8"/>
    </row>
    <row r="122" spans="1:13" ht="14.25" customHeight="1">
      <c r="A122" s="4">
        <v>1900</v>
      </c>
      <c r="B122" s="2">
        <v>280</v>
      </c>
      <c r="C122" s="2">
        <f t="shared" si="0"/>
        <v>1.460004E-5</v>
      </c>
      <c r="D122" s="2">
        <f t="shared" si="1"/>
        <v>539.1147806974684</v>
      </c>
      <c r="E122" s="8">
        <v>41154600</v>
      </c>
      <c r="F122" s="2">
        <f t="shared" si="9"/>
        <v>8458062.5103125218</v>
      </c>
      <c r="G122" s="8">
        <f t="shared" si="10"/>
        <v>32696537.48968748</v>
      </c>
      <c r="H122" s="2">
        <f t="shared" si="3"/>
        <v>20.551924961760097</v>
      </c>
      <c r="J122" s="8">
        <v>4436958</v>
      </c>
      <c r="K122" s="8">
        <v>32249200</v>
      </c>
      <c r="L122" s="2" t="s">
        <v>17</v>
      </c>
      <c r="M122" s="8"/>
    </row>
    <row r="123" spans="1:13" ht="14.25" customHeight="1">
      <c r="A123" s="4"/>
    </row>
    <row r="124" spans="1:13" ht="14.25" customHeight="1"/>
    <row r="125" spans="1:13" ht="14.25" customHeight="1"/>
    <row r="126" spans="1:13" ht="14.25" customHeight="1"/>
    <row r="127" spans="1:13" ht="14.25" customHeight="1"/>
    <row r="128" spans="1:13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000"/>
  <sheetViews>
    <sheetView workbookViewId="0">
      <pane xSplit="1" ySplit="1" topLeftCell="B125" activePane="bottomRight" state="frozen"/>
      <selection pane="topRight" activeCell="B1" sqref="B1"/>
      <selection pane="bottomLeft" activeCell="A2" sqref="A2"/>
      <selection pane="bottomRight"/>
    </sheetView>
  </sheetViews>
  <sheetFormatPr defaultColWidth="14.42578125" defaultRowHeight="15" customHeight="1"/>
  <cols>
    <col min="1" max="1" width="8.7109375" customWidth="1"/>
    <col min="2" max="2" width="24" customWidth="1"/>
    <col min="3" max="3" width="11" customWidth="1"/>
    <col min="4" max="4" width="13.5703125" bestFit="1" customWidth="1"/>
    <col min="5" max="5" width="15.28515625" customWidth="1"/>
    <col min="6" max="18" width="8.7109375" customWidth="1"/>
  </cols>
  <sheetData>
    <row r="1" spans="1:18" ht="57" customHeight="1">
      <c r="A1" s="5" t="s">
        <v>1</v>
      </c>
      <c r="B1" s="12" t="s">
        <v>122</v>
      </c>
      <c r="C1" s="5" t="s">
        <v>87</v>
      </c>
      <c r="D1" s="28" t="s">
        <v>357</v>
      </c>
      <c r="E1" s="28" t="s">
        <v>355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</row>
    <row r="2" spans="1:18" ht="14.25" customHeight="1">
      <c r="A2" s="2">
        <v>1831</v>
      </c>
      <c r="B2" s="1">
        <v>61.633027519999999</v>
      </c>
      <c r="C2" s="2" t="s">
        <v>99</v>
      </c>
      <c r="D2" s="27">
        <v>10.9</v>
      </c>
      <c r="E2">
        <f t="shared" ref="E2:E65" si="0">$D$171/D2</f>
        <v>61.633027522935777</v>
      </c>
    </row>
    <row r="3" spans="1:18" ht="14.25" customHeight="1">
      <c r="A3" s="2">
        <v>1832</v>
      </c>
      <c r="B3" s="1">
        <v>66.514851489999998</v>
      </c>
      <c r="C3" s="2" t="s">
        <v>99</v>
      </c>
      <c r="D3" s="27">
        <v>10.1</v>
      </c>
      <c r="E3">
        <f t="shared" si="0"/>
        <v>66.514851485148512</v>
      </c>
    </row>
    <row r="4" spans="1:18" ht="14.25" customHeight="1">
      <c r="A4" s="2">
        <v>1833</v>
      </c>
      <c r="B4" s="1">
        <v>70.715789470000004</v>
      </c>
      <c r="C4" s="2" t="s">
        <v>99</v>
      </c>
      <c r="D4" s="27">
        <v>9.5</v>
      </c>
      <c r="E4">
        <f t="shared" si="0"/>
        <v>70.715789473684211</v>
      </c>
    </row>
    <row r="5" spans="1:18" ht="14.25" customHeight="1">
      <c r="A5" s="2">
        <v>1834</v>
      </c>
      <c r="B5" s="1">
        <v>77.218390799999995</v>
      </c>
      <c r="C5" s="2" t="s">
        <v>99</v>
      </c>
      <c r="D5" s="27">
        <v>8.6999999999999993</v>
      </c>
      <c r="E5">
        <f t="shared" si="0"/>
        <v>77.218390804597703</v>
      </c>
    </row>
    <row r="6" spans="1:18" ht="14.25" customHeight="1">
      <c r="A6" s="2">
        <v>1835</v>
      </c>
      <c r="B6" s="1">
        <v>75.483146070000004</v>
      </c>
      <c r="C6" s="2" t="s">
        <v>99</v>
      </c>
      <c r="D6" s="27">
        <v>8.9</v>
      </c>
      <c r="E6">
        <f t="shared" si="0"/>
        <v>75.483146067415717</v>
      </c>
    </row>
    <row r="7" spans="1:18" ht="14.25" customHeight="1">
      <c r="A7" s="2">
        <v>1836</v>
      </c>
      <c r="B7" s="1">
        <v>67.858585860000005</v>
      </c>
      <c r="C7" s="2" t="s">
        <v>99</v>
      </c>
      <c r="D7" s="27">
        <v>9.9</v>
      </c>
      <c r="E7">
        <f t="shared" si="0"/>
        <v>67.858585858585855</v>
      </c>
    </row>
    <row r="8" spans="1:18" ht="14.25" customHeight="1">
      <c r="A8" s="2">
        <v>1837</v>
      </c>
      <c r="B8" s="1">
        <v>66.514851489999998</v>
      </c>
      <c r="C8" s="2" t="s">
        <v>99</v>
      </c>
      <c r="D8" s="27">
        <v>10.1</v>
      </c>
      <c r="E8">
        <f t="shared" si="0"/>
        <v>66.514851485148512</v>
      </c>
    </row>
    <row r="9" spans="1:18" ht="14.25" customHeight="1">
      <c r="A9" s="2">
        <v>1838</v>
      </c>
      <c r="B9" s="1">
        <v>65.862745099999998</v>
      </c>
      <c r="C9" s="2" t="s">
        <v>99</v>
      </c>
      <c r="D9" s="27">
        <v>10.199999999999999</v>
      </c>
      <c r="E9">
        <f t="shared" si="0"/>
        <v>65.862745098039213</v>
      </c>
    </row>
    <row r="10" spans="1:18" ht="14.25" customHeight="1">
      <c r="A10" s="2">
        <v>1839</v>
      </c>
      <c r="B10" s="1">
        <v>61.633027519999999</v>
      </c>
      <c r="C10" s="2" t="s">
        <v>99</v>
      </c>
      <c r="D10" s="27">
        <v>10.9</v>
      </c>
      <c r="E10">
        <f t="shared" si="0"/>
        <v>61.633027522935777</v>
      </c>
    </row>
    <row r="11" spans="1:18" ht="14.25" customHeight="1">
      <c r="A11" s="2">
        <v>1840</v>
      </c>
      <c r="B11" s="1">
        <v>60.522522520000003</v>
      </c>
      <c r="C11" s="2" t="s">
        <v>99</v>
      </c>
      <c r="D11" s="27">
        <v>11.1</v>
      </c>
      <c r="E11">
        <f t="shared" si="0"/>
        <v>60.522522522522522</v>
      </c>
    </row>
    <row r="12" spans="1:18" ht="14.25" customHeight="1">
      <c r="A12" s="2">
        <v>1841</v>
      </c>
      <c r="B12" s="1">
        <v>61.633027519999999</v>
      </c>
      <c r="C12" s="2" t="s">
        <v>99</v>
      </c>
      <c r="D12" s="27">
        <v>10.9</v>
      </c>
      <c r="E12">
        <f t="shared" si="0"/>
        <v>61.633027522935777</v>
      </c>
    </row>
    <row r="13" spans="1:18" ht="14.25" customHeight="1">
      <c r="A13" s="2">
        <v>1842</v>
      </c>
      <c r="B13" s="1">
        <v>67.180000000000007</v>
      </c>
      <c r="C13" s="2" t="s">
        <v>99</v>
      </c>
      <c r="D13" s="27">
        <v>10</v>
      </c>
      <c r="E13">
        <f t="shared" si="0"/>
        <v>67.179999999999993</v>
      </c>
    </row>
    <row r="14" spans="1:18" ht="14.25" customHeight="1">
      <c r="A14" s="2">
        <v>1843</v>
      </c>
      <c r="B14" s="1">
        <v>75.483146070000004</v>
      </c>
      <c r="C14" s="2" t="s">
        <v>99</v>
      </c>
      <c r="D14" s="27">
        <v>8.9</v>
      </c>
      <c r="E14">
        <f t="shared" si="0"/>
        <v>75.483146067415717</v>
      </c>
    </row>
    <row r="15" spans="1:18" ht="14.25" customHeight="1">
      <c r="A15" s="2">
        <v>1844</v>
      </c>
      <c r="B15" s="1">
        <v>75.483146070000004</v>
      </c>
      <c r="C15" s="2" t="s">
        <v>99</v>
      </c>
      <c r="D15" s="27">
        <v>8.9</v>
      </c>
      <c r="E15">
        <f t="shared" si="0"/>
        <v>75.483146067415717</v>
      </c>
    </row>
    <row r="16" spans="1:18" ht="14.25" customHeight="1">
      <c r="A16" s="2">
        <v>1845</v>
      </c>
      <c r="B16" s="1">
        <v>72.236559139999997</v>
      </c>
      <c r="C16" s="2" t="s">
        <v>99</v>
      </c>
      <c r="D16" s="27">
        <v>9.3000000000000007</v>
      </c>
      <c r="E16">
        <f t="shared" si="0"/>
        <v>72.23655913978493</v>
      </c>
    </row>
    <row r="17" spans="1:5" ht="14.25" customHeight="1">
      <c r="A17" s="2">
        <v>1846</v>
      </c>
      <c r="B17" s="1">
        <v>69.257731960000001</v>
      </c>
      <c r="C17" s="2" t="s">
        <v>99</v>
      </c>
      <c r="D17" s="27">
        <v>9.6999999999999993</v>
      </c>
      <c r="E17">
        <f t="shared" si="0"/>
        <v>69.257731958762889</v>
      </c>
    </row>
    <row r="18" spans="1:5" ht="14.25" customHeight="1">
      <c r="A18" s="2">
        <v>1847</v>
      </c>
      <c r="B18" s="1">
        <v>61.633027519999999</v>
      </c>
      <c r="C18" s="2" t="s">
        <v>99</v>
      </c>
      <c r="D18" s="27">
        <v>10.9</v>
      </c>
      <c r="E18">
        <f t="shared" si="0"/>
        <v>61.633027522935777</v>
      </c>
    </row>
    <row r="19" spans="1:5" ht="14.25" customHeight="1">
      <c r="A19" s="2">
        <v>1848</v>
      </c>
      <c r="B19" s="1">
        <v>70.715789470000004</v>
      </c>
      <c r="C19" s="2" t="s">
        <v>99</v>
      </c>
      <c r="D19" s="27">
        <v>9.5</v>
      </c>
      <c r="E19">
        <f t="shared" si="0"/>
        <v>70.715789473684211</v>
      </c>
    </row>
    <row r="20" spans="1:5" ht="14.25" customHeight="1">
      <c r="A20" s="2">
        <v>1849</v>
      </c>
      <c r="B20" s="1">
        <v>75.483146070000004</v>
      </c>
      <c r="C20" s="2" t="s">
        <v>99</v>
      </c>
      <c r="D20" s="27">
        <v>8.9</v>
      </c>
      <c r="E20">
        <f t="shared" si="0"/>
        <v>75.483146067415717</v>
      </c>
    </row>
    <row r="21" spans="1:5" ht="14.25" customHeight="1">
      <c r="A21" s="2">
        <v>1850</v>
      </c>
      <c r="B21" s="1">
        <v>79.97619048</v>
      </c>
      <c r="C21" s="2" t="s">
        <v>99</v>
      </c>
      <c r="D21" s="27">
        <v>8.4</v>
      </c>
      <c r="E21">
        <f t="shared" si="0"/>
        <v>79.976190476190467</v>
      </c>
    </row>
    <row r="22" spans="1:5" ht="14.25" customHeight="1">
      <c r="A22" s="2">
        <v>1851</v>
      </c>
      <c r="B22" s="1">
        <v>82.938271599999993</v>
      </c>
      <c r="C22" s="2" t="s">
        <v>99</v>
      </c>
      <c r="D22" s="27">
        <v>8.1</v>
      </c>
      <c r="E22">
        <f t="shared" si="0"/>
        <v>82.938271604938265</v>
      </c>
    </row>
    <row r="23" spans="1:5" ht="14.25" customHeight="1">
      <c r="A23" s="2">
        <v>1852</v>
      </c>
      <c r="B23" s="1">
        <v>82.938271599999993</v>
      </c>
      <c r="C23" s="2" t="s">
        <v>99</v>
      </c>
      <c r="D23" s="27">
        <v>8.1</v>
      </c>
      <c r="E23">
        <f t="shared" si="0"/>
        <v>82.938271604938265</v>
      </c>
    </row>
    <row r="24" spans="1:5" ht="14.25" customHeight="1">
      <c r="A24" s="2">
        <v>1853</v>
      </c>
      <c r="B24" s="1">
        <v>75.483146070000004</v>
      </c>
      <c r="C24" s="2" t="s">
        <v>99</v>
      </c>
      <c r="D24" s="27">
        <v>8.9</v>
      </c>
      <c r="E24">
        <f t="shared" si="0"/>
        <v>75.483146067415717</v>
      </c>
    </row>
    <row r="25" spans="1:5" ht="14.25" customHeight="1">
      <c r="A25" s="2">
        <v>1854</v>
      </c>
      <c r="B25" s="1">
        <v>65.862745099999998</v>
      </c>
      <c r="C25" s="2" t="s">
        <v>99</v>
      </c>
      <c r="D25" s="27">
        <v>10.199999999999999</v>
      </c>
      <c r="E25">
        <f t="shared" si="0"/>
        <v>65.862745098039213</v>
      </c>
    </row>
    <row r="26" spans="1:5" ht="14.25" customHeight="1">
      <c r="A26" s="2">
        <v>1855</v>
      </c>
      <c r="B26" s="1">
        <v>63.980952379999998</v>
      </c>
      <c r="C26" s="2" t="s">
        <v>99</v>
      </c>
      <c r="D26" s="27">
        <v>10.5</v>
      </c>
      <c r="E26">
        <f t="shared" si="0"/>
        <v>63.980952380952374</v>
      </c>
    </row>
    <row r="27" spans="1:5" ht="14.25" customHeight="1">
      <c r="A27" s="2">
        <v>1856</v>
      </c>
      <c r="B27" s="1">
        <v>63.980952379999998</v>
      </c>
      <c r="C27" s="2" t="s">
        <v>99</v>
      </c>
      <c r="D27" s="27">
        <v>10.5</v>
      </c>
      <c r="E27">
        <f t="shared" si="0"/>
        <v>63.980952380952374</v>
      </c>
    </row>
    <row r="28" spans="1:5" ht="14.25" customHeight="1">
      <c r="A28" s="2">
        <v>1857</v>
      </c>
      <c r="B28" s="1">
        <v>67.180000000000007</v>
      </c>
      <c r="C28" s="2" t="s">
        <v>99</v>
      </c>
      <c r="D28" s="27">
        <v>10</v>
      </c>
      <c r="E28">
        <f t="shared" si="0"/>
        <v>67.179999999999993</v>
      </c>
    </row>
    <row r="29" spans="1:5" ht="14.25" customHeight="1">
      <c r="A29" s="2">
        <v>1858</v>
      </c>
      <c r="B29" s="1">
        <v>73.824175819999994</v>
      </c>
      <c r="C29" s="2" t="s">
        <v>99</v>
      </c>
      <c r="D29" s="27">
        <v>9.1</v>
      </c>
      <c r="E29">
        <f t="shared" si="0"/>
        <v>73.824175824175825</v>
      </c>
    </row>
    <row r="30" spans="1:5" ht="14.25" customHeight="1">
      <c r="A30" s="2">
        <v>1859</v>
      </c>
      <c r="B30" s="1">
        <v>74.644444440000001</v>
      </c>
      <c r="C30" s="2" t="s">
        <v>99</v>
      </c>
      <c r="D30" s="27">
        <v>9</v>
      </c>
      <c r="E30">
        <f t="shared" si="0"/>
        <v>74.644444444444446</v>
      </c>
    </row>
    <row r="31" spans="1:5" ht="14.25" customHeight="1">
      <c r="A31" s="2">
        <v>1860</v>
      </c>
      <c r="B31" s="1">
        <v>72.236559139999997</v>
      </c>
      <c r="C31" s="2" t="s">
        <v>99</v>
      </c>
      <c r="D31" s="27">
        <v>9.3000000000000007</v>
      </c>
      <c r="E31">
        <f t="shared" si="0"/>
        <v>72.23655913978493</v>
      </c>
    </row>
    <row r="32" spans="1:5" ht="14.25" customHeight="1">
      <c r="A32" s="2">
        <v>1861</v>
      </c>
      <c r="B32" s="1">
        <v>70.715789470000004</v>
      </c>
      <c r="C32" s="2" t="s">
        <v>99</v>
      </c>
      <c r="D32" s="27">
        <v>9.5</v>
      </c>
      <c r="E32">
        <f t="shared" si="0"/>
        <v>70.715789473684211</v>
      </c>
    </row>
    <row r="33" spans="1:5" ht="14.25" customHeight="1">
      <c r="A33" s="2">
        <v>1862</v>
      </c>
      <c r="B33" s="1">
        <v>72.236559139999997</v>
      </c>
      <c r="C33" s="2" t="s">
        <v>99</v>
      </c>
      <c r="D33" s="27">
        <v>9.3000000000000007</v>
      </c>
      <c r="E33">
        <f t="shared" si="0"/>
        <v>72.23655913978493</v>
      </c>
    </row>
    <row r="34" spans="1:5" ht="14.25" customHeight="1">
      <c r="A34" s="2">
        <v>1863</v>
      </c>
      <c r="B34" s="1">
        <v>74.644444440000001</v>
      </c>
      <c r="C34" s="2" t="s">
        <v>99</v>
      </c>
      <c r="D34" s="27">
        <v>9</v>
      </c>
      <c r="E34">
        <f t="shared" si="0"/>
        <v>74.644444444444446</v>
      </c>
    </row>
    <row r="35" spans="1:5" ht="14.25" customHeight="1">
      <c r="A35" s="2">
        <v>1864</v>
      </c>
      <c r="B35" s="1">
        <v>75.483146070000004</v>
      </c>
      <c r="C35" s="2" t="s">
        <v>99</v>
      </c>
      <c r="D35" s="27">
        <v>8.9</v>
      </c>
      <c r="E35">
        <f t="shared" si="0"/>
        <v>75.483146067415717</v>
      </c>
    </row>
    <row r="36" spans="1:5" ht="14.25" customHeight="1">
      <c r="A36" s="2">
        <v>1865</v>
      </c>
      <c r="B36" s="1">
        <v>74.644444440000001</v>
      </c>
      <c r="C36" s="2" t="s">
        <v>99</v>
      </c>
      <c r="D36" s="27">
        <v>9</v>
      </c>
      <c r="E36">
        <f t="shared" si="0"/>
        <v>74.644444444444446</v>
      </c>
    </row>
    <row r="37" spans="1:5" ht="14.25" customHeight="1">
      <c r="A37" s="2">
        <v>1866</v>
      </c>
      <c r="B37" s="1">
        <v>70.715789470000004</v>
      </c>
      <c r="C37" s="2" t="s">
        <v>99</v>
      </c>
      <c r="D37" s="27">
        <v>9.5</v>
      </c>
      <c r="E37">
        <f t="shared" si="0"/>
        <v>70.715789473684211</v>
      </c>
    </row>
    <row r="38" spans="1:5" ht="14.25" customHeight="1">
      <c r="A38" s="2">
        <v>1867</v>
      </c>
      <c r="B38" s="1">
        <v>66.514851489999998</v>
      </c>
      <c r="C38" s="2" t="s">
        <v>99</v>
      </c>
      <c r="D38" s="27">
        <v>10.1</v>
      </c>
      <c r="E38">
        <f t="shared" si="0"/>
        <v>66.514851485148512</v>
      </c>
    </row>
    <row r="39" spans="1:5" ht="14.25" customHeight="1">
      <c r="A39" s="2">
        <v>1868</v>
      </c>
      <c r="B39" s="1">
        <v>67.180000000000007</v>
      </c>
      <c r="C39" s="2" t="s">
        <v>99</v>
      </c>
      <c r="D39" s="27">
        <v>10</v>
      </c>
      <c r="E39">
        <f t="shared" si="0"/>
        <v>67.179999999999993</v>
      </c>
    </row>
    <row r="40" spans="1:5" ht="14.25" customHeight="1">
      <c r="A40" s="2">
        <v>1869</v>
      </c>
      <c r="B40" s="1">
        <v>70.715789470000004</v>
      </c>
      <c r="C40" s="2" t="s">
        <v>99</v>
      </c>
      <c r="D40" s="27">
        <v>9.5</v>
      </c>
      <c r="E40">
        <f t="shared" si="0"/>
        <v>70.715789473684211</v>
      </c>
    </row>
    <row r="41" spans="1:5" ht="14.25" customHeight="1">
      <c r="A41" s="2">
        <v>1870</v>
      </c>
      <c r="B41" s="1">
        <v>70.715789470000004</v>
      </c>
      <c r="C41" s="2" t="s">
        <v>99</v>
      </c>
      <c r="D41" s="27">
        <v>9.5</v>
      </c>
      <c r="E41">
        <f t="shared" si="0"/>
        <v>70.715789473684211</v>
      </c>
    </row>
    <row r="42" spans="1:5" ht="14.25" customHeight="1">
      <c r="A42" s="2">
        <v>1871</v>
      </c>
      <c r="B42" s="1">
        <v>69.979166669999998</v>
      </c>
      <c r="C42" s="2" t="s">
        <v>99</v>
      </c>
      <c r="D42" s="27">
        <v>9.6</v>
      </c>
      <c r="E42">
        <f t="shared" si="0"/>
        <v>69.979166666666671</v>
      </c>
    </row>
    <row r="43" spans="1:5" ht="14.25" customHeight="1">
      <c r="A43" s="2">
        <v>1872</v>
      </c>
      <c r="B43" s="1">
        <v>67.180000000000007</v>
      </c>
      <c r="C43" s="2" t="s">
        <v>99</v>
      </c>
      <c r="D43" s="27">
        <v>10</v>
      </c>
      <c r="E43">
        <f t="shared" si="0"/>
        <v>67.179999999999993</v>
      </c>
    </row>
    <row r="44" spans="1:5" ht="14.25" customHeight="1">
      <c r="A44" s="2">
        <v>1873</v>
      </c>
      <c r="B44" s="1">
        <v>64.596153849999993</v>
      </c>
      <c r="C44" s="2" t="s">
        <v>99</v>
      </c>
      <c r="D44" s="27">
        <v>10.4</v>
      </c>
      <c r="E44">
        <f t="shared" si="0"/>
        <v>64.59615384615384</v>
      </c>
    </row>
    <row r="45" spans="1:5" ht="14.25" customHeight="1">
      <c r="A45" s="2">
        <v>1874</v>
      </c>
      <c r="B45" s="1">
        <v>67.180000000000007</v>
      </c>
      <c r="C45" s="2" t="s">
        <v>99</v>
      </c>
      <c r="D45" s="27">
        <v>10</v>
      </c>
      <c r="E45">
        <f t="shared" si="0"/>
        <v>67.179999999999993</v>
      </c>
    </row>
    <row r="46" spans="1:5" ht="14.25" customHeight="1">
      <c r="A46" s="2">
        <v>1875</v>
      </c>
      <c r="B46" s="1">
        <v>68.551020410000007</v>
      </c>
      <c r="C46" s="2" t="s">
        <v>99</v>
      </c>
      <c r="D46" s="27">
        <v>9.8000000000000007</v>
      </c>
      <c r="E46">
        <f t="shared" si="0"/>
        <v>68.551020408163254</v>
      </c>
    </row>
    <row r="47" spans="1:5" ht="14.25" customHeight="1">
      <c r="A47" s="2">
        <v>1876</v>
      </c>
      <c r="B47" s="1">
        <v>68.551020410000007</v>
      </c>
      <c r="C47" s="2" t="s">
        <v>99</v>
      </c>
      <c r="D47" s="27">
        <v>9.8000000000000007</v>
      </c>
      <c r="E47">
        <f t="shared" si="0"/>
        <v>68.551020408163254</v>
      </c>
    </row>
    <row r="48" spans="1:5" ht="14.25" customHeight="1">
      <c r="A48" s="2">
        <v>1877</v>
      </c>
      <c r="B48" s="1">
        <v>69.257731960000001</v>
      </c>
      <c r="C48" s="2" t="s">
        <v>99</v>
      </c>
      <c r="D48" s="27">
        <v>9.6999999999999993</v>
      </c>
      <c r="E48">
        <f t="shared" si="0"/>
        <v>69.257731958762889</v>
      </c>
    </row>
    <row r="49" spans="1:5" ht="14.25" customHeight="1">
      <c r="A49" s="2">
        <v>1878</v>
      </c>
      <c r="B49" s="1">
        <v>70.715789470000004</v>
      </c>
      <c r="C49" s="2" t="s">
        <v>99</v>
      </c>
      <c r="D49" s="27">
        <v>9.5</v>
      </c>
      <c r="E49">
        <f t="shared" si="0"/>
        <v>70.715789473684211</v>
      </c>
    </row>
    <row r="50" spans="1:5" ht="14.25" customHeight="1">
      <c r="A50" s="2">
        <v>1879</v>
      </c>
      <c r="B50" s="1">
        <v>73.824175819999994</v>
      </c>
      <c r="C50" s="2" t="s">
        <v>99</v>
      </c>
      <c r="D50" s="27">
        <v>9.1</v>
      </c>
      <c r="E50">
        <f t="shared" si="0"/>
        <v>73.824175824175825</v>
      </c>
    </row>
    <row r="51" spans="1:5" ht="14.25" customHeight="1">
      <c r="A51" s="2">
        <v>1880</v>
      </c>
      <c r="B51" s="1">
        <v>71.468085110000004</v>
      </c>
      <c r="C51" s="2" t="s">
        <v>99</v>
      </c>
      <c r="D51" s="27">
        <v>9.4</v>
      </c>
      <c r="E51">
        <f t="shared" si="0"/>
        <v>71.468085106382972</v>
      </c>
    </row>
    <row r="52" spans="1:5" ht="14.25" customHeight="1">
      <c r="A52" s="2">
        <v>1881</v>
      </c>
      <c r="B52" s="1">
        <v>72.236559139999997</v>
      </c>
      <c r="C52" s="2" t="s">
        <v>99</v>
      </c>
      <c r="D52" s="27">
        <v>9.3000000000000007</v>
      </c>
      <c r="E52">
        <f t="shared" si="0"/>
        <v>72.23655913978493</v>
      </c>
    </row>
    <row r="53" spans="1:5" ht="14.25" customHeight="1">
      <c r="A53" s="2">
        <v>1882</v>
      </c>
      <c r="B53" s="1">
        <v>71.468085110000004</v>
      </c>
      <c r="C53" s="2" t="s">
        <v>99</v>
      </c>
      <c r="D53" s="27">
        <v>9.4</v>
      </c>
      <c r="E53">
        <f t="shared" si="0"/>
        <v>71.468085106382972</v>
      </c>
    </row>
    <row r="54" spans="1:5" ht="14.25" customHeight="1">
      <c r="A54" s="2">
        <v>1883</v>
      </c>
      <c r="B54" s="1">
        <v>72.236559139999997</v>
      </c>
      <c r="C54" s="2" t="s">
        <v>99</v>
      </c>
      <c r="D54" s="27">
        <v>9.3000000000000007</v>
      </c>
      <c r="E54">
        <f t="shared" si="0"/>
        <v>72.23655913978493</v>
      </c>
    </row>
    <row r="55" spans="1:5" ht="14.25" customHeight="1">
      <c r="A55" s="2">
        <v>1884</v>
      </c>
      <c r="B55" s="1">
        <v>73.824175819999994</v>
      </c>
      <c r="C55" s="2" t="s">
        <v>99</v>
      </c>
      <c r="D55" s="27">
        <v>9.1</v>
      </c>
      <c r="E55">
        <f t="shared" si="0"/>
        <v>73.824175824175825</v>
      </c>
    </row>
    <row r="56" spans="1:5" ht="14.25" customHeight="1">
      <c r="A56" s="2">
        <v>1885</v>
      </c>
      <c r="B56" s="1">
        <v>76.340909089999997</v>
      </c>
      <c r="C56" s="2" t="s">
        <v>99</v>
      </c>
      <c r="D56" s="27">
        <v>8.8000000000000007</v>
      </c>
      <c r="E56">
        <f t="shared" si="0"/>
        <v>76.340909090909079</v>
      </c>
    </row>
    <row r="57" spans="1:5" ht="14.25" customHeight="1">
      <c r="A57" s="2">
        <v>1886</v>
      </c>
      <c r="B57" s="1">
        <v>77.218390799999995</v>
      </c>
      <c r="C57" s="2" t="s">
        <v>99</v>
      </c>
      <c r="D57" s="27">
        <v>8.6999999999999993</v>
      </c>
      <c r="E57">
        <f t="shared" si="0"/>
        <v>77.218390804597703</v>
      </c>
    </row>
    <row r="58" spans="1:5" ht="14.25" customHeight="1">
      <c r="A58" s="2">
        <v>1887</v>
      </c>
      <c r="B58" s="1">
        <v>78.116279070000004</v>
      </c>
      <c r="C58" s="2" t="s">
        <v>99</v>
      </c>
      <c r="D58" s="27">
        <v>8.6</v>
      </c>
      <c r="E58">
        <f t="shared" si="0"/>
        <v>78.116279069767444</v>
      </c>
    </row>
    <row r="59" spans="1:5" ht="14.25" customHeight="1">
      <c r="A59" s="2">
        <v>1888</v>
      </c>
      <c r="B59" s="1">
        <v>77.218390799999995</v>
      </c>
      <c r="C59" s="2" t="s">
        <v>99</v>
      </c>
      <c r="D59" s="27">
        <v>8.6999999999999993</v>
      </c>
      <c r="E59">
        <f t="shared" si="0"/>
        <v>77.218390804597703</v>
      </c>
    </row>
    <row r="60" spans="1:5" ht="14.25" customHeight="1">
      <c r="A60" s="2">
        <v>1889</v>
      </c>
      <c r="B60" s="1">
        <v>76.340909089999997</v>
      </c>
      <c r="C60" s="2" t="s">
        <v>99</v>
      </c>
      <c r="D60" s="27">
        <v>8.8000000000000007</v>
      </c>
      <c r="E60">
        <f t="shared" si="0"/>
        <v>76.340909090909079</v>
      </c>
    </row>
    <row r="61" spans="1:5" ht="14.25" customHeight="1">
      <c r="A61" s="2">
        <v>1890</v>
      </c>
      <c r="B61" s="1">
        <v>76.340909089999997</v>
      </c>
      <c r="C61" s="2" t="s">
        <v>99</v>
      </c>
      <c r="D61" s="27">
        <v>8.8000000000000007</v>
      </c>
      <c r="E61">
        <f t="shared" si="0"/>
        <v>76.340909090909079</v>
      </c>
    </row>
    <row r="62" spans="1:5" ht="14.25" customHeight="1">
      <c r="A62" s="2">
        <v>1891</v>
      </c>
      <c r="B62" s="1">
        <v>75.483146070000004</v>
      </c>
      <c r="C62" s="2" t="s">
        <v>99</v>
      </c>
      <c r="D62" s="27">
        <v>8.9</v>
      </c>
      <c r="E62">
        <f t="shared" si="0"/>
        <v>75.483146067415717</v>
      </c>
    </row>
    <row r="63" spans="1:5" ht="14.25" customHeight="1">
      <c r="A63" s="2">
        <v>1892</v>
      </c>
      <c r="B63" s="1">
        <v>75.483146070000004</v>
      </c>
      <c r="C63" s="2" t="s">
        <v>99</v>
      </c>
      <c r="D63" s="27">
        <v>8.9</v>
      </c>
      <c r="E63">
        <f t="shared" si="0"/>
        <v>75.483146067415717</v>
      </c>
    </row>
    <row r="64" spans="1:5" ht="14.25" customHeight="1">
      <c r="A64" s="2">
        <v>1893</v>
      </c>
      <c r="B64" s="1">
        <v>76.340909089999997</v>
      </c>
      <c r="C64" s="2" t="s">
        <v>99</v>
      </c>
      <c r="D64" s="27">
        <v>8.8000000000000007</v>
      </c>
      <c r="E64">
        <f t="shared" si="0"/>
        <v>76.340909090909079</v>
      </c>
    </row>
    <row r="65" spans="1:5" ht="14.25" customHeight="1">
      <c r="A65" s="2">
        <v>1894</v>
      </c>
      <c r="B65" s="1">
        <v>77.218390799999995</v>
      </c>
      <c r="C65" s="2" t="s">
        <v>99</v>
      </c>
      <c r="D65" s="27">
        <v>8.6999999999999993</v>
      </c>
      <c r="E65">
        <f t="shared" si="0"/>
        <v>77.218390804597703</v>
      </c>
    </row>
    <row r="66" spans="1:5" ht="14.25" customHeight="1">
      <c r="A66" s="2">
        <v>1895</v>
      </c>
      <c r="B66" s="1">
        <v>78.116279070000004</v>
      </c>
      <c r="C66" s="2" t="s">
        <v>99</v>
      </c>
      <c r="D66" s="27">
        <v>8.6</v>
      </c>
      <c r="E66">
        <f t="shared" ref="E66:E129" si="1">$D$171/D66</f>
        <v>78.116279069767444</v>
      </c>
    </row>
    <row r="67" spans="1:5" ht="14.25" customHeight="1">
      <c r="A67" s="2">
        <v>1896</v>
      </c>
      <c r="B67" s="1">
        <v>79.035294120000003</v>
      </c>
      <c r="C67" s="2" t="s">
        <v>99</v>
      </c>
      <c r="D67" s="27">
        <v>8.5</v>
      </c>
      <c r="E67">
        <f t="shared" si="1"/>
        <v>79.035294117647055</v>
      </c>
    </row>
    <row r="68" spans="1:5" ht="14.25" customHeight="1">
      <c r="A68" s="2">
        <v>1897</v>
      </c>
      <c r="B68" s="1">
        <v>77.218390799999995</v>
      </c>
      <c r="C68" s="2" t="s">
        <v>99</v>
      </c>
      <c r="D68" s="27">
        <v>8.6999999999999993</v>
      </c>
      <c r="E68">
        <f t="shared" si="1"/>
        <v>77.218390804597703</v>
      </c>
    </row>
    <row r="69" spans="1:5" ht="14.25" customHeight="1">
      <c r="A69" s="2">
        <v>1898</v>
      </c>
      <c r="B69" s="1">
        <v>77.218390799999995</v>
      </c>
      <c r="C69" s="2" t="s">
        <v>99</v>
      </c>
      <c r="D69" s="27">
        <v>8.6999999999999993</v>
      </c>
      <c r="E69">
        <f t="shared" si="1"/>
        <v>77.218390804597703</v>
      </c>
    </row>
    <row r="70" spans="1:5" ht="14.25" customHeight="1">
      <c r="A70" s="2">
        <v>1899</v>
      </c>
      <c r="B70" s="1">
        <v>76.340909089999997</v>
      </c>
      <c r="C70" s="2" t="s">
        <v>99</v>
      </c>
      <c r="D70" s="27">
        <v>8.8000000000000007</v>
      </c>
      <c r="E70">
        <f t="shared" si="1"/>
        <v>76.340909090909079</v>
      </c>
    </row>
    <row r="71" spans="1:5" ht="14.25" customHeight="1">
      <c r="A71" s="2">
        <v>1900</v>
      </c>
      <c r="B71" s="1">
        <v>73.02173913</v>
      </c>
      <c r="C71" s="2" t="s">
        <v>99</v>
      </c>
      <c r="D71" s="27">
        <v>9.1999999999999993</v>
      </c>
      <c r="E71">
        <f t="shared" si="1"/>
        <v>73.021739130434781</v>
      </c>
    </row>
    <row r="72" spans="1:5" ht="14.25" customHeight="1">
      <c r="A72" s="2">
        <v>1901</v>
      </c>
      <c r="B72" s="1">
        <v>73.02173913</v>
      </c>
      <c r="C72" s="2" t="s">
        <v>99</v>
      </c>
      <c r="D72" s="27">
        <v>9.1999999999999993</v>
      </c>
      <c r="E72">
        <f t="shared" si="1"/>
        <v>73.021739130434781</v>
      </c>
    </row>
    <row r="73" spans="1:5" ht="14.25" customHeight="1">
      <c r="A73" s="2">
        <v>1902</v>
      </c>
      <c r="B73" s="1">
        <v>73.02173913</v>
      </c>
      <c r="C73" s="2" t="s">
        <v>99</v>
      </c>
      <c r="D73" s="27">
        <v>9.1999999999999993</v>
      </c>
      <c r="E73">
        <f t="shared" si="1"/>
        <v>73.021739130434781</v>
      </c>
    </row>
    <row r="74" spans="1:5" ht="14.25" customHeight="1">
      <c r="A74" s="2">
        <v>1903</v>
      </c>
      <c r="B74" s="1">
        <v>72.236559139999997</v>
      </c>
      <c r="C74" s="2" t="s">
        <v>99</v>
      </c>
      <c r="D74" s="27">
        <v>9.3000000000000007</v>
      </c>
      <c r="E74">
        <f t="shared" si="1"/>
        <v>72.23655913978493</v>
      </c>
    </row>
    <row r="75" spans="1:5" ht="14.25" customHeight="1">
      <c r="A75" s="2">
        <v>1904</v>
      </c>
      <c r="B75" s="1">
        <v>72.236559139999997</v>
      </c>
      <c r="C75" s="2" t="s">
        <v>99</v>
      </c>
      <c r="D75" s="27">
        <v>9.3000000000000007</v>
      </c>
      <c r="E75">
        <f t="shared" si="1"/>
        <v>72.23655913978493</v>
      </c>
    </row>
    <row r="76" spans="1:5" ht="14.25" customHeight="1">
      <c r="A76" s="2">
        <v>1905</v>
      </c>
      <c r="B76" s="1">
        <v>72.236559139999997</v>
      </c>
      <c r="C76" s="2" t="s">
        <v>99</v>
      </c>
      <c r="D76" s="27">
        <v>9.3000000000000007</v>
      </c>
      <c r="E76">
        <f t="shared" si="1"/>
        <v>72.23655913978493</v>
      </c>
    </row>
    <row r="77" spans="1:5" ht="14.25" customHeight="1">
      <c r="A77" s="2">
        <v>1906</v>
      </c>
      <c r="B77" s="1">
        <v>72.236559139999997</v>
      </c>
      <c r="C77" s="2" t="s">
        <v>99</v>
      </c>
      <c r="D77" s="27">
        <v>9.3000000000000007</v>
      </c>
      <c r="E77">
        <f t="shared" si="1"/>
        <v>72.23655913978493</v>
      </c>
    </row>
    <row r="78" spans="1:5" ht="14.25" customHeight="1">
      <c r="A78" s="2">
        <v>1907</v>
      </c>
      <c r="B78" s="1">
        <v>71.468085110000004</v>
      </c>
      <c r="C78" s="2" t="s">
        <v>99</v>
      </c>
      <c r="D78" s="27">
        <v>9.4</v>
      </c>
      <c r="E78">
        <f t="shared" si="1"/>
        <v>71.468085106382972</v>
      </c>
    </row>
    <row r="79" spans="1:5" ht="14.25" customHeight="1">
      <c r="A79" s="2">
        <v>1908</v>
      </c>
      <c r="B79" s="1">
        <v>71.468085110000004</v>
      </c>
      <c r="C79" s="2" t="s">
        <v>99</v>
      </c>
      <c r="D79" s="27">
        <v>9.4</v>
      </c>
      <c r="E79">
        <f t="shared" si="1"/>
        <v>71.468085106382972</v>
      </c>
    </row>
    <row r="80" spans="1:5" ht="14.25" customHeight="1">
      <c r="A80" s="2">
        <v>1909</v>
      </c>
      <c r="B80" s="1">
        <v>70.715789470000004</v>
      </c>
      <c r="C80" s="2" t="s">
        <v>99</v>
      </c>
      <c r="D80" s="27">
        <v>9.5</v>
      </c>
      <c r="E80">
        <f t="shared" si="1"/>
        <v>70.715789473684211</v>
      </c>
    </row>
    <row r="81" spans="1:5" ht="14.25" customHeight="1">
      <c r="A81" s="2">
        <v>1910</v>
      </c>
      <c r="B81" s="1">
        <v>69.979166669999998</v>
      </c>
      <c r="C81" s="2" t="s">
        <v>99</v>
      </c>
      <c r="D81" s="27">
        <v>9.6</v>
      </c>
      <c r="E81">
        <f t="shared" si="1"/>
        <v>69.979166666666671</v>
      </c>
    </row>
    <row r="82" spans="1:5" ht="14.25" customHeight="1">
      <c r="A82" s="2">
        <v>1911</v>
      </c>
      <c r="B82" s="1">
        <v>69.979166669999998</v>
      </c>
      <c r="C82" s="2" t="s">
        <v>99</v>
      </c>
      <c r="D82" s="27">
        <v>9.6</v>
      </c>
      <c r="E82">
        <f t="shared" si="1"/>
        <v>69.979166666666671</v>
      </c>
    </row>
    <row r="83" spans="1:5" ht="14.25" customHeight="1">
      <c r="A83" s="2">
        <v>1912</v>
      </c>
      <c r="B83" s="1">
        <v>67.858585860000005</v>
      </c>
      <c r="C83" s="2" t="s">
        <v>99</v>
      </c>
      <c r="D83" s="27">
        <v>9.9</v>
      </c>
      <c r="E83">
        <f t="shared" si="1"/>
        <v>67.858585858585855</v>
      </c>
    </row>
    <row r="84" spans="1:5" ht="14.25" customHeight="1">
      <c r="A84" s="2">
        <v>1913</v>
      </c>
      <c r="B84" s="1">
        <v>68.551020410000007</v>
      </c>
      <c r="C84" s="2" t="s">
        <v>99</v>
      </c>
      <c r="D84" s="27">
        <v>9.8000000000000007</v>
      </c>
      <c r="E84">
        <f t="shared" si="1"/>
        <v>68.551020408163254</v>
      </c>
    </row>
    <row r="85" spans="1:5" ht="14.25" customHeight="1">
      <c r="A85" s="2">
        <v>1914</v>
      </c>
      <c r="B85" s="1">
        <v>68.551020410000007</v>
      </c>
      <c r="C85" s="2" t="s">
        <v>100</v>
      </c>
      <c r="D85" s="27">
        <v>9.8000000000000007</v>
      </c>
      <c r="E85">
        <f t="shared" si="1"/>
        <v>68.551020408163254</v>
      </c>
    </row>
    <row r="86" spans="1:5" ht="14.25" customHeight="1">
      <c r="A86" s="2">
        <v>1915</v>
      </c>
      <c r="B86" s="1">
        <v>61.072727270000001</v>
      </c>
      <c r="C86" s="2" t="s">
        <v>100</v>
      </c>
      <c r="D86" s="27">
        <v>11</v>
      </c>
      <c r="E86">
        <f t="shared" si="1"/>
        <v>61.072727272727271</v>
      </c>
    </row>
    <row r="87" spans="1:5" ht="14.25" customHeight="1">
      <c r="A87" s="2">
        <v>1916</v>
      </c>
      <c r="B87" s="1">
        <v>51.676923080000002</v>
      </c>
      <c r="C87" s="2" t="s">
        <v>100</v>
      </c>
      <c r="D87" s="27">
        <v>13</v>
      </c>
      <c r="E87">
        <f t="shared" si="1"/>
        <v>51.676923076923075</v>
      </c>
    </row>
    <row r="88" spans="1:5" ht="14.25" customHeight="1">
      <c r="A88" s="2">
        <v>1917</v>
      </c>
      <c r="B88" s="1">
        <v>41.214723929999998</v>
      </c>
      <c r="C88" s="2" t="s">
        <v>100</v>
      </c>
      <c r="D88" s="27">
        <v>16.3</v>
      </c>
      <c r="E88">
        <f t="shared" si="1"/>
        <v>41.214723926380366</v>
      </c>
    </row>
    <row r="89" spans="1:5" ht="14.25" customHeight="1">
      <c r="A89" s="2">
        <v>1918</v>
      </c>
      <c r="B89" s="1">
        <v>33.758793969999999</v>
      </c>
      <c r="C89" s="2" t="s">
        <v>100</v>
      </c>
      <c r="D89" s="27">
        <v>19.899999999999999</v>
      </c>
      <c r="E89">
        <f t="shared" si="1"/>
        <v>33.758793969849243</v>
      </c>
    </row>
    <row r="90" spans="1:5" ht="14.25" customHeight="1">
      <c r="A90" s="2">
        <v>1919</v>
      </c>
      <c r="B90" s="1">
        <v>30.675799090000002</v>
      </c>
      <c r="C90" s="2" t="s">
        <v>99</v>
      </c>
      <c r="D90" s="27">
        <v>21.9</v>
      </c>
      <c r="E90">
        <f t="shared" si="1"/>
        <v>30.675799086757991</v>
      </c>
    </row>
    <row r="91" spans="1:5" ht="14.25" customHeight="1">
      <c r="A91" s="2">
        <v>1920</v>
      </c>
      <c r="B91" s="1">
        <v>26.55335968</v>
      </c>
      <c r="C91" s="2" t="s">
        <v>99</v>
      </c>
      <c r="D91" s="27">
        <v>25.3</v>
      </c>
      <c r="E91">
        <f t="shared" si="1"/>
        <v>26.553359683794465</v>
      </c>
    </row>
    <row r="92" spans="1:5" ht="14.25" customHeight="1">
      <c r="A92" s="2">
        <v>1921</v>
      </c>
      <c r="B92" s="1">
        <v>29.082251079999999</v>
      </c>
      <c r="C92" s="2" t="s">
        <v>99</v>
      </c>
      <c r="D92" s="27">
        <v>23.1</v>
      </c>
      <c r="E92">
        <f t="shared" si="1"/>
        <v>29.08225108225108</v>
      </c>
    </row>
    <row r="93" spans="1:5" ht="14.25" customHeight="1">
      <c r="A93" s="2">
        <v>1922</v>
      </c>
      <c r="B93" s="1">
        <v>33.758793969999999</v>
      </c>
      <c r="C93" s="2" t="s">
        <v>99</v>
      </c>
      <c r="D93" s="27">
        <v>19.899999999999999</v>
      </c>
      <c r="E93">
        <f t="shared" si="1"/>
        <v>33.758793969849243</v>
      </c>
    </row>
    <row r="94" spans="1:5" ht="14.25" customHeight="1">
      <c r="A94" s="2">
        <v>1923</v>
      </c>
      <c r="B94" s="1">
        <v>35.925133690000003</v>
      </c>
      <c r="C94" s="2" t="s">
        <v>99</v>
      </c>
      <c r="D94" s="27">
        <v>18.7</v>
      </c>
      <c r="E94">
        <f t="shared" si="1"/>
        <v>35.925133689839569</v>
      </c>
    </row>
    <row r="95" spans="1:5" ht="14.25" customHeight="1">
      <c r="A95" s="2">
        <v>1924</v>
      </c>
      <c r="B95" s="1">
        <v>36.118279569999999</v>
      </c>
      <c r="C95" s="2" t="s">
        <v>99</v>
      </c>
      <c r="D95" s="27">
        <v>18.600000000000001</v>
      </c>
      <c r="E95">
        <f t="shared" si="1"/>
        <v>36.118279569892465</v>
      </c>
    </row>
    <row r="96" spans="1:5" ht="14.25" customHeight="1">
      <c r="A96" s="2">
        <v>1925</v>
      </c>
      <c r="B96" s="1">
        <v>36.118279569999999</v>
      </c>
      <c r="C96" s="2" t="s">
        <v>99</v>
      </c>
      <c r="D96" s="27">
        <v>18.600000000000001</v>
      </c>
      <c r="E96">
        <f t="shared" si="1"/>
        <v>36.118279569892465</v>
      </c>
    </row>
    <row r="97" spans="1:5" ht="14.25" customHeight="1">
      <c r="A97" s="2">
        <v>1926</v>
      </c>
      <c r="B97" s="1">
        <v>36.31351351</v>
      </c>
      <c r="C97" s="2" t="s">
        <v>99</v>
      </c>
      <c r="D97" s="27">
        <v>18.5</v>
      </c>
      <c r="E97">
        <f t="shared" si="1"/>
        <v>36.313513513513513</v>
      </c>
    </row>
    <row r="98" spans="1:5" ht="14.25" customHeight="1">
      <c r="A98" s="2">
        <v>1927</v>
      </c>
      <c r="B98" s="1">
        <v>37.32222222</v>
      </c>
      <c r="C98" s="2" t="s">
        <v>99</v>
      </c>
      <c r="D98" s="27">
        <v>18</v>
      </c>
      <c r="E98">
        <f t="shared" si="1"/>
        <v>37.322222222222223</v>
      </c>
    </row>
    <row r="99" spans="1:5" ht="14.25" customHeight="1">
      <c r="A99" s="2">
        <v>1928</v>
      </c>
      <c r="B99" s="1">
        <v>37.32222222</v>
      </c>
      <c r="C99" s="2" t="s">
        <v>99</v>
      </c>
      <c r="D99" s="27">
        <v>18</v>
      </c>
      <c r="E99">
        <f t="shared" si="1"/>
        <v>37.322222222222223</v>
      </c>
    </row>
    <row r="100" spans="1:5" ht="14.25" customHeight="1">
      <c r="A100" s="2">
        <v>1929</v>
      </c>
      <c r="B100" s="1">
        <v>37.741573029999998</v>
      </c>
      <c r="C100" s="2" t="s">
        <v>99</v>
      </c>
      <c r="D100" s="27">
        <v>17.8</v>
      </c>
      <c r="E100">
        <f t="shared" si="1"/>
        <v>37.741573033707859</v>
      </c>
    </row>
    <row r="101" spans="1:5" ht="14.25" customHeight="1">
      <c r="A101" s="2">
        <v>1930</v>
      </c>
      <c r="B101" s="1">
        <v>38.83236994</v>
      </c>
      <c r="C101" s="2" t="s">
        <v>99</v>
      </c>
      <c r="D101" s="27">
        <v>17.3</v>
      </c>
      <c r="E101">
        <f t="shared" si="1"/>
        <v>38.832369942196529</v>
      </c>
    </row>
    <row r="102" spans="1:5" ht="14.25" customHeight="1">
      <c r="A102" s="2">
        <v>1931</v>
      </c>
      <c r="B102" s="1">
        <v>40.469879519999999</v>
      </c>
      <c r="C102" s="2" t="s">
        <v>99</v>
      </c>
      <c r="D102" s="27">
        <v>16.600000000000001</v>
      </c>
      <c r="E102">
        <f t="shared" si="1"/>
        <v>40.469879518072283</v>
      </c>
    </row>
    <row r="103" spans="1:5" ht="14.25" customHeight="1">
      <c r="A103" s="2">
        <v>1932</v>
      </c>
      <c r="B103" s="1">
        <v>41.469135799999997</v>
      </c>
      <c r="C103" s="2" t="s">
        <v>99</v>
      </c>
      <c r="D103" s="27">
        <v>16.2</v>
      </c>
      <c r="E103">
        <f t="shared" si="1"/>
        <v>41.469135802469133</v>
      </c>
    </row>
    <row r="104" spans="1:5" ht="14.25" customHeight="1">
      <c r="A104" s="2">
        <v>1933</v>
      </c>
      <c r="B104" s="1">
        <v>42.518987340000002</v>
      </c>
      <c r="C104" s="2" t="s">
        <v>99</v>
      </c>
      <c r="D104" s="27">
        <v>15.8</v>
      </c>
      <c r="E104">
        <f t="shared" si="1"/>
        <v>42.518987341772146</v>
      </c>
    </row>
    <row r="105" spans="1:5" ht="14.25" customHeight="1">
      <c r="A105" s="2">
        <v>1934</v>
      </c>
      <c r="B105" s="1">
        <v>42.518987340000002</v>
      </c>
      <c r="C105" s="2" t="s">
        <v>99</v>
      </c>
      <c r="D105" s="27">
        <v>15.8</v>
      </c>
      <c r="E105">
        <f t="shared" si="1"/>
        <v>42.518987341772146</v>
      </c>
    </row>
    <row r="106" spans="1:5" ht="14.25" customHeight="1">
      <c r="A106" s="2">
        <v>1935</v>
      </c>
      <c r="B106" s="1">
        <v>42.251572330000002</v>
      </c>
      <c r="C106" s="2" t="s">
        <v>99</v>
      </c>
      <c r="D106" s="27">
        <v>15.9</v>
      </c>
      <c r="E106">
        <f t="shared" si="1"/>
        <v>42.251572327044023</v>
      </c>
    </row>
    <row r="107" spans="1:5" ht="14.25" customHeight="1">
      <c r="A107" s="2">
        <v>1936</v>
      </c>
      <c r="B107" s="1">
        <v>41.987499999999997</v>
      </c>
      <c r="C107" s="2" t="s">
        <v>99</v>
      </c>
      <c r="D107" s="27">
        <v>16</v>
      </c>
      <c r="E107">
        <f t="shared" si="1"/>
        <v>41.987499999999997</v>
      </c>
    </row>
    <row r="108" spans="1:5" ht="14.25" customHeight="1">
      <c r="A108" s="2">
        <v>1937</v>
      </c>
      <c r="B108" s="1">
        <v>40.469879519999999</v>
      </c>
      <c r="C108" s="2" t="s">
        <v>99</v>
      </c>
      <c r="D108" s="27">
        <v>16.600000000000001</v>
      </c>
      <c r="E108">
        <f t="shared" si="1"/>
        <v>40.469879518072283</v>
      </c>
    </row>
    <row r="109" spans="1:5" ht="14.25" customHeight="1">
      <c r="A109" s="2">
        <v>1938</v>
      </c>
      <c r="B109" s="1">
        <v>39.98809524</v>
      </c>
      <c r="C109" s="2" t="s">
        <v>99</v>
      </c>
      <c r="D109" s="27">
        <v>16.8</v>
      </c>
      <c r="E109">
        <f t="shared" si="1"/>
        <v>39.988095238095234</v>
      </c>
    </row>
    <row r="110" spans="1:5" ht="14.25" customHeight="1">
      <c r="A110" s="2">
        <v>1939</v>
      </c>
      <c r="B110" s="1">
        <v>38.83236994</v>
      </c>
      <c r="C110" s="2" t="s">
        <v>100</v>
      </c>
      <c r="D110" s="27">
        <v>17.3</v>
      </c>
      <c r="E110">
        <f t="shared" si="1"/>
        <v>38.832369942196529</v>
      </c>
    </row>
    <row r="111" spans="1:5" ht="14.25" customHeight="1">
      <c r="A111" s="2">
        <v>1940</v>
      </c>
      <c r="B111" s="1">
        <v>33.257425740000002</v>
      </c>
      <c r="C111" s="2" t="s">
        <v>100</v>
      </c>
      <c r="D111" s="27">
        <v>20.2</v>
      </c>
      <c r="E111">
        <f t="shared" si="1"/>
        <v>33.257425742574256</v>
      </c>
    </row>
    <row r="112" spans="1:5" ht="14.25" customHeight="1">
      <c r="A112" s="2">
        <v>1941</v>
      </c>
      <c r="B112" s="1">
        <v>29.991071430000002</v>
      </c>
      <c r="C112" s="2" t="s">
        <v>100</v>
      </c>
      <c r="D112" s="27">
        <v>22.4</v>
      </c>
      <c r="E112">
        <f t="shared" si="1"/>
        <v>29.991071428571427</v>
      </c>
    </row>
    <row r="113" spans="1:5" ht="14.25" customHeight="1">
      <c r="A113" s="2">
        <v>1942</v>
      </c>
      <c r="B113" s="1">
        <v>27.991666670000001</v>
      </c>
      <c r="C113" s="2" t="s">
        <v>100</v>
      </c>
      <c r="D113" s="27">
        <v>24</v>
      </c>
      <c r="E113">
        <f t="shared" si="1"/>
        <v>27.991666666666664</v>
      </c>
    </row>
    <row r="114" spans="1:5" ht="14.25" customHeight="1">
      <c r="A114" s="2">
        <v>1943</v>
      </c>
      <c r="B114" s="1">
        <v>27.088709680000001</v>
      </c>
      <c r="C114" s="2" t="s">
        <v>100</v>
      </c>
      <c r="D114" s="27">
        <v>24.8</v>
      </c>
      <c r="E114">
        <f t="shared" si="1"/>
        <v>27.088709677419352</v>
      </c>
    </row>
    <row r="115" spans="1:5" ht="14.25" customHeight="1">
      <c r="A115" s="2">
        <v>1944</v>
      </c>
      <c r="B115" s="1">
        <v>26.34509804</v>
      </c>
      <c r="C115" s="2" t="s">
        <v>100</v>
      </c>
      <c r="D115" s="27">
        <v>25.5</v>
      </c>
      <c r="E115">
        <f t="shared" si="1"/>
        <v>26.345098039215685</v>
      </c>
    </row>
    <row r="116" spans="1:5" ht="14.25" customHeight="1">
      <c r="A116" s="2">
        <v>1945</v>
      </c>
      <c r="B116" s="1">
        <v>25.64122137</v>
      </c>
      <c r="C116" s="2" t="s">
        <v>100</v>
      </c>
      <c r="D116" s="27">
        <v>26.2</v>
      </c>
      <c r="E116">
        <f t="shared" si="1"/>
        <v>25.641221374045802</v>
      </c>
    </row>
    <row r="117" spans="1:5" ht="14.25" customHeight="1">
      <c r="A117" s="2">
        <v>1946</v>
      </c>
      <c r="B117" s="1">
        <v>24.881481480000001</v>
      </c>
      <c r="C117" s="2" t="s">
        <v>99</v>
      </c>
      <c r="D117" s="27">
        <v>27</v>
      </c>
      <c r="E117">
        <f t="shared" si="1"/>
        <v>24.88148148148148</v>
      </c>
    </row>
    <row r="118" spans="1:5" ht="14.25" customHeight="1">
      <c r="A118" s="2">
        <v>1947</v>
      </c>
      <c r="B118" s="1">
        <v>23.245674739999998</v>
      </c>
      <c r="C118" s="2" t="s">
        <v>99</v>
      </c>
      <c r="D118" s="27">
        <v>28.9</v>
      </c>
      <c r="E118">
        <f t="shared" si="1"/>
        <v>23.245674740484429</v>
      </c>
    </row>
    <row r="119" spans="1:5" ht="14.25" customHeight="1">
      <c r="A119" s="2">
        <v>1948</v>
      </c>
      <c r="B119" s="1">
        <v>21.601286170000002</v>
      </c>
      <c r="C119" s="2" t="s">
        <v>99</v>
      </c>
      <c r="D119" s="27">
        <v>31.1</v>
      </c>
      <c r="E119">
        <f t="shared" si="1"/>
        <v>21.601286173633437</v>
      </c>
    </row>
    <row r="120" spans="1:5" ht="14.25" customHeight="1">
      <c r="A120" s="2">
        <v>1949</v>
      </c>
      <c r="B120" s="1">
        <v>20.993749999999999</v>
      </c>
      <c r="C120" s="2" t="s">
        <v>99</v>
      </c>
      <c r="D120" s="27">
        <v>32</v>
      </c>
      <c r="E120">
        <f t="shared" si="1"/>
        <v>20.993749999999999</v>
      </c>
    </row>
    <row r="121" spans="1:5" ht="14.25" customHeight="1">
      <c r="A121" s="2">
        <v>1950</v>
      </c>
      <c r="B121" s="1">
        <v>20.35757576</v>
      </c>
      <c r="C121" s="2" t="s">
        <v>99</v>
      </c>
      <c r="D121" s="27">
        <v>33</v>
      </c>
      <c r="E121">
        <f t="shared" si="1"/>
        <v>20.357575757575756</v>
      </c>
    </row>
    <row r="122" spans="1:5" ht="14.25" customHeight="1">
      <c r="A122" s="2">
        <v>1951</v>
      </c>
      <c r="B122" s="1">
        <v>18.66111111</v>
      </c>
      <c r="C122" s="2" t="s">
        <v>99</v>
      </c>
      <c r="D122" s="27">
        <v>36</v>
      </c>
      <c r="E122">
        <f t="shared" si="1"/>
        <v>18.661111111111111</v>
      </c>
    </row>
    <row r="123" spans="1:5" ht="14.25" customHeight="1">
      <c r="A123" s="2">
        <v>1952</v>
      </c>
      <c r="B123" s="1">
        <v>17.094147580000001</v>
      </c>
      <c r="C123" s="2" t="s">
        <v>99</v>
      </c>
      <c r="D123" s="27">
        <v>39.299999999999997</v>
      </c>
      <c r="E123">
        <f t="shared" si="1"/>
        <v>17.0941475826972</v>
      </c>
    </row>
    <row r="124" spans="1:5" ht="14.25" customHeight="1">
      <c r="A124" s="2">
        <v>1953</v>
      </c>
      <c r="B124" s="1">
        <v>16.587654319999999</v>
      </c>
      <c r="C124" s="2" t="s">
        <v>99</v>
      </c>
      <c r="D124" s="27">
        <v>40.5</v>
      </c>
      <c r="E124">
        <f t="shared" si="1"/>
        <v>16.587654320987653</v>
      </c>
    </row>
    <row r="125" spans="1:5" ht="14.25" customHeight="1">
      <c r="A125" s="2">
        <v>1954</v>
      </c>
      <c r="B125" s="1">
        <v>16.26634383</v>
      </c>
      <c r="C125" s="2" t="s">
        <v>99</v>
      </c>
      <c r="D125" s="27">
        <v>41.3</v>
      </c>
      <c r="E125">
        <f t="shared" si="1"/>
        <v>16.26634382566586</v>
      </c>
    </row>
    <row r="126" spans="1:5" ht="14.25" customHeight="1">
      <c r="A126" s="2">
        <v>1955</v>
      </c>
      <c r="B126" s="1">
        <v>15.58700696</v>
      </c>
      <c r="C126" s="2" t="s">
        <v>99</v>
      </c>
      <c r="D126" s="27">
        <v>43.1</v>
      </c>
      <c r="E126">
        <f t="shared" si="1"/>
        <v>15.587006960556844</v>
      </c>
    </row>
    <row r="127" spans="1:5" ht="14.25" customHeight="1">
      <c r="A127" s="2">
        <v>1956</v>
      </c>
      <c r="B127" s="1">
        <v>14.830022080000001</v>
      </c>
      <c r="C127" s="2" t="s">
        <v>99</v>
      </c>
      <c r="D127" s="27">
        <v>45.3</v>
      </c>
      <c r="E127">
        <f t="shared" si="1"/>
        <v>14.830022075055188</v>
      </c>
    </row>
    <row r="128" spans="1:5" ht="14.25" customHeight="1">
      <c r="A128" s="2">
        <v>1957</v>
      </c>
      <c r="B128" s="1">
        <v>14.32409382</v>
      </c>
      <c r="C128" s="2" t="s">
        <v>99</v>
      </c>
      <c r="D128" s="27">
        <v>46.9</v>
      </c>
      <c r="E128">
        <f t="shared" si="1"/>
        <v>14.32409381663113</v>
      </c>
    </row>
    <row r="129" spans="1:5" ht="14.25" customHeight="1">
      <c r="A129" s="2">
        <v>1958</v>
      </c>
      <c r="B129" s="1">
        <v>13.880165290000001</v>
      </c>
      <c r="C129" s="2" t="s">
        <v>99</v>
      </c>
      <c r="D129" s="27">
        <v>48.4</v>
      </c>
      <c r="E129">
        <f t="shared" si="1"/>
        <v>13.880165289256198</v>
      </c>
    </row>
    <row r="130" spans="1:5" ht="14.25" customHeight="1">
      <c r="A130" s="2">
        <v>1959</v>
      </c>
      <c r="B130" s="1">
        <v>13.82304527</v>
      </c>
      <c r="C130" s="2" t="s">
        <v>99</v>
      </c>
      <c r="D130" s="27">
        <v>48.6</v>
      </c>
      <c r="E130">
        <f t="shared" ref="E130:E190" si="2">$D$171/D130</f>
        <v>13.823045267489711</v>
      </c>
    </row>
    <row r="131" spans="1:5" ht="14.25" customHeight="1">
      <c r="A131" s="2">
        <v>1960</v>
      </c>
      <c r="B131" s="1">
        <v>13.682281059999999</v>
      </c>
      <c r="C131" s="2" t="s">
        <v>99</v>
      </c>
      <c r="D131" s="27">
        <v>49.1</v>
      </c>
      <c r="E131">
        <f t="shared" si="2"/>
        <v>13.682281059063135</v>
      </c>
    </row>
    <row r="132" spans="1:5" ht="14.25" customHeight="1">
      <c r="A132" s="2">
        <v>1961</v>
      </c>
      <c r="B132" s="1">
        <v>13.22440945</v>
      </c>
      <c r="C132" s="2" t="s">
        <v>99</v>
      </c>
      <c r="D132" s="27">
        <v>50.8</v>
      </c>
      <c r="E132">
        <f t="shared" si="2"/>
        <v>13.224409448818898</v>
      </c>
    </row>
    <row r="133" spans="1:5" ht="14.25" customHeight="1">
      <c r="A133" s="2">
        <v>1962</v>
      </c>
      <c r="B133" s="1">
        <v>12.675471699999999</v>
      </c>
      <c r="C133" s="2" t="s">
        <v>99</v>
      </c>
      <c r="D133" s="27">
        <v>53</v>
      </c>
      <c r="E133">
        <f t="shared" si="2"/>
        <v>12.675471698113206</v>
      </c>
    </row>
    <row r="134" spans="1:5" ht="14.25" customHeight="1">
      <c r="A134" s="2">
        <v>1963</v>
      </c>
      <c r="B134" s="1">
        <v>12.440740740000001</v>
      </c>
      <c r="C134" s="2" t="s">
        <v>99</v>
      </c>
      <c r="D134" s="27">
        <v>54</v>
      </c>
      <c r="E134">
        <f t="shared" si="2"/>
        <v>12.44074074074074</v>
      </c>
    </row>
    <row r="135" spans="1:5" ht="14.25" customHeight="1">
      <c r="A135" s="2">
        <v>1964</v>
      </c>
      <c r="B135" s="1">
        <v>12.039426519999999</v>
      </c>
      <c r="C135" s="2" t="s">
        <v>99</v>
      </c>
      <c r="D135" s="27">
        <v>55.8</v>
      </c>
      <c r="E135">
        <f t="shared" si="2"/>
        <v>12.039426523297491</v>
      </c>
    </row>
    <row r="136" spans="1:5" ht="14.25" customHeight="1">
      <c r="A136" s="2">
        <v>1965</v>
      </c>
      <c r="B136" s="1">
        <v>11.50342466</v>
      </c>
      <c r="C136" s="2" t="s">
        <v>99</v>
      </c>
      <c r="D136" s="27">
        <v>58.4</v>
      </c>
      <c r="E136">
        <f t="shared" si="2"/>
        <v>11.503424657534246</v>
      </c>
    </row>
    <row r="137" spans="1:5" ht="14.25" customHeight="1">
      <c r="A137" s="2">
        <v>1966</v>
      </c>
      <c r="B137" s="1">
        <v>11.067545300000001</v>
      </c>
      <c r="C137" s="2" t="s">
        <v>99</v>
      </c>
      <c r="D137" s="27">
        <v>60.7</v>
      </c>
      <c r="E137">
        <f t="shared" si="2"/>
        <v>11.067545304777594</v>
      </c>
    </row>
    <row r="138" spans="1:5" ht="14.25" customHeight="1">
      <c r="A138" s="2">
        <v>1967</v>
      </c>
      <c r="B138" s="1">
        <v>10.78330658</v>
      </c>
      <c r="C138" s="2" t="s">
        <v>99</v>
      </c>
      <c r="D138" s="27">
        <v>62.3</v>
      </c>
      <c r="E138">
        <f t="shared" si="2"/>
        <v>10.78330658105939</v>
      </c>
    </row>
    <row r="139" spans="1:5" ht="14.25" customHeight="1">
      <c r="A139" s="2">
        <v>1968</v>
      </c>
      <c r="B139" s="1">
        <v>10.303680979999999</v>
      </c>
      <c r="C139" s="2" t="s">
        <v>99</v>
      </c>
      <c r="D139" s="27">
        <v>65.2</v>
      </c>
      <c r="E139">
        <f t="shared" si="2"/>
        <v>10.303680981595091</v>
      </c>
    </row>
    <row r="140" spans="1:5" ht="14.25" customHeight="1">
      <c r="A140" s="2">
        <v>1969</v>
      </c>
      <c r="B140" s="1">
        <v>9.7787481799999991</v>
      </c>
      <c r="C140" s="2" t="s">
        <v>99</v>
      </c>
      <c r="D140" s="27">
        <v>68.7</v>
      </c>
      <c r="E140">
        <f t="shared" si="2"/>
        <v>9.7787481804949046</v>
      </c>
    </row>
    <row r="141" spans="1:5" ht="14.25" customHeight="1">
      <c r="A141" s="2">
        <v>1970</v>
      </c>
      <c r="B141" s="1">
        <v>9.1901504789999997</v>
      </c>
      <c r="C141" s="2" t="s">
        <v>99</v>
      </c>
      <c r="D141" s="27">
        <v>73.099999999999994</v>
      </c>
      <c r="E141">
        <f t="shared" si="2"/>
        <v>9.1901504787961699</v>
      </c>
    </row>
    <row r="142" spans="1:5" ht="14.25" customHeight="1">
      <c r="A142" s="2">
        <v>1971</v>
      </c>
      <c r="B142" s="1">
        <v>8.3975000000000009</v>
      </c>
      <c r="C142" s="2" t="s">
        <v>99</v>
      </c>
      <c r="D142" s="27">
        <v>80</v>
      </c>
      <c r="E142">
        <f t="shared" si="2"/>
        <v>8.3974999999999991</v>
      </c>
    </row>
    <row r="143" spans="1:5" ht="14.25" customHeight="1">
      <c r="A143" s="2">
        <v>1972</v>
      </c>
      <c r="B143" s="1">
        <v>7.8389731620000003</v>
      </c>
      <c r="C143" s="2" t="s">
        <v>99</v>
      </c>
      <c r="D143" s="27">
        <v>85.7</v>
      </c>
      <c r="E143">
        <f t="shared" si="2"/>
        <v>7.8389731621936978</v>
      </c>
    </row>
    <row r="144" spans="1:5" ht="14.25" customHeight="1">
      <c r="A144" s="2">
        <v>1973</v>
      </c>
      <c r="B144" s="1">
        <v>7.1850267380000004</v>
      </c>
      <c r="C144" s="2" t="s">
        <v>99</v>
      </c>
      <c r="D144" s="27">
        <v>93.5</v>
      </c>
      <c r="E144">
        <f t="shared" si="2"/>
        <v>7.185026737967914</v>
      </c>
    </row>
    <row r="145" spans="1:5" ht="14.25" customHeight="1">
      <c r="A145" s="2">
        <v>1974</v>
      </c>
      <c r="B145" s="1">
        <v>6.1917050690000002</v>
      </c>
      <c r="C145" s="2" t="s">
        <v>99</v>
      </c>
      <c r="D145" s="27">
        <v>108.5</v>
      </c>
      <c r="E145">
        <f t="shared" si="2"/>
        <v>6.1917050691244233</v>
      </c>
    </row>
    <row r="146" spans="1:5" ht="14.25" customHeight="1">
      <c r="A146" s="2">
        <v>1975</v>
      </c>
      <c r="B146" s="1">
        <v>4.9836795250000003</v>
      </c>
      <c r="C146" s="2" t="s">
        <v>99</v>
      </c>
      <c r="D146" s="27">
        <v>134.80000000000001</v>
      </c>
      <c r="E146">
        <f t="shared" si="2"/>
        <v>4.9836795252225512</v>
      </c>
    </row>
    <row r="147" spans="1:5" ht="14.25" customHeight="1">
      <c r="A147" s="2">
        <v>1976</v>
      </c>
      <c r="B147" s="1">
        <v>4.2762571610000002</v>
      </c>
      <c r="C147" s="2" t="s">
        <v>101</v>
      </c>
      <c r="D147" s="27">
        <v>157.1</v>
      </c>
      <c r="E147">
        <f t="shared" si="2"/>
        <v>4.2762571610439206</v>
      </c>
    </row>
    <row r="148" spans="1:5" ht="14.25" customHeight="1">
      <c r="A148" s="2">
        <v>1977</v>
      </c>
      <c r="B148" s="1">
        <v>3.6912087910000002</v>
      </c>
      <c r="C148" s="2" t="s">
        <v>101</v>
      </c>
      <c r="D148" s="27">
        <v>182</v>
      </c>
      <c r="E148">
        <f t="shared" si="2"/>
        <v>3.691208791208791</v>
      </c>
    </row>
    <row r="149" spans="1:5" ht="14.25" customHeight="1">
      <c r="A149" s="2">
        <v>1978</v>
      </c>
      <c r="B149" s="1">
        <v>3.4084221210000001</v>
      </c>
      <c r="C149" s="2" t="s">
        <v>101</v>
      </c>
      <c r="D149" s="27">
        <v>197.1</v>
      </c>
      <c r="E149">
        <f t="shared" si="2"/>
        <v>3.4084221207508878</v>
      </c>
    </row>
    <row r="150" spans="1:5" ht="14.25" customHeight="1">
      <c r="A150" s="2">
        <v>1979</v>
      </c>
      <c r="B150" s="1">
        <v>3.005816555</v>
      </c>
      <c r="C150" s="2" t="s">
        <v>101</v>
      </c>
      <c r="D150" s="27">
        <v>223.5</v>
      </c>
      <c r="E150">
        <f t="shared" si="2"/>
        <v>3.0058165548098432</v>
      </c>
    </row>
    <row r="151" spans="1:5" ht="14.25" customHeight="1">
      <c r="A151" s="2">
        <v>1980</v>
      </c>
      <c r="B151" s="1">
        <v>2.5475919610000002</v>
      </c>
      <c r="C151" s="2" t="s">
        <v>101</v>
      </c>
      <c r="D151" s="27">
        <v>263.7</v>
      </c>
      <c r="E151">
        <f t="shared" si="2"/>
        <v>2.5475919605612436</v>
      </c>
    </row>
    <row r="152" spans="1:5" ht="14.25" customHeight="1">
      <c r="A152" s="2">
        <v>1981</v>
      </c>
      <c r="B152" s="1">
        <v>2.2772881360000001</v>
      </c>
      <c r="C152" s="2" t="s">
        <v>101</v>
      </c>
      <c r="D152" s="27">
        <v>295</v>
      </c>
      <c r="E152">
        <f t="shared" si="2"/>
        <v>2.2772881355932202</v>
      </c>
    </row>
    <row r="153" spans="1:5" ht="14.25" customHeight="1">
      <c r="A153" s="2">
        <v>1982</v>
      </c>
      <c r="B153" s="1">
        <v>2.0967540570000001</v>
      </c>
      <c r="C153" s="2" t="s">
        <v>101</v>
      </c>
      <c r="D153" s="27">
        <v>320.39999999999998</v>
      </c>
      <c r="E153">
        <f t="shared" si="2"/>
        <v>2.0967540574282149</v>
      </c>
    </row>
    <row r="154" spans="1:5" ht="14.25" customHeight="1">
      <c r="A154" s="2">
        <v>1983</v>
      </c>
      <c r="B154" s="1">
        <v>2.004774694</v>
      </c>
      <c r="C154" s="2" t="s">
        <v>101</v>
      </c>
      <c r="D154" s="27">
        <v>335.1</v>
      </c>
      <c r="E154">
        <f t="shared" si="2"/>
        <v>2.0047746941211577</v>
      </c>
    </row>
    <row r="155" spans="1:5" ht="14.25" customHeight="1">
      <c r="A155" s="2">
        <v>1984</v>
      </c>
      <c r="B155" s="1">
        <v>1.909607732</v>
      </c>
      <c r="C155" s="2" t="s">
        <v>101</v>
      </c>
      <c r="D155" s="27">
        <v>351.8</v>
      </c>
      <c r="E155">
        <f t="shared" si="2"/>
        <v>1.909607731665719</v>
      </c>
    </row>
    <row r="156" spans="1:5" ht="14.25" customHeight="1">
      <c r="A156" s="2">
        <v>1985</v>
      </c>
      <c r="B156" s="1">
        <v>1.800107181</v>
      </c>
      <c r="C156" s="2" t="s">
        <v>101</v>
      </c>
      <c r="D156" s="27">
        <v>373.2</v>
      </c>
      <c r="E156">
        <f t="shared" si="2"/>
        <v>1.80010718113612</v>
      </c>
    </row>
    <row r="157" spans="1:5" ht="14.25" customHeight="1">
      <c r="A157" s="2">
        <v>1986</v>
      </c>
      <c r="B157" s="1">
        <v>1.740865509</v>
      </c>
      <c r="C157" s="2" t="s">
        <v>101</v>
      </c>
      <c r="D157" s="27">
        <v>385.9</v>
      </c>
      <c r="E157">
        <f t="shared" si="2"/>
        <v>1.7408655091992744</v>
      </c>
    </row>
    <row r="158" spans="1:5" ht="14.25" customHeight="1">
      <c r="A158" s="2">
        <v>1987</v>
      </c>
      <c r="B158" s="1">
        <v>1.671144279</v>
      </c>
      <c r="C158" s="2" t="s">
        <v>101</v>
      </c>
      <c r="D158" s="27">
        <v>402</v>
      </c>
      <c r="E158">
        <f t="shared" si="2"/>
        <v>1.671144278606965</v>
      </c>
    </row>
    <row r="159" spans="1:5" ht="14.25" customHeight="1">
      <c r="A159" s="2">
        <v>1988</v>
      </c>
      <c r="B159" s="1">
        <v>1.593075646</v>
      </c>
      <c r="C159" s="2" t="s">
        <v>101</v>
      </c>
      <c r="D159" s="27">
        <v>421.7</v>
      </c>
      <c r="E159">
        <f t="shared" si="2"/>
        <v>1.5930756461939768</v>
      </c>
    </row>
    <row r="160" spans="1:5" ht="14.25" customHeight="1">
      <c r="A160" s="2">
        <v>1989</v>
      </c>
      <c r="B160" s="1">
        <v>1.4781078110000001</v>
      </c>
      <c r="C160" s="2" t="s">
        <v>101</v>
      </c>
      <c r="D160" s="27">
        <v>454.5</v>
      </c>
      <c r="E160">
        <f t="shared" si="2"/>
        <v>1.4781078107810781</v>
      </c>
    </row>
    <row r="161" spans="1:5" ht="14.25" customHeight="1">
      <c r="A161" s="2">
        <v>1990</v>
      </c>
      <c r="B161" s="1">
        <v>1.350351759</v>
      </c>
      <c r="C161" s="2" t="s">
        <v>101</v>
      </c>
      <c r="D161" s="27">
        <v>497.5</v>
      </c>
      <c r="E161">
        <f t="shared" si="2"/>
        <v>1.3503517587939697</v>
      </c>
    </row>
    <row r="162" spans="1:5" ht="14.25" customHeight="1">
      <c r="A162" s="2">
        <v>1991</v>
      </c>
      <c r="B162" s="1">
        <v>1.2754888929999999</v>
      </c>
      <c r="C162" s="2" t="s">
        <v>101</v>
      </c>
      <c r="D162" s="27">
        <v>526.70000000000005</v>
      </c>
      <c r="E162">
        <f t="shared" si="2"/>
        <v>1.275488893108031</v>
      </c>
    </row>
    <row r="163" spans="1:5" ht="14.25" customHeight="1">
      <c r="A163" s="2">
        <v>1992</v>
      </c>
      <c r="B163" s="1">
        <v>1.2295021960000001</v>
      </c>
      <c r="C163" s="2" t="s">
        <v>101</v>
      </c>
      <c r="D163" s="27">
        <v>546.4</v>
      </c>
      <c r="E163">
        <f t="shared" si="2"/>
        <v>1.2295021961932651</v>
      </c>
    </row>
    <row r="164" spans="1:5" ht="14.25" customHeight="1">
      <c r="A164" s="2">
        <v>1993</v>
      </c>
      <c r="B164" s="1">
        <v>1.2102323909999999</v>
      </c>
      <c r="C164" s="2" t="s">
        <v>101</v>
      </c>
      <c r="D164" s="27">
        <v>555.1</v>
      </c>
      <c r="E164">
        <f t="shared" si="2"/>
        <v>1.2102323905602592</v>
      </c>
    </row>
    <row r="165" spans="1:5" ht="14.25" customHeight="1">
      <c r="A165" s="2">
        <v>1994</v>
      </c>
      <c r="B165" s="1">
        <v>1.181706245</v>
      </c>
      <c r="C165" s="2" t="s">
        <v>101</v>
      </c>
      <c r="D165" s="27">
        <v>568.5</v>
      </c>
      <c r="E165">
        <f t="shared" si="2"/>
        <v>1.1817062445030782</v>
      </c>
    </row>
    <row r="166" spans="1:5" ht="14.25" customHeight="1">
      <c r="A166" s="2">
        <v>1995</v>
      </c>
      <c r="B166" s="1">
        <v>1.142128528</v>
      </c>
      <c r="C166" s="2" t="s">
        <v>101</v>
      </c>
      <c r="D166" s="27">
        <v>588.20000000000005</v>
      </c>
      <c r="E166">
        <f t="shared" si="2"/>
        <v>1.1421285277116626</v>
      </c>
    </row>
    <row r="167" spans="1:5" ht="14.25" customHeight="1">
      <c r="A167" s="2">
        <v>1996</v>
      </c>
      <c r="B167" s="1">
        <v>1.115205843</v>
      </c>
      <c r="C167" s="2" t="s">
        <v>101</v>
      </c>
      <c r="D167" s="27">
        <v>602.4</v>
      </c>
      <c r="E167">
        <f t="shared" si="2"/>
        <v>1.1152058432934926</v>
      </c>
    </row>
    <row r="168" spans="1:5" ht="14.25" customHeight="1">
      <c r="A168" s="2">
        <v>1997</v>
      </c>
      <c r="B168" s="1">
        <v>1.0812811849999999</v>
      </c>
      <c r="C168" s="2" t="s">
        <v>101</v>
      </c>
      <c r="D168" s="27">
        <v>621.29999999999995</v>
      </c>
      <c r="E168">
        <f t="shared" si="2"/>
        <v>1.0812811846129085</v>
      </c>
    </row>
    <row r="169" spans="1:5" ht="14.25" customHeight="1">
      <c r="A169" s="2">
        <v>1998</v>
      </c>
      <c r="B169" s="1">
        <v>1.045440398</v>
      </c>
      <c r="C169" s="2" t="s">
        <v>101</v>
      </c>
      <c r="D169" s="27">
        <v>642.6</v>
      </c>
      <c r="E169">
        <f t="shared" si="2"/>
        <v>1.0454403983815748</v>
      </c>
    </row>
    <row r="170" spans="1:5" ht="14.25" customHeight="1">
      <c r="A170" s="2">
        <v>1999</v>
      </c>
      <c r="B170" s="1">
        <v>1.029578544</v>
      </c>
      <c r="C170" s="2" t="s">
        <v>101</v>
      </c>
      <c r="D170" s="27">
        <v>652.5</v>
      </c>
      <c r="E170">
        <f t="shared" si="2"/>
        <v>1.0295785440613026</v>
      </c>
    </row>
    <row r="171" spans="1:5" ht="14.25" customHeight="1">
      <c r="A171" s="2">
        <v>2000</v>
      </c>
      <c r="B171" s="1">
        <v>1</v>
      </c>
      <c r="C171" s="2" t="s">
        <v>101</v>
      </c>
      <c r="D171" s="27">
        <v>671.8</v>
      </c>
      <c r="E171">
        <f t="shared" si="2"/>
        <v>1</v>
      </c>
    </row>
    <row r="172" spans="1:5" ht="14.25" customHeight="1">
      <c r="A172" s="2">
        <v>2001</v>
      </c>
      <c r="B172" s="1">
        <v>0.98259470530000004</v>
      </c>
      <c r="C172" s="2" t="s">
        <v>101</v>
      </c>
      <c r="D172" s="27">
        <v>683.7</v>
      </c>
      <c r="E172">
        <f t="shared" si="2"/>
        <v>0.98259470528009352</v>
      </c>
    </row>
    <row r="173" spans="1:5" ht="14.25" customHeight="1">
      <c r="A173" s="2">
        <v>2002</v>
      </c>
      <c r="B173" s="1">
        <v>0.96647964320000002</v>
      </c>
      <c r="C173" s="2" t="s">
        <v>101</v>
      </c>
      <c r="D173" s="27">
        <v>695.1</v>
      </c>
      <c r="E173">
        <f t="shared" si="2"/>
        <v>0.96647964321680324</v>
      </c>
    </row>
    <row r="174" spans="1:5" ht="14.25" customHeight="1">
      <c r="A174" s="2">
        <v>2003</v>
      </c>
      <c r="B174" s="1">
        <v>0.93931767340000005</v>
      </c>
      <c r="C174" s="2" t="s">
        <v>101</v>
      </c>
      <c r="D174" s="27">
        <v>715.2</v>
      </c>
      <c r="E174">
        <f t="shared" si="2"/>
        <v>0.93931767337807592</v>
      </c>
    </row>
    <row r="175" spans="1:5" ht="14.25" customHeight="1">
      <c r="A175" s="2">
        <v>2004</v>
      </c>
      <c r="B175" s="1">
        <v>0.91215207060000003</v>
      </c>
      <c r="C175" s="2" t="s">
        <v>101</v>
      </c>
      <c r="D175" s="27">
        <v>736.5</v>
      </c>
      <c r="E175">
        <f t="shared" si="2"/>
        <v>0.912152070604209</v>
      </c>
    </row>
    <row r="176" spans="1:5" ht="14.25" customHeight="1">
      <c r="A176" s="2">
        <v>2005</v>
      </c>
      <c r="B176" s="1">
        <v>0.88709890400000002</v>
      </c>
      <c r="C176" s="2" t="s">
        <v>101</v>
      </c>
      <c r="D176" s="27">
        <v>757.3</v>
      </c>
      <c r="E176">
        <f t="shared" si="2"/>
        <v>0.8870989040010564</v>
      </c>
    </row>
    <row r="177" spans="1:5" ht="14.25" customHeight="1">
      <c r="A177" s="2">
        <v>2006</v>
      </c>
      <c r="B177" s="1">
        <v>0.85962891870000002</v>
      </c>
      <c r="C177" s="2" t="s">
        <v>101</v>
      </c>
      <c r="D177" s="27">
        <v>781.5</v>
      </c>
      <c r="E177">
        <f t="shared" si="2"/>
        <v>0.85962891874600122</v>
      </c>
    </row>
    <row r="178" spans="1:5" ht="14.25" customHeight="1">
      <c r="A178" s="2">
        <v>2007</v>
      </c>
      <c r="B178" s="1">
        <v>0.82429447850000004</v>
      </c>
      <c r="C178" s="2" t="s">
        <v>101</v>
      </c>
      <c r="D178" s="27">
        <v>815</v>
      </c>
      <c r="E178">
        <f t="shared" si="2"/>
        <v>0.82429447852760729</v>
      </c>
    </row>
    <row r="179" spans="1:5" ht="14.25" customHeight="1">
      <c r="A179" s="2">
        <v>2008</v>
      </c>
      <c r="B179" s="2">
        <v>0.79268436580000001</v>
      </c>
      <c r="C179" s="2" t="s">
        <v>101</v>
      </c>
      <c r="D179" s="27">
        <v>847.5</v>
      </c>
      <c r="E179">
        <f t="shared" si="2"/>
        <v>0.79268436578171086</v>
      </c>
    </row>
    <row r="180" spans="1:5" ht="14.25" customHeight="1">
      <c r="A180" s="2">
        <v>2009</v>
      </c>
      <c r="B180" s="2">
        <v>0.79691577700000005</v>
      </c>
      <c r="C180" s="2" t="s">
        <v>101</v>
      </c>
      <c r="D180" s="27">
        <v>843</v>
      </c>
      <c r="E180">
        <f t="shared" si="2"/>
        <v>0.79691577698695126</v>
      </c>
    </row>
    <row r="181" spans="1:5" ht="14.25" customHeight="1">
      <c r="A181" s="2">
        <v>2010</v>
      </c>
      <c r="B181" s="2">
        <v>0.76176437239999994</v>
      </c>
      <c r="C181" s="2" t="s">
        <v>101</v>
      </c>
      <c r="D181" s="27">
        <v>881.9</v>
      </c>
      <c r="E181">
        <f t="shared" si="2"/>
        <v>0.76176437237782058</v>
      </c>
    </row>
    <row r="182" spans="1:5" ht="14.25" customHeight="1">
      <c r="A182" s="2">
        <v>2011</v>
      </c>
      <c r="B182" s="2">
        <v>0.72407846519999997</v>
      </c>
      <c r="C182" s="2" t="s">
        <v>101</v>
      </c>
      <c r="D182" s="27">
        <v>927.8</v>
      </c>
      <c r="E182">
        <f t="shared" si="2"/>
        <v>0.72407846518646257</v>
      </c>
    </row>
    <row r="183" spans="1:5" ht="14.25" customHeight="1">
      <c r="A183" s="2">
        <v>2012</v>
      </c>
      <c r="B183" s="2">
        <v>0.70154553050000001</v>
      </c>
      <c r="C183" s="2" t="s">
        <v>101</v>
      </c>
      <c r="D183" s="27">
        <v>957.6</v>
      </c>
      <c r="E183">
        <f t="shared" si="2"/>
        <v>0.70154553049289881</v>
      </c>
    </row>
    <row r="184" spans="1:5" ht="14.25" customHeight="1">
      <c r="A184" s="2">
        <v>2013</v>
      </c>
      <c r="B184" s="2">
        <v>0.68085537650000005</v>
      </c>
      <c r="C184" s="2" t="s">
        <v>101</v>
      </c>
      <c r="D184" s="27">
        <v>986.7</v>
      </c>
      <c r="E184">
        <f t="shared" si="2"/>
        <v>0.68085537650755035</v>
      </c>
    </row>
    <row r="185" spans="1:5" ht="14.25" customHeight="1">
      <c r="A185" s="2">
        <v>2014</v>
      </c>
      <c r="B185" s="2">
        <v>0.66514851490000004</v>
      </c>
      <c r="C185" s="2" t="s">
        <v>101</v>
      </c>
      <c r="D185" s="27">
        <v>1010</v>
      </c>
      <c r="E185">
        <f t="shared" si="2"/>
        <v>0.66514851485148507</v>
      </c>
    </row>
    <row r="186" spans="1:5" ht="14.25" customHeight="1">
      <c r="A186" s="2">
        <v>2015</v>
      </c>
      <c r="B186" s="2">
        <v>0.65862745099999997</v>
      </c>
      <c r="C186" s="2" t="s">
        <v>101</v>
      </c>
      <c r="D186" s="27">
        <v>1020</v>
      </c>
      <c r="E186">
        <f t="shared" si="2"/>
        <v>0.6586274509803921</v>
      </c>
    </row>
    <row r="187" spans="1:5" ht="14.25" customHeight="1">
      <c r="A187" s="2">
        <v>2016</v>
      </c>
      <c r="B187" s="2">
        <v>0.64739327359999999</v>
      </c>
      <c r="C187" s="2" t="s">
        <v>101</v>
      </c>
      <c r="D187" s="27">
        <v>1037.7</v>
      </c>
      <c r="E187">
        <f t="shared" si="2"/>
        <v>0.64739327358581467</v>
      </c>
    </row>
    <row r="188" spans="1:5" ht="14.25" customHeight="1">
      <c r="A188" s="2">
        <v>2017</v>
      </c>
      <c r="B188" s="2">
        <v>0.62498837100000004</v>
      </c>
      <c r="C188" s="2" t="s">
        <v>101</v>
      </c>
      <c r="D188" s="27">
        <v>1074.9000000000001</v>
      </c>
      <c r="E188">
        <f t="shared" si="2"/>
        <v>0.62498837101125682</v>
      </c>
    </row>
    <row r="189" spans="1:5" ht="14.25" customHeight="1">
      <c r="A189" s="2">
        <v>2018</v>
      </c>
      <c r="B189" s="2">
        <v>0.60478934100000004</v>
      </c>
      <c r="C189" s="2" t="s">
        <v>101</v>
      </c>
      <c r="D189" s="27">
        <v>1110.8</v>
      </c>
      <c r="E189">
        <f t="shared" si="2"/>
        <v>0.60478934101548432</v>
      </c>
    </row>
    <row r="190" spans="1:5" ht="14.25" customHeight="1">
      <c r="A190" s="2">
        <v>2019</v>
      </c>
      <c r="B190" s="2">
        <v>0.58966031770000005</v>
      </c>
      <c r="C190" s="2" t="s">
        <v>101</v>
      </c>
      <c r="D190" s="27">
        <v>1139.3</v>
      </c>
      <c r="E190">
        <f t="shared" si="2"/>
        <v>0.58966031773896255</v>
      </c>
    </row>
    <row r="191" spans="1:5" ht="14.25" customHeight="1">
      <c r="A191" s="2">
        <v>2020</v>
      </c>
      <c r="B191" s="1">
        <v>0.58094085090000003</v>
      </c>
      <c r="C191" s="2" t="s">
        <v>101</v>
      </c>
      <c r="D191" s="27">
        <v>1156.4000000000001</v>
      </c>
      <c r="E191">
        <f>$D$171/D191</f>
        <v>0.58094085091663772</v>
      </c>
    </row>
    <row r="192" spans="1:5" ht="14.25" customHeight="1">
      <c r="B192" s="1"/>
    </row>
    <row r="193" spans="2:2" ht="14.25" customHeight="1">
      <c r="B193" s="1"/>
    </row>
    <row r="194" spans="2:2" ht="14.25" customHeight="1">
      <c r="B194" s="1"/>
    </row>
    <row r="195" spans="2:2" ht="14.25" customHeight="1">
      <c r="B195" s="1"/>
    </row>
    <row r="196" spans="2:2" ht="14.25" customHeight="1">
      <c r="B196" s="1"/>
    </row>
    <row r="197" spans="2:2" ht="14.25" customHeight="1">
      <c r="B197" s="1"/>
    </row>
    <row r="198" spans="2:2" ht="14.25" customHeight="1">
      <c r="B198" s="1"/>
    </row>
    <row r="199" spans="2:2" ht="14.25" customHeight="1">
      <c r="B199" s="1"/>
    </row>
    <row r="200" spans="2:2" ht="14.25" customHeight="1">
      <c r="B200" s="1"/>
    </row>
    <row r="201" spans="2:2" ht="14.25" customHeight="1">
      <c r="B201" s="1"/>
    </row>
    <row r="202" spans="2:2" ht="14.25" customHeight="1">
      <c r="B202" s="1"/>
    </row>
    <row r="203" spans="2:2" ht="14.25" customHeight="1">
      <c r="B203" s="1"/>
    </row>
    <row r="204" spans="2:2" ht="14.25" customHeight="1">
      <c r="B204" s="1"/>
    </row>
    <row r="205" spans="2:2" ht="14.25" customHeight="1">
      <c r="B205" s="1"/>
    </row>
    <row r="206" spans="2:2" ht="14.25" customHeight="1">
      <c r="B206" s="1"/>
    </row>
    <row r="207" spans="2:2" ht="14.25" customHeight="1">
      <c r="B207" s="1"/>
    </row>
    <row r="208" spans="2:2" ht="14.25" customHeight="1">
      <c r="B208" s="1"/>
    </row>
    <row r="209" spans="2:2" ht="14.25" customHeight="1">
      <c r="B209" s="1"/>
    </row>
    <row r="210" spans="2:2" ht="14.25" customHeight="1">
      <c r="B210" s="1"/>
    </row>
    <row r="211" spans="2:2" ht="14.25" customHeight="1">
      <c r="B211" s="1"/>
    </row>
    <row r="212" spans="2:2" ht="14.25" customHeight="1">
      <c r="B212" s="1"/>
    </row>
    <row r="213" spans="2:2" ht="14.25" customHeight="1">
      <c r="B213" s="1"/>
    </row>
    <row r="214" spans="2:2" ht="14.25" customHeight="1">
      <c r="B214" s="1"/>
    </row>
    <row r="215" spans="2:2" ht="14.25" customHeight="1">
      <c r="B215" s="1"/>
    </row>
    <row r="216" spans="2:2" ht="14.25" customHeight="1">
      <c r="B216" s="1"/>
    </row>
    <row r="217" spans="2:2" ht="14.25" customHeight="1">
      <c r="B217" s="1"/>
    </row>
    <row r="218" spans="2:2" ht="14.25" customHeight="1">
      <c r="B218" s="1"/>
    </row>
    <row r="219" spans="2:2" ht="14.25" customHeight="1">
      <c r="B219" s="1"/>
    </row>
    <row r="220" spans="2:2" ht="14.25" customHeight="1">
      <c r="B220" s="1"/>
    </row>
    <row r="221" spans="2:2" ht="14.25" customHeight="1">
      <c r="B221" s="1"/>
    </row>
    <row r="222" spans="2:2" ht="14.25" customHeight="1">
      <c r="B222" s="1"/>
    </row>
    <row r="223" spans="2:2" ht="14.25" customHeight="1">
      <c r="B223" s="1"/>
    </row>
    <row r="224" spans="2:2" ht="14.25" customHeight="1">
      <c r="B224" s="1"/>
    </row>
    <row r="225" spans="2:2" ht="14.25" customHeight="1">
      <c r="B225" s="1"/>
    </row>
    <row r="226" spans="2:2" ht="14.25" customHeight="1">
      <c r="B226" s="1"/>
    </row>
    <row r="227" spans="2:2" ht="14.25" customHeight="1">
      <c r="B227" s="1"/>
    </row>
    <row r="228" spans="2:2" ht="14.25" customHeight="1">
      <c r="B228" s="1"/>
    </row>
    <row r="229" spans="2:2" ht="14.25" customHeight="1">
      <c r="B229" s="1"/>
    </row>
    <row r="230" spans="2:2" ht="14.25" customHeight="1">
      <c r="B230" s="1"/>
    </row>
    <row r="231" spans="2:2" ht="14.25" customHeight="1">
      <c r="B231" s="1"/>
    </row>
    <row r="232" spans="2:2" ht="14.25" customHeight="1">
      <c r="B232" s="1"/>
    </row>
    <row r="233" spans="2:2" ht="14.25" customHeight="1">
      <c r="B233" s="1"/>
    </row>
    <row r="234" spans="2:2" ht="14.25" customHeight="1">
      <c r="B234" s="1"/>
    </row>
    <row r="235" spans="2:2" ht="14.25" customHeight="1">
      <c r="B235" s="1"/>
    </row>
    <row r="236" spans="2:2" ht="14.25" customHeight="1">
      <c r="B236" s="1"/>
    </row>
    <row r="237" spans="2:2" ht="14.25" customHeight="1">
      <c r="B237" s="1"/>
    </row>
    <row r="238" spans="2:2" ht="14.25" customHeight="1">
      <c r="B238" s="1"/>
    </row>
    <row r="239" spans="2:2" ht="14.25" customHeight="1">
      <c r="B239" s="1"/>
    </row>
    <row r="240" spans="2:2" ht="14.25" customHeight="1">
      <c r="B240" s="1"/>
    </row>
    <row r="241" spans="2:2" ht="14.25" customHeight="1">
      <c r="B241" s="1"/>
    </row>
    <row r="242" spans="2:2" ht="14.25" customHeight="1">
      <c r="B242" s="1"/>
    </row>
    <row r="243" spans="2:2" ht="14.25" customHeight="1">
      <c r="B243" s="1"/>
    </row>
    <row r="244" spans="2:2" ht="14.25" customHeight="1">
      <c r="B244" s="1"/>
    </row>
    <row r="245" spans="2:2" ht="14.25" customHeight="1">
      <c r="B245" s="1"/>
    </row>
    <row r="246" spans="2:2" ht="14.25" customHeight="1">
      <c r="B246" s="1"/>
    </row>
    <row r="247" spans="2:2" ht="14.25" customHeight="1">
      <c r="B247" s="1"/>
    </row>
    <row r="248" spans="2:2" ht="14.25" customHeight="1">
      <c r="B248" s="1"/>
    </row>
    <row r="249" spans="2:2" ht="14.25" customHeight="1">
      <c r="B249" s="1"/>
    </row>
    <row r="250" spans="2:2" ht="14.25" customHeight="1">
      <c r="B250" s="1"/>
    </row>
    <row r="251" spans="2:2" ht="14.25" customHeight="1">
      <c r="B251" s="1"/>
    </row>
    <row r="252" spans="2:2" ht="14.25" customHeight="1">
      <c r="B252" s="1"/>
    </row>
    <row r="253" spans="2:2" ht="14.25" customHeight="1">
      <c r="B253" s="1"/>
    </row>
    <row r="254" spans="2:2" ht="14.25" customHeight="1">
      <c r="B254" s="1"/>
    </row>
    <row r="255" spans="2:2" ht="14.25" customHeight="1">
      <c r="B255" s="1"/>
    </row>
    <row r="256" spans="2:2" ht="14.25" customHeight="1">
      <c r="B256" s="1"/>
    </row>
    <row r="257" spans="2:2" ht="14.25" customHeight="1">
      <c r="B257" s="1"/>
    </row>
    <row r="258" spans="2:2" ht="14.25" customHeight="1">
      <c r="B258" s="1"/>
    </row>
    <row r="259" spans="2:2" ht="14.25" customHeight="1">
      <c r="B259" s="1"/>
    </row>
    <row r="260" spans="2:2" ht="14.25" customHeight="1">
      <c r="B260" s="1"/>
    </row>
    <row r="261" spans="2:2" ht="14.25" customHeight="1">
      <c r="B261" s="1"/>
    </row>
    <row r="262" spans="2:2" ht="14.25" customHeight="1">
      <c r="B262" s="1"/>
    </row>
    <row r="263" spans="2:2" ht="14.25" customHeight="1">
      <c r="B263" s="1"/>
    </row>
    <row r="264" spans="2:2" ht="14.25" customHeight="1">
      <c r="B264" s="1"/>
    </row>
    <row r="265" spans="2:2" ht="14.25" customHeight="1">
      <c r="B265" s="1"/>
    </row>
    <row r="266" spans="2:2" ht="14.25" customHeight="1">
      <c r="B266" s="1"/>
    </row>
    <row r="267" spans="2:2" ht="14.25" customHeight="1">
      <c r="B267" s="1"/>
    </row>
    <row r="268" spans="2:2" ht="14.25" customHeight="1">
      <c r="B268" s="1"/>
    </row>
    <row r="269" spans="2:2" ht="14.25" customHeight="1">
      <c r="B269" s="1"/>
    </row>
    <row r="270" spans="2:2" ht="14.25" customHeight="1">
      <c r="B270" s="1"/>
    </row>
    <row r="271" spans="2:2" ht="14.25" customHeight="1">
      <c r="B271" s="1"/>
    </row>
    <row r="272" spans="2:2" ht="14.25" customHeight="1">
      <c r="B272" s="1"/>
    </row>
    <row r="273" spans="2:2" ht="14.25" customHeight="1">
      <c r="B273" s="1"/>
    </row>
    <row r="274" spans="2:2" ht="14.25" customHeight="1">
      <c r="B274" s="1"/>
    </row>
    <row r="275" spans="2:2" ht="14.25" customHeight="1">
      <c r="B275" s="1"/>
    </row>
    <row r="276" spans="2:2" ht="14.25" customHeight="1">
      <c r="B276" s="1"/>
    </row>
    <row r="277" spans="2:2" ht="14.25" customHeight="1">
      <c r="B277" s="1"/>
    </row>
    <row r="278" spans="2:2" ht="14.25" customHeight="1">
      <c r="B278" s="1"/>
    </row>
    <row r="279" spans="2:2" ht="14.25" customHeight="1">
      <c r="B279" s="1"/>
    </row>
    <row r="280" spans="2:2" ht="14.25" customHeight="1">
      <c r="B280" s="1"/>
    </row>
    <row r="281" spans="2:2" ht="14.25" customHeight="1">
      <c r="B281" s="1"/>
    </row>
    <row r="282" spans="2:2" ht="14.25" customHeight="1">
      <c r="B282" s="1"/>
    </row>
    <row r="283" spans="2:2" ht="14.25" customHeight="1">
      <c r="B283" s="1"/>
    </row>
    <row r="284" spans="2:2" ht="14.25" customHeight="1">
      <c r="B284" s="1"/>
    </row>
    <row r="285" spans="2:2" ht="14.25" customHeight="1">
      <c r="B285" s="1"/>
    </row>
    <row r="286" spans="2:2" ht="14.25" customHeight="1">
      <c r="B286" s="1"/>
    </row>
    <row r="287" spans="2:2" ht="14.25" customHeight="1">
      <c r="B287" s="1"/>
    </row>
    <row r="288" spans="2:2" ht="14.25" customHeight="1">
      <c r="B288" s="1"/>
    </row>
    <row r="289" spans="2:2" ht="14.25" customHeight="1">
      <c r="B289" s="1"/>
    </row>
    <row r="290" spans="2:2" ht="14.25" customHeight="1">
      <c r="B290" s="1"/>
    </row>
    <row r="291" spans="2:2" ht="14.25" customHeight="1">
      <c r="B291" s="1"/>
    </row>
    <row r="292" spans="2:2" ht="14.25" customHeight="1">
      <c r="B292" s="1"/>
    </row>
    <row r="293" spans="2:2" ht="14.25" customHeight="1">
      <c r="B293" s="1"/>
    </row>
    <row r="294" spans="2:2" ht="14.25" customHeight="1">
      <c r="B294" s="1"/>
    </row>
    <row r="295" spans="2:2" ht="14.25" customHeight="1">
      <c r="B295" s="1"/>
    </row>
    <row r="296" spans="2:2" ht="14.25" customHeight="1">
      <c r="B296" s="1"/>
    </row>
    <row r="297" spans="2:2" ht="14.25" customHeight="1">
      <c r="B297" s="1"/>
    </row>
    <row r="298" spans="2:2" ht="14.25" customHeight="1">
      <c r="B298" s="1"/>
    </row>
    <row r="299" spans="2:2" ht="14.25" customHeight="1">
      <c r="B299" s="1"/>
    </row>
    <row r="300" spans="2:2" ht="14.25" customHeight="1">
      <c r="B300" s="1"/>
    </row>
    <row r="301" spans="2:2" ht="14.25" customHeight="1">
      <c r="B301" s="1"/>
    </row>
    <row r="302" spans="2:2" ht="14.25" customHeight="1">
      <c r="B302" s="1"/>
    </row>
    <row r="303" spans="2:2" ht="14.25" customHeight="1">
      <c r="B303" s="1"/>
    </row>
    <row r="304" spans="2:2" ht="14.25" customHeight="1">
      <c r="B304" s="1"/>
    </row>
    <row r="305" spans="2:2" ht="14.25" customHeight="1">
      <c r="B305" s="1"/>
    </row>
    <row r="306" spans="2:2" ht="14.25" customHeight="1">
      <c r="B306" s="1"/>
    </row>
    <row r="307" spans="2:2" ht="14.25" customHeight="1">
      <c r="B307" s="1"/>
    </row>
    <row r="308" spans="2:2" ht="14.25" customHeight="1">
      <c r="B308" s="1"/>
    </row>
    <row r="309" spans="2:2" ht="14.25" customHeight="1">
      <c r="B309" s="1"/>
    </row>
    <row r="310" spans="2:2" ht="14.25" customHeight="1">
      <c r="B310" s="1"/>
    </row>
    <row r="311" spans="2:2" ht="14.25" customHeight="1">
      <c r="B311" s="1"/>
    </row>
    <row r="312" spans="2:2" ht="14.25" customHeight="1">
      <c r="B312" s="1"/>
    </row>
    <row r="313" spans="2:2" ht="14.25" customHeight="1">
      <c r="B313" s="1"/>
    </row>
    <row r="314" spans="2:2" ht="14.25" customHeight="1">
      <c r="B314" s="1"/>
    </row>
    <row r="315" spans="2:2" ht="14.25" customHeight="1">
      <c r="B315" s="1"/>
    </row>
    <row r="316" spans="2:2" ht="14.25" customHeight="1">
      <c r="B316" s="1"/>
    </row>
    <row r="317" spans="2:2" ht="14.25" customHeight="1">
      <c r="B317" s="1"/>
    </row>
    <row r="318" spans="2:2" ht="14.25" customHeight="1">
      <c r="B318" s="1"/>
    </row>
    <row r="319" spans="2:2" ht="14.25" customHeight="1">
      <c r="B319" s="1"/>
    </row>
    <row r="320" spans="2:2" ht="14.25" customHeight="1">
      <c r="B320" s="1"/>
    </row>
    <row r="321" spans="2:2" ht="14.25" customHeight="1">
      <c r="B321" s="1"/>
    </row>
    <row r="322" spans="2:2" ht="14.25" customHeight="1">
      <c r="B322" s="1"/>
    </row>
    <row r="323" spans="2:2" ht="14.25" customHeight="1">
      <c r="B323" s="1"/>
    </row>
    <row r="324" spans="2:2" ht="14.25" customHeight="1">
      <c r="B324" s="1"/>
    </row>
    <row r="325" spans="2:2" ht="14.25" customHeight="1">
      <c r="B325" s="1"/>
    </row>
    <row r="326" spans="2:2" ht="14.25" customHeight="1">
      <c r="B326" s="1"/>
    </row>
    <row r="327" spans="2:2" ht="14.25" customHeight="1">
      <c r="B327" s="1"/>
    </row>
    <row r="328" spans="2:2" ht="14.25" customHeight="1">
      <c r="B328" s="1"/>
    </row>
    <row r="329" spans="2:2" ht="14.25" customHeight="1">
      <c r="B329" s="1"/>
    </row>
    <row r="330" spans="2:2" ht="14.25" customHeight="1">
      <c r="B330" s="1"/>
    </row>
    <row r="331" spans="2:2" ht="14.25" customHeight="1">
      <c r="B331" s="1"/>
    </row>
    <row r="332" spans="2:2" ht="14.25" customHeight="1">
      <c r="B332" s="1"/>
    </row>
    <row r="333" spans="2:2" ht="14.25" customHeight="1">
      <c r="B333" s="1"/>
    </row>
    <row r="334" spans="2:2" ht="14.25" customHeight="1">
      <c r="B334" s="1"/>
    </row>
    <row r="335" spans="2:2" ht="14.25" customHeight="1">
      <c r="B335" s="1"/>
    </row>
    <row r="336" spans="2:2" ht="14.25" customHeight="1">
      <c r="B336" s="1"/>
    </row>
    <row r="337" spans="2:2" ht="14.25" customHeight="1">
      <c r="B337" s="1"/>
    </row>
    <row r="338" spans="2:2" ht="14.25" customHeight="1">
      <c r="B338" s="1"/>
    </row>
    <row r="339" spans="2:2" ht="14.25" customHeight="1">
      <c r="B339" s="1"/>
    </row>
    <row r="340" spans="2:2" ht="14.25" customHeight="1">
      <c r="B340" s="1"/>
    </row>
    <row r="341" spans="2:2" ht="14.25" customHeight="1">
      <c r="B341" s="1"/>
    </row>
    <row r="342" spans="2:2" ht="14.25" customHeight="1">
      <c r="B342" s="1"/>
    </row>
    <row r="343" spans="2:2" ht="14.25" customHeight="1">
      <c r="B343" s="1"/>
    </row>
    <row r="344" spans="2:2" ht="14.25" customHeight="1">
      <c r="B344" s="1"/>
    </row>
    <row r="345" spans="2:2" ht="14.25" customHeight="1">
      <c r="B345" s="1"/>
    </row>
    <row r="346" spans="2:2" ht="14.25" customHeight="1">
      <c r="B346" s="1"/>
    </row>
    <row r="347" spans="2:2" ht="14.25" customHeight="1">
      <c r="B347" s="1"/>
    </row>
    <row r="348" spans="2:2" ht="14.25" customHeight="1">
      <c r="B348" s="1"/>
    </row>
    <row r="349" spans="2:2" ht="14.25" customHeight="1">
      <c r="B349" s="1"/>
    </row>
    <row r="350" spans="2:2" ht="14.25" customHeight="1">
      <c r="B350" s="1"/>
    </row>
    <row r="351" spans="2:2" ht="14.25" customHeight="1">
      <c r="B351" s="1"/>
    </row>
    <row r="352" spans="2:2" ht="14.25" customHeight="1">
      <c r="B352" s="1"/>
    </row>
    <row r="353" spans="2:2" ht="14.25" customHeight="1">
      <c r="B353" s="1"/>
    </row>
    <row r="354" spans="2:2" ht="14.25" customHeight="1">
      <c r="B354" s="1"/>
    </row>
    <row r="355" spans="2:2" ht="14.25" customHeight="1">
      <c r="B355" s="1"/>
    </row>
    <row r="356" spans="2:2" ht="14.25" customHeight="1">
      <c r="B356" s="1"/>
    </row>
    <row r="357" spans="2:2" ht="14.25" customHeight="1">
      <c r="B357" s="1"/>
    </row>
    <row r="358" spans="2:2" ht="14.25" customHeight="1">
      <c r="B358" s="1"/>
    </row>
    <row r="359" spans="2:2" ht="14.25" customHeight="1">
      <c r="B359" s="1"/>
    </row>
    <row r="360" spans="2:2" ht="14.25" customHeight="1">
      <c r="B360" s="1"/>
    </row>
    <row r="361" spans="2:2" ht="14.25" customHeight="1">
      <c r="B361" s="1"/>
    </row>
    <row r="362" spans="2:2" ht="14.25" customHeight="1">
      <c r="B362" s="1"/>
    </row>
    <row r="363" spans="2:2" ht="14.25" customHeight="1">
      <c r="B363" s="1"/>
    </row>
    <row r="364" spans="2:2" ht="14.25" customHeight="1">
      <c r="B364" s="1"/>
    </row>
    <row r="365" spans="2:2" ht="14.25" customHeight="1">
      <c r="B365" s="1"/>
    </row>
    <row r="366" spans="2:2" ht="14.25" customHeight="1">
      <c r="B366" s="1"/>
    </row>
    <row r="367" spans="2:2" ht="14.25" customHeight="1">
      <c r="B367" s="1"/>
    </row>
    <row r="368" spans="2:2" ht="14.25" customHeight="1">
      <c r="B368" s="1"/>
    </row>
    <row r="369" spans="2:2" ht="14.25" customHeight="1">
      <c r="B369" s="1"/>
    </row>
    <row r="370" spans="2:2" ht="14.25" customHeight="1">
      <c r="B370" s="1"/>
    </row>
    <row r="371" spans="2:2" ht="14.25" customHeight="1">
      <c r="B371" s="1"/>
    </row>
    <row r="372" spans="2:2" ht="14.25" customHeight="1">
      <c r="B372" s="1"/>
    </row>
    <row r="373" spans="2:2" ht="14.25" customHeight="1">
      <c r="B373" s="1"/>
    </row>
    <row r="374" spans="2:2" ht="14.25" customHeight="1">
      <c r="B374" s="1"/>
    </row>
    <row r="375" spans="2:2" ht="14.25" customHeight="1">
      <c r="B375" s="1"/>
    </row>
    <row r="376" spans="2:2" ht="14.25" customHeight="1">
      <c r="B376" s="1"/>
    </row>
    <row r="377" spans="2:2" ht="14.25" customHeight="1">
      <c r="B377" s="1"/>
    </row>
    <row r="378" spans="2:2" ht="14.25" customHeight="1">
      <c r="B378" s="1"/>
    </row>
    <row r="379" spans="2:2" ht="14.25" customHeight="1">
      <c r="B379" s="1"/>
    </row>
    <row r="380" spans="2:2" ht="14.25" customHeight="1">
      <c r="B380" s="1"/>
    </row>
    <row r="381" spans="2:2" ht="14.25" customHeight="1">
      <c r="B381" s="1"/>
    </row>
    <row r="382" spans="2:2" ht="14.25" customHeight="1">
      <c r="B382" s="1"/>
    </row>
    <row r="383" spans="2:2" ht="14.25" customHeight="1">
      <c r="B383" s="1"/>
    </row>
    <row r="384" spans="2:2" ht="14.25" customHeight="1">
      <c r="B384" s="1"/>
    </row>
    <row r="385" spans="2:2" ht="14.25" customHeight="1">
      <c r="B385" s="1"/>
    </row>
    <row r="386" spans="2:2" ht="14.25" customHeight="1">
      <c r="B386" s="1"/>
    </row>
    <row r="387" spans="2:2" ht="14.25" customHeight="1">
      <c r="B387" s="1"/>
    </row>
    <row r="388" spans="2:2" ht="14.25" customHeight="1">
      <c r="B388" s="1"/>
    </row>
    <row r="389" spans="2:2" ht="14.25" customHeight="1">
      <c r="B389" s="1"/>
    </row>
    <row r="390" spans="2:2" ht="14.25" customHeight="1">
      <c r="B390" s="1"/>
    </row>
    <row r="391" spans="2:2" ht="14.25" customHeight="1">
      <c r="B391" s="1"/>
    </row>
    <row r="392" spans="2:2" ht="14.25" customHeight="1">
      <c r="B392" s="1"/>
    </row>
    <row r="393" spans="2:2" ht="14.25" customHeight="1">
      <c r="B393" s="1"/>
    </row>
    <row r="394" spans="2:2" ht="14.25" customHeight="1">
      <c r="B394" s="1"/>
    </row>
    <row r="395" spans="2:2" ht="14.25" customHeight="1">
      <c r="B395" s="1"/>
    </row>
    <row r="396" spans="2:2" ht="14.25" customHeight="1">
      <c r="B396" s="1"/>
    </row>
    <row r="397" spans="2:2" ht="14.25" customHeight="1">
      <c r="B397" s="1"/>
    </row>
    <row r="398" spans="2:2" ht="14.25" customHeight="1">
      <c r="B398" s="1"/>
    </row>
    <row r="399" spans="2:2" ht="14.25" customHeight="1">
      <c r="B399" s="1"/>
    </row>
    <row r="400" spans="2:2" ht="14.25" customHeight="1">
      <c r="B400" s="1"/>
    </row>
    <row r="401" spans="2:2" ht="14.25" customHeight="1">
      <c r="B401" s="1"/>
    </row>
    <row r="402" spans="2:2" ht="14.25" customHeight="1">
      <c r="B402" s="1"/>
    </row>
    <row r="403" spans="2:2" ht="14.25" customHeight="1">
      <c r="B403" s="1"/>
    </row>
    <row r="404" spans="2:2" ht="14.25" customHeight="1">
      <c r="B404" s="1"/>
    </row>
    <row r="405" spans="2:2" ht="14.25" customHeight="1">
      <c r="B405" s="1"/>
    </row>
    <row r="406" spans="2:2" ht="14.25" customHeight="1">
      <c r="B406" s="1"/>
    </row>
    <row r="407" spans="2:2" ht="14.25" customHeight="1">
      <c r="B407" s="1"/>
    </row>
    <row r="408" spans="2:2" ht="14.25" customHeight="1">
      <c r="B408" s="1"/>
    </row>
    <row r="409" spans="2:2" ht="14.25" customHeight="1">
      <c r="B409" s="1"/>
    </row>
    <row r="410" spans="2:2" ht="14.25" customHeight="1">
      <c r="B410" s="1"/>
    </row>
    <row r="411" spans="2:2" ht="14.25" customHeight="1">
      <c r="B411" s="1"/>
    </row>
    <row r="412" spans="2:2" ht="14.25" customHeight="1">
      <c r="B412" s="1"/>
    </row>
    <row r="413" spans="2:2" ht="14.25" customHeight="1">
      <c r="B413" s="1"/>
    </row>
    <row r="414" spans="2:2" ht="14.25" customHeight="1">
      <c r="B414" s="1"/>
    </row>
    <row r="415" spans="2:2" ht="14.25" customHeight="1">
      <c r="B415" s="1"/>
    </row>
    <row r="416" spans="2:2" ht="14.25" customHeight="1">
      <c r="B416" s="1"/>
    </row>
    <row r="417" spans="2:2" ht="14.25" customHeight="1">
      <c r="B417" s="1"/>
    </row>
    <row r="418" spans="2:2" ht="14.25" customHeight="1">
      <c r="B418" s="1"/>
    </row>
    <row r="419" spans="2:2" ht="14.25" customHeight="1">
      <c r="B419" s="1"/>
    </row>
    <row r="420" spans="2:2" ht="14.25" customHeight="1">
      <c r="B420" s="1"/>
    </row>
    <row r="421" spans="2:2" ht="14.25" customHeight="1">
      <c r="B421" s="1"/>
    </row>
    <row r="422" spans="2:2" ht="14.25" customHeight="1">
      <c r="B422" s="1"/>
    </row>
    <row r="423" spans="2:2" ht="14.25" customHeight="1">
      <c r="B423" s="1"/>
    </row>
    <row r="424" spans="2:2" ht="14.25" customHeight="1">
      <c r="B424" s="1"/>
    </row>
    <row r="425" spans="2:2" ht="14.25" customHeight="1">
      <c r="B425" s="1"/>
    </row>
    <row r="426" spans="2:2" ht="14.25" customHeight="1">
      <c r="B426" s="1"/>
    </row>
    <row r="427" spans="2:2" ht="14.25" customHeight="1">
      <c r="B427" s="1"/>
    </row>
    <row r="428" spans="2:2" ht="14.25" customHeight="1">
      <c r="B428" s="1"/>
    </row>
    <row r="429" spans="2:2" ht="14.25" customHeight="1">
      <c r="B429" s="1"/>
    </row>
    <row r="430" spans="2:2" ht="14.25" customHeight="1">
      <c r="B430" s="1"/>
    </row>
    <row r="431" spans="2:2" ht="14.25" customHeight="1">
      <c r="B431" s="1"/>
    </row>
    <row r="432" spans="2:2" ht="14.25" customHeight="1">
      <c r="B432" s="1"/>
    </row>
    <row r="433" spans="2:2" ht="14.25" customHeight="1">
      <c r="B433" s="1"/>
    </row>
    <row r="434" spans="2:2" ht="14.25" customHeight="1">
      <c r="B434" s="1"/>
    </row>
    <row r="435" spans="2:2" ht="14.25" customHeight="1">
      <c r="B435" s="1"/>
    </row>
    <row r="436" spans="2:2" ht="14.25" customHeight="1">
      <c r="B436" s="1"/>
    </row>
    <row r="437" spans="2:2" ht="14.25" customHeight="1">
      <c r="B437" s="1"/>
    </row>
    <row r="438" spans="2:2" ht="14.25" customHeight="1">
      <c r="B438" s="1"/>
    </row>
    <row r="439" spans="2:2" ht="14.25" customHeight="1">
      <c r="B439" s="1"/>
    </row>
    <row r="440" spans="2:2" ht="14.25" customHeight="1">
      <c r="B440" s="1"/>
    </row>
    <row r="441" spans="2:2" ht="14.25" customHeight="1">
      <c r="B441" s="1"/>
    </row>
    <row r="442" spans="2:2" ht="14.25" customHeight="1">
      <c r="B442" s="1"/>
    </row>
    <row r="443" spans="2:2" ht="14.25" customHeight="1">
      <c r="B443" s="1"/>
    </row>
    <row r="444" spans="2:2" ht="14.25" customHeight="1">
      <c r="B444" s="1"/>
    </row>
    <row r="445" spans="2:2" ht="14.25" customHeight="1">
      <c r="B445" s="1"/>
    </row>
    <row r="446" spans="2:2" ht="14.25" customHeight="1">
      <c r="B446" s="1"/>
    </row>
    <row r="447" spans="2:2" ht="14.25" customHeight="1">
      <c r="B447" s="1"/>
    </row>
    <row r="448" spans="2:2" ht="14.25" customHeight="1">
      <c r="B448" s="1"/>
    </row>
    <row r="449" spans="2:2" ht="14.25" customHeight="1">
      <c r="B449" s="1"/>
    </row>
    <row r="450" spans="2:2" ht="14.25" customHeight="1">
      <c r="B450" s="1"/>
    </row>
    <row r="451" spans="2:2" ht="14.25" customHeight="1">
      <c r="B451" s="1"/>
    </row>
    <row r="452" spans="2:2" ht="14.25" customHeight="1">
      <c r="B452" s="1"/>
    </row>
    <row r="453" spans="2:2" ht="14.25" customHeight="1">
      <c r="B453" s="1"/>
    </row>
    <row r="454" spans="2:2" ht="14.25" customHeight="1">
      <c r="B454" s="1"/>
    </row>
    <row r="455" spans="2:2" ht="14.25" customHeight="1">
      <c r="B455" s="1"/>
    </row>
    <row r="456" spans="2:2" ht="14.25" customHeight="1">
      <c r="B456" s="1"/>
    </row>
    <row r="457" spans="2:2" ht="14.25" customHeight="1">
      <c r="B457" s="1"/>
    </row>
    <row r="458" spans="2:2" ht="14.25" customHeight="1">
      <c r="B458" s="1"/>
    </row>
    <row r="459" spans="2:2" ht="14.25" customHeight="1">
      <c r="B459" s="1"/>
    </row>
    <row r="460" spans="2:2" ht="14.25" customHeight="1">
      <c r="B460" s="1"/>
    </row>
    <row r="461" spans="2:2" ht="14.25" customHeight="1">
      <c r="B461" s="1"/>
    </row>
    <row r="462" spans="2:2" ht="14.25" customHeight="1">
      <c r="B462" s="1"/>
    </row>
    <row r="463" spans="2:2" ht="14.25" customHeight="1">
      <c r="B463" s="1"/>
    </row>
    <row r="464" spans="2:2" ht="14.25" customHeight="1">
      <c r="B464" s="1"/>
    </row>
    <row r="465" spans="2:2" ht="14.25" customHeight="1">
      <c r="B465" s="1"/>
    </row>
    <row r="466" spans="2:2" ht="14.25" customHeight="1">
      <c r="B466" s="1"/>
    </row>
    <row r="467" spans="2:2" ht="14.25" customHeight="1">
      <c r="B467" s="1"/>
    </row>
    <row r="468" spans="2:2" ht="14.25" customHeight="1">
      <c r="B468" s="1"/>
    </row>
    <row r="469" spans="2:2" ht="14.25" customHeight="1">
      <c r="B469" s="1"/>
    </row>
    <row r="470" spans="2:2" ht="14.25" customHeight="1">
      <c r="B470" s="1"/>
    </row>
    <row r="471" spans="2:2" ht="14.25" customHeight="1">
      <c r="B471" s="1"/>
    </row>
    <row r="472" spans="2:2" ht="14.25" customHeight="1">
      <c r="B472" s="1"/>
    </row>
    <row r="473" spans="2:2" ht="14.25" customHeight="1">
      <c r="B473" s="1"/>
    </row>
    <row r="474" spans="2:2" ht="14.25" customHeight="1">
      <c r="B474" s="1"/>
    </row>
    <row r="475" spans="2:2" ht="14.25" customHeight="1">
      <c r="B475" s="1"/>
    </row>
    <row r="476" spans="2:2" ht="14.25" customHeight="1">
      <c r="B476" s="1"/>
    </row>
    <row r="477" spans="2:2" ht="14.25" customHeight="1">
      <c r="B477" s="1"/>
    </row>
    <row r="478" spans="2:2" ht="14.25" customHeight="1">
      <c r="B478" s="1"/>
    </row>
    <row r="479" spans="2:2" ht="14.25" customHeight="1">
      <c r="B479" s="1"/>
    </row>
    <row r="480" spans="2:2" ht="14.25" customHeight="1">
      <c r="B480" s="1"/>
    </row>
    <row r="481" spans="2:2" ht="14.25" customHeight="1">
      <c r="B481" s="1"/>
    </row>
    <row r="482" spans="2:2" ht="14.25" customHeight="1">
      <c r="B482" s="1"/>
    </row>
    <row r="483" spans="2:2" ht="14.25" customHeight="1">
      <c r="B483" s="1"/>
    </row>
    <row r="484" spans="2:2" ht="14.25" customHeight="1">
      <c r="B484" s="1"/>
    </row>
    <row r="485" spans="2:2" ht="14.25" customHeight="1">
      <c r="B485" s="1"/>
    </row>
    <row r="486" spans="2:2" ht="14.25" customHeight="1">
      <c r="B486" s="1"/>
    </row>
    <row r="487" spans="2:2" ht="14.25" customHeight="1">
      <c r="B487" s="1"/>
    </row>
    <row r="488" spans="2:2" ht="14.25" customHeight="1">
      <c r="B488" s="1"/>
    </row>
    <row r="489" spans="2:2" ht="14.25" customHeight="1">
      <c r="B489" s="1"/>
    </row>
    <row r="490" spans="2:2" ht="14.25" customHeight="1">
      <c r="B490" s="1"/>
    </row>
    <row r="491" spans="2:2" ht="14.25" customHeight="1">
      <c r="B491" s="1"/>
    </row>
    <row r="492" spans="2:2" ht="14.25" customHeight="1">
      <c r="B492" s="1"/>
    </row>
    <row r="493" spans="2:2" ht="14.25" customHeight="1">
      <c r="B493" s="1"/>
    </row>
    <row r="494" spans="2:2" ht="14.25" customHeight="1">
      <c r="B494" s="1"/>
    </row>
    <row r="495" spans="2:2" ht="14.25" customHeight="1">
      <c r="B495" s="1"/>
    </row>
    <row r="496" spans="2:2" ht="14.25" customHeight="1">
      <c r="B496" s="1"/>
    </row>
    <row r="497" spans="2:2" ht="14.25" customHeight="1">
      <c r="B497" s="1"/>
    </row>
    <row r="498" spans="2:2" ht="14.25" customHeight="1">
      <c r="B498" s="1"/>
    </row>
    <row r="499" spans="2:2" ht="14.25" customHeight="1">
      <c r="B499" s="1"/>
    </row>
    <row r="500" spans="2:2" ht="14.25" customHeight="1">
      <c r="B500" s="1"/>
    </row>
    <row r="501" spans="2:2" ht="14.25" customHeight="1">
      <c r="B501" s="1"/>
    </row>
    <row r="502" spans="2:2" ht="14.25" customHeight="1">
      <c r="B502" s="1"/>
    </row>
    <row r="503" spans="2:2" ht="14.25" customHeight="1">
      <c r="B503" s="1"/>
    </row>
    <row r="504" spans="2:2" ht="14.25" customHeight="1">
      <c r="B504" s="1"/>
    </row>
    <row r="505" spans="2:2" ht="14.25" customHeight="1">
      <c r="B505" s="1"/>
    </row>
    <row r="506" spans="2:2" ht="14.25" customHeight="1">
      <c r="B506" s="1"/>
    </row>
    <row r="507" spans="2:2" ht="14.25" customHeight="1">
      <c r="B507" s="1"/>
    </row>
    <row r="508" spans="2:2" ht="14.25" customHeight="1">
      <c r="B508" s="1"/>
    </row>
    <row r="509" spans="2:2" ht="14.25" customHeight="1">
      <c r="B509" s="1"/>
    </row>
    <row r="510" spans="2:2" ht="14.25" customHeight="1">
      <c r="B510" s="1"/>
    </row>
    <row r="511" spans="2:2" ht="14.25" customHeight="1">
      <c r="B511" s="1"/>
    </row>
    <row r="512" spans="2:2" ht="14.25" customHeight="1">
      <c r="B512" s="1"/>
    </row>
    <row r="513" spans="2:2" ht="14.25" customHeight="1">
      <c r="B513" s="1"/>
    </row>
    <row r="514" spans="2:2" ht="14.25" customHeight="1">
      <c r="B514" s="1"/>
    </row>
    <row r="515" spans="2:2" ht="14.25" customHeight="1">
      <c r="B515" s="1"/>
    </row>
    <row r="516" spans="2:2" ht="14.25" customHeight="1">
      <c r="B516" s="1"/>
    </row>
    <row r="517" spans="2:2" ht="14.25" customHeight="1">
      <c r="B517" s="1"/>
    </row>
    <row r="518" spans="2:2" ht="14.25" customHeight="1">
      <c r="B518" s="1"/>
    </row>
    <row r="519" spans="2:2" ht="14.25" customHeight="1">
      <c r="B519" s="1"/>
    </row>
    <row r="520" spans="2:2" ht="14.25" customHeight="1">
      <c r="B520" s="1"/>
    </row>
    <row r="521" spans="2:2" ht="14.25" customHeight="1">
      <c r="B521" s="1"/>
    </row>
    <row r="522" spans="2:2" ht="14.25" customHeight="1">
      <c r="B522" s="1"/>
    </row>
    <row r="523" spans="2:2" ht="14.25" customHeight="1">
      <c r="B523" s="1"/>
    </row>
    <row r="524" spans="2:2" ht="14.25" customHeight="1">
      <c r="B524" s="1"/>
    </row>
    <row r="525" spans="2:2" ht="14.25" customHeight="1">
      <c r="B525" s="1"/>
    </row>
    <row r="526" spans="2:2" ht="14.25" customHeight="1">
      <c r="B526" s="1"/>
    </row>
    <row r="527" spans="2:2" ht="14.25" customHeight="1">
      <c r="B527" s="1"/>
    </row>
    <row r="528" spans="2:2" ht="14.25" customHeight="1">
      <c r="B528" s="1"/>
    </row>
    <row r="529" spans="2:2" ht="14.25" customHeight="1">
      <c r="B529" s="1"/>
    </row>
    <row r="530" spans="2:2" ht="14.25" customHeight="1">
      <c r="B530" s="1"/>
    </row>
    <row r="531" spans="2:2" ht="14.25" customHeight="1">
      <c r="B531" s="1"/>
    </row>
    <row r="532" spans="2:2" ht="14.25" customHeight="1">
      <c r="B532" s="1"/>
    </row>
    <row r="533" spans="2:2" ht="14.25" customHeight="1">
      <c r="B533" s="1"/>
    </row>
    <row r="534" spans="2:2" ht="14.25" customHeight="1">
      <c r="B534" s="1"/>
    </row>
    <row r="535" spans="2:2" ht="14.25" customHeight="1">
      <c r="B535" s="1"/>
    </row>
    <row r="536" spans="2:2" ht="14.25" customHeight="1">
      <c r="B536" s="1"/>
    </row>
    <row r="537" spans="2:2" ht="14.25" customHeight="1">
      <c r="B537" s="1"/>
    </row>
    <row r="538" spans="2:2" ht="14.25" customHeight="1">
      <c r="B538" s="1"/>
    </row>
    <row r="539" spans="2:2" ht="14.25" customHeight="1">
      <c r="B539" s="1"/>
    </row>
    <row r="540" spans="2:2" ht="14.25" customHeight="1">
      <c r="B540" s="1"/>
    </row>
    <row r="541" spans="2:2" ht="14.25" customHeight="1">
      <c r="B541" s="1"/>
    </row>
    <row r="542" spans="2:2" ht="14.25" customHeight="1">
      <c r="B542" s="1"/>
    </row>
    <row r="543" spans="2:2" ht="14.25" customHeight="1">
      <c r="B543" s="1"/>
    </row>
    <row r="544" spans="2:2" ht="14.25" customHeight="1">
      <c r="B544" s="1"/>
    </row>
    <row r="545" spans="2:2" ht="14.25" customHeight="1">
      <c r="B545" s="1"/>
    </row>
    <row r="546" spans="2:2" ht="14.25" customHeight="1">
      <c r="B546" s="1"/>
    </row>
    <row r="547" spans="2:2" ht="14.25" customHeight="1">
      <c r="B547" s="1"/>
    </row>
    <row r="548" spans="2:2" ht="14.25" customHeight="1">
      <c r="B548" s="1"/>
    </row>
    <row r="549" spans="2:2" ht="14.25" customHeight="1">
      <c r="B549" s="1"/>
    </row>
    <row r="550" spans="2:2" ht="14.25" customHeight="1">
      <c r="B550" s="1"/>
    </row>
    <row r="551" spans="2:2" ht="14.25" customHeight="1">
      <c r="B551" s="1"/>
    </row>
    <row r="552" spans="2:2" ht="14.25" customHeight="1">
      <c r="B552" s="1"/>
    </row>
    <row r="553" spans="2:2" ht="14.25" customHeight="1">
      <c r="B553" s="1"/>
    </row>
    <row r="554" spans="2:2" ht="14.25" customHeight="1">
      <c r="B554" s="1"/>
    </row>
    <row r="555" spans="2:2" ht="14.25" customHeight="1">
      <c r="B555" s="1"/>
    </row>
    <row r="556" spans="2:2" ht="14.25" customHeight="1">
      <c r="B556" s="1"/>
    </row>
    <row r="557" spans="2:2" ht="14.25" customHeight="1">
      <c r="B557" s="1"/>
    </row>
    <row r="558" spans="2:2" ht="14.25" customHeight="1">
      <c r="B558" s="1"/>
    </row>
    <row r="559" spans="2:2" ht="14.25" customHeight="1">
      <c r="B559" s="1"/>
    </row>
    <row r="560" spans="2:2" ht="14.25" customHeight="1">
      <c r="B560" s="1"/>
    </row>
    <row r="561" spans="2:2" ht="14.25" customHeight="1">
      <c r="B561" s="1"/>
    </row>
    <row r="562" spans="2:2" ht="14.25" customHeight="1">
      <c r="B562" s="1"/>
    </row>
    <row r="563" spans="2:2" ht="14.25" customHeight="1">
      <c r="B563" s="1"/>
    </row>
    <row r="564" spans="2:2" ht="14.25" customHeight="1">
      <c r="B564" s="1"/>
    </row>
    <row r="565" spans="2:2" ht="14.25" customHeight="1">
      <c r="B565" s="1"/>
    </row>
    <row r="566" spans="2:2" ht="14.25" customHeight="1">
      <c r="B566" s="1"/>
    </row>
    <row r="567" spans="2:2" ht="14.25" customHeight="1">
      <c r="B567" s="1"/>
    </row>
    <row r="568" spans="2:2" ht="14.25" customHeight="1">
      <c r="B568" s="1"/>
    </row>
    <row r="569" spans="2:2" ht="14.25" customHeight="1">
      <c r="B569" s="1"/>
    </row>
    <row r="570" spans="2:2" ht="14.25" customHeight="1">
      <c r="B570" s="1"/>
    </row>
    <row r="571" spans="2:2" ht="14.25" customHeight="1">
      <c r="B571" s="1"/>
    </row>
    <row r="572" spans="2:2" ht="14.25" customHeight="1">
      <c r="B572" s="1"/>
    </row>
    <row r="573" spans="2:2" ht="14.25" customHeight="1">
      <c r="B573" s="1"/>
    </row>
    <row r="574" spans="2:2" ht="14.25" customHeight="1">
      <c r="B574" s="1"/>
    </row>
    <row r="575" spans="2:2" ht="14.25" customHeight="1">
      <c r="B575" s="1"/>
    </row>
    <row r="576" spans="2:2" ht="14.25" customHeight="1">
      <c r="B576" s="1"/>
    </row>
    <row r="577" spans="2:2" ht="14.25" customHeight="1">
      <c r="B577" s="1"/>
    </row>
    <row r="578" spans="2:2" ht="14.25" customHeight="1">
      <c r="B578" s="1"/>
    </row>
    <row r="579" spans="2:2" ht="14.25" customHeight="1">
      <c r="B579" s="1"/>
    </row>
    <row r="580" spans="2:2" ht="14.25" customHeight="1">
      <c r="B580" s="1"/>
    </row>
    <row r="581" spans="2:2" ht="14.25" customHeight="1">
      <c r="B581" s="1"/>
    </row>
    <row r="582" spans="2:2" ht="14.25" customHeight="1">
      <c r="B582" s="1"/>
    </row>
    <row r="583" spans="2:2" ht="14.25" customHeight="1">
      <c r="B583" s="1"/>
    </row>
    <row r="584" spans="2:2" ht="14.25" customHeight="1">
      <c r="B584" s="1"/>
    </row>
    <row r="585" spans="2:2" ht="14.25" customHeight="1">
      <c r="B585" s="1"/>
    </row>
    <row r="586" spans="2:2" ht="14.25" customHeight="1">
      <c r="B586" s="1"/>
    </row>
    <row r="587" spans="2:2" ht="14.25" customHeight="1">
      <c r="B587" s="1"/>
    </row>
    <row r="588" spans="2:2" ht="14.25" customHeight="1">
      <c r="B588" s="1"/>
    </row>
    <row r="589" spans="2:2" ht="14.25" customHeight="1">
      <c r="B589" s="1"/>
    </row>
    <row r="590" spans="2:2" ht="14.25" customHeight="1">
      <c r="B590" s="1"/>
    </row>
    <row r="591" spans="2:2" ht="14.25" customHeight="1">
      <c r="B591" s="1"/>
    </row>
    <row r="592" spans="2:2" ht="14.25" customHeight="1">
      <c r="B592" s="1"/>
    </row>
    <row r="593" spans="2:2" ht="14.25" customHeight="1">
      <c r="B593" s="1"/>
    </row>
    <row r="594" spans="2:2" ht="14.25" customHeight="1">
      <c r="B594" s="1"/>
    </row>
    <row r="595" spans="2:2" ht="14.25" customHeight="1">
      <c r="B595" s="1"/>
    </row>
    <row r="596" spans="2:2" ht="14.25" customHeight="1">
      <c r="B596" s="1"/>
    </row>
    <row r="597" spans="2:2" ht="14.25" customHeight="1">
      <c r="B597" s="1"/>
    </row>
    <row r="598" spans="2:2" ht="14.25" customHeight="1">
      <c r="B598" s="1"/>
    </row>
    <row r="599" spans="2:2" ht="14.25" customHeight="1">
      <c r="B599" s="1"/>
    </row>
    <row r="600" spans="2:2" ht="14.25" customHeight="1">
      <c r="B600" s="1"/>
    </row>
    <row r="601" spans="2:2" ht="14.25" customHeight="1">
      <c r="B601" s="1"/>
    </row>
    <row r="602" spans="2:2" ht="14.25" customHeight="1">
      <c r="B602" s="1"/>
    </row>
    <row r="603" spans="2:2" ht="14.25" customHeight="1">
      <c r="B603" s="1"/>
    </row>
    <row r="604" spans="2:2" ht="14.25" customHeight="1">
      <c r="B604" s="1"/>
    </row>
    <row r="605" spans="2:2" ht="14.25" customHeight="1">
      <c r="B605" s="1"/>
    </row>
    <row r="606" spans="2:2" ht="14.25" customHeight="1">
      <c r="B606" s="1"/>
    </row>
    <row r="607" spans="2:2" ht="14.25" customHeight="1">
      <c r="B607" s="1"/>
    </row>
    <row r="608" spans="2:2" ht="14.25" customHeight="1">
      <c r="B608" s="1"/>
    </row>
    <row r="609" spans="2:2" ht="14.25" customHeight="1">
      <c r="B609" s="1"/>
    </row>
    <row r="610" spans="2:2" ht="14.25" customHeight="1">
      <c r="B610" s="1"/>
    </row>
    <row r="611" spans="2:2" ht="14.25" customHeight="1">
      <c r="B611" s="1"/>
    </row>
    <row r="612" spans="2:2" ht="14.25" customHeight="1">
      <c r="B612" s="1"/>
    </row>
    <row r="613" spans="2:2" ht="14.25" customHeight="1">
      <c r="B613" s="1"/>
    </row>
    <row r="614" spans="2:2" ht="14.25" customHeight="1">
      <c r="B614" s="1"/>
    </row>
    <row r="615" spans="2:2" ht="14.25" customHeight="1">
      <c r="B615" s="1"/>
    </row>
    <row r="616" spans="2:2" ht="14.25" customHeight="1">
      <c r="B616" s="1"/>
    </row>
    <row r="617" spans="2:2" ht="14.25" customHeight="1">
      <c r="B617" s="1"/>
    </row>
    <row r="618" spans="2:2" ht="14.25" customHeight="1">
      <c r="B618" s="1"/>
    </row>
    <row r="619" spans="2:2" ht="14.25" customHeight="1">
      <c r="B619" s="1"/>
    </row>
    <row r="620" spans="2:2" ht="14.25" customHeight="1">
      <c r="B620" s="1"/>
    </row>
    <row r="621" spans="2:2" ht="14.25" customHeight="1">
      <c r="B621" s="1"/>
    </row>
    <row r="622" spans="2:2" ht="14.25" customHeight="1">
      <c r="B622" s="1"/>
    </row>
    <row r="623" spans="2:2" ht="14.25" customHeight="1">
      <c r="B623" s="1"/>
    </row>
    <row r="624" spans="2:2" ht="14.25" customHeight="1">
      <c r="B624" s="1"/>
    </row>
    <row r="625" spans="2:2" ht="14.25" customHeight="1">
      <c r="B625" s="1"/>
    </row>
    <row r="626" spans="2:2" ht="14.25" customHeight="1">
      <c r="B626" s="1"/>
    </row>
    <row r="627" spans="2:2" ht="14.25" customHeight="1">
      <c r="B627" s="1"/>
    </row>
    <row r="628" spans="2:2" ht="14.25" customHeight="1">
      <c r="B628" s="1"/>
    </row>
    <row r="629" spans="2:2" ht="14.25" customHeight="1">
      <c r="B629" s="1"/>
    </row>
    <row r="630" spans="2:2" ht="14.25" customHeight="1">
      <c r="B630" s="1"/>
    </row>
    <row r="631" spans="2:2" ht="14.25" customHeight="1">
      <c r="B631" s="1"/>
    </row>
    <row r="632" spans="2:2" ht="14.25" customHeight="1">
      <c r="B632" s="1"/>
    </row>
    <row r="633" spans="2:2" ht="14.25" customHeight="1">
      <c r="B633" s="1"/>
    </row>
    <row r="634" spans="2:2" ht="14.25" customHeight="1">
      <c r="B634" s="1"/>
    </row>
    <row r="635" spans="2:2" ht="14.25" customHeight="1">
      <c r="B635" s="1"/>
    </row>
    <row r="636" spans="2:2" ht="14.25" customHeight="1">
      <c r="B636" s="1"/>
    </row>
    <row r="637" spans="2:2" ht="14.25" customHeight="1">
      <c r="B637" s="1"/>
    </row>
    <row r="638" spans="2:2" ht="14.25" customHeight="1">
      <c r="B638" s="1"/>
    </row>
    <row r="639" spans="2:2" ht="14.25" customHeight="1">
      <c r="B639" s="1"/>
    </row>
    <row r="640" spans="2:2" ht="14.25" customHeight="1">
      <c r="B640" s="1"/>
    </row>
    <row r="641" spans="2:2" ht="14.25" customHeight="1">
      <c r="B641" s="1"/>
    </row>
    <row r="642" spans="2:2" ht="14.25" customHeight="1">
      <c r="B642" s="1"/>
    </row>
    <row r="643" spans="2:2" ht="14.25" customHeight="1">
      <c r="B643" s="1"/>
    </row>
    <row r="644" spans="2:2" ht="14.25" customHeight="1">
      <c r="B644" s="1"/>
    </row>
    <row r="645" spans="2:2" ht="14.25" customHeight="1">
      <c r="B645" s="1"/>
    </row>
    <row r="646" spans="2:2" ht="14.25" customHeight="1">
      <c r="B646" s="1"/>
    </row>
    <row r="647" spans="2:2" ht="14.25" customHeight="1">
      <c r="B647" s="1"/>
    </row>
    <row r="648" spans="2:2" ht="14.25" customHeight="1">
      <c r="B648" s="1"/>
    </row>
    <row r="649" spans="2:2" ht="14.25" customHeight="1">
      <c r="B649" s="1"/>
    </row>
    <row r="650" spans="2:2" ht="14.25" customHeight="1">
      <c r="B650" s="1"/>
    </row>
    <row r="651" spans="2:2" ht="14.25" customHeight="1">
      <c r="B651" s="1"/>
    </row>
    <row r="652" spans="2:2" ht="14.25" customHeight="1">
      <c r="B652" s="1"/>
    </row>
    <row r="653" spans="2:2" ht="14.25" customHeight="1">
      <c r="B653" s="1"/>
    </row>
    <row r="654" spans="2:2" ht="14.25" customHeight="1">
      <c r="B654" s="1"/>
    </row>
    <row r="655" spans="2:2" ht="14.25" customHeight="1">
      <c r="B655" s="1"/>
    </row>
    <row r="656" spans="2:2" ht="14.25" customHeight="1">
      <c r="B656" s="1"/>
    </row>
    <row r="657" spans="2:2" ht="14.25" customHeight="1">
      <c r="B657" s="1"/>
    </row>
    <row r="658" spans="2:2" ht="14.25" customHeight="1">
      <c r="B658" s="1"/>
    </row>
    <row r="659" spans="2:2" ht="14.25" customHeight="1">
      <c r="B659" s="1"/>
    </row>
    <row r="660" spans="2:2" ht="14.25" customHeight="1">
      <c r="B660" s="1"/>
    </row>
    <row r="661" spans="2:2" ht="14.25" customHeight="1">
      <c r="B661" s="1"/>
    </row>
    <row r="662" spans="2:2" ht="14.25" customHeight="1">
      <c r="B662" s="1"/>
    </row>
    <row r="663" spans="2:2" ht="14.25" customHeight="1">
      <c r="B663" s="1"/>
    </row>
    <row r="664" spans="2:2" ht="14.25" customHeight="1">
      <c r="B664" s="1"/>
    </row>
    <row r="665" spans="2:2" ht="14.25" customHeight="1">
      <c r="B665" s="1"/>
    </row>
    <row r="666" spans="2:2" ht="14.25" customHeight="1">
      <c r="B666" s="1"/>
    </row>
    <row r="667" spans="2:2" ht="14.25" customHeight="1">
      <c r="B667" s="1"/>
    </row>
    <row r="668" spans="2:2" ht="14.25" customHeight="1">
      <c r="B668" s="1"/>
    </row>
    <row r="669" spans="2:2" ht="14.25" customHeight="1">
      <c r="B669" s="1"/>
    </row>
    <row r="670" spans="2:2" ht="14.25" customHeight="1">
      <c r="B670" s="1"/>
    </row>
    <row r="671" spans="2:2" ht="14.25" customHeight="1">
      <c r="B671" s="1"/>
    </row>
    <row r="672" spans="2:2" ht="14.25" customHeight="1">
      <c r="B672" s="1"/>
    </row>
    <row r="673" spans="2:2" ht="14.25" customHeight="1">
      <c r="B673" s="1"/>
    </row>
    <row r="674" spans="2:2" ht="14.25" customHeight="1">
      <c r="B674" s="1"/>
    </row>
    <row r="675" spans="2:2" ht="14.25" customHeight="1">
      <c r="B675" s="1"/>
    </row>
    <row r="676" spans="2:2" ht="14.25" customHeight="1">
      <c r="B676" s="1"/>
    </row>
    <row r="677" spans="2:2" ht="14.25" customHeight="1">
      <c r="B677" s="1"/>
    </row>
    <row r="678" spans="2:2" ht="14.25" customHeight="1">
      <c r="B678" s="1"/>
    </row>
    <row r="679" spans="2:2" ht="14.25" customHeight="1">
      <c r="B679" s="1"/>
    </row>
    <row r="680" spans="2:2" ht="14.25" customHeight="1">
      <c r="B680" s="1"/>
    </row>
    <row r="681" spans="2:2" ht="14.25" customHeight="1">
      <c r="B681" s="1"/>
    </row>
    <row r="682" spans="2:2" ht="14.25" customHeight="1">
      <c r="B682" s="1"/>
    </row>
    <row r="683" spans="2:2" ht="14.25" customHeight="1">
      <c r="B683" s="1"/>
    </row>
    <row r="684" spans="2:2" ht="14.25" customHeight="1">
      <c r="B684" s="1"/>
    </row>
    <row r="685" spans="2:2" ht="14.25" customHeight="1">
      <c r="B685" s="1"/>
    </row>
    <row r="686" spans="2:2" ht="14.25" customHeight="1">
      <c r="B686" s="1"/>
    </row>
    <row r="687" spans="2:2" ht="14.25" customHeight="1">
      <c r="B687" s="1"/>
    </row>
    <row r="688" spans="2:2" ht="14.25" customHeight="1">
      <c r="B688" s="1"/>
    </row>
    <row r="689" spans="2:2" ht="14.25" customHeight="1">
      <c r="B689" s="1"/>
    </row>
    <row r="690" spans="2:2" ht="14.25" customHeight="1">
      <c r="B690" s="1"/>
    </row>
    <row r="691" spans="2:2" ht="14.25" customHeight="1">
      <c r="B691" s="1"/>
    </row>
    <row r="692" spans="2:2" ht="14.25" customHeight="1">
      <c r="B692" s="1"/>
    </row>
    <row r="693" spans="2:2" ht="14.25" customHeight="1">
      <c r="B693" s="1"/>
    </row>
    <row r="694" spans="2:2" ht="14.25" customHeight="1">
      <c r="B694" s="1"/>
    </row>
    <row r="695" spans="2:2" ht="14.25" customHeight="1">
      <c r="B695" s="1"/>
    </row>
    <row r="696" spans="2:2" ht="14.25" customHeight="1">
      <c r="B696" s="1"/>
    </row>
    <row r="697" spans="2:2" ht="14.25" customHeight="1">
      <c r="B697" s="1"/>
    </row>
    <row r="698" spans="2:2" ht="14.25" customHeight="1">
      <c r="B698" s="1"/>
    </row>
    <row r="699" spans="2:2" ht="14.25" customHeight="1">
      <c r="B699" s="1"/>
    </row>
    <row r="700" spans="2:2" ht="14.25" customHeight="1">
      <c r="B700" s="1"/>
    </row>
    <row r="701" spans="2:2" ht="14.25" customHeight="1">
      <c r="B701" s="1"/>
    </row>
    <row r="702" spans="2:2" ht="14.25" customHeight="1">
      <c r="B702" s="1"/>
    </row>
    <row r="703" spans="2:2" ht="14.25" customHeight="1">
      <c r="B703" s="1"/>
    </row>
    <row r="704" spans="2:2" ht="14.25" customHeight="1">
      <c r="B704" s="1"/>
    </row>
    <row r="705" spans="2:2" ht="14.25" customHeight="1">
      <c r="B705" s="1"/>
    </row>
    <row r="706" spans="2:2" ht="14.25" customHeight="1">
      <c r="B706" s="1"/>
    </row>
    <row r="707" spans="2:2" ht="14.25" customHeight="1">
      <c r="B707" s="1"/>
    </row>
    <row r="708" spans="2:2" ht="14.25" customHeight="1">
      <c r="B708" s="1"/>
    </row>
    <row r="709" spans="2:2" ht="14.25" customHeight="1">
      <c r="B709" s="1"/>
    </row>
    <row r="710" spans="2:2" ht="14.25" customHeight="1">
      <c r="B710" s="1"/>
    </row>
    <row r="711" spans="2:2" ht="14.25" customHeight="1">
      <c r="B711" s="1"/>
    </row>
    <row r="712" spans="2:2" ht="14.25" customHeight="1">
      <c r="B712" s="1"/>
    </row>
    <row r="713" spans="2:2" ht="14.25" customHeight="1">
      <c r="B713" s="1"/>
    </row>
    <row r="714" spans="2:2" ht="14.25" customHeight="1">
      <c r="B714" s="1"/>
    </row>
    <row r="715" spans="2:2" ht="14.25" customHeight="1">
      <c r="B715" s="1"/>
    </row>
    <row r="716" spans="2:2" ht="14.25" customHeight="1">
      <c r="B716" s="1"/>
    </row>
    <row r="717" spans="2:2" ht="14.25" customHeight="1">
      <c r="B717" s="1"/>
    </row>
    <row r="718" spans="2:2" ht="14.25" customHeight="1">
      <c r="B718" s="1"/>
    </row>
    <row r="719" spans="2:2" ht="14.25" customHeight="1">
      <c r="B719" s="1"/>
    </row>
    <row r="720" spans="2:2" ht="14.25" customHeight="1">
      <c r="B720" s="1"/>
    </row>
    <row r="721" spans="2:2" ht="14.25" customHeight="1">
      <c r="B721" s="1"/>
    </row>
    <row r="722" spans="2:2" ht="14.25" customHeight="1">
      <c r="B722" s="1"/>
    </row>
    <row r="723" spans="2:2" ht="14.25" customHeight="1">
      <c r="B723" s="1"/>
    </row>
    <row r="724" spans="2:2" ht="14.25" customHeight="1">
      <c r="B724" s="1"/>
    </row>
    <row r="725" spans="2:2" ht="14.25" customHeight="1">
      <c r="B725" s="1"/>
    </row>
    <row r="726" spans="2:2" ht="14.25" customHeight="1">
      <c r="B726" s="1"/>
    </row>
    <row r="727" spans="2:2" ht="14.25" customHeight="1">
      <c r="B727" s="1"/>
    </row>
    <row r="728" spans="2:2" ht="14.25" customHeight="1">
      <c r="B728" s="1"/>
    </row>
    <row r="729" spans="2:2" ht="14.25" customHeight="1">
      <c r="B729" s="1"/>
    </row>
    <row r="730" spans="2:2" ht="14.25" customHeight="1">
      <c r="B730" s="1"/>
    </row>
    <row r="731" spans="2:2" ht="14.25" customHeight="1">
      <c r="B731" s="1"/>
    </row>
    <row r="732" spans="2:2" ht="14.25" customHeight="1">
      <c r="B732" s="1"/>
    </row>
    <row r="733" spans="2:2" ht="14.25" customHeight="1">
      <c r="B733" s="1"/>
    </row>
    <row r="734" spans="2:2" ht="14.25" customHeight="1">
      <c r="B734" s="1"/>
    </row>
    <row r="735" spans="2:2" ht="14.25" customHeight="1">
      <c r="B735" s="1"/>
    </row>
    <row r="736" spans="2:2" ht="14.25" customHeight="1">
      <c r="B736" s="1"/>
    </row>
    <row r="737" spans="2:2" ht="14.25" customHeight="1">
      <c r="B737" s="1"/>
    </row>
    <row r="738" spans="2:2" ht="14.25" customHeight="1">
      <c r="B738" s="1"/>
    </row>
    <row r="739" spans="2:2" ht="14.25" customHeight="1">
      <c r="B739" s="1"/>
    </row>
    <row r="740" spans="2:2" ht="14.25" customHeight="1">
      <c r="B740" s="1"/>
    </row>
    <row r="741" spans="2:2" ht="14.25" customHeight="1">
      <c r="B741" s="1"/>
    </row>
    <row r="742" spans="2:2" ht="14.25" customHeight="1">
      <c r="B742" s="1"/>
    </row>
    <row r="743" spans="2:2" ht="14.25" customHeight="1">
      <c r="B743" s="1"/>
    </row>
    <row r="744" spans="2:2" ht="14.25" customHeight="1">
      <c r="B744" s="1"/>
    </row>
    <row r="745" spans="2:2" ht="14.25" customHeight="1">
      <c r="B745" s="1"/>
    </row>
    <row r="746" spans="2:2" ht="14.25" customHeight="1">
      <c r="B746" s="1"/>
    </row>
    <row r="747" spans="2:2" ht="14.25" customHeight="1">
      <c r="B747" s="1"/>
    </row>
    <row r="748" spans="2:2" ht="14.25" customHeight="1">
      <c r="B748" s="1"/>
    </row>
    <row r="749" spans="2:2" ht="14.25" customHeight="1">
      <c r="B749" s="1"/>
    </row>
    <row r="750" spans="2:2" ht="14.25" customHeight="1">
      <c r="B750" s="1"/>
    </row>
    <row r="751" spans="2:2" ht="14.25" customHeight="1">
      <c r="B751" s="1"/>
    </row>
    <row r="752" spans="2:2" ht="14.25" customHeight="1">
      <c r="B752" s="1"/>
    </row>
    <row r="753" spans="2:2" ht="14.25" customHeight="1">
      <c r="B753" s="1"/>
    </row>
    <row r="754" spans="2:2" ht="14.25" customHeight="1">
      <c r="B754" s="1"/>
    </row>
    <row r="755" spans="2:2" ht="14.25" customHeight="1">
      <c r="B755" s="1"/>
    </row>
    <row r="756" spans="2:2" ht="14.25" customHeight="1">
      <c r="B756" s="1"/>
    </row>
    <row r="757" spans="2:2" ht="14.25" customHeight="1">
      <c r="B757" s="1"/>
    </row>
    <row r="758" spans="2:2" ht="14.25" customHeight="1">
      <c r="B758" s="1"/>
    </row>
    <row r="759" spans="2:2" ht="14.25" customHeight="1">
      <c r="B759" s="1"/>
    </row>
    <row r="760" spans="2:2" ht="14.25" customHeight="1">
      <c r="B760" s="1"/>
    </row>
    <row r="761" spans="2:2" ht="14.25" customHeight="1">
      <c r="B761" s="1"/>
    </row>
    <row r="762" spans="2:2" ht="14.25" customHeight="1">
      <c r="B762" s="1"/>
    </row>
    <row r="763" spans="2:2" ht="14.25" customHeight="1">
      <c r="B763" s="1"/>
    </row>
    <row r="764" spans="2:2" ht="14.25" customHeight="1">
      <c r="B764" s="1"/>
    </row>
    <row r="765" spans="2:2" ht="14.25" customHeight="1">
      <c r="B765" s="1"/>
    </row>
    <row r="766" spans="2:2" ht="14.25" customHeight="1">
      <c r="B766" s="1"/>
    </row>
    <row r="767" spans="2:2" ht="14.25" customHeight="1">
      <c r="B767" s="1"/>
    </row>
    <row r="768" spans="2:2" ht="14.25" customHeight="1">
      <c r="B768" s="1"/>
    </row>
    <row r="769" spans="2:2" ht="14.25" customHeight="1">
      <c r="B769" s="1"/>
    </row>
    <row r="770" spans="2:2" ht="14.25" customHeight="1">
      <c r="B770" s="1"/>
    </row>
    <row r="771" spans="2:2" ht="14.25" customHeight="1">
      <c r="B771" s="1"/>
    </row>
    <row r="772" spans="2:2" ht="14.25" customHeight="1">
      <c r="B772" s="1"/>
    </row>
    <row r="773" spans="2:2" ht="14.25" customHeight="1">
      <c r="B773" s="1"/>
    </row>
    <row r="774" spans="2:2" ht="14.25" customHeight="1">
      <c r="B774" s="1"/>
    </row>
    <row r="775" spans="2:2" ht="14.25" customHeight="1">
      <c r="B775" s="1"/>
    </row>
    <row r="776" spans="2:2" ht="14.25" customHeight="1">
      <c r="B776" s="1"/>
    </row>
    <row r="777" spans="2:2" ht="14.25" customHeight="1">
      <c r="B777" s="1"/>
    </row>
    <row r="778" spans="2:2" ht="14.25" customHeight="1">
      <c r="B778" s="1"/>
    </row>
    <row r="779" spans="2:2" ht="14.25" customHeight="1">
      <c r="B779" s="1"/>
    </row>
    <row r="780" spans="2:2" ht="14.25" customHeight="1">
      <c r="B780" s="1"/>
    </row>
    <row r="781" spans="2:2" ht="14.25" customHeight="1">
      <c r="B781" s="1"/>
    </row>
    <row r="782" spans="2:2" ht="14.25" customHeight="1">
      <c r="B782" s="1"/>
    </row>
    <row r="783" spans="2:2" ht="14.25" customHeight="1">
      <c r="B783" s="1"/>
    </row>
    <row r="784" spans="2:2" ht="14.25" customHeight="1">
      <c r="B784" s="1"/>
    </row>
    <row r="785" spans="2:2" ht="14.25" customHeight="1">
      <c r="B785" s="1"/>
    </row>
    <row r="786" spans="2:2" ht="14.25" customHeight="1">
      <c r="B786" s="1"/>
    </row>
    <row r="787" spans="2:2" ht="14.25" customHeight="1">
      <c r="B787" s="1"/>
    </row>
    <row r="788" spans="2:2" ht="14.25" customHeight="1">
      <c r="B788" s="1"/>
    </row>
    <row r="789" spans="2:2" ht="14.25" customHeight="1">
      <c r="B789" s="1"/>
    </row>
    <row r="790" spans="2:2" ht="14.25" customHeight="1">
      <c r="B790" s="1"/>
    </row>
    <row r="791" spans="2:2" ht="14.25" customHeight="1">
      <c r="B791" s="1"/>
    </row>
    <row r="792" spans="2:2" ht="14.25" customHeight="1">
      <c r="B792" s="1"/>
    </row>
    <row r="793" spans="2:2" ht="14.25" customHeight="1">
      <c r="B793" s="1"/>
    </row>
    <row r="794" spans="2:2" ht="14.25" customHeight="1">
      <c r="B794" s="1"/>
    </row>
    <row r="795" spans="2:2" ht="14.25" customHeight="1">
      <c r="B795" s="1"/>
    </row>
    <row r="796" spans="2:2" ht="14.25" customHeight="1">
      <c r="B796" s="1"/>
    </row>
    <row r="797" spans="2:2" ht="14.25" customHeight="1">
      <c r="B797" s="1"/>
    </row>
    <row r="798" spans="2:2" ht="14.25" customHeight="1">
      <c r="B798" s="1"/>
    </row>
    <row r="799" spans="2:2" ht="14.25" customHeight="1">
      <c r="B799" s="1"/>
    </row>
    <row r="800" spans="2:2" ht="14.25" customHeight="1">
      <c r="B800" s="1"/>
    </row>
    <row r="801" spans="2:2" ht="14.25" customHeight="1">
      <c r="B801" s="1"/>
    </row>
    <row r="802" spans="2:2" ht="14.25" customHeight="1">
      <c r="B802" s="1"/>
    </row>
    <row r="803" spans="2:2" ht="14.25" customHeight="1">
      <c r="B803" s="1"/>
    </row>
    <row r="804" spans="2:2" ht="14.25" customHeight="1">
      <c r="B804" s="1"/>
    </row>
    <row r="805" spans="2:2" ht="14.25" customHeight="1">
      <c r="B805" s="1"/>
    </row>
    <row r="806" spans="2:2" ht="14.25" customHeight="1">
      <c r="B806" s="1"/>
    </row>
    <row r="807" spans="2:2" ht="14.25" customHeight="1">
      <c r="B807" s="1"/>
    </row>
    <row r="808" spans="2:2" ht="14.25" customHeight="1">
      <c r="B808" s="1"/>
    </row>
    <row r="809" spans="2:2" ht="14.25" customHeight="1">
      <c r="B809" s="1"/>
    </row>
    <row r="810" spans="2:2" ht="14.25" customHeight="1">
      <c r="B810" s="1"/>
    </row>
    <row r="811" spans="2:2" ht="14.25" customHeight="1">
      <c r="B811" s="1"/>
    </row>
    <row r="812" spans="2:2" ht="14.25" customHeight="1">
      <c r="B812" s="1"/>
    </row>
    <row r="813" spans="2:2" ht="14.25" customHeight="1">
      <c r="B813" s="1"/>
    </row>
    <row r="814" spans="2:2" ht="14.25" customHeight="1">
      <c r="B814" s="1"/>
    </row>
    <row r="815" spans="2:2" ht="14.25" customHeight="1">
      <c r="B815" s="1"/>
    </row>
    <row r="816" spans="2:2" ht="14.25" customHeight="1">
      <c r="B816" s="1"/>
    </row>
    <row r="817" spans="2:2" ht="14.25" customHeight="1">
      <c r="B817" s="1"/>
    </row>
    <row r="818" spans="2:2" ht="14.25" customHeight="1">
      <c r="B818" s="1"/>
    </row>
    <row r="819" spans="2:2" ht="14.25" customHeight="1">
      <c r="B819" s="1"/>
    </row>
    <row r="820" spans="2:2" ht="14.25" customHeight="1">
      <c r="B820" s="1"/>
    </row>
    <row r="821" spans="2:2" ht="14.25" customHeight="1">
      <c r="B821" s="1"/>
    </row>
    <row r="822" spans="2:2" ht="14.25" customHeight="1">
      <c r="B822" s="1"/>
    </row>
    <row r="823" spans="2:2" ht="14.25" customHeight="1">
      <c r="B823" s="1"/>
    </row>
    <row r="824" spans="2:2" ht="14.25" customHeight="1">
      <c r="B824" s="1"/>
    </row>
    <row r="825" spans="2:2" ht="14.25" customHeight="1">
      <c r="B825" s="1"/>
    </row>
    <row r="826" spans="2:2" ht="14.25" customHeight="1">
      <c r="B826" s="1"/>
    </row>
    <row r="827" spans="2:2" ht="14.25" customHeight="1">
      <c r="B827" s="1"/>
    </row>
    <row r="828" spans="2:2" ht="14.25" customHeight="1">
      <c r="B828" s="1"/>
    </row>
    <row r="829" spans="2:2" ht="14.25" customHeight="1">
      <c r="B829" s="1"/>
    </row>
    <row r="830" spans="2:2" ht="14.25" customHeight="1">
      <c r="B830" s="1"/>
    </row>
    <row r="831" spans="2:2" ht="14.25" customHeight="1">
      <c r="B831" s="1"/>
    </row>
    <row r="832" spans="2:2" ht="14.25" customHeight="1">
      <c r="B832" s="1"/>
    </row>
    <row r="833" spans="2:2" ht="14.25" customHeight="1">
      <c r="B833" s="1"/>
    </row>
    <row r="834" spans="2:2" ht="14.25" customHeight="1">
      <c r="B834" s="1"/>
    </row>
    <row r="835" spans="2:2" ht="14.25" customHeight="1">
      <c r="B835" s="1"/>
    </row>
    <row r="836" spans="2:2" ht="14.25" customHeight="1">
      <c r="B836" s="1"/>
    </row>
    <row r="837" spans="2:2" ht="14.25" customHeight="1">
      <c r="B837" s="1"/>
    </row>
    <row r="838" spans="2:2" ht="14.25" customHeight="1">
      <c r="B838" s="1"/>
    </row>
    <row r="839" spans="2:2" ht="14.25" customHeight="1">
      <c r="B839" s="1"/>
    </row>
    <row r="840" spans="2:2" ht="14.25" customHeight="1">
      <c r="B840" s="1"/>
    </row>
    <row r="841" spans="2:2" ht="14.25" customHeight="1">
      <c r="B841" s="1"/>
    </row>
    <row r="842" spans="2:2" ht="14.25" customHeight="1">
      <c r="B842" s="1"/>
    </row>
    <row r="843" spans="2:2" ht="14.25" customHeight="1">
      <c r="B843" s="1"/>
    </row>
    <row r="844" spans="2:2" ht="14.25" customHeight="1">
      <c r="B844" s="1"/>
    </row>
    <row r="845" spans="2:2" ht="14.25" customHeight="1">
      <c r="B845" s="1"/>
    </row>
    <row r="846" spans="2:2" ht="14.25" customHeight="1">
      <c r="B846" s="1"/>
    </row>
    <row r="847" spans="2:2" ht="14.25" customHeight="1">
      <c r="B847" s="1"/>
    </row>
    <row r="848" spans="2:2" ht="14.25" customHeight="1">
      <c r="B848" s="1"/>
    </row>
    <row r="849" spans="2:2" ht="14.25" customHeight="1">
      <c r="B849" s="1"/>
    </row>
    <row r="850" spans="2:2" ht="14.25" customHeight="1">
      <c r="B850" s="1"/>
    </row>
    <row r="851" spans="2:2" ht="14.25" customHeight="1">
      <c r="B851" s="1"/>
    </row>
    <row r="852" spans="2:2" ht="14.25" customHeight="1">
      <c r="B852" s="1"/>
    </row>
    <row r="853" spans="2:2" ht="14.25" customHeight="1">
      <c r="B853" s="1"/>
    </row>
    <row r="854" spans="2:2" ht="14.25" customHeight="1">
      <c r="B854" s="1"/>
    </row>
    <row r="855" spans="2:2" ht="14.25" customHeight="1">
      <c r="B855" s="1"/>
    </row>
    <row r="856" spans="2:2" ht="14.25" customHeight="1">
      <c r="B856" s="1"/>
    </row>
    <row r="857" spans="2:2" ht="14.25" customHeight="1">
      <c r="B857" s="1"/>
    </row>
    <row r="858" spans="2:2" ht="14.25" customHeight="1">
      <c r="B858" s="1"/>
    </row>
    <row r="859" spans="2:2" ht="14.25" customHeight="1">
      <c r="B859" s="1"/>
    </row>
    <row r="860" spans="2:2" ht="14.25" customHeight="1">
      <c r="B860" s="1"/>
    </row>
    <row r="861" spans="2:2" ht="14.25" customHeight="1">
      <c r="B861" s="1"/>
    </row>
    <row r="862" spans="2:2" ht="14.25" customHeight="1">
      <c r="B862" s="1"/>
    </row>
    <row r="863" spans="2:2" ht="14.25" customHeight="1">
      <c r="B863" s="1"/>
    </row>
    <row r="864" spans="2:2" ht="14.25" customHeight="1">
      <c r="B864" s="1"/>
    </row>
    <row r="865" spans="2:2" ht="14.25" customHeight="1">
      <c r="B865" s="1"/>
    </row>
    <row r="866" spans="2:2" ht="14.25" customHeight="1">
      <c r="B866" s="1"/>
    </row>
    <row r="867" spans="2:2" ht="14.25" customHeight="1">
      <c r="B867" s="1"/>
    </row>
    <row r="868" spans="2:2" ht="14.25" customHeight="1">
      <c r="B868" s="1"/>
    </row>
    <row r="869" spans="2:2" ht="14.25" customHeight="1">
      <c r="B869" s="1"/>
    </row>
    <row r="870" spans="2:2" ht="14.25" customHeight="1">
      <c r="B870" s="1"/>
    </row>
    <row r="871" spans="2:2" ht="14.25" customHeight="1">
      <c r="B871" s="1"/>
    </row>
    <row r="872" spans="2:2" ht="14.25" customHeight="1">
      <c r="B872" s="1"/>
    </row>
    <row r="873" spans="2:2" ht="14.25" customHeight="1">
      <c r="B873" s="1"/>
    </row>
    <row r="874" spans="2:2" ht="14.25" customHeight="1">
      <c r="B874" s="1"/>
    </row>
    <row r="875" spans="2:2" ht="14.25" customHeight="1">
      <c r="B875" s="1"/>
    </row>
    <row r="876" spans="2:2" ht="14.25" customHeight="1">
      <c r="B876" s="1"/>
    </row>
    <row r="877" spans="2:2" ht="14.25" customHeight="1">
      <c r="B877" s="1"/>
    </row>
    <row r="878" spans="2:2" ht="14.25" customHeight="1">
      <c r="B878" s="1"/>
    </row>
    <row r="879" spans="2:2" ht="14.25" customHeight="1">
      <c r="B879" s="1"/>
    </row>
    <row r="880" spans="2:2" ht="14.25" customHeight="1">
      <c r="B880" s="1"/>
    </row>
    <row r="881" spans="2:2" ht="14.25" customHeight="1">
      <c r="B881" s="1"/>
    </row>
    <row r="882" spans="2:2" ht="14.25" customHeight="1">
      <c r="B882" s="1"/>
    </row>
    <row r="883" spans="2:2" ht="14.25" customHeight="1">
      <c r="B883" s="1"/>
    </row>
    <row r="884" spans="2:2" ht="14.25" customHeight="1">
      <c r="B884" s="1"/>
    </row>
    <row r="885" spans="2:2" ht="14.25" customHeight="1">
      <c r="B885" s="1"/>
    </row>
    <row r="886" spans="2:2" ht="14.25" customHeight="1">
      <c r="B886" s="1"/>
    </row>
    <row r="887" spans="2:2" ht="14.25" customHeight="1">
      <c r="B887" s="1"/>
    </row>
    <row r="888" spans="2:2" ht="14.25" customHeight="1">
      <c r="B888" s="1"/>
    </row>
    <row r="889" spans="2:2" ht="14.25" customHeight="1">
      <c r="B889" s="1"/>
    </row>
    <row r="890" spans="2:2" ht="14.25" customHeight="1">
      <c r="B890" s="1"/>
    </row>
    <row r="891" spans="2:2" ht="14.25" customHeight="1">
      <c r="B891" s="1"/>
    </row>
    <row r="892" spans="2:2" ht="14.25" customHeight="1">
      <c r="B892" s="1"/>
    </row>
    <row r="893" spans="2:2" ht="14.25" customHeight="1">
      <c r="B893" s="1"/>
    </row>
    <row r="894" spans="2:2" ht="14.25" customHeight="1">
      <c r="B894" s="1"/>
    </row>
    <row r="895" spans="2:2" ht="14.25" customHeight="1">
      <c r="B895" s="1"/>
    </row>
    <row r="896" spans="2:2" ht="14.25" customHeight="1">
      <c r="B896" s="1"/>
    </row>
    <row r="897" spans="2:2" ht="14.25" customHeight="1">
      <c r="B897" s="1"/>
    </row>
    <row r="898" spans="2:2" ht="14.25" customHeight="1">
      <c r="B898" s="1"/>
    </row>
    <row r="899" spans="2:2" ht="14.25" customHeight="1">
      <c r="B899" s="1"/>
    </row>
    <row r="900" spans="2:2" ht="14.25" customHeight="1">
      <c r="B900" s="1"/>
    </row>
    <row r="901" spans="2:2" ht="14.25" customHeight="1">
      <c r="B901" s="1"/>
    </row>
    <row r="902" spans="2:2" ht="14.25" customHeight="1">
      <c r="B902" s="1"/>
    </row>
    <row r="903" spans="2:2" ht="14.25" customHeight="1">
      <c r="B903" s="1"/>
    </row>
    <row r="904" spans="2:2" ht="14.25" customHeight="1">
      <c r="B904" s="1"/>
    </row>
    <row r="905" spans="2:2" ht="14.25" customHeight="1">
      <c r="B905" s="1"/>
    </row>
    <row r="906" spans="2:2" ht="14.25" customHeight="1">
      <c r="B906" s="1"/>
    </row>
    <row r="907" spans="2:2" ht="14.25" customHeight="1">
      <c r="B907" s="1"/>
    </row>
    <row r="908" spans="2:2" ht="14.25" customHeight="1">
      <c r="B908" s="1"/>
    </row>
    <row r="909" spans="2:2" ht="14.25" customHeight="1">
      <c r="B909" s="1"/>
    </row>
    <row r="910" spans="2:2" ht="14.25" customHeight="1">
      <c r="B910" s="1"/>
    </row>
    <row r="911" spans="2:2" ht="14.25" customHeight="1">
      <c r="B911" s="1"/>
    </row>
    <row r="912" spans="2:2" ht="14.25" customHeight="1">
      <c r="B912" s="1"/>
    </row>
    <row r="913" spans="2:2" ht="14.25" customHeight="1">
      <c r="B913" s="1"/>
    </row>
    <row r="914" spans="2:2" ht="14.25" customHeight="1">
      <c r="B914" s="1"/>
    </row>
    <row r="915" spans="2:2" ht="14.25" customHeight="1">
      <c r="B915" s="1"/>
    </row>
    <row r="916" spans="2:2" ht="14.25" customHeight="1">
      <c r="B916" s="1"/>
    </row>
    <row r="917" spans="2:2" ht="14.25" customHeight="1">
      <c r="B917" s="1"/>
    </row>
    <row r="918" spans="2:2" ht="14.25" customHeight="1">
      <c r="B918" s="1"/>
    </row>
    <row r="919" spans="2:2" ht="14.25" customHeight="1">
      <c r="B919" s="1"/>
    </row>
    <row r="920" spans="2:2" ht="14.25" customHeight="1">
      <c r="B920" s="1"/>
    </row>
    <row r="921" spans="2:2" ht="14.25" customHeight="1">
      <c r="B921" s="1"/>
    </row>
    <row r="922" spans="2:2" ht="14.25" customHeight="1">
      <c r="B922" s="1"/>
    </row>
    <row r="923" spans="2:2" ht="14.25" customHeight="1">
      <c r="B923" s="1"/>
    </row>
    <row r="924" spans="2:2" ht="14.25" customHeight="1">
      <c r="B924" s="1"/>
    </row>
    <row r="925" spans="2:2" ht="14.25" customHeight="1">
      <c r="B925" s="1"/>
    </row>
    <row r="926" spans="2:2" ht="14.25" customHeight="1">
      <c r="B926" s="1"/>
    </row>
    <row r="927" spans="2:2" ht="14.25" customHeight="1">
      <c r="B927" s="1"/>
    </row>
    <row r="928" spans="2:2" ht="14.25" customHeight="1">
      <c r="B928" s="1"/>
    </row>
    <row r="929" spans="2:2" ht="14.25" customHeight="1">
      <c r="B929" s="1"/>
    </row>
    <row r="930" spans="2:2" ht="14.25" customHeight="1">
      <c r="B930" s="1"/>
    </row>
    <row r="931" spans="2:2" ht="14.25" customHeight="1">
      <c r="B931" s="1"/>
    </row>
    <row r="932" spans="2:2" ht="14.25" customHeight="1">
      <c r="B932" s="1"/>
    </row>
    <row r="933" spans="2:2" ht="14.25" customHeight="1">
      <c r="B933" s="1"/>
    </row>
    <row r="934" spans="2:2" ht="14.25" customHeight="1">
      <c r="B934" s="1"/>
    </row>
    <row r="935" spans="2:2" ht="14.25" customHeight="1">
      <c r="B935" s="1"/>
    </row>
    <row r="936" spans="2:2" ht="14.25" customHeight="1">
      <c r="B936" s="1"/>
    </row>
    <row r="937" spans="2:2" ht="14.25" customHeight="1">
      <c r="B937" s="1"/>
    </row>
    <row r="938" spans="2:2" ht="14.25" customHeight="1">
      <c r="B938" s="1"/>
    </row>
    <row r="939" spans="2:2" ht="14.25" customHeight="1">
      <c r="B939" s="1"/>
    </row>
    <row r="940" spans="2:2" ht="14.25" customHeight="1">
      <c r="B940" s="1"/>
    </row>
    <row r="941" spans="2:2" ht="14.25" customHeight="1">
      <c r="B941" s="1"/>
    </row>
    <row r="942" spans="2:2" ht="14.25" customHeight="1">
      <c r="B942" s="1"/>
    </row>
    <row r="943" spans="2:2" ht="14.25" customHeight="1">
      <c r="B943" s="1"/>
    </row>
    <row r="944" spans="2:2" ht="14.25" customHeight="1">
      <c r="B944" s="1"/>
    </row>
    <row r="945" spans="2:2" ht="14.25" customHeight="1">
      <c r="B945" s="1"/>
    </row>
    <row r="946" spans="2:2" ht="14.25" customHeight="1">
      <c r="B946" s="1"/>
    </row>
    <row r="947" spans="2:2" ht="14.25" customHeight="1">
      <c r="B947" s="1"/>
    </row>
    <row r="948" spans="2:2" ht="14.25" customHeight="1">
      <c r="B948" s="1"/>
    </row>
    <row r="949" spans="2:2" ht="14.25" customHeight="1">
      <c r="B949" s="1"/>
    </row>
    <row r="950" spans="2:2" ht="14.25" customHeight="1">
      <c r="B950" s="1"/>
    </row>
    <row r="951" spans="2:2" ht="14.25" customHeight="1">
      <c r="B951" s="1"/>
    </row>
    <row r="952" spans="2:2" ht="14.25" customHeight="1">
      <c r="B952" s="1"/>
    </row>
    <row r="953" spans="2:2" ht="14.25" customHeight="1">
      <c r="B953" s="1"/>
    </row>
    <row r="954" spans="2:2" ht="14.25" customHeight="1">
      <c r="B954" s="1"/>
    </row>
    <row r="955" spans="2:2" ht="14.25" customHeight="1">
      <c r="B955" s="1"/>
    </row>
    <row r="956" spans="2:2" ht="14.25" customHeight="1">
      <c r="B956" s="1"/>
    </row>
    <row r="957" spans="2:2" ht="14.25" customHeight="1">
      <c r="B957" s="1"/>
    </row>
    <row r="958" spans="2:2" ht="14.25" customHeight="1">
      <c r="B958" s="1"/>
    </row>
    <row r="959" spans="2:2" ht="14.25" customHeight="1">
      <c r="B959" s="1"/>
    </row>
    <row r="960" spans="2:2" ht="14.25" customHeight="1">
      <c r="B960" s="1"/>
    </row>
    <row r="961" spans="2:2" ht="14.25" customHeight="1">
      <c r="B961" s="1"/>
    </row>
    <row r="962" spans="2:2" ht="14.25" customHeight="1">
      <c r="B962" s="1"/>
    </row>
    <row r="963" spans="2:2" ht="14.25" customHeight="1">
      <c r="B963" s="1"/>
    </row>
    <row r="964" spans="2:2" ht="14.25" customHeight="1">
      <c r="B964" s="1"/>
    </row>
    <row r="965" spans="2:2" ht="14.25" customHeight="1">
      <c r="B965" s="1"/>
    </row>
    <row r="966" spans="2:2" ht="14.25" customHeight="1">
      <c r="B966" s="1"/>
    </row>
    <row r="967" spans="2:2" ht="14.25" customHeight="1">
      <c r="B967" s="1"/>
    </row>
    <row r="968" spans="2:2" ht="14.25" customHeight="1">
      <c r="B968" s="1"/>
    </row>
    <row r="969" spans="2:2" ht="14.25" customHeight="1">
      <c r="B969" s="1"/>
    </row>
    <row r="970" spans="2:2" ht="14.25" customHeight="1">
      <c r="B970" s="1"/>
    </row>
    <row r="971" spans="2:2" ht="14.25" customHeight="1">
      <c r="B971" s="1"/>
    </row>
    <row r="972" spans="2:2" ht="14.25" customHeight="1">
      <c r="B972" s="1"/>
    </row>
    <row r="973" spans="2:2" ht="14.25" customHeight="1">
      <c r="B973" s="1"/>
    </row>
    <row r="974" spans="2:2" ht="14.25" customHeight="1">
      <c r="B974" s="1"/>
    </row>
    <row r="975" spans="2:2" ht="14.25" customHeight="1">
      <c r="B975" s="1"/>
    </row>
    <row r="976" spans="2:2" ht="14.25" customHeight="1">
      <c r="B976" s="1"/>
    </row>
    <row r="977" spans="2:2" ht="14.25" customHeight="1">
      <c r="B977" s="1"/>
    </row>
    <row r="978" spans="2:2" ht="14.25" customHeight="1">
      <c r="B978" s="1"/>
    </row>
    <row r="979" spans="2:2" ht="14.25" customHeight="1">
      <c r="B979" s="1"/>
    </row>
    <row r="980" spans="2:2" ht="14.25" customHeight="1">
      <c r="B980" s="1"/>
    </row>
    <row r="981" spans="2:2" ht="14.25" customHeight="1">
      <c r="B981" s="1"/>
    </row>
    <row r="982" spans="2:2" ht="14.25" customHeight="1">
      <c r="B982" s="1"/>
    </row>
    <row r="983" spans="2:2" ht="14.25" customHeight="1">
      <c r="B983" s="1"/>
    </row>
    <row r="984" spans="2:2" ht="14.25" customHeight="1">
      <c r="B984" s="1"/>
    </row>
    <row r="985" spans="2:2" ht="14.25" customHeight="1">
      <c r="B985" s="1"/>
    </row>
    <row r="986" spans="2:2" ht="14.25" customHeight="1">
      <c r="B986" s="1"/>
    </row>
    <row r="987" spans="2:2" ht="14.25" customHeight="1">
      <c r="B987" s="1"/>
    </row>
    <row r="988" spans="2:2" ht="14.25" customHeight="1">
      <c r="B988" s="1"/>
    </row>
    <row r="989" spans="2:2" ht="14.25" customHeight="1">
      <c r="B989" s="1"/>
    </row>
    <row r="990" spans="2:2" ht="14.25" customHeight="1">
      <c r="B990" s="1"/>
    </row>
    <row r="991" spans="2:2" ht="14.25" customHeight="1">
      <c r="B991" s="1"/>
    </row>
    <row r="992" spans="2:2" ht="14.25" customHeight="1">
      <c r="B992" s="1"/>
    </row>
    <row r="993" spans="2:2" ht="14.25" customHeight="1">
      <c r="B993" s="1"/>
    </row>
    <row r="994" spans="2:2" ht="14.25" customHeight="1">
      <c r="B994" s="1"/>
    </row>
    <row r="995" spans="2:2" ht="14.25" customHeight="1">
      <c r="B995" s="1"/>
    </row>
    <row r="996" spans="2:2" ht="14.25" customHeight="1">
      <c r="B996" s="1"/>
    </row>
    <row r="997" spans="2:2" ht="14.25" customHeight="1">
      <c r="B997" s="1"/>
    </row>
    <row r="998" spans="2:2" ht="14.25" customHeight="1">
      <c r="B998" s="1"/>
    </row>
    <row r="999" spans="2:2" ht="14.25" customHeight="1">
      <c r="B999" s="1"/>
    </row>
    <row r="1000" spans="2:2" ht="14.25" customHeight="1">
      <c r="B1000" s="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00"/>
  <sheetViews>
    <sheetView workbookViewId="0"/>
  </sheetViews>
  <sheetFormatPr defaultColWidth="14.42578125" defaultRowHeight="15" customHeight="1"/>
  <cols>
    <col min="1" max="1" width="18.7109375" customWidth="1"/>
    <col min="2" max="2" width="13" customWidth="1"/>
    <col min="3" max="3" width="12.7109375" customWidth="1"/>
    <col min="4" max="4" width="11.28515625" customWidth="1"/>
    <col min="5" max="6" width="11.85546875" customWidth="1"/>
    <col min="7" max="26" width="8.7109375" customWidth="1"/>
  </cols>
  <sheetData>
    <row r="1" spans="1:3" ht="14.25" customHeight="1">
      <c r="A1" s="2" t="s">
        <v>2</v>
      </c>
      <c r="B1" s="2" t="s">
        <v>123</v>
      </c>
      <c r="C1" s="2" t="s">
        <v>124</v>
      </c>
    </row>
    <row r="2" spans="1:3" ht="14.25" customHeight="1">
      <c r="A2" s="13" t="s">
        <v>125</v>
      </c>
      <c r="B2" s="13">
        <v>1.22</v>
      </c>
      <c r="C2" s="2">
        <f t="shared" ref="C2:C39" si="0">1/B2</f>
        <v>0.81967213114754101</v>
      </c>
    </row>
    <row r="3" spans="1:3" ht="14.25" customHeight="1">
      <c r="A3" s="13" t="s">
        <v>126</v>
      </c>
      <c r="B3" s="13">
        <v>1.125</v>
      </c>
      <c r="C3" s="2">
        <f t="shared" si="0"/>
        <v>0.88888888888888884</v>
      </c>
    </row>
    <row r="4" spans="1:3" ht="14.25" customHeight="1">
      <c r="A4" s="13" t="s">
        <v>50</v>
      </c>
      <c r="B4" s="13">
        <v>1.1499999999999999</v>
      </c>
      <c r="C4" s="2">
        <f t="shared" si="0"/>
        <v>0.86956521739130443</v>
      </c>
    </row>
    <row r="5" spans="1:3" ht="14.25" customHeight="1">
      <c r="A5" s="13" t="s">
        <v>127</v>
      </c>
      <c r="B5" s="13">
        <v>1.0900000000000001</v>
      </c>
      <c r="C5" s="2">
        <f t="shared" si="0"/>
        <v>0.9174311926605504</v>
      </c>
    </row>
    <row r="6" spans="1:3" ht="14.25" customHeight="1">
      <c r="A6" s="13" t="s">
        <v>22</v>
      </c>
      <c r="B6" s="13">
        <v>1.17</v>
      </c>
      <c r="C6" s="2">
        <f t="shared" si="0"/>
        <v>0.85470085470085477</v>
      </c>
    </row>
    <row r="7" spans="1:3" ht="14.25" customHeight="1">
      <c r="A7" s="13" t="s">
        <v>128</v>
      </c>
      <c r="B7" s="13">
        <v>1.125</v>
      </c>
      <c r="C7" s="2">
        <f t="shared" si="0"/>
        <v>0.88888888888888884</v>
      </c>
    </row>
    <row r="8" spans="1:3" ht="14.25" customHeight="1">
      <c r="A8" s="13" t="s">
        <v>129</v>
      </c>
      <c r="B8" s="13">
        <v>1.1100000000000001</v>
      </c>
      <c r="C8" s="2">
        <f t="shared" si="0"/>
        <v>0.9009009009009008</v>
      </c>
    </row>
    <row r="9" spans="1:3" ht="14.25" customHeight="1">
      <c r="A9" s="13" t="s">
        <v>130</v>
      </c>
      <c r="B9" s="13">
        <v>1.04</v>
      </c>
      <c r="C9" s="2">
        <f t="shared" si="0"/>
        <v>0.96153846153846145</v>
      </c>
    </row>
    <row r="10" spans="1:3" ht="14.25" customHeight="1">
      <c r="A10" s="13" t="s">
        <v>131</v>
      </c>
      <c r="B10" s="13">
        <v>1.08</v>
      </c>
      <c r="C10" s="2">
        <f t="shared" si="0"/>
        <v>0.92592592592592582</v>
      </c>
    </row>
    <row r="11" spans="1:3" ht="14.25" customHeight="1">
      <c r="A11" s="13" t="s">
        <v>132</v>
      </c>
      <c r="B11" s="13">
        <v>1.08</v>
      </c>
      <c r="C11" s="2">
        <f t="shared" si="0"/>
        <v>0.92592592592592582</v>
      </c>
    </row>
    <row r="12" spans="1:3" ht="14.25" customHeight="1">
      <c r="A12" s="13" t="s">
        <v>54</v>
      </c>
      <c r="B12" s="13">
        <v>1.08</v>
      </c>
      <c r="C12" s="2">
        <f t="shared" si="0"/>
        <v>0.92592592592592582</v>
      </c>
    </row>
    <row r="13" spans="1:3" ht="14.25" customHeight="1">
      <c r="A13" s="13" t="s">
        <v>23</v>
      </c>
      <c r="B13" s="13">
        <v>1.17</v>
      </c>
      <c r="C13" s="2">
        <f t="shared" si="0"/>
        <v>0.85470085470085477</v>
      </c>
    </row>
    <row r="14" spans="1:3" ht="14.25" customHeight="1">
      <c r="A14" s="13" t="s">
        <v>53</v>
      </c>
      <c r="B14" s="13">
        <v>1.1100000000000001</v>
      </c>
      <c r="C14" s="2">
        <f t="shared" si="0"/>
        <v>0.9009009009009008</v>
      </c>
    </row>
    <row r="15" spans="1:3" ht="14.25" customHeight="1">
      <c r="A15" s="13" t="s">
        <v>133</v>
      </c>
      <c r="B15" s="13">
        <v>1.08</v>
      </c>
      <c r="C15" s="2">
        <f t="shared" si="0"/>
        <v>0.92592592592592582</v>
      </c>
    </row>
    <row r="16" spans="1:3" ht="14.25" customHeight="1">
      <c r="A16" s="13" t="s">
        <v>55</v>
      </c>
      <c r="B16" s="13">
        <v>1.05</v>
      </c>
      <c r="C16" s="2">
        <f t="shared" si="0"/>
        <v>0.95238095238095233</v>
      </c>
    </row>
    <row r="17" spans="1:3" ht="14.25" customHeight="1">
      <c r="A17" s="13" t="s">
        <v>56</v>
      </c>
      <c r="B17" s="13">
        <v>1.1399999999999999</v>
      </c>
      <c r="C17" s="2">
        <f t="shared" si="0"/>
        <v>0.87719298245614041</v>
      </c>
    </row>
    <row r="18" spans="1:3" ht="14.25" customHeight="1">
      <c r="A18" s="13" t="s">
        <v>20</v>
      </c>
      <c r="B18" s="13">
        <v>1.0900000000000001</v>
      </c>
      <c r="C18" s="2">
        <f t="shared" si="0"/>
        <v>0.9174311926605504</v>
      </c>
    </row>
    <row r="19" spans="1:3" ht="14.25" customHeight="1">
      <c r="A19" s="13" t="s">
        <v>57</v>
      </c>
      <c r="B19" s="13">
        <v>1.06</v>
      </c>
      <c r="C19" s="2">
        <f t="shared" si="0"/>
        <v>0.94339622641509424</v>
      </c>
    </row>
    <row r="20" spans="1:3" ht="14.25" customHeight="1">
      <c r="A20" s="13" t="s">
        <v>134</v>
      </c>
      <c r="B20" s="13">
        <v>1.125</v>
      </c>
      <c r="C20" s="2">
        <f t="shared" si="0"/>
        <v>0.88888888888888884</v>
      </c>
    </row>
    <row r="21" spans="1:3" ht="14.25" customHeight="1">
      <c r="A21" s="13" t="s">
        <v>25</v>
      </c>
      <c r="B21" s="13">
        <v>1.05</v>
      </c>
      <c r="C21" s="2">
        <f t="shared" si="0"/>
        <v>0.95238095238095233</v>
      </c>
    </row>
    <row r="22" spans="1:3" ht="14.25" customHeight="1">
      <c r="A22" s="13" t="s">
        <v>60</v>
      </c>
      <c r="B22" s="13">
        <v>1.17</v>
      </c>
      <c r="C22" s="2">
        <f t="shared" si="0"/>
        <v>0.85470085470085477</v>
      </c>
    </row>
    <row r="23" spans="1:3" ht="14.25" customHeight="1">
      <c r="A23" s="13" t="s">
        <v>135</v>
      </c>
      <c r="B23" s="13">
        <v>1.19</v>
      </c>
      <c r="C23" s="2">
        <f t="shared" si="0"/>
        <v>0.84033613445378152</v>
      </c>
    </row>
    <row r="24" spans="1:3" ht="14.25" customHeight="1">
      <c r="A24" s="13" t="s">
        <v>136</v>
      </c>
      <c r="B24" s="13">
        <v>1.125</v>
      </c>
      <c r="C24" s="2">
        <f t="shared" si="0"/>
        <v>0.88888888888888884</v>
      </c>
    </row>
    <row r="25" spans="1:3" ht="14.25" customHeight="1">
      <c r="A25" s="13" t="s">
        <v>38</v>
      </c>
      <c r="B25" s="13">
        <v>1.19</v>
      </c>
      <c r="C25" s="2">
        <f t="shared" si="0"/>
        <v>0.84033613445378152</v>
      </c>
    </row>
    <row r="26" spans="1:3" ht="14.25" customHeight="1">
      <c r="A26" s="13" t="s">
        <v>137</v>
      </c>
      <c r="B26" s="13">
        <v>1.1299999999999999</v>
      </c>
      <c r="C26" s="2">
        <f t="shared" si="0"/>
        <v>0.88495575221238942</v>
      </c>
    </row>
    <row r="27" spans="1:3" ht="14.25" customHeight="1">
      <c r="A27" s="13" t="s">
        <v>138</v>
      </c>
      <c r="B27" s="13">
        <v>1.35</v>
      </c>
      <c r="C27" s="2">
        <f t="shared" si="0"/>
        <v>0.7407407407407407</v>
      </c>
    </row>
    <row r="28" spans="1:3" ht="14.25" customHeight="1">
      <c r="A28" s="13" t="s">
        <v>139</v>
      </c>
      <c r="B28" s="13">
        <v>1.125</v>
      </c>
      <c r="C28" s="2">
        <f t="shared" si="0"/>
        <v>0.88888888888888884</v>
      </c>
    </row>
    <row r="29" spans="1:3" ht="14.25" customHeight="1">
      <c r="A29" s="13" t="s">
        <v>64</v>
      </c>
      <c r="B29" s="13">
        <v>1.0900000000000001</v>
      </c>
      <c r="C29" s="2">
        <f t="shared" si="0"/>
        <v>0.9174311926605504</v>
      </c>
    </row>
    <row r="30" spans="1:3" ht="14.25" customHeight="1">
      <c r="A30" s="13" t="s">
        <v>140</v>
      </c>
      <c r="B30" s="13">
        <v>1.1399999999999999</v>
      </c>
      <c r="C30" s="2">
        <f t="shared" si="0"/>
        <v>0.87719298245614041</v>
      </c>
    </row>
    <row r="31" spans="1:3" ht="14.25" customHeight="1">
      <c r="A31" s="13" t="s">
        <v>24</v>
      </c>
      <c r="B31" s="13">
        <v>1.18</v>
      </c>
      <c r="C31" s="2">
        <f t="shared" si="0"/>
        <v>0.84745762711864414</v>
      </c>
    </row>
    <row r="32" spans="1:3" ht="14.25" customHeight="1">
      <c r="A32" s="13" t="s">
        <v>141</v>
      </c>
      <c r="B32" s="13">
        <v>1.06</v>
      </c>
      <c r="C32" s="2">
        <f t="shared" si="0"/>
        <v>0.94339622641509424</v>
      </c>
    </row>
    <row r="33" spans="1:4" ht="14.25" customHeight="1">
      <c r="A33" s="13" t="s">
        <v>142</v>
      </c>
      <c r="B33" s="13">
        <v>1.24</v>
      </c>
      <c r="C33" s="2">
        <f t="shared" si="0"/>
        <v>0.80645161290322587</v>
      </c>
    </row>
    <row r="34" spans="1:4" ht="14.25" customHeight="1">
      <c r="A34" s="13" t="s">
        <v>143</v>
      </c>
      <c r="B34" s="13">
        <v>1.17</v>
      </c>
      <c r="C34" s="2">
        <f t="shared" si="0"/>
        <v>0.85470085470085477</v>
      </c>
    </row>
    <row r="35" spans="1:4" ht="14.25" customHeight="1">
      <c r="A35" s="13" t="s">
        <v>144</v>
      </c>
      <c r="B35" s="13">
        <v>1.1100000000000001</v>
      </c>
      <c r="C35" s="2">
        <f t="shared" si="0"/>
        <v>0.9009009009009008</v>
      </c>
    </row>
    <row r="36" spans="1:4" ht="14.25" customHeight="1">
      <c r="A36" s="13" t="s">
        <v>132</v>
      </c>
      <c r="B36" s="13">
        <v>1.08</v>
      </c>
      <c r="C36" s="2">
        <f t="shared" si="0"/>
        <v>0.92592592592592582</v>
      </c>
    </row>
    <row r="37" spans="1:4" ht="14.25" customHeight="1">
      <c r="A37" s="13" t="s">
        <v>145</v>
      </c>
      <c r="B37" s="13">
        <v>1.1100000000000001</v>
      </c>
      <c r="C37" s="2">
        <f t="shared" si="0"/>
        <v>0.9009009009009008</v>
      </c>
    </row>
    <row r="38" spans="1:4" ht="14.25" customHeight="1">
      <c r="A38" s="13" t="s">
        <v>146</v>
      </c>
      <c r="B38" s="13">
        <v>1.1100000000000001</v>
      </c>
      <c r="C38" s="2">
        <f t="shared" si="0"/>
        <v>0.9009009009009008</v>
      </c>
    </row>
    <row r="39" spans="1:4" ht="14.25" customHeight="1">
      <c r="A39" s="1" t="s">
        <v>37</v>
      </c>
      <c r="B39" s="14">
        <f>AVERAGE(B2:B38)</f>
        <v>1.1274324324324325</v>
      </c>
      <c r="C39" s="15">
        <f t="shared" si="0"/>
        <v>0.88697111350833024</v>
      </c>
      <c r="D39" s="15"/>
    </row>
    <row r="40" spans="1:4" ht="14.25" customHeight="1">
      <c r="A40" s="2" t="s">
        <v>29</v>
      </c>
      <c r="B40" s="14">
        <v>1.1272368421052634</v>
      </c>
      <c r="C40" s="15">
        <v>0.88712501459087201</v>
      </c>
    </row>
    <row r="41" spans="1:4" ht="14.25" customHeight="1"/>
    <row r="42" spans="1:4" ht="14.25" customHeight="1"/>
    <row r="43" spans="1:4" ht="14.25" customHeight="1"/>
    <row r="44" spans="1:4" ht="14.25" customHeight="1"/>
    <row r="45" spans="1:4" ht="14.25" customHeight="1"/>
    <row r="46" spans="1:4" ht="14.25" customHeight="1"/>
    <row r="47" spans="1:4" ht="14.25" customHeight="1"/>
    <row r="48" spans="1:4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39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28515625" customWidth="1"/>
    <col min="2" max="2" width="5.85546875" customWidth="1"/>
    <col min="3" max="6" width="14.28515625" customWidth="1"/>
    <col min="7" max="7" width="13" customWidth="1"/>
    <col min="8" max="8" width="18.5703125" customWidth="1"/>
    <col min="9" max="9" width="28.140625" customWidth="1"/>
    <col min="10" max="14" width="11.85546875" customWidth="1"/>
    <col min="15" max="16" width="19.85546875" customWidth="1"/>
    <col min="17" max="17" width="11" customWidth="1"/>
    <col min="18" max="18" width="17.140625" customWidth="1"/>
    <col min="19" max="19" width="19.5703125" customWidth="1"/>
    <col min="20" max="20" width="11.85546875" customWidth="1"/>
  </cols>
  <sheetData>
    <row r="1" spans="1:20" ht="73.5" customHeight="1">
      <c r="A1" s="1" t="s">
        <v>0</v>
      </c>
      <c r="B1" s="1" t="s">
        <v>1</v>
      </c>
      <c r="C1" s="1" t="s">
        <v>2</v>
      </c>
      <c r="D1" s="1" t="s">
        <v>102</v>
      </c>
      <c r="E1" s="1" t="s">
        <v>103</v>
      </c>
      <c r="F1" s="1" t="s">
        <v>95</v>
      </c>
      <c r="G1" s="1" t="s">
        <v>104</v>
      </c>
      <c r="H1" s="1" t="s">
        <v>94</v>
      </c>
      <c r="I1" s="1" t="s">
        <v>105</v>
      </c>
      <c r="J1" s="1" t="s">
        <v>80</v>
      </c>
      <c r="K1" s="1" t="s">
        <v>82</v>
      </c>
      <c r="L1" s="1" t="s">
        <v>96</v>
      </c>
      <c r="M1" s="1" t="s">
        <v>85</v>
      </c>
      <c r="N1" s="1" t="s">
        <v>86</v>
      </c>
      <c r="O1" s="1" t="s">
        <v>49</v>
      </c>
      <c r="P1" s="1" t="s">
        <v>106</v>
      </c>
      <c r="Q1" s="4" t="s">
        <v>87</v>
      </c>
      <c r="R1" s="26" t="s">
        <v>363</v>
      </c>
      <c r="S1" s="26" t="s">
        <v>362</v>
      </c>
      <c r="T1" s="1" t="s">
        <v>98</v>
      </c>
    </row>
    <row r="2" spans="1:20" ht="14.25" customHeight="1">
      <c r="A2" s="2" t="s">
        <v>15</v>
      </c>
      <c r="B2" s="2">
        <v>1900</v>
      </c>
      <c r="C2" s="2" t="s">
        <v>22</v>
      </c>
      <c r="G2" s="3"/>
      <c r="H2" s="3">
        <v>53.350436903068477</v>
      </c>
      <c r="I2" s="3">
        <f t="shared" ref="I2:I22" si="0">H2</f>
        <v>53.350436903068477</v>
      </c>
      <c r="J2" s="3" t="e">
        <v>#VALUE!</v>
      </c>
      <c r="K2" s="3" t="e">
        <v>#N/A</v>
      </c>
      <c r="L2" s="3"/>
      <c r="M2" s="3"/>
      <c r="N2" s="3"/>
      <c r="Q2" s="4" t="s">
        <v>99</v>
      </c>
      <c r="R2" s="2" t="s">
        <v>17</v>
      </c>
      <c r="S2" s="2">
        <f>I2*0.49</f>
        <v>26.141714082503555</v>
      </c>
    </row>
    <row r="3" spans="1:20" ht="14.25" customHeight="1">
      <c r="A3" s="2" t="s">
        <v>15</v>
      </c>
      <c r="B3" s="2">
        <v>1901</v>
      </c>
      <c r="C3" s="2" t="s">
        <v>22</v>
      </c>
      <c r="G3" s="3"/>
      <c r="H3" s="3">
        <v>52.851452956716116</v>
      </c>
      <c r="I3" s="3">
        <f t="shared" si="0"/>
        <v>52.851452956716116</v>
      </c>
      <c r="J3" s="3" t="e">
        <v>#N/A</v>
      </c>
      <c r="K3" s="3" t="e">
        <v>#N/A</v>
      </c>
      <c r="L3" s="3"/>
      <c r="M3" s="3"/>
      <c r="N3" s="3"/>
      <c r="Q3" s="4" t="s">
        <v>99</v>
      </c>
      <c r="R3" s="2" t="s">
        <v>17</v>
      </c>
      <c r="S3" s="2">
        <f>I3*0.49</f>
        <v>25.897211948790897</v>
      </c>
    </row>
    <row r="4" spans="1:20" ht="14.25" customHeight="1">
      <c r="A4" s="2" t="s">
        <v>15</v>
      </c>
      <c r="B4" s="2">
        <v>1902</v>
      </c>
      <c r="C4" s="2" t="s">
        <v>22</v>
      </c>
      <c r="G4" s="3"/>
      <c r="H4" s="3">
        <v>77.963218857955695</v>
      </c>
      <c r="I4" s="3">
        <f t="shared" si="0"/>
        <v>77.963218857955695</v>
      </c>
      <c r="J4" s="3" t="e">
        <v>#N/A</v>
      </c>
      <c r="K4" s="3" t="e">
        <v>#N/A</v>
      </c>
      <c r="L4" s="3"/>
      <c r="M4" s="3"/>
      <c r="N4" s="3"/>
      <c r="Q4" s="4" t="s">
        <v>99</v>
      </c>
      <c r="R4" s="2" t="s">
        <v>17</v>
      </c>
      <c r="S4" s="2">
        <f>I4*0.49</f>
        <v>38.201977240398293</v>
      </c>
    </row>
    <row r="5" spans="1:20" ht="14.25" customHeight="1">
      <c r="A5" s="2" t="s">
        <v>15</v>
      </c>
      <c r="B5" s="2">
        <v>1903</v>
      </c>
      <c r="C5" s="2" t="s">
        <v>22</v>
      </c>
      <c r="G5" s="3"/>
      <c r="H5" s="3" t="e">
        <v>#N/A</v>
      </c>
      <c r="I5" s="3" t="e">
        <f t="shared" si="0"/>
        <v>#N/A</v>
      </c>
      <c r="J5" s="3" t="e">
        <v>#N/A</v>
      </c>
      <c r="K5" s="3" t="e">
        <v>#N/A</v>
      </c>
      <c r="L5" s="3"/>
      <c r="M5" s="3"/>
      <c r="N5" s="3"/>
      <c r="Q5" s="4" t="s">
        <v>99</v>
      </c>
      <c r="R5" s="2" t="s">
        <v>17</v>
      </c>
      <c r="S5" s="2" t="e">
        <f>I5*0.49</f>
        <v>#N/A</v>
      </c>
    </row>
    <row r="6" spans="1:20" ht="14.25" customHeight="1">
      <c r="A6" s="2" t="s">
        <v>15</v>
      </c>
      <c r="B6" s="2">
        <v>1904</v>
      </c>
      <c r="C6" s="2" t="s">
        <v>22</v>
      </c>
      <c r="G6" s="3"/>
      <c r="H6" s="3" t="e">
        <v>#N/A</v>
      </c>
      <c r="I6" s="3" t="e">
        <f t="shared" si="0"/>
        <v>#N/A</v>
      </c>
      <c r="J6" s="3" t="e">
        <v>#N/A</v>
      </c>
      <c r="K6" s="3" t="e">
        <v>#N/A</v>
      </c>
      <c r="L6" s="3"/>
      <c r="M6" s="3"/>
      <c r="N6" s="3"/>
      <c r="Q6" s="4" t="s">
        <v>99</v>
      </c>
      <c r="R6" s="2" t="s">
        <v>17</v>
      </c>
      <c r="S6" s="2" t="e">
        <f>I6*0.49</f>
        <v>#N/A</v>
      </c>
    </row>
    <row r="7" spans="1:20" ht="14.25" customHeight="1">
      <c r="A7" s="2" t="s">
        <v>15</v>
      </c>
      <c r="B7" s="2">
        <v>1905</v>
      </c>
      <c r="C7" s="2" t="s">
        <v>22</v>
      </c>
      <c r="G7" s="3"/>
      <c r="H7" s="3" t="e">
        <v>#N/A</v>
      </c>
      <c r="I7" s="3" t="e">
        <f t="shared" si="0"/>
        <v>#N/A</v>
      </c>
      <c r="J7" s="3" t="e">
        <v>#VALUE!</v>
      </c>
      <c r="K7" s="3">
        <v>0</v>
      </c>
      <c r="L7" s="3"/>
      <c r="M7" s="3"/>
      <c r="N7" s="3"/>
      <c r="Q7" s="4" t="s">
        <v>99</v>
      </c>
      <c r="R7" s="2" t="s">
        <v>17</v>
      </c>
      <c r="S7" s="2" t="e">
        <f>I7*0.49</f>
        <v>#N/A</v>
      </c>
    </row>
    <row r="8" spans="1:20" ht="14.25" customHeight="1">
      <c r="A8" s="2" t="s">
        <v>15</v>
      </c>
      <c r="B8" s="2">
        <v>1906</v>
      </c>
      <c r="C8" s="2" t="s">
        <v>22</v>
      </c>
      <c r="G8" s="3"/>
      <c r="H8" s="3" t="e">
        <v>#N/A</v>
      </c>
      <c r="I8" s="3" t="e">
        <f t="shared" si="0"/>
        <v>#N/A</v>
      </c>
      <c r="J8" s="3" t="e">
        <v>#N/A</v>
      </c>
      <c r="K8" s="3" t="e">
        <v>#N/A</v>
      </c>
      <c r="L8" s="3"/>
      <c r="M8" s="3"/>
      <c r="N8" s="3"/>
      <c r="Q8" s="4" t="s">
        <v>99</v>
      </c>
      <c r="R8" s="2" t="s">
        <v>17</v>
      </c>
      <c r="S8" s="2" t="e">
        <f>I8*0.49</f>
        <v>#N/A</v>
      </c>
    </row>
    <row r="9" spans="1:20" ht="14.25" customHeight="1">
      <c r="A9" s="2" t="s">
        <v>15</v>
      </c>
      <c r="B9" s="2">
        <v>1907</v>
      </c>
      <c r="C9" s="2" t="s">
        <v>22</v>
      </c>
      <c r="G9" s="3"/>
      <c r="H9" s="3" t="e">
        <v>#N/A</v>
      </c>
      <c r="I9" s="3" t="e">
        <f t="shared" si="0"/>
        <v>#N/A</v>
      </c>
      <c r="J9" s="3" t="e">
        <v>#N/A</v>
      </c>
      <c r="K9" s="3" t="e">
        <v>#N/A</v>
      </c>
      <c r="L9" s="3"/>
      <c r="M9" s="3"/>
      <c r="N9" s="3"/>
      <c r="Q9" s="4" t="s">
        <v>99</v>
      </c>
      <c r="R9" s="2" t="s">
        <v>17</v>
      </c>
      <c r="S9" s="2" t="e">
        <f>I9*0.49</f>
        <v>#N/A</v>
      </c>
    </row>
    <row r="10" spans="1:20" ht="14.25" customHeight="1">
      <c r="A10" s="2" t="s">
        <v>15</v>
      </c>
      <c r="B10" s="2">
        <v>1908</v>
      </c>
      <c r="C10" s="2" t="s">
        <v>22</v>
      </c>
      <c r="G10" s="3"/>
      <c r="H10" s="3" t="e">
        <v>#N/A</v>
      </c>
      <c r="I10" s="3" t="e">
        <f t="shared" si="0"/>
        <v>#N/A</v>
      </c>
      <c r="J10" s="3" t="e">
        <v>#N/A</v>
      </c>
      <c r="K10" s="3" t="e">
        <v>#N/A</v>
      </c>
      <c r="L10" s="3"/>
      <c r="M10" s="3"/>
      <c r="N10" s="3"/>
      <c r="Q10" s="4" t="s">
        <v>99</v>
      </c>
      <c r="R10" s="2" t="s">
        <v>17</v>
      </c>
      <c r="S10" s="2" t="e">
        <f>I10*0.49</f>
        <v>#N/A</v>
      </c>
    </row>
    <row r="11" spans="1:20" ht="14.25" customHeight="1">
      <c r="A11" s="2" t="s">
        <v>15</v>
      </c>
      <c r="B11" s="2">
        <v>1910</v>
      </c>
      <c r="C11" s="2" t="s">
        <v>22</v>
      </c>
      <c r="G11" s="3"/>
      <c r="H11" s="3" t="e">
        <v>#N/A</v>
      </c>
      <c r="I11" s="3" t="e">
        <f t="shared" si="0"/>
        <v>#N/A</v>
      </c>
      <c r="J11" s="3">
        <v>16.046179638284901</v>
      </c>
      <c r="K11" s="3">
        <v>0</v>
      </c>
      <c r="L11" s="3"/>
      <c r="M11" s="3"/>
      <c r="N11" s="3"/>
      <c r="Q11" s="4" t="s">
        <v>99</v>
      </c>
      <c r="R11" s="2" t="s">
        <v>17</v>
      </c>
      <c r="S11" s="2" t="e">
        <f>I11*0.49</f>
        <v>#N/A</v>
      </c>
    </row>
    <row r="12" spans="1:20" ht="14.25" customHeight="1">
      <c r="A12" s="2" t="s">
        <v>15</v>
      </c>
      <c r="B12" s="2">
        <v>1911</v>
      </c>
      <c r="C12" s="2" t="s">
        <v>22</v>
      </c>
      <c r="G12" s="3"/>
      <c r="H12" s="3">
        <v>180.23816297500508</v>
      </c>
      <c r="I12" s="3">
        <f t="shared" si="0"/>
        <v>180.23816297500508</v>
      </c>
      <c r="J12" s="3" t="e">
        <v>#N/A</v>
      </c>
      <c r="K12" s="3" t="e">
        <v>#N/A</v>
      </c>
      <c r="L12" s="3"/>
      <c r="M12" s="3"/>
      <c r="N12" s="3"/>
      <c r="Q12" s="4" t="s">
        <v>99</v>
      </c>
      <c r="R12" s="2" t="s">
        <v>17</v>
      </c>
      <c r="S12" s="2">
        <f>I12*0.49</f>
        <v>88.316699857752482</v>
      </c>
    </row>
    <row r="13" spans="1:20" ht="14.25" customHeight="1">
      <c r="A13" s="2" t="s">
        <v>15</v>
      </c>
      <c r="B13" s="2">
        <v>1912</v>
      </c>
      <c r="C13" s="2" t="s">
        <v>22</v>
      </c>
      <c r="G13" s="3"/>
      <c r="H13" s="3">
        <v>173.06335094492988</v>
      </c>
      <c r="I13" s="3">
        <f t="shared" si="0"/>
        <v>173.06335094492988</v>
      </c>
      <c r="J13" s="3" t="e">
        <v>#N/A</v>
      </c>
      <c r="K13" s="3" t="e">
        <v>#N/A</v>
      </c>
      <c r="L13" s="3"/>
      <c r="M13" s="3"/>
      <c r="N13" s="3"/>
      <c r="Q13" s="4" t="s">
        <v>99</v>
      </c>
      <c r="R13" s="2" t="s">
        <v>17</v>
      </c>
      <c r="S13" s="2">
        <f>I13*0.49</f>
        <v>84.801041963015635</v>
      </c>
    </row>
    <row r="14" spans="1:20" ht="14.25" customHeight="1">
      <c r="A14" s="2" t="s">
        <v>15</v>
      </c>
      <c r="B14" s="2">
        <v>1913</v>
      </c>
      <c r="C14" s="2" t="s">
        <v>22</v>
      </c>
      <c r="G14" s="3"/>
      <c r="H14" s="3">
        <v>178.52174354805933</v>
      </c>
      <c r="I14" s="3">
        <f t="shared" si="0"/>
        <v>178.52174354805933</v>
      </c>
      <c r="J14" s="3" t="e">
        <v>#N/A</v>
      </c>
      <c r="K14" s="3" t="e">
        <v>#N/A</v>
      </c>
      <c r="L14" s="3"/>
      <c r="M14" s="3"/>
      <c r="N14" s="3"/>
      <c r="Q14" s="4" t="s">
        <v>99</v>
      </c>
      <c r="R14" s="2" t="s">
        <v>17</v>
      </c>
      <c r="S14" s="2">
        <f>I14*0.49</f>
        <v>87.475654338549077</v>
      </c>
    </row>
    <row r="15" spans="1:20" ht="14.25" customHeight="1">
      <c r="A15" s="2" t="s">
        <v>15</v>
      </c>
      <c r="B15" s="2">
        <v>1914</v>
      </c>
      <c r="C15" s="2" t="s">
        <v>22</v>
      </c>
      <c r="G15" s="3"/>
      <c r="H15" s="3" t="e">
        <v>#N/A</v>
      </c>
      <c r="I15" s="3" t="e">
        <f t="shared" si="0"/>
        <v>#N/A</v>
      </c>
      <c r="J15" s="3">
        <v>22.562233285917497</v>
      </c>
      <c r="K15" s="3">
        <v>0</v>
      </c>
      <c r="L15" s="3"/>
      <c r="M15" s="3"/>
      <c r="N15" s="3"/>
      <c r="Q15" s="4" t="s">
        <v>100</v>
      </c>
      <c r="R15" s="2" t="s">
        <v>17</v>
      </c>
      <c r="S15" s="2" t="e">
        <f>I15*0.49</f>
        <v>#N/A</v>
      </c>
    </row>
    <row r="16" spans="1:20" ht="14.25" customHeight="1">
      <c r="A16" s="2" t="s">
        <v>15</v>
      </c>
      <c r="B16" s="2">
        <v>1915</v>
      </c>
      <c r="C16" s="2" t="s">
        <v>22</v>
      </c>
      <c r="G16" s="3"/>
      <c r="H16" s="3" t="e">
        <v>#N/A</v>
      </c>
      <c r="I16" s="3" t="e">
        <f t="shared" si="0"/>
        <v>#N/A</v>
      </c>
      <c r="J16" s="3">
        <v>7.7486283275756955</v>
      </c>
      <c r="K16" s="3">
        <v>0</v>
      </c>
      <c r="L16" s="3"/>
      <c r="M16" s="3"/>
      <c r="N16" s="3"/>
      <c r="Q16" s="4" t="s">
        <v>100</v>
      </c>
      <c r="R16" s="2" t="s">
        <v>17</v>
      </c>
      <c r="S16" s="2" t="e">
        <f>I16*0.49</f>
        <v>#N/A</v>
      </c>
    </row>
    <row r="17" spans="1:19" ht="14.25" customHeight="1">
      <c r="A17" s="2" t="s">
        <v>15</v>
      </c>
      <c r="B17" s="2">
        <v>1916</v>
      </c>
      <c r="C17" s="2" t="s">
        <v>22</v>
      </c>
      <c r="G17" s="3"/>
      <c r="H17" s="3" t="e">
        <v>#N/A</v>
      </c>
      <c r="I17" s="3" t="e">
        <f t="shared" si="0"/>
        <v>#N/A</v>
      </c>
      <c r="J17" s="3">
        <v>7.5617252590936799</v>
      </c>
      <c r="K17" s="3">
        <v>0</v>
      </c>
      <c r="L17" s="3"/>
      <c r="M17" s="3"/>
      <c r="N17" s="3"/>
      <c r="Q17" s="4" t="s">
        <v>100</v>
      </c>
      <c r="R17" s="2" t="s">
        <v>17</v>
      </c>
      <c r="S17" s="2" t="e">
        <f>I17*0.49</f>
        <v>#N/A</v>
      </c>
    </row>
    <row r="18" spans="1:19" ht="14.25" customHeight="1">
      <c r="A18" s="2" t="s">
        <v>15</v>
      </c>
      <c r="B18" s="2">
        <v>1917</v>
      </c>
      <c r="C18" s="2" t="s">
        <v>22</v>
      </c>
      <c r="G18" s="3"/>
      <c r="H18" s="3" t="e">
        <v>#N/A</v>
      </c>
      <c r="I18" s="3" t="e">
        <f t="shared" si="0"/>
        <v>#N/A</v>
      </c>
      <c r="J18" s="3">
        <v>6.2660028449502132</v>
      </c>
      <c r="K18" s="3">
        <v>0</v>
      </c>
      <c r="L18" s="3"/>
      <c r="M18" s="3"/>
      <c r="N18" s="3"/>
      <c r="Q18" s="4" t="s">
        <v>100</v>
      </c>
      <c r="R18" s="2" t="s">
        <v>17</v>
      </c>
      <c r="S18" s="2" t="e">
        <f>I18*0.49</f>
        <v>#N/A</v>
      </c>
    </row>
    <row r="19" spans="1:19" ht="14.25" customHeight="1">
      <c r="A19" s="2" t="s">
        <v>15</v>
      </c>
      <c r="B19" s="2">
        <v>1918</v>
      </c>
      <c r="C19" s="2" t="s">
        <v>22</v>
      </c>
      <c r="G19" s="3"/>
      <c r="H19" s="3" t="e">
        <v>#N/A</v>
      </c>
      <c r="I19" s="3" t="e">
        <f t="shared" si="0"/>
        <v>#N/A</v>
      </c>
      <c r="J19" s="3">
        <v>5.0864153627311515</v>
      </c>
      <c r="K19" s="3">
        <v>0</v>
      </c>
      <c r="L19" s="3"/>
      <c r="M19" s="3"/>
      <c r="N19" s="3"/>
      <c r="Q19" s="4" t="s">
        <v>100</v>
      </c>
      <c r="R19" s="2" t="s">
        <v>17</v>
      </c>
      <c r="S19" s="2" t="e">
        <f>I19*0.49</f>
        <v>#N/A</v>
      </c>
    </row>
    <row r="20" spans="1:19" ht="14.25" customHeight="1">
      <c r="A20" s="2" t="s">
        <v>15</v>
      </c>
      <c r="B20" s="2">
        <v>1919</v>
      </c>
      <c r="C20" s="2" t="s">
        <v>22</v>
      </c>
      <c r="G20" s="3"/>
      <c r="H20" s="3">
        <v>111.814163787848</v>
      </c>
      <c r="I20" s="3">
        <f t="shared" si="0"/>
        <v>111.814163787848</v>
      </c>
      <c r="J20" s="3">
        <v>7.5151900020321074</v>
      </c>
      <c r="K20" s="3">
        <v>0</v>
      </c>
      <c r="L20" s="3"/>
      <c r="M20" s="3"/>
      <c r="N20" s="3"/>
      <c r="Q20" s="4" t="s">
        <v>99</v>
      </c>
      <c r="R20" s="2" t="s">
        <v>17</v>
      </c>
      <c r="S20" s="2">
        <f>I20*0.49</f>
        <v>54.788940256045521</v>
      </c>
    </row>
    <row r="21" spans="1:19" ht="14.25" customHeight="1">
      <c r="A21" s="2" t="s">
        <v>15</v>
      </c>
      <c r="B21" s="2">
        <v>1920</v>
      </c>
      <c r="C21" s="2" t="s">
        <v>22</v>
      </c>
      <c r="G21" s="3"/>
      <c r="H21" s="3">
        <v>175.51016053647632</v>
      </c>
      <c r="I21" s="3">
        <f t="shared" si="0"/>
        <v>175.51016053647632</v>
      </c>
      <c r="J21" s="3">
        <v>9.4143974801869543</v>
      </c>
      <c r="K21" s="3" t="e">
        <v>#N/A</v>
      </c>
      <c r="L21" s="3"/>
      <c r="M21" s="3"/>
      <c r="N21" s="3"/>
      <c r="Q21" s="4" t="s">
        <v>99</v>
      </c>
      <c r="R21" s="2" t="s">
        <v>17</v>
      </c>
      <c r="S21" s="2">
        <f>I21*0.49</f>
        <v>85.999978662873389</v>
      </c>
    </row>
    <row r="22" spans="1:19" ht="14.25" customHeight="1">
      <c r="A22" s="2" t="s">
        <v>15</v>
      </c>
      <c r="B22" s="2">
        <v>1921</v>
      </c>
      <c r="C22" s="2" t="s">
        <v>22</v>
      </c>
      <c r="G22" s="3"/>
      <c r="H22" s="3">
        <v>139.91515952042266</v>
      </c>
      <c r="I22" s="3">
        <f t="shared" si="0"/>
        <v>139.91515952042266</v>
      </c>
      <c r="J22" s="3" t="e">
        <v>#N/A</v>
      </c>
      <c r="K22" s="3" t="e">
        <v>#N/A</v>
      </c>
      <c r="L22" s="3"/>
      <c r="M22" s="3"/>
      <c r="N22" s="3"/>
      <c r="Q22" s="4" t="s">
        <v>99</v>
      </c>
      <c r="R22" s="2" t="s">
        <v>17</v>
      </c>
      <c r="S22" s="2">
        <f>I22*0.49</f>
        <v>68.558428165007101</v>
      </c>
    </row>
    <row r="23" spans="1:19" ht="14.25" customHeight="1">
      <c r="A23" s="2" t="s">
        <v>15</v>
      </c>
      <c r="B23" s="2">
        <v>1922</v>
      </c>
      <c r="C23" s="2" t="s">
        <v>22</v>
      </c>
      <c r="G23" s="3"/>
      <c r="H23" s="3">
        <v>157.00055882950619</v>
      </c>
      <c r="I23" s="3">
        <f t="shared" ref="I23:I56" si="1">H23*1.0078</f>
        <v>158.22516318837634</v>
      </c>
      <c r="J23" s="3" t="e">
        <v>#N/A</v>
      </c>
      <c r="K23" s="3" t="e">
        <v>#N/A</v>
      </c>
      <c r="L23" s="3"/>
      <c r="M23" s="3"/>
      <c r="N23" s="3"/>
      <c r="Q23" s="4" t="s">
        <v>99</v>
      </c>
      <c r="R23" s="2" t="s">
        <v>17</v>
      </c>
      <c r="S23" s="2">
        <f>I23*0.49</f>
        <v>77.530329962304407</v>
      </c>
    </row>
    <row r="24" spans="1:19" ht="14.25" customHeight="1">
      <c r="A24" s="2" t="s">
        <v>15</v>
      </c>
      <c r="B24" s="2">
        <v>1923</v>
      </c>
      <c r="C24" s="2" t="s">
        <v>22</v>
      </c>
      <c r="G24" s="3"/>
      <c r="H24" s="3">
        <v>130.19731761837025</v>
      </c>
      <c r="I24" s="3">
        <f t="shared" si="1"/>
        <v>131.21285669579353</v>
      </c>
      <c r="J24" s="3" t="e">
        <v>#N/A</v>
      </c>
      <c r="K24" s="3" t="e">
        <v>#N/A</v>
      </c>
      <c r="L24" s="3"/>
      <c r="M24" s="3"/>
      <c r="N24" s="3"/>
      <c r="Q24" s="4" t="s">
        <v>99</v>
      </c>
      <c r="R24" s="2" t="s">
        <v>17</v>
      </c>
      <c r="S24" s="2">
        <f>I24*0.49</f>
        <v>64.294299780938829</v>
      </c>
    </row>
    <row r="25" spans="1:19" ht="14.25" customHeight="1">
      <c r="A25" s="2" t="s">
        <v>15</v>
      </c>
      <c r="B25" s="2">
        <v>1924</v>
      </c>
      <c r="C25" s="2" t="s">
        <v>22</v>
      </c>
      <c r="G25" s="3"/>
      <c r="H25" s="3">
        <v>159.63858971753709</v>
      </c>
      <c r="I25" s="3">
        <f t="shared" si="1"/>
        <v>160.88377071733387</v>
      </c>
      <c r="J25" s="3" t="e">
        <v>#N/A</v>
      </c>
      <c r="K25" s="3" t="e">
        <v>#N/A</v>
      </c>
      <c r="L25" s="3"/>
      <c r="M25" s="3"/>
      <c r="N25" s="3"/>
      <c r="Q25" s="4" t="s">
        <v>99</v>
      </c>
      <c r="R25" s="2" t="s">
        <v>17</v>
      </c>
      <c r="S25" s="2">
        <f>I25*0.49</f>
        <v>78.833047651493601</v>
      </c>
    </row>
    <row r="26" spans="1:19" ht="14.25" customHeight="1">
      <c r="A26" s="2" t="s">
        <v>15</v>
      </c>
      <c r="B26" s="2">
        <v>1925</v>
      </c>
      <c r="C26" s="2" t="s">
        <v>22</v>
      </c>
      <c r="G26" s="3"/>
      <c r="H26" s="3">
        <v>167.40738671001827</v>
      </c>
      <c r="I26" s="3">
        <f t="shared" si="1"/>
        <v>168.71316432635641</v>
      </c>
      <c r="J26" s="3">
        <v>24.230390164600689</v>
      </c>
      <c r="K26" s="3">
        <v>53.07147937411095</v>
      </c>
      <c r="L26" s="3"/>
      <c r="M26" s="3"/>
      <c r="N26" s="3"/>
      <c r="Q26" s="4" t="s">
        <v>99</v>
      </c>
      <c r="R26" s="2" t="s">
        <v>17</v>
      </c>
      <c r="S26" s="2">
        <f>I26*0.49</f>
        <v>82.669450519914633</v>
      </c>
    </row>
    <row r="27" spans="1:19" ht="14.25" customHeight="1">
      <c r="A27" s="2" t="s">
        <v>15</v>
      </c>
      <c r="B27" s="2">
        <v>1926</v>
      </c>
      <c r="C27" s="2" t="s">
        <v>22</v>
      </c>
      <c r="G27" s="3"/>
      <c r="H27" s="3">
        <v>169.25863645600487</v>
      </c>
      <c r="I27" s="3">
        <f t="shared" si="1"/>
        <v>170.5788538203617</v>
      </c>
      <c r="J27" s="3" t="e">
        <v>#N/A</v>
      </c>
      <c r="K27" s="3" t="e">
        <v>#N/A</v>
      </c>
      <c r="L27" s="3"/>
      <c r="M27" s="3"/>
      <c r="N27" s="3"/>
      <c r="Q27" s="4" t="s">
        <v>99</v>
      </c>
      <c r="R27" s="2" t="s">
        <v>17</v>
      </c>
      <c r="S27" s="2">
        <f>I27*0.49</f>
        <v>83.58363837197723</v>
      </c>
    </row>
    <row r="28" spans="1:19" ht="14.25" customHeight="1">
      <c r="A28" s="2" t="s">
        <v>15</v>
      </c>
      <c r="B28" s="2">
        <v>1927</v>
      </c>
      <c r="C28" s="2" t="s">
        <v>22</v>
      </c>
      <c r="G28" s="3"/>
      <c r="H28" s="3">
        <v>184.11740499898391</v>
      </c>
      <c r="I28" s="3">
        <f t="shared" si="1"/>
        <v>185.553520757976</v>
      </c>
      <c r="J28" s="3" t="e">
        <v>#N/A</v>
      </c>
      <c r="K28" s="3" t="e">
        <v>#N/A</v>
      </c>
      <c r="L28" s="3"/>
      <c r="M28" s="3"/>
      <c r="N28" s="3"/>
      <c r="Q28" s="4" t="s">
        <v>99</v>
      </c>
      <c r="R28" s="2" t="s">
        <v>17</v>
      </c>
      <c r="S28" s="2">
        <f>I28*0.49</f>
        <v>90.921225171408238</v>
      </c>
    </row>
    <row r="29" spans="1:19" ht="14.25" customHeight="1">
      <c r="A29" s="2" t="s">
        <v>15</v>
      </c>
      <c r="B29" s="2">
        <v>1928</v>
      </c>
      <c r="C29" s="2" t="s">
        <v>22</v>
      </c>
      <c r="G29" s="3"/>
      <c r="H29" s="3">
        <v>167.84667750457223</v>
      </c>
      <c r="I29" s="3">
        <f t="shared" si="1"/>
        <v>169.15588158910791</v>
      </c>
      <c r="J29" s="3" t="e">
        <v>#N/A</v>
      </c>
      <c r="K29" s="3" t="e">
        <v>#N/A</v>
      </c>
      <c r="L29" s="3"/>
      <c r="M29" s="3"/>
      <c r="N29" s="3"/>
      <c r="Q29" s="4" t="s">
        <v>99</v>
      </c>
      <c r="R29" s="2" t="s">
        <v>17</v>
      </c>
      <c r="S29" s="2">
        <f>I29*0.49</f>
        <v>82.886381978662868</v>
      </c>
    </row>
    <row r="30" spans="1:19" ht="14.25" customHeight="1">
      <c r="A30" s="2" t="s">
        <v>15</v>
      </c>
      <c r="B30" s="2">
        <v>1929</v>
      </c>
      <c r="C30" s="2" t="s">
        <v>22</v>
      </c>
      <c r="G30" s="3"/>
      <c r="H30" s="3">
        <v>183.44127209916681</v>
      </c>
      <c r="I30" s="3">
        <f t="shared" si="1"/>
        <v>184.87211402154031</v>
      </c>
      <c r="J30" s="3" t="e">
        <v>#N/A</v>
      </c>
      <c r="K30" s="3" t="e">
        <v>#N/A</v>
      </c>
      <c r="L30" s="3"/>
      <c r="M30" s="3"/>
      <c r="N30" s="3"/>
      <c r="Q30" s="4" t="s">
        <v>99</v>
      </c>
      <c r="R30" s="2" t="s">
        <v>17</v>
      </c>
      <c r="S30" s="2">
        <f>I30*0.49</f>
        <v>90.587335870554753</v>
      </c>
    </row>
    <row r="31" spans="1:19" ht="14.25" customHeight="1">
      <c r="A31" s="2" t="s">
        <v>15</v>
      </c>
      <c r="B31" s="2">
        <v>1930</v>
      </c>
      <c r="C31" s="2" t="s">
        <v>22</v>
      </c>
      <c r="G31" s="3"/>
      <c r="H31" s="3">
        <v>249.22678317415159</v>
      </c>
      <c r="I31" s="3">
        <f t="shared" si="1"/>
        <v>251.17075208290998</v>
      </c>
      <c r="J31" s="3">
        <v>19.494614915667544</v>
      </c>
      <c r="K31" s="3">
        <v>54.499491973176184</v>
      </c>
      <c r="L31" s="3"/>
      <c r="M31" s="3"/>
      <c r="N31" s="3"/>
      <c r="Q31" s="4" t="s">
        <v>99</v>
      </c>
      <c r="R31" s="2" t="s">
        <v>17</v>
      </c>
      <c r="S31" s="2">
        <f>I31*0.49</f>
        <v>123.07366852062589</v>
      </c>
    </row>
    <row r="32" spans="1:19" ht="14.25" customHeight="1">
      <c r="A32" s="2" t="s">
        <v>15</v>
      </c>
      <c r="B32" s="2">
        <v>1931</v>
      </c>
      <c r="C32" s="2" t="s">
        <v>22</v>
      </c>
      <c r="G32" s="3"/>
      <c r="H32" s="3">
        <v>263.07041251778088</v>
      </c>
      <c r="I32" s="3">
        <f t="shared" si="1"/>
        <v>265.12236173541959</v>
      </c>
      <c r="J32" s="3" t="e">
        <v>#N/A</v>
      </c>
      <c r="K32" s="3" t="e">
        <v>#N/A</v>
      </c>
      <c r="L32" s="3"/>
      <c r="M32" s="3"/>
      <c r="N32" s="3"/>
      <c r="Q32" s="4" t="s">
        <v>99</v>
      </c>
      <c r="R32" s="2" t="s">
        <v>17</v>
      </c>
      <c r="S32" s="2">
        <f>I32*0.49</f>
        <v>129.9099572503556</v>
      </c>
    </row>
    <row r="33" spans="1:19" ht="14.25" customHeight="1">
      <c r="A33" s="2" t="s">
        <v>15</v>
      </c>
      <c r="B33" s="2">
        <v>1932</v>
      </c>
      <c r="C33" s="2" t="s">
        <v>22</v>
      </c>
      <c r="G33" s="3"/>
      <c r="H33" s="3">
        <v>281.51640926640925</v>
      </c>
      <c r="I33" s="3">
        <f t="shared" si="1"/>
        <v>283.71223725868725</v>
      </c>
      <c r="J33" s="3" t="e">
        <v>#N/A</v>
      </c>
      <c r="K33" s="3" t="e">
        <v>#N/A</v>
      </c>
      <c r="L33" s="3"/>
      <c r="M33" s="3"/>
      <c r="N33" s="3"/>
      <c r="Q33" s="4" t="s">
        <v>99</v>
      </c>
      <c r="R33" s="2" t="s">
        <v>17</v>
      </c>
      <c r="S33" s="2">
        <f>I33*0.49</f>
        <v>139.01899625675676</v>
      </c>
    </row>
    <row r="34" spans="1:19" ht="14.25" customHeight="1">
      <c r="A34" s="2" t="s">
        <v>15</v>
      </c>
      <c r="B34" s="2">
        <v>1933</v>
      </c>
      <c r="C34" s="2" t="s">
        <v>22</v>
      </c>
      <c r="G34" s="3"/>
      <c r="H34" s="3">
        <v>281.127667140825</v>
      </c>
      <c r="I34" s="3">
        <f t="shared" si="1"/>
        <v>283.32046294452346</v>
      </c>
      <c r="J34" s="3" t="e">
        <v>#N/A</v>
      </c>
      <c r="K34" s="3" t="e">
        <v>#N/A</v>
      </c>
      <c r="L34" s="3"/>
      <c r="M34" s="3"/>
      <c r="N34" s="3"/>
      <c r="Q34" s="4" t="s">
        <v>99</v>
      </c>
      <c r="R34" s="2" t="s">
        <v>17</v>
      </c>
      <c r="S34" s="2">
        <f>I34*0.49</f>
        <v>138.82702684281648</v>
      </c>
    </row>
    <row r="35" spans="1:19" ht="14.25" customHeight="1">
      <c r="A35" s="2" t="s">
        <v>15</v>
      </c>
      <c r="B35" s="2">
        <v>1934</v>
      </c>
      <c r="C35" s="2" t="s">
        <v>22</v>
      </c>
      <c r="G35" s="3"/>
      <c r="H35" s="3">
        <v>281.91246697825642</v>
      </c>
      <c r="I35" s="3">
        <f t="shared" si="1"/>
        <v>284.11138422068683</v>
      </c>
      <c r="J35" s="3" t="e">
        <v>#N/A</v>
      </c>
      <c r="K35" s="3" t="e">
        <v>#N/A</v>
      </c>
      <c r="L35" s="3"/>
      <c r="M35" s="3"/>
      <c r="N35" s="3"/>
      <c r="Q35" s="4" t="s">
        <v>99</v>
      </c>
      <c r="R35" s="2" t="s">
        <v>17</v>
      </c>
      <c r="S35" s="2">
        <f>I35*0.49</f>
        <v>139.21457826813653</v>
      </c>
    </row>
    <row r="36" spans="1:19" ht="14.25" customHeight="1">
      <c r="A36" s="2" t="s">
        <v>15</v>
      </c>
      <c r="B36" s="2">
        <v>1935</v>
      </c>
      <c r="C36" s="2" t="s">
        <v>22</v>
      </c>
      <c r="G36" s="3"/>
      <c r="H36" s="3">
        <v>309.74344645397275</v>
      </c>
      <c r="I36" s="3">
        <f t="shared" si="1"/>
        <v>312.15944533631375</v>
      </c>
      <c r="J36" s="3">
        <v>12.804816094289778</v>
      </c>
      <c r="K36" s="3">
        <v>24.613035968299126</v>
      </c>
      <c r="L36" s="3"/>
      <c r="M36" s="3"/>
      <c r="N36" s="3"/>
      <c r="Q36" s="4" t="s">
        <v>99</v>
      </c>
      <c r="R36" s="2" t="s">
        <v>17</v>
      </c>
      <c r="S36" s="2">
        <f>I36*0.49</f>
        <v>152.95812821479373</v>
      </c>
    </row>
    <row r="37" spans="1:19" ht="14.25" customHeight="1">
      <c r="A37" s="2" t="s">
        <v>15</v>
      </c>
      <c r="B37" s="2">
        <v>1936</v>
      </c>
      <c r="C37" s="2" t="s">
        <v>22</v>
      </c>
      <c r="G37" s="3"/>
      <c r="H37" s="3">
        <v>360.29638284901444</v>
      </c>
      <c r="I37" s="3">
        <f t="shared" si="1"/>
        <v>363.10669463523675</v>
      </c>
      <c r="J37" s="3" t="e">
        <v>#N/A</v>
      </c>
      <c r="K37" s="3" t="e">
        <v>#N/A</v>
      </c>
      <c r="L37" s="3"/>
      <c r="M37" s="3"/>
      <c r="N37" s="3"/>
      <c r="Q37" s="4" t="s">
        <v>99</v>
      </c>
      <c r="R37" s="2" t="s">
        <v>17</v>
      </c>
      <c r="S37" s="2">
        <f>I37*0.49</f>
        <v>177.922280371266</v>
      </c>
    </row>
    <row r="38" spans="1:19" ht="14.25" customHeight="1">
      <c r="A38" s="2" t="s">
        <v>15</v>
      </c>
      <c r="B38" s="2">
        <v>1937</v>
      </c>
      <c r="C38" s="2" t="s">
        <v>22</v>
      </c>
      <c r="G38" s="3"/>
      <c r="H38" s="3">
        <v>381.55623856939644</v>
      </c>
      <c r="I38" s="3">
        <f t="shared" si="1"/>
        <v>384.53237723023773</v>
      </c>
      <c r="J38" s="3" t="e">
        <v>#N/A</v>
      </c>
      <c r="K38" s="3" t="e">
        <v>#N/A</v>
      </c>
      <c r="L38" s="3"/>
      <c r="M38" s="3"/>
      <c r="N38" s="3"/>
      <c r="Q38" s="4" t="s">
        <v>99</v>
      </c>
      <c r="R38" s="2" t="s">
        <v>17</v>
      </c>
      <c r="S38" s="2">
        <f>I38*0.49</f>
        <v>188.42086484281648</v>
      </c>
    </row>
    <row r="39" spans="1:19" ht="14.25" customHeight="1">
      <c r="A39" s="2" t="s">
        <v>15</v>
      </c>
      <c r="B39" s="2">
        <v>1938</v>
      </c>
      <c r="C39" s="2" t="s">
        <v>22</v>
      </c>
      <c r="G39" s="3"/>
      <c r="H39" s="3">
        <v>355.32142857142856</v>
      </c>
      <c r="I39" s="3">
        <f t="shared" si="1"/>
        <v>358.09293571428572</v>
      </c>
      <c r="J39" s="3" t="e">
        <v>#N/A</v>
      </c>
      <c r="K39" s="3" t="e">
        <v>#N/A</v>
      </c>
      <c r="L39" s="3"/>
      <c r="M39" s="3"/>
      <c r="N39" s="3"/>
      <c r="Q39" s="4" t="s">
        <v>99</v>
      </c>
      <c r="R39" s="2" t="s">
        <v>17</v>
      </c>
      <c r="S39" s="2">
        <f>I39*0.49</f>
        <v>175.46553850000001</v>
      </c>
    </row>
    <row r="40" spans="1:19" ht="14.25" customHeight="1">
      <c r="A40" s="2" t="s">
        <v>15</v>
      </c>
      <c r="B40" s="2">
        <v>1939</v>
      </c>
      <c r="C40" s="2" t="s">
        <v>22</v>
      </c>
      <c r="G40" s="3"/>
      <c r="H40" s="3">
        <v>264.67140825035563</v>
      </c>
      <c r="I40" s="3">
        <f t="shared" si="1"/>
        <v>266.73584523470839</v>
      </c>
      <c r="J40" s="3" t="e">
        <v>#N/A</v>
      </c>
      <c r="K40" s="3" t="e">
        <v>#N/A</v>
      </c>
      <c r="L40" s="3"/>
      <c r="M40" s="3"/>
      <c r="N40" s="3"/>
      <c r="Q40" s="4" t="s">
        <v>100</v>
      </c>
      <c r="R40" s="2" t="s">
        <v>17</v>
      </c>
      <c r="S40" s="2">
        <f>I40*0.49</f>
        <v>130.70056416500711</v>
      </c>
    </row>
    <row r="41" spans="1:19" ht="14.25" customHeight="1">
      <c r="A41" s="2" t="s">
        <v>15</v>
      </c>
      <c r="B41" s="2">
        <v>1940</v>
      </c>
      <c r="C41" s="2" t="s">
        <v>22</v>
      </c>
      <c r="G41" s="3"/>
      <c r="H41" s="3">
        <v>63.935836212151997</v>
      </c>
      <c r="I41" s="3">
        <f t="shared" si="1"/>
        <v>64.434535734606783</v>
      </c>
      <c r="J41" s="3">
        <v>3.2484759195285511</v>
      </c>
      <c r="K41" s="3">
        <v>92.804409672830715</v>
      </c>
      <c r="L41" s="3"/>
      <c r="M41" s="3"/>
      <c r="N41" s="3"/>
      <c r="Q41" s="4" t="s">
        <v>100</v>
      </c>
      <c r="R41" s="2" t="s">
        <v>17</v>
      </c>
      <c r="S41" s="2">
        <f>I41*0.49</f>
        <v>31.572922509957323</v>
      </c>
    </row>
    <row r="42" spans="1:19" ht="14.25" customHeight="1">
      <c r="A42" s="2" t="s">
        <v>15</v>
      </c>
      <c r="B42" s="2">
        <v>1941</v>
      </c>
      <c r="C42" s="2" t="s">
        <v>22</v>
      </c>
      <c r="G42" s="3"/>
      <c r="H42" s="3">
        <v>43.869995935785411</v>
      </c>
      <c r="I42" s="3">
        <f t="shared" si="1"/>
        <v>44.212181904084538</v>
      </c>
      <c r="J42" s="3" t="e">
        <v>#N/A</v>
      </c>
      <c r="K42" s="3" t="e">
        <v>#N/A</v>
      </c>
      <c r="L42" s="3"/>
      <c r="M42" s="3"/>
      <c r="N42" s="3"/>
      <c r="Q42" s="4" t="s">
        <v>100</v>
      </c>
      <c r="R42" s="2" t="s">
        <v>17</v>
      </c>
      <c r="S42" s="2">
        <f>I42*0.49</f>
        <v>21.663969133001423</v>
      </c>
    </row>
    <row r="43" spans="1:19" ht="14.25" customHeight="1">
      <c r="A43" s="2" t="s">
        <v>15</v>
      </c>
      <c r="B43" s="2">
        <v>1942</v>
      </c>
      <c r="C43" s="2" t="s">
        <v>22</v>
      </c>
      <c r="G43" s="3"/>
      <c r="H43" s="3">
        <v>54.533224954277586</v>
      </c>
      <c r="I43" s="3">
        <f t="shared" si="1"/>
        <v>54.958584108920952</v>
      </c>
      <c r="J43" s="3">
        <v>3.2374517374517371</v>
      </c>
      <c r="K43" s="3">
        <v>86.404440154440152</v>
      </c>
      <c r="L43" s="3"/>
      <c r="M43" s="3"/>
      <c r="N43" s="3"/>
      <c r="Q43" s="4" t="s">
        <v>100</v>
      </c>
      <c r="R43" s="2" t="s">
        <v>17</v>
      </c>
      <c r="S43" s="2">
        <f>I43*0.49</f>
        <v>26.929706213371265</v>
      </c>
    </row>
    <row r="44" spans="1:19" ht="14.25" customHeight="1">
      <c r="A44" s="2" t="s">
        <v>15</v>
      </c>
      <c r="B44" s="2">
        <v>1943</v>
      </c>
      <c r="C44" s="2" t="s">
        <v>22</v>
      </c>
      <c r="G44" s="3"/>
      <c r="H44" s="3">
        <v>71.806187766714075</v>
      </c>
      <c r="I44" s="3">
        <f t="shared" si="1"/>
        <v>72.366276031294447</v>
      </c>
      <c r="J44" s="3" t="e">
        <v>#N/A</v>
      </c>
      <c r="K44" s="3" t="e">
        <v>#N/A</v>
      </c>
      <c r="L44" s="3"/>
      <c r="M44" s="3"/>
      <c r="N44" s="3"/>
      <c r="Q44" s="4" t="s">
        <v>100</v>
      </c>
      <c r="R44" s="2" t="s">
        <v>17</v>
      </c>
      <c r="S44" s="2">
        <f>I44*0.49</f>
        <v>35.459475255334276</v>
      </c>
    </row>
    <row r="45" spans="1:19" ht="14.25" customHeight="1">
      <c r="A45" s="2" t="s">
        <v>15</v>
      </c>
      <c r="B45" s="2">
        <v>1944</v>
      </c>
      <c r="C45" s="2" t="s">
        <v>22</v>
      </c>
      <c r="G45" s="3"/>
      <c r="H45" s="3">
        <v>76.730136151188788</v>
      </c>
      <c r="I45" s="3">
        <f t="shared" si="1"/>
        <v>77.328631213168066</v>
      </c>
      <c r="J45" s="3">
        <v>0</v>
      </c>
      <c r="K45" s="3">
        <v>123.36461085145295</v>
      </c>
      <c r="L45" s="3"/>
      <c r="M45" s="3"/>
      <c r="N45" s="3"/>
      <c r="Q45" s="4" t="s">
        <v>100</v>
      </c>
      <c r="R45" s="2" t="s">
        <v>17</v>
      </c>
      <c r="S45" s="2">
        <f>I45*0.49</f>
        <v>37.891029294452352</v>
      </c>
    </row>
    <row r="46" spans="1:19" ht="14.25" customHeight="1">
      <c r="A46" s="2" t="s">
        <v>15</v>
      </c>
      <c r="B46" s="2">
        <v>1945</v>
      </c>
      <c r="C46" s="2" t="s">
        <v>22</v>
      </c>
      <c r="G46" s="3"/>
      <c r="H46" s="3">
        <v>120.825746799431</v>
      </c>
      <c r="I46" s="3">
        <f t="shared" si="1"/>
        <v>121.76818762446656</v>
      </c>
      <c r="J46" s="3" t="e">
        <v>#N/A</v>
      </c>
      <c r="K46" s="3" t="e">
        <v>#N/A</v>
      </c>
      <c r="L46" s="3"/>
      <c r="M46" s="3"/>
      <c r="N46" s="3"/>
      <c r="Q46" s="4" t="s">
        <v>100</v>
      </c>
      <c r="R46" s="2" t="s">
        <v>17</v>
      </c>
      <c r="S46" s="2">
        <f>I46*0.49</f>
        <v>59.666411935988613</v>
      </c>
    </row>
    <row r="47" spans="1:19" ht="14.25" customHeight="1">
      <c r="A47" s="2" t="s">
        <v>15</v>
      </c>
      <c r="B47" s="2">
        <v>1946</v>
      </c>
      <c r="C47" s="2" t="s">
        <v>22</v>
      </c>
      <c r="G47" s="3"/>
      <c r="H47" s="3">
        <v>286.32909977646818</v>
      </c>
      <c r="I47" s="3">
        <f t="shared" si="1"/>
        <v>288.56246675472465</v>
      </c>
      <c r="J47" s="3">
        <v>0.44553952448689288</v>
      </c>
      <c r="K47" s="3">
        <v>90.056238569396456</v>
      </c>
      <c r="L47" s="3"/>
      <c r="M47" s="3"/>
      <c r="N47" s="3"/>
      <c r="Q47" s="4" t="s">
        <v>99</v>
      </c>
      <c r="R47" s="2" t="s">
        <v>17</v>
      </c>
      <c r="S47" s="2">
        <f>I47*0.49</f>
        <v>141.39560870981506</v>
      </c>
    </row>
    <row r="48" spans="1:19" ht="14.25" customHeight="1">
      <c r="A48" s="2" t="s">
        <v>15</v>
      </c>
      <c r="B48" s="2">
        <v>1947</v>
      </c>
      <c r="C48" s="2" t="s">
        <v>22</v>
      </c>
      <c r="G48" s="3"/>
      <c r="H48" s="3">
        <v>319.06106482422268</v>
      </c>
      <c r="I48" s="3">
        <f t="shared" si="1"/>
        <v>321.54974112985161</v>
      </c>
      <c r="J48" s="3" t="e">
        <v>#N/A</v>
      </c>
      <c r="K48" s="3" t="e">
        <v>#N/A</v>
      </c>
      <c r="L48" s="3"/>
      <c r="M48" s="3"/>
      <c r="N48" s="3"/>
      <c r="Q48" s="4" t="s">
        <v>99</v>
      </c>
      <c r="R48" s="2" t="s">
        <v>17</v>
      </c>
      <c r="S48" s="2">
        <f>I48*0.49</f>
        <v>157.55937315362729</v>
      </c>
    </row>
    <row r="49" spans="1:19" ht="14.25" customHeight="1">
      <c r="A49" s="2" t="s">
        <v>15</v>
      </c>
      <c r="B49" s="2">
        <v>1948</v>
      </c>
      <c r="C49" s="2" t="s">
        <v>22</v>
      </c>
      <c r="G49" s="3"/>
      <c r="H49" s="3">
        <v>343.12624466571833</v>
      </c>
      <c r="I49" s="3">
        <f t="shared" si="1"/>
        <v>345.80262937411095</v>
      </c>
      <c r="J49" s="3" t="e">
        <v>#N/A</v>
      </c>
      <c r="K49" s="3" t="e">
        <v>#N/A</v>
      </c>
      <c r="L49" s="3"/>
      <c r="M49" s="3"/>
      <c r="N49" s="3"/>
      <c r="Q49" s="4" t="s">
        <v>99</v>
      </c>
      <c r="R49" s="2" t="s">
        <v>17</v>
      </c>
      <c r="S49" s="2">
        <f>I49*0.49</f>
        <v>169.44328839331436</v>
      </c>
    </row>
    <row r="50" spans="1:19" ht="14.25" customHeight="1">
      <c r="A50" s="2" t="s">
        <v>15</v>
      </c>
      <c r="B50" s="2">
        <v>1949</v>
      </c>
      <c r="C50" s="2" t="s">
        <v>22</v>
      </c>
      <c r="G50" s="3"/>
      <c r="H50" s="3">
        <v>387.97403982930297</v>
      </c>
      <c r="I50" s="3">
        <f t="shared" si="1"/>
        <v>391.00023733997153</v>
      </c>
      <c r="J50" s="3" t="e">
        <v>#N/A</v>
      </c>
      <c r="K50" s="3" t="e">
        <v>#N/A</v>
      </c>
      <c r="L50" s="3"/>
      <c r="M50" s="3"/>
      <c r="N50" s="3"/>
      <c r="Q50" s="4" t="s">
        <v>99</v>
      </c>
      <c r="R50" s="2" t="s">
        <v>17</v>
      </c>
      <c r="S50" s="2">
        <f>I50*0.49</f>
        <v>191.59011629658605</v>
      </c>
    </row>
    <row r="51" spans="1:19" ht="14.25" customHeight="1">
      <c r="A51" s="2" t="s">
        <v>15</v>
      </c>
      <c r="B51" s="2">
        <v>1950</v>
      </c>
      <c r="C51" s="2" t="s">
        <v>22</v>
      </c>
      <c r="G51" s="3"/>
      <c r="H51" s="3">
        <v>327.10394228815284</v>
      </c>
      <c r="I51" s="3">
        <f t="shared" si="1"/>
        <v>329.65535303800044</v>
      </c>
      <c r="J51" s="3">
        <v>4.7925218451534235</v>
      </c>
      <c r="K51" s="3">
        <v>26.496596220280431</v>
      </c>
      <c r="L51" s="3"/>
      <c r="M51" s="3"/>
      <c r="N51" s="3"/>
      <c r="Q51" s="4" t="s">
        <v>99</v>
      </c>
      <c r="R51" s="2" t="s">
        <v>17</v>
      </c>
      <c r="S51" s="2">
        <f>I51*0.49</f>
        <v>161.53112298862021</v>
      </c>
    </row>
    <row r="52" spans="1:19" ht="14.25" customHeight="1">
      <c r="A52" s="2" t="s">
        <v>15</v>
      </c>
      <c r="B52" s="2">
        <v>1951</v>
      </c>
      <c r="C52" s="2" t="s">
        <v>22</v>
      </c>
      <c r="G52" s="3"/>
      <c r="H52" s="3">
        <v>378.00533428165005</v>
      </c>
      <c r="I52" s="3">
        <f t="shared" si="1"/>
        <v>380.95377588904694</v>
      </c>
      <c r="J52" s="3" t="e">
        <v>#N/A</v>
      </c>
      <c r="K52" s="3" t="e">
        <v>#N/A</v>
      </c>
      <c r="L52" s="3"/>
      <c r="M52" s="3"/>
      <c r="N52" s="3"/>
      <c r="Q52" s="4" t="s">
        <v>99</v>
      </c>
      <c r="R52" s="2" t="s">
        <v>17</v>
      </c>
      <c r="S52" s="2">
        <f>I52*0.49</f>
        <v>186.66735018563298</v>
      </c>
    </row>
    <row r="53" spans="1:19" ht="14.25" customHeight="1">
      <c r="A53" s="2" t="s">
        <v>15</v>
      </c>
      <c r="B53" s="2">
        <v>1952</v>
      </c>
      <c r="C53" s="2" t="s">
        <v>22</v>
      </c>
      <c r="G53" s="3"/>
      <c r="H53" s="3">
        <v>384.40123958545007</v>
      </c>
      <c r="I53" s="3">
        <f t="shared" si="1"/>
        <v>387.3995692542166</v>
      </c>
      <c r="J53" s="3" t="e">
        <v>#N/A</v>
      </c>
      <c r="K53" s="3" t="e">
        <v>#N/A</v>
      </c>
      <c r="L53" s="3"/>
      <c r="M53" s="3"/>
      <c r="N53" s="3"/>
      <c r="Q53" s="4" t="s">
        <v>99</v>
      </c>
      <c r="R53" s="2" t="s">
        <v>17</v>
      </c>
      <c r="S53" s="2">
        <f>I53*0.49</f>
        <v>189.82578893456613</v>
      </c>
    </row>
    <row r="54" spans="1:19" ht="14.25" customHeight="1">
      <c r="A54" s="2" t="s">
        <v>15</v>
      </c>
      <c r="B54" s="2">
        <v>1953</v>
      </c>
      <c r="C54" s="2" t="s">
        <v>22</v>
      </c>
      <c r="G54" s="3"/>
      <c r="H54" s="3">
        <v>361.91363543995118</v>
      </c>
      <c r="I54" s="3">
        <f t="shared" si="1"/>
        <v>364.73656179638283</v>
      </c>
      <c r="J54" s="3" t="e">
        <v>#N/A</v>
      </c>
      <c r="K54" s="3" t="e">
        <v>#N/A</v>
      </c>
      <c r="L54" s="3"/>
      <c r="M54" s="3"/>
      <c r="N54" s="3"/>
      <c r="Q54" s="4" t="s">
        <v>99</v>
      </c>
      <c r="R54" s="2" t="s">
        <v>17</v>
      </c>
      <c r="S54" s="2">
        <f>I54*0.49</f>
        <v>178.72091528022759</v>
      </c>
    </row>
    <row r="55" spans="1:19" ht="14.25" customHeight="1">
      <c r="A55" s="2" t="s">
        <v>15</v>
      </c>
      <c r="B55" s="2">
        <v>1954</v>
      </c>
      <c r="C55" s="2" t="s">
        <v>22</v>
      </c>
      <c r="G55" s="3"/>
      <c r="H55" s="3">
        <v>360.19706360495832</v>
      </c>
      <c r="I55" s="3">
        <f t="shared" si="1"/>
        <v>363.00660070107699</v>
      </c>
      <c r="J55" s="3" t="e">
        <v>#N/A</v>
      </c>
      <c r="K55" s="3" t="e">
        <v>#N/A</v>
      </c>
      <c r="L55" s="3"/>
      <c r="M55" s="3"/>
      <c r="N55" s="3"/>
      <c r="Q55" s="4" t="s">
        <v>99</v>
      </c>
      <c r="R55" s="2" t="s">
        <v>17</v>
      </c>
      <c r="S55" s="2">
        <f>I55*0.49</f>
        <v>177.87323434352771</v>
      </c>
    </row>
    <row r="56" spans="1:19" ht="14.25" customHeight="1">
      <c r="A56" s="2" t="s">
        <v>15</v>
      </c>
      <c r="B56" s="2">
        <v>1955</v>
      </c>
      <c r="C56" s="2" t="s">
        <v>22</v>
      </c>
      <c r="G56" s="3"/>
      <c r="H56" s="3">
        <v>378.65078236130864</v>
      </c>
      <c r="I56" s="3">
        <f t="shared" si="1"/>
        <v>381.60425846372686</v>
      </c>
      <c r="J56" s="3">
        <v>6.3679638284901436</v>
      </c>
      <c r="K56" s="3">
        <v>16.016663279821174</v>
      </c>
      <c r="L56" s="3"/>
      <c r="M56" s="3"/>
      <c r="N56" s="3"/>
      <c r="Q56" s="4" t="s">
        <v>99</v>
      </c>
      <c r="R56" s="2" t="s">
        <v>17</v>
      </c>
      <c r="S56" s="2">
        <f>I56*0.49</f>
        <v>186.98608664722616</v>
      </c>
    </row>
    <row r="57" spans="1:19" ht="14.25" customHeight="1">
      <c r="A57" s="2" t="s">
        <v>15</v>
      </c>
      <c r="B57" s="2">
        <v>1956</v>
      </c>
      <c r="C57" s="2" t="s">
        <v>22</v>
      </c>
      <c r="G57" s="3"/>
      <c r="H57" s="3">
        <v>393.82239382239379</v>
      </c>
      <c r="I57" s="3">
        <f t="shared" ref="I57:I142" si="2">H57</f>
        <v>393.82239382239379</v>
      </c>
      <c r="J57" s="3" t="e">
        <v>#N/A</v>
      </c>
      <c r="K57" s="3" t="e">
        <v>#N/A</v>
      </c>
      <c r="L57" s="3"/>
      <c r="M57" s="3"/>
      <c r="N57" s="3"/>
      <c r="Q57" s="4" t="s">
        <v>99</v>
      </c>
      <c r="R57" s="2" t="s">
        <v>17</v>
      </c>
      <c r="S57" s="2">
        <f>I57*0.49</f>
        <v>192.97297297297297</v>
      </c>
    </row>
    <row r="58" spans="1:19" ht="14.25" customHeight="1">
      <c r="A58" s="2" t="s">
        <v>15</v>
      </c>
      <c r="B58" s="2">
        <v>1957</v>
      </c>
      <c r="C58" s="2" t="s">
        <v>22</v>
      </c>
      <c r="G58" s="3"/>
      <c r="H58" s="3">
        <v>344.13737045315992</v>
      </c>
      <c r="I58" s="3">
        <f t="shared" si="2"/>
        <v>344.13737045315992</v>
      </c>
      <c r="J58" s="3" t="e">
        <v>#N/A</v>
      </c>
      <c r="K58" s="3" t="e">
        <v>#N/A</v>
      </c>
      <c r="L58" s="3"/>
      <c r="M58" s="3"/>
      <c r="N58" s="3"/>
      <c r="Q58" s="4" t="s">
        <v>99</v>
      </c>
      <c r="R58" s="2" t="s">
        <v>17</v>
      </c>
      <c r="S58" s="2">
        <f>I58*0.49</f>
        <v>168.62731152204836</v>
      </c>
    </row>
    <row r="59" spans="1:19" ht="14.25" customHeight="1">
      <c r="A59" s="2" t="s">
        <v>15</v>
      </c>
      <c r="B59" s="2">
        <v>1958</v>
      </c>
      <c r="C59" s="2" t="s">
        <v>22</v>
      </c>
      <c r="G59" s="3"/>
      <c r="H59" s="3">
        <v>342.81650071123755</v>
      </c>
      <c r="I59" s="3">
        <f t="shared" si="2"/>
        <v>342.81650071123755</v>
      </c>
      <c r="J59" s="3" t="e">
        <v>#N/A</v>
      </c>
      <c r="K59" s="3" t="e">
        <v>#N/A</v>
      </c>
      <c r="L59" s="3"/>
      <c r="M59" s="3"/>
      <c r="N59" s="3"/>
      <c r="Q59" s="4" t="s">
        <v>99</v>
      </c>
      <c r="R59" s="2" t="s">
        <v>17</v>
      </c>
      <c r="S59" s="2">
        <f>I59*0.49</f>
        <v>167.98008534850641</v>
      </c>
    </row>
    <row r="60" spans="1:19" ht="14.25" customHeight="1">
      <c r="A60" s="2" t="s">
        <v>15</v>
      </c>
      <c r="B60" s="2">
        <v>1959</v>
      </c>
      <c r="C60" s="2" t="s">
        <v>22</v>
      </c>
      <c r="G60" s="3"/>
      <c r="H60" s="3">
        <v>341.39402560455187</v>
      </c>
      <c r="I60" s="3">
        <f t="shared" si="2"/>
        <v>341.39402560455187</v>
      </c>
      <c r="J60" s="3" t="e">
        <v>#N/A</v>
      </c>
      <c r="K60" s="3" t="e">
        <v>#N/A</v>
      </c>
      <c r="L60" s="3"/>
      <c r="M60" s="3"/>
      <c r="N60" s="3"/>
      <c r="Q60" s="4" t="s">
        <v>99</v>
      </c>
      <c r="R60" s="2" t="s">
        <v>17</v>
      </c>
      <c r="S60" s="2">
        <f>I60*0.49</f>
        <v>167.28307254623041</v>
      </c>
    </row>
    <row r="61" spans="1:19" ht="14.25" customHeight="1">
      <c r="A61" s="2" t="s">
        <v>15</v>
      </c>
      <c r="B61" s="2">
        <v>1960</v>
      </c>
      <c r="C61" s="2" t="s">
        <v>22</v>
      </c>
      <c r="G61" s="3"/>
      <c r="H61" s="3">
        <v>314.62101198943304</v>
      </c>
      <c r="I61" s="3">
        <f t="shared" si="2"/>
        <v>314.62101198943304</v>
      </c>
      <c r="J61" s="3">
        <v>3.1650071123755334</v>
      </c>
      <c r="K61" s="3">
        <v>37.412111359479781</v>
      </c>
      <c r="L61" s="3"/>
      <c r="M61" s="3"/>
      <c r="N61" s="3"/>
      <c r="Q61" s="4" t="s">
        <v>99</v>
      </c>
      <c r="R61" s="2" t="s">
        <v>17</v>
      </c>
      <c r="S61" s="2">
        <f>I61*0.49</f>
        <v>154.16429587482219</v>
      </c>
    </row>
    <row r="62" spans="1:19" ht="14.25" customHeight="1">
      <c r="A62" s="2" t="s">
        <v>15</v>
      </c>
      <c r="B62" s="2">
        <v>1961</v>
      </c>
      <c r="C62" s="2" t="s">
        <v>22</v>
      </c>
      <c r="G62" s="3"/>
      <c r="H62" s="3">
        <v>291.86141028246288</v>
      </c>
      <c r="I62" s="3">
        <f t="shared" si="2"/>
        <v>291.86141028246288</v>
      </c>
      <c r="J62" s="3" t="e">
        <v>#N/A</v>
      </c>
      <c r="K62" s="3" t="e">
        <v>#N/A</v>
      </c>
      <c r="L62" s="3"/>
      <c r="M62" s="3"/>
      <c r="N62" s="3"/>
      <c r="Q62" s="4" t="s">
        <v>99</v>
      </c>
      <c r="R62" s="2" t="s">
        <v>17</v>
      </c>
      <c r="S62" s="2">
        <f>I62*0.49</f>
        <v>143.01209103840682</v>
      </c>
    </row>
    <row r="63" spans="1:19" ht="14.25" customHeight="1">
      <c r="A63" s="2" t="s">
        <v>15</v>
      </c>
      <c r="B63" s="2">
        <v>1962</v>
      </c>
      <c r="C63" s="2" t="s">
        <v>22</v>
      </c>
      <c r="G63" s="3"/>
      <c r="H63" s="3">
        <v>320.26010973379397</v>
      </c>
      <c r="I63" s="3">
        <f t="shared" si="2"/>
        <v>320.26010973379397</v>
      </c>
      <c r="J63" s="3" t="e">
        <v>#N/A</v>
      </c>
      <c r="K63" s="3" t="e">
        <v>#N/A</v>
      </c>
      <c r="L63" s="3"/>
      <c r="M63" s="3"/>
      <c r="N63" s="3"/>
      <c r="Q63" s="4" t="s">
        <v>99</v>
      </c>
      <c r="R63" s="2" t="s">
        <v>17</v>
      </c>
      <c r="S63" s="2">
        <f>I63*0.49</f>
        <v>156.92745376955904</v>
      </c>
    </row>
    <row r="64" spans="1:19" ht="14.25" customHeight="1">
      <c r="A64" s="2" t="s">
        <v>15</v>
      </c>
      <c r="B64" s="2">
        <v>1963</v>
      </c>
      <c r="C64" s="2" t="s">
        <v>22</v>
      </c>
      <c r="G64" s="3"/>
      <c r="H64" s="3">
        <v>321.53017679333465</v>
      </c>
      <c r="I64" s="3">
        <f t="shared" si="2"/>
        <v>321.53017679333465</v>
      </c>
      <c r="J64" s="3" t="e">
        <v>#N/A</v>
      </c>
      <c r="K64" s="3" t="e">
        <v>#N/A</v>
      </c>
      <c r="L64" s="3"/>
      <c r="M64" s="3"/>
      <c r="N64" s="3"/>
      <c r="Q64" s="4" t="s">
        <v>99</v>
      </c>
      <c r="R64" s="2" t="s">
        <v>17</v>
      </c>
      <c r="S64" s="2">
        <f>I64*0.49</f>
        <v>157.54978662873398</v>
      </c>
    </row>
    <row r="65" spans="1:19" ht="14.25" customHeight="1">
      <c r="A65" s="2" t="s">
        <v>15</v>
      </c>
      <c r="B65" s="2">
        <v>1964</v>
      </c>
      <c r="C65" s="2" t="s">
        <v>22</v>
      </c>
      <c r="G65" s="3"/>
      <c r="H65" s="3">
        <v>299.83743141637876</v>
      </c>
      <c r="I65" s="3">
        <f t="shared" si="2"/>
        <v>299.83743141637876</v>
      </c>
      <c r="J65" s="3" t="e">
        <v>#N/A</v>
      </c>
      <c r="K65" s="3" t="e">
        <v>#N/A</v>
      </c>
      <c r="L65" s="3"/>
      <c r="M65" s="3"/>
      <c r="N65" s="3"/>
      <c r="Q65" s="4" t="s">
        <v>99</v>
      </c>
      <c r="R65" s="2" t="s">
        <v>17</v>
      </c>
      <c r="S65" s="2">
        <f>I65*0.49</f>
        <v>146.9203413940256</v>
      </c>
    </row>
    <row r="66" spans="1:19" ht="14.25" customHeight="1">
      <c r="A66" s="2" t="s">
        <v>15</v>
      </c>
      <c r="B66" s="2">
        <v>1965</v>
      </c>
      <c r="C66" s="2" t="s">
        <v>22</v>
      </c>
      <c r="G66" s="3"/>
      <c r="H66" s="3">
        <v>317.00873806136963</v>
      </c>
      <c r="I66" s="3">
        <f t="shared" si="2"/>
        <v>317.00873806136963</v>
      </c>
      <c r="J66" s="3" t="e">
        <v>#N/A</v>
      </c>
      <c r="K66" s="3">
        <v>44.045925624872993</v>
      </c>
      <c r="L66" s="3"/>
      <c r="M66" s="3"/>
      <c r="N66" s="3"/>
      <c r="Q66" s="4" t="s">
        <v>99</v>
      </c>
      <c r="R66" s="2" t="s">
        <v>17</v>
      </c>
      <c r="S66" s="2">
        <f>I66*0.49</f>
        <v>155.33428165007112</v>
      </c>
    </row>
    <row r="67" spans="1:19" ht="14.25" customHeight="1">
      <c r="A67" s="2" t="s">
        <v>15</v>
      </c>
      <c r="B67" s="2">
        <v>1966</v>
      </c>
      <c r="C67" s="2" t="s">
        <v>22</v>
      </c>
      <c r="G67" s="3"/>
      <c r="H67" s="3">
        <v>325.79760211339158</v>
      </c>
      <c r="I67" s="3">
        <f t="shared" si="2"/>
        <v>325.79760211339158</v>
      </c>
      <c r="J67" s="3" t="e">
        <v>#N/A</v>
      </c>
      <c r="K67" s="3">
        <v>37.593984962406019</v>
      </c>
      <c r="L67" s="3"/>
      <c r="M67" s="3"/>
      <c r="N67" s="3"/>
      <c r="Q67" s="4" t="s">
        <v>99</v>
      </c>
      <c r="R67" s="2" t="s">
        <v>17</v>
      </c>
      <c r="S67" s="2">
        <f>I67*0.49</f>
        <v>159.64082503556187</v>
      </c>
    </row>
    <row r="68" spans="1:19" ht="14.25" customHeight="1">
      <c r="A68" s="2" t="s">
        <v>15</v>
      </c>
      <c r="B68" s="2">
        <v>1967</v>
      </c>
      <c r="C68" s="2" t="s">
        <v>22</v>
      </c>
      <c r="G68" s="3"/>
      <c r="H68" s="3">
        <v>350.84332452753506</v>
      </c>
      <c r="I68" s="3">
        <f t="shared" si="2"/>
        <v>350.84332452753506</v>
      </c>
      <c r="J68" s="3" t="e">
        <v>#N/A</v>
      </c>
      <c r="K68" s="3">
        <v>36.069904490957121</v>
      </c>
      <c r="L68" s="3"/>
      <c r="M68" s="3"/>
      <c r="N68" s="3"/>
      <c r="Q68" s="4" t="s">
        <v>99</v>
      </c>
      <c r="R68" s="2" t="s">
        <v>17</v>
      </c>
      <c r="S68" s="2">
        <f>I68*0.49</f>
        <v>171.91322901849219</v>
      </c>
    </row>
    <row r="69" spans="1:19" ht="14.25" customHeight="1">
      <c r="A69" s="2" t="s">
        <v>15</v>
      </c>
      <c r="B69" s="2">
        <v>1968</v>
      </c>
      <c r="C69" s="2" t="s">
        <v>22</v>
      </c>
      <c r="G69" s="3"/>
      <c r="H69" s="3">
        <v>372.53606990449094</v>
      </c>
      <c r="I69" s="3">
        <f t="shared" si="2"/>
        <v>372.53606990449094</v>
      </c>
      <c r="J69" s="3" t="e">
        <v>#N/A</v>
      </c>
      <c r="K69" s="3">
        <v>37.289168868116235</v>
      </c>
      <c r="L69" s="3"/>
      <c r="M69" s="3"/>
      <c r="N69" s="3"/>
      <c r="Q69" s="4" t="s">
        <v>99</v>
      </c>
      <c r="R69" s="2" t="s">
        <v>17</v>
      </c>
      <c r="S69" s="2">
        <f>I69*0.49</f>
        <v>182.54267425320057</v>
      </c>
    </row>
    <row r="70" spans="1:19" ht="14.25" customHeight="1">
      <c r="A70" s="2" t="s">
        <v>15</v>
      </c>
      <c r="B70" s="2">
        <v>1969</v>
      </c>
      <c r="C70" s="2" t="s">
        <v>22</v>
      </c>
      <c r="G70" s="3"/>
      <c r="H70" s="3">
        <v>380.10566957935379</v>
      </c>
      <c r="I70" s="3">
        <f t="shared" si="2"/>
        <v>380.10566957935379</v>
      </c>
      <c r="J70" s="3" t="e">
        <v>#N/A</v>
      </c>
      <c r="K70" s="3">
        <v>34.139402560455189</v>
      </c>
      <c r="L70" s="3"/>
      <c r="M70" s="3"/>
      <c r="N70" s="3"/>
      <c r="Q70" s="4" t="s">
        <v>99</v>
      </c>
      <c r="R70" s="2" t="s">
        <v>17</v>
      </c>
      <c r="S70" s="2">
        <f>I70*0.49</f>
        <v>186.25177809388336</v>
      </c>
    </row>
    <row r="71" spans="1:19" ht="14.25" customHeight="1">
      <c r="A71" s="2" t="s">
        <v>15</v>
      </c>
      <c r="B71" s="2">
        <v>1970</v>
      </c>
      <c r="C71" s="2" t="s">
        <v>22</v>
      </c>
      <c r="G71" s="3"/>
      <c r="H71" s="3">
        <v>345.20422678317414</v>
      </c>
      <c r="I71" s="3">
        <f t="shared" si="2"/>
        <v>345.20422678317414</v>
      </c>
      <c r="J71" s="3" t="e">
        <v>#N/A</v>
      </c>
      <c r="K71" s="3">
        <v>44.807965860597434</v>
      </c>
      <c r="L71" s="3"/>
      <c r="M71" s="3"/>
      <c r="N71" s="3"/>
      <c r="Q71" s="4" t="s">
        <v>99</v>
      </c>
      <c r="R71" s="2" t="s">
        <v>17</v>
      </c>
      <c r="S71" s="2">
        <f>I71*0.49</f>
        <v>169.15007112375531</v>
      </c>
    </row>
    <row r="72" spans="1:19" ht="14.25" customHeight="1">
      <c r="A72" s="2" t="s">
        <v>15</v>
      </c>
      <c r="B72" s="2">
        <v>1971</v>
      </c>
      <c r="C72" s="2" t="s">
        <v>22</v>
      </c>
      <c r="G72" s="3"/>
      <c r="H72" s="3">
        <v>305.88295061979272</v>
      </c>
      <c r="I72" s="3">
        <f t="shared" si="2"/>
        <v>305.88295061979272</v>
      </c>
      <c r="J72" s="3" t="e">
        <v>#N/A</v>
      </c>
      <c r="K72" s="3">
        <v>41.099370046738464</v>
      </c>
      <c r="L72" s="3"/>
      <c r="M72" s="3"/>
      <c r="N72" s="3"/>
      <c r="Q72" s="4" t="s">
        <v>99</v>
      </c>
      <c r="R72" s="2" t="s">
        <v>17</v>
      </c>
      <c r="S72" s="2">
        <f>I72*0.49</f>
        <v>149.88264580369844</v>
      </c>
    </row>
    <row r="73" spans="1:19" ht="14.25" customHeight="1">
      <c r="A73" s="2" t="s">
        <v>15</v>
      </c>
      <c r="B73" s="2">
        <v>1972</v>
      </c>
      <c r="C73" s="2" t="s">
        <v>22</v>
      </c>
      <c r="G73" s="3"/>
      <c r="H73" s="3">
        <v>301.81873602926231</v>
      </c>
      <c r="I73" s="3">
        <f t="shared" si="2"/>
        <v>301.81873602926231</v>
      </c>
      <c r="J73" s="3" t="e">
        <v>#N/A</v>
      </c>
      <c r="K73" s="3">
        <v>43.893517577728105</v>
      </c>
      <c r="L73" s="3"/>
      <c r="M73" s="3"/>
      <c r="N73" s="3"/>
      <c r="Q73" s="4" t="s">
        <v>99</v>
      </c>
      <c r="R73" s="2" t="s">
        <v>17</v>
      </c>
      <c r="S73" s="2">
        <f>I73*0.49</f>
        <v>147.89118065433854</v>
      </c>
    </row>
    <row r="74" spans="1:19" ht="14.25" customHeight="1">
      <c r="A74" s="2" t="s">
        <v>15</v>
      </c>
      <c r="B74" s="2">
        <v>1973</v>
      </c>
      <c r="C74" s="2" t="s">
        <v>22</v>
      </c>
      <c r="G74" s="3"/>
      <c r="H74" s="3">
        <v>273.72485267222106</v>
      </c>
      <c r="I74" s="3">
        <f t="shared" si="2"/>
        <v>273.72485267222106</v>
      </c>
      <c r="J74" s="3" t="e">
        <v>#N/A</v>
      </c>
      <c r="K74" s="3">
        <v>36.933550091444829</v>
      </c>
      <c r="L74" s="3"/>
      <c r="M74" s="3"/>
      <c r="N74" s="3"/>
      <c r="Q74" s="4" t="s">
        <v>99</v>
      </c>
      <c r="R74" s="2" t="s">
        <v>17</v>
      </c>
      <c r="S74" s="2">
        <f>I74*0.49</f>
        <v>134.1251778093883</v>
      </c>
    </row>
    <row r="75" spans="1:19" ht="14.25" customHeight="1">
      <c r="A75" s="2" t="s">
        <v>15</v>
      </c>
      <c r="B75" s="2">
        <v>1974</v>
      </c>
      <c r="C75" s="2" t="s">
        <v>22</v>
      </c>
      <c r="G75" s="3"/>
      <c r="H75" s="3">
        <v>267.62853078642553</v>
      </c>
      <c r="I75" s="3">
        <f t="shared" si="2"/>
        <v>267.62853078642553</v>
      </c>
      <c r="J75" s="3" t="e">
        <v>#N/A</v>
      </c>
      <c r="K75" s="3">
        <v>33.732981101402153</v>
      </c>
      <c r="L75" s="3"/>
      <c r="M75" s="3"/>
      <c r="N75" s="3"/>
      <c r="Q75" s="4" t="s">
        <v>99</v>
      </c>
      <c r="R75" s="2" t="s">
        <v>17</v>
      </c>
      <c r="S75" s="2">
        <f>I75*0.49</f>
        <v>131.13798008534852</v>
      </c>
    </row>
    <row r="76" spans="1:19" ht="14.25" customHeight="1">
      <c r="A76" s="2" t="s">
        <v>15</v>
      </c>
      <c r="B76" s="2">
        <v>1975</v>
      </c>
      <c r="C76" s="2" t="s">
        <v>22</v>
      </c>
      <c r="G76" s="3"/>
      <c r="H76" s="3">
        <v>242.44</v>
      </c>
      <c r="I76" s="3">
        <f t="shared" si="2"/>
        <v>242.44</v>
      </c>
      <c r="J76" s="3" t="e">
        <v>#N/A</v>
      </c>
      <c r="K76" s="3">
        <v>42.872</v>
      </c>
      <c r="L76" s="3"/>
      <c r="M76" s="3"/>
      <c r="N76" s="3"/>
      <c r="Q76" s="4" t="s">
        <v>99</v>
      </c>
      <c r="R76" s="2" t="s">
        <v>17</v>
      </c>
      <c r="S76" s="2">
        <f>I76*0.49</f>
        <v>118.79559999999999</v>
      </c>
    </row>
    <row r="77" spans="1:19" ht="14.25" customHeight="1">
      <c r="A77" s="2" t="s">
        <v>15</v>
      </c>
      <c r="B77" s="2">
        <v>1976</v>
      </c>
      <c r="C77" s="2" t="s">
        <v>22</v>
      </c>
      <c r="G77" s="3"/>
      <c r="H77" s="3">
        <v>212.11</v>
      </c>
      <c r="I77" s="3">
        <f t="shared" si="2"/>
        <v>212.11</v>
      </c>
      <c r="J77" s="3" t="e">
        <v>#N/A</v>
      </c>
      <c r="K77" s="3">
        <v>57.94</v>
      </c>
      <c r="L77" s="3"/>
      <c r="M77" s="3"/>
      <c r="N77" s="3"/>
      <c r="Q77" s="4" t="s">
        <v>101</v>
      </c>
      <c r="R77" s="2" t="s">
        <v>17</v>
      </c>
      <c r="S77" s="2">
        <f>I77*0.49</f>
        <v>103.93390000000001</v>
      </c>
    </row>
    <row r="78" spans="1:19" ht="14.25" customHeight="1">
      <c r="A78" s="2" t="s">
        <v>15</v>
      </c>
      <c r="B78" s="2">
        <v>1977</v>
      </c>
      <c r="C78" s="2" t="s">
        <v>22</v>
      </c>
      <c r="G78" s="3"/>
      <c r="H78" s="3">
        <v>147.69900000000001</v>
      </c>
      <c r="I78" s="3">
        <f t="shared" si="2"/>
        <v>147.69900000000001</v>
      </c>
      <c r="J78" s="3" t="e">
        <v>#N/A</v>
      </c>
      <c r="K78" s="3">
        <v>61.869</v>
      </c>
      <c r="L78" s="3"/>
      <c r="M78" s="3"/>
      <c r="N78" s="3"/>
      <c r="Q78" s="4" t="s">
        <v>101</v>
      </c>
      <c r="R78" s="2" t="s">
        <v>17</v>
      </c>
      <c r="S78" s="2">
        <f>I78*0.49</f>
        <v>72.372510000000005</v>
      </c>
    </row>
    <row r="79" spans="1:19" ht="14.25" customHeight="1">
      <c r="A79" s="2" t="s">
        <v>15</v>
      </c>
      <c r="B79" s="2">
        <v>1978</v>
      </c>
      <c r="C79" s="2" t="s">
        <v>22</v>
      </c>
      <c r="G79" s="3"/>
      <c r="H79" s="3">
        <v>126.39100000000001</v>
      </c>
      <c r="I79" s="3">
        <f t="shared" si="2"/>
        <v>126.39100000000001</v>
      </c>
      <c r="J79" s="3" t="e">
        <v>#N/A</v>
      </c>
      <c r="K79" s="3">
        <v>99.504999999999995</v>
      </c>
      <c r="L79" s="3"/>
      <c r="M79" s="3"/>
      <c r="N79" s="3"/>
      <c r="Q79" s="4" t="s">
        <v>101</v>
      </c>
      <c r="R79" s="2" t="s">
        <v>17</v>
      </c>
      <c r="S79" s="2">
        <f>I79*0.49</f>
        <v>61.93159</v>
      </c>
    </row>
    <row r="80" spans="1:19" ht="14.25" customHeight="1">
      <c r="A80" s="2" t="s">
        <v>15</v>
      </c>
      <c r="B80" s="2">
        <v>1979</v>
      </c>
      <c r="C80" s="2" t="s">
        <v>22</v>
      </c>
      <c r="G80" s="3"/>
      <c r="H80" s="3">
        <v>109.255</v>
      </c>
      <c r="I80" s="3">
        <f t="shared" si="2"/>
        <v>109.255</v>
      </c>
      <c r="J80" s="3" t="e">
        <v>#N/A</v>
      </c>
      <c r="K80" s="3">
        <v>122.498</v>
      </c>
      <c r="L80" s="3"/>
      <c r="M80" s="3"/>
      <c r="N80" s="3"/>
      <c r="Q80" s="4" t="s">
        <v>101</v>
      </c>
      <c r="R80" s="2" t="s">
        <v>17</v>
      </c>
      <c r="S80" s="2">
        <f>I80*0.49</f>
        <v>53.534949999999995</v>
      </c>
    </row>
    <row r="81" spans="1:19" ht="14.25" customHeight="1">
      <c r="A81" s="2" t="s">
        <v>15</v>
      </c>
      <c r="B81" s="2">
        <v>1980</v>
      </c>
      <c r="C81" s="2" t="s">
        <v>22</v>
      </c>
      <c r="G81" s="3"/>
      <c r="H81" s="3">
        <v>104.307</v>
      </c>
      <c r="I81" s="3">
        <f t="shared" si="2"/>
        <v>104.307</v>
      </c>
      <c r="J81" s="3" t="e">
        <v>#N/A</v>
      </c>
      <c r="K81" s="3">
        <v>123.03</v>
      </c>
      <c r="L81" s="3"/>
      <c r="M81" s="3"/>
      <c r="N81" s="3"/>
      <c r="Q81" s="4" t="s">
        <v>101</v>
      </c>
      <c r="R81" s="2" t="s">
        <v>17</v>
      </c>
      <c r="S81" s="2">
        <f>I81*0.49</f>
        <v>51.110430000000001</v>
      </c>
    </row>
    <row r="82" spans="1:19" ht="14.25" customHeight="1">
      <c r="A82" s="2" t="s">
        <v>15</v>
      </c>
      <c r="B82" s="2">
        <v>1981</v>
      </c>
      <c r="C82" s="2" t="s">
        <v>22</v>
      </c>
      <c r="G82" s="3"/>
      <c r="H82" s="3">
        <v>115.733</v>
      </c>
      <c r="I82" s="3">
        <f t="shared" si="2"/>
        <v>115.733</v>
      </c>
      <c r="J82" s="3" t="e">
        <v>#N/A</v>
      </c>
      <c r="K82" s="3">
        <v>114.741</v>
      </c>
      <c r="L82" s="3"/>
      <c r="M82" s="3"/>
      <c r="N82" s="3"/>
      <c r="Q82" s="4" t="s">
        <v>101</v>
      </c>
      <c r="R82" s="2" t="s">
        <v>17</v>
      </c>
      <c r="S82" s="2">
        <f>I82*0.49</f>
        <v>56.70917</v>
      </c>
    </row>
    <row r="83" spans="1:19" ht="14.25" customHeight="1">
      <c r="A83" s="2" t="s">
        <v>15</v>
      </c>
      <c r="B83" s="2">
        <v>1982</v>
      </c>
      <c r="C83" s="2" t="s">
        <v>22</v>
      </c>
      <c r="G83" s="3"/>
      <c r="H83" s="3">
        <v>114.316</v>
      </c>
      <c r="I83" s="3">
        <f t="shared" si="2"/>
        <v>114.316</v>
      </c>
      <c r="J83" s="3" t="e">
        <v>#N/A</v>
      </c>
      <c r="K83" s="3">
        <v>107.738</v>
      </c>
      <c r="L83" s="3"/>
      <c r="M83" s="3"/>
      <c r="N83" s="3"/>
      <c r="Q83" s="4" t="s">
        <v>101</v>
      </c>
      <c r="R83" s="2" t="s">
        <v>17</v>
      </c>
      <c r="S83" s="2">
        <f>I83*0.49</f>
        <v>56.01484</v>
      </c>
    </row>
    <row r="84" spans="1:19" ht="14.25" customHeight="1">
      <c r="A84" s="2" t="s">
        <v>15</v>
      </c>
      <c r="B84" s="2">
        <v>1983</v>
      </c>
      <c r="C84" s="2" t="s">
        <v>22</v>
      </c>
      <c r="G84" s="3"/>
      <c r="H84" s="3">
        <v>112.60299999999999</v>
      </c>
      <c r="I84" s="3">
        <f t="shared" si="2"/>
        <v>112.60299999999999</v>
      </c>
      <c r="J84" s="3" t="e">
        <v>#N/A</v>
      </c>
      <c r="K84" s="3">
        <v>96.382000000000005</v>
      </c>
      <c r="L84" s="3"/>
      <c r="M84" s="3"/>
      <c r="N84" s="3"/>
      <c r="Q84" s="4" t="s">
        <v>101</v>
      </c>
      <c r="R84" s="2" t="s">
        <v>17</v>
      </c>
      <c r="S84" s="2">
        <f>I84*0.49</f>
        <v>55.175469999999997</v>
      </c>
    </row>
    <row r="85" spans="1:19" ht="14.25" customHeight="1">
      <c r="A85" s="2" t="s">
        <v>15</v>
      </c>
      <c r="B85" s="2">
        <v>1984</v>
      </c>
      <c r="C85" s="2" t="s">
        <v>22</v>
      </c>
      <c r="G85" s="3"/>
      <c r="H85" s="3">
        <v>90.873999999999995</v>
      </c>
      <c r="I85" s="3">
        <f t="shared" si="2"/>
        <v>90.873999999999995</v>
      </c>
      <c r="J85" s="3" t="e">
        <v>#N/A</v>
      </c>
      <c r="K85" s="3">
        <v>117.194</v>
      </c>
      <c r="L85" s="3"/>
      <c r="M85" s="3"/>
      <c r="N85" s="3"/>
      <c r="Q85" s="4" t="s">
        <v>101</v>
      </c>
      <c r="R85" s="2" t="s">
        <v>17</v>
      </c>
      <c r="S85" s="2">
        <f>I85*0.49</f>
        <v>44.528259999999996</v>
      </c>
    </row>
    <row r="86" spans="1:19" ht="14.25" customHeight="1">
      <c r="A86" s="2" t="s">
        <v>15</v>
      </c>
      <c r="B86" s="2">
        <v>1985</v>
      </c>
      <c r="C86" s="2" t="s">
        <v>22</v>
      </c>
      <c r="G86" s="3"/>
      <c r="H86" s="3">
        <v>90.045000000000002</v>
      </c>
      <c r="I86" s="3">
        <f t="shared" si="2"/>
        <v>90.045000000000002</v>
      </c>
      <c r="J86" s="3" t="e">
        <v>#N/A</v>
      </c>
      <c r="K86" s="3">
        <v>129.98599999999999</v>
      </c>
      <c r="L86" s="3"/>
      <c r="M86" s="3"/>
      <c r="N86" s="3"/>
      <c r="Q86" s="4" t="s">
        <v>101</v>
      </c>
      <c r="R86" s="2" t="s">
        <v>17</v>
      </c>
      <c r="S86" s="2">
        <f>I86*0.49</f>
        <v>44.122050000000002</v>
      </c>
    </row>
    <row r="87" spans="1:19" ht="14.25" customHeight="1">
      <c r="A87" s="2" t="s">
        <v>15</v>
      </c>
      <c r="B87" s="2">
        <v>1986</v>
      </c>
      <c r="C87" s="2" t="s">
        <v>22</v>
      </c>
      <c r="G87" s="3"/>
      <c r="H87" s="3">
        <v>76.569000000000003</v>
      </c>
      <c r="I87" s="3">
        <f t="shared" si="2"/>
        <v>76.569000000000003</v>
      </c>
      <c r="J87" s="3" t="e">
        <v>#N/A</v>
      </c>
      <c r="K87" s="3">
        <v>137.935</v>
      </c>
      <c r="L87" s="3"/>
      <c r="M87" s="3"/>
      <c r="N87" s="3"/>
      <c r="Q87" s="4" t="s">
        <v>101</v>
      </c>
      <c r="R87" s="2" t="s">
        <v>17</v>
      </c>
      <c r="S87" s="2">
        <f>I87*0.49</f>
        <v>37.518810000000002</v>
      </c>
    </row>
    <row r="88" spans="1:19" ht="14.25" customHeight="1">
      <c r="A88" s="2" t="s">
        <v>15</v>
      </c>
      <c r="B88" s="2">
        <v>1987</v>
      </c>
      <c r="C88" s="2" t="s">
        <v>22</v>
      </c>
      <c r="G88" s="3"/>
      <c r="H88" s="3">
        <v>93.58</v>
      </c>
      <c r="I88" s="3">
        <f t="shared" si="2"/>
        <v>93.58</v>
      </c>
      <c r="J88" s="3" t="e">
        <v>#N/A</v>
      </c>
      <c r="K88" s="3">
        <v>124.88800000000001</v>
      </c>
      <c r="L88" s="3"/>
      <c r="M88" s="3"/>
      <c r="N88" s="3"/>
      <c r="Q88" s="4" t="s">
        <v>101</v>
      </c>
      <c r="R88" s="2" t="s">
        <v>17</v>
      </c>
      <c r="S88" s="2">
        <f>I88*0.49</f>
        <v>45.854199999999999</v>
      </c>
    </row>
    <row r="89" spans="1:19" ht="14.25" customHeight="1">
      <c r="A89" s="2" t="s">
        <v>15</v>
      </c>
      <c r="B89" s="2">
        <v>1988</v>
      </c>
      <c r="C89" s="2" t="s">
        <v>22</v>
      </c>
      <c r="D89" s="2">
        <v>1.9</v>
      </c>
      <c r="E89" s="2">
        <f>D89*VLOOKUP(C89,Conversion_factors!A$1:C$40,3,FALSE)</f>
        <v>1.6239316239316239</v>
      </c>
      <c r="G89" s="3"/>
      <c r="H89" s="3">
        <v>77.67</v>
      </c>
      <c r="I89" s="3">
        <f t="shared" si="2"/>
        <v>77.67</v>
      </c>
      <c r="J89" s="3" t="e">
        <v>#N/A</v>
      </c>
      <c r="K89" s="3">
        <v>132.184</v>
      </c>
      <c r="L89" s="3"/>
      <c r="M89" s="3"/>
      <c r="N89" s="3"/>
      <c r="Q89" s="4" t="s">
        <v>101</v>
      </c>
      <c r="R89" s="2" t="s">
        <v>17</v>
      </c>
      <c r="S89" s="2">
        <f>I89*0.49</f>
        <v>38.058300000000003</v>
      </c>
    </row>
    <row r="90" spans="1:19" ht="14.25" customHeight="1">
      <c r="A90" s="2" t="s">
        <v>15</v>
      </c>
      <c r="B90" s="2">
        <v>1989</v>
      </c>
      <c r="C90" s="2" t="s">
        <v>22</v>
      </c>
      <c r="D90" s="2">
        <v>1.4</v>
      </c>
      <c r="E90" s="2">
        <f>D90*VLOOKUP(C90,Conversion_factors!A$1:C$40,3,FALSE)</f>
        <v>1.1965811965811965</v>
      </c>
      <c r="G90" s="3"/>
      <c r="H90" s="3">
        <v>68.245000000000005</v>
      </c>
      <c r="I90" s="3">
        <f t="shared" si="2"/>
        <v>68.245000000000005</v>
      </c>
      <c r="J90" s="3" t="e">
        <v>#N/A</v>
      </c>
      <c r="K90" s="3">
        <v>142.101</v>
      </c>
      <c r="L90" s="3"/>
      <c r="M90" s="3"/>
      <c r="N90" s="3"/>
      <c r="Q90" s="4" t="s">
        <v>101</v>
      </c>
      <c r="R90" s="2" t="s">
        <v>17</v>
      </c>
      <c r="S90" s="2">
        <f>I90*0.49</f>
        <v>33.440049999999999</v>
      </c>
    </row>
    <row r="91" spans="1:19" ht="14.25" customHeight="1">
      <c r="A91" s="2" t="s">
        <v>15</v>
      </c>
      <c r="B91" s="2">
        <v>1990</v>
      </c>
      <c r="C91" s="2" t="s">
        <v>22</v>
      </c>
      <c r="D91" s="2">
        <v>1.2</v>
      </c>
      <c r="E91" s="2">
        <f>D91*VLOOKUP(C91,Conversion_factors!A$1:C$40,3,FALSE)</f>
        <v>1.0256410256410258</v>
      </c>
      <c r="G91" s="3"/>
      <c r="H91" s="3">
        <v>60.371000000000002</v>
      </c>
      <c r="I91" s="3">
        <f t="shared" si="2"/>
        <v>60.371000000000002</v>
      </c>
      <c r="J91" s="3" t="e">
        <v>#N/A</v>
      </c>
      <c r="K91" s="3">
        <v>134.964</v>
      </c>
      <c r="L91" s="3"/>
      <c r="M91" s="3"/>
      <c r="N91" s="3"/>
      <c r="Q91" s="4" t="s">
        <v>101</v>
      </c>
      <c r="R91" s="2" t="s">
        <v>17</v>
      </c>
      <c r="S91" s="2">
        <f>I91*0.49</f>
        <v>29.581790000000002</v>
      </c>
    </row>
    <row r="92" spans="1:19" ht="14.25" customHeight="1">
      <c r="A92" s="2" t="s">
        <v>15</v>
      </c>
      <c r="B92" s="2">
        <v>1991</v>
      </c>
      <c r="C92" s="2" t="s">
        <v>22</v>
      </c>
      <c r="D92" s="2">
        <v>1.8</v>
      </c>
      <c r="E92" s="2">
        <f>D92*VLOOKUP(C92,Conversion_factors!A$1:C$40,3,FALSE)</f>
        <v>1.5384615384615385</v>
      </c>
      <c r="G92" s="1">
        <v>65.7</v>
      </c>
      <c r="H92" s="1">
        <f t="shared" ref="H92:H121" si="3">G92*0.854700854700855</f>
        <v>56.153846153846175</v>
      </c>
      <c r="I92" s="3">
        <f t="shared" si="2"/>
        <v>56.153846153846175</v>
      </c>
      <c r="J92" s="3">
        <v>8.8580000000000005</v>
      </c>
      <c r="K92" s="3">
        <v>117.53100000000001</v>
      </c>
      <c r="L92" s="3"/>
      <c r="M92" s="3"/>
      <c r="N92" s="3"/>
      <c r="Q92" s="4" t="s">
        <v>101</v>
      </c>
      <c r="R92" s="2" t="s">
        <v>17</v>
      </c>
      <c r="S92" s="2">
        <f>I92*0.49</f>
        <v>27.515384615384626</v>
      </c>
    </row>
    <row r="93" spans="1:19" ht="14.25" customHeight="1">
      <c r="A93" s="2" t="s">
        <v>15</v>
      </c>
      <c r="B93" s="2">
        <v>1992</v>
      </c>
      <c r="C93" s="2" t="s">
        <v>22</v>
      </c>
      <c r="D93" s="2">
        <v>3.1</v>
      </c>
      <c r="E93" s="2">
        <f>D93*VLOOKUP(C93,Conversion_factors!A$1:C$40,3,FALSE)</f>
        <v>2.6495726495726499</v>
      </c>
      <c r="G93" s="1">
        <v>62.2</v>
      </c>
      <c r="H93" s="1">
        <f t="shared" si="3"/>
        <v>53.16239316239318</v>
      </c>
      <c r="I93" s="3">
        <f t="shared" si="2"/>
        <v>53.16239316239318</v>
      </c>
      <c r="J93" s="3">
        <v>8.1920000000000002</v>
      </c>
      <c r="K93" s="3">
        <v>116.211</v>
      </c>
      <c r="L93" s="3"/>
      <c r="M93" s="3"/>
      <c r="N93" s="3"/>
      <c r="Q93" s="4" t="s">
        <v>101</v>
      </c>
      <c r="R93" s="2" t="s">
        <v>17</v>
      </c>
      <c r="S93" s="2">
        <f>I93*0.49</f>
        <v>26.049572649572657</v>
      </c>
    </row>
    <row r="94" spans="1:19" ht="14.25" customHeight="1">
      <c r="A94" s="2" t="s">
        <v>15</v>
      </c>
      <c r="B94" s="2">
        <v>1993</v>
      </c>
      <c r="C94" s="2" t="s">
        <v>22</v>
      </c>
      <c r="D94" s="2">
        <v>2.5</v>
      </c>
      <c r="E94" s="2">
        <f>D94*VLOOKUP(C94,Conversion_factors!A$1:C$40,3,FALSE)</f>
        <v>2.1367521367521372</v>
      </c>
      <c r="G94" s="1">
        <v>64.8</v>
      </c>
      <c r="H94" s="1">
        <f t="shared" si="3"/>
        <v>55.384615384615401</v>
      </c>
      <c r="I94" s="3">
        <f t="shared" si="2"/>
        <v>55.384615384615401</v>
      </c>
      <c r="J94" s="3">
        <v>11.262</v>
      </c>
      <c r="K94" s="3">
        <v>106.09099999999999</v>
      </c>
      <c r="L94" s="3"/>
      <c r="M94" s="3"/>
      <c r="N94" s="3"/>
      <c r="Q94" s="4" t="s">
        <v>101</v>
      </c>
      <c r="R94" s="2" t="s">
        <v>17</v>
      </c>
      <c r="S94" s="2">
        <f>I94*0.49</f>
        <v>27.138461538461545</v>
      </c>
    </row>
    <row r="95" spans="1:19" ht="14.25" customHeight="1">
      <c r="A95" s="2" t="s">
        <v>15</v>
      </c>
      <c r="B95" s="2">
        <v>1994</v>
      </c>
      <c r="C95" s="2" t="s">
        <v>22</v>
      </c>
      <c r="D95" s="2">
        <v>3.1</v>
      </c>
      <c r="E95" s="2">
        <f>D95*VLOOKUP(C95,Conversion_factors!A$1:C$40,3,FALSE)</f>
        <v>2.6495726495726499</v>
      </c>
      <c r="G95" s="2">
        <v>65.72</v>
      </c>
      <c r="H95" s="1">
        <f t="shared" si="3"/>
        <v>56.170940170940192</v>
      </c>
      <c r="I95" s="3">
        <f t="shared" si="2"/>
        <v>56.170940170940192</v>
      </c>
      <c r="J95" s="3">
        <v>9.2159999999999993</v>
      </c>
      <c r="K95" s="3">
        <v>105.79300000000001</v>
      </c>
      <c r="L95" s="3"/>
      <c r="M95" s="3"/>
      <c r="N95" s="3"/>
      <c r="Q95" s="4" t="s">
        <v>101</v>
      </c>
      <c r="R95" s="2" t="s">
        <v>17</v>
      </c>
      <c r="S95" s="2">
        <f>I95*0.49</f>
        <v>27.523760683760692</v>
      </c>
    </row>
    <row r="96" spans="1:19" ht="14.25" customHeight="1">
      <c r="A96" s="2" t="s">
        <v>15</v>
      </c>
      <c r="B96" s="2">
        <v>1995</v>
      </c>
      <c r="C96" s="2" t="s">
        <v>22</v>
      </c>
      <c r="D96" s="2">
        <v>4.3</v>
      </c>
      <c r="E96" s="2">
        <f>D96*VLOOKUP(C96,Conversion_factors!A$1:C$40,3,FALSE)</f>
        <v>3.6752136752136755</v>
      </c>
      <c r="G96" s="2">
        <v>74.361999999999995</v>
      </c>
      <c r="H96" s="1">
        <f t="shared" si="3"/>
        <v>63.557264957264977</v>
      </c>
      <c r="I96" s="3">
        <f t="shared" si="2"/>
        <v>63.557264957264977</v>
      </c>
      <c r="J96" s="3">
        <v>15.391999999999999</v>
      </c>
      <c r="K96" s="3">
        <v>97.867000000000004</v>
      </c>
      <c r="L96" s="3"/>
      <c r="M96" s="3"/>
      <c r="N96" s="3"/>
      <c r="Q96" s="4" t="s">
        <v>101</v>
      </c>
      <c r="R96" s="2" t="s">
        <v>17</v>
      </c>
      <c r="S96" s="2">
        <f>I96*0.49</f>
        <v>31.143059829059837</v>
      </c>
    </row>
    <row r="97" spans="1:19" ht="14.25" customHeight="1">
      <c r="A97" s="2" t="s">
        <v>15</v>
      </c>
      <c r="B97" s="2">
        <v>1996</v>
      </c>
      <c r="C97" s="2" t="s">
        <v>22</v>
      </c>
      <c r="D97" s="2">
        <v>4.0999999999999996</v>
      </c>
      <c r="E97" s="2">
        <f>D97*VLOOKUP(C97,Conversion_factors!A$1:C$40,3,FALSE)</f>
        <v>3.5042735042735043</v>
      </c>
      <c r="G97" s="2">
        <v>75.694999999999993</v>
      </c>
      <c r="H97" s="1">
        <f t="shared" si="3"/>
        <v>64.696581196581207</v>
      </c>
      <c r="I97" s="3">
        <f t="shared" si="2"/>
        <v>64.696581196581207</v>
      </c>
      <c r="J97" s="3">
        <v>13.26</v>
      </c>
      <c r="K97" s="3">
        <v>111.73699999999999</v>
      </c>
      <c r="L97" s="3"/>
      <c r="M97" s="3"/>
      <c r="N97" s="3"/>
      <c r="Q97" s="4" t="s">
        <v>101</v>
      </c>
      <c r="R97" s="2" t="s">
        <v>17</v>
      </c>
      <c r="S97" s="2">
        <f>I97*0.49</f>
        <v>31.70132478632479</v>
      </c>
    </row>
    <row r="98" spans="1:19" ht="14.25" customHeight="1">
      <c r="A98" s="2" t="s">
        <v>15</v>
      </c>
      <c r="B98" s="2">
        <v>1997</v>
      </c>
      <c r="C98" s="2" t="s">
        <v>22</v>
      </c>
      <c r="D98" s="2">
        <v>3.6</v>
      </c>
      <c r="E98" s="2">
        <f>D98*VLOOKUP(C98,Conversion_factors!A$1:C$40,3,FALSE)</f>
        <v>3.0769230769230771</v>
      </c>
      <c r="G98" s="2">
        <v>71.016000000000005</v>
      </c>
      <c r="H98" s="1">
        <f t="shared" si="3"/>
        <v>60.697435897435923</v>
      </c>
      <c r="I98" s="3">
        <f t="shared" si="2"/>
        <v>60.697435897435923</v>
      </c>
      <c r="J98" s="3">
        <v>9.75</v>
      </c>
      <c r="K98" s="3">
        <v>111.398</v>
      </c>
      <c r="L98" s="3"/>
      <c r="M98" s="3"/>
      <c r="N98" s="3"/>
      <c r="Q98" s="4" t="s">
        <v>101</v>
      </c>
      <c r="R98" s="2" t="s">
        <v>17</v>
      </c>
      <c r="S98" s="2">
        <f>I98*0.49</f>
        <v>29.741743589743603</v>
      </c>
    </row>
    <row r="99" spans="1:19" ht="14.25" customHeight="1">
      <c r="A99" s="2" t="s">
        <v>15</v>
      </c>
      <c r="B99" s="2">
        <v>1998</v>
      </c>
      <c r="C99" s="2" t="s">
        <v>22</v>
      </c>
      <c r="D99" s="2">
        <v>4.5</v>
      </c>
      <c r="E99" s="2">
        <f>D99*VLOOKUP(C99,Conversion_factors!A$1:C$40,3,FALSE)</f>
        <v>3.8461538461538467</v>
      </c>
      <c r="G99" s="2">
        <v>72.727999999999994</v>
      </c>
      <c r="H99" s="1">
        <f t="shared" si="3"/>
        <v>62.160683760683774</v>
      </c>
      <c r="I99" s="3">
        <f t="shared" si="2"/>
        <v>62.160683760683774</v>
      </c>
      <c r="J99" s="3">
        <v>9.6790000000000003</v>
      </c>
      <c r="K99" s="3">
        <v>109.628</v>
      </c>
      <c r="L99" s="3"/>
      <c r="M99" s="3"/>
      <c r="N99" s="3"/>
      <c r="Q99" s="4" t="s">
        <v>101</v>
      </c>
      <c r="R99" s="2" t="s">
        <v>17</v>
      </c>
      <c r="S99" s="2">
        <f>I99*0.49</f>
        <v>30.45873504273505</v>
      </c>
    </row>
    <row r="100" spans="1:19" ht="14.25" customHeight="1">
      <c r="A100" s="2" t="s">
        <v>15</v>
      </c>
      <c r="B100" s="2">
        <v>1999</v>
      </c>
      <c r="C100" s="2" t="s">
        <v>22</v>
      </c>
      <c r="D100" s="2">
        <v>4.9000000000000004</v>
      </c>
      <c r="E100" s="2">
        <f>D100*VLOOKUP(C100,Conversion_factors!A$1:C$40,3,FALSE)</f>
        <v>4.1880341880341883</v>
      </c>
      <c r="G100" s="2">
        <v>46.758000000000003</v>
      </c>
      <c r="H100" s="1">
        <f t="shared" si="3"/>
        <v>39.964102564102582</v>
      </c>
      <c r="I100" s="3">
        <f t="shared" si="2"/>
        <v>39.964102564102582</v>
      </c>
      <c r="J100" s="3">
        <v>9.0660000000000007</v>
      </c>
      <c r="K100" s="3">
        <v>111.88500000000001</v>
      </c>
      <c r="L100" s="3"/>
      <c r="M100" s="3"/>
      <c r="N100" s="3"/>
      <c r="Q100" s="4" t="s">
        <v>101</v>
      </c>
      <c r="R100" s="2" t="s">
        <v>17</v>
      </c>
      <c r="S100" s="2">
        <f>I100*0.49</f>
        <v>19.582410256410263</v>
      </c>
    </row>
    <row r="101" spans="1:19" ht="14.25" customHeight="1">
      <c r="A101" s="2" t="s">
        <v>15</v>
      </c>
      <c r="B101" s="2">
        <v>2000</v>
      </c>
      <c r="C101" s="2" t="s">
        <v>22</v>
      </c>
      <c r="D101" s="2">
        <v>4.8</v>
      </c>
      <c r="E101" s="2">
        <f>D101*VLOOKUP(C101,Conversion_factors!A$1:C$40,3,FALSE)</f>
        <v>4.1025641025641031</v>
      </c>
      <c r="G101" s="2">
        <v>36.985999999999997</v>
      </c>
      <c r="H101" s="1">
        <f t="shared" si="3"/>
        <v>31.61196581196582</v>
      </c>
      <c r="I101" s="3">
        <f t="shared" si="2"/>
        <v>31.61196581196582</v>
      </c>
      <c r="J101" s="3">
        <v>9.3480000000000008</v>
      </c>
      <c r="K101" s="3">
        <v>122.271</v>
      </c>
      <c r="L101" s="3"/>
      <c r="M101" s="3"/>
      <c r="N101" s="3"/>
      <c r="Q101" s="4" t="s">
        <v>101</v>
      </c>
      <c r="R101" s="2" t="s">
        <v>17</v>
      </c>
      <c r="S101" s="2">
        <f>I101*0.49</f>
        <v>15.489863247863251</v>
      </c>
    </row>
    <row r="102" spans="1:19" ht="14.25" customHeight="1">
      <c r="A102" s="2" t="s">
        <v>15</v>
      </c>
      <c r="B102" s="2">
        <v>2001</v>
      </c>
      <c r="C102" s="2" t="s">
        <v>22</v>
      </c>
      <c r="D102" s="2">
        <v>4.8</v>
      </c>
      <c r="E102" s="2">
        <f>D102*VLOOKUP(C102,Conversion_factors!A$1:C$40,3,FALSE)</f>
        <v>4.1025641025641031</v>
      </c>
      <c r="G102" s="2">
        <v>28.085999999999999</v>
      </c>
      <c r="H102" s="1">
        <f t="shared" si="3"/>
        <v>24.005128205128212</v>
      </c>
      <c r="I102" s="3">
        <f t="shared" si="2"/>
        <v>24.005128205128212</v>
      </c>
      <c r="J102" s="3">
        <v>11.702999999999999</v>
      </c>
      <c r="K102" s="3">
        <v>127.18600000000001</v>
      </c>
      <c r="L102" s="3"/>
      <c r="M102" s="3"/>
      <c r="N102" s="3"/>
      <c r="Q102" s="4" t="s">
        <v>101</v>
      </c>
      <c r="R102" s="2" t="s">
        <v>17</v>
      </c>
      <c r="S102" s="2">
        <f>I102*0.49</f>
        <v>11.762512820512823</v>
      </c>
    </row>
    <row r="103" spans="1:19" ht="14.25" customHeight="1">
      <c r="A103" s="2" t="s">
        <v>15</v>
      </c>
      <c r="B103" s="2">
        <v>2002</v>
      </c>
      <c r="C103" s="2" t="s">
        <v>22</v>
      </c>
      <c r="D103" s="2">
        <v>5.8</v>
      </c>
      <c r="E103" s="2">
        <f>D103*VLOOKUP(C103,Conversion_factors!A$1:C$40,3,FALSE)</f>
        <v>4.9572649572649574</v>
      </c>
      <c r="G103" s="2">
        <v>25.724</v>
      </c>
      <c r="H103" s="1">
        <f t="shared" si="3"/>
        <v>21.986324786324793</v>
      </c>
      <c r="I103" s="3">
        <f t="shared" si="2"/>
        <v>21.986324786324793</v>
      </c>
      <c r="J103" s="3">
        <v>14.35</v>
      </c>
      <c r="K103" s="3">
        <v>120.717</v>
      </c>
      <c r="L103" s="3"/>
      <c r="M103" s="3"/>
      <c r="N103" s="3"/>
      <c r="Q103" s="4" t="s">
        <v>101</v>
      </c>
      <c r="R103" s="2" t="s">
        <v>17</v>
      </c>
      <c r="S103" s="2">
        <f>I103*0.49</f>
        <v>10.773299145299148</v>
      </c>
    </row>
    <row r="104" spans="1:19" ht="14.25" customHeight="1">
      <c r="A104" s="2" t="s">
        <v>15</v>
      </c>
      <c r="B104" s="2">
        <v>2003</v>
      </c>
      <c r="C104" s="2" t="s">
        <v>22</v>
      </c>
      <c r="D104" s="2">
        <v>6</v>
      </c>
      <c r="E104" s="2">
        <f>D104*VLOOKUP(C104,Conversion_factors!A$1:C$40,3,FALSE)</f>
        <v>5.1282051282051286</v>
      </c>
      <c r="G104" s="2">
        <v>15.496</v>
      </c>
      <c r="H104" s="1">
        <f t="shared" si="3"/>
        <v>13.244444444444449</v>
      </c>
      <c r="I104" s="3">
        <f t="shared" si="2"/>
        <v>13.244444444444449</v>
      </c>
      <c r="J104" s="2">
        <v>24.7</v>
      </c>
      <c r="K104" s="2">
        <v>132.5</v>
      </c>
      <c r="M104" s="3"/>
      <c r="N104" s="3"/>
      <c r="Q104" s="4" t="s">
        <v>101</v>
      </c>
      <c r="R104" s="2" t="s">
        <v>17</v>
      </c>
      <c r="S104" s="2">
        <f>I104*0.49</f>
        <v>6.4897777777777801</v>
      </c>
    </row>
    <row r="105" spans="1:19" ht="14.25" customHeight="1">
      <c r="A105" s="2" t="s">
        <v>15</v>
      </c>
      <c r="B105" s="2">
        <v>2004</v>
      </c>
      <c r="C105" s="2" t="s">
        <v>22</v>
      </c>
      <c r="D105" s="2">
        <v>6.1</v>
      </c>
      <c r="E105" s="2">
        <f>D105*VLOOKUP(C105,Conversion_factors!A$1:C$40,3,FALSE)</f>
        <v>5.2136752136752138</v>
      </c>
      <c r="G105" s="2">
        <v>15.193</v>
      </c>
      <c r="H105" s="1">
        <f t="shared" si="3"/>
        <v>12.985470085470089</v>
      </c>
      <c r="I105" s="3">
        <f t="shared" si="2"/>
        <v>12.985470085470089</v>
      </c>
      <c r="J105" s="2">
        <v>33.6</v>
      </c>
      <c r="K105" s="2">
        <v>132.1</v>
      </c>
      <c r="M105" s="3"/>
      <c r="N105" s="3"/>
      <c r="Q105" s="4" t="s">
        <v>101</v>
      </c>
      <c r="R105" s="2" t="s">
        <v>17</v>
      </c>
      <c r="S105" s="2">
        <f>I105*0.49</f>
        <v>6.3628803418803432</v>
      </c>
    </row>
    <row r="106" spans="1:19" ht="14.25" customHeight="1">
      <c r="A106" s="2" t="s">
        <v>15</v>
      </c>
      <c r="B106" s="2">
        <v>2005</v>
      </c>
      <c r="C106" s="2" t="s">
        <v>22</v>
      </c>
      <c r="D106" s="2">
        <v>7.1</v>
      </c>
      <c r="E106" s="2">
        <f>D106*VLOOKUP(C106,Conversion_factors!A$1:C$40,3,FALSE)</f>
        <v>6.068376068376069</v>
      </c>
      <c r="G106" s="2">
        <v>13.784000000000001</v>
      </c>
      <c r="H106" s="1">
        <f t="shared" si="3"/>
        <v>11.781196581196586</v>
      </c>
      <c r="I106" s="3">
        <f t="shared" si="2"/>
        <v>11.781196581196586</v>
      </c>
      <c r="J106" s="2">
        <v>41.6</v>
      </c>
      <c r="K106" s="2">
        <v>138.4</v>
      </c>
      <c r="M106" s="3"/>
      <c r="N106" s="3"/>
      <c r="Q106" s="4" t="s">
        <v>101</v>
      </c>
      <c r="R106" s="2" t="s">
        <v>17</v>
      </c>
      <c r="S106" s="2">
        <f>I106*0.49</f>
        <v>5.7727863247863267</v>
      </c>
    </row>
    <row r="107" spans="1:19" ht="14.25" customHeight="1">
      <c r="A107" s="2" t="s">
        <v>15</v>
      </c>
      <c r="B107" s="2">
        <v>2006</v>
      </c>
      <c r="C107" s="2" t="s">
        <v>22</v>
      </c>
      <c r="D107" s="2">
        <v>8</v>
      </c>
      <c r="E107" s="2">
        <f>D107*VLOOKUP(C107,Conversion_factors!A$1:C$40,3,FALSE)</f>
        <v>6.8376068376068382</v>
      </c>
      <c r="G107" s="2">
        <v>12.851000000000001</v>
      </c>
      <c r="H107" s="1">
        <f t="shared" si="3"/>
        <v>10.983760683760689</v>
      </c>
      <c r="I107" s="3">
        <f t="shared" si="2"/>
        <v>10.983760683760689</v>
      </c>
      <c r="J107" s="2">
        <v>25.3</v>
      </c>
      <c r="K107" s="2">
        <v>136</v>
      </c>
      <c r="M107" s="3"/>
      <c r="N107" s="3"/>
      <c r="Q107" s="4" t="s">
        <v>101</v>
      </c>
      <c r="R107" s="2" t="s">
        <v>17</v>
      </c>
      <c r="S107" s="2">
        <f>I107*0.49</f>
        <v>5.382042735042738</v>
      </c>
    </row>
    <row r="108" spans="1:19" ht="14.25" customHeight="1">
      <c r="A108" s="2" t="s">
        <v>15</v>
      </c>
      <c r="B108" s="2">
        <v>2007</v>
      </c>
      <c r="C108" s="2" t="s">
        <v>22</v>
      </c>
      <c r="D108" s="2">
        <v>6.6</v>
      </c>
      <c r="E108" s="2">
        <f>D108*VLOOKUP(C108,Conversion_factors!A$1:C$40,3,FALSE)</f>
        <v>5.6410256410256414</v>
      </c>
      <c r="G108" s="2">
        <v>12.75</v>
      </c>
      <c r="H108" s="1">
        <f t="shared" si="3"/>
        <v>10.897435897435901</v>
      </c>
      <c r="I108" s="3">
        <f t="shared" si="2"/>
        <v>10.897435897435901</v>
      </c>
      <c r="J108" s="2">
        <v>16</v>
      </c>
      <c r="K108" s="2">
        <v>115.4</v>
      </c>
      <c r="M108" s="3"/>
      <c r="N108" s="3"/>
      <c r="Q108" s="4" t="s">
        <v>101</v>
      </c>
      <c r="R108" s="2" t="s">
        <v>17</v>
      </c>
      <c r="S108" s="2">
        <f>I108*0.49</f>
        <v>5.3397435897435912</v>
      </c>
    </row>
    <row r="109" spans="1:19" ht="14.25" customHeight="1">
      <c r="A109" s="2" t="s">
        <v>15</v>
      </c>
      <c r="B109" s="2">
        <v>2008</v>
      </c>
      <c r="C109" s="2" t="s">
        <v>22</v>
      </c>
      <c r="D109" s="2">
        <v>9.5</v>
      </c>
      <c r="E109" s="2">
        <f>D109*VLOOKUP(C109,Conversion_factors!A$1:C$40,3,FALSE)</f>
        <v>8.119658119658121</v>
      </c>
      <c r="G109" s="2">
        <v>9.8010000000000002</v>
      </c>
      <c r="H109" s="1">
        <f t="shared" si="3"/>
        <v>8.3769230769230791</v>
      </c>
      <c r="I109" s="3">
        <f t="shared" si="2"/>
        <v>8.3769230769230791</v>
      </c>
      <c r="J109" s="2">
        <v>24.1</v>
      </c>
      <c r="K109" s="2">
        <v>108.6</v>
      </c>
      <c r="M109" s="3"/>
      <c r="N109" s="3"/>
      <c r="Q109" s="4" t="s">
        <v>101</v>
      </c>
      <c r="R109" s="2" t="s">
        <v>17</v>
      </c>
      <c r="S109" s="2">
        <f>I109*0.49</f>
        <v>4.104692307692309</v>
      </c>
    </row>
    <row r="110" spans="1:19" ht="14.25" customHeight="1">
      <c r="A110" s="2" t="s">
        <v>15</v>
      </c>
      <c r="B110" s="2">
        <v>2009</v>
      </c>
      <c r="C110" s="2" t="s">
        <v>22</v>
      </c>
      <c r="D110" s="2">
        <v>10.9</v>
      </c>
      <c r="E110" s="2">
        <f>D110*VLOOKUP(C110,Conversion_factors!A$1:C$40,3,FALSE)</f>
        <v>9.3162393162393169</v>
      </c>
      <c r="G110" s="2">
        <v>11.621</v>
      </c>
      <c r="H110" s="1">
        <f t="shared" si="3"/>
        <v>9.9324786324786363</v>
      </c>
      <c r="I110" s="3">
        <f t="shared" si="2"/>
        <v>9.9324786324786363</v>
      </c>
      <c r="J110" s="2">
        <v>32.5</v>
      </c>
      <c r="K110" s="2">
        <v>105.6</v>
      </c>
      <c r="M110" s="3"/>
      <c r="N110" s="3"/>
      <c r="Q110" s="4" t="s">
        <v>101</v>
      </c>
      <c r="R110" s="2" t="s">
        <v>17</v>
      </c>
      <c r="S110" s="2">
        <f>I110*0.49</f>
        <v>4.8669145299145313</v>
      </c>
    </row>
    <row r="111" spans="1:19" ht="14.25" customHeight="1">
      <c r="A111" s="2" t="s">
        <v>15</v>
      </c>
      <c r="B111" s="2">
        <v>2010</v>
      </c>
      <c r="C111" s="2" t="s">
        <v>22</v>
      </c>
      <c r="D111" s="2">
        <v>11.1</v>
      </c>
      <c r="E111" s="2">
        <f>D111*VLOOKUP(C111,Conversion_factors!A$1:C$40,3,FALSE)</f>
        <v>9.4871794871794872</v>
      </c>
      <c r="G111" s="2">
        <v>14.7</v>
      </c>
      <c r="H111" s="1">
        <f t="shared" si="3"/>
        <v>12.564102564102567</v>
      </c>
      <c r="I111" s="3">
        <f t="shared" si="2"/>
        <v>12.564102564102567</v>
      </c>
      <c r="J111" s="2">
        <v>31</v>
      </c>
      <c r="K111" s="2">
        <v>101.4</v>
      </c>
      <c r="M111" s="3"/>
      <c r="N111" s="3"/>
      <c r="Q111" s="4" t="s">
        <v>101</v>
      </c>
      <c r="R111" s="2" t="s">
        <v>17</v>
      </c>
      <c r="S111" s="2">
        <f>I111*0.49</f>
        <v>6.1564102564102576</v>
      </c>
    </row>
    <row r="112" spans="1:19" ht="14.25" customHeight="1">
      <c r="A112" s="2" t="s">
        <v>15</v>
      </c>
      <c r="B112" s="2">
        <v>2011</v>
      </c>
      <c r="C112" s="2" t="s">
        <v>22</v>
      </c>
      <c r="D112" s="2">
        <v>10.5</v>
      </c>
      <c r="E112" s="2">
        <f>D112*VLOOKUP(C112,Conversion_factors!A$1:C$40,3,FALSE)</f>
        <v>8.9743589743589745</v>
      </c>
      <c r="G112" s="2">
        <v>12.7</v>
      </c>
      <c r="H112" s="1">
        <f t="shared" si="3"/>
        <v>10.854700854700857</v>
      </c>
      <c r="I112" s="3">
        <f t="shared" si="2"/>
        <v>10.854700854700857</v>
      </c>
      <c r="J112" s="2">
        <v>34.799999999999997</v>
      </c>
      <c r="K112" s="2">
        <v>103.1</v>
      </c>
      <c r="M112" s="3"/>
      <c r="N112" s="3"/>
      <c r="Q112" s="4" t="s">
        <v>101</v>
      </c>
      <c r="R112" s="2" t="s">
        <v>17</v>
      </c>
      <c r="S112" s="2">
        <f>I112*0.49</f>
        <v>5.3188034188034194</v>
      </c>
    </row>
    <row r="113" spans="1:19" ht="14.25" customHeight="1">
      <c r="A113" s="2" t="s">
        <v>15</v>
      </c>
      <c r="B113" s="2">
        <v>2012</v>
      </c>
      <c r="C113" s="2" t="s">
        <v>22</v>
      </c>
      <c r="D113" s="2">
        <v>13.8</v>
      </c>
      <c r="E113" s="2">
        <f>D113*VLOOKUP(C113,Conversion_factors!A$1:C$40,3,FALSE)</f>
        <v>11.794871794871796</v>
      </c>
      <c r="G113" s="2">
        <v>12.7</v>
      </c>
      <c r="H113" s="1">
        <f t="shared" si="3"/>
        <v>10.854700854700857</v>
      </c>
      <c r="I113" s="3">
        <f t="shared" si="2"/>
        <v>10.854700854700857</v>
      </c>
      <c r="J113" s="2">
        <v>20.2</v>
      </c>
      <c r="K113" s="2">
        <v>101.5</v>
      </c>
      <c r="M113" s="3"/>
      <c r="N113" s="3"/>
      <c r="Q113" s="4" t="s">
        <v>101</v>
      </c>
      <c r="R113" s="2" t="s">
        <v>17</v>
      </c>
      <c r="S113" s="2">
        <f>I113*0.49</f>
        <v>5.3188034188034194</v>
      </c>
    </row>
    <row r="114" spans="1:19" ht="14.25" customHeight="1">
      <c r="A114" s="2" t="s">
        <v>15</v>
      </c>
      <c r="B114" s="2">
        <v>2013</v>
      </c>
      <c r="C114" s="2" t="s">
        <v>22</v>
      </c>
      <c r="D114" s="2">
        <v>16.399999999999999</v>
      </c>
      <c r="E114" s="2">
        <f>D114*VLOOKUP(C114,Conversion_factors!A$1:C$40,3,FALSE)</f>
        <v>14.017094017094017</v>
      </c>
      <c r="G114" s="2">
        <v>13</v>
      </c>
      <c r="H114" s="1">
        <f t="shared" si="3"/>
        <v>11.111111111111114</v>
      </c>
      <c r="I114" s="3">
        <f t="shared" si="2"/>
        <v>11.111111111111114</v>
      </c>
      <c r="J114" s="2">
        <v>16.7</v>
      </c>
      <c r="K114" s="2">
        <v>116.3</v>
      </c>
      <c r="M114" s="3"/>
      <c r="N114" s="3"/>
      <c r="Q114" s="4" t="s">
        <v>101</v>
      </c>
      <c r="R114" s="2" t="s">
        <v>17</v>
      </c>
      <c r="S114" s="2">
        <f>I114*0.49</f>
        <v>5.4444444444444455</v>
      </c>
    </row>
    <row r="115" spans="1:19" ht="14.25" customHeight="1">
      <c r="A115" s="2" t="s">
        <v>15</v>
      </c>
      <c r="B115" s="2">
        <v>2014</v>
      </c>
      <c r="C115" s="2" t="s">
        <v>22</v>
      </c>
      <c r="D115" s="2">
        <v>16.3</v>
      </c>
      <c r="E115" s="2">
        <f>D115*VLOOKUP(C115,Conversion_factors!A$1:C$40,3,FALSE)</f>
        <v>13.931623931623934</v>
      </c>
      <c r="G115" s="2">
        <v>14</v>
      </c>
      <c r="H115" s="1">
        <f t="shared" si="3"/>
        <v>11.965811965811969</v>
      </c>
      <c r="I115" s="3">
        <f t="shared" si="2"/>
        <v>11.965811965811969</v>
      </c>
      <c r="J115" s="2">
        <v>15.5</v>
      </c>
      <c r="K115" s="2">
        <v>116.4</v>
      </c>
      <c r="M115" s="3"/>
      <c r="N115" s="3"/>
      <c r="Q115" s="4" t="s">
        <v>101</v>
      </c>
      <c r="R115" s="2" t="s">
        <v>17</v>
      </c>
      <c r="S115" s="2">
        <f>I115*0.49</f>
        <v>5.8632478632478646</v>
      </c>
    </row>
    <row r="116" spans="1:19" ht="14.25" customHeight="1">
      <c r="A116" s="2" t="s">
        <v>15</v>
      </c>
      <c r="B116" s="2">
        <v>2015</v>
      </c>
      <c r="C116" s="2" t="s">
        <v>22</v>
      </c>
      <c r="D116" s="2">
        <v>12.9</v>
      </c>
      <c r="E116" s="2">
        <f>D116*VLOOKUP(C116,Conversion_factors!A$1:C$40,3,FALSE)</f>
        <v>11.025641025641027</v>
      </c>
      <c r="G116" s="2">
        <v>15.4</v>
      </c>
      <c r="H116" s="1">
        <f t="shared" si="3"/>
        <v>13.162393162393167</v>
      </c>
      <c r="I116" s="3">
        <f t="shared" si="2"/>
        <v>13.162393162393167</v>
      </c>
      <c r="J116" s="2">
        <v>16</v>
      </c>
      <c r="K116" s="2">
        <v>115.4</v>
      </c>
      <c r="M116" s="3"/>
      <c r="N116" s="3"/>
      <c r="Q116" s="4" t="s">
        <v>101</v>
      </c>
      <c r="R116" s="2" t="s">
        <v>17</v>
      </c>
      <c r="S116" s="2">
        <f>I116*0.49</f>
        <v>6.4495726495726515</v>
      </c>
    </row>
    <row r="117" spans="1:19" ht="14.25" customHeight="1">
      <c r="A117" s="2" t="s">
        <v>15</v>
      </c>
      <c r="B117" s="2">
        <v>2016</v>
      </c>
      <c r="C117" s="2" t="s">
        <v>22</v>
      </c>
      <c r="D117" s="2">
        <v>13.4</v>
      </c>
      <c r="E117" s="2">
        <f>D117*VLOOKUP(C117,Conversion_factors!A$1:C$40,3,FALSE)</f>
        <v>11.452991452991455</v>
      </c>
      <c r="G117" s="2">
        <v>20.7</v>
      </c>
      <c r="H117" s="1">
        <f t="shared" si="3"/>
        <v>17.692307692307697</v>
      </c>
      <c r="I117" s="3">
        <f t="shared" si="2"/>
        <v>17.692307692307697</v>
      </c>
      <c r="J117" s="2">
        <v>17.2</v>
      </c>
      <c r="K117" s="2">
        <v>120.5</v>
      </c>
      <c r="M117" s="3"/>
      <c r="N117" s="3"/>
      <c r="Q117" s="4" t="s">
        <v>101</v>
      </c>
      <c r="R117" s="2" t="s">
        <v>17</v>
      </c>
      <c r="S117" s="2">
        <f>I117*0.49</f>
        <v>8.6692307692307722</v>
      </c>
    </row>
    <row r="118" spans="1:19" ht="14.25" customHeight="1">
      <c r="A118" s="2" t="s">
        <v>15</v>
      </c>
      <c r="B118" s="2">
        <v>2017</v>
      </c>
      <c r="C118" s="2" t="s">
        <v>22</v>
      </c>
      <c r="D118" s="2">
        <v>16.8</v>
      </c>
      <c r="E118" s="2">
        <f>D118*VLOOKUP(C118,Conversion_factors!A$1:C$40,3,FALSE)</f>
        <v>14.358974358974361</v>
      </c>
      <c r="G118" s="2">
        <v>21.6</v>
      </c>
      <c r="H118" s="1">
        <f t="shared" si="3"/>
        <v>18.461538461538471</v>
      </c>
      <c r="I118" s="3">
        <f t="shared" si="2"/>
        <v>18.461538461538471</v>
      </c>
      <c r="J118" s="2">
        <v>16.7</v>
      </c>
      <c r="K118" s="2">
        <v>110</v>
      </c>
      <c r="M118" s="3"/>
      <c r="N118" s="3"/>
      <c r="Q118" s="4" t="s">
        <v>101</v>
      </c>
      <c r="R118" s="2" t="s">
        <v>17</v>
      </c>
      <c r="S118" s="2">
        <f>I118*0.49</f>
        <v>9.0461538461538495</v>
      </c>
    </row>
    <row r="119" spans="1:19" ht="14.25" customHeight="1">
      <c r="A119" s="2" t="s">
        <v>15</v>
      </c>
      <c r="B119" s="2">
        <v>2018</v>
      </c>
      <c r="C119" s="2" t="s">
        <v>22</v>
      </c>
      <c r="D119" s="2">
        <v>10</v>
      </c>
      <c r="E119" s="2">
        <f>D119*VLOOKUP(C119,Conversion_factors!A$1:C$40,3,FALSE)</f>
        <v>8.5470085470085486</v>
      </c>
      <c r="G119" s="2">
        <v>24.6</v>
      </c>
      <c r="H119" s="1">
        <f t="shared" si="3"/>
        <v>21.025641025641033</v>
      </c>
      <c r="I119" s="3">
        <f t="shared" si="2"/>
        <v>21.025641025641033</v>
      </c>
      <c r="J119" s="2">
        <v>14.4</v>
      </c>
      <c r="K119" s="2">
        <v>102.9</v>
      </c>
      <c r="M119" s="3"/>
      <c r="N119" s="3"/>
      <c r="Q119" s="4" t="s">
        <v>101</v>
      </c>
      <c r="R119" s="2" t="s">
        <v>17</v>
      </c>
      <c r="S119" s="2">
        <f>I119*0.49</f>
        <v>10.302564102564105</v>
      </c>
    </row>
    <row r="120" spans="1:19" ht="14.25" customHeight="1">
      <c r="A120" s="2" t="s">
        <v>15</v>
      </c>
      <c r="B120" s="2">
        <v>2019</v>
      </c>
      <c r="C120" s="2" t="s">
        <v>22</v>
      </c>
      <c r="D120" s="2">
        <v>7</v>
      </c>
      <c r="E120" s="2">
        <f>D120*VLOOKUP(C120,Conversion_factors!A$1:C$40,3,FALSE)</f>
        <v>5.982905982905983</v>
      </c>
      <c r="G120" s="2">
        <v>22</v>
      </c>
      <c r="H120" s="1">
        <f t="shared" si="3"/>
        <v>18.803418803418811</v>
      </c>
      <c r="I120" s="3">
        <f t="shared" si="2"/>
        <v>18.803418803418811</v>
      </c>
      <c r="J120" s="2">
        <v>12.099698999999999</v>
      </c>
      <c r="K120" s="2">
        <v>105.802702</v>
      </c>
      <c r="M120" s="3"/>
      <c r="N120" s="3"/>
      <c r="Q120" s="4" t="s">
        <v>101</v>
      </c>
      <c r="R120" s="2" t="s">
        <v>17</v>
      </c>
      <c r="S120" s="2">
        <f>I120*0.49</f>
        <v>9.2136752136752165</v>
      </c>
    </row>
    <row r="121" spans="1:19" ht="14.25" customHeight="1">
      <c r="A121" s="2" t="s">
        <v>15</v>
      </c>
      <c r="B121" s="2">
        <v>2020</v>
      </c>
      <c r="C121" s="2" t="s">
        <v>22</v>
      </c>
      <c r="D121" s="2">
        <v>6.714054</v>
      </c>
      <c r="E121" s="2">
        <f>D121*VLOOKUP(C121,Conversion_factors!A$1:C$40,3,FALSE)</f>
        <v>5.7385076923076932</v>
      </c>
      <c r="G121" s="2">
        <v>18.0358172</v>
      </c>
      <c r="H121" s="1">
        <f t="shared" si="3"/>
        <v>15.415228376068381</v>
      </c>
      <c r="I121" s="3">
        <f t="shared" si="2"/>
        <v>15.415228376068381</v>
      </c>
      <c r="J121" s="2">
        <v>9.8885649999999998</v>
      </c>
      <c r="K121" s="2">
        <v>97.385397999999995</v>
      </c>
      <c r="M121" s="3"/>
      <c r="N121" s="3"/>
      <c r="Q121" s="4" t="s">
        <v>101</v>
      </c>
      <c r="R121" s="2" t="s">
        <v>17</v>
      </c>
      <c r="S121" s="2">
        <f>I121*0.49</f>
        <v>7.5534619042735063</v>
      </c>
    </row>
    <row r="122" spans="1:19" ht="14.25" customHeight="1">
      <c r="A122" s="2" t="s">
        <v>15</v>
      </c>
      <c r="B122" s="2">
        <v>1900</v>
      </c>
      <c r="C122" s="2" t="s">
        <v>23</v>
      </c>
      <c r="G122" s="3"/>
      <c r="H122" s="3">
        <v>165.66053647632594</v>
      </c>
      <c r="I122" s="3">
        <f t="shared" si="2"/>
        <v>165.66053647632594</v>
      </c>
      <c r="J122" s="3" t="e">
        <v>#VALUE!</v>
      </c>
      <c r="K122" s="3" t="e">
        <v>#VALUE!</v>
      </c>
      <c r="L122" s="3"/>
      <c r="M122" s="3"/>
      <c r="N122" s="3"/>
      <c r="Q122" s="4" t="s">
        <v>99</v>
      </c>
      <c r="R122" s="2" t="s">
        <v>17</v>
      </c>
      <c r="S122" s="2">
        <f>I122*0.49</f>
        <v>81.173662873399707</v>
      </c>
    </row>
    <row r="123" spans="1:19" ht="14.25" customHeight="1">
      <c r="A123" s="2" t="s">
        <v>15</v>
      </c>
      <c r="B123" s="2">
        <v>1901</v>
      </c>
      <c r="C123" s="2" t="s">
        <v>23</v>
      </c>
      <c r="G123" s="3"/>
      <c r="H123" s="3">
        <v>162.25457224141434</v>
      </c>
      <c r="I123" s="3">
        <f t="shared" si="2"/>
        <v>162.25457224141434</v>
      </c>
      <c r="J123" s="3" t="e">
        <v>#N/A</v>
      </c>
      <c r="K123" s="3" t="e">
        <v>#N/A</v>
      </c>
      <c r="L123" s="3"/>
      <c r="M123" s="3"/>
      <c r="N123" s="3"/>
      <c r="Q123" s="4" t="s">
        <v>99</v>
      </c>
      <c r="R123" s="2" t="s">
        <v>17</v>
      </c>
      <c r="S123" s="2">
        <f>I123*0.49</f>
        <v>79.504740398293023</v>
      </c>
    </row>
    <row r="124" spans="1:19" ht="14.25" customHeight="1">
      <c r="A124" s="2" t="s">
        <v>15</v>
      </c>
      <c r="B124" s="2">
        <v>1902</v>
      </c>
      <c r="C124" s="2" t="s">
        <v>23</v>
      </c>
      <c r="G124" s="3"/>
      <c r="H124" s="3">
        <v>149.42105263157893</v>
      </c>
      <c r="I124" s="3">
        <f t="shared" si="2"/>
        <v>149.42105263157893</v>
      </c>
      <c r="J124" s="3" t="e">
        <v>#N/A</v>
      </c>
      <c r="K124" s="3" t="e">
        <v>#N/A</v>
      </c>
      <c r="L124" s="3"/>
      <c r="M124" s="3"/>
      <c r="N124" s="3"/>
      <c r="Q124" s="4" t="s">
        <v>99</v>
      </c>
      <c r="R124" s="2" t="s">
        <v>17</v>
      </c>
      <c r="S124" s="2">
        <f>I124*0.49</f>
        <v>73.216315789473668</v>
      </c>
    </row>
    <row r="125" spans="1:19" ht="14.25" customHeight="1">
      <c r="A125" s="2" t="s">
        <v>15</v>
      </c>
      <c r="B125" s="2">
        <v>1903</v>
      </c>
      <c r="C125" s="2" t="s">
        <v>23</v>
      </c>
      <c r="G125" s="3"/>
      <c r="H125" s="3" t="e">
        <v>#N/A</v>
      </c>
      <c r="I125" s="3" t="e">
        <f t="shared" si="2"/>
        <v>#N/A</v>
      </c>
      <c r="J125" s="3" t="e">
        <v>#N/A</v>
      </c>
      <c r="K125" s="3" t="e">
        <v>#N/A</v>
      </c>
      <c r="L125" s="3"/>
      <c r="M125" s="3"/>
      <c r="N125" s="3"/>
      <c r="Q125" s="4" t="s">
        <v>99</v>
      </c>
      <c r="R125" s="2" t="s">
        <v>17</v>
      </c>
      <c r="S125" s="2" t="e">
        <f>I125*0.49</f>
        <v>#N/A</v>
      </c>
    </row>
    <row r="126" spans="1:19" ht="14.25" customHeight="1">
      <c r="A126" s="2" t="s">
        <v>15</v>
      </c>
      <c r="B126" s="2">
        <v>1904</v>
      </c>
      <c r="C126" s="2" t="s">
        <v>23</v>
      </c>
      <c r="G126" s="3"/>
      <c r="H126" s="3" t="e">
        <v>#N/A</v>
      </c>
      <c r="I126" s="3" t="e">
        <f t="shared" si="2"/>
        <v>#N/A</v>
      </c>
      <c r="J126" s="3" t="e">
        <v>#N/A</v>
      </c>
      <c r="K126" s="3" t="e">
        <v>#N/A</v>
      </c>
      <c r="L126" s="3"/>
      <c r="M126" s="3"/>
      <c r="N126" s="3"/>
      <c r="Q126" s="4" t="s">
        <v>99</v>
      </c>
      <c r="R126" s="2" t="s">
        <v>17</v>
      </c>
      <c r="S126" s="2" t="e">
        <f>I126*0.49</f>
        <v>#N/A</v>
      </c>
    </row>
    <row r="127" spans="1:19" ht="14.25" customHeight="1">
      <c r="A127" s="2" t="s">
        <v>15</v>
      </c>
      <c r="B127" s="2">
        <v>1905</v>
      </c>
      <c r="C127" s="2" t="s">
        <v>23</v>
      </c>
      <c r="G127" s="3"/>
      <c r="H127" s="3" t="e">
        <v>#N/A</v>
      </c>
      <c r="I127" s="3" t="e">
        <f t="shared" si="2"/>
        <v>#N/A</v>
      </c>
      <c r="J127" s="3" t="e">
        <v>#VALUE!</v>
      </c>
      <c r="K127" s="3" t="e">
        <v>#VALUE!</v>
      </c>
      <c r="L127" s="3"/>
      <c r="M127" s="3"/>
      <c r="N127" s="3"/>
      <c r="Q127" s="4" t="s">
        <v>99</v>
      </c>
      <c r="R127" s="2" t="s">
        <v>17</v>
      </c>
      <c r="S127" s="2" t="e">
        <f>I127*0.49</f>
        <v>#N/A</v>
      </c>
    </row>
    <row r="128" spans="1:19" ht="14.25" customHeight="1">
      <c r="A128" s="2" t="s">
        <v>15</v>
      </c>
      <c r="B128" s="2">
        <v>1906</v>
      </c>
      <c r="C128" s="2" t="s">
        <v>23</v>
      </c>
      <c r="G128" s="3"/>
      <c r="H128" s="3" t="e">
        <v>#N/A</v>
      </c>
      <c r="I128" s="3" t="e">
        <f t="shared" si="2"/>
        <v>#N/A</v>
      </c>
      <c r="J128" s="3" t="e">
        <v>#N/A</v>
      </c>
      <c r="K128" s="3" t="e">
        <v>#N/A</v>
      </c>
      <c r="L128" s="3"/>
      <c r="M128" s="3"/>
      <c r="N128" s="3"/>
      <c r="Q128" s="4" t="s">
        <v>99</v>
      </c>
      <c r="R128" s="2" t="s">
        <v>17</v>
      </c>
      <c r="S128" s="2" t="e">
        <f>I128*0.49</f>
        <v>#N/A</v>
      </c>
    </row>
    <row r="129" spans="1:19" ht="14.25" customHeight="1">
      <c r="A129" s="2" t="s">
        <v>15</v>
      </c>
      <c r="B129" s="2">
        <v>1907</v>
      </c>
      <c r="C129" s="2" t="s">
        <v>23</v>
      </c>
      <c r="G129" s="3"/>
      <c r="H129" s="3" t="e">
        <v>#N/A</v>
      </c>
      <c r="I129" s="3" t="e">
        <f t="shared" si="2"/>
        <v>#N/A</v>
      </c>
      <c r="J129" s="3" t="e">
        <v>#N/A</v>
      </c>
      <c r="K129" s="3" t="e">
        <v>#N/A</v>
      </c>
      <c r="L129" s="3"/>
      <c r="M129" s="3"/>
      <c r="N129" s="3"/>
      <c r="Q129" s="4" t="s">
        <v>99</v>
      </c>
      <c r="R129" s="2" t="s">
        <v>17</v>
      </c>
      <c r="S129" s="2" t="e">
        <f>I129*0.49</f>
        <v>#N/A</v>
      </c>
    </row>
    <row r="130" spans="1:19" ht="14.25" customHeight="1">
      <c r="A130" s="2" t="s">
        <v>15</v>
      </c>
      <c r="B130" s="2">
        <v>1908</v>
      </c>
      <c r="C130" s="2" t="s">
        <v>23</v>
      </c>
      <c r="G130" s="3"/>
      <c r="H130" s="3" t="e">
        <v>#N/A</v>
      </c>
      <c r="I130" s="3" t="e">
        <f t="shared" si="2"/>
        <v>#N/A</v>
      </c>
      <c r="J130" s="3" t="e">
        <v>#N/A</v>
      </c>
      <c r="K130" s="3" t="e">
        <v>#N/A</v>
      </c>
      <c r="L130" s="3"/>
      <c r="M130" s="3"/>
      <c r="N130" s="3"/>
      <c r="Q130" s="4" t="s">
        <v>99</v>
      </c>
      <c r="R130" s="2" t="s">
        <v>17</v>
      </c>
      <c r="S130" s="2" t="e">
        <f>I130*0.49</f>
        <v>#N/A</v>
      </c>
    </row>
    <row r="131" spans="1:19" ht="14.25" customHeight="1">
      <c r="A131" s="2" t="s">
        <v>15</v>
      </c>
      <c r="B131" s="2">
        <v>1910</v>
      </c>
      <c r="C131" s="2" t="s">
        <v>23</v>
      </c>
      <c r="G131" s="3"/>
      <c r="H131" s="3" t="e">
        <v>#N/A</v>
      </c>
      <c r="I131" s="3" t="e">
        <f t="shared" si="2"/>
        <v>#N/A</v>
      </c>
      <c r="J131" s="3">
        <v>3.2748933143669983</v>
      </c>
      <c r="K131" s="3" t="e">
        <v>#VALUE!</v>
      </c>
      <c r="L131" s="3"/>
      <c r="M131" s="3"/>
      <c r="N131" s="3"/>
      <c r="Q131" s="4" t="s">
        <v>99</v>
      </c>
      <c r="R131" s="2" t="s">
        <v>17</v>
      </c>
      <c r="S131" s="2" t="e">
        <f>I131*0.49</f>
        <v>#N/A</v>
      </c>
    </row>
    <row r="132" spans="1:19" ht="14.25" customHeight="1">
      <c r="A132" s="2" t="s">
        <v>15</v>
      </c>
      <c r="B132" s="2">
        <v>1911</v>
      </c>
      <c r="C132" s="2" t="s">
        <v>23</v>
      </c>
      <c r="G132" s="3"/>
      <c r="H132" s="3">
        <v>158.90977443609023</v>
      </c>
      <c r="I132" s="3">
        <f t="shared" si="2"/>
        <v>158.90977443609023</v>
      </c>
      <c r="J132" s="3" t="e">
        <v>#N/A</v>
      </c>
      <c r="K132" s="3" t="e">
        <v>#N/A</v>
      </c>
      <c r="L132" s="3"/>
      <c r="M132" s="3"/>
      <c r="N132" s="3"/>
      <c r="Q132" s="4" t="s">
        <v>99</v>
      </c>
      <c r="R132" s="2" t="s">
        <v>17</v>
      </c>
      <c r="S132" s="2">
        <f>I132*0.49</f>
        <v>77.865789473684217</v>
      </c>
    </row>
    <row r="133" spans="1:19" ht="14.25" customHeight="1">
      <c r="A133" s="2" t="s">
        <v>15</v>
      </c>
      <c r="B133" s="2">
        <v>1912</v>
      </c>
      <c r="C133" s="2" t="s">
        <v>23</v>
      </c>
      <c r="G133" s="3"/>
      <c r="H133" s="3">
        <v>145.45763056289371</v>
      </c>
      <c r="I133" s="3">
        <f t="shared" si="2"/>
        <v>145.45763056289371</v>
      </c>
      <c r="J133" s="3" t="e">
        <v>#N/A</v>
      </c>
      <c r="K133" s="3" t="e">
        <v>#N/A</v>
      </c>
      <c r="L133" s="3"/>
      <c r="M133" s="3"/>
      <c r="N133" s="3"/>
      <c r="Q133" s="4" t="s">
        <v>99</v>
      </c>
      <c r="R133" s="2" t="s">
        <v>17</v>
      </c>
      <c r="S133" s="2">
        <f>I133*0.49</f>
        <v>71.274238975817923</v>
      </c>
    </row>
    <row r="134" spans="1:19" ht="14.25" customHeight="1">
      <c r="A134" s="2" t="s">
        <v>15</v>
      </c>
      <c r="B134" s="2">
        <v>1913</v>
      </c>
      <c r="C134" s="2" t="s">
        <v>23</v>
      </c>
      <c r="G134" s="3"/>
      <c r="H134" s="3">
        <v>112.2981101402154</v>
      </c>
      <c r="I134" s="3">
        <f t="shared" si="2"/>
        <v>112.2981101402154</v>
      </c>
      <c r="J134" s="3" t="e">
        <v>#N/A</v>
      </c>
      <c r="K134" s="3" t="e">
        <v>#N/A</v>
      </c>
      <c r="L134" s="3"/>
      <c r="M134" s="3"/>
      <c r="N134" s="3"/>
      <c r="Q134" s="4" t="s">
        <v>99</v>
      </c>
      <c r="R134" s="2" t="s">
        <v>17</v>
      </c>
      <c r="S134" s="2">
        <f>I134*0.49</f>
        <v>55.026073968705546</v>
      </c>
    </row>
    <row r="135" spans="1:19" ht="14.25" customHeight="1">
      <c r="A135" s="2" t="s">
        <v>15</v>
      </c>
      <c r="B135" s="2">
        <v>1914</v>
      </c>
      <c r="C135" s="2" t="s">
        <v>23</v>
      </c>
      <c r="G135" s="3"/>
      <c r="H135" s="3" t="e">
        <v>#N/A</v>
      </c>
      <c r="I135" s="3" t="e">
        <f t="shared" si="2"/>
        <v>#N/A</v>
      </c>
      <c r="J135" s="3">
        <v>3.1218248323511482</v>
      </c>
      <c r="K135" s="3" t="e">
        <v>#VALUE!</v>
      </c>
      <c r="L135" s="3"/>
      <c r="M135" s="3"/>
      <c r="N135" s="3"/>
      <c r="Q135" s="4" t="s">
        <v>100</v>
      </c>
      <c r="R135" s="2" t="s">
        <v>17</v>
      </c>
      <c r="S135" s="2" t="e">
        <f>I135*0.49</f>
        <v>#N/A</v>
      </c>
    </row>
    <row r="136" spans="1:19" ht="14.25" customHeight="1">
      <c r="A136" s="2" t="s">
        <v>15</v>
      </c>
      <c r="B136" s="2">
        <v>1915</v>
      </c>
      <c r="C136" s="2" t="s">
        <v>23</v>
      </c>
      <c r="G136" s="3"/>
      <c r="H136" s="3" t="e">
        <v>#N/A</v>
      </c>
      <c r="I136" s="3" t="e">
        <f t="shared" si="2"/>
        <v>#N/A</v>
      </c>
      <c r="J136" s="3">
        <v>0.70874822190611653</v>
      </c>
      <c r="K136" s="3" t="e">
        <v>#VALUE!</v>
      </c>
      <c r="L136" s="3"/>
      <c r="M136" s="3"/>
      <c r="N136" s="3"/>
      <c r="Q136" s="4" t="s">
        <v>100</v>
      </c>
      <c r="R136" s="2" t="s">
        <v>17</v>
      </c>
      <c r="S136" s="2" t="e">
        <f>I136*0.49</f>
        <v>#N/A</v>
      </c>
    </row>
    <row r="137" spans="1:19" ht="14.25" customHeight="1">
      <c r="A137" s="2" t="s">
        <v>15</v>
      </c>
      <c r="B137" s="2">
        <v>1916</v>
      </c>
      <c r="C137" s="2" t="s">
        <v>23</v>
      </c>
      <c r="G137" s="3"/>
      <c r="H137" s="3" t="e">
        <v>#N/A</v>
      </c>
      <c r="I137" s="3" t="e">
        <f t="shared" si="2"/>
        <v>#N/A</v>
      </c>
      <c r="J137" s="3">
        <v>0.54882137776874618</v>
      </c>
      <c r="K137" s="3" t="e">
        <v>#VALUE!</v>
      </c>
      <c r="L137" s="3"/>
      <c r="M137" s="3"/>
      <c r="N137" s="3"/>
      <c r="Q137" s="4" t="s">
        <v>100</v>
      </c>
      <c r="R137" s="2" t="s">
        <v>17</v>
      </c>
      <c r="S137" s="2" t="e">
        <f>I137*0.49</f>
        <v>#N/A</v>
      </c>
    </row>
    <row r="138" spans="1:19" ht="14.25" customHeight="1">
      <c r="A138" s="2" t="s">
        <v>15</v>
      </c>
      <c r="B138" s="2">
        <v>1917</v>
      </c>
      <c r="C138" s="2" t="s">
        <v>23</v>
      </c>
      <c r="G138" s="3"/>
      <c r="H138" s="3" t="e">
        <v>#N/A</v>
      </c>
      <c r="I138" s="3" t="e">
        <f t="shared" si="2"/>
        <v>#N/A</v>
      </c>
      <c r="J138" s="3">
        <v>0.18375330217435479</v>
      </c>
      <c r="K138" s="3" t="e">
        <v>#VALUE!</v>
      </c>
      <c r="L138" s="3"/>
      <c r="M138" s="3"/>
      <c r="N138" s="3"/>
      <c r="Q138" s="4" t="s">
        <v>100</v>
      </c>
      <c r="R138" s="2" t="s">
        <v>17</v>
      </c>
      <c r="S138" s="2" t="e">
        <f>I138*0.49</f>
        <v>#N/A</v>
      </c>
    </row>
    <row r="139" spans="1:19" ht="14.25" customHeight="1">
      <c r="A139" s="2" t="s">
        <v>15</v>
      </c>
      <c r="B139" s="2">
        <v>1918</v>
      </c>
      <c r="C139" s="2" t="s">
        <v>23</v>
      </c>
      <c r="G139" s="3"/>
      <c r="H139" s="3" t="e">
        <v>#N/A</v>
      </c>
      <c r="I139" s="3" t="e">
        <f t="shared" si="2"/>
        <v>#N/A</v>
      </c>
      <c r="J139" s="3">
        <v>0.14092664092664092</v>
      </c>
      <c r="K139" s="3" t="e">
        <v>#VALUE!</v>
      </c>
      <c r="L139" s="3"/>
      <c r="M139" s="3"/>
      <c r="N139" s="3"/>
      <c r="Q139" s="4" t="s">
        <v>100</v>
      </c>
      <c r="R139" s="2" t="s">
        <v>17</v>
      </c>
      <c r="S139" s="2" t="e">
        <f>I139*0.49</f>
        <v>#N/A</v>
      </c>
    </row>
    <row r="140" spans="1:19" ht="14.25" customHeight="1">
      <c r="A140" s="2" t="s">
        <v>15</v>
      </c>
      <c r="B140" s="2">
        <v>1919</v>
      </c>
      <c r="C140" s="2" t="s">
        <v>23</v>
      </c>
      <c r="G140" s="3"/>
      <c r="H140" s="3">
        <v>154.19447266815686</v>
      </c>
      <c r="I140" s="3">
        <f t="shared" si="2"/>
        <v>154.19447266815686</v>
      </c>
      <c r="J140" s="3">
        <v>0.86638894533631372</v>
      </c>
      <c r="K140" s="3" t="e">
        <v>#VALUE!</v>
      </c>
      <c r="L140" s="3"/>
      <c r="M140" s="3"/>
      <c r="N140" s="3"/>
      <c r="Q140" s="4" t="s">
        <v>99</v>
      </c>
      <c r="R140" s="2" t="s">
        <v>17</v>
      </c>
      <c r="S140" s="2">
        <f>I140*0.49</f>
        <v>75.555291607396867</v>
      </c>
    </row>
    <row r="141" spans="1:19" ht="14.25" customHeight="1">
      <c r="A141" s="2" t="s">
        <v>15</v>
      </c>
      <c r="B141" s="2">
        <v>1920</v>
      </c>
      <c r="C141" s="2" t="s">
        <v>23</v>
      </c>
      <c r="G141" s="3"/>
      <c r="H141" s="3">
        <v>199.72886608412924</v>
      </c>
      <c r="I141" s="3">
        <f t="shared" si="2"/>
        <v>199.72886608412924</v>
      </c>
      <c r="J141" s="3">
        <v>1.442084942084942</v>
      </c>
      <c r="K141" s="3" t="e">
        <v>#VALUE!</v>
      </c>
      <c r="L141" s="3"/>
      <c r="M141" s="3"/>
      <c r="N141" s="3"/>
      <c r="Q141" s="4" t="s">
        <v>99</v>
      </c>
      <c r="R141" s="2" t="s">
        <v>17</v>
      </c>
      <c r="S141" s="2">
        <f>I141*0.49</f>
        <v>97.867144381223326</v>
      </c>
    </row>
    <row r="142" spans="1:19" ht="14.25" customHeight="1">
      <c r="A142" s="2" t="s">
        <v>15</v>
      </c>
      <c r="B142" s="2">
        <v>1921</v>
      </c>
      <c r="C142" s="2" t="s">
        <v>23</v>
      </c>
      <c r="G142" s="3"/>
      <c r="H142" s="3">
        <v>159.19680959154641</v>
      </c>
      <c r="I142" s="3">
        <f t="shared" si="2"/>
        <v>159.19680959154641</v>
      </c>
      <c r="J142" s="3" t="e">
        <v>#N/A</v>
      </c>
      <c r="K142" s="3" t="e">
        <v>#N/A</v>
      </c>
      <c r="L142" s="3"/>
      <c r="M142" s="3"/>
      <c r="N142" s="3"/>
      <c r="Q142" s="4" t="s">
        <v>99</v>
      </c>
      <c r="R142" s="2" t="s">
        <v>17</v>
      </c>
      <c r="S142" s="2">
        <f>I142*0.49</f>
        <v>78.006436699857744</v>
      </c>
    </row>
    <row r="143" spans="1:19" ht="14.25" customHeight="1">
      <c r="A143" s="2" t="s">
        <v>15</v>
      </c>
      <c r="B143" s="2">
        <v>1922</v>
      </c>
      <c r="C143" s="2" t="s">
        <v>23</v>
      </c>
      <c r="G143" s="3"/>
      <c r="H143" s="3">
        <v>172.70067059540742</v>
      </c>
      <c r="I143" s="3">
        <f t="shared" ref="I143:I176" si="4">H143*1.0078</f>
        <v>174.04773582605159</v>
      </c>
      <c r="J143" s="3" t="e">
        <v>#N/A</v>
      </c>
      <c r="K143" s="3" t="e">
        <v>#N/A</v>
      </c>
      <c r="L143" s="3"/>
      <c r="M143" s="3"/>
      <c r="N143" s="3"/>
      <c r="Q143" s="4" t="s">
        <v>99</v>
      </c>
      <c r="R143" s="2" t="s">
        <v>17</v>
      </c>
      <c r="S143" s="2">
        <f>I143*0.49</f>
        <v>85.283390554765276</v>
      </c>
    </row>
    <row r="144" spans="1:19" ht="14.25" customHeight="1">
      <c r="A144" s="2" t="s">
        <v>15</v>
      </c>
      <c r="B144" s="2">
        <v>1923</v>
      </c>
      <c r="C144" s="2" t="s">
        <v>23</v>
      </c>
      <c r="G144" s="3"/>
      <c r="H144" s="3">
        <v>141.06035358666938</v>
      </c>
      <c r="I144" s="3">
        <f t="shared" si="4"/>
        <v>142.16062434464541</v>
      </c>
      <c r="J144" s="3" t="e">
        <v>#N/A</v>
      </c>
      <c r="K144" s="3" t="e">
        <v>#N/A</v>
      </c>
      <c r="L144" s="3"/>
      <c r="M144" s="3"/>
      <c r="N144" s="3"/>
      <c r="Q144" s="4" t="s">
        <v>99</v>
      </c>
      <c r="R144" s="2" t="s">
        <v>17</v>
      </c>
      <c r="S144" s="2">
        <f>I144*0.49</f>
        <v>69.658705928876245</v>
      </c>
    </row>
    <row r="145" spans="1:19" ht="14.25" customHeight="1">
      <c r="A145" s="2" t="s">
        <v>15</v>
      </c>
      <c r="B145" s="2">
        <v>1924</v>
      </c>
      <c r="C145" s="2" t="s">
        <v>23</v>
      </c>
      <c r="G145" s="3"/>
      <c r="H145" s="3">
        <v>128.56258890469417</v>
      </c>
      <c r="I145" s="3">
        <f t="shared" si="4"/>
        <v>129.56537709815078</v>
      </c>
      <c r="J145" s="3" t="e">
        <v>#N/A</v>
      </c>
      <c r="K145" s="3" t="e">
        <v>#N/A</v>
      </c>
      <c r="L145" s="3"/>
      <c r="M145" s="3"/>
      <c r="N145" s="3"/>
      <c r="Q145" s="4" t="s">
        <v>99</v>
      </c>
      <c r="R145" s="2" t="s">
        <v>17</v>
      </c>
      <c r="S145" s="2">
        <f>I145*0.49</f>
        <v>63.487034778093879</v>
      </c>
    </row>
    <row r="146" spans="1:19" ht="14.25" customHeight="1">
      <c r="A146" s="2" t="s">
        <v>15</v>
      </c>
      <c r="B146" s="2">
        <v>1925</v>
      </c>
      <c r="C146" s="2" t="s">
        <v>23</v>
      </c>
      <c r="G146" s="3"/>
      <c r="H146" s="3">
        <v>161.88132493395651</v>
      </c>
      <c r="I146" s="3">
        <f t="shared" si="4"/>
        <v>163.14399926844138</v>
      </c>
      <c r="J146" s="3">
        <v>1.4974598658809184</v>
      </c>
      <c r="K146" s="3">
        <v>9.8711643974801859</v>
      </c>
      <c r="L146" s="3"/>
      <c r="M146" s="3"/>
      <c r="N146" s="3"/>
      <c r="Q146" s="4" t="s">
        <v>99</v>
      </c>
      <c r="R146" s="2" t="s">
        <v>17</v>
      </c>
      <c r="S146" s="2">
        <f>I146*0.49</f>
        <v>79.940559641536268</v>
      </c>
    </row>
    <row r="147" spans="1:19" ht="14.25" customHeight="1">
      <c r="A147" s="2" t="s">
        <v>15</v>
      </c>
      <c r="B147" s="2">
        <v>1926</v>
      </c>
      <c r="C147" s="2" t="s">
        <v>23</v>
      </c>
      <c r="G147" s="3"/>
      <c r="H147" s="3">
        <v>147.90266206055679</v>
      </c>
      <c r="I147" s="3">
        <f t="shared" si="4"/>
        <v>149.05630282462914</v>
      </c>
      <c r="J147" s="3" t="e">
        <v>#N/A</v>
      </c>
      <c r="K147" s="3" t="e">
        <v>#N/A</v>
      </c>
      <c r="L147" s="3"/>
      <c r="M147" s="3"/>
      <c r="N147" s="3"/>
      <c r="Q147" s="4" t="s">
        <v>99</v>
      </c>
      <c r="R147" s="2" t="s">
        <v>17</v>
      </c>
      <c r="S147" s="2">
        <f>I147*0.49</f>
        <v>73.037588384068272</v>
      </c>
    </row>
    <row r="148" spans="1:19" ht="14.25" customHeight="1">
      <c r="A148" s="2" t="s">
        <v>15</v>
      </c>
      <c r="B148" s="2">
        <v>1927</v>
      </c>
      <c r="C148" s="2" t="s">
        <v>23</v>
      </c>
      <c r="G148" s="3"/>
      <c r="H148" s="3">
        <v>150.5760516155253</v>
      </c>
      <c r="I148" s="3">
        <f t="shared" si="4"/>
        <v>151.7505448181264</v>
      </c>
      <c r="J148" s="3" t="e">
        <v>#N/A</v>
      </c>
      <c r="K148" s="3" t="e">
        <v>#N/A</v>
      </c>
      <c r="L148" s="3"/>
      <c r="M148" s="3"/>
      <c r="N148" s="3"/>
      <c r="Q148" s="4" t="s">
        <v>99</v>
      </c>
      <c r="R148" s="2" t="s">
        <v>17</v>
      </c>
      <c r="S148" s="2">
        <f>I148*0.49</f>
        <v>74.357766960881932</v>
      </c>
    </row>
    <row r="149" spans="1:19" ht="14.25" customHeight="1">
      <c r="A149" s="2" t="s">
        <v>15</v>
      </c>
      <c r="B149" s="2">
        <v>1928</v>
      </c>
      <c r="C149" s="2" t="s">
        <v>23</v>
      </c>
      <c r="G149" s="3"/>
      <c r="H149" s="3">
        <v>151.09550904287744</v>
      </c>
      <c r="I149" s="3">
        <f t="shared" si="4"/>
        <v>152.2740540134119</v>
      </c>
      <c r="J149" s="3" t="e">
        <v>#N/A</v>
      </c>
      <c r="K149" s="3" t="e">
        <v>#N/A</v>
      </c>
      <c r="L149" s="3"/>
      <c r="M149" s="3"/>
      <c r="N149" s="3"/>
      <c r="Q149" s="4" t="s">
        <v>99</v>
      </c>
      <c r="R149" s="2" t="s">
        <v>17</v>
      </c>
      <c r="S149" s="2">
        <f>I149*0.49</f>
        <v>74.614286466571826</v>
      </c>
    </row>
    <row r="150" spans="1:19" ht="14.25" customHeight="1">
      <c r="A150" s="2" t="s">
        <v>15</v>
      </c>
      <c r="B150" s="2">
        <v>1929</v>
      </c>
      <c r="C150" s="2" t="s">
        <v>23</v>
      </c>
      <c r="G150" s="3"/>
      <c r="H150" s="3">
        <v>156.40423694371063</v>
      </c>
      <c r="I150" s="3">
        <f t="shared" si="4"/>
        <v>157.62418999187159</v>
      </c>
      <c r="J150" s="3" t="e">
        <v>#N/A</v>
      </c>
      <c r="K150" s="3" t="e">
        <v>#N/A</v>
      </c>
      <c r="L150" s="3"/>
      <c r="M150" s="3"/>
      <c r="N150" s="3"/>
      <c r="Q150" s="4" t="s">
        <v>99</v>
      </c>
      <c r="R150" s="2" t="s">
        <v>17</v>
      </c>
      <c r="S150" s="2">
        <f>I150*0.49</f>
        <v>77.235853096017081</v>
      </c>
    </row>
    <row r="151" spans="1:19" ht="14.25" customHeight="1">
      <c r="A151" s="2" t="s">
        <v>15</v>
      </c>
      <c r="B151" s="2">
        <v>1930</v>
      </c>
      <c r="C151" s="2" t="s">
        <v>23</v>
      </c>
      <c r="G151" s="3"/>
      <c r="H151" s="3">
        <v>179.90052834789677</v>
      </c>
      <c r="I151" s="3">
        <f t="shared" si="4"/>
        <v>181.30375246901036</v>
      </c>
      <c r="J151" s="3">
        <v>1.3336720178825443</v>
      </c>
      <c r="K151" s="3">
        <v>18.034901442796176</v>
      </c>
      <c r="L151" s="3"/>
      <c r="M151" s="3"/>
      <c r="N151" s="3"/>
      <c r="Q151" s="4" t="s">
        <v>99</v>
      </c>
      <c r="R151" s="2" t="s">
        <v>17</v>
      </c>
      <c r="S151" s="2">
        <f>I151*0.49</f>
        <v>88.838838709815079</v>
      </c>
    </row>
    <row r="152" spans="1:19" ht="14.25" customHeight="1">
      <c r="A152" s="2" t="s">
        <v>15</v>
      </c>
      <c r="B152" s="2">
        <v>1931</v>
      </c>
      <c r="C152" s="2" t="s">
        <v>23</v>
      </c>
      <c r="G152" s="3"/>
      <c r="H152" s="3">
        <v>156.64250152408047</v>
      </c>
      <c r="I152" s="3">
        <f t="shared" si="4"/>
        <v>157.86431303596831</v>
      </c>
      <c r="J152" s="3" t="e">
        <v>#N/A</v>
      </c>
      <c r="K152" s="3" t="e">
        <v>#N/A</v>
      </c>
      <c r="L152" s="3"/>
      <c r="M152" s="3"/>
      <c r="N152" s="3"/>
      <c r="Q152" s="4" t="s">
        <v>99</v>
      </c>
      <c r="R152" s="2" t="s">
        <v>17</v>
      </c>
      <c r="S152" s="2">
        <f>I152*0.49</f>
        <v>77.353513387624474</v>
      </c>
    </row>
    <row r="153" spans="1:19" ht="14.25" customHeight="1">
      <c r="A153" s="2" t="s">
        <v>15</v>
      </c>
      <c r="B153" s="2">
        <v>1932</v>
      </c>
      <c r="C153" s="2" t="s">
        <v>23</v>
      </c>
      <c r="G153" s="3"/>
      <c r="H153" s="3">
        <v>145.3591749644381</v>
      </c>
      <c r="I153" s="3">
        <f t="shared" si="4"/>
        <v>146.49297652916073</v>
      </c>
      <c r="J153" s="3" t="e">
        <v>#N/A</v>
      </c>
      <c r="K153" s="3" t="e">
        <v>#N/A</v>
      </c>
      <c r="L153" s="3"/>
      <c r="M153" s="3"/>
      <c r="N153" s="3"/>
      <c r="Q153" s="4" t="s">
        <v>99</v>
      </c>
      <c r="R153" s="2" t="s">
        <v>17</v>
      </c>
      <c r="S153" s="2">
        <f>I153*0.49</f>
        <v>71.781558499288749</v>
      </c>
    </row>
    <row r="154" spans="1:19" ht="14.25" customHeight="1">
      <c r="A154" s="2" t="s">
        <v>15</v>
      </c>
      <c r="B154" s="2">
        <v>1933</v>
      </c>
      <c r="C154" s="2" t="s">
        <v>23</v>
      </c>
      <c r="G154" s="3"/>
      <c r="H154" s="3">
        <v>140.38833570412518</v>
      </c>
      <c r="I154" s="3">
        <f t="shared" si="4"/>
        <v>141.48336472261735</v>
      </c>
      <c r="J154" s="3" t="e">
        <v>#N/A</v>
      </c>
      <c r="K154" s="3" t="e">
        <v>#N/A</v>
      </c>
      <c r="L154" s="3"/>
      <c r="M154" s="3"/>
      <c r="N154" s="3"/>
      <c r="Q154" s="4" t="s">
        <v>99</v>
      </c>
      <c r="R154" s="2" t="s">
        <v>17</v>
      </c>
      <c r="S154" s="2">
        <f>I154*0.49</f>
        <v>69.326848714082502</v>
      </c>
    </row>
    <row r="155" spans="1:19" ht="14.25" customHeight="1">
      <c r="A155" s="2" t="s">
        <v>15</v>
      </c>
      <c r="B155" s="2">
        <v>1934</v>
      </c>
      <c r="C155" s="2" t="s">
        <v>23</v>
      </c>
      <c r="G155" s="3"/>
      <c r="H155" s="3">
        <v>117.20529363950416</v>
      </c>
      <c r="I155" s="3">
        <f t="shared" si="4"/>
        <v>118.1194949298923</v>
      </c>
      <c r="J155" s="3" t="e">
        <v>#N/A</v>
      </c>
      <c r="K155" s="3" t="e">
        <v>#N/A</v>
      </c>
      <c r="L155" s="3"/>
      <c r="M155" s="3"/>
      <c r="N155" s="3"/>
      <c r="Q155" s="4" t="s">
        <v>99</v>
      </c>
      <c r="R155" s="2" t="s">
        <v>17</v>
      </c>
      <c r="S155" s="2">
        <f>I155*0.49</f>
        <v>57.878552515647222</v>
      </c>
    </row>
    <row r="156" spans="1:19" ht="14.25" customHeight="1">
      <c r="A156" s="2" t="s">
        <v>15</v>
      </c>
      <c r="B156" s="2">
        <v>1935</v>
      </c>
      <c r="C156" s="2" t="s">
        <v>23</v>
      </c>
      <c r="G156" s="3"/>
      <c r="H156" s="3">
        <v>112.13061369640316</v>
      </c>
      <c r="I156" s="3">
        <f t="shared" si="4"/>
        <v>113.0052324832351</v>
      </c>
      <c r="J156" s="3">
        <v>0.75208290997764671</v>
      </c>
      <c r="K156" s="3">
        <v>7.8723836618573459</v>
      </c>
      <c r="L156" s="3"/>
      <c r="M156" s="3"/>
      <c r="N156" s="3"/>
      <c r="Q156" s="4" t="s">
        <v>99</v>
      </c>
      <c r="R156" s="2" t="s">
        <v>17</v>
      </c>
      <c r="S156" s="2">
        <f>I156*0.49</f>
        <v>55.372563916785204</v>
      </c>
    </row>
    <row r="157" spans="1:19" ht="14.25" customHeight="1">
      <c r="A157" s="2" t="s">
        <v>15</v>
      </c>
      <c r="B157" s="2">
        <v>1936</v>
      </c>
      <c r="C157" s="2" t="s">
        <v>23</v>
      </c>
      <c r="G157" s="3"/>
      <c r="H157" s="3">
        <v>117.86847185531396</v>
      </c>
      <c r="I157" s="3">
        <f t="shared" si="4"/>
        <v>118.78784593578541</v>
      </c>
      <c r="J157" s="3" t="e">
        <v>#N/A</v>
      </c>
      <c r="K157" s="3" t="e">
        <v>#N/A</v>
      </c>
      <c r="L157" s="3"/>
      <c r="M157" s="3"/>
      <c r="N157" s="3"/>
      <c r="Q157" s="4" t="s">
        <v>99</v>
      </c>
      <c r="R157" s="2" t="s">
        <v>17</v>
      </c>
      <c r="S157" s="2">
        <f>I157*0.49</f>
        <v>58.206044508534852</v>
      </c>
    </row>
    <row r="158" spans="1:19" ht="14.25" customHeight="1">
      <c r="A158" s="2" t="s">
        <v>15</v>
      </c>
      <c r="B158" s="2">
        <v>1937</v>
      </c>
      <c r="C158" s="2" t="s">
        <v>23</v>
      </c>
      <c r="G158" s="3"/>
      <c r="H158" s="3">
        <v>151.25685836212151</v>
      </c>
      <c r="I158" s="3">
        <f t="shared" si="4"/>
        <v>152.43666185734605</v>
      </c>
      <c r="J158" s="3" t="e">
        <v>#N/A</v>
      </c>
      <c r="K158" s="3" t="e">
        <v>#N/A</v>
      </c>
      <c r="L158" s="3"/>
      <c r="M158" s="3"/>
      <c r="N158" s="3"/>
      <c r="Q158" s="4" t="s">
        <v>99</v>
      </c>
      <c r="R158" s="2" t="s">
        <v>17</v>
      </c>
      <c r="S158" s="2">
        <f>I158*0.49</f>
        <v>74.69396431009956</v>
      </c>
    </row>
    <row r="159" spans="1:19" ht="14.25" customHeight="1">
      <c r="A159" s="2" t="s">
        <v>15</v>
      </c>
      <c r="B159" s="2">
        <v>1938</v>
      </c>
      <c r="C159" s="2" t="s">
        <v>23</v>
      </c>
      <c r="G159" s="3"/>
      <c r="H159" s="3">
        <v>145.21260922576712</v>
      </c>
      <c r="I159" s="3">
        <f t="shared" si="4"/>
        <v>146.34526757772812</v>
      </c>
      <c r="J159" s="3" t="e">
        <v>#N/A</v>
      </c>
      <c r="K159" s="3" t="e">
        <v>#N/A</v>
      </c>
      <c r="L159" s="3"/>
      <c r="M159" s="3"/>
      <c r="N159" s="3"/>
      <c r="Q159" s="4" t="s">
        <v>99</v>
      </c>
      <c r="R159" s="2" t="s">
        <v>17</v>
      </c>
      <c r="S159" s="2">
        <f>I159*0.49</f>
        <v>71.709181113086785</v>
      </c>
    </row>
    <row r="160" spans="1:19" ht="14.25" customHeight="1">
      <c r="A160" s="2" t="s">
        <v>15</v>
      </c>
      <c r="B160" s="2">
        <v>1939</v>
      </c>
      <c r="C160" s="2" t="s">
        <v>23</v>
      </c>
      <c r="G160" s="3"/>
      <c r="H160" s="3">
        <v>114.03606990449096</v>
      </c>
      <c r="I160" s="3">
        <f t="shared" si="4"/>
        <v>114.92555124974599</v>
      </c>
      <c r="J160" s="3" t="e">
        <v>#N/A</v>
      </c>
      <c r="K160" s="3" t="e">
        <v>#N/A</v>
      </c>
      <c r="L160" s="3"/>
      <c r="M160" s="3"/>
      <c r="N160" s="3"/>
      <c r="Q160" s="4" t="s">
        <v>100</v>
      </c>
      <c r="R160" s="2" t="s">
        <v>17</v>
      </c>
      <c r="S160" s="2">
        <f>I160*0.49</f>
        <v>56.313520112375535</v>
      </c>
    </row>
    <row r="161" spans="1:19" ht="14.25" customHeight="1">
      <c r="A161" s="2" t="s">
        <v>15</v>
      </c>
      <c r="B161" s="2">
        <v>1940</v>
      </c>
      <c r="C161" s="2" t="s">
        <v>23</v>
      </c>
      <c r="G161" s="3"/>
      <c r="H161" s="3">
        <v>49.933753302174352</v>
      </c>
      <c r="I161" s="3">
        <f t="shared" si="4"/>
        <v>50.323236577931311</v>
      </c>
      <c r="J161" s="3">
        <v>0.28921967079861816</v>
      </c>
      <c r="K161" s="3">
        <v>20.566602316602314</v>
      </c>
      <c r="L161" s="3"/>
      <c r="M161" s="3"/>
      <c r="N161" s="3"/>
      <c r="Q161" s="4" t="s">
        <v>100</v>
      </c>
      <c r="R161" s="2" t="s">
        <v>17</v>
      </c>
      <c r="S161" s="2">
        <f>I161*0.49</f>
        <v>24.658385923186341</v>
      </c>
    </row>
    <row r="162" spans="1:19" ht="14.25" customHeight="1">
      <c r="A162" s="2" t="s">
        <v>15</v>
      </c>
      <c r="B162" s="2">
        <v>1941</v>
      </c>
      <c r="C162" s="2" t="s">
        <v>23</v>
      </c>
      <c r="G162" s="3"/>
      <c r="H162" s="3">
        <v>36.261583011583014</v>
      </c>
      <c r="I162" s="3">
        <f t="shared" si="4"/>
        <v>36.544423359073363</v>
      </c>
      <c r="J162" s="3" t="e">
        <v>#N/A</v>
      </c>
      <c r="K162" s="3" t="e">
        <v>#N/A</v>
      </c>
      <c r="L162" s="3"/>
      <c r="M162" s="3"/>
      <c r="N162" s="3"/>
      <c r="Q162" s="4" t="s">
        <v>100</v>
      </c>
      <c r="R162" s="2" t="s">
        <v>17</v>
      </c>
      <c r="S162" s="2">
        <f>I162*0.49</f>
        <v>17.906767445945949</v>
      </c>
    </row>
    <row r="163" spans="1:19" ht="14.25" customHeight="1">
      <c r="A163" s="2" t="s">
        <v>15</v>
      </c>
      <c r="B163" s="2">
        <v>1942</v>
      </c>
      <c r="C163" s="2" t="s">
        <v>23</v>
      </c>
      <c r="G163" s="3"/>
      <c r="H163" s="3">
        <v>39.391587075797602</v>
      </c>
      <c r="I163" s="3">
        <f t="shared" si="4"/>
        <v>39.698841454988823</v>
      </c>
      <c r="J163" s="3">
        <v>3.3021743548059333E-2</v>
      </c>
      <c r="K163" s="3">
        <v>15.55705141231457</v>
      </c>
      <c r="L163" s="3"/>
      <c r="M163" s="3"/>
      <c r="N163" s="3"/>
      <c r="Q163" s="4" t="s">
        <v>100</v>
      </c>
      <c r="R163" s="2" t="s">
        <v>17</v>
      </c>
      <c r="S163" s="2">
        <f>I163*0.49</f>
        <v>19.452432312944524</v>
      </c>
    </row>
    <row r="164" spans="1:19" ht="14.25" customHeight="1">
      <c r="A164" s="2" t="s">
        <v>15</v>
      </c>
      <c r="B164" s="2">
        <v>1943</v>
      </c>
      <c r="C164" s="2" t="s">
        <v>23</v>
      </c>
      <c r="G164" s="3"/>
      <c r="H164" s="3">
        <v>31.5685836212152</v>
      </c>
      <c r="I164" s="3">
        <f t="shared" si="4"/>
        <v>31.814818573460681</v>
      </c>
      <c r="J164" s="3" t="e">
        <v>#N/A</v>
      </c>
      <c r="K164" s="3" t="e">
        <v>#N/A</v>
      </c>
      <c r="L164" s="3"/>
      <c r="M164" s="3"/>
      <c r="N164" s="3"/>
      <c r="Q164" s="4" t="s">
        <v>100</v>
      </c>
      <c r="R164" s="2" t="s">
        <v>17</v>
      </c>
      <c r="S164" s="2">
        <f>I164*0.49</f>
        <v>15.589261100995733</v>
      </c>
    </row>
    <row r="165" spans="1:19" ht="14.25" customHeight="1">
      <c r="A165" s="2" t="s">
        <v>15</v>
      </c>
      <c r="B165" s="2">
        <v>1944</v>
      </c>
      <c r="C165" s="2" t="s">
        <v>23</v>
      </c>
      <c r="G165" s="3"/>
      <c r="H165" s="3">
        <v>30.039321276163381</v>
      </c>
      <c r="I165" s="3">
        <f t="shared" si="4"/>
        <v>30.273627982117457</v>
      </c>
      <c r="J165" s="3">
        <v>0</v>
      </c>
      <c r="K165" s="3">
        <v>11.169376143060354</v>
      </c>
      <c r="L165" s="3"/>
      <c r="M165" s="3"/>
      <c r="N165" s="3"/>
      <c r="Q165" s="4" t="s">
        <v>100</v>
      </c>
      <c r="R165" s="2" t="s">
        <v>17</v>
      </c>
      <c r="S165" s="2">
        <f>I165*0.49</f>
        <v>14.834077711237553</v>
      </c>
    </row>
    <row r="166" spans="1:19" ht="14.25" customHeight="1">
      <c r="A166" s="2" t="s">
        <v>15</v>
      </c>
      <c r="B166" s="2">
        <v>1945</v>
      </c>
      <c r="C166" s="2" t="s">
        <v>23</v>
      </c>
      <c r="G166" s="3"/>
      <c r="H166" s="3">
        <v>58.90865677707783</v>
      </c>
      <c r="I166" s="3">
        <f t="shared" si="4"/>
        <v>59.36814429993904</v>
      </c>
      <c r="J166" s="3" t="e">
        <v>#N/A</v>
      </c>
      <c r="K166" s="3" t="e">
        <v>#N/A</v>
      </c>
      <c r="L166" s="3"/>
      <c r="M166" s="3"/>
      <c r="N166" s="3"/>
      <c r="Q166" s="4" t="s">
        <v>100</v>
      </c>
      <c r="R166" s="2" t="s">
        <v>17</v>
      </c>
      <c r="S166" s="2">
        <f>I166*0.49</f>
        <v>29.09039070697013</v>
      </c>
    </row>
    <row r="167" spans="1:19" ht="14.25" customHeight="1">
      <c r="A167" s="2" t="s">
        <v>15</v>
      </c>
      <c r="B167" s="2">
        <v>1946</v>
      </c>
      <c r="C167" s="2" t="s">
        <v>23</v>
      </c>
      <c r="G167" s="3"/>
      <c r="H167" s="3">
        <v>145.95493802072747</v>
      </c>
      <c r="I167" s="3">
        <f t="shared" si="4"/>
        <v>147.09338653728915</v>
      </c>
      <c r="J167" s="3">
        <v>4.0946961999593579E-2</v>
      </c>
      <c r="K167" s="3">
        <v>24.913279821174559</v>
      </c>
      <c r="L167" s="3"/>
      <c r="M167" s="3"/>
      <c r="N167" s="3"/>
      <c r="Q167" s="4" t="s">
        <v>99</v>
      </c>
      <c r="R167" s="2" t="s">
        <v>17</v>
      </c>
      <c r="S167" s="2">
        <f>I167*0.49</f>
        <v>72.075759403271675</v>
      </c>
    </row>
    <row r="168" spans="1:19" ht="14.25" customHeight="1">
      <c r="A168" s="2" t="s">
        <v>15</v>
      </c>
      <c r="B168" s="2">
        <v>1947</v>
      </c>
      <c r="C168" s="2" t="s">
        <v>23</v>
      </c>
      <c r="G168" s="3"/>
      <c r="H168" s="3">
        <v>160.1300040642146</v>
      </c>
      <c r="I168" s="3">
        <f t="shared" si="4"/>
        <v>161.37901809591548</v>
      </c>
      <c r="J168" s="3" t="e">
        <v>#N/A</v>
      </c>
      <c r="K168" s="3" t="e">
        <v>#N/A</v>
      </c>
      <c r="L168" s="3"/>
      <c r="M168" s="3"/>
      <c r="N168" s="3"/>
      <c r="Q168" s="4" t="s">
        <v>99</v>
      </c>
      <c r="R168" s="2" t="s">
        <v>17</v>
      </c>
      <c r="S168" s="2">
        <f>I168*0.49</f>
        <v>79.075718866998585</v>
      </c>
    </row>
    <row r="169" spans="1:19" ht="14.25" customHeight="1">
      <c r="A169" s="2" t="s">
        <v>15</v>
      </c>
      <c r="B169" s="2">
        <v>1948</v>
      </c>
      <c r="C169" s="2" t="s">
        <v>23</v>
      </c>
      <c r="G169" s="3"/>
      <c r="H169" s="3">
        <v>130.82280024385287</v>
      </c>
      <c r="I169" s="3">
        <f t="shared" si="4"/>
        <v>131.84321808575493</v>
      </c>
      <c r="J169" s="3" t="e">
        <v>#N/A</v>
      </c>
      <c r="K169" s="3" t="e">
        <v>#N/A</v>
      </c>
      <c r="L169" s="3"/>
      <c r="M169" s="3"/>
      <c r="N169" s="3"/>
      <c r="Q169" s="4" t="s">
        <v>99</v>
      </c>
      <c r="R169" s="2" t="s">
        <v>17</v>
      </c>
      <c r="S169" s="2">
        <f>I169*0.49</f>
        <v>64.603176862019907</v>
      </c>
    </row>
    <row r="170" spans="1:19" ht="14.25" customHeight="1">
      <c r="A170" s="2" t="s">
        <v>15</v>
      </c>
      <c r="B170" s="2">
        <v>1949</v>
      </c>
      <c r="C170" s="2" t="s">
        <v>23</v>
      </c>
      <c r="G170" s="3"/>
      <c r="H170" s="3">
        <v>133.21205039626093</v>
      </c>
      <c r="I170" s="3">
        <f t="shared" si="4"/>
        <v>134.25110438935178</v>
      </c>
      <c r="J170" s="3" t="e">
        <v>#N/A</v>
      </c>
      <c r="K170" s="3" t="e">
        <v>#N/A</v>
      </c>
      <c r="L170" s="3"/>
      <c r="M170" s="3"/>
      <c r="N170" s="3"/>
      <c r="Q170" s="4" t="s">
        <v>99</v>
      </c>
      <c r="R170" s="2" t="s">
        <v>17</v>
      </c>
      <c r="S170" s="2">
        <f>I170*0.49</f>
        <v>65.783041150782367</v>
      </c>
    </row>
    <row r="171" spans="1:19" ht="14.25" customHeight="1">
      <c r="A171" s="2" t="s">
        <v>15</v>
      </c>
      <c r="B171" s="2">
        <v>1950</v>
      </c>
      <c r="C171" s="2" t="s">
        <v>23</v>
      </c>
      <c r="G171" s="3"/>
      <c r="H171" s="3">
        <v>128.43918918918919</v>
      </c>
      <c r="I171" s="3">
        <f t="shared" si="4"/>
        <v>129.44101486486488</v>
      </c>
      <c r="J171" s="3" t="e">
        <v>#VALUE!</v>
      </c>
      <c r="K171" s="3">
        <v>14.357193659825239</v>
      </c>
      <c r="L171" s="3"/>
      <c r="M171" s="3"/>
      <c r="N171" s="3"/>
      <c r="Q171" s="4" t="s">
        <v>99</v>
      </c>
      <c r="R171" s="2" t="s">
        <v>17</v>
      </c>
      <c r="S171" s="2">
        <f>I171*0.49</f>
        <v>63.42609728378379</v>
      </c>
    </row>
    <row r="172" spans="1:19" ht="14.25" customHeight="1">
      <c r="A172" s="2" t="s">
        <v>15</v>
      </c>
      <c r="B172" s="2">
        <v>1951</v>
      </c>
      <c r="C172" s="2" t="s">
        <v>23</v>
      </c>
      <c r="G172" s="3"/>
      <c r="H172" s="3">
        <v>119.64255232676284</v>
      </c>
      <c r="I172" s="3">
        <f t="shared" si="4"/>
        <v>120.57576423491159</v>
      </c>
      <c r="J172" s="3" t="e">
        <v>#N/A</v>
      </c>
      <c r="K172" s="3" t="e">
        <v>#N/A</v>
      </c>
      <c r="L172" s="3"/>
      <c r="M172" s="3"/>
      <c r="N172" s="3"/>
      <c r="Q172" s="4" t="s">
        <v>99</v>
      </c>
      <c r="R172" s="2" t="s">
        <v>17</v>
      </c>
      <c r="S172" s="2">
        <f>I172*0.49</f>
        <v>59.082124475106674</v>
      </c>
    </row>
    <row r="173" spans="1:19" ht="14.25" customHeight="1">
      <c r="A173" s="2" t="s">
        <v>15</v>
      </c>
      <c r="B173" s="2">
        <v>1952</v>
      </c>
      <c r="C173" s="2" t="s">
        <v>23</v>
      </c>
      <c r="G173" s="3"/>
      <c r="H173" s="3">
        <v>110.24293842714896</v>
      </c>
      <c r="I173" s="3">
        <f t="shared" si="4"/>
        <v>111.10283334688071</v>
      </c>
      <c r="J173" s="3" t="e">
        <v>#N/A</v>
      </c>
      <c r="K173" s="3" t="e">
        <v>#N/A</v>
      </c>
      <c r="L173" s="3"/>
      <c r="M173" s="3"/>
      <c r="N173" s="3"/>
      <c r="Q173" s="4" t="s">
        <v>99</v>
      </c>
      <c r="R173" s="2" t="s">
        <v>17</v>
      </c>
      <c r="S173" s="2">
        <f>I173*0.49</f>
        <v>54.440388339971548</v>
      </c>
    </row>
    <row r="174" spans="1:19" ht="14.25" customHeight="1">
      <c r="A174" s="2" t="s">
        <v>15</v>
      </c>
      <c r="B174" s="2">
        <v>1953</v>
      </c>
      <c r="C174" s="2" t="s">
        <v>23</v>
      </c>
      <c r="G174" s="3"/>
      <c r="H174" s="3">
        <v>118.41134931924405</v>
      </c>
      <c r="I174" s="3">
        <f t="shared" si="4"/>
        <v>119.33495784393416</v>
      </c>
      <c r="J174" s="3" t="e">
        <v>#N/A</v>
      </c>
      <c r="K174" s="3" t="e">
        <v>#N/A</v>
      </c>
      <c r="L174" s="3"/>
      <c r="M174" s="3"/>
      <c r="N174" s="3"/>
      <c r="Q174" s="4" t="s">
        <v>99</v>
      </c>
      <c r="R174" s="2" t="s">
        <v>17</v>
      </c>
      <c r="S174" s="2">
        <f>I174*0.49</f>
        <v>58.474129343527736</v>
      </c>
    </row>
    <row r="175" spans="1:19" ht="14.25" customHeight="1">
      <c r="A175" s="2" t="s">
        <v>15</v>
      </c>
      <c r="B175" s="2">
        <v>1954</v>
      </c>
      <c r="C175" s="2" t="s">
        <v>23</v>
      </c>
      <c r="G175" s="3"/>
      <c r="H175" s="3">
        <v>126.61257874415769</v>
      </c>
      <c r="I175" s="3">
        <f t="shared" si="4"/>
        <v>127.60015685836213</v>
      </c>
      <c r="J175" s="3" t="e">
        <v>#N/A</v>
      </c>
      <c r="K175" s="3" t="e">
        <v>#N/A</v>
      </c>
      <c r="L175" s="3"/>
      <c r="M175" s="3"/>
      <c r="N175" s="3"/>
      <c r="Q175" s="4" t="s">
        <v>99</v>
      </c>
      <c r="R175" s="2" t="s">
        <v>17</v>
      </c>
      <c r="S175" s="2">
        <f>I175*0.49</f>
        <v>62.52407686059744</v>
      </c>
    </row>
    <row r="176" spans="1:19" ht="14.25" customHeight="1">
      <c r="A176" s="2" t="s">
        <v>15</v>
      </c>
      <c r="B176" s="2">
        <v>1955</v>
      </c>
      <c r="C176" s="2" t="s">
        <v>23</v>
      </c>
      <c r="G176" s="3"/>
      <c r="H176" s="3">
        <v>147.79628124364967</v>
      </c>
      <c r="I176" s="3">
        <f t="shared" si="4"/>
        <v>148.94909223735016</v>
      </c>
      <c r="J176" s="3" t="e">
        <v>#VALUE!</v>
      </c>
      <c r="K176" s="3">
        <v>12.05989636252794</v>
      </c>
      <c r="L176" s="3"/>
      <c r="M176" s="3"/>
      <c r="N176" s="3"/>
      <c r="Q176" s="4" t="s">
        <v>99</v>
      </c>
      <c r="R176" s="2" t="s">
        <v>17</v>
      </c>
      <c r="S176" s="2">
        <f>I176*0.49</f>
        <v>72.985055196301573</v>
      </c>
    </row>
    <row r="177" spans="1:19" ht="14.25" customHeight="1">
      <c r="A177" s="2" t="s">
        <v>15</v>
      </c>
      <c r="B177" s="2">
        <v>1956</v>
      </c>
      <c r="C177" s="2" t="s">
        <v>23</v>
      </c>
      <c r="G177" s="3"/>
      <c r="H177" s="3">
        <v>150.32513716724242</v>
      </c>
      <c r="I177" s="3">
        <f t="shared" ref="I177:I262" si="5">H177</f>
        <v>150.32513716724242</v>
      </c>
      <c r="J177" s="3" t="e">
        <v>#N/A</v>
      </c>
      <c r="K177" s="3" t="e">
        <v>#N/A</v>
      </c>
      <c r="L177" s="3"/>
      <c r="M177" s="3"/>
      <c r="N177" s="3"/>
      <c r="Q177" s="4" t="s">
        <v>99</v>
      </c>
      <c r="R177" s="2" t="s">
        <v>17</v>
      </c>
      <c r="S177" s="2">
        <f>I177*0.49</f>
        <v>73.659317211948789</v>
      </c>
    </row>
    <row r="178" spans="1:19" ht="14.25" customHeight="1">
      <c r="A178" s="2" t="s">
        <v>15</v>
      </c>
      <c r="B178" s="2">
        <v>1957</v>
      </c>
      <c r="C178" s="2" t="s">
        <v>23</v>
      </c>
      <c r="G178" s="3"/>
      <c r="H178" s="3">
        <v>159.01239585450111</v>
      </c>
      <c r="I178" s="3">
        <f t="shared" si="5"/>
        <v>159.01239585450111</v>
      </c>
      <c r="J178" s="3" t="e">
        <v>#N/A</v>
      </c>
      <c r="K178" s="3" t="e">
        <v>#N/A</v>
      </c>
      <c r="L178" s="3"/>
      <c r="M178" s="3"/>
      <c r="N178" s="3"/>
      <c r="Q178" s="4" t="s">
        <v>99</v>
      </c>
      <c r="R178" s="2" t="s">
        <v>17</v>
      </c>
      <c r="S178" s="2">
        <f>I178*0.49</f>
        <v>77.916073968705547</v>
      </c>
    </row>
    <row r="179" spans="1:19" ht="14.25" customHeight="1">
      <c r="A179" s="2" t="s">
        <v>15</v>
      </c>
      <c r="B179" s="2">
        <v>1958</v>
      </c>
      <c r="C179" s="2" t="s">
        <v>23</v>
      </c>
      <c r="G179" s="3"/>
      <c r="H179" s="3">
        <v>144.94005283478967</v>
      </c>
      <c r="I179" s="3">
        <f t="shared" si="5"/>
        <v>144.94005283478967</v>
      </c>
      <c r="J179" s="3" t="e">
        <v>#N/A</v>
      </c>
      <c r="K179" s="3" t="e">
        <v>#N/A</v>
      </c>
      <c r="L179" s="3"/>
      <c r="M179" s="3"/>
      <c r="N179" s="3"/>
      <c r="Q179" s="4" t="s">
        <v>99</v>
      </c>
      <c r="R179" s="2" t="s">
        <v>17</v>
      </c>
      <c r="S179" s="2">
        <f>I179*0.49</f>
        <v>71.02062588904694</v>
      </c>
    </row>
    <row r="180" spans="1:19" ht="14.25" customHeight="1">
      <c r="A180" s="2" t="s">
        <v>15</v>
      </c>
      <c r="B180" s="2">
        <v>1959</v>
      </c>
      <c r="C180" s="2" t="s">
        <v>23</v>
      </c>
      <c r="G180" s="3"/>
      <c r="H180" s="3">
        <v>122.68847795163585</v>
      </c>
      <c r="I180" s="3">
        <f t="shared" si="5"/>
        <v>122.68847795163585</v>
      </c>
      <c r="J180" s="3" t="e">
        <v>#N/A</v>
      </c>
      <c r="K180" s="3" t="e">
        <v>#N/A</v>
      </c>
      <c r="L180" s="3"/>
      <c r="M180" s="3"/>
      <c r="N180" s="3"/>
      <c r="Q180" s="4" t="s">
        <v>99</v>
      </c>
      <c r="R180" s="2" t="s">
        <v>17</v>
      </c>
      <c r="S180" s="2">
        <f>I180*0.49</f>
        <v>60.117354196301562</v>
      </c>
    </row>
    <row r="181" spans="1:19" ht="14.25" customHeight="1">
      <c r="A181" s="2" t="s">
        <v>15</v>
      </c>
      <c r="B181" s="2">
        <v>1960</v>
      </c>
      <c r="C181" s="2" t="s">
        <v>23</v>
      </c>
      <c r="G181" s="3"/>
      <c r="H181" s="3">
        <v>136.55761024182078</v>
      </c>
      <c r="I181" s="3">
        <f t="shared" si="5"/>
        <v>136.55761024182078</v>
      </c>
      <c r="J181" s="3" t="e">
        <v>#VALUE!</v>
      </c>
      <c r="K181" s="3">
        <v>19.791099370046737</v>
      </c>
      <c r="L181" s="3"/>
      <c r="M181" s="3"/>
      <c r="N181" s="3"/>
      <c r="Q181" s="4" t="s">
        <v>99</v>
      </c>
      <c r="R181" s="2" t="s">
        <v>17</v>
      </c>
      <c r="S181" s="2">
        <f>I181*0.49</f>
        <v>66.913229018492189</v>
      </c>
    </row>
    <row r="182" spans="1:19" ht="14.25" customHeight="1">
      <c r="A182" s="2" t="s">
        <v>15</v>
      </c>
      <c r="B182" s="2">
        <v>1961</v>
      </c>
      <c r="C182" s="2" t="s">
        <v>23</v>
      </c>
      <c r="G182" s="3"/>
      <c r="H182" s="3">
        <v>133.40784393415973</v>
      </c>
      <c r="I182" s="3">
        <f t="shared" si="5"/>
        <v>133.40784393415973</v>
      </c>
      <c r="J182" s="3" t="e">
        <v>#N/A</v>
      </c>
      <c r="K182" s="3" t="e">
        <v>#N/A</v>
      </c>
      <c r="L182" s="3"/>
      <c r="M182" s="3"/>
      <c r="N182" s="3"/>
      <c r="Q182" s="4" t="s">
        <v>99</v>
      </c>
      <c r="R182" s="2" t="s">
        <v>17</v>
      </c>
      <c r="S182" s="2">
        <f>I182*0.49</f>
        <v>65.369843527738269</v>
      </c>
    </row>
    <row r="183" spans="1:19" ht="14.25" customHeight="1">
      <c r="A183" s="2" t="s">
        <v>15</v>
      </c>
      <c r="B183" s="2">
        <v>1962</v>
      </c>
      <c r="C183" s="2" t="s">
        <v>23</v>
      </c>
      <c r="G183" s="3"/>
      <c r="H183" s="3">
        <v>137.42125584230845</v>
      </c>
      <c r="I183" s="3">
        <f t="shared" si="5"/>
        <v>137.42125584230845</v>
      </c>
      <c r="J183" s="3" t="e">
        <v>#N/A</v>
      </c>
      <c r="K183" s="3" t="e">
        <v>#N/A</v>
      </c>
      <c r="L183" s="3"/>
      <c r="M183" s="3"/>
      <c r="N183" s="3"/>
      <c r="Q183" s="4" t="s">
        <v>99</v>
      </c>
      <c r="R183" s="2" t="s">
        <v>17</v>
      </c>
      <c r="S183" s="2">
        <f>I183*0.49</f>
        <v>67.336415362731145</v>
      </c>
    </row>
    <row r="184" spans="1:19" ht="14.25" customHeight="1">
      <c r="A184" s="2" t="s">
        <v>15</v>
      </c>
      <c r="B184" s="2">
        <v>1963</v>
      </c>
      <c r="C184" s="2" t="s">
        <v>23</v>
      </c>
      <c r="G184" s="3"/>
      <c r="H184" s="3">
        <v>122.38366185734606</v>
      </c>
      <c r="I184" s="3">
        <f t="shared" si="5"/>
        <v>122.38366185734606</v>
      </c>
      <c r="J184" s="3" t="e">
        <v>#N/A</v>
      </c>
      <c r="K184" s="3" t="e">
        <v>#N/A</v>
      </c>
      <c r="L184" s="3"/>
      <c r="M184" s="3"/>
      <c r="N184" s="3"/>
      <c r="Q184" s="4" t="s">
        <v>99</v>
      </c>
      <c r="R184" s="2" t="s">
        <v>17</v>
      </c>
      <c r="S184" s="2">
        <f>I184*0.49</f>
        <v>59.967994310099563</v>
      </c>
    </row>
    <row r="185" spans="1:19" ht="14.25" customHeight="1">
      <c r="A185" s="2" t="s">
        <v>15</v>
      </c>
      <c r="B185" s="2">
        <v>1964</v>
      </c>
      <c r="C185" s="2" t="s">
        <v>23</v>
      </c>
      <c r="G185" s="3"/>
      <c r="H185" s="3">
        <v>150.02032107295264</v>
      </c>
      <c r="I185" s="3">
        <f t="shared" si="5"/>
        <v>150.02032107295264</v>
      </c>
      <c r="J185" s="3" t="e">
        <v>#N/A</v>
      </c>
      <c r="K185" s="3" t="e">
        <v>#N/A</v>
      </c>
      <c r="L185" s="3"/>
      <c r="M185" s="3"/>
      <c r="N185" s="3"/>
      <c r="Q185" s="4" t="s">
        <v>99</v>
      </c>
      <c r="R185" s="2" t="s">
        <v>17</v>
      </c>
      <c r="S185" s="2">
        <f>I185*0.49</f>
        <v>73.509957325746797</v>
      </c>
    </row>
    <row r="186" spans="1:19" ht="14.25" customHeight="1">
      <c r="A186" s="2" t="s">
        <v>15</v>
      </c>
      <c r="B186" s="2">
        <v>1965</v>
      </c>
      <c r="C186" s="2" t="s">
        <v>23</v>
      </c>
      <c r="G186" s="3"/>
      <c r="H186" s="3">
        <v>168.5633001422475</v>
      </c>
      <c r="I186" s="3">
        <f t="shared" si="5"/>
        <v>168.5633001422475</v>
      </c>
      <c r="J186" s="3" t="e">
        <v>#N/A</v>
      </c>
      <c r="K186" s="3">
        <v>16.866490550701077</v>
      </c>
      <c r="L186" s="3"/>
      <c r="M186" s="3"/>
      <c r="N186" s="3"/>
      <c r="Q186" s="4" t="s">
        <v>99</v>
      </c>
      <c r="R186" s="2" t="s">
        <v>17</v>
      </c>
      <c r="S186" s="2">
        <f>I186*0.49</f>
        <v>82.596017069701276</v>
      </c>
    </row>
    <row r="187" spans="1:19" ht="14.25" customHeight="1">
      <c r="A187" s="2" t="s">
        <v>15</v>
      </c>
      <c r="B187" s="2">
        <v>1966</v>
      </c>
      <c r="C187" s="2" t="s">
        <v>23</v>
      </c>
      <c r="G187" s="3"/>
      <c r="H187" s="3">
        <v>152.20483641536273</v>
      </c>
      <c r="I187" s="3">
        <f t="shared" si="5"/>
        <v>152.20483641536273</v>
      </c>
      <c r="J187" s="3" t="e">
        <v>#N/A</v>
      </c>
      <c r="K187" s="3">
        <v>13.513513513513512</v>
      </c>
      <c r="L187" s="3"/>
      <c r="M187" s="3"/>
      <c r="N187" s="3"/>
      <c r="Q187" s="4" t="s">
        <v>99</v>
      </c>
      <c r="R187" s="2" t="s">
        <v>17</v>
      </c>
      <c r="S187" s="2">
        <f>I187*0.49</f>
        <v>74.580369843527734</v>
      </c>
    </row>
    <row r="188" spans="1:19" ht="14.25" customHeight="1">
      <c r="A188" s="2" t="s">
        <v>15</v>
      </c>
      <c r="B188" s="2">
        <v>1967</v>
      </c>
      <c r="C188" s="2" t="s">
        <v>23</v>
      </c>
      <c r="G188" s="3"/>
      <c r="H188" s="3">
        <v>128.88640520219468</v>
      </c>
      <c r="I188" s="3">
        <f t="shared" si="5"/>
        <v>128.88640520219468</v>
      </c>
      <c r="J188" s="3" t="e">
        <v>#N/A</v>
      </c>
      <c r="K188" s="3">
        <v>14.02154033732981</v>
      </c>
      <c r="L188" s="3"/>
      <c r="M188" s="3"/>
      <c r="N188" s="3"/>
      <c r="Q188" s="4" t="s">
        <v>99</v>
      </c>
      <c r="R188" s="2" t="s">
        <v>17</v>
      </c>
      <c r="S188" s="2">
        <f>I188*0.49</f>
        <v>63.154338549075391</v>
      </c>
    </row>
    <row r="189" spans="1:19" ht="14.25" customHeight="1">
      <c r="A189" s="2" t="s">
        <v>15</v>
      </c>
      <c r="B189" s="2">
        <v>1968</v>
      </c>
      <c r="C189" s="2" t="s">
        <v>23</v>
      </c>
      <c r="G189" s="3"/>
      <c r="H189" s="3">
        <v>134.47470026417395</v>
      </c>
      <c r="I189" s="3">
        <f t="shared" si="5"/>
        <v>134.47470026417395</v>
      </c>
      <c r="J189" s="3" t="e">
        <v>#N/A</v>
      </c>
      <c r="K189" s="3">
        <v>13.107092054460475</v>
      </c>
      <c r="L189" s="3"/>
      <c r="M189" s="3"/>
      <c r="N189" s="3"/>
      <c r="Q189" s="4" t="s">
        <v>99</v>
      </c>
      <c r="R189" s="2" t="s">
        <v>17</v>
      </c>
      <c r="S189" s="2">
        <f>I189*0.49</f>
        <v>65.892603129445234</v>
      </c>
    </row>
    <row r="190" spans="1:19" ht="14.25" customHeight="1">
      <c r="A190" s="2" t="s">
        <v>15</v>
      </c>
      <c r="B190" s="2">
        <v>1969</v>
      </c>
      <c r="C190" s="2" t="s">
        <v>23</v>
      </c>
      <c r="G190" s="3"/>
      <c r="H190" s="3">
        <v>143.06035358666938</v>
      </c>
      <c r="I190" s="3">
        <f t="shared" si="5"/>
        <v>143.06035358666938</v>
      </c>
      <c r="J190" s="3" t="e">
        <v>#N/A</v>
      </c>
      <c r="K190" s="3">
        <v>11.938630359682991</v>
      </c>
      <c r="L190" s="3"/>
      <c r="M190" s="3"/>
      <c r="N190" s="3"/>
      <c r="Q190" s="4" t="s">
        <v>99</v>
      </c>
      <c r="R190" s="2" t="s">
        <v>17</v>
      </c>
      <c r="S190" s="2">
        <f>I190*0.49</f>
        <v>70.099573257467995</v>
      </c>
    </row>
    <row r="191" spans="1:19" ht="14.25" customHeight="1">
      <c r="A191" s="2" t="s">
        <v>15</v>
      </c>
      <c r="B191" s="2">
        <v>1970</v>
      </c>
      <c r="C191" s="2" t="s">
        <v>23</v>
      </c>
      <c r="G191" s="3"/>
      <c r="H191" s="3">
        <v>176.33611054663686</v>
      </c>
      <c r="I191" s="3">
        <f t="shared" si="5"/>
        <v>176.33611054663686</v>
      </c>
      <c r="J191" s="3" t="e">
        <v>#N/A</v>
      </c>
      <c r="K191" s="3">
        <v>7.3663889453363129</v>
      </c>
      <c r="L191" s="3"/>
      <c r="M191" s="3"/>
      <c r="N191" s="3"/>
      <c r="Q191" s="4" t="s">
        <v>99</v>
      </c>
      <c r="R191" s="2" t="s">
        <v>17</v>
      </c>
      <c r="S191" s="2">
        <f>I191*0.49</f>
        <v>86.404694167852057</v>
      </c>
    </row>
    <row r="192" spans="1:19" ht="14.25" customHeight="1">
      <c r="A192" s="2" t="s">
        <v>15</v>
      </c>
      <c r="B192" s="2">
        <v>1971</v>
      </c>
      <c r="C192" s="2" t="s">
        <v>23</v>
      </c>
      <c r="G192" s="3"/>
      <c r="H192" s="3">
        <v>181.26397073765494</v>
      </c>
      <c r="I192" s="3">
        <f t="shared" si="5"/>
        <v>181.26397073765494</v>
      </c>
      <c r="J192" s="3" t="e">
        <v>#N/A</v>
      </c>
      <c r="K192" s="3">
        <v>6.3503352977037189</v>
      </c>
      <c r="L192" s="3"/>
      <c r="M192" s="3"/>
      <c r="N192" s="3"/>
      <c r="Q192" s="4" t="s">
        <v>99</v>
      </c>
      <c r="R192" s="2" t="s">
        <v>17</v>
      </c>
      <c r="S192" s="2">
        <f>I192*0.49</f>
        <v>88.819345661450924</v>
      </c>
    </row>
    <row r="193" spans="1:19" ht="14.25" customHeight="1">
      <c r="A193" s="2" t="s">
        <v>15</v>
      </c>
      <c r="B193" s="2">
        <v>1972</v>
      </c>
      <c r="C193" s="2" t="s">
        <v>23</v>
      </c>
      <c r="G193" s="3"/>
      <c r="H193" s="3">
        <v>156.6246697825645</v>
      </c>
      <c r="I193" s="3">
        <f t="shared" si="5"/>
        <v>156.6246697825645</v>
      </c>
      <c r="J193" s="3" t="e">
        <v>#N/A</v>
      </c>
      <c r="K193" s="3">
        <v>4.9278601910180857</v>
      </c>
      <c r="L193" s="3"/>
      <c r="M193" s="3"/>
      <c r="N193" s="3"/>
      <c r="Q193" s="4" t="s">
        <v>99</v>
      </c>
      <c r="R193" s="2" t="s">
        <v>17</v>
      </c>
      <c r="S193" s="2">
        <f>I193*0.49</f>
        <v>76.7460881934566</v>
      </c>
    </row>
    <row r="194" spans="1:19" ht="14.25" customHeight="1">
      <c r="A194" s="2" t="s">
        <v>15</v>
      </c>
      <c r="B194" s="2">
        <v>1973</v>
      </c>
      <c r="C194" s="2" t="s">
        <v>23</v>
      </c>
      <c r="G194" s="3"/>
      <c r="H194" s="3">
        <v>149.51229424913635</v>
      </c>
      <c r="I194" s="3">
        <f t="shared" si="5"/>
        <v>149.51229424913635</v>
      </c>
      <c r="J194" s="3" t="e">
        <v>#N/A</v>
      </c>
      <c r="K194" s="3">
        <v>11.837024994919732</v>
      </c>
      <c r="L194" s="3"/>
      <c r="M194" s="3"/>
      <c r="N194" s="3"/>
      <c r="Q194" s="4" t="s">
        <v>99</v>
      </c>
      <c r="R194" s="2" t="s">
        <v>17</v>
      </c>
      <c r="S194" s="2">
        <f>I194*0.49</f>
        <v>73.26102418207681</v>
      </c>
    </row>
    <row r="195" spans="1:19" ht="14.25" customHeight="1">
      <c r="A195" s="2" t="s">
        <v>15</v>
      </c>
      <c r="B195" s="2">
        <v>1974</v>
      </c>
      <c r="C195" s="2" t="s">
        <v>23</v>
      </c>
      <c r="G195" s="3"/>
      <c r="H195" s="3">
        <v>126.19386303596829</v>
      </c>
      <c r="I195" s="3">
        <f t="shared" si="5"/>
        <v>126.19386303596829</v>
      </c>
      <c r="J195" s="3" t="e">
        <v>#N/A</v>
      </c>
      <c r="K195" s="3">
        <v>10.312944523470838</v>
      </c>
      <c r="L195" s="3"/>
      <c r="M195" s="3"/>
      <c r="N195" s="3"/>
      <c r="Q195" s="4" t="s">
        <v>99</v>
      </c>
      <c r="R195" s="2" t="s">
        <v>17</v>
      </c>
      <c r="S195" s="2">
        <f>I195*0.49</f>
        <v>61.834992887624459</v>
      </c>
    </row>
    <row r="196" spans="1:19" ht="14.25" customHeight="1">
      <c r="A196" s="2" t="s">
        <v>15</v>
      </c>
      <c r="B196" s="2">
        <v>1975</v>
      </c>
      <c r="C196" s="2" t="s">
        <v>23</v>
      </c>
      <c r="G196" s="3"/>
      <c r="H196" s="3">
        <v>112.479</v>
      </c>
      <c r="I196" s="3">
        <f t="shared" si="5"/>
        <v>112.479</v>
      </c>
      <c r="J196" s="3" t="e">
        <v>#N/A</v>
      </c>
      <c r="K196" s="3">
        <v>9.0289999999999999</v>
      </c>
      <c r="L196" s="3"/>
      <c r="M196" s="3"/>
      <c r="N196" s="3"/>
      <c r="Q196" s="4" t="s">
        <v>99</v>
      </c>
      <c r="R196" s="2" t="s">
        <v>17</v>
      </c>
      <c r="S196" s="2">
        <f>I196*0.49</f>
        <v>55.114709999999995</v>
      </c>
    </row>
    <row r="197" spans="1:19" ht="14.25" customHeight="1">
      <c r="A197" s="2" t="s">
        <v>15</v>
      </c>
      <c r="B197" s="2">
        <v>1976</v>
      </c>
      <c r="C197" s="2" t="s">
        <v>23</v>
      </c>
      <c r="G197" s="3"/>
      <c r="H197" s="3">
        <v>127.461</v>
      </c>
      <c r="I197" s="3">
        <f t="shared" si="5"/>
        <v>127.461</v>
      </c>
      <c r="J197" s="3" t="e">
        <v>#N/A</v>
      </c>
      <c r="K197" s="3">
        <v>8.0679999999999996</v>
      </c>
      <c r="L197" s="3"/>
      <c r="M197" s="3"/>
      <c r="N197" s="3"/>
      <c r="Q197" s="4" t="s">
        <v>101</v>
      </c>
      <c r="R197" s="2" t="s">
        <v>17</v>
      </c>
      <c r="S197" s="2">
        <f>I197*0.49</f>
        <v>62.455889999999997</v>
      </c>
    </row>
    <row r="198" spans="1:19" ht="14.25" customHeight="1">
      <c r="A198" s="2" t="s">
        <v>15</v>
      </c>
      <c r="B198" s="2">
        <v>1977</v>
      </c>
      <c r="C198" s="2" t="s">
        <v>23</v>
      </c>
      <c r="G198" s="3"/>
      <c r="H198" s="3">
        <v>122.938</v>
      </c>
      <c r="I198" s="3">
        <f t="shared" si="5"/>
        <v>122.938</v>
      </c>
      <c r="J198" s="3" t="e">
        <v>#N/A</v>
      </c>
      <c r="K198" s="3">
        <v>5.8129999999999997</v>
      </c>
      <c r="L198" s="3"/>
      <c r="M198" s="3"/>
      <c r="N198" s="3"/>
      <c r="Q198" s="4" t="s">
        <v>101</v>
      </c>
      <c r="R198" s="2" t="s">
        <v>17</v>
      </c>
      <c r="S198" s="2">
        <f>I198*0.49</f>
        <v>60.239620000000002</v>
      </c>
    </row>
    <row r="199" spans="1:19" ht="14.25" customHeight="1">
      <c r="A199" s="2" t="s">
        <v>15</v>
      </c>
      <c r="B199" s="2">
        <v>1978</v>
      </c>
      <c r="C199" s="2" t="s">
        <v>23</v>
      </c>
      <c r="G199" s="3"/>
      <c r="H199" s="3">
        <v>82.399000000000001</v>
      </c>
      <c r="I199" s="3">
        <f t="shared" si="5"/>
        <v>82.399000000000001</v>
      </c>
      <c r="J199" s="3" t="e">
        <v>#N/A</v>
      </c>
      <c r="K199" s="3">
        <v>12.996</v>
      </c>
      <c r="L199" s="3"/>
      <c r="M199" s="3"/>
      <c r="N199" s="3"/>
      <c r="Q199" s="4" t="s">
        <v>101</v>
      </c>
      <c r="R199" s="2" t="s">
        <v>17</v>
      </c>
      <c r="S199" s="2">
        <f>I199*0.49</f>
        <v>40.375509999999998</v>
      </c>
    </row>
    <row r="200" spans="1:19" ht="14.25" customHeight="1">
      <c r="A200" s="2" t="s">
        <v>15</v>
      </c>
      <c r="B200" s="2">
        <v>1979</v>
      </c>
      <c r="C200" s="2" t="s">
        <v>23</v>
      </c>
      <c r="G200" s="3"/>
      <c r="H200" s="3">
        <v>72.759</v>
      </c>
      <c r="I200" s="3">
        <f t="shared" si="5"/>
        <v>72.759</v>
      </c>
      <c r="J200" s="3" t="e">
        <v>#N/A</v>
      </c>
      <c r="K200" s="3">
        <v>21.887</v>
      </c>
      <c r="L200" s="3"/>
      <c r="M200" s="3"/>
      <c r="N200" s="3"/>
      <c r="Q200" s="4" t="s">
        <v>101</v>
      </c>
      <c r="R200" s="2" t="s">
        <v>17</v>
      </c>
      <c r="S200" s="2">
        <f>I200*0.49</f>
        <v>35.651910000000001</v>
      </c>
    </row>
    <row r="201" spans="1:19" ht="14.25" customHeight="1">
      <c r="A201" s="2" t="s">
        <v>15</v>
      </c>
      <c r="B201" s="2">
        <v>1980</v>
      </c>
      <c r="C201" s="2" t="s">
        <v>23</v>
      </c>
      <c r="G201" s="3"/>
      <c r="H201" s="3">
        <v>84.801000000000002</v>
      </c>
      <c r="I201" s="3">
        <f t="shared" si="5"/>
        <v>84.801000000000002</v>
      </c>
      <c r="J201" s="3" t="e">
        <v>#N/A</v>
      </c>
      <c r="K201" s="3">
        <v>21.335000000000001</v>
      </c>
      <c r="L201" s="3"/>
      <c r="M201" s="3"/>
      <c r="N201" s="3"/>
      <c r="Q201" s="4" t="s">
        <v>101</v>
      </c>
      <c r="R201" s="2" t="s">
        <v>17</v>
      </c>
      <c r="S201" s="2">
        <f>I201*0.49</f>
        <v>41.552489999999999</v>
      </c>
    </row>
    <row r="202" spans="1:19" ht="14.25" customHeight="1">
      <c r="A202" s="2" t="s">
        <v>15</v>
      </c>
      <c r="B202" s="2">
        <v>1981</v>
      </c>
      <c r="C202" s="2" t="s">
        <v>23</v>
      </c>
      <c r="G202" s="3"/>
      <c r="H202" s="3">
        <v>100.084</v>
      </c>
      <c r="I202" s="3">
        <f t="shared" si="5"/>
        <v>100.084</v>
      </c>
      <c r="J202" s="3" t="e">
        <v>#N/A</v>
      </c>
      <c r="K202" s="3">
        <v>19.388999999999999</v>
      </c>
      <c r="L202" s="3"/>
      <c r="M202" s="3"/>
      <c r="N202" s="3"/>
      <c r="Q202" s="4" t="s">
        <v>101</v>
      </c>
      <c r="R202" s="2" t="s">
        <v>17</v>
      </c>
      <c r="S202" s="2">
        <f>I202*0.49</f>
        <v>49.041159999999998</v>
      </c>
    </row>
    <row r="203" spans="1:19" ht="14.25" customHeight="1">
      <c r="A203" s="2" t="s">
        <v>15</v>
      </c>
      <c r="B203" s="2">
        <v>1982</v>
      </c>
      <c r="C203" s="2" t="s">
        <v>23</v>
      </c>
      <c r="G203" s="3"/>
      <c r="H203" s="3">
        <v>129.00200000000001</v>
      </c>
      <c r="I203" s="3">
        <f t="shared" si="5"/>
        <v>129.00200000000001</v>
      </c>
      <c r="J203" s="3" t="e">
        <v>#N/A</v>
      </c>
      <c r="K203" s="3">
        <v>15.629</v>
      </c>
      <c r="L203" s="3"/>
      <c r="M203" s="3"/>
      <c r="N203" s="3"/>
      <c r="Q203" s="4" t="s">
        <v>101</v>
      </c>
      <c r="R203" s="2" t="s">
        <v>17</v>
      </c>
      <c r="S203" s="2">
        <f>I203*0.49</f>
        <v>63.210980000000006</v>
      </c>
    </row>
    <row r="204" spans="1:19" ht="14.25" customHeight="1">
      <c r="A204" s="2" t="s">
        <v>15</v>
      </c>
      <c r="B204" s="2">
        <v>1983</v>
      </c>
      <c r="C204" s="2" t="s">
        <v>23</v>
      </c>
      <c r="G204" s="3"/>
      <c r="H204" s="3">
        <v>122.64700000000001</v>
      </c>
      <c r="I204" s="3">
        <f t="shared" si="5"/>
        <v>122.64700000000001</v>
      </c>
      <c r="J204" s="3" t="e">
        <v>#N/A</v>
      </c>
      <c r="K204" s="3">
        <v>16.748999999999999</v>
      </c>
      <c r="L204" s="3"/>
      <c r="M204" s="3"/>
      <c r="N204" s="3"/>
      <c r="Q204" s="4" t="s">
        <v>101</v>
      </c>
      <c r="R204" s="2" t="s">
        <v>17</v>
      </c>
      <c r="S204" s="2">
        <f>I204*0.49</f>
        <v>60.097030000000004</v>
      </c>
    </row>
    <row r="205" spans="1:19" ht="14.25" customHeight="1">
      <c r="A205" s="2" t="s">
        <v>15</v>
      </c>
      <c r="B205" s="2">
        <v>1984</v>
      </c>
      <c r="C205" s="2" t="s">
        <v>23</v>
      </c>
      <c r="G205" s="3"/>
      <c r="H205" s="3">
        <v>107.47499999999999</v>
      </c>
      <c r="I205" s="3">
        <f t="shared" si="5"/>
        <v>107.47499999999999</v>
      </c>
      <c r="J205" s="3" t="e">
        <v>#N/A</v>
      </c>
      <c r="K205" s="3">
        <v>13.898999999999999</v>
      </c>
      <c r="L205" s="3"/>
      <c r="M205" s="3"/>
      <c r="N205" s="3"/>
      <c r="Q205" s="4" t="s">
        <v>101</v>
      </c>
      <c r="R205" s="2" t="s">
        <v>17</v>
      </c>
      <c r="S205" s="2">
        <f>I205*0.49</f>
        <v>52.662749999999996</v>
      </c>
    </row>
    <row r="206" spans="1:19" ht="14.25" customHeight="1">
      <c r="A206" s="2" t="s">
        <v>15</v>
      </c>
      <c r="B206" s="2">
        <v>1985</v>
      </c>
      <c r="C206" s="2" t="s">
        <v>23</v>
      </c>
      <c r="G206" s="3"/>
      <c r="H206" s="3">
        <v>132.23500000000001</v>
      </c>
      <c r="I206" s="3">
        <f t="shared" si="5"/>
        <v>132.23500000000001</v>
      </c>
      <c r="J206" s="3" t="e">
        <v>#N/A</v>
      </c>
      <c r="K206" s="3">
        <v>22.757999999999999</v>
      </c>
      <c r="L206" s="3"/>
      <c r="M206" s="3"/>
      <c r="N206" s="3"/>
      <c r="Q206" s="4" t="s">
        <v>101</v>
      </c>
      <c r="R206" s="2" t="s">
        <v>17</v>
      </c>
      <c r="S206" s="2">
        <f>I206*0.49</f>
        <v>64.795150000000007</v>
      </c>
    </row>
    <row r="207" spans="1:19" ht="14.25" customHeight="1">
      <c r="A207" s="2" t="s">
        <v>15</v>
      </c>
      <c r="B207" s="2">
        <v>1986</v>
      </c>
      <c r="C207" s="2" t="s">
        <v>23</v>
      </c>
      <c r="G207" s="3"/>
      <c r="H207" s="3">
        <v>131.05600000000001</v>
      </c>
      <c r="I207" s="3">
        <f t="shared" si="5"/>
        <v>131.05600000000001</v>
      </c>
      <c r="J207" s="3" t="e">
        <v>#N/A</v>
      </c>
      <c r="K207" s="3">
        <v>21.678999999999998</v>
      </c>
      <c r="L207" s="3"/>
      <c r="M207" s="3"/>
      <c r="N207" s="3"/>
      <c r="Q207" s="4" t="s">
        <v>101</v>
      </c>
      <c r="R207" s="2" t="s">
        <v>17</v>
      </c>
      <c r="S207" s="2">
        <f>I207*0.49</f>
        <v>64.217440000000011</v>
      </c>
    </row>
    <row r="208" spans="1:19" ht="14.25" customHeight="1">
      <c r="A208" s="2" t="s">
        <v>15</v>
      </c>
      <c r="B208" s="2">
        <v>1987</v>
      </c>
      <c r="C208" s="2" t="s">
        <v>23</v>
      </c>
      <c r="G208" s="3"/>
      <c r="H208" s="3">
        <v>102.372</v>
      </c>
      <c r="I208" s="3">
        <f t="shared" si="5"/>
        <v>102.372</v>
      </c>
      <c r="J208" s="3" t="e">
        <v>#N/A</v>
      </c>
      <c r="K208" s="3">
        <v>27.931000000000001</v>
      </c>
      <c r="L208" s="3"/>
      <c r="M208" s="3"/>
      <c r="N208" s="3"/>
      <c r="Q208" s="4" t="s">
        <v>101</v>
      </c>
      <c r="R208" s="2" t="s">
        <v>17</v>
      </c>
      <c r="S208" s="2">
        <f>I208*0.49</f>
        <v>50.162279999999996</v>
      </c>
    </row>
    <row r="209" spans="1:19" ht="14.25" customHeight="1">
      <c r="A209" s="2" t="s">
        <v>15</v>
      </c>
      <c r="B209" s="2">
        <v>1988</v>
      </c>
      <c r="C209" s="2" t="s">
        <v>23</v>
      </c>
      <c r="D209" s="2">
        <v>0.6</v>
      </c>
      <c r="E209" s="2">
        <f>D209*VLOOKUP(C209,Conversion_factors!A$1:C$40,3,FALSE)</f>
        <v>0.51282051282051289</v>
      </c>
      <c r="G209" s="3"/>
      <c r="H209" s="3">
        <v>97.638999999999996</v>
      </c>
      <c r="I209" s="3">
        <f t="shared" si="5"/>
        <v>97.638999999999996</v>
      </c>
      <c r="J209" s="3" t="e">
        <v>#N/A</v>
      </c>
      <c r="K209" s="3">
        <v>37.496000000000002</v>
      </c>
      <c r="L209" s="3"/>
      <c r="M209" s="3"/>
      <c r="N209" s="3"/>
      <c r="Q209" s="4" t="s">
        <v>101</v>
      </c>
      <c r="R209" s="2" t="s">
        <v>17</v>
      </c>
      <c r="S209" s="2">
        <f>I209*0.49</f>
        <v>47.843109999999996</v>
      </c>
    </row>
    <row r="210" spans="1:19" ht="14.25" customHeight="1">
      <c r="A210" s="2" t="s">
        <v>15</v>
      </c>
      <c r="B210" s="2">
        <v>1989</v>
      </c>
      <c r="C210" s="2" t="s">
        <v>23</v>
      </c>
      <c r="D210" s="2">
        <v>1.5</v>
      </c>
      <c r="E210" s="2">
        <f>D210*VLOOKUP(C210,Conversion_factors!A$1:C$40,3,FALSE)</f>
        <v>1.2820512820512822</v>
      </c>
      <c r="G210" s="3"/>
      <c r="H210" s="3">
        <v>72.03</v>
      </c>
      <c r="I210" s="3">
        <f t="shared" si="5"/>
        <v>72.03</v>
      </c>
      <c r="J210" s="3" t="e">
        <v>#N/A</v>
      </c>
      <c r="K210" s="3">
        <v>38.670999999999999</v>
      </c>
      <c r="L210" s="3"/>
      <c r="M210" s="3"/>
      <c r="N210" s="3"/>
      <c r="Q210" s="4" t="s">
        <v>101</v>
      </c>
      <c r="R210" s="2" t="s">
        <v>17</v>
      </c>
      <c r="S210" s="2">
        <f>I210*0.49</f>
        <v>35.294699999999999</v>
      </c>
    </row>
    <row r="211" spans="1:19" ht="14.25" customHeight="1">
      <c r="A211" s="2" t="s">
        <v>15</v>
      </c>
      <c r="B211" s="2">
        <v>1990</v>
      </c>
      <c r="C211" s="2" t="s">
        <v>23</v>
      </c>
      <c r="D211" s="2">
        <v>0.2</v>
      </c>
      <c r="E211" s="2">
        <f>D211*VLOOKUP(C211,Conversion_factors!A$1:C$40,3,FALSE)</f>
        <v>0.17094017094017097</v>
      </c>
      <c r="G211" s="3"/>
      <c r="H211" s="3">
        <v>49.076000000000001</v>
      </c>
      <c r="I211" s="3">
        <f t="shared" si="5"/>
        <v>49.076000000000001</v>
      </c>
      <c r="J211" s="3" t="e">
        <v>#N/A</v>
      </c>
      <c r="K211" s="3">
        <v>36.853000000000002</v>
      </c>
      <c r="L211" s="3"/>
      <c r="M211" s="3"/>
      <c r="N211" s="3"/>
      <c r="Q211" s="4" t="s">
        <v>101</v>
      </c>
      <c r="R211" s="2" t="s">
        <v>17</v>
      </c>
      <c r="S211" s="2">
        <f>I211*0.49</f>
        <v>24.047239999999999</v>
      </c>
    </row>
    <row r="212" spans="1:19" ht="14.25" customHeight="1">
      <c r="A212" s="2" t="s">
        <v>15</v>
      </c>
      <c r="B212" s="2">
        <v>1991</v>
      </c>
      <c r="C212" s="2" t="s">
        <v>23</v>
      </c>
      <c r="D212" s="2">
        <v>0.2</v>
      </c>
      <c r="E212" s="2">
        <f>D212*VLOOKUP(C212,Conversion_factors!A$1:C$40,3,FALSE)</f>
        <v>0.17094017094017097</v>
      </c>
      <c r="G212" s="2">
        <v>53.3</v>
      </c>
      <c r="H212" s="2">
        <f t="shared" ref="H212:H241" si="6">G212*0.854700854700855</f>
        <v>45.555555555555571</v>
      </c>
      <c r="I212" s="3">
        <f t="shared" si="5"/>
        <v>45.555555555555571</v>
      </c>
      <c r="J212" s="4">
        <v>0.874</v>
      </c>
      <c r="K212" s="4">
        <v>26.762</v>
      </c>
      <c r="L212" s="4"/>
      <c r="M212" s="3"/>
      <c r="N212" s="3"/>
      <c r="Q212" s="4" t="s">
        <v>101</v>
      </c>
      <c r="R212" s="2" t="s">
        <v>17</v>
      </c>
      <c r="S212" s="2">
        <f>I212*0.49</f>
        <v>22.32222222222223</v>
      </c>
    </row>
    <row r="213" spans="1:19" ht="14.25" customHeight="1">
      <c r="A213" s="2" t="s">
        <v>15</v>
      </c>
      <c r="B213" s="2">
        <v>1992</v>
      </c>
      <c r="C213" s="2" t="s">
        <v>23</v>
      </c>
      <c r="D213" s="2">
        <v>0.4</v>
      </c>
      <c r="E213" s="2">
        <f>D213*VLOOKUP(C213,Conversion_factors!A$1:C$40,3,FALSE)</f>
        <v>0.34188034188034194</v>
      </c>
      <c r="G213" s="2">
        <v>53.9</v>
      </c>
      <c r="H213" s="2">
        <f t="shared" si="6"/>
        <v>46.068376068376082</v>
      </c>
      <c r="I213" s="3">
        <f t="shared" si="5"/>
        <v>46.068376068376082</v>
      </c>
      <c r="J213" s="4">
        <v>1.1180000000000001</v>
      </c>
      <c r="K213" s="4">
        <v>28.869</v>
      </c>
      <c r="L213" s="4"/>
      <c r="M213" s="3"/>
      <c r="N213" s="3"/>
      <c r="Q213" s="4" t="s">
        <v>101</v>
      </c>
      <c r="R213" s="2" t="s">
        <v>17</v>
      </c>
      <c r="S213" s="2">
        <f>I213*0.49</f>
        <v>22.57350427350428</v>
      </c>
    </row>
    <row r="214" spans="1:19" ht="14.25" customHeight="1">
      <c r="A214" s="2" t="s">
        <v>15</v>
      </c>
      <c r="B214" s="2">
        <v>1993</v>
      </c>
      <c r="C214" s="2" t="s">
        <v>23</v>
      </c>
      <c r="D214" s="2">
        <v>0.5</v>
      </c>
      <c r="E214" s="2">
        <f>D214*VLOOKUP(C214,Conversion_factors!A$1:C$40,3,FALSE)</f>
        <v>0.42735042735042739</v>
      </c>
      <c r="G214" s="2">
        <v>87.1</v>
      </c>
      <c r="H214" s="2">
        <f t="shared" si="6"/>
        <v>74.444444444444471</v>
      </c>
      <c r="I214" s="3">
        <f t="shared" si="5"/>
        <v>74.444444444444471</v>
      </c>
      <c r="J214" s="4">
        <v>1.0389999999999999</v>
      </c>
      <c r="K214" s="4">
        <v>28.712</v>
      </c>
      <c r="L214" s="4"/>
      <c r="M214" s="3"/>
      <c r="N214" s="3"/>
      <c r="Q214" s="4" t="s">
        <v>101</v>
      </c>
      <c r="R214" s="2" t="s">
        <v>17</v>
      </c>
      <c r="S214" s="2">
        <f>I214*0.49</f>
        <v>36.477777777777789</v>
      </c>
    </row>
    <row r="215" spans="1:19" ht="14.25" customHeight="1">
      <c r="A215" s="2" t="s">
        <v>15</v>
      </c>
      <c r="B215" s="2">
        <v>1994</v>
      </c>
      <c r="C215" s="2" t="s">
        <v>23</v>
      </c>
      <c r="D215" s="2">
        <v>0.8</v>
      </c>
      <c r="E215" s="2">
        <f>D215*VLOOKUP(C215,Conversion_factors!A$1:C$40,3,FALSE)</f>
        <v>0.68376068376068388</v>
      </c>
      <c r="G215" s="2">
        <v>92.938999999999993</v>
      </c>
      <c r="H215" s="2">
        <f t="shared" si="6"/>
        <v>79.435042735042757</v>
      </c>
      <c r="I215" s="3">
        <f t="shared" si="5"/>
        <v>79.435042735042757</v>
      </c>
      <c r="J215" s="4">
        <v>1.1819999999999999</v>
      </c>
      <c r="K215" s="4">
        <v>33.07</v>
      </c>
      <c r="L215" s="4"/>
      <c r="M215" s="3"/>
      <c r="N215" s="3"/>
      <c r="Q215" s="4" t="s">
        <v>101</v>
      </c>
      <c r="R215" s="2" t="s">
        <v>17</v>
      </c>
      <c r="S215" s="2">
        <f>I215*0.49</f>
        <v>38.923170940170948</v>
      </c>
    </row>
    <row r="216" spans="1:19" ht="14.25" customHeight="1">
      <c r="A216" s="2" t="s">
        <v>15</v>
      </c>
      <c r="B216" s="2">
        <v>1995</v>
      </c>
      <c r="C216" s="2" t="s">
        <v>23</v>
      </c>
      <c r="D216" s="2">
        <v>1</v>
      </c>
      <c r="E216" s="2">
        <f>D216*VLOOKUP(C216,Conversion_factors!A$1:C$40,3,FALSE)</f>
        <v>0.85470085470085477</v>
      </c>
      <c r="G216" s="2">
        <v>85.307000000000002</v>
      </c>
      <c r="H216" s="2">
        <f t="shared" si="6"/>
        <v>72.911965811965842</v>
      </c>
      <c r="I216" s="3">
        <f t="shared" si="5"/>
        <v>72.911965811965842</v>
      </c>
      <c r="J216" s="4">
        <v>1.369</v>
      </c>
      <c r="K216" s="4">
        <v>37.920999999999999</v>
      </c>
      <c r="L216" s="4"/>
      <c r="M216" s="3"/>
      <c r="N216" s="3"/>
      <c r="Q216" s="4" t="s">
        <v>101</v>
      </c>
      <c r="R216" s="2" t="s">
        <v>17</v>
      </c>
      <c r="S216" s="2">
        <f>I216*0.49</f>
        <v>35.726863247863264</v>
      </c>
    </row>
    <row r="217" spans="1:19" ht="14.25" customHeight="1">
      <c r="A217" s="2" t="s">
        <v>15</v>
      </c>
      <c r="B217" s="2">
        <v>1996</v>
      </c>
      <c r="C217" s="2" t="s">
        <v>23</v>
      </c>
      <c r="D217" s="2">
        <v>0.6</v>
      </c>
      <c r="E217" s="2">
        <f>D217*VLOOKUP(C217,Conversion_factors!A$1:C$40,3,FALSE)</f>
        <v>0.51282051282051289</v>
      </c>
      <c r="G217" s="2">
        <v>89.105999999999995</v>
      </c>
      <c r="H217" s="2">
        <f t="shared" si="6"/>
        <v>76.158974358974376</v>
      </c>
      <c r="I217" s="3">
        <f t="shared" si="5"/>
        <v>76.158974358974376</v>
      </c>
      <c r="J217" s="4">
        <v>1.06</v>
      </c>
      <c r="K217" s="4">
        <v>50.936999999999998</v>
      </c>
      <c r="L217" s="4"/>
      <c r="M217" s="3"/>
      <c r="N217" s="3"/>
      <c r="Q217" s="4" t="s">
        <v>101</v>
      </c>
      <c r="R217" s="2" t="s">
        <v>17</v>
      </c>
      <c r="S217" s="2">
        <f>I217*0.49</f>
        <v>37.317897435897443</v>
      </c>
    </row>
    <row r="218" spans="1:19" ht="14.25" customHeight="1">
      <c r="A218" s="2" t="s">
        <v>15</v>
      </c>
      <c r="B218" s="2">
        <v>1997</v>
      </c>
      <c r="C218" s="2" t="s">
        <v>23</v>
      </c>
      <c r="D218" s="2">
        <v>0.8</v>
      </c>
      <c r="E218" s="2">
        <f>D218*VLOOKUP(C218,Conversion_factors!A$1:C$40,3,FALSE)</f>
        <v>0.68376068376068388</v>
      </c>
      <c r="G218" s="2">
        <v>82.623999999999995</v>
      </c>
      <c r="H218" s="2">
        <f t="shared" si="6"/>
        <v>70.618803418803438</v>
      </c>
      <c r="I218" s="3">
        <f t="shared" si="5"/>
        <v>70.618803418803438</v>
      </c>
      <c r="J218" s="4">
        <v>1.127</v>
      </c>
      <c r="K218" s="4">
        <v>47.244</v>
      </c>
      <c r="L218" s="4"/>
      <c r="M218" s="3"/>
      <c r="N218" s="3"/>
      <c r="Q218" s="4" t="s">
        <v>101</v>
      </c>
      <c r="R218" s="2" t="s">
        <v>17</v>
      </c>
      <c r="S218" s="2">
        <f>I218*0.49</f>
        <v>34.603213675213681</v>
      </c>
    </row>
    <row r="219" spans="1:19" ht="14.25" customHeight="1">
      <c r="A219" s="2" t="s">
        <v>15</v>
      </c>
      <c r="B219" s="2">
        <v>1998</v>
      </c>
      <c r="C219" s="2" t="s">
        <v>23</v>
      </c>
      <c r="D219" s="2">
        <v>0.6</v>
      </c>
      <c r="E219" s="2">
        <f>D219*VLOOKUP(C219,Conversion_factors!A$1:C$40,3,FALSE)</f>
        <v>0.51282051282051289</v>
      </c>
      <c r="G219" s="2">
        <v>82.834000000000003</v>
      </c>
      <c r="H219" s="2">
        <f t="shared" si="6"/>
        <v>70.79829059829062</v>
      </c>
      <c r="I219" s="3">
        <f t="shared" si="5"/>
        <v>70.79829059829062</v>
      </c>
      <c r="J219" s="4">
        <v>1.744</v>
      </c>
      <c r="K219" s="4">
        <v>45.716999999999999</v>
      </c>
      <c r="L219" s="4"/>
      <c r="M219" s="3"/>
      <c r="N219" s="3"/>
      <c r="Q219" s="4" t="s">
        <v>101</v>
      </c>
      <c r="R219" s="2" t="s">
        <v>17</v>
      </c>
      <c r="S219" s="2">
        <f>I219*0.49</f>
        <v>34.691162393162401</v>
      </c>
    </row>
    <row r="220" spans="1:19" ht="14.25" customHeight="1">
      <c r="A220" s="2" t="s">
        <v>15</v>
      </c>
      <c r="B220" s="2">
        <v>1999</v>
      </c>
      <c r="C220" s="2" t="s">
        <v>23</v>
      </c>
      <c r="D220" s="2">
        <v>0.7</v>
      </c>
      <c r="E220" s="2">
        <f>D220*VLOOKUP(C220,Conversion_factors!A$1:C$40,3,FALSE)</f>
        <v>0.59829059829059827</v>
      </c>
      <c r="G220" s="2">
        <v>71.299000000000007</v>
      </c>
      <c r="H220" s="2">
        <f t="shared" si="6"/>
        <v>60.939316239316263</v>
      </c>
      <c r="I220" s="3">
        <f t="shared" si="5"/>
        <v>60.939316239316263</v>
      </c>
      <c r="J220" s="4">
        <v>1.627</v>
      </c>
      <c r="K220" s="4">
        <v>43.398000000000003</v>
      </c>
      <c r="L220" s="4"/>
      <c r="M220" s="3"/>
      <c r="N220" s="3"/>
      <c r="Q220" s="4" t="s">
        <v>101</v>
      </c>
      <c r="R220" s="2" t="s">
        <v>17</v>
      </c>
      <c r="S220" s="2">
        <f>I220*0.49</f>
        <v>29.860264957264967</v>
      </c>
    </row>
    <row r="221" spans="1:19" ht="14.25" customHeight="1">
      <c r="A221" s="2" t="s">
        <v>15</v>
      </c>
      <c r="B221" s="2">
        <v>2000</v>
      </c>
      <c r="C221" s="2" t="s">
        <v>23</v>
      </c>
      <c r="D221" s="2">
        <v>0.4</v>
      </c>
      <c r="E221" s="2">
        <f>D221*VLOOKUP(C221,Conversion_factors!A$1:C$40,3,FALSE)</f>
        <v>0.34188034188034194</v>
      </c>
      <c r="G221" s="2">
        <v>50.277999999999999</v>
      </c>
      <c r="H221" s="2">
        <f t="shared" si="6"/>
        <v>42.972649572649587</v>
      </c>
      <c r="I221" s="3">
        <f t="shared" si="5"/>
        <v>42.972649572649587</v>
      </c>
      <c r="J221" s="4">
        <v>1.1970000000000001</v>
      </c>
      <c r="K221" s="4">
        <v>37.509</v>
      </c>
      <c r="L221" s="4"/>
      <c r="M221" s="3"/>
      <c r="N221" s="3"/>
      <c r="Q221" s="4" t="s">
        <v>101</v>
      </c>
      <c r="R221" s="2" t="s">
        <v>17</v>
      </c>
      <c r="S221" s="2">
        <f>I221*0.49</f>
        <v>21.056598290598298</v>
      </c>
    </row>
    <row r="222" spans="1:19" ht="14.25" customHeight="1">
      <c r="A222" s="2" t="s">
        <v>15</v>
      </c>
      <c r="B222" s="2">
        <v>2001</v>
      </c>
      <c r="C222" s="2" t="s">
        <v>23</v>
      </c>
      <c r="D222" s="2">
        <v>0.5</v>
      </c>
      <c r="E222" s="2">
        <f>D222*VLOOKUP(C222,Conversion_factors!A$1:C$40,3,FALSE)</f>
        <v>0.42735042735042739</v>
      </c>
      <c r="G222" s="2">
        <v>42.33</v>
      </c>
      <c r="H222" s="2">
        <f t="shared" si="6"/>
        <v>36.17948717948719</v>
      </c>
      <c r="I222" s="3">
        <f t="shared" si="5"/>
        <v>36.17948717948719</v>
      </c>
      <c r="J222" s="3">
        <v>1.266</v>
      </c>
      <c r="K222" s="3">
        <v>49.457999999999998</v>
      </c>
      <c r="L222" s="3"/>
      <c r="M222" s="3"/>
      <c r="N222" s="3"/>
      <c r="Q222" s="4" t="s">
        <v>101</v>
      </c>
      <c r="R222" s="2" t="s">
        <v>17</v>
      </c>
      <c r="S222" s="2">
        <f>I222*0.49</f>
        <v>17.727948717948724</v>
      </c>
    </row>
    <row r="223" spans="1:19" ht="14.25" customHeight="1">
      <c r="A223" s="2" t="s">
        <v>15</v>
      </c>
      <c r="B223" s="2">
        <v>2002</v>
      </c>
      <c r="C223" s="2" t="s">
        <v>23</v>
      </c>
      <c r="D223" s="2">
        <v>1</v>
      </c>
      <c r="E223" s="2">
        <f>D223*VLOOKUP(C223,Conversion_factors!A$1:C$40,3,FALSE)</f>
        <v>0.85470085470085477</v>
      </c>
      <c r="G223" s="2">
        <v>51.874000000000002</v>
      </c>
      <c r="H223" s="2">
        <f t="shared" si="6"/>
        <v>44.336752136752153</v>
      </c>
      <c r="I223" s="3">
        <f t="shared" si="5"/>
        <v>44.336752136752153</v>
      </c>
      <c r="J223" s="3">
        <v>2.82</v>
      </c>
      <c r="K223" s="3">
        <v>48.497999999999998</v>
      </c>
      <c r="L223" s="3"/>
      <c r="M223" s="3"/>
      <c r="N223" s="3"/>
      <c r="Q223" s="4" t="s">
        <v>101</v>
      </c>
      <c r="R223" s="2" t="s">
        <v>17</v>
      </c>
      <c r="S223" s="2">
        <f>I223*0.49</f>
        <v>21.725008547008553</v>
      </c>
    </row>
    <row r="224" spans="1:19" ht="14.25" customHeight="1">
      <c r="A224" s="2" t="s">
        <v>15</v>
      </c>
      <c r="B224" s="2">
        <v>2003</v>
      </c>
      <c r="C224" s="2" t="s">
        <v>23</v>
      </c>
      <c r="D224" s="2">
        <v>0.7</v>
      </c>
      <c r="E224" s="2">
        <f>D224*VLOOKUP(C224,Conversion_factors!A$1:C$40,3,FALSE)</f>
        <v>0.59829059829059827</v>
      </c>
      <c r="G224" s="2">
        <v>40.668999999999997</v>
      </c>
      <c r="H224" s="2">
        <f t="shared" si="6"/>
        <v>34.759829059829066</v>
      </c>
      <c r="I224" s="3">
        <f t="shared" si="5"/>
        <v>34.759829059829066</v>
      </c>
      <c r="J224" s="2">
        <v>5.2</v>
      </c>
      <c r="K224" s="2">
        <v>56.2</v>
      </c>
      <c r="M224" s="3"/>
      <c r="N224" s="3"/>
      <c r="Q224" s="4" t="s">
        <v>101</v>
      </c>
      <c r="R224" s="2" t="s">
        <v>17</v>
      </c>
      <c r="S224" s="2">
        <f>I224*0.49</f>
        <v>17.032316239316241</v>
      </c>
    </row>
    <row r="225" spans="1:19" ht="14.25" customHeight="1">
      <c r="A225" s="2" t="s">
        <v>15</v>
      </c>
      <c r="B225" s="2">
        <v>2004</v>
      </c>
      <c r="C225" s="2" t="s">
        <v>23</v>
      </c>
      <c r="D225" s="2">
        <v>0.7</v>
      </c>
      <c r="E225" s="2">
        <f>D225*VLOOKUP(C225,Conversion_factors!A$1:C$40,3,FALSE)</f>
        <v>0.59829059829059827</v>
      </c>
      <c r="G225" s="2">
        <v>45.38</v>
      </c>
      <c r="H225" s="2">
        <f t="shared" si="6"/>
        <v>38.786324786324805</v>
      </c>
      <c r="I225" s="3">
        <f t="shared" si="5"/>
        <v>38.786324786324805</v>
      </c>
      <c r="J225" s="2">
        <v>5.2</v>
      </c>
      <c r="K225" s="2">
        <v>64.5</v>
      </c>
      <c r="M225" s="3"/>
      <c r="N225" s="3"/>
      <c r="Q225" s="4" t="s">
        <v>101</v>
      </c>
      <c r="R225" s="2" t="s">
        <v>17</v>
      </c>
      <c r="S225" s="2">
        <f>I225*0.49</f>
        <v>19.005299145299155</v>
      </c>
    </row>
    <row r="226" spans="1:19" ht="14.25" customHeight="1">
      <c r="A226" s="2" t="s">
        <v>15</v>
      </c>
      <c r="B226" s="2">
        <v>2005</v>
      </c>
      <c r="C226" s="2" t="s">
        <v>23</v>
      </c>
      <c r="D226" s="2">
        <v>0.8</v>
      </c>
      <c r="E226" s="2">
        <f>D226*VLOOKUP(C226,Conversion_factors!A$1:C$40,3,FALSE)</f>
        <v>0.68376068376068388</v>
      </c>
      <c r="G226" s="2">
        <v>47.552999999999997</v>
      </c>
      <c r="H226" s="2">
        <f t="shared" si="6"/>
        <v>40.643589743589757</v>
      </c>
      <c r="I226" s="3">
        <f t="shared" si="5"/>
        <v>40.643589743589757</v>
      </c>
      <c r="J226" s="2">
        <v>6.3</v>
      </c>
      <c r="K226" s="2">
        <v>67.599999999999994</v>
      </c>
      <c r="M226" s="3"/>
      <c r="N226" s="3"/>
      <c r="Q226" s="4" t="s">
        <v>101</v>
      </c>
      <c r="R226" s="2" t="s">
        <v>17</v>
      </c>
      <c r="S226" s="2">
        <f>I226*0.49</f>
        <v>19.915358974358981</v>
      </c>
    </row>
    <row r="227" spans="1:19" ht="14.25" customHeight="1">
      <c r="A227" s="2" t="s">
        <v>15</v>
      </c>
      <c r="B227" s="2">
        <v>2006</v>
      </c>
      <c r="C227" s="2" t="s">
        <v>23</v>
      </c>
      <c r="D227" s="2">
        <v>0.9</v>
      </c>
      <c r="E227" s="2">
        <f>D227*VLOOKUP(C227,Conversion_factors!A$1:C$40,3,FALSE)</f>
        <v>0.76923076923076927</v>
      </c>
      <c r="G227" s="2">
        <v>38.872</v>
      </c>
      <c r="H227" s="2">
        <f t="shared" si="6"/>
        <v>33.223931623931634</v>
      </c>
      <c r="I227" s="3">
        <f t="shared" si="5"/>
        <v>33.223931623931634</v>
      </c>
      <c r="J227" s="2">
        <v>5.4</v>
      </c>
      <c r="K227" s="2">
        <v>65.599999999999994</v>
      </c>
      <c r="M227" s="3"/>
      <c r="N227" s="3"/>
      <c r="Q227" s="4" t="s">
        <v>101</v>
      </c>
      <c r="R227" s="2" t="s">
        <v>17</v>
      </c>
      <c r="S227" s="2">
        <f>I227*0.49</f>
        <v>16.2797264957265</v>
      </c>
    </row>
    <row r="228" spans="1:19" ht="14.25" customHeight="1">
      <c r="A228" s="2" t="s">
        <v>15</v>
      </c>
      <c r="B228" s="2">
        <v>2007</v>
      </c>
      <c r="C228" s="2" t="s">
        <v>23</v>
      </c>
      <c r="D228" s="2">
        <v>1.2</v>
      </c>
      <c r="E228" s="2">
        <f>D228*VLOOKUP(C228,Conversion_factors!A$1:C$40,3,FALSE)</f>
        <v>1.0256410256410258</v>
      </c>
      <c r="G228" s="2">
        <v>32.302</v>
      </c>
      <c r="H228" s="2">
        <f t="shared" si="6"/>
        <v>27.608547008547017</v>
      </c>
      <c r="I228" s="3">
        <f t="shared" si="5"/>
        <v>27.608547008547017</v>
      </c>
      <c r="J228" s="2">
        <v>3.7</v>
      </c>
      <c r="K228" s="2">
        <v>69.599999999999994</v>
      </c>
      <c r="M228" s="3"/>
      <c r="N228" s="3"/>
      <c r="Q228" s="4" t="s">
        <v>101</v>
      </c>
      <c r="R228" s="2" t="s">
        <v>17</v>
      </c>
      <c r="S228" s="2">
        <f>I228*0.49</f>
        <v>13.528188034188037</v>
      </c>
    </row>
    <row r="229" spans="1:19" ht="14.25" customHeight="1">
      <c r="A229" s="2" t="s">
        <v>15</v>
      </c>
      <c r="B229" s="2">
        <v>2008</v>
      </c>
      <c r="C229" s="2" t="s">
        <v>23</v>
      </c>
      <c r="D229" s="2">
        <v>1.1000000000000001</v>
      </c>
      <c r="E229" s="2">
        <f>D229*VLOOKUP(C229,Conversion_factors!A$1:C$40,3,FALSE)</f>
        <v>0.94017094017094027</v>
      </c>
      <c r="G229" s="2">
        <v>31.913</v>
      </c>
      <c r="H229" s="2">
        <f t="shared" si="6"/>
        <v>27.276068376068384</v>
      </c>
      <c r="I229" s="3">
        <f t="shared" si="5"/>
        <v>27.276068376068384</v>
      </c>
      <c r="J229" s="2">
        <v>4.8</v>
      </c>
      <c r="K229" s="2">
        <v>68.2</v>
      </c>
      <c r="M229" s="3"/>
      <c r="N229" s="3"/>
      <c r="Q229" s="4" t="s">
        <v>101</v>
      </c>
      <c r="R229" s="2" t="s">
        <v>17</v>
      </c>
      <c r="S229" s="2">
        <f>I229*0.49</f>
        <v>13.365273504273508</v>
      </c>
    </row>
    <row r="230" spans="1:19" ht="14.25" customHeight="1">
      <c r="A230" s="2" t="s">
        <v>15</v>
      </c>
      <c r="B230" s="2">
        <v>2009</v>
      </c>
      <c r="C230" s="2" t="s">
        <v>23</v>
      </c>
      <c r="D230" s="2">
        <v>1.6</v>
      </c>
      <c r="E230" s="2">
        <f>D230*VLOOKUP(C230,Conversion_factors!A$1:C$40,3,FALSE)</f>
        <v>1.3675213675213678</v>
      </c>
      <c r="G230" s="2">
        <v>34.744999999999997</v>
      </c>
      <c r="H230" s="2">
        <f t="shared" si="6"/>
        <v>29.696581196581203</v>
      </c>
      <c r="I230" s="3">
        <f t="shared" si="5"/>
        <v>29.696581196581203</v>
      </c>
      <c r="J230" s="2">
        <v>3.1</v>
      </c>
      <c r="K230" s="2">
        <v>66.900000000000006</v>
      </c>
      <c r="M230" s="3"/>
      <c r="N230" s="3"/>
      <c r="Q230" s="4" t="s">
        <v>101</v>
      </c>
      <c r="R230" s="2" t="s">
        <v>17</v>
      </c>
      <c r="S230" s="2">
        <f>I230*0.49</f>
        <v>14.551324786324789</v>
      </c>
    </row>
    <row r="231" spans="1:19" ht="14.25" customHeight="1">
      <c r="A231" s="2" t="s">
        <v>15</v>
      </c>
      <c r="B231" s="2">
        <v>2010</v>
      </c>
      <c r="C231" s="2" t="s">
        <v>23</v>
      </c>
      <c r="D231" s="2">
        <v>1.9</v>
      </c>
      <c r="E231" s="2">
        <f>D231*VLOOKUP(C231,Conversion_factors!A$1:C$40,3,FALSE)</f>
        <v>1.6239316239316239</v>
      </c>
      <c r="G231" s="2">
        <v>31.7</v>
      </c>
      <c r="H231" s="2">
        <f t="shared" si="6"/>
        <v>27.094017094017104</v>
      </c>
      <c r="I231" s="3">
        <f t="shared" si="5"/>
        <v>27.094017094017104</v>
      </c>
      <c r="J231" s="2">
        <v>3.6</v>
      </c>
      <c r="K231" s="2">
        <v>60.3</v>
      </c>
      <c r="M231" s="3"/>
      <c r="N231" s="3"/>
      <c r="Q231" s="4" t="s">
        <v>101</v>
      </c>
      <c r="R231" s="2" t="s">
        <v>17</v>
      </c>
      <c r="S231" s="2">
        <f>I231*0.49</f>
        <v>13.27606837606838</v>
      </c>
    </row>
    <row r="232" spans="1:19" ht="14.25" customHeight="1">
      <c r="A232" s="2" t="s">
        <v>15</v>
      </c>
      <c r="B232" s="2">
        <v>2011</v>
      </c>
      <c r="C232" s="2" t="s">
        <v>23</v>
      </c>
      <c r="D232" s="2">
        <v>1.6</v>
      </c>
      <c r="E232" s="2">
        <f>D232*VLOOKUP(C232,Conversion_factors!A$1:C$40,3,FALSE)</f>
        <v>1.3675213675213678</v>
      </c>
      <c r="G232" s="2">
        <v>28.3</v>
      </c>
      <c r="H232" s="2">
        <f t="shared" si="6"/>
        <v>24.188034188034198</v>
      </c>
      <c r="I232" s="3">
        <f t="shared" si="5"/>
        <v>24.188034188034198</v>
      </c>
      <c r="J232" s="2">
        <v>3.1</v>
      </c>
      <c r="K232" s="2">
        <v>59.2</v>
      </c>
      <c r="M232" s="3"/>
      <c r="N232" s="3"/>
      <c r="Q232" s="4" t="s">
        <v>101</v>
      </c>
      <c r="R232" s="2" t="s">
        <v>17</v>
      </c>
      <c r="S232" s="2">
        <f>I232*0.49</f>
        <v>11.852136752136756</v>
      </c>
    </row>
    <row r="233" spans="1:19" ht="14.25" customHeight="1">
      <c r="A233" s="2" t="s">
        <v>15</v>
      </c>
      <c r="B233" s="2">
        <v>2012</v>
      </c>
      <c r="C233" s="2" t="s">
        <v>23</v>
      </c>
      <c r="D233" s="2">
        <v>1.2</v>
      </c>
      <c r="E233" s="2">
        <f>D233*VLOOKUP(C233,Conversion_factors!A$1:C$40,3,FALSE)</f>
        <v>1.0256410256410258</v>
      </c>
      <c r="G233" s="2">
        <v>34</v>
      </c>
      <c r="H233" s="2">
        <f t="shared" si="6"/>
        <v>29.05982905982907</v>
      </c>
      <c r="I233" s="3">
        <f t="shared" si="5"/>
        <v>29.05982905982907</v>
      </c>
      <c r="J233" s="2">
        <v>1.7</v>
      </c>
      <c r="K233" s="2">
        <v>60.7</v>
      </c>
      <c r="M233" s="3"/>
      <c r="N233" s="3"/>
      <c r="Q233" s="4" t="s">
        <v>101</v>
      </c>
      <c r="R233" s="2" t="s">
        <v>17</v>
      </c>
      <c r="S233" s="2">
        <f>I233*0.49</f>
        <v>14.239316239316244</v>
      </c>
    </row>
    <row r="234" spans="1:19" ht="14.25" customHeight="1">
      <c r="A234" s="2" t="s">
        <v>15</v>
      </c>
      <c r="B234" s="2">
        <v>2013</v>
      </c>
      <c r="C234" s="2" t="s">
        <v>23</v>
      </c>
      <c r="D234" s="2">
        <v>1.1000000000000001</v>
      </c>
      <c r="E234" s="2">
        <f>D234*VLOOKUP(C234,Conversion_factors!A$1:C$40,3,FALSE)</f>
        <v>0.94017094017094027</v>
      </c>
      <c r="G234" s="2">
        <v>38.700000000000003</v>
      </c>
      <c r="H234" s="2">
        <f t="shared" si="6"/>
        <v>33.076923076923087</v>
      </c>
      <c r="I234" s="3">
        <f t="shared" si="5"/>
        <v>33.076923076923087</v>
      </c>
      <c r="J234" s="2">
        <v>1</v>
      </c>
      <c r="K234" s="2">
        <v>44.9</v>
      </c>
      <c r="M234" s="3"/>
      <c r="N234" s="3"/>
      <c r="Q234" s="4" t="s">
        <v>101</v>
      </c>
      <c r="R234" s="2" t="s">
        <v>17</v>
      </c>
      <c r="S234" s="2">
        <f>I234*0.49</f>
        <v>16.207692307692312</v>
      </c>
    </row>
    <row r="235" spans="1:19" ht="14.25" customHeight="1">
      <c r="A235" s="2" t="s">
        <v>15</v>
      </c>
      <c r="B235" s="2">
        <v>2014</v>
      </c>
      <c r="C235" s="2" t="s">
        <v>23</v>
      </c>
      <c r="D235" s="2">
        <v>0.9</v>
      </c>
      <c r="E235" s="2">
        <f>D235*VLOOKUP(C235,Conversion_factors!A$1:C$40,3,FALSE)</f>
        <v>0.76923076923076927</v>
      </c>
      <c r="G235" s="2">
        <v>35.4</v>
      </c>
      <c r="H235" s="2">
        <f t="shared" si="6"/>
        <v>30.256410256410266</v>
      </c>
      <c r="I235" s="3">
        <f t="shared" si="5"/>
        <v>30.256410256410266</v>
      </c>
      <c r="J235" s="2">
        <v>1</v>
      </c>
      <c r="K235" s="2">
        <v>35.9</v>
      </c>
      <c r="M235" s="3"/>
      <c r="N235" s="3"/>
      <c r="Q235" s="4" t="s">
        <v>101</v>
      </c>
      <c r="R235" s="2" t="s">
        <v>17</v>
      </c>
      <c r="S235" s="2">
        <f>I235*0.49</f>
        <v>14.82564102564103</v>
      </c>
    </row>
    <row r="236" spans="1:19" ht="14.25" customHeight="1">
      <c r="A236" s="2" t="s">
        <v>15</v>
      </c>
      <c r="B236" s="2">
        <v>2015</v>
      </c>
      <c r="C236" s="2" t="s">
        <v>23</v>
      </c>
      <c r="D236" s="2">
        <v>0.9</v>
      </c>
      <c r="E236" s="2">
        <f>D236*VLOOKUP(C236,Conversion_factors!A$1:C$40,3,FALSE)</f>
        <v>0.76923076923076927</v>
      </c>
      <c r="G236" s="2">
        <v>32.4</v>
      </c>
      <c r="H236" s="2">
        <f t="shared" si="6"/>
        <v>27.692307692307701</v>
      </c>
      <c r="I236" s="3">
        <f t="shared" si="5"/>
        <v>27.692307692307701</v>
      </c>
      <c r="J236" s="2">
        <v>0.9</v>
      </c>
      <c r="K236" s="2">
        <v>41</v>
      </c>
      <c r="M236" s="3"/>
      <c r="N236" s="3"/>
      <c r="Q236" s="4" t="s">
        <v>101</v>
      </c>
      <c r="R236" s="2" t="s">
        <v>17</v>
      </c>
      <c r="S236" s="2">
        <f>I236*0.49</f>
        <v>13.569230769230773</v>
      </c>
    </row>
    <row r="237" spans="1:19" ht="14.25" customHeight="1">
      <c r="A237" s="2" t="s">
        <v>15</v>
      </c>
      <c r="B237" s="2">
        <v>2016</v>
      </c>
      <c r="C237" s="2" t="s">
        <v>23</v>
      </c>
      <c r="D237" s="2">
        <v>0.9</v>
      </c>
      <c r="E237" s="2">
        <f>D237*VLOOKUP(C237,Conversion_factors!A$1:C$40,3,FALSE)</f>
        <v>0.76923076923076927</v>
      </c>
      <c r="G237" s="2">
        <v>33.1</v>
      </c>
      <c r="H237" s="2">
        <f t="shared" si="6"/>
        <v>28.2905982905983</v>
      </c>
      <c r="I237" s="3">
        <f t="shared" si="5"/>
        <v>28.2905982905983</v>
      </c>
      <c r="J237" s="2">
        <v>1.2</v>
      </c>
      <c r="K237" s="2">
        <v>44.9</v>
      </c>
      <c r="M237" s="3"/>
      <c r="N237" s="3"/>
      <c r="Q237" s="4" t="s">
        <v>101</v>
      </c>
      <c r="R237" s="2" t="s">
        <v>17</v>
      </c>
      <c r="S237" s="2">
        <f>I237*0.49</f>
        <v>13.862393162393166</v>
      </c>
    </row>
    <row r="238" spans="1:19" ht="14.25" customHeight="1">
      <c r="A238" s="2" t="s">
        <v>15</v>
      </c>
      <c r="B238" s="2">
        <v>2017</v>
      </c>
      <c r="C238" s="2" t="s">
        <v>23</v>
      </c>
      <c r="D238" s="2">
        <v>0.7</v>
      </c>
      <c r="E238" s="2">
        <f>D238*VLOOKUP(C238,Conversion_factors!A$1:C$40,3,FALSE)</f>
        <v>0.59829059829059827</v>
      </c>
      <c r="G238" s="2">
        <v>33.5</v>
      </c>
      <c r="H238" s="2">
        <f t="shared" si="6"/>
        <v>28.632478632478641</v>
      </c>
      <c r="I238" s="3">
        <f t="shared" si="5"/>
        <v>28.632478632478641</v>
      </c>
      <c r="J238" s="2">
        <v>1.2</v>
      </c>
      <c r="K238" s="2">
        <v>47</v>
      </c>
      <c r="M238" s="3"/>
      <c r="N238" s="3"/>
      <c r="Q238" s="4" t="s">
        <v>101</v>
      </c>
      <c r="R238" s="2" t="s">
        <v>17</v>
      </c>
      <c r="S238" s="2">
        <f>I238*0.49</f>
        <v>14.029914529914533</v>
      </c>
    </row>
    <row r="239" spans="1:19" ht="14.25" customHeight="1">
      <c r="A239" s="2" t="s">
        <v>15</v>
      </c>
      <c r="B239" s="2">
        <v>2018</v>
      </c>
      <c r="C239" s="2" t="s">
        <v>23</v>
      </c>
      <c r="D239" s="2">
        <v>0.5</v>
      </c>
      <c r="E239" s="2">
        <f>D239*VLOOKUP(C239,Conversion_factors!A$1:C$40,3,FALSE)</f>
        <v>0.42735042735042739</v>
      </c>
      <c r="G239" s="2">
        <v>35.200000000000003</v>
      </c>
      <c r="H239" s="2">
        <f t="shared" si="6"/>
        <v>30.085470085470099</v>
      </c>
      <c r="I239" s="3">
        <f t="shared" si="5"/>
        <v>30.085470085470099</v>
      </c>
      <c r="J239" s="2">
        <v>1.3</v>
      </c>
      <c r="K239" s="2">
        <v>49.8</v>
      </c>
      <c r="M239" s="3"/>
      <c r="N239" s="3"/>
      <c r="Q239" s="4" t="s">
        <v>101</v>
      </c>
      <c r="R239" s="2" t="s">
        <v>17</v>
      </c>
      <c r="S239" s="2">
        <f>I239*0.49</f>
        <v>14.741880341880348</v>
      </c>
    </row>
    <row r="240" spans="1:19" ht="14.25" customHeight="1">
      <c r="A240" s="2" t="s">
        <v>15</v>
      </c>
      <c r="B240" s="2">
        <v>2019</v>
      </c>
      <c r="C240" s="2" t="s">
        <v>23</v>
      </c>
      <c r="D240" s="2">
        <v>0.4</v>
      </c>
      <c r="E240" s="2">
        <f>D240*VLOOKUP(C240,Conversion_factors!A$1:C$40,3,FALSE)</f>
        <v>0.34188034188034194</v>
      </c>
      <c r="G240" s="2">
        <v>33.299999999999997</v>
      </c>
      <c r="H240" s="2">
        <f t="shared" si="6"/>
        <v>28.461538461538471</v>
      </c>
      <c r="I240" s="3">
        <f t="shared" si="5"/>
        <v>28.461538461538471</v>
      </c>
      <c r="J240" s="2">
        <v>1.9635910000000001</v>
      </c>
      <c r="K240" s="2">
        <v>51.334542999999996</v>
      </c>
      <c r="M240" s="3"/>
      <c r="N240" s="3"/>
      <c r="Q240" s="4" t="s">
        <v>101</v>
      </c>
      <c r="R240" s="2" t="s">
        <v>17</v>
      </c>
      <c r="S240" s="2">
        <f>I240*0.49</f>
        <v>13.94615384615385</v>
      </c>
    </row>
    <row r="241" spans="1:19" ht="14.25" customHeight="1">
      <c r="A241" s="2" t="s">
        <v>15</v>
      </c>
      <c r="B241" s="2">
        <v>2020</v>
      </c>
      <c r="C241" s="2" t="s">
        <v>23</v>
      </c>
      <c r="D241" s="2">
        <v>0.36744320000000003</v>
      </c>
      <c r="E241" s="2">
        <f>D241*VLOOKUP(C241,Conversion_factors!A$1:C$40,3,FALSE)</f>
        <v>0.31405401709401715</v>
      </c>
      <c r="G241" s="2">
        <v>28.4862739</v>
      </c>
      <c r="H241" s="2">
        <f t="shared" si="6"/>
        <v>24.347242649572657</v>
      </c>
      <c r="I241" s="3">
        <f t="shared" si="5"/>
        <v>24.347242649572657</v>
      </c>
      <c r="J241" s="2">
        <v>1.4818610000000001</v>
      </c>
      <c r="K241" s="2">
        <v>46.982584000000003</v>
      </c>
      <c r="M241" s="3"/>
      <c r="N241" s="3"/>
      <c r="Q241" s="4" t="s">
        <v>101</v>
      </c>
      <c r="R241" s="2" t="s">
        <v>17</v>
      </c>
      <c r="S241" s="2">
        <f>I241*0.49</f>
        <v>11.930148898290602</v>
      </c>
    </row>
    <row r="242" spans="1:19" ht="14.25" customHeight="1">
      <c r="A242" s="2" t="s">
        <v>15</v>
      </c>
      <c r="B242" s="2">
        <v>1900</v>
      </c>
      <c r="C242" s="2" t="s">
        <v>19</v>
      </c>
      <c r="G242" s="3"/>
      <c r="H242" s="3">
        <v>313.37477138792929</v>
      </c>
      <c r="I242" s="3">
        <f t="shared" si="5"/>
        <v>313.37477138792929</v>
      </c>
      <c r="J242" s="3" t="e">
        <v>#VALUE!</v>
      </c>
      <c r="K242" s="3" t="e">
        <v>#VALUE!</v>
      </c>
      <c r="L242" s="3"/>
      <c r="M242" s="3"/>
      <c r="N242" s="3"/>
      <c r="Q242" s="4" t="s">
        <v>99</v>
      </c>
      <c r="R242" s="2" t="s">
        <v>17</v>
      </c>
      <c r="S242" s="2">
        <f>I242*0.49</f>
        <v>153.55363798008534</v>
      </c>
    </row>
    <row r="243" spans="1:19" ht="14.25" customHeight="1">
      <c r="A243" s="2" t="s">
        <v>15</v>
      </c>
      <c r="B243" s="2">
        <v>1901</v>
      </c>
      <c r="C243" s="2" t="s">
        <v>19</v>
      </c>
      <c r="G243" s="3"/>
      <c r="H243" s="3">
        <v>358.55725462304406</v>
      </c>
      <c r="I243" s="3">
        <f t="shared" si="5"/>
        <v>358.55725462304406</v>
      </c>
      <c r="J243" s="3" t="e">
        <v>#N/A</v>
      </c>
      <c r="K243" s="3" t="e">
        <v>#N/A</v>
      </c>
      <c r="L243" s="3"/>
      <c r="M243" s="3"/>
      <c r="N243" s="3"/>
      <c r="Q243" s="4" t="s">
        <v>99</v>
      </c>
      <c r="R243" s="2" t="s">
        <v>17</v>
      </c>
      <c r="S243" s="2">
        <f>I243*0.49</f>
        <v>175.69305476529158</v>
      </c>
    </row>
    <row r="244" spans="1:19" ht="14.25" customHeight="1">
      <c r="A244" s="2" t="s">
        <v>15</v>
      </c>
      <c r="B244" s="2">
        <v>1902</v>
      </c>
      <c r="C244" s="2" t="s">
        <v>19</v>
      </c>
      <c r="G244" s="3"/>
      <c r="H244" s="3">
        <v>428.65606584027637</v>
      </c>
      <c r="I244" s="3">
        <f t="shared" si="5"/>
        <v>428.65606584027637</v>
      </c>
      <c r="J244" s="3" t="e">
        <v>#N/A</v>
      </c>
      <c r="K244" s="3" t="e">
        <v>#N/A</v>
      </c>
      <c r="L244" s="3"/>
      <c r="M244" s="3"/>
      <c r="N244" s="3"/>
      <c r="Q244" s="4" t="s">
        <v>99</v>
      </c>
      <c r="R244" s="2" t="s">
        <v>17</v>
      </c>
      <c r="S244" s="2">
        <f>I244*0.49</f>
        <v>210.04147226173541</v>
      </c>
    </row>
    <row r="245" spans="1:19" ht="14.25" customHeight="1">
      <c r="A245" s="2" t="s">
        <v>15</v>
      </c>
      <c r="B245" s="2">
        <v>1903</v>
      </c>
      <c r="C245" s="2" t="s">
        <v>19</v>
      </c>
      <c r="G245" s="3"/>
      <c r="H245" s="3" t="e">
        <v>#N/A</v>
      </c>
      <c r="I245" s="3" t="e">
        <f t="shared" si="5"/>
        <v>#N/A</v>
      </c>
      <c r="J245" s="3" t="e">
        <v>#N/A</v>
      </c>
      <c r="K245" s="3" t="e">
        <v>#N/A</v>
      </c>
      <c r="L245" s="3"/>
      <c r="M245" s="3"/>
      <c r="N245" s="3"/>
      <c r="Q245" s="4" t="s">
        <v>99</v>
      </c>
      <c r="R245" s="2" t="s">
        <v>17</v>
      </c>
      <c r="S245" s="2" t="e">
        <f>I245*0.49</f>
        <v>#N/A</v>
      </c>
    </row>
    <row r="246" spans="1:19" ht="14.25" customHeight="1">
      <c r="A246" s="2" t="s">
        <v>15</v>
      </c>
      <c r="B246" s="2">
        <v>1904</v>
      </c>
      <c r="C246" s="2" t="s">
        <v>19</v>
      </c>
      <c r="G246" s="3"/>
      <c r="H246" s="3" t="e">
        <v>#N/A</v>
      </c>
      <c r="I246" s="3" t="e">
        <f t="shared" si="5"/>
        <v>#N/A</v>
      </c>
      <c r="J246" s="3" t="e">
        <v>#N/A</v>
      </c>
      <c r="K246" s="3" t="e">
        <v>#N/A</v>
      </c>
      <c r="L246" s="3"/>
      <c r="M246" s="3"/>
      <c r="N246" s="3"/>
      <c r="Q246" s="4" t="s">
        <v>99</v>
      </c>
      <c r="R246" s="2" t="s">
        <v>17</v>
      </c>
      <c r="S246" s="2" t="e">
        <f>I246*0.49</f>
        <v>#N/A</v>
      </c>
    </row>
    <row r="247" spans="1:19" ht="14.25" customHeight="1">
      <c r="A247" s="2" t="s">
        <v>15</v>
      </c>
      <c r="B247" s="2">
        <v>1905</v>
      </c>
      <c r="C247" s="2" t="s">
        <v>19</v>
      </c>
      <c r="G247" s="3"/>
      <c r="H247" s="3" t="e">
        <v>#N/A</v>
      </c>
      <c r="I247" s="3" t="e">
        <f t="shared" si="5"/>
        <v>#N/A</v>
      </c>
      <c r="J247" s="3" t="e">
        <v>#VALUE!</v>
      </c>
      <c r="K247" s="3">
        <v>30.604653525706155</v>
      </c>
      <c r="L247" s="3"/>
      <c r="M247" s="3"/>
      <c r="N247" s="3"/>
      <c r="Q247" s="4" t="s">
        <v>99</v>
      </c>
      <c r="R247" s="2" t="s">
        <v>17</v>
      </c>
      <c r="S247" s="2" t="e">
        <f>I247*0.49</f>
        <v>#N/A</v>
      </c>
    </row>
    <row r="248" spans="1:19" ht="14.25" customHeight="1">
      <c r="A248" s="2" t="s">
        <v>15</v>
      </c>
      <c r="B248" s="2">
        <v>1906</v>
      </c>
      <c r="C248" s="2" t="s">
        <v>19</v>
      </c>
      <c r="G248" s="3"/>
      <c r="H248" s="3" t="e">
        <v>#N/A</v>
      </c>
      <c r="I248" s="3" t="e">
        <f t="shared" si="5"/>
        <v>#N/A</v>
      </c>
      <c r="J248" s="3" t="e">
        <v>#N/A</v>
      </c>
      <c r="K248" s="3" t="e">
        <v>#N/A</v>
      </c>
      <c r="L248" s="3"/>
      <c r="M248" s="3"/>
      <c r="N248" s="3"/>
      <c r="Q248" s="4" t="s">
        <v>99</v>
      </c>
      <c r="R248" s="2" t="s">
        <v>17</v>
      </c>
      <c r="S248" s="2" t="e">
        <f>I248*0.49</f>
        <v>#N/A</v>
      </c>
    </row>
    <row r="249" spans="1:19" ht="14.25" customHeight="1">
      <c r="A249" s="2" t="s">
        <v>15</v>
      </c>
      <c r="B249" s="2">
        <v>1907</v>
      </c>
      <c r="C249" s="2" t="s">
        <v>19</v>
      </c>
      <c r="G249" s="3"/>
      <c r="H249" s="3" t="e">
        <v>#N/A</v>
      </c>
      <c r="I249" s="3" t="e">
        <f t="shared" si="5"/>
        <v>#N/A</v>
      </c>
      <c r="J249" s="3" t="e">
        <v>#N/A</v>
      </c>
      <c r="K249" s="3" t="e">
        <v>#N/A</v>
      </c>
      <c r="L249" s="3"/>
      <c r="M249" s="3"/>
      <c r="N249" s="3"/>
      <c r="Q249" s="4" t="s">
        <v>99</v>
      </c>
      <c r="R249" s="2" t="s">
        <v>17</v>
      </c>
      <c r="S249" s="2" t="e">
        <f>I249*0.49</f>
        <v>#N/A</v>
      </c>
    </row>
    <row r="250" spans="1:19" ht="14.25" customHeight="1">
      <c r="A250" s="2" t="s">
        <v>15</v>
      </c>
      <c r="B250" s="2">
        <v>1908</v>
      </c>
      <c r="C250" s="2" t="s">
        <v>19</v>
      </c>
      <c r="G250" s="3"/>
      <c r="H250" s="3" t="e">
        <v>#N/A</v>
      </c>
      <c r="I250" s="3" t="e">
        <f t="shared" si="5"/>
        <v>#N/A</v>
      </c>
      <c r="J250" s="3" t="e">
        <v>#N/A</v>
      </c>
      <c r="K250" s="3" t="e">
        <v>#N/A</v>
      </c>
      <c r="L250" s="3"/>
      <c r="M250" s="3"/>
      <c r="N250" s="3"/>
      <c r="Q250" s="4" t="s">
        <v>99</v>
      </c>
      <c r="R250" s="2" t="s">
        <v>17</v>
      </c>
      <c r="S250" s="2" t="e">
        <f>I250*0.49</f>
        <v>#N/A</v>
      </c>
    </row>
    <row r="251" spans="1:19" ht="14.25" customHeight="1">
      <c r="A251" s="2" t="s">
        <v>15</v>
      </c>
      <c r="B251" s="2">
        <v>1910</v>
      </c>
      <c r="C251" s="2" t="s">
        <v>19</v>
      </c>
      <c r="G251" s="3"/>
      <c r="H251" s="3" t="e">
        <v>#N/A</v>
      </c>
      <c r="I251" s="3" t="e">
        <f t="shared" si="5"/>
        <v>#N/A</v>
      </c>
      <c r="J251" s="3">
        <v>408.56096321885792</v>
      </c>
      <c r="K251" s="3">
        <v>67.095102621418405</v>
      </c>
      <c r="L251" s="3"/>
      <c r="M251" s="3"/>
      <c r="N251" s="3"/>
      <c r="Q251" s="4" t="s">
        <v>99</v>
      </c>
      <c r="R251" s="2" t="s">
        <v>17</v>
      </c>
      <c r="S251" s="2" t="e">
        <f>I251*0.49</f>
        <v>#N/A</v>
      </c>
    </row>
    <row r="252" spans="1:19" ht="14.25" customHeight="1">
      <c r="A252" s="2" t="s">
        <v>15</v>
      </c>
      <c r="B252" s="2">
        <v>1911</v>
      </c>
      <c r="C252" s="2" t="s">
        <v>19</v>
      </c>
      <c r="G252" s="3"/>
      <c r="H252" s="3">
        <v>509.6758788864052</v>
      </c>
      <c r="I252" s="3">
        <f t="shared" si="5"/>
        <v>509.6758788864052</v>
      </c>
      <c r="J252" s="3" t="e">
        <v>#N/A</v>
      </c>
      <c r="K252" s="3" t="e">
        <v>#N/A</v>
      </c>
      <c r="L252" s="3"/>
      <c r="M252" s="3"/>
      <c r="N252" s="3"/>
      <c r="Q252" s="4" t="s">
        <v>99</v>
      </c>
      <c r="R252" s="2" t="s">
        <v>17</v>
      </c>
      <c r="S252" s="2">
        <f>I252*0.49</f>
        <v>249.74118065433854</v>
      </c>
    </row>
    <row r="253" spans="1:19" ht="14.25" customHeight="1">
      <c r="A253" s="2" t="s">
        <v>15</v>
      </c>
      <c r="B253" s="2">
        <v>1912</v>
      </c>
      <c r="C253" s="2" t="s">
        <v>19</v>
      </c>
      <c r="G253" s="3"/>
      <c r="H253" s="3">
        <v>537.41043487096113</v>
      </c>
      <c r="I253" s="3">
        <f t="shared" si="5"/>
        <v>537.41043487096113</v>
      </c>
      <c r="J253" s="3" t="e">
        <v>#N/A</v>
      </c>
      <c r="K253" s="3" t="e">
        <v>#N/A</v>
      </c>
      <c r="L253" s="3"/>
      <c r="M253" s="3"/>
      <c r="N253" s="3"/>
      <c r="Q253" s="4" t="s">
        <v>99</v>
      </c>
      <c r="R253" s="2" t="s">
        <v>17</v>
      </c>
      <c r="S253" s="2">
        <f>I253*0.49</f>
        <v>263.33111308677093</v>
      </c>
    </row>
    <row r="254" spans="1:19" ht="14.25" customHeight="1">
      <c r="A254" s="2" t="s">
        <v>15</v>
      </c>
      <c r="B254" s="2">
        <v>1913</v>
      </c>
      <c r="C254" s="2" t="s">
        <v>19</v>
      </c>
      <c r="G254" s="3"/>
      <c r="H254" s="3">
        <v>597.5790489737858</v>
      </c>
      <c r="I254" s="3">
        <f t="shared" si="5"/>
        <v>597.5790489737858</v>
      </c>
      <c r="J254" s="3" t="e">
        <v>#N/A</v>
      </c>
      <c r="K254" s="3" t="e">
        <v>#N/A</v>
      </c>
      <c r="L254" s="3"/>
      <c r="M254" s="3"/>
      <c r="N254" s="3"/>
      <c r="Q254" s="4" t="s">
        <v>99</v>
      </c>
      <c r="R254" s="2" t="s">
        <v>17</v>
      </c>
      <c r="S254" s="2">
        <f>I254*0.49</f>
        <v>292.81373399715505</v>
      </c>
    </row>
    <row r="255" spans="1:19" ht="14.25" customHeight="1">
      <c r="A255" s="2" t="s">
        <v>15</v>
      </c>
      <c r="B255" s="2">
        <v>1914</v>
      </c>
      <c r="C255" s="2" t="s">
        <v>19</v>
      </c>
      <c r="G255" s="3"/>
      <c r="H255" s="3" t="e">
        <v>#N/A</v>
      </c>
      <c r="I255" s="3" t="e">
        <f t="shared" si="5"/>
        <v>#N/A</v>
      </c>
      <c r="J255" s="3">
        <v>205.84942084942082</v>
      </c>
      <c r="K255" s="3">
        <v>48.429638284901444</v>
      </c>
      <c r="L255" s="3"/>
      <c r="M255" s="3"/>
      <c r="N255" s="3"/>
      <c r="Q255" s="4" t="s">
        <v>100</v>
      </c>
      <c r="R255" s="2" t="s">
        <v>17</v>
      </c>
      <c r="S255" s="2" t="e">
        <f>I255*0.49</f>
        <v>#N/A</v>
      </c>
    </row>
    <row r="256" spans="1:19" ht="14.25" customHeight="1">
      <c r="A256" s="2" t="s">
        <v>15</v>
      </c>
      <c r="B256" s="2">
        <v>1915</v>
      </c>
      <c r="C256" s="2" t="s">
        <v>19</v>
      </c>
      <c r="G256" s="3"/>
      <c r="H256" s="3" t="e">
        <v>#N/A</v>
      </c>
      <c r="I256" s="3" t="e">
        <f t="shared" si="5"/>
        <v>#N/A</v>
      </c>
      <c r="J256" s="3">
        <v>51.410231660231659</v>
      </c>
      <c r="K256" s="3">
        <v>40.23191424507214</v>
      </c>
      <c r="L256" s="3"/>
      <c r="M256" s="3"/>
      <c r="N256" s="3"/>
      <c r="Q256" s="4" t="s">
        <v>100</v>
      </c>
      <c r="R256" s="2" t="s">
        <v>17</v>
      </c>
      <c r="S256" s="2" t="e">
        <f>I256*0.49</f>
        <v>#N/A</v>
      </c>
    </row>
    <row r="257" spans="1:19" ht="14.25" customHeight="1">
      <c r="A257" s="2" t="s">
        <v>15</v>
      </c>
      <c r="B257" s="2">
        <v>1916</v>
      </c>
      <c r="C257" s="2" t="s">
        <v>19</v>
      </c>
      <c r="G257" s="3"/>
      <c r="H257" s="3" t="e">
        <v>#N/A</v>
      </c>
      <c r="I257" s="3" t="e">
        <f t="shared" si="5"/>
        <v>#N/A</v>
      </c>
      <c r="J257" s="3">
        <v>78.59987807356228</v>
      </c>
      <c r="K257" s="3">
        <v>8.7294249136354392</v>
      </c>
      <c r="L257" s="3"/>
      <c r="M257" s="3"/>
      <c r="N257" s="3"/>
      <c r="Q257" s="4" t="s">
        <v>100</v>
      </c>
      <c r="R257" s="2" t="s">
        <v>17</v>
      </c>
      <c r="S257" s="2" t="e">
        <f>I257*0.49</f>
        <v>#N/A</v>
      </c>
    </row>
    <row r="258" spans="1:19" ht="14.25" customHeight="1">
      <c r="A258" s="2" t="s">
        <v>15</v>
      </c>
      <c r="B258" s="2">
        <v>1917</v>
      </c>
      <c r="C258" s="2" t="s">
        <v>19</v>
      </c>
      <c r="G258" s="3"/>
      <c r="H258" s="3" t="e">
        <v>#N/A</v>
      </c>
      <c r="I258" s="3" t="e">
        <f t="shared" si="5"/>
        <v>#N/A</v>
      </c>
      <c r="J258" s="3">
        <v>16.042521845153423</v>
      </c>
      <c r="K258" s="3">
        <v>11.700010160536475</v>
      </c>
      <c r="L258" s="3"/>
      <c r="M258" s="3"/>
      <c r="N258" s="3"/>
      <c r="Q258" s="4" t="s">
        <v>100</v>
      </c>
      <c r="R258" s="2" t="s">
        <v>17</v>
      </c>
      <c r="S258" s="2" t="e">
        <f>I258*0.49</f>
        <v>#N/A</v>
      </c>
    </row>
    <row r="259" spans="1:19" ht="14.25" customHeight="1">
      <c r="A259" s="2" t="s">
        <v>15</v>
      </c>
      <c r="B259" s="2">
        <v>1918</v>
      </c>
      <c r="C259" s="2" t="s">
        <v>19</v>
      </c>
      <c r="G259" s="3"/>
      <c r="H259" s="3" t="e">
        <v>#N/A</v>
      </c>
      <c r="I259" s="3" t="e">
        <f t="shared" si="5"/>
        <v>#N/A</v>
      </c>
      <c r="J259" s="3">
        <v>9.0331741515952029</v>
      </c>
      <c r="K259" s="3">
        <v>29.79739890266206</v>
      </c>
      <c r="L259" s="3"/>
      <c r="M259" s="3"/>
      <c r="N259" s="3"/>
      <c r="Q259" s="4" t="s">
        <v>100</v>
      </c>
      <c r="R259" s="2" t="s">
        <v>17</v>
      </c>
      <c r="S259" s="2" t="e">
        <f>I259*0.49</f>
        <v>#N/A</v>
      </c>
    </row>
    <row r="260" spans="1:19" ht="14.25" customHeight="1">
      <c r="A260" s="2" t="s">
        <v>15</v>
      </c>
      <c r="B260" s="2">
        <v>1919</v>
      </c>
      <c r="C260" s="2" t="s">
        <v>19</v>
      </c>
      <c r="G260" s="3"/>
      <c r="H260" s="3">
        <v>370.24542775858566</v>
      </c>
      <c r="I260" s="3">
        <f t="shared" si="5"/>
        <v>370.24542775858566</v>
      </c>
      <c r="J260" s="3">
        <v>118.00741719162771</v>
      </c>
      <c r="K260" s="3">
        <v>24.653474903474905</v>
      </c>
      <c r="L260" s="3"/>
      <c r="M260" s="3"/>
      <c r="N260" s="3"/>
      <c r="Q260" s="4" t="s">
        <v>99</v>
      </c>
      <c r="R260" s="2" t="s">
        <v>17</v>
      </c>
      <c r="S260" s="2">
        <f>I260*0.49</f>
        <v>181.42025960170696</v>
      </c>
    </row>
    <row r="261" spans="1:19" ht="14.25" customHeight="1">
      <c r="A261" s="2" t="s">
        <v>15</v>
      </c>
      <c r="B261" s="2">
        <v>1920</v>
      </c>
      <c r="C261" s="2" t="s">
        <v>19</v>
      </c>
      <c r="G261" s="3"/>
      <c r="H261" s="3">
        <v>395.83931111562691</v>
      </c>
      <c r="I261" s="3">
        <f t="shared" si="5"/>
        <v>395.83931111562691</v>
      </c>
      <c r="J261" s="3">
        <v>174.23790896159318</v>
      </c>
      <c r="K261" s="3">
        <v>29.829506197927252</v>
      </c>
      <c r="L261" s="3"/>
      <c r="M261" s="3"/>
      <c r="N261" s="3"/>
      <c r="Q261" s="4" t="s">
        <v>99</v>
      </c>
      <c r="R261" s="2" t="s">
        <v>17</v>
      </c>
      <c r="S261" s="2">
        <f>I261*0.49</f>
        <v>193.96126244665717</v>
      </c>
    </row>
    <row r="262" spans="1:19" ht="14.25" customHeight="1">
      <c r="A262" s="2" t="s">
        <v>15</v>
      </c>
      <c r="B262" s="2">
        <v>1921</v>
      </c>
      <c r="C262" s="2" t="s">
        <v>19</v>
      </c>
      <c r="G262" s="3"/>
      <c r="H262" s="3">
        <v>269.1435683804105</v>
      </c>
      <c r="I262" s="3">
        <f t="shared" si="5"/>
        <v>269.1435683804105</v>
      </c>
      <c r="J262" s="3" t="e">
        <v>#N/A</v>
      </c>
      <c r="K262" s="3" t="e">
        <v>#N/A</v>
      </c>
      <c r="L262" s="3"/>
      <c r="M262" s="3"/>
      <c r="N262" s="3"/>
      <c r="Q262" s="4" t="s">
        <v>99</v>
      </c>
      <c r="R262" s="2" t="s">
        <v>17</v>
      </c>
      <c r="S262" s="2">
        <f>I262*0.49</f>
        <v>131.88034850640113</v>
      </c>
    </row>
    <row r="263" spans="1:19" ht="14.25" customHeight="1">
      <c r="A263" s="2" t="s">
        <v>15</v>
      </c>
      <c r="B263" s="2">
        <v>1922</v>
      </c>
      <c r="C263" s="2" t="s">
        <v>19</v>
      </c>
      <c r="G263" s="3"/>
      <c r="H263" s="3">
        <v>273.47464946149154</v>
      </c>
      <c r="I263" s="3">
        <f t="shared" ref="I263:I296" si="7">H263*1.0078</f>
        <v>275.6077517272912</v>
      </c>
      <c r="J263" s="3" t="e">
        <v>#N/A</v>
      </c>
      <c r="K263" s="3" t="e">
        <v>#N/A</v>
      </c>
      <c r="L263" s="3"/>
      <c r="M263" s="3"/>
      <c r="N263" s="3"/>
      <c r="Q263" s="4" t="s">
        <v>99</v>
      </c>
      <c r="R263" s="2" t="s">
        <v>17</v>
      </c>
      <c r="S263" s="2">
        <f>I263*0.49</f>
        <v>135.04779834637267</v>
      </c>
    </row>
    <row r="264" spans="1:19" ht="14.25" customHeight="1">
      <c r="A264" s="2" t="s">
        <v>15</v>
      </c>
      <c r="B264" s="2">
        <v>1923</v>
      </c>
      <c r="C264" s="2" t="s">
        <v>19</v>
      </c>
      <c r="G264" s="3"/>
      <c r="H264" s="3">
        <v>319.43405811826864</v>
      </c>
      <c r="I264" s="3">
        <f t="shared" si="7"/>
        <v>321.92564377159113</v>
      </c>
      <c r="J264" s="3" t="e">
        <v>#N/A</v>
      </c>
      <c r="K264" s="3" t="e">
        <v>#N/A</v>
      </c>
      <c r="L264" s="3"/>
      <c r="M264" s="3"/>
      <c r="N264" s="3"/>
      <c r="Q264" s="4" t="s">
        <v>99</v>
      </c>
      <c r="R264" s="2" t="s">
        <v>17</v>
      </c>
      <c r="S264" s="2">
        <f>I264*0.49</f>
        <v>157.74356544807964</v>
      </c>
    </row>
    <row r="265" spans="1:19" ht="14.25" customHeight="1">
      <c r="A265" s="2" t="s">
        <v>15</v>
      </c>
      <c r="B265" s="2">
        <v>1924</v>
      </c>
      <c r="C265" s="2" t="s">
        <v>19</v>
      </c>
      <c r="G265" s="3"/>
      <c r="H265" s="3">
        <v>468.80776264986793</v>
      </c>
      <c r="I265" s="3">
        <f t="shared" si="7"/>
        <v>472.46446319853692</v>
      </c>
      <c r="J265" s="3" t="e">
        <v>#N/A</v>
      </c>
      <c r="K265" s="3" t="e">
        <v>#N/A</v>
      </c>
      <c r="L265" s="3"/>
      <c r="M265" s="3"/>
      <c r="N265" s="3"/>
      <c r="Q265" s="4" t="s">
        <v>99</v>
      </c>
      <c r="R265" s="2" t="s">
        <v>17</v>
      </c>
      <c r="S265" s="2">
        <f>I265*0.49</f>
        <v>231.50758696728309</v>
      </c>
    </row>
    <row r="266" spans="1:19" ht="14.25" customHeight="1">
      <c r="A266" s="2" t="s">
        <v>15</v>
      </c>
      <c r="B266" s="2">
        <v>1925</v>
      </c>
      <c r="C266" s="2" t="s">
        <v>19</v>
      </c>
      <c r="G266" s="3"/>
      <c r="H266" s="3">
        <v>360.76452956716111</v>
      </c>
      <c r="I266" s="3">
        <f t="shared" si="7"/>
        <v>363.578492897785</v>
      </c>
      <c r="J266" s="3">
        <v>293.33976833976834</v>
      </c>
      <c r="K266" s="3">
        <v>39.979272505588291</v>
      </c>
      <c r="L266" s="3"/>
      <c r="M266" s="3"/>
      <c r="N266" s="3"/>
      <c r="Q266" s="4" t="s">
        <v>99</v>
      </c>
      <c r="R266" s="2" t="s">
        <v>17</v>
      </c>
      <c r="S266" s="2">
        <f>I266*0.49</f>
        <v>178.15346151991466</v>
      </c>
    </row>
    <row r="267" spans="1:19" ht="14.25" customHeight="1">
      <c r="A267" s="2" t="s">
        <v>15</v>
      </c>
      <c r="B267" s="2">
        <v>1926</v>
      </c>
      <c r="C267" s="2" t="s">
        <v>19</v>
      </c>
      <c r="G267" s="3"/>
      <c r="H267" s="3">
        <v>387.46215200162567</v>
      </c>
      <c r="I267" s="3">
        <f t="shared" si="7"/>
        <v>390.48435678723837</v>
      </c>
      <c r="J267" s="3" t="e">
        <v>#N/A</v>
      </c>
      <c r="K267" s="3" t="e">
        <v>#N/A</v>
      </c>
      <c r="L267" s="3"/>
      <c r="M267" s="3"/>
      <c r="N267" s="3"/>
      <c r="Q267" s="4" t="s">
        <v>99</v>
      </c>
      <c r="R267" s="2" t="s">
        <v>17</v>
      </c>
      <c r="S267" s="2">
        <f>I267*0.49</f>
        <v>191.33733482574681</v>
      </c>
    </row>
    <row r="268" spans="1:19" ht="14.25" customHeight="1">
      <c r="A268" s="2" t="s">
        <v>15</v>
      </c>
      <c r="B268" s="2">
        <v>1927</v>
      </c>
      <c r="C268" s="2" t="s">
        <v>19</v>
      </c>
      <c r="G268" s="3"/>
      <c r="H268" s="3">
        <v>391.63823409876039</v>
      </c>
      <c r="I268" s="3">
        <f t="shared" si="7"/>
        <v>394.69301232473072</v>
      </c>
      <c r="J268" s="3" t="e">
        <v>#N/A</v>
      </c>
      <c r="K268" s="3" t="e">
        <v>#N/A</v>
      </c>
      <c r="L268" s="3"/>
      <c r="M268" s="3"/>
      <c r="N268" s="3"/>
      <c r="Q268" s="4" t="s">
        <v>99</v>
      </c>
      <c r="R268" s="2" t="s">
        <v>17</v>
      </c>
      <c r="S268" s="2">
        <f>I268*0.49</f>
        <v>193.39957603911805</v>
      </c>
    </row>
    <row r="269" spans="1:19" ht="14.25" customHeight="1">
      <c r="A269" s="2" t="s">
        <v>15</v>
      </c>
      <c r="B269" s="2">
        <v>1928</v>
      </c>
      <c r="C269" s="2" t="s">
        <v>19</v>
      </c>
      <c r="G269" s="3"/>
      <c r="H269" s="3">
        <v>414.53210729526518</v>
      </c>
      <c r="I269" s="3">
        <f t="shared" si="7"/>
        <v>417.76545773216827</v>
      </c>
      <c r="J269" s="3" t="e">
        <v>#N/A</v>
      </c>
      <c r="K269" s="3" t="e">
        <v>#N/A</v>
      </c>
      <c r="L269" s="3"/>
      <c r="M269" s="3"/>
      <c r="N269" s="3"/>
      <c r="Q269" s="4" t="s">
        <v>99</v>
      </c>
      <c r="R269" s="2" t="s">
        <v>17</v>
      </c>
      <c r="S269" s="2">
        <f>I269*0.49</f>
        <v>204.70507428876246</v>
      </c>
    </row>
    <row r="270" spans="1:19" ht="14.25" customHeight="1">
      <c r="A270" s="2" t="s">
        <v>15</v>
      </c>
      <c r="B270" s="2">
        <v>1929</v>
      </c>
      <c r="C270" s="2" t="s">
        <v>19</v>
      </c>
      <c r="G270" s="3"/>
      <c r="H270" s="3">
        <v>419.84540743751268</v>
      </c>
      <c r="I270" s="3">
        <f t="shared" si="7"/>
        <v>423.12020161552527</v>
      </c>
      <c r="J270" s="3" t="e">
        <v>#N/A</v>
      </c>
      <c r="K270" s="3" t="e">
        <v>#N/A</v>
      </c>
      <c r="L270" s="3"/>
      <c r="M270" s="3"/>
      <c r="N270" s="3"/>
      <c r="Q270" s="4" t="s">
        <v>99</v>
      </c>
      <c r="R270" s="2" t="s">
        <v>17</v>
      </c>
      <c r="S270" s="2">
        <f>I270*0.49</f>
        <v>207.32889879160737</v>
      </c>
    </row>
    <row r="271" spans="1:19" ht="14.25" customHeight="1">
      <c r="A271" s="2" t="s">
        <v>15</v>
      </c>
      <c r="B271" s="2">
        <v>1930</v>
      </c>
      <c r="C271" s="2" t="s">
        <v>19</v>
      </c>
      <c r="G271" s="3"/>
      <c r="H271" s="3">
        <v>375.81274131274131</v>
      </c>
      <c r="I271" s="3">
        <f t="shared" si="7"/>
        <v>378.74408069498071</v>
      </c>
      <c r="J271" s="3">
        <v>313.49654541759804</v>
      </c>
      <c r="K271" s="3">
        <v>40.095255029465555</v>
      </c>
      <c r="L271" s="3"/>
      <c r="M271" s="3"/>
      <c r="N271" s="3"/>
      <c r="Q271" s="4" t="s">
        <v>99</v>
      </c>
      <c r="R271" s="2" t="s">
        <v>17</v>
      </c>
      <c r="S271" s="2">
        <f>I271*0.49</f>
        <v>185.58459954054055</v>
      </c>
    </row>
    <row r="272" spans="1:19" ht="14.25" customHeight="1">
      <c r="A272" s="2" t="s">
        <v>15</v>
      </c>
      <c r="B272" s="2">
        <v>1931</v>
      </c>
      <c r="C272" s="2" t="s">
        <v>19</v>
      </c>
      <c r="G272" s="3"/>
      <c r="H272" s="3">
        <v>280.71017069701281</v>
      </c>
      <c r="I272" s="3">
        <f t="shared" si="7"/>
        <v>282.89971002844953</v>
      </c>
      <c r="J272" s="3" t="e">
        <v>#N/A</v>
      </c>
      <c r="K272" s="3" t="e">
        <v>#N/A</v>
      </c>
      <c r="L272" s="3"/>
      <c r="M272" s="3"/>
      <c r="N272" s="3"/>
      <c r="Q272" s="4" t="s">
        <v>99</v>
      </c>
      <c r="R272" s="2" t="s">
        <v>17</v>
      </c>
      <c r="S272" s="2">
        <f>I272*0.49</f>
        <v>138.62085791394026</v>
      </c>
    </row>
    <row r="273" spans="1:19" ht="14.25" customHeight="1">
      <c r="A273" s="2" t="s">
        <v>15</v>
      </c>
      <c r="B273" s="2">
        <v>1932</v>
      </c>
      <c r="C273" s="2" t="s">
        <v>19</v>
      </c>
      <c r="G273" s="3"/>
      <c r="H273" s="3">
        <v>264.629394432026</v>
      </c>
      <c r="I273" s="3">
        <f t="shared" si="7"/>
        <v>266.69350370859581</v>
      </c>
      <c r="J273" s="3" t="e">
        <v>#N/A</v>
      </c>
      <c r="K273" s="3" t="e">
        <v>#N/A</v>
      </c>
      <c r="L273" s="3"/>
      <c r="M273" s="3"/>
      <c r="N273" s="3"/>
      <c r="Q273" s="4" t="s">
        <v>99</v>
      </c>
      <c r="R273" s="2" t="s">
        <v>17</v>
      </c>
      <c r="S273" s="2">
        <f>I273*0.49</f>
        <v>130.67981681721196</v>
      </c>
    </row>
    <row r="274" spans="1:19" ht="14.25" customHeight="1">
      <c r="A274" s="2" t="s">
        <v>15</v>
      </c>
      <c r="B274" s="2">
        <v>1933</v>
      </c>
      <c r="C274" s="2" t="s">
        <v>19</v>
      </c>
      <c r="G274" s="3"/>
      <c r="H274" s="3">
        <v>238.14829302987198</v>
      </c>
      <c r="I274" s="3">
        <f t="shared" si="7"/>
        <v>240.00584971550498</v>
      </c>
      <c r="J274" s="3" t="e">
        <v>#N/A</v>
      </c>
      <c r="K274" s="3" t="e">
        <v>#N/A</v>
      </c>
      <c r="L274" s="3"/>
      <c r="M274" s="3"/>
      <c r="N274" s="3"/>
      <c r="Q274" s="4" t="s">
        <v>99</v>
      </c>
      <c r="R274" s="2" t="s">
        <v>17</v>
      </c>
      <c r="S274" s="2">
        <f>I274*0.49</f>
        <v>117.60286636059743</v>
      </c>
    </row>
    <row r="275" spans="1:19" ht="14.25" customHeight="1">
      <c r="A275" s="2" t="s">
        <v>15</v>
      </c>
      <c r="B275" s="2">
        <v>1934</v>
      </c>
      <c r="C275" s="2" t="s">
        <v>19</v>
      </c>
      <c r="G275" s="3"/>
      <c r="H275" s="3">
        <v>243.18807153017679</v>
      </c>
      <c r="I275" s="3">
        <f t="shared" si="7"/>
        <v>245.08493848811216</v>
      </c>
      <c r="J275" s="3" t="e">
        <v>#N/A</v>
      </c>
      <c r="K275" s="3" t="e">
        <v>#N/A</v>
      </c>
      <c r="L275" s="3"/>
      <c r="M275" s="3"/>
      <c r="N275" s="3"/>
      <c r="Q275" s="4" t="s">
        <v>99</v>
      </c>
      <c r="R275" s="2" t="s">
        <v>17</v>
      </c>
      <c r="S275" s="2">
        <f>I275*0.49</f>
        <v>120.09161985917495</v>
      </c>
    </row>
    <row r="276" spans="1:19" ht="14.25" customHeight="1">
      <c r="A276" s="2" t="s">
        <v>15</v>
      </c>
      <c r="B276" s="2">
        <v>1935</v>
      </c>
      <c r="C276" s="2" t="s">
        <v>19</v>
      </c>
      <c r="G276" s="3"/>
      <c r="H276" s="3">
        <v>288.57117455801665</v>
      </c>
      <c r="I276" s="3">
        <f t="shared" si="7"/>
        <v>290.82202971956917</v>
      </c>
      <c r="J276" s="3">
        <v>195.26204023572444</v>
      </c>
      <c r="K276" s="3">
        <v>28.675218451534239</v>
      </c>
      <c r="L276" s="3"/>
      <c r="M276" s="3"/>
      <c r="N276" s="3"/>
      <c r="Q276" s="4" t="s">
        <v>99</v>
      </c>
      <c r="R276" s="2" t="s">
        <v>17</v>
      </c>
      <c r="S276" s="2">
        <f>I276*0.49</f>
        <v>142.50279456258889</v>
      </c>
    </row>
    <row r="277" spans="1:19" ht="14.25" customHeight="1">
      <c r="A277" s="2" t="s">
        <v>15</v>
      </c>
      <c r="B277" s="2">
        <v>1936</v>
      </c>
      <c r="C277" s="2" t="s">
        <v>19</v>
      </c>
      <c r="G277" s="3"/>
      <c r="H277" s="3">
        <v>282.35384068278807</v>
      </c>
      <c r="I277" s="3">
        <f t="shared" si="7"/>
        <v>284.55620064011384</v>
      </c>
      <c r="J277" s="3" t="e">
        <v>#N/A</v>
      </c>
      <c r="K277" s="3" t="e">
        <v>#N/A</v>
      </c>
      <c r="L277" s="3"/>
      <c r="M277" s="3"/>
      <c r="N277" s="3"/>
      <c r="Q277" s="4" t="s">
        <v>99</v>
      </c>
      <c r="R277" s="2" t="s">
        <v>17</v>
      </c>
      <c r="S277" s="2">
        <f>I277*0.49</f>
        <v>139.43253831365578</v>
      </c>
    </row>
    <row r="278" spans="1:19" ht="14.25" customHeight="1">
      <c r="A278" s="2" t="s">
        <v>15</v>
      </c>
      <c r="B278" s="2">
        <v>1937</v>
      </c>
      <c r="C278" s="2" t="s">
        <v>19</v>
      </c>
      <c r="G278" s="3"/>
      <c r="H278" s="3">
        <v>280.21103434261329</v>
      </c>
      <c r="I278" s="3">
        <f t="shared" si="7"/>
        <v>282.39668041048566</v>
      </c>
      <c r="J278" s="3" t="e">
        <v>#N/A</v>
      </c>
      <c r="K278" s="3" t="e">
        <v>#N/A</v>
      </c>
      <c r="L278" s="3"/>
      <c r="M278" s="3"/>
      <c r="N278" s="3"/>
      <c r="Q278" s="4" t="s">
        <v>99</v>
      </c>
      <c r="R278" s="2" t="s">
        <v>17</v>
      </c>
      <c r="S278" s="2">
        <f>I278*0.49</f>
        <v>138.37437340113797</v>
      </c>
    </row>
    <row r="279" spans="1:19" ht="14.25" customHeight="1">
      <c r="A279" s="2" t="s">
        <v>15</v>
      </c>
      <c r="B279" s="2">
        <v>1938</v>
      </c>
      <c r="C279" s="2" t="s">
        <v>19</v>
      </c>
      <c r="G279" s="3"/>
      <c r="H279" s="3">
        <v>273.68431213168054</v>
      </c>
      <c r="I279" s="3">
        <f t="shared" si="7"/>
        <v>275.81904976630767</v>
      </c>
      <c r="J279" s="3" t="e">
        <v>#N/A</v>
      </c>
      <c r="K279" s="3" t="e">
        <v>#N/A</v>
      </c>
      <c r="L279" s="3"/>
      <c r="M279" s="3"/>
      <c r="N279" s="3"/>
      <c r="Q279" s="4" t="s">
        <v>99</v>
      </c>
      <c r="R279" s="2" t="s">
        <v>17</v>
      </c>
      <c r="S279" s="2">
        <f>I279*0.49</f>
        <v>135.15133438549077</v>
      </c>
    </row>
    <row r="280" spans="1:19" ht="14.25" customHeight="1">
      <c r="A280" s="2" t="s">
        <v>15</v>
      </c>
      <c r="B280" s="2">
        <v>1939</v>
      </c>
      <c r="C280" s="2" t="s">
        <v>19</v>
      </c>
      <c r="G280" s="3"/>
      <c r="H280" s="3">
        <v>159.55131070920544</v>
      </c>
      <c r="I280" s="3">
        <f t="shared" si="7"/>
        <v>160.79581093273725</v>
      </c>
      <c r="J280" s="3" t="e">
        <v>#N/A</v>
      </c>
      <c r="K280" s="3" t="e">
        <v>#N/A</v>
      </c>
      <c r="L280" s="3"/>
      <c r="M280" s="3"/>
      <c r="N280" s="3"/>
      <c r="Q280" s="4" t="s">
        <v>100</v>
      </c>
      <c r="R280" s="2" t="s">
        <v>17</v>
      </c>
      <c r="S280" s="2">
        <f>I280*0.49</f>
        <v>78.789947357041257</v>
      </c>
    </row>
    <row r="281" spans="1:19" ht="14.25" customHeight="1">
      <c r="A281" s="2" t="s">
        <v>15</v>
      </c>
      <c r="B281" s="2">
        <v>1940</v>
      </c>
      <c r="C281" s="2" t="s">
        <v>19</v>
      </c>
      <c r="G281" s="3"/>
      <c r="H281" s="3">
        <v>68.061318837634616</v>
      </c>
      <c r="I281" s="3">
        <f t="shared" si="7"/>
        <v>68.592197124568173</v>
      </c>
      <c r="J281" s="3">
        <v>16.722718959561064</v>
      </c>
      <c r="K281" s="3">
        <v>14.909672830725462</v>
      </c>
      <c r="L281" s="3"/>
      <c r="M281" s="3"/>
      <c r="N281" s="3"/>
      <c r="Q281" s="4" t="s">
        <v>100</v>
      </c>
      <c r="R281" s="2" t="s">
        <v>17</v>
      </c>
      <c r="S281" s="2">
        <f>I281*0.49</f>
        <v>33.610176591038403</v>
      </c>
    </row>
    <row r="282" spans="1:19" ht="14.25" customHeight="1">
      <c r="A282" s="2" t="s">
        <v>15</v>
      </c>
      <c r="B282" s="2">
        <v>1941</v>
      </c>
      <c r="C282" s="2" t="s">
        <v>19</v>
      </c>
      <c r="G282" s="3"/>
      <c r="H282" s="3">
        <v>53.790489737858159</v>
      </c>
      <c r="I282" s="3">
        <f t="shared" si="7"/>
        <v>54.210055557813455</v>
      </c>
      <c r="J282" s="3" t="e">
        <v>#N/A</v>
      </c>
      <c r="K282" s="3" t="e">
        <v>#N/A</v>
      </c>
      <c r="L282" s="3"/>
      <c r="M282" s="3"/>
      <c r="N282" s="3"/>
      <c r="Q282" s="4" t="s">
        <v>100</v>
      </c>
      <c r="R282" s="2" t="s">
        <v>17</v>
      </c>
      <c r="S282" s="2">
        <f>I282*0.49</f>
        <v>26.562927223328593</v>
      </c>
    </row>
    <row r="283" spans="1:19" ht="14.25" customHeight="1">
      <c r="A283" s="2" t="s">
        <v>15</v>
      </c>
      <c r="B283" s="2">
        <v>1942</v>
      </c>
      <c r="C283" s="2" t="s">
        <v>19</v>
      </c>
      <c r="G283" s="3"/>
      <c r="H283" s="3">
        <v>69.358362121520017</v>
      </c>
      <c r="I283" s="3">
        <f t="shared" si="7"/>
        <v>69.899357346067873</v>
      </c>
      <c r="J283" s="3">
        <v>2.0524283682178419E-2</v>
      </c>
      <c r="K283" s="3">
        <v>27.841648039016459</v>
      </c>
      <c r="L283" s="3"/>
      <c r="M283" s="3"/>
      <c r="N283" s="3"/>
      <c r="Q283" s="4" t="s">
        <v>100</v>
      </c>
      <c r="R283" s="2" t="s">
        <v>17</v>
      </c>
      <c r="S283" s="2">
        <f>I283*0.49</f>
        <v>34.250685099573261</v>
      </c>
    </row>
    <row r="284" spans="1:19" ht="14.25" customHeight="1">
      <c r="A284" s="2" t="s">
        <v>15</v>
      </c>
      <c r="B284" s="2">
        <v>1943</v>
      </c>
      <c r="C284" s="2" t="s">
        <v>19</v>
      </c>
      <c r="G284" s="3"/>
      <c r="H284" s="3">
        <v>75.919172932330824</v>
      </c>
      <c r="I284" s="3">
        <f t="shared" si="7"/>
        <v>76.511342481203002</v>
      </c>
      <c r="J284" s="3" t="e">
        <v>#N/A</v>
      </c>
      <c r="K284" s="3" t="e">
        <v>#N/A</v>
      </c>
      <c r="L284" s="3"/>
      <c r="M284" s="3"/>
      <c r="N284" s="3"/>
      <c r="Q284" s="4" t="s">
        <v>100</v>
      </c>
      <c r="R284" s="2" t="s">
        <v>17</v>
      </c>
      <c r="S284" s="2">
        <f>I284*0.49</f>
        <v>37.490557815789472</v>
      </c>
    </row>
    <row r="285" spans="1:19" ht="14.25" customHeight="1">
      <c r="A285" s="2" t="s">
        <v>15</v>
      </c>
      <c r="B285" s="2">
        <v>1944</v>
      </c>
      <c r="C285" s="2" t="s">
        <v>19</v>
      </c>
      <c r="G285" s="3"/>
      <c r="H285" s="3">
        <v>77.985267222109329</v>
      </c>
      <c r="I285" s="3">
        <f t="shared" si="7"/>
        <v>78.593552306441779</v>
      </c>
      <c r="J285" s="3">
        <v>3.8102011786222315E-2</v>
      </c>
      <c r="K285" s="3">
        <v>15.350843324527533</v>
      </c>
      <c r="L285" s="3"/>
      <c r="M285" s="3"/>
      <c r="N285" s="3"/>
      <c r="Q285" s="4" t="s">
        <v>100</v>
      </c>
      <c r="R285" s="2" t="s">
        <v>17</v>
      </c>
      <c r="S285" s="2">
        <f>I285*0.49</f>
        <v>38.510840630156473</v>
      </c>
    </row>
    <row r="286" spans="1:19" ht="14.25" customHeight="1">
      <c r="A286" s="2" t="s">
        <v>15</v>
      </c>
      <c r="B286" s="2">
        <v>1945</v>
      </c>
      <c r="C286" s="2" t="s">
        <v>19</v>
      </c>
      <c r="G286" s="3"/>
      <c r="H286" s="3">
        <v>144.18456614509245</v>
      </c>
      <c r="I286" s="3">
        <f t="shared" si="7"/>
        <v>145.30920576102417</v>
      </c>
      <c r="J286" s="3" t="e">
        <v>#N/A</v>
      </c>
      <c r="K286" s="3" t="e">
        <v>#N/A</v>
      </c>
      <c r="L286" s="3"/>
      <c r="M286" s="3"/>
      <c r="N286" s="3"/>
      <c r="Q286" s="4" t="s">
        <v>100</v>
      </c>
      <c r="R286" s="2" t="s">
        <v>17</v>
      </c>
      <c r="S286" s="2">
        <f>I286*0.49</f>
        <v>71.201510822901838</v>
      </c>
    </row>
    <row r="287" spans="1:19" ht="14.25" customHeight="1">
      <c r="A287" s="2" t="s">
        <v>15</v>
      </c>
      <c r="B287" s="2">
        <v>1946</v>
      </c>
      <c r="C287" s="2" t="s">
        <v>19</v>
      </c>
      <c r="G287" s="3"/>
      <c r="H287" s="3">
        <v>202.45478561268033</v>
      </c>
      <c r="I287" s="3">
        <f t="shared" si="7"/>
        <v>204.03393294045924</v>
      </c>
      <c r="J287" s="3">
        <v>47.123755334281647</v>
      </c>
      <c r="K287" s="3">
        <v>25.757315586262955</v>
      </c>
      <c r="L287" s="3"/>
      <c r="M287" s="3"/>
      <c r="N287" s="3"/>
      <c r="Q287" s="4" t="s">
        <v>99</v>
      </c>
      <c r="R287" s="2" t="s">
        <v>17</v>
      </c>
      <c r="S287" s="2">
        <f>I287*0.49</f>
        <v>99.97662714082503</v>
      </c>
    </row>
    <row r="288" spans="1:19" ht="14.25" customHeight="1">
      <c r="A288" s="2" t="s">
        <v>15</v>
      </c>
      <c r="B288" s="2">
        <v>1947</v>
      </c>
      <c r="C288" s="2" t="s">
        <v>19</v>
      </c>
      <c r="G288" s="3"/>
      <c r="H288" s="3">
        <v>223.55923592765697</v>
      </c>
      <c r="I288" s="3">
        <f t="shared" si="7"/>
        <v>225.30299796789271</v>
      </c>
      <c r="J288" s="3" t="e">
        <v>#N/A</v>
      </c>
      <c r="K288" s="3" t="e">
        <v>#N/A</v>
      </c>
      <c r="L288" s="3"/>
      <c r="M288" s="3"/>
      <c r="N288" s="3"/>
      <c r="Q288" s="4" t="s">
        <v>99</v>
      </c>
      <c r="R288" s="2" t="s">
        <v>17</v>
      </c>
      <c r="S288" s="2">
        <f>I288*0.49</f>
        <v>110.39846900426743</v>
      </c>
    </row>
    <row r="289" spans="1:19" ht="14.25" customHeight="1">
      <c r="A289" s="2" t="s">
        <v>15</v>
      </c>
      <c r="B289" s="2">
        <v>1948</v>
      </c>
      <c r="C289" s="2" t="s">
        <v>19</v>
      </c>
      <c r="G289" s="3"/>
      <c r="H289" s="3">
        <v>267.77545214387322</v>
      </c>
      <c r="I289" s="3">
        <f t="shared" si="7"/>
        <v>269.86410067059546</v>
      </c>
      <c r="J289" s="3" t="e">
        <v>#N/A</v>
      </c>
      <c r="K289" s="3" t="e">
        <v>#N/A</v>
      </c>
      <c r="L289" s="3"/>
      <c r="M289" s="3"/>
      <c r="N289" s="3"/>
      <c r="Q289" s="4" t="s">
        <v>99</v>
      </c>
      <c r="R289" s="2" t="s">
        <v>17</v>
      </c>
      <c r="S289" s="2">
        <f>I289*0.49</f>
        <v>132.23340932859176</v>
      </c>
    </row>
    <row r="290" spans="1:19" ht="14.25" customHeight="1">
      <c r="A290" s="2" t="s">
        <v>15</v>
      </c>
      <c r="B290" s="2">
        <v>1949</v>
      </c>
      <c r="C290" s="2" t="s">
        <v>19</v>
      </c>
      <c r="G290" s="3"/>
      <c r="H290" s="3">
        <v>204.51915261125785</v>
      </c>
      <c r="I290" s="3">
        <f t="shared" si="7"/>
        <v>206.11440200162568</v>
      </c>
      <c r="J290" s="3" t="e">
        <v>#N/A</v>
      </c>
      <c r="K290" s="3" t="e">
        <v>#N/A</v>
      </c>
      <c r="L290" s="3"/>
      <c r="M290" s="3"/>
      <c r="N290" s="3"/>
      <c r="Q290" s="4" t="s">
        <v>99</v>
      </c>
      <c r="R290" s="2" t="s">
        <v>17</v>
      </c>
      <c r="S290" s="2">
        <f>I290*0.49</f>
        <v>100.99605698079658</v>
      </c>
    </row>
    <row r="291" spans="1:19" ht="14.25" customHeight="1">
      <c r="A291" s="2" t="s">
        <v>15</v>
      </c>
      <c r="B291" s="2">
        <v>1950</v>
      </c>
      <c r="C291" s="2" t="s">
        <v>19</v>
      </c>
      <c r="G291" s="3"/>
      <c r="H291" s="3">
        <v>179.13604958341801</v>
      </c>
      <c r="I291" s="3">
        <f t="shared" si="7"/>
        <v>180.53331077016867</v>
      </c>
      <c r="J291" s="3">
        <v>51.110699044909566</v>
      </c>
      <c r="K291" s="3">
        <v>13.115728510465351</v>
      </c>
      <c r="L291" s="3"/>
      <c r="M291" s="3"/>
      <c r="N291" s="3"/>
      <c r="Q291" s="4" t="s">
        <v>99</v>
      </c>
      <c r="R291" s="2" t="s">
        <v>17</v>
      </c>
      <c r="S291" s="2">
        <f>I291*0.49</f>
        <v>88.461322277382649</v>
      </c>
    </row>
    <row r="292" spans="1:19" ht="14.25" customHeight="1">
      <c r="A292" s="2" t="s">
        <v>15</v>
      </c>
      <c r="B292" s="2">
        <v>1951</v>
      </c>
      <c r="C292" s="2" t="s">
        <v>19</v>
      </c>
      <c r="G292" s="3"/>
      <c r="H292" s="3">
        <v>166.78515545620806</v>
      </c>
      <c r="I292" s="3">
        <f t="shared" si="7"/>
        <v>168.08607966876647</v>
      </c>
      <c r="J292" s="3" t="e">
        <v>#N/A</v>
      </c>
      <c r="K292" s="3" t="e">
        <v>#N/A</v>
      </c>
      <c r="L292" s="3"/>
      <c r="M292" s="3"/>
      <c r="N292" s="3"/>
      <c r="Q292" s="4" t="s">
        <v>99</v>
      </c>
      <c r="R292" s="2" t="s">
        <v>17</v>
      </c>
      <c r="S292" s="2">
        <f>I292*0.49</f>
        <v>82.362179037695569</v>
      </c>
    </row>
    <row r="293" spans="1:19" ht="14.25" customHeight="1">
      <c r="A293" s="2" t="s">
        <v>15</v>
      </c>
      <c r="B293" s="2">
        <v>1952</v>
      </c>
      <c r="C293" s="2" t="s">
        <v>19</v>
      </c>
      <c r="G293" s="3"/>
      <c r="H293" s="3">
        <v>209.27885592359274</v>
      </c>
      <c r="I293" s="3">
        <f t="shared" si="7"/>
        <v>210.91123099979677</v>
      </c>
      <c r="J293" s="3" t="e">
        <v>#N/A</v>
      </c>
      <c r="K293" s="3" t="e">
        <v>#N/A</v>
      </c>
      <c r="L293" s="3"/>
      <c r="M293" s="3"/>
      <c r="N293" s="3"/>
      <c r="Q293" s="4" t="s">
        <v>99</v>
      </c>
      <c r="R293" s="2" t="s">
        <v>17</v>
      </c>
      <c r="S293" s="2">
        <f>I293*0.49</f>
        <v>103.34650318990042</v>
      </c>
    </row>
    <row r="294" spans="1:19" ht="14.25" customHeight="1">
      <c r="A294" s="2" t="s">
        <v>15</v>
      </c>
      <c r="B294" s="2">
        <v>1953</v>
      </c>
      <c r="C294" s="2" t="s">
        <v>19</v>
      </c>
      <c r="G294" s="3"/>
      <c r="H294" s="3">
        <v>225.67399918715708</v>
      </c>
      <c r="I294" s="3">
        <f t="shared" si="7"/>
        <v>227.43425638081692</v>
      </c>
      <c r="J294" s="3" t="e">
        <v>#N/A</v>
      </c>
      <c r="K294" s="3" t="e">
        <v>#N/A</v>
      </c>
      <c r="L294" s="3"/>
      <c r="M294" s="3"/>
      <c r="N294" s="3"/>
      <c r="Q294" s="4" t="s">
        <v>99</v>
      </c>
      <c r="R294" s="2" t="s">
        <v>17</v>
      </c>
      <c r="S294" s="2">
        <f>I294*0.49</f>
        <v>111.44278562660028</v>
      </c>
    </row>
    <row r="295" spans="1:19" ht="14.25" customHeight="1">
      <c r="A295" s="2" t="s">
        <v>15</v>
      </c>
      <c r="B295" s="2">
        <v>1954</v>
      </c>
      <c r="C295" s="2" t="s">
        <v>19</v>
      </c>
      <c r="G295" s="3"/>
      <c r="H295" s="3">
        <v>195.53612070717332</v>
      </c>
      <c r="I295" s="3">
        <f t="shared" si="7"/>
        <v>197.06130244868928</v>
      </c>
      <c r="J295" s="3" t="e">
        <v>#N/A</v>
      </c>
      <c r="K295" s="3" t="e">
        <v>#N/A</v>
      </c>
      <c r="L295" s="3"/>
      <c r="M295" s="3"/>
      <c r="N295" s="3"/>
      <c r="Q295" s="4" t="s">
        <v>99</v>
      </c>
      <c r="R295" s="2" t="s">
        <v>17</v>
      </c>
      <c r="S295" s="2">
        <f>I295*0.49</f>
        <v>96.560038199857743</v>
      </c>
    </row>
    <row r="296" spans="1:19" ht="14.25" customHeight="1">
      <c r="A296" s="2" t="s">
        <v>15</v>
      </c>
      <c r="B296" s="2">
        <v>1955</v>
      </c>
      <c r="C296" s="2" t="s">
        <v>19</v>
      </c>
      <c r="G296" s="3"/>
      <c r="H296" s="3">
        <v>163.40601503759399</v>
      </c>
      <c r="I296" s="3">
        <f t="shared" si="7"/>
        <v>164.68058195488723</v>
      </c>
      <c r="J296" s="3">
        <v>23.738213777687463</v>
      </c>
      <c r="K296" s="3">
        <v>19.909164803901643</v>
      </c>
      <c r="L296" s="3"/>
      <c r="M296" s="3"/>
      <c r="N296" s="3"/>
      <c r="Q296" s="4" t="s">
        <v>99</v>
      </c>
      <c r="R296" s="2" t="s">
        <v>17</v>
      </c>
      <c r="S296" s="2">
        <f>I296*0.49</f>
        <v>80.693485157894742</v>
      </c>
    </row>
    <row r="297" spans="1:19" ht="14.25" customHeight="1">
      <c r="A297" s="2" t="s">
        <v>15</v>
      </c>
      <c r="B297" s="2">
        <v>1956</v>
      </c>
      <c r="C297" s="2" t="s">
        <v>19</v>
      </c>
      <c r="G297" s="3"/>
      <c r="H297" s="3">
        <v>137.37045315992683</v>
      </c>
      <c r="I297" s="3">
        <f t="shared" ref="I297:I383" si="8">H297</f>
        <v>137.37045315992683</v>
      </c>
      <c r="J297" s="3" t="e">
        <v>#N/A</v>
      </c>
      <c r="K297" s="3" t="e">
        <v>#N/A</v>
      </c>
      <c r="L297" s="3"/>
      <c r="M297" s="3"/>
      <c r="N297" s="3"/>
      <c r="Q297" s="4" t="s">
        <v>99</v>
      </c>
      <c r="R297" s="2" t="s">
        <v>17</v>
      </c>
      <c r="S297" s="2">
        <f>I297*0.49</f>
        <v>67.311522048364139</v>
      </c>
    </row>
    <row r="298" spans="1:19" ht="14.25" customHeight="1">
      <c r="A298" s="2" t="s">
        <v>15</v>
      </c>
      <c r="B298" s="2">
        <v>1957</v>
      </c>
      <c r="C298" s="2" t="s">
        <v>19</v>
      </c>
      <c r="G298" s="3"/>
      <c r="H298" s="3">
        <v>121.62162162162161</v>
      </c>
      <c r="I298" s="3">
        <f t="shared" si="8"/>
        <v>121.62162162162161</v>
      </c>
      <c r="J298" s="3" t="e">
        <v>#N/A</v>
      </c>
      <c r="K298" s="3" t="e">
        <v>#N/A</v>
      </c>
      <c r="L298" s="3"/>
      <c r="M298" s="3"/>
      <c r="N298" s="3"/>
      <c r="Q298" s="4" t="s">
        <v>99</v>
      </c>
      <c r="R298" s="2" t="s">
        <v>17</v>
      </c>
      <c r="S298" s="2">
        <f>I298*0.49</f>
        <v>59.594594594594589</v>
      </c>
    </row>
    <row r="299" spans="1:19" ht="14.25" customHeight="1">
      <c r="A299" s="2" t="s">
        <v>15</v>
      </c>
      <c r="B299" s="2">
        <v>1958</v>
      </c>
      <c r="C299" s="2" t="s">
        <v>19</v>
      </c>
      <c r="G299" s="3"/>
      <c r="H299" s="3">
        <v>112.78195488721805</v>
      </c>
      <c r="I299" s="3">
        <f t="shared" si="8"/>
        <v>112.78195488721805</v>
      </c>
      <c r="J299" s="3" t="e">
        <v>#N/A</v>
      </c>
      <c r="K299" s="3" t="e">
        <v>#N/A</v>
      </c>
      <c r="L299" s="3"/>
      <c r="M299" s="3"/>
      <c r="N299" s="3"/>
      <c r="Q299" s="4" t="s">
        <v>99</v>
      </c>
      <c r="R299" s="2" t="s">
        <v>17</v>
      </c>
      <c r="S299" s="2">
        <f>I299*0.49</f>
        <v>55.263157894736842</v>
      </c>
    </row>
    <row r="300" spans="1:19" ht="14.25" customHeight="1">
      <c r="A300" s="2" t="s">
        <v>15</v>
      </c>
      <c r="B300" s="2">
        <v>1959</v>
      </c>
      <c r="C300" s="2" t="s">
        <v>19</v>
      </c>
      <c r="G300" s="3"/>
      <c r="H300" s="3">
        <v>138.89453363137574</v>
      </c>
      <c r="I300" s="3">
        <f t="shared" si="8"/>
        <v>138.89453363137574</v>
      </c>
      <c r="J300" s="3" t="e">
        <v>#N/A</v>
      </c>
      <c r="K300" s="3" t="e">
        <v>#N/A</v>
      </c>
      <c r="L300" s="3"/>
      <c r="M300" s="3"/>
      <c r="N300" s="3"/>
      <c r="Q300" s="4" t="s">
        <v>99</v>
      </c>
      <c r="R300" s="2" t="s">
        <v>17</v>
      </c>
      <c r="S300" s="2">
        <f>I300*0.49</f>
        <v>68.058321479374115</v>
      </c>
    </row>
    <row r="301" spans="1:19" ht="14.25" customHeight="1">
      <c r="A301" s="2" t="s">
        <v>15</v>
      </c>
      <c r="B301" s="2">
        <v>1960</v>
      </c>
      <c r="C301" s="2" t="s">
        <v>19</v>
      </c>
      <c r="G301" s="3"/>
      <c r="H301" s="3">
        <v>111.00386100386099</v>
      </c>
      <c r="I301" s="3">
        <f t="shared" si="8"/>
        <v>111.00386100386099</v>
      </c>
      <c r="J301" s="3">
        <v>23.866642958748219</v>
      </c>
      <c r="K301" s="3">
        <v>16.028449502133711</v>
      </c>
      <c r="L301" s="3"/>
      <c r="M301" s="3"/>
      <c r="N301" s="3"/>
      <c r="Q301" s="4" t="s">
        <v>99</v>
      </c>
      <c r="R301" s="2" t="s">
        <v>17</v>
      </c>
      <c r="S301" s="2">
        <f>I301*0.49</f>
        <v>54.391891891891888</v>
      </c>
    </row>
    <row r="302" spans="1:19" ht="14.25" customHeight="1">
      <c r="A302" s="2" t="s">
        <v>15</v>
      </c>
      <c r="B302" s="2">
        <v>1961</v>
      </c>
      <c r="C302" s="2" t="s">
        <v>19</v>
      </c>
      <c r="G302" s="3"/>
      <c r="H302" s="3">
        <v>90.530380004064213</v>
      </c>
      <c r="I302" s="3">
        <f t="shared" si="8"/>
        <v>90.530380004064213</v>
      </c>
      <c r="J302" s="3" t="e">
        <v>#N/A</v>
      </c>
      <c r="K302" s="3" t="e">
        <v>#N/A</v>
      </c>
      <c r="L302" s="3"/>
      <c r="M302" s="3"/>
      <c r="N302" s="3"/>
      <c r="Q302" s="4" t="s">
        <v>99</v>
      </c>
      <c r="R302" s="2" t="s">
        <v>17</v>
      </c>
      <c r="S302" s="2">
        <f>I302*0.49</f>
        <v>44.359886201991465</v>
      </c>
    </row>
    <row r="303" spans="1:19" ht="14.25" customHeight="1">
      <c r="A303" s="2" t="s">
        <v>15</v>
      </c>
      <c r="B303" s="2">
        <v>1962</v>
      </c>
      <c r="C303" s="2" t="s">
        <v>19</v>
      </c>
      <c r="G303" s="3"/>
      <c r="H303" s="3">
        <v>91.089209510262137</v>
      </c>
      <c r="I303" s="3">
        <f t="shared" si="8"/>
        <v>91.089209510262137</v>
      </c>
      <c r="J303" s="3" t="e">
        <v>#N/A</v>
      </c>
      <c r="K303" s="3" t="e">
        <v>#N/A</v>
      </c>
      <c r="L303" s="3"/>
      <c r="M303" s="3"/>
      <c r="N303" s="3"/>
      <c r="Q303" s="4" t="s">
        <v>99</v>
      </c>
      <c r="R303" s="2" t="s">
        <v>17</v>
      </c>
      <c r="S303" s="2">
        <f>I303*0.49</f>
        <v>44.633712660028444</v>
      </c>
    </row>
    <row r="304" spans="1:19" ht="14.25" customHeight="1">
      <c r="A304" s="2" t="s">
        <v>15</v>
      </c>
      <c r="B304" s="2">
        <v>1963</v>
      </c>
      <c r="C304" s="2" t="s">
        <v>19</v>
      </c>
      <c r="G304" s="3"/>
      <c r="H304" s="3">
        <v>106.43161958951431</v>
      </c>
      <c r="I304" s="3">
        <f t="shared" si="8"/>
        <v>106.43161958951431</v>
      </c>
      <c r="J304" s="3" t="e">
        <v>#N/A</v>
      </c>
      <c r="K304" s="3" t="e">
        <v>#N/A</v>
      </c>
      <c r="L304" s="3"/>
      <c r="M304" s="3"/>
      <c r="N304" s="3"/>
      <c r="Q304" s="4" t="s">
        <v>99</v>
      </c>
      <c r="R304" s="2" t="s">
        <v>17</v>
      </c>
      <c r="S304" s="2">
        <f>I304*0.49</f>
        <v>52.151493598862011</v>
      </c>
    </row>
    <row r="305" spans="1:19" ht="14.25" customHeight="1">
      <c r="A305" s="2" t="s">
        <v>15</v>
      </c>
      <c r="B305" s="2">
        <v>1964</v>
      </c>
      <c r="C305" s="2" t="s">
        <v>19</v>
      </c>
      <c r="G305" s="3"/>
      <c r="H305" s="3">
        <v>99.471652103231037</v>
      </c>
      <c r="I305" s="3">
        <f t="shared" si="8"/>
        <v>99.471652103231037</v>
      </c>
      <c r="J305" s="3" t="e">
        <v>#N/A</v>
      </c>
      <c r="K305" s="3" t="e">
        <v>#N/A</v>
      </c>
      <c r="L305" s="3"/>
      <c r="M305" s="3"/>
      <c r="N305" s="3"/>
      <c r="Q305" s="4" t="s">
        <v>99</v>
      </c>
      <c r="R305" s="2" t="s">
        <v>17</v>
      </c>
      <c r="S305" s="2">
        <f>I305*0.49</f>
        <v>48.741109530583209</v>
      </c>
    </row>
    <row r="306" spans="1:19" ht="14.25" customHeight="1">
      <c r="A306" s="2" t="s">
        <v>15</v>
      </c>
      <c r="B306" s="2">
        <v>1965</v>
      </c>
      <c r="C306" s="2" t="s">
        <v>19</v>
      </c>
      <c r="G306" s="3"/>
      <c r="H306" s="3">
        <v>99.674862832757569</v>
      </c>
      <c r="I306" s="3">
        <f t="shared" si="8"/>
        <v>99.674862832757569</v>
      </c>
      <c r="J306" s="3" t="e">
        <v>#N/A</v>
      </c>
      <c r="K306" s="3">
        <v>6.1471245681771993</v>
      </c>
      <c r="L306" s="3"/>
      <c r="M306" s="3"/>
      <c r="N306" s="3"/>
      <c r="Q306" s="4" t="s">
        <v>99</v>
      </c>
      <c r="R306" s="2" t="s">
        <v>17</v>
      </c>
      <c r="S306" s="2">
        <f>I306*0.49</f>
        <v>48.840682788051211</v>
      </c>
    </row>
    <row r="307" spans="1:19" ht="14.25" customHeight="1">
      <c r="A307" s="2" t="s">
        <v>15</v>
      </c>
      <c r="B307" s="2">
        <v>1966</v>
      </c>
      <c r="C307" s="2" t="s">
        <v>19</v>
      </c>
      <c r="G307" s="3"/>
      <c r="H307" s="3">
        <v>115.37289168868115</v>
      </c>
      <c r="I307" s="3">
        <f t="shared" si="8"/>
        <v>115.37289168868115</v>
      </c>
      <c r="J307" s="3" t="e">
        <v>#N/A</v>
      </c>
      <c r="K307" s="3">
        <v>7.9760211339158706</v>
      </c>
      <c r="L307" s="3"/>
      <c r="M307" s="3"/>
      <c r="N307" s="3"/>
      <c r="Q307" s="4" t="s">
        <v>99</v>
      </c>
      <c r="R307" s="2" t="s">
        <v>17</v>
      </c>
      <c r="S307" s="2">
        <f>I307*0.49</f>
        <v>56.532716927453762</v>
      </c>
    </row>
    <row r="308" spans="1:19" ht="14.25" customHeight="1">
      <c r="A308" s="2" t="s">
        <v>15</v>
      </c>
      <c r="B308" s="2">
        <v>1967</v>
      </c>
      <c r="C308" s="2" t="s">
        <v>19</v>
      </c>
      <c r="G308" s="3"/>
      <c r="H308" s="3">
        <v>102.1133915870758</v>
      </c>
      <c r="I308" s="3">
        <f t="shared" si="8"/>
        <v>102.1133915870758</v>
      </c>
      <c r="J308" s="3" t="e">
        <v>#N/A</v>
      </c>
      <c r="K308" s="3">
        <v>13.513513513513512</v>
      </c>
      <c r="L308" s="3"/>
      <c r="M308" s="3"/>
      <c r="N308" s="3"/>
      <c r="Q308" s="4" t="s">
        <v>99</v>
      </c>
      <c r="R308" s="2" t="s">
        <v>17</v>
      </c>
      <c r="S308" s="2">
        <f>I308*0.49</f>
        <v>50.035561877667142</v>
      </c>
    </row>
    <row r="309" spans="1:19" ht="14.25" customHeight="1">
      <c r="A309" s="2" t="s">
        <v>15</v>
      </c>
      <c r="B309" s="2">
        <v>1968</v>
      </c>
      <c r="C309" s="2" t="s">
        <v>19</v>
      </c>
      <c r="G309" s="3"/>
      <c r="H309" s="3">
        <v>94.543791912212953</v>
      </c>
      <c r="I309" s="3">
        <f t="shared" si="8"/>
        <v>94.543791912212953</v>
      </c>
      <c r="J309" s="3" t="e">
        <v>#N/A</v>
      </c>
      <c r="K309" s="3">
        <v>22.861207071733386</v>
      </c>
      <c r="L309" s="3"/>
      <c r="M309" s="3"/>
      <c r="N309" s="3"/>
      <c r="Q309" s="4" t="s">
        <v>99</v>
      </c>
      <c r="R309" s="2" t="s">
        <v>17</v>
      </c>
      <c r="S309" s="2">
        <f>I309*0.49</f>
        <v>46.326458036984349</v>
      </c>
    </row>
    <row r="310" spans="1:19" ht="14.25" customHeight="1">
      <c r="A310" s="2" t="s">
        <v>15</v>
      </c>
      <c r="B310" s="2">
        <v>1969</v>
      </c>
      <c r="C310" s="2" t="s">
        <v>19</v>
      </c>
      <c r="G310" s="3"/>
      <c r="H310" s="3">
        <v>123.70453159926844</v>
      </c>
      <c r="I310" s="3">
        <f t="shared" si="8"/>
        <v>123.70453159926844</v>
      </c>
      <c r="J310" s="3" t="e">
        <v>#N/A</v>
      </c>
      <c r="K310" s="3">
        <v>15.850436903068481</v>
      </c>
      <c r="L310" s="3"/>
      <c r="M310" s="3"/>
      <c r="N310" s="3"/>
      <c r="Q310" s="4" t="s">
        <v>99</v>
      </c>
      <c r="R310" s="2" t="s">
        <v>17</v>
      </c>
      <c r="S310" s="2">
        <f>I310*0.49</f>
        <v>60.615220483641529</v>
      </c>
    </row>
    <row r="311" spans="1:19" ht="14.25" customHeight="1">
      <c r="A311" s="2" t="s">
        <v>15</v>
      </c>
      <c r="B311" s="2">
        <v>1970</v>
      </c>
      <c r="C311" s="2" t="s">
        <v>19</v>
      </c>
      <c r="G311" s="3"/>
      <c r="H311" s="3">
        <v>145.60048770575085</v>
      </c>
      <c r="I311" s="3">
        <f t="shared" si="8"/>
        <v>145.60048770575085</v>
      </c>
      <c r="J311" s="3" t="e">
        <v>#N/A</v>
      </c>
      <c r="K311" s="3">
        <v>10.719365982523877</v>
      </c>
      <c r="L311" s="3"/>
      <c r="M311" s="3"/>
      <c r="N311" s="3"/>
      <c r="Q311" s="4" t="s">
        <v>99</v>
      </c>
      <c r="R311" s="2" t="s">
        <v>17</v>
      </c>
      <c r="S311" s="2">
        <f>I311*0.49</f>
        <v>71.344238975817916</v>
      </c>
    </row>
    <row r="312" spans="1:19" ht="14.25" customHeight="1">
      <c r="A312" s="2" t="s">
        <v>15</v>
      </c>
      <c r="B312" s="2">
        <v>1971</v>
      </c>
      <c r="C312" s="2" t="s">
        <v>19</v>
      </c>
      <c r="G312" s="3"/>
      <c r="H312" s="3">
        <v>146.46413330623855</v>
      </c>
      <c r="I312" s="3">
        <f t="shared" si="8"/>
        <v>146.46413330623855</v>
      </c>
      <c r="J312" s="3" t="e">
        <v>#N/A</v>
      </c>
      <c r="K312" s="3">
        <v>8.1284291810607598</v>
      </c>
      <c r="L312" s="3"/>
      <c r="M312" s="3"/>
      <c r="N312" s="3"/>
      <c r="Q312" s="4" t="s">
        <v>99</v>
      </c>
      <c r="R312" s="2" t="s">
        <v>17</v>
      </c>
      <c r="S312" s="2">
        <f>I312*0.49</f>
        <v>71.767425320056887</v>
      </c>
    </row>
    <row r="313" spans="1:19" ht="14.25" customHeight="1">
      <c r="A313" s="2" t="s">
        <v>15</v>
      </c>
      <c r="B313" s="2">
        <v>1972</v>
      </c>
      <c r="C313" s="2" t="s">
        <v>19</v>
      </c>
      <c r="G313" s="3"/>
      <c r="H313" s="3">
        <v>149.71550497866286</v>
      </c>
      <c r="I313" s="3">
        <f t="shared" si="8"/>
        <v>149.71550497866286</v>
      </c>
      <c r="J313" s="3" t="e">
        <v>#N/A</v>
      </c>
      <c r="K313" s="3">
        <v>12.751473277789067</v>
      </c>
      <c r="L313" s="3"/>
      <c r="M313" s="3"/>
      <c r="N313" s="3"/>
      <c r="Q313" s="4" t="s">
        <v>99</v>
      </c>
      <c r="R313" s="2" t="s">
        <v>17</v>
      </c>
      <c r="S313" s="2">
        <f>I313*0.49</f>
        <v>73.360597439544804</v>
      </c>
    </row>
    <row r="314" spans="1:19" ht="14.25" customHeight="1">
      <c r="A314" s="2" t="s">
        <v>15</v>
      </c>
      <c r="B314" s="2">
        <v>1973</v>
      </c>
      <c r="C314" s="2" t="s">
        <v>19</v>
      </c>
      <c r="G314" s="3"/>
      <c r="H314" s="3">
        <v>156.82788051209104</v>
      </c>
      <c r="I314" s="3">
        <f t="shared" si="8"/>
        <v>156.82788051209104</v>
      </c>
      <c r="J314" s="3" t="e">
        <v>#N/A</v>
      </c>
      <c r="K314" s="3">
        <v>13.361105466368624</v>
      </c>
      <c r="L314" s="3"/>
      <c r="M314" s="3"/>
      <c r="N314" s="3"/>
      <c r="Q314" s="4" t="s">
        <v>99</v>
      </c>
      <c r="R314" s="2" t="s">
        <v>17</v>
      </c>
      <c r="S314" s="2">
        <f>I314*0.49</f>
        <v>76.845661450924609</v>
      </c>
    </row>
    <row r="315" spans="1:19" ht="14.25" customHeight="1">
      <c r="A315" s="2" t="s">
        <v>15</v>
      </c>
      <c r="B315" s="2">
        <v>1974</v>
      </c>
      <c r="C315" s="2" t="s">
        <v>19</v>
      </c>
      <c r="G315" s="3"/>
      <c r="H315" s="3">
        <v>149.2582808372282</v>
      </c>
      <c r="I315" s="3">
        <f t="shared" si="8"/>
        <v>149.2582808372282</v>
      </c>
      <c r="J315" s="3" t="e">
        <v>#N/A</v>
      </c>
      <c r="K315" s="3">
        <v>11.532208900629954</v>
      </c>
      <c r="L315" s="3"/>
      <c r="M315" s="3"/>
      <c r="N315" s="3"/>
      <c r="Q315" s="4" t="s">
        <v>99</v>
      </c>
      <c r="R315" s="2" t="s">
        <v>17</v>
      </c>
      <c r="S315" s="2">
        <f>I315*0.49</f>
        <v>73.136557610241823</v>
      </c>
    </row>
    <row r="316" spans="1:19" ht="14.25" customHeight="1">
      <c r="A316" s="2" t="s">
        <v>15</v>
      </c>
      <c r="B316" s="2">
        <v>1975</v>
      </c>
      <c r="C316" s="2" t="s">
        <v>19</v>
      </c>
      <c r="G316" s="3"/>
      <c r="H316" s="3">
        <v>112.837</v>
      </c>
      <c r="I316" s="3">
        <f t="shared" si="8"/>
        <v>112.837</v>
      </c>
      <c r="J316" s="3" t="e">
        <v>#N/A</v>
      </c>
      <c r="K316" s="3">
        <v>4.0170000000000003</v>
      </c>
      <c r="L316" s="3"/>
      <c r="M316" s="3"/>
      <c r="N316" s="3"/>
      <c r="Q316" s="4" t="s">
        <v>99</v>
      </c>
      <c r="R316" s="2" t="s">
        <v>17</v>
      </c>
      <c r="S316" s="2">
        <f>I316*0.49</f>
        <v>55.290129999999998</v>
      </c>
    </row>
    <row r="317" spans="1:19" ht="14.25" customHeight="1">
      <c r="A317" s="2" t="s">
        <v>15</v>
      </c>
      <c r="B317" s="2">
        <v>1976</v>
      </c>
      <c r="C317" s="2" t="s">
        <v>19</v>
      </c>
      <c r="G317" s="3"/>
      <c r="H317" s="3">
        <v>91.012</v>
      </c>
      <c r="I317" s="3">
        <f t="shared" si="8"/>
        <v>91.012</v>
      </c>
      <c r="J317" s="3" t="e">
        <v>#N/A</v>
      </c>
      <c r="K317" s="3">
        <v>2.1640000000000001</v>
      </c>
      <c r="L317" s="3"/>
      <c r="M317" s="3"/>
      <c r="N317" s="3"/>
      <c r="Q317" s="4" t="s">
        <v>101</v>
      </c>
      <c r="R317" s="2" t="s">
        <v>17</v>
      </c>
      <c r="S317" s="2">
        <f>I317*0.49</f>
        <v>44.595880000000001</v>
      </c>
    </row>
    <row r="318" spans="1:19" ht="14.25" customHeight="1">
      <c r="A318" s="2" t="s">
        <v>15</v>
      </c>
      <c r="B318" s="2">
        <v>1977</v>
      </c>
      <c r="C318" s="2" t="s">
        <v>19</v>
      </c>
      <c r="G318" s="3"/>
      <c r="H318" s="3">
        <v>43.048999999999999</v>
      </c>
      <c r="I318" s="3">
        <f t="shared" si="8"/>
        <v>43.048999999999999</v>
      </c>
      <c r="J318" s="3" t="e">
        <v>#N/A</v>
      </c>
      <c r="K318" s="3">
        <v>4.5510000000000002</v>
      </c>
      <c r="L318" s="3"/>
      <c r="M318" s="3"/>
      <c r="N318" s="3"/>
      <c r="Q318" s="4" t="s">
        <v>101</v>
      </c>
      <c r="R318" s="2" t="s">
        <v>17</v>
      </c>
      <c r="S318" s="2">
        <f>I318*0.49</f>
        <v>21.094010000000001</v>
      </c>
    </row>
    <row r="319" spans="1:19" ht="14.25" customHeight="1">
      <c r="A319" s="2" t="s">
        <v>15</v>
      </c>
      <c r="B319" s="2">
        <v>1978</v>
      </c>
      <c r="C319" s="2" t="s">
        <v>19</v>
      </c>
      <c r="G319" s="3"/>
      <c r="H319" s="3">
        <v>15.968999999999999</v>
      </c>
      <c r="I319" s="3">
        <f t="shared" si="8"/>
        <v>15.968999999999999</v>
      </c>
      <c r="J319" s="3" t="e">
        <v>#N/A</v>
      </c>
      <c r="K319" s="3">
        <v>11.499000000000001</v>
      </c>
      <c r="L319" s="3"/>
      <c r="M319" s="3"/>
      <c r="N319" s="3"/>
      <c r="Q319" s="4" t="s">
        <v>101</v>
      </c>
      <c r="R319" s="2" t="s">
        <v>17</v>
      </c>
      <c r="S319" s="2">
        <f>I319*0.49</f>
        <v>7.8248099999999994</v>
      </c>
    </row>
    <row r="320" spans="1:19" ht="14.25" customHeight="1">
      <c r="A320" s="2" t="s">
        <v>15</v>
      </c>
      <c r="B320" s="2">
        <v>1979</v>
      </c>
      <c r="C320" s="2" t="s">
        <v>19</v>
      </c>
      <c r="G320" s="3"/>
      <c r="H320" s="3">
        <v>4.5869999999999997</v>
      </c>
      <c r="I320" s="3">
        <f t="shared" si="8"/>
        <v>4.5869999999999997</v>
      </c>
      <c r="J320" s="3" t="e">
        <v>#N/A</v>
      </c>
      <c r="K320" s="3">
        <v>13.754</v>
      </c>
      <c r="L320" s="3"/>
      <c r="M320" s="3"/>
      <c r="N320" s="3"/>
      <c r="Q320" s="4" t="s">
        <v>101</v>
      </c>
      <c r="R320" s="2" t="s">
        <v>17</v>
      </c>
      <c r="S320" s="2">
        <f>I320*0.49</f>
        <v>2.24763</v>
      </c>
    </row>
    <row r="321" spans="1:19" ht="14.25" customHeight="1">
      <c r="A321" s="2" t="s">
        <v>15</v>
      </c>
      <c r="B321" s="2">
        <v>1980</v>
      </c>
      <c r="C321" s="2" t="s">
        <v>19</v>
      </c>
      <c r="G321" s="3"/>
      <c r="H321" s="3">
        <v>5.5659999999999998</v>
      </c>
      <c r="I321" s="3">
        <f t="shared" si="8"/>
        <v>5.5659999999999998</v>
      </c>
      <c r="J321" s="3" t="e">
        <v>#N/A</v>
      </c>
      <c r="K321" s="3">
        <v>17.692</v>
      </c>
      <c r="L321" s="3"/>
      <c r="M321" s="3"/>
      <c r="N321" s="3"/>
      <c r="Q321" s="4" t="s">
        <v>101</v>
      </c>
      <c r="R321" s="2" t="s">
        <v>17</v>
      </c>
      <c r="S321" s="2">
        <f>I321*0.49</f>
        <v>2.7273399999999999</v>
      </c>
    </row>
    <row r="322" spans="1:19" ht="14.25" customHeight="1">
      <c r="A322" s="2" t="s">
        <v>15</v>
      </c>
      <c r="B322" s="2">
        <v>1981</v>
      </c>
      <c r="C322" s="2" t="s">
        <v>19</v>
      </c>
      <c r="G322" s="3"/>
      <c r="H322" s="3">
        <v>36.314999999999998</v>
      </c>
      <c r="I322" s="3">
        <f t="shared" si="8"/>
        <v>36.314999999999998</v>
      </c>
      <c r="J322" s="3" t="e">
        <v>#N/A</v>
      </c>
      <c r="K322" s="3">
        <v>18.684999999999999</v>
      </c>
      <c r="L322" s="3"/>
      <c r="M322" s="3"/>
      <c r="N322" s="3"/>
      <c r="Q322" s="4" t="s">
        <v>101</v>
      </c>
      <c r="R322" s="2" t="s">
        <v>17</v>
      </c>
      <c r="S322" s="2">
        <f>I322*0.49</f>
        <v>17.794349999999998</v>
      </c>
    </row>
    <row r="323" spans="1:19" ht="14.25" customHeight="1">
      <c r="A323" s="2" t="s">
        <v>15</v>
      </c>
      <c r="B323" s="2">
        <v>1982</v>
      </c>
      <c r="C323" s="2" t="s">
        <v>19</v>
      </c>
      <c r="G323" s="3"/>
      <c r="H323" s="3">
        <v>47.941000000000003</v>
      </c>
      <c r="I323" s="3">
        <f t="shared" si="8"/>
        <v>47.941000000000003</v>
      </c>
      <c r="J323" s="3" t="e">
        <v>#N/A</v>
      </c>
      <c r="K323" s="3">
        <v>12.196999999999999</v>
      </c>
      <c r="L323" s="3"/>
      <c r="M323" s="3"/>
      <c r="N323" s="3"/>
      <c r="Q323" s="4" t="s">
        <v>101</v>
      </c>
      <c r="R323" s="2" t="s">
        <v>17</v>
      </c>
      <c r="S323" s="2">
        <f>I323*0.49</f>
        <v>23.49109</v>
      </c>
    </row>
    <row r="324" spans="1:19" ht="14.25" customHeight="1">
      <c r="A324" s="2" t="s">
        <v>15</v>
      </c>
      <c r="B324" s="2">
        <v>1983</v>
      </c>
      <c r="C324" s="2" t="s">
        <v>19</v>
      </c>
      <c r="G324" s="3"/>
      <c r="H324" s="3">
        <v>54.192</v>
      </c>
      <c r="I324" s="3">
        <f t="shared" si="8"/>
        <v>54.192</v>
      </c>
      <c r="J324" s="3" t="e">
        <v>#N/A</v>
      </c>
      <c r="K324" s="3">
        <v>13.349</v>
      </c>
      <c r="L324" s="3"/>
      <c r="M324" s="3"/>
      <c r="N324" s="3"/>
      <c r="Q324" s="4" t="s">
        <v>101</v>
      </c>
      <c r="R324" s="2" t="s">
        <v>17</v>
      </c>
      <c r="S324" s="2">
        <f>I324*0.49</f>
        <v>26.554079999999999</v>
      </c>
    </row>
    <row r="325" spans="1:19" ht="14.25" customHeight="1">
      <c r="A325" s="2" t="s">
        <v>15</v>
      </c>
      <c r="B325" s="2">
        <v>1984</v>
      </c>
      <c r="C325" s="2" t="s">
        <v>19</v>
      </c>
      <c r="G325" s="3"/>
      <c r="H325" s="3">
        <v>71.478999999999999</v>
      </c>
      <c r="I325" s="3">
        <f t="shared" si="8"/>
        <v>71.478999999999999</v>
      </c>
      <c r="J325" s="3" t="e">
        <v>#N/A</v>
      </c>
      <c r="K325" s="3">
        <v>11.14</v>
      </c>
      <c r="L325" s="3"/>
      <c r="M325" s="3"/>
      <c r="N325" s="3"/>
      <c r="Q325" s="4" t="s">
        <v>101</v>
      </c>
      <c r="R325" s="2" t="s">
        <v>17</v>
      </c>
      <c r="S325" s="2">
        <f>I325*0.49</f>
        <v>35.024709999999999</v>
      </c>
    </row>
    <row r="326" spans="1:19" ht="14.25" customHeight="1">
      <c r="A326" s="2" t="s">
        <v>15</v>
      </c>
      <c r="B326" s="2">
        <v>1985</v>
      </c>
      <c r="C326" s="2" t="s">
        <v>19</v>
      </c>
      <c r="G326" s="3"/>
      <c r="H326" s="3">
        <v>95.424000000000007</v>
      </c>
      <c r="I326" s="3">
        <f t="shared" si="8"/>
        <v>95.424000000000007</v>
      </c>
      <c r="J326" s="3" t="e">
        <v>#N/A</v>
      </c>
      <c r="K326" s="3">
        <v>12.96</v>
      </c>
      <c r="L326" s="3"/>
      <c r="M326" s="3"/>
      <c r="N326" s="3"/>
      <c r="Q326" s="4" t="s">
        <v>101</v>
      </c>
      <c r="R326" s="2" t="s">
        <v>17</v>
      </c>
      <c r="S326" s="2">
        <f>I326*0.49</f>
        <v>46.757760000000005</v>
      </c>
    </row>
    <row r="327" spans="1:19" ht="14.25" customHeight="1">
      <c r="A327" s="2" t="s">
        <v>15</v>
      </c>
      <c r="B327" s="2">
        <v>1986</v>
      </c>
      <c r="C327" s="2" t="s">
        <v>19</v>
      </c>
      <c r="G327" s="3"/>
      <c r="H327" s="3">
        <v>106.119</v>
      </c>
      <c r="I327" s="3">
        <f t="shared" si="8"/>
        <v>106.119</v>
      </c>
      <c r="J327" s="3" t="e">
        <v>#N/A</v>
      </c>
      <c r="K327" s="3">
        <v>13.98</v>
      </c>
      <c r="L327" s="3"/>
      <c r="M327" s="3"/>
      <c r="N327" s="3"/>
      <c r="Q327" s="4" t="s">
        <v>101</v>
      </c>
      <c r="R327" s="2" t="s">
        <v>17</v>
      </c>
      <c r="S327" s="2">
        <f>I327*0.49</f>
        <v>51.998309999999996</v>
      </c>
    </row>
    <row r="328" spans="1:19" ht="14.25" customHeight="1">
      <c r="A328" s="2" t="s">
        <v>15</v>
      </c>
      <c r="B328" s="2">
        <v>1987</v>
      </c>
      <c r="C328" s="2" t="s">
        <v>19</v>
      </c>
      <c r="G328" s="3"/>
      <c r="H328" s="3">
        <v>100.348</v>
      </c>
      <c r="I328" s="3">
        <f t="shared" si="8"/>
        <v>100.348</v>
      </c>
      <c r="J328" s="3" t="e">
        <v>#N/A</v>
      </c>
      <c r="K328" s="3">
        <v>10.531000000000001</v>
      </c>
      <c r="L328" s="3"/>
      <c r="M328" s="3"/>
      <c r="N328" s="3"/>
      <c r="Q328" s="4" t="s">
        <v>101</v>
      </c>
      <c r="R328" s="2" t="s">
        <v>17</v>
      </c>
      <c r="S328" s="2">
        <f>I328*0.49</f>
        <v>49.170519999999996</v>
      </c>
    </row>
    <row r="329" spans="1:19" ht="14.25" customHeight="1">
      <c r="A329" s="2" t="s">
        <v>15</v>
      </c>
      <c r="B329" s="2">
        <v>1988</v>
      </c>
      <c r="C329" s="2" t="s">
        <v>19</v>
      </c>
      <c r="E329" s="2">
        <v>12.6</v>
      </c>
      <c r="G329" s="3"/>
      <c r="H329" s="3">
        <v>93.21</v>
      </c>
      <c r="I329" s="3">
        <f t="shared" si="8"/>
        <v>93.21</v>
      </c>
      <c r="J329" s="3" t="e">
        <v>#N/A</v>
      </c>
      <c r="K329" s="3">
        <v>9.0470000000000006</v>
      </c>
      <c r="L329" s="3"/>
      <c r="M329" s="3"/>
      <c r="N329" s="3"/>
      <c r="Q329" s="4" t="s">
        <v>101</v>
      </c>
      <c r="R329" s="2" t="s">
        <v>17</v>
      </c>
      <c r="S329" s="2">
        <f>I329*0.49</f>
        <v>45.672899999999998</v>
      </c>
    </row>
    <row r="330" spans="1:19" ht="14.25" customHeight="1">
      <c r="A330" s="2" t="s">
        <v>15</v>
      </c>
      <c r="B330" s="2">
        <v>1989</v>
      </c>
      <c r="C330" s="2" t="s">
        <v>19</v>
      </c>
      <c r="E330" s="2">
        <v>21.8</v>
      </c>
      <c r="G330" s="3"/>
      <c r="H330" s="3">
        <v>99.340999999999994</v>
      </c>
      <c r="I330" s="3">
        <f t="shared" si="8"/>
        <v>99.340999999999994</v>
      </c>
      <c r="J330" s="3" t="e">
        <v>#N/A</v>
      </c>
      <c r="K330" s="3">
        <v>13.214</v>
      </c>
      <c r="L330" s="3"/>
      <c r="M330" s="3"/>
      <c r="N330" s="3"/>
      <c r="Q330" s="4" t="s">
        <v>101</v>
      </c>
      <c r="R330" s="2" t="s">
        <v>17</v>
      </c>
      <c r="S330" s="2">
        <f>I330*0.49</f>
        <v>48.677089999999993</v>
      </c>
    </row>
    <row r="331" spans="1:19" ht="14.25" customHeight="1">
      <c r="A331" s="2" t="s">
        <v>15</v>
      </c>
      <c r="B331" s="2">
        <v>1990</v>
      </c>
      <c r="C331" s="2" t="s">
        <v>19</v>
      </c>
      <c r="E331" s="2">
        <v>11.7</v>
      </c>
      <c r="G331" s="3"/>
      <c r="H331" s="3">
        <v>98.757999999999996</v>
      </c>
      <c r="I331" s="3">
        <f t="shared" si="8"/>
        <v>98.757999999999996</v>
      </c>
      <c r="J331" s="3" t="e">
        <v>#N/A</v>
      </c>
      <c r="K331" s="3">
        <v>11.86</v>
      </c>
      <c r="L331" s="3"/>
      <c r="M331" s="3"/>
      <c r="N331" s="3"/>
      <c r="Q331" s="4" t="s">
        <v>101</v>
      </c>
      <c r="R331" s="2" t="s">
        <v>17</v>
      </c>
      <c r="S331" s="2">
        <f>I331*0.49</f>
        <v>48.391419999999997</v>
      </c>
    </row>
    <row r="332" spans="1:19" ht="14.25" customHeight="1">
      <c r="A332" s="2" t="s">
        <v>15</v>
      </c>
      <c r="B332" s="2">
        <v>1991</v>
      </c>
      <c r="C332" s="2" t="s">
        <v>19</v>
      </c>
      <c r="E332" s="2">
        <v>16.600000000000001</v>
      </c>
      <c r="H332" s="2">
        <v>94</v>
      </c>
      <c r="I332" s="3">
        <f t="shared" si="8"/>
        <v>94</v>
      </c>
      <c r="J332" s="4">
        <v>77.191999999999993</v>
      </c>
      <c r="K332" s="4">
        <v>11.914</v>
      </c>
      <c r="L332" s="4"/>
      <c r="M332" s="3"/>
      <c r="N332" s="3"/>
      <c r="Q332" s="4" t="s">
        <v>101</v>
      </c>
      <c r="R332" s="2" t="s">
        <v>17</v>
      </c>
      <c r="S332" s="2">
        <f>I332*0.49</f>
        <v>46.06</v>
      </c>
    </row>
    <row r="333" spans="1:19" ht="14.25" customHeight="1">
      <c r="A333" s="2" t="s">
        <v>15</v>
      </c>
      <c r="B333" s="2">
        <v>1992</v>
      </c>
      <c r="C333" s="2" t="s">
        <v>19</v>
      </c>
      <c r="E333" s="2">
        <v>17.399999999999999</v>
      </c>
      <c r="H333" s="2">
        <v>88.8</v>
      </c>
      <c r="I333" s="3">
        <f t="shared" si="8"/>
        <v>88.8</v>
      </c>
      <c r="J333" s="4">
        <v>79.227000000000004</v>
      </c>
      <c r="K333" s="4">
        <v>11.632</v>
      </c>
      <c r="L333" s="4"/>
      <c r="M333" s="3"/>
      <c r="N333" s="3"/>
      <c r="Q333" s="4" t="s">
        <v>101</v>
      </c>
      <c r="R333" s="2" t="s">
        <v>17</v>
      </c>
      <c r="S333" s="2">
        <f>I333*0.49</f>
        <v>43.512</v>
      </c>
    </row>
    <row r="334" spans="1:19" ht="14.25" customHeight="1">
      <c r="A334" s="2" t="s">
        <v>15</v>
      </c>
      <c r="B334" s="2">
        <v>1993</v>
      </c>
      <c r="C334" s="2" t="s">
        <v>19</v>
      </c>
      <c r="E334" s="2">
        <v>19.2</v>
      </c>
      <c r="H334" s="2">
        <v>87.2</v>
      </c>
      <c r="I334" s="3">
        <f t="shared" si="8"/>
        <v>87.2</v>
      </c>
      <c r="J334" s="4">
        <v>91.221000000000004</v>
      </c>
      <c r="K334" s="4">
        <v>10.597</v>
      </c>
      <c r="L334" s="4"/>
      <c r="M334" s="3"/>
      <c r="N334" s="3"/>
      <c r="Q334" s="4" t="s">
        <v>101</v>
      </c>
      <c r="R334" s="2" t="s">
        <v>17</v>
      </c>
      <c r="S334" s="2">
        <f>I334*0.49</f>
        <v>42.728000000000002</v>
      </c>
    </row>
    <row r="335" spans="1:19" ht="14.25" customHeight="1">
      <c r="A335" s="2" t="s">
        <v>15</v>
      </c>
      <c r="B335" s="2">
        <v>1994</v>
      </c>
      <c r="C335" s="2" t="s">
        <v>19</v>
      </c>
      <c r="E335" s="2">
        <v>17.899999999999999</v>
      </c>
      <c r="H335" s="2">
        <v>86.069000000000003</v>
      </c>
      <c r="I335" s="3">
        <f t="shared" si="8"/>
        <v>86.069000000000003</v>
      </c>
      <c r="J335" s="4">
        <v>47.08</v>
      </c>
      <c r="K335" s="4">
        <v>8.7279999999999998</v>
      </c>
      <c r="L335" s="4"/>
      <c r="M335" s="3"/>
      <c r="N335" s="3"/>
      <c r="Q335" s="4" t="s">
        <v>101</v>
      </c>
      <c r="R335" s="2" t="s">
        <v>17</v>
      </c>
      <c r="S335" s="2">
        <f>I335*0.49</f>
        <v>42.173810000000003</v>
      </c>
    </row>
    <row r="336" spans="1:19" ht="14.25" customHeight="1">
      <c r="A336" s="2" t="s">
        <v>15</v>
      </c>
      <c r="B336" s="2">
        <v>1995</v>
      </c>
      <c r="C336" s="2" t="s">
        <v>19</v>
      </c>
      <c r="E336" s="2">
        <v>20</v>
      </c>
      <c r="H336" s="2">
        <v>95.876999999999995</v>
      </c>
      <c r="I336" s="3">
        <f t="shared" si="8"/>
        <v>95.876999999999995</v>
      </c>
      <c r="J336" s="4">
        <v>35.774999999999999</v>
      </c>
      <c r="K336" s="4">
        <v>8.26</v>
      </c>
      <c r="L336" s="4"/>
      <c r="M336" s="3"/>
      <c r="N336" s="3"/>
      <c r="Q336" s="4" t="s">
        <v>101</v>
      </c>
      <c r="R336" s="2" t="s">
        <v>17</v>
      </c>
      <c r="S336" s="2">
        <f>I336*0.49</f>
        <v>46.979729999999996</v>
      </c>
    </row>
    <row r="337" spans="1:19" ht="14.25" customHeight="1">
      <c r="A337" s="2" t="s">
        <v>15</v>
      </c>
      <c r="B337" s="2">
        <v>1996</v>
      </c>
      <c r="C337" s="2" t="s">
        <v>19</v>
      </c>
      <c r="E337" s="2">
        <v>50.5</v>
      </c>
      <c r="H337" s="2">
        <v>72.325000000000003</v>
      </c>
      <c r="I337" s="3">
        <f t="shared" si="8"/>
        <v>72.325000000000003</v>
      </c>
      <c r="J337" s="4">
        <v>34.569000000000003</v>
      </c>
      <c r="K337" s="4">
        <v>9.89</v>
      </c>
      <c r="L337" s="4"/>
      <c r="M337" s="3"/>
      <c r="N337" s="3"/>
      <c r="Q337" s="4" t="s">
        <v>101</v>
      </c>
      <c r="R337" s="2" t="s">
        <v>17</v>
      </c>
      <c r="S337" s="2">
        <f>I337*0.49</f>
        <v>35.439250000000001</v>
      </c>
    </row>
    <row r="338" spans="1:19" ht="14.25" customHeight="1">
      <c r="A338" s="2" t="s">
        <v>15</v>
      </c>
      <c r="B338" s="2">
        <v>1997</v>
      </c>
      <c r="C338" s="2" t="s">
        <v>19</v>
      </c>
      <c r="E338" s="2">
        <v>46</v>
      </c>
      <c r="H338" s="2">
        <v>57.406999999999996</v>
      </c>
      <c r="I338" s="3">
        <f t="shared" si="8"/>
        <v>57.406999999999996</v>
      </c>
      <c r="J338" s="4">
        <v>35.793999999999997</v>
      </c>
      <c r="K338" s="4">
        <v>6.2220000000000004</v>
      </c>
      <c r="L338" s="4"/>
      <c r="M338" s="3"/>
      <c r="N338" s="3"/>
      <c r="Q338" s="4" t="s">
        <v>101</v>
      </c>
      <c r="R338" s="2" t="s">
        <v>17</v>
      </c>
      <c r="S338" s="2">
        <f>I338*0.49</f>
        <v>28.129429999999999</v>
      </c>
    </row>
    <row r="339" spans="1:19" ht="14.25" customHeight="1">
      <c r="A339" s="2" t="s">
        <v>15</v>
      </c>
      <c r="B339" s="2">
        <v>1998</v>
      </c>
      <c r="C339" s="2" t="s">
        <v>19</v>
      </c>
      <c r="E339" s="2">
        <v>65.099999999999994</v>
      </c>
      <c r="H339" s="2">
        <v>39.529000000000003</v>
      </c>
      <c r="I339" s="3">
        <f t="shared" si="8"/>
        <v>39.529000000000003</v>
      </c>
      <c r="J339" s="4">
        <v>26.035</v>
      </c>
      <c r="K339" s="4">
        <v>7.319</v>
      </c>
      <c r="L339" s="4"/>
      <c r="M339" s="3"/>
      <c r="N339" s="3"/>
      <c r="Q339" s="4" t="s">
        <v>101</v>
      </c>
      <c r="R339" s="2" t="s">
        <v>17</v>
      </c>
      <c r="S339" s="2">
        <f>I339*0.49</f>
        <v>19.369210000000002</v>
      </c>
    </row>
    <row r="340" spans="1:19" ht="14.25" customHeight="1">
      <c r="A340" s="2" t="s">
        <v>15</v>
      </c>
      <c r="B340" s="2">
        <v>1999</v>
      </c>
      <c r="C340" s="2" t="s">
        <v>19</v>
      </c>
      <c r="E340" s="2">
        <v>59.4</v>
      </c>
      <c r="H340" s="2">
        <v>45.314</v>
      </c>
      <c r="I340" s="3">
        <f t="shared" si="8"/>
        <v>45.314</v>
      </c>
      <c r="J340" s="4">
        <v>35.499000000000002</v>
      </c>
      <c r="K340" s="4">
        <v>8.2889999999999997</v>
      </c>
      <c r="L340" s="4"/>
      <c r="M340" s="3"/>
      <c r="N340" s="3"/>
      <c r="Q340" s="4" t="s">
        <v>101</v>
      </c>
      <c r="R340" s="2" t="s">
        <v>17</v>
      </c>
      <c r="S340" s="2">
        <f>I340*0.49</f>
        <v>22.203859999999999</v>
      </c>
    </row>
    <row r="341" spans="1:19" ht="14.25" customHeight="1">
      <c r="A341" s="2" t="s">
        <v>15</v>
      </c>
      <c r="B341" s="2">
        <v>2000</v>
      </c>
      <c r="C341" s="2" t="s">
        <v>19</v>
      </c>
      <c r="E341" s="2">
        <v>43.3</v>
      </c>
      <c r="H341" s="2">
        <v>39.469000000000001</v>
      </c>
      <c r="I341" s="3">
        <f t="shared" si="8"/>
        <v>39.469000000000001</v>
      </c>
      <c r="J341" s="4">
        <v>50.719000000000001</v>
      </c>
      <c r="K341" s="4">
        <v>6.6689999999999996</v>
      </c>
      <c r="L341" s="4"/>
      <c r="M341" s="3"/>
      <c r="N341" s="3"/>
      <c r="Q341" s="4" t="s">
        <v>101</v>
      </c>
      <c r="R341" s="2" t="s">
        <v>17</v>
      </c>
      <c r="S341" s="2">
        <f>I341*0.49</f>
        <v>19.33981</v>
      </c>
    </row>
    <row r="342" spans="1:19" ht="14.25" customHeight="1">
      <c r="A342" s="2" t="s">
        <v>15</v>
      </c>
      <c r="B342" s="2">
        <v>2001</v>
      </c>
      <c r="C342" s="2" t="s">
        <v>19</v>
      </c>
      <c r="E342" s="2">
        <v>37.6</v>
      </c>
      <c r="H342" s="2">
        <v>43.808</v>
      </c>
      <c r="I342" s="3">
        <f t="shared" si="8"/>
        <v>43.808</v>
      </c>
      <c r="J342" s="3">
        <v>32.497999999999998</v>
      </c>
      <c r="K342" s="3">
        <v>6.2949999999999999</v>
      </c>
      <c r="L342" s="3"/>
      <c r="M342" s="3"/>
      <c r="N342" s="3"/>
      <c r="Q342" s="4" t="s">
        <v>101</v>
      </c>
      <c r="R342" s="2" t="s">
        <v>17</v>
      </c>
      <c r="S342" s="2">
        <f>I342*0.49</f>
        <v>21.465920000000001</v>
      </c>
    </row>
    <row r="343" spans="1:19" ht="14.25" customHeight="1">
      <c r="A343" s="2" t="s">
        <v>15</v>
      </c>
      <c r="B343" s="2">
        <v>2002</v>
      </c>
      <c r="C343" s="2" t="s">
        <v>19</v>
      </c>
      <c r="E343" s="2">
        <v>30.4</v>
      </c>
      <c r="H343" s="2">
        <v>42.466000000000001</v>
      </c>
      <c r="I343" s="3">
        <f t="shared" si="8"/>
        <v>42.466000000000001</v>
      </c>
      <c r="J343" s="3">
        <v>41.518999999999998</v>
      </c>
      <c r="K343" s="3">
        <v>5.63</v>
      </c>
      <c r="L343" s="3"/>
      <c r="M343" s="3"/>
      <c r="N343" s="3"/>
      <c r="Q343" s="4" t="s">
        <v>101</v>
      </c>
      <c r="R343" s="2" t="s">
        <v>17</v>
      </c>
      <c r="S343" s="2">
        <f>I343*0.49</f>
        <v>20.808340000000001</v>
      </c>
    </row>
    <row r="344" spans="1:19" ht="14.25" customHeight="1">
      <c r="A344" s="2" t="s">
        <v>15</v>
      </c>
      <c r="B344" s="2">
        <v>2003</v>
      </c>
      <c r="C344" s="2" t="s">
        <v>19</v>
      </c>
      <c r="E344" s="2">
        <v>35.1</v>
      </c>
      <c r="H344" s="2">
        <v>55.417000000000002</v>
      </c>
      <c r="I344" s="3">
        <f t="shared" si="8"/>
        <v>55.417000000000002</v>
      </c>
      <c r="J344" s="2">
        <v>42.7</v>
      </c>
      <c r="K344" s="2">
        <v>4.4000000000000004</v>
      </c>
      <c r="M344" s="3"/>
      <c r="N344" s="3"/>
      <c r="Q344" s="4" t="s">
        <v>101</v>
      </c>
      <c r="R344" s="2" t="s">
        <v>17</v>
      </c>
      <c r="S344" s="2">
        <f>I344*0.49</f>
        <v>27.154330000000002</v>
      </c>
    </row>
    <row r="345" spans="1:19" ht="14.25" customHeight="1">
      <c r="A345" s="2" t="s">
        <v>15</v>
      </c>
      <c r="B345" s="2">
        <v>2004</v>
      </c>
      <c r="C345" s="2" t="s">
        <v>19</v>
      </c>
      <c r="E345" s="2">
        <v>40.1</v>
      </c>
      <c r="H345" s="2">
        <v>56.23</v>
      </c>
      <c r="I345" s="3">
        <f t="shared" si="8"/>
        <v>56.23</v>
      </c>
      <c r="J345" s="2">
        <v>55.1</v>
      </c>
      <c r="K345" s="2">
        <v>6</v>
      </c>
      <c r="M345" s="3"/>
      <c r="N345" s="3"/>
      <c r="Q345" s="4" t="s">
        <v>101</v>
      </c>
      <c r="R345" s="2" t="s">
        <v>17</v>
      </c>
      <c r="S345" s="2">
        <f>I345*0.49</f>
        <v>27.552699999999998</v>
      </c>
    </row>
    <row r="346" spans="1:19" ht="14.25" customHeight="1">
      <c r="A346" s="2" t="s">
        <v>15</v>
      </c>
      <c r="B346" s="2">
        <v>2005</v>
      </c>
      <c r="C346" s="2" t="s">
        <v>19</v>
      </c>
      <c r="E346" s="2">
        <v>49.4</v>
      </c>
      <c r="H346" s="2">
        <v>76.423000000000002</v>
      </c>
      <c r="I346" s="3">
        <f t="shared" si="8"/>
        <v>76.423000000000002</v>
      </c>
      <c r="J346" s="2">
        <v>69.099999999999994</v>
      </c>
      <c r="K346" s="2">
        <v>15.6</v>
      </c>
      <c r="M346" s="3"/>
      <c r="N346" s="3"/>
      <c r="Q346" s="4" t="s">
        <v>101</v>
      </c>
      <c r="R346" s="2" t="s">
        <v>17</v>
      </c>
      <c r="S346" s="2">
        <f>I346*0.49</f>
        <v>37.447270000000003</v>
      </c>
    </row>
    <row r="347" spans="1:19" ht="14.25" customHeight="1">
      <c r="A347" s="2" t="s">
        <v>15</v>
      </c>
      <c r="B347" s="2">
        <v>2006</v>
      </c>
      <c r="C347" s="2" t="s">
        <v>19</v>
      </c>
      <c r="E347" s="2">
        <v>47.5</v>
      </c>
      <c r="H347" s="2">
        <v>62.12</v>
      </c>
      <c r="I347" s="3">
        <f t="shared" si="8"/>
        <v>62.12</v>
      </c>
      <c r="J347" s="2">
        <v>57.6</v>
      </c>
      <c r="K347" s="2">
        <v>19</v>
      </c>
      <c r="M347" s="3"/>
      <c r="N347" s="3"/>
      <c r="Q347" s="4" t="s">
        <v>101</v>
      </c>
      <c r="R347" s="2" t="s">
        <v>17</v>
      </c>
      <c r="S347" s="2">
        <f>I347*0.49</f>
        <v>30.438799999999997</v>
      </c>
    </row>
    <row r="348" spans="1:19" ht="14.25" customHeight="1">
      <c r="A348" s="2" t="s">
        <v>15</v>
      </c>
      <c r="B348" s="2">
        <v>2007</v>
      </c>
      <c r="C348" s="2" t="s">
        <v>19</v>
      </c>
      <c r="E348" s="2">
        <v>40.299999999999997</v>
      </c>
      <c r="H348" s="2">
        <v>50.75</v>
      </c>
      <c r="I348" s="3">
        <f t="shared" si="8"/>
        <v>50.75</v>
      </c>
      <c r="J348" s="2">
        <v>66.7</v>
      </c>
      <c r="K348" s="2">
        <v>8.6</v>
      </c>
      <c r="M348" s="3"/>
      <c r="N348" s="3"/>
      <c r="Q348" s="4" t="s">
        <v>101</v>
      </c>
      <c r="R348" s="2" t="s">
        <v>17</v>
      </c>
      <c r="S348" s="2">
        <f>I348*0.49</f>
        <v>24.8675</v>
      </c>
    </row>
    <row r="349" spans="1:19" ht="14.25" customHeight="1">
      <c r="A349" s="2" t="s">
        <v>15</v>
      </c>
      <c r="B349" s="2">
        <v>2008</v>
      </c>
      <c r="C349" s="2" t="s">
        <v>19</v>
      </c>
      <c r="E349" s="2">
        <v>28.9</v>
      </c>
      <c r="H349" s="2">
        <v>38.226999999999997</v>
      </c>
      <c r="I349" s="3">
        <f t="shared" si="8"/>
        <v>38.226999999999997</v>
      </c>
      <c r="J349" s="2">
        <v>37.1</v>
      </c>
      <c r="K349" s="2">
        <v>11.1</v>
      </c>
      <c r="M349" s="3"/>
      <c r="N349" s="3"/>
      <c r="Q349" s="4" t="s">
        <v>101</v>
      </c>
      <c r="R349" s="2" t="s">
        <v>17</v>
      </c>
      <c r="S349" s="2">
        <f>I349*0.49</f>
        <v>18.731229999999996</v>
      </c>
    </row>
    <row r="350" spans="1:19" ht="14.25" customHeight="1">
      <c r="A350" s="2" t="s">
        <v>15</v>
      </c>
      <c r="B350" s="2">
        <v>2009</v>
      </c>
      <c r="C350" s="2" t="s">
        <v>19</v>
      </c>
      <c r="E350" s="2">
        <v>35.5</v>
      </c>
      <c r="H350" s="2">
        <v>31.611000000000001</v>
      </c>
      <c r="I350" s="3">
        <f t="shared" si="8"/>
        <v>31.611000000000001</v>
      </c>
      <c r="J350" s="2">
        <v>34.299999999999997</v>
      </c>
      <c r="K350" s="2">
        <v>8.5</v>
      </c>
      <c r="M350" s="3"/>
      <c r="N350" s="3"/>
      <c r="Q350" s="4" t="s">
        <v>101</v>
      </c>
      <c r="R350" s="2" t="s">
        <v>17</v>
      </c>
      <c r="S350" s="2">
        <f>I350*0.49</f>
        <v>15.48939</v>
      </c>
    </row>
    <row r="351" spans="1:19" ht="14.25" customHeight="1">
      <c r="A351" s="2" t="s">
        <v>15</v>
      </c>
      <c r="B351" s="2">
        <v>2010</v>
      </c>
      <c r="C351" s="2" t="s">
        <v>19</v>
      </c>
      <c r="E351" s="2">
        <v>31.3</v>
      </c>
      <c r="H351" s="2">
        <v>35.6</v>
      </c>
      <c r="I351" s="3">
        <f t="shared" si="8"/>
        <v>35.6</v>
      </c>
      <c r="J351" s="2">
        <v>36.799999999999997</v>
      </c>
      <c r="K351" s="2">
        <v>9</v>
      </c>
      <c r="M351" s="3"/>
      <c r="N351" s="3"/>
      <c r="Q351" s="4" t="s">
        <v>101</v>
      </c>
      <c r="R351" s="2" t="s">
        <v>17</v>
      </c>
      <c r="S351" s="2">
        <f>I351*0.49</f>
        <v>17.443999999999999</v>
      </c>
    </row>
    <row r="352" spans="1:19" ht="14.25" customHeight="1">
      <c r="A352" s="2" t="s">
        <v>15</v>
      </c>
      <c r="B352" s="2">
        <v>2011</v>
      </c>
      <c r="C352" s="2" t="s">
        <v>19</v>
      </c>
      <c r="E352" s="2">
        <v>30.3</v>
      </c>
      <c r="H352" s="2">
        <v>31.3</v>
      </c>
      <c r="I352" s="3">
        <f t="shared" si="8"/>
        <v>31.3</v>
      </c>
      <c r="J352" s="2">
        <v>33</v>
      </c>
      <c r="K352" s="2">
        <v>12.9</v>
      </c>
      <c r="M352" s="3"/>
      <c r="N352" s="3"/>
      <c r="Q352" s="4" t="s">
        <v>101</v>
      </c>
      <c r="R352" s="2" t="s">
        <v>17</v>
      </c>
      <c r="S352" s="2">
        <f>I352*0.49</f>
        <v>15.337</v>
      </c>
    </row>
    <row r="353" spans="1:19" ht="14.25" customHeight="1">
      <c r="A353" s="2" t="s">
        <v>15</v>
      </c>
      <c r="B353" s="2">
        <v>2012</v>
      </c>
      <c r="C353" s="2" t="s">
        <v>19</v>
      </c>
      <c r="E353" s="2">
        <v>52.2</v>
      </c>
      <c r="H353" s="2">
        <v>38.200000000000003</v>
      </c>
      <c r="I353" s="3">
        <f t="shared" si="8"/>
        <v>38.200000000000003</v>
      </c>
      <c r="J353" s="2">
        <v>59.8</v>
      </c>
      <c r="K353" s="2">
        <v>20</v>
      </c>
      <c r="M353" s="3"/>
      <c r="N353" s="3"/>
      <c r="Q353" s="4" t="s">
        <v>101</v>
      </c>
      <c r="R353" s="2" t="s">
        <v>17</v>
      </c>
      <c r="S353" s="2">
        <f>I353*0.49</f>
        <v>18.718</v>
      </c>
    </row>
    <row r="354" spans="1:19" ht="14.25" customHeight="1">
      <c r="A354" s="2" t="s">
        <v>15</v>
      </c>
      <c r="B354" s="2">
        <v>2013</v>
      </c>
      <c r="C354" s="2" t="s">
        <v>19</v>
      </c>
      <c r="E354" s="2">
        <v>56.3</v>
      </c>
      <c r="H354" s="2">
        <v>37.5</v>
      </c>
      <c r="I354" s="3">
        <f t="shared" si="8"/>
        <v>37.5</v>
      </c>
      <c r="J354" s="2">
        <v>52.9</v>
      </c>
      <c r="K354" s="2">
        <v>12</v>
      </c>
      <c r="M354" s="3"/>
      <c r="N354" s="3"/>
      <c r="Q354" s="4" t="s">
        <v>101</v>
      </c>
      <c r="R354" s="2" t="s">
        <v>17</v>
      </c>
      <c r="S354" s="2">
        <f>I354*0.49</f>
        <v>18.375</v>
      </c>
    </row>
    <row r="355" spans="1:19" ht="14.25" customHeight="1">
      <c r="A355" s="2" t="s">
        <v>15</v>
      </c>
      <c r="B355" s="2">
        <v>2014</v>
      </c>
      <c r="C355" s="2" t="s">
        <v>19</v>
      </c>
      <c r="E355" s="2">
        <v>59.3</v>
      </c>
      <c r="H355" s="2">
        <v>38.299999999999997</v>
      </c>
      <c r="I355" s="3">
        <f t="shared" si="8"/>
        <v>38.299999999999997</v>
      </c>
      <c r="J355" s="2">
        <v>63.5</v>
      </c>
      <c r="K355" s="2">
        <v>11.9</v>
      </c>
      <c r="M355" s="3"/>
      <c r="N355" s="3"/>
      <c r="Q355" s="4" t="s">
        <v>101</v>
      </c>
      <c r="R355" s="2" t="s">
        <v>17</v>
      </c>
      <c r="S355" s="2">
        <f>I355*0.49</f>
        <v>18.766999999999999</v>
      </c>
    </row>
    <row r="356" spans="1:19" ht="14.25" customHeight="1">
      <c r="A356" s="2" t="s">
        <v>15</v>
      </c>
      <c r="B356" s="2">
        <v>2015</v>
      </c>
      <c r="C356" s="2" t="s">
        <v>19</v>
      </c>
      <c r="E356" s="2">
        <v>55.2</v>
      </c>
      <c r="H356" s="2">
        <v>38.6</v>
      </c>
      <c r="I356" s="3">
        <f t="shared" si="8"/>
        <v>38.6</v>
      </c>
      <c r="J356" s="2">
        <v>64.8</v>
      </c>
      <c r="K356" s="2">
        <v>9.4</v>
      </c>
      <c r="M356" s="3"/>
      <c r="N356" s="3"/>
      <c r="Q356" s="4" t="s">
        <v>101</v>
      </c>
      <c r="R356" s="2" t="s">
        <v>17</v>
      </c>
      <c r="S356" s="2">
        <f>I356*0.49</f>
        <v>18.914000000000001</v>
      </c>
    </row>
    <row r="357" spans="1:19" ht="14.25" customHeight="1">
      <c r="A357" s="2" t="s">
        <v>15</v>
      </c>
      <c r="B357" s="2">
        <v>2016</v>
      </c>
      <c r="C357" s="2" t="s">
        <v>19</v>
      </c>
      <c r="E357" s="2">
        <v>51.8</v>
      </c>
      <c r="H357" s="2">
        <v>40.5</v>
      </c>
      <c r="I357" s="3">
        <f t="shared" si="8"/>
        <v>40.5</v>
      </c>
      <c r="J357" s="2">
        <v>44.1</v>
      </c>
      <c r="K357" s="2">
        <v>10.199999999999999</v>
      </c>
      <c r="M357" s="3"/>
      <c r="N357" s="3"/>
      <c r="Q357" s="4" t="s">
        <v>101</v>
      </c>
      <c r="R357" s="2" t="s">
        <v>17</v>
      </c>
      <c r="S357" s="2">
        <f>I357*0.49</f>
        <v>19.844999999999999</v>
      </c>
    </row>
    <row r="358" spans="1:19" ht="14.25" customHeight="1">
      <c r="A358" s="2" t="s">
        <v>15</v>
      </c>
      <c r="B358" s="2">
        <v>2017</v>
      </c>
      <c r="C358" s="2" t="s">
        <v>19</v>
      </c>
      <c r="E358" s="2">
        <v>39.1</v>
      </c>
      <c r="H358" s="2">
        <v>44.9</v>
      </c>
      <c r="I358" s="3">
        <f t="shared" si="8"/>
        <v>44.9</v>
      </c>
      <c r="J358" s="2">
        <v>41.6</v>
      </c>
      <c r="K358" s="2">
        <v>7</v>
      </c>
      <c r="M358" s="3"/>
      <c r="N358" s="3"/>
      <c r="Q358" s="4" t="s">
        <v>101</v>
      </c>
      <c r="R358" s="2" t="s">
        <v>17</v>
      </c>
      <c r="S358" s="2">
        <f>I358*0.49</f>
        <v>22.000999999999998</v>
      </c>
    </row>
    <row r="359" spans="1:19" ht="14.25" customHeight="1">
      <c r="A359" s="2" t="s">
        <v>15</v>
      </c>
      <c r="B359" s="2">
        <v>2018</v>
      </c>
      <c r="C359" s="2" t="s">
        <v>19</v>
      </c>
      <c r="E359" s="2">
        <v>54.5</v>
      </c>
      <c r="H359" s="2">
        <v>48.7</v>
      </c>
      <c r="I359" s="3">
        <f t="shared" si="8"/>
        <v>48.7</v>
      </c>
      <c r="J359" s="2">
        <v>51.2</v>
      </c>
      <c r="K359" s="2">
        <v>4.5</v>
      </c>
      <c r="M359" s="3"/>
      <c r="N359" s="3"/>
      <c r="Q359" s="4" t="s">
        <v>101</v>
      </c>
      <c r="R359" s="2" t="s">
        <v>17</v>
      </c>
      <c r="S359" s="2">
        <f>I359*0.49</f>
        <v>23.863</v>
      </c>
    </row>
    <row r="360" spans="1:19" ht="14.25" customHeight="1">
      <c r="A360" s="2" t="s">
        <v>15</v>
      </c>
      <c r="B360" s="2">
        <v>2019</v>
      </c>
      <c r="C360" s="2" t="s">
        <v>19</v>
      </c>
      <c r="E360" s="2">
        <v>40.700000000000003</v>
      </c>
      <c r="H360" s="2">
        <v>34.799999999999997</v>
      </c>
      <c r="I360" s="3">
        <f t="shared" si="8"/>
        <v>34.799999999999997</v>
      </c>
      <c r="J360" s="2">
        <v>34.792485999999997</v>
      </c>
      <c r="K360" s="2">
        <v>5.6219890000000001</v>
      </c>
      <c r="M360" s="3"/>
      <c r="N360" s="3"/>
      <c r="Q360" s="4" t="s">
        <v>101</v>
      </c>
      <c r="R360" s="2" t="s">
        <v>17</v>
      </c>
      <c r="S360" s="2">
        <f>I360*0.49</f>
        <v>17.052</v>
      </c>
    </row>
    <row r="361" spans="1:19" ht="14.25" customHeight="1">
      <c r="A361" s="2" t="s">
        <v>15</v>
      </c>
      <c r="B361" s="2">
        <v>2020</v>
      </c>
      <c r="C361" s="2" t="s">
        <v>19</v>
      </c>
      <c r="E361" s="2">
        <v>40.95373</v>
      </c>
      <c r="H361" s="2">
        <v>35.687645400000001</v>
      </c>
      <c r="I361" s="3">
        <f t="shared" si="8"/>
        <v>35.687645400000001</v>
      </c>
      <c r="J361" s="2">
        <v>36.794975000000001</v>
      </c>
      <c r="K361" s="2">
        <v>4.4679489999999999</v>
      </c>
      <c r="M361" s="3"/>
      <c r="N361" s="3"/>
      <c r="Q361" s="4" t="s">
        <v>101</v>
      </c>
      <c r="R361" s="2" t="s">
        <v>17</v>
      </c>
      <c r="S361" s="2">
        <f>I361*0.49</f>
        <v>17.486946245999999</v>
      </c>
    </row>
    <row r="362" spans="1:19" ht="14.25" customHeight="1">
      <c r="A362" s="2" t="s">
        <v>15</v>
      </c>
      <c r="B362" s="2">
        <v>1900</v>
      </c>
      <c r="C362" s="2" t="s">
        <v>20</v>
      </c>
      <c r="G362" s="3"/>
      <c r="H362" s="3">
        <v>28.945844340581182</v>
      </c>
      <c r="I362" s="3">
        <f t="shared" si="8"/>
        <v>28.945844340581182</v>
      </c>
      <c r="J362" s="3" t="e">
        <v>#VALUE!</v>
      </c>
      <c r="K362" s="3" t="e">
        <v>#VALUE!</v>
      </c>
      <c r="L362" s="3"/>
      <c r="M362" s="3"/>
      <c r="N362" s="3"/>
      <c r="Q362" s="4" t="s">
        <v>99</v>
      </c>
      <c r="R362" s="2" t="s">
        <v>17</v>
      </c>
      <c r="S362" s="2">
        <f>I362*0.49</f>
        <v>14.18346372688478</v>
      </c>
    </row>
    <row r="363" spans="1:19" ht="14.25" customHeight="1">
      <c r="A363" s="2" t="s">
        <v>15</v>
      </c>
      <c r="B363" s="2">
        <v>1901</v>
      </c>
      <c r="C363" s="2" t="s">
        <v>20</v>
      </c>
      <c r="G363" s="3"/>
      <c r="H363" s="3">
        <v>34.761735419630156</v>
      </c>
      <c r="I363" s="3">
        <f t="shared" si="8"/>
        <v>34.761735419630156</v>
      </c>
      <c r="J363" s="3" t="e">
        <v>#N/A</v>
      </c>
      <c r="K363" s="3" t="e">
        <v>#N/A</v>
      </c>
      <c r="L363" s="3"/>
      <c r="M363" s="3"/>
      <c r="N363" s="3"/>
      <c r="Q363" s="4" t="s">
        <v>99</v>
      </c>
      <c r="R363" s="2" t="s">
        <v>17</v>
      </c>
      <c r="S363" s="2">
        <f>I363*0.49</f>
        <v>17.033250355618776</v>
      </c>
    </row>
    <row r="364" spans="1:19" ht="14.25" customHeight="1">
      <c r="A364" s="2" t="s">
        <v>15</v>
      </c>
      <c r="B364" s="2">
        <v>1902</v>
      </c>
      <c r="C364" s="2" t="s">
        <v>20</v>
      </c>
      <c r="G364" s="3"/>
      <c r="H364" s="3">
        <v>30.480745783377362</v>
      </c>
      <c r="I364" s="3">
        <f t="shared" si="8"/>
        <v>30.480745783377362</v>
      </c>
      <c r="J364" s="3" t="e">
        <v>#N/A</v>
      </c>
      <c r="K364" s="3" t="e">
        <v>#N/A</v>
      </c>
      <c r="L364" s="3"/>
      <c r="M364" s="3"/>
      <c r="N364" s="3"/>
      <c r="Q364" s="4" t="s">
        <v>99</v>
      </c>
      <c r="R364" s="2" t="s">
        <v>17</v>
      </c>
      <c r="S364" s="2">
        <f>I364*0.49</f>
        <v>14.935565433854906</v>
      </c>
    </row>
    <row r="365" spans="1:19" ht="14.25" customHeight="1">
      <c r="A365" s="2" t="s">
        <v>15</v>
      </c>
      <c r="B365" s="2">
        <v>1903</v>
      </c>
      <c r="C365" s="2" t="s">
        <v>20</v>
      </c>
      <c r="G365" s="3"/>
      <c r="H365" s="3" t="e">
        <v>#N/A</v>
      </c>
      <c r="I365" s="3" t="e">
        <f t="shared" si="8"/>
        <v>#N/A</v>
      </c>
      <c r="J365" s="3" t="e">
        <v>#N/A</v>
      </c>
      <c r="K365" s="3" t="e">
        <v>#N/A</v>
      </c>
      <c r="L365" s="3"/>
      <c r="M365" s="3"/>
      <c r="N365" s="3"/>
      <c r="Q365" s="4" t="s">
        <v>99</v>
      </c>
      <c r="R365" s="2" t="s">
        <v>17</v>
      </c>
      <c r="S365" s="2" t="e">
        <f>I365*0.49</f>
        <v>#N/A</v>
      </c>
    </row>
    <row r="366" spans="1:19" ht="14.25" customHeight="1">
      <c r="A366" s="2" t="s">
        <v>15</v>
      </c>
      <c r="B366" s="2">
        <v>1904</v>
      </c>
      <c r="C366" s="2" t="s">
        <v>20</v>
      </c>
      <c r="G366" s="3"/>
      <c r="H366" s="3" t="e">
        <v>#N/A</v>
      </c>
      <c r="I366" s="3" t="e">
        <f t="shared" si="8"/>
        <v>#N/A</v>
      </c>
      <c r="J366" s="3" t="e">
        <v>#N/A</v>
      </c>
      <c r="K366" s="3" t="e">
        <v>#N/A</v>
      </c>
      <c r="L366" s="3"/>
      <c r="M366" s="3"/>
      <c r="N366" s="3"/>
      <c r="Q366" s="4" t="s">
        <v>99</v>
      </c>
      <c r="R366" s="2" t="s">
        <v>17</v>
      </c>
      <c r="S366" s="2" t="e">
        <f>I366*0.49</f>
        <v>#N/A</v>
      </c>
    </row>
    <row r="367" spans="1:19" ht="14.25" customHeight="1">
      <c r="A367" s="2" t="s">
        <v>15</v>
      </c>
      <c r="B367" s="2">
        <v>1905</v>
      </c>
      <c r="C367" s="2" t="s">
        <v>20</v>
      </c>
      <c r="G367" s="3"/>
      <c r="H367" s="3" t="e">
        <v>#N/A</v>
      </c>
      <c r="I367" s="3" t="e">
        <f t="shared" si="8"/>
        <v>#N/A</v>
      </c>
      <c r="J367" s="3" t="e">
        <v>#VALUE!</v>
      </c>
      <c r="K367" s="3" t="e">
        <v>#VALUE!</v>
      </c>
      <c r="L367" s="3"/>
      <c r="M367" s="3"/>
      <c r="N367" s="3"/>
      <c r="Q367" s="4" t="s">
        <v>99</v>
      </c>
      <c r="R367" s="2" t="s">
        <v>17</v>
      </c>
      <c r="S367" s="2" t="e">
        <f>I367*0.49</f>
        <v>#N/A</v>
      </c>
    </row>
    <row r="368" spans="1:19" ht="14.25" customHeight="1">
      <c r="A368" s="2" t="s">
        <v>15</v>
      </c>
      <c r="B368" s="2">
        <v>1906</v>
      </c>
      <c r="C368" s="2" t="s">
        <v>20</v>
      </c>
      <c r="G368" s="3"/>
      <c r="H368" s="3" t="e">
        <v>#N/A</v>
      </c>
      <c r="I368" s="3" t="e">
        <f t="shared" si="8"/>
        <v>#N/A</v>
      </c>
      <c r="J368" s="3" t="e">
        <v>#N/A</v>
      </c>
      <c r="K368" s="3" t="e">
        <v>#N/A</v>
      </c>
      <c r="L368" s="3"/>
      <c r="M368" s="3"/>
      <c r="N368" s="3"/>
      <c r="Q368" s="4" t="s">
        <v>99</v>
      </c>
      <c r="R368" s="2" t="s">
        <v>17</v>
      </c>
      <c r="S368" s="2" t="e">
        <f>I368*0.49</f>
        <v>#N/A</v>
      </c>
    </row>
    <row r="369" spans="1:19" ht="14.25" customHeight="1">
      <c r="A369" s="2" t="s">
        <v>15</v>
      </c>
      <c r="B369" s="2">
        <v>1907</v>
      </c>
      <c r="C369" s="2" t="s">
        <v>20</v>
      </c>
      <c r="G369" s="3"/>
      <c r="H369" s="3" t="e">
        <v>#N/A</v>
      </c>
      <c r="I369" s="3" t="e">
        <f t="shared" si="8"/>
        <v>#N/A</v>
      </c>
      <c r="J369" s="3" t="e">
        <v>#N/A</v>
      </c>
      <c r="K369" s="3" t="e">
        <v>#N/A</v>
      </c>
      <c r="L369" s="3"/>
      <c r="M369" s="3"/>
      <c r="N369" s="3"/>
      <c r="Q369" s="4" t="s">
        <v>99</v>
      </c>
      <c r="R369" s="2" t="s">
        <v>17</v>
      </c>
      <c r="S369" s="2" t="e">
        <f>I369*0.49</f>
        <v>#N/A</v>
      </c>
    </row>
    <row r="370" spans="1:19" ht="14.25" customHeight="1">
      <c r="A370" s="2" t="s">
        <v>15</v>
      </c>
      <c r="B370" s="2">
        <v>1908</v>
      </c>
      <c r="C370" s="2" t="s">
        <v>20</v>
      </c>
      <c r="G370" s="3"/>
      <c r="H370" s="3" t="e">
        <v>#N/A</v>
      </c>
      <c r="I370" s="3" t="e">
        <f t="shared" si="8"/>
        <v>#N/A</v>
      </c>
      <c r="J370" s="3" t="e">
        <v>#N/A</v>
      </c>
      <c r="K370" s="3" t="e">
        <v>#N/A</v>
      </c>
      <c r="L370" s="3"/>
      <c r="M370" s="3"/>
      <c r="N370" s="3"/>
      <c r="Q370" s="4" t="s">
        <v>99</v>
      </c>
      <c r="R370" s="2" t="s">
        <v>17</v>
      </c>
      <c r="S370" s="2" t="e">
        <f>I370*0.49</f>
        <v>#N/A</v>
      </c>
    </row>
    <row r="371" spans="1:19" ht="14.25" customHeight="1">
      <c r="A371" s="2" t="s">
        <v>15</v>
      </c>
      <c r="B371" s="2">
        <v>1909</v>
      </c>
      <c r="C371" s="2" t="s">
        <v>20</v>
      </c>
      <c r="G371" s="3"/>
      <c r="H371" s="3" t="e">
        <v>#N/A</v>
      </c>
      <c r="I371" s="3" t="e">
        <f t="shared" si="8"/>
        <v>#N/A</v>
      </c>
      <c r="J371" s="3" t="e">
        <v>#N/A</v>
      </c>
      <c r="K371" s="3" t="e">
        <v>#N/A</v>
      </c>
      <c r="L371" s="3"/>
      <c r="M371" s="3"/>
      <c r="N371" s="3"/>
      <c r="Q371" s="4" t="s">
        <v>99</v>
      </c>
      <c r="R371" s="2" t="s">
        <v>17</v>
      </c>
      <c r="S371" s="2" t="e">
        <f>I371*0.49</f>
        <v>#N/A</v>
      </c>
    </row>
    <row r="372" spans="1:19" ht="14.25" customHeight="1">
      <c r="A372" s="2" t="s">
        <v>15</v>
      </c>
      <c r="B372" s="2">
        <v>1910</v>
      </c>
      <c r="C372" s="2" t="s">
        <v>20</v>
      </c>
      <c r="G372" s="3"/>
      <c r="H372" s="3" t="e">
        <v>#N/A</v>
      </c>
      <c r="I372" s="3" t="e">
        <f t="shared" si="8"/>
        <v>#N/A</v>
      </c>
      <c r="J372" s="3">
        <v>9.2581284291810615</v>
      </c>
      <c r="K372" s="3" t="e">
        <v>#VALUE!</v>
      </c>
      <c r="L372" s="3"/>
      <c r="M372" s="3"/>
      <c r="N372" s="3"/>
      <c r="Q372" s="4" t="s">
        <v>99</v>
      </c>
      <c r="R372" s="2" t="s">
        <v>17</v>
      </c>
      <c r="S372" s="2" t="e">
        <f>I372*0.49</f>
        <v>#N/A</v>
      </c>
    </row>
    <row r="373" spans="1:19" ht="14.25" customHeight="1">
      <c r="A373" s="2" t="s">
        <v>15</v>
      </c>
      <c r="B373" s="2">
        <v>1911</v>
      </c>
      <c r="C373" s="2" t="s">
        <v>20</v>
      </c>
      <c r="G373" s="3"/>
      <c r="H373" s="3">
        <v>21.40469416785206</v>
      </c>
      <c r="I373" s="3">
        <f t="shared" si="8"/>
        <v>21.40469416785206</v>
      </c>
      <c r="J373" s="3" t="e">
        <v>#N/A</v>
      </c>
      <c r="K373" s="3" t="e">
        <v>#N/A</v>
      </c>
      <c r="L373" s="3"/>
      <c r="M373" s="3"/>
      <c r="N373" s="3"/>
      <c r="Q373" s="4" t="s">
        <v>99</v>
      </c>
      <c r="R373" s="2" t="s">
        <v>17</v>
      </c>
      <c r="S373" s="2">
        <f>I373*0.49</f>
        <v>10.488300142247509</v>
      </c>
    </row>
    <row r="374" spans="1:19" ht="14.25" customHeight="1">
      <c r="A374" s="2" t="s">
        <v>15</v>
      </c>
      <c r="B374" s="2">
        <v>1912</v>
      </c>
      <c r="C374" s="2" t="s">
        <v>20</v>
      </c>
      <c r="G374" s="3"/>
      <c r="H374" s="3">
        <v>19.368675066043483</v>
      </c>
      <c r="I374" s="3">
        <f t="shared" si="8"/>
        <v>19.368675066043483</v>
      </c>
      <c r="J374" s="3" t="e">
        <v>#N/A</v>
      </c>
      <c r="K374" s="3" t="e">
        <v>#N/A</v>
      </c>
      <c r="L374" s="3"/>
      <c r="M374" s="3"/>
      <c r="N374" s="3"/>
      <c r="Q374" s="4" t="s">
        <v>99</v>
      </c>
      <c r="R374" s="2" t="s">
        <v>17</v>
      </c>
      <c r="S374" s="2">
        <f>I374*0.49</f>
        <v>9.4906507823613069</v>
      </c>
    </row>
    <row r="375" spans="1:19" ht="14.25" customHeight="1">
      <c r="A375" s="2" t="s">
        <v>15</v>
      </c>
      <c r="B375" s="2">
        <v>1913</v>
      </c>
      <c r="C375" s="2" t="s">
        <v>20</v>
      </c>
      <c r="G375" s="3"/>
      <c r="H375" s="3">
        <v>21.308067465962203</v>
      </c>
      <c r="I375" s="3">
        <f t="shared" si="8"/>
        <v>21.308067465962203</v>
      </c>
      <c r="J375" s="3" t="e">
        <v>#N/A</v>
      </c>
      <c r="K375" s="3" t="e">
        <v>#N/A</v>
      </c>
      <c r="L375" s="3"/>
      <c r="M375" s="3"/>
      <c r="N375" s="3"/>
      <c r="Q375" s="4" t="s">
        <v>99</v>
      </c>
      <c r="R375" s="2" t="s">
        <v>17</v>
      </c>
      <c r="S375" s="2">
        <f>I375*0.49</f>
        <v>10.44095305832148</v>
      </c>
    </row>
    <row r="376" spans="1:19" ht="14.25" customHeight="1">
      <c r="A376" s="2" t="s">
        <v>15</v>
      </c>
      <c r="B376" s="2">
        <v>1914</v>
      </c>
      <c r="C376" s="2" t="s">
        <v>20</v>
      </c>
      <c r="G376" s="3"/>
      <c r="H376" s="3" t="e">
        <v>#N/A</v>
      </c>
      <c r="I376" s="3" t="e">
        <f t="shared" si="8"/>
        <v>#N/A</v>
      </c>
      <c r="J376" s="3">
        <v>6.8822393822393817</v>
      </c>
      <c r="K376" s="3" t="e">
        <v>#VALUE!</v>
      </c>
      <c r="L376" s="3"/>
      <c r="M376" s="3"/>
      <c r="N376" s="3"/>
      <c r="Q376" s="4" t="s">
        <v>100</v>
      </c>
      <c r="R376" s="2" t="s">
        <v>17</v>
      </c>
      <c r="S376" s="2" t="e">
        <f>I376*0.49</f>
        <v>#N/A</v>
      </c>
    </row>
    <row r="377" spans="1:19" ht="14.25" customHeight="1">
      <c r="A377" s="2" t="s">
        <v>15</v>
      </c>
      <c r="B377" s="2">
        <v>1915</v>
      </c>
      <c r="C377" s="2" t="s">
        <v>20</v>
      </c>
      <c r="G377" s="3"/>
      <c r="H377" s="3" t="e">
        <v>#N/A</v>
      </c>
      <c r="I377" s="3" t="e">
        <f t="shared" si="8"/>
        <v>#N/A</v>
      </c>
      <c r="J377" s="3">
        <v>3.54739890266206</v>
      </c>
      <c r="K377" s="3" t="e">
        <v>#VALUE!</v>
      </c>
      <c r="L377" s="3"/>
      <c r="M377" s="3"/>
      <c r="N377" s="3"/>
      <c r="Q377" s="4" t="s">
        <v>100</v>
      </c>
      <c r="R377" s="2" t="s">
        <v>17</v>
      </c>
      <c r="S377" s="2" t="e">
        <f>I377*0.49</f>
        <v>#N/A</v>
      </c>
    </row>
    <row r="378" spans="1:19" ht="14.25" customHeight="1">
      <c r="A378" s="2" t="s">
        <v>15</v>
      </c>
      <c r="B378" s="2">
        <v>1916</v>
      </c>
      <c r="C378" s="2" t="s">
        <v>20</v>
      </c>
      <c r="G378" s="3"/>
      <c r="H378" s="3" t="e">
        <v>#N/A</v>
      </c>
      <c r="I378" s="3" t="e">
        <f t="shared" si="8"/>
        <v>#N/A</v>
      </c>
      <c r="J378" s="3">
        <v>3.0941373704531596</v>
      </c>
      <c r="K378" s="3" t="e">
        <v>#VALUE!</v>
      </c>
      <c r="L378" s="3"/>
      <c r="M378" s="3"/>
      <c r="N378" s="3"/>
      <c r="Q378" s="4" t="s">
        <v>100</v>
      </c>
      <c r="R378" s="2" t="s">
        <v>17</v>
      </c>
      <c r="S378" s="2" t="e">
        <f>I378*0.49</f>
        <v>#N/A</v>
      </c>
    </row>
    <row r="379" spans="1:19" ht="14.25" customHeight="1">
      <c r="A379" s="2" t="s">
        <v>15</v>
      </c>
      <c r="B379" s="2">
        <v>1917</v>
      </c>
      <c r="C379" s="2" t="s">
        <v>20</v>
      </c>
      <c r="G379" s="3"/>
      <c r="H379" s="3" t="e">
        <v>#N/A</v>
      </c>
      <c r="I379" s="3" t="e">
        <f t="shared" si="8"/>
        <v>#N/A</v>
      </c>
      <c r="J379" s="3">
        <v>3.5721398089819139</v>
      </c>
      <c r="K379" s="3" t="e">
        <v>#VALUE!</v>
      </c>
      <c r="L379" s="3"/>
      <c r="M379" s="3"/>
      <c r="N379" s="3"/>
      <c r="Q379" s="4" t="s">
        <v>100</v>
      </c>
      <c r="R379" s="2" t="s">
        <v>17</v>
      </c>
      <c r="S379" s="2" t="e">
        <f>I379*0.49</f>
        <v>#N/A</v>
      </c>
    </row>
    <row r="380" spans="1:19" ht="14.25" customHeight="1">
      <c r="A380" s="2" t="s">
        <v>15</v>
      </c>
      <c r="B380" s="2">
        <v>1918</v>
      </c>
      <c r="C380" s="2" t="s">
        <v>20</v>
      </c>
      <c r="G380" s="3"/>
      <c r="H380" s="3" t="e">
        <v>#N/A</v>
      </c>
      <c r="I380" s="3" t="e">
        <f t="shared" si="8"/>
        <v>#N/A</v>
      </c>
      <c r="J380" s="3">
        <v>4.7343527738264575</v>
      </c>
      <c r="K380" s="3" t="e">
        <v>#VALUE!</v>
      </c>
      <c r="L380" s="3"/>
      <c r="M380" s="3"/>
      <c r="N380" s="3"/>
      <c r="Q380" s="4" t="s">
        <v>100</v>
      </c>
      <c r="R380" s="2" t="s">
        <v>17</v>
      </c>
      <c r="S380" s="2" t="e">
        <f>I380*0.49</f>
        <v>#N/A</v>
      </c>
    </row>
    <row r="381" spans="1:19" ht="14.25" customHeight="1">
      <c r="A381" s="2" t="s">
        <v>15</v>
      </c>
      <c r="B381" s="2">
        <v>1919</v>
      </c>
      <c r="C381" s="2" t="s">
        <v>20</v>
      </c>
      <c r="G381" s="3"/>
      <c r="H381" s="3">
        <v>13.440408453566349</v>
      </c>
      <c r="I381" s="3">
        <f t="shared" si="8"/>
        <v>13.440408453566349</v>
      </c>
      <c r="J381" s="3">
        <v>6.9249136354399505</v>
      </c>
      <c r="K381" s="3" t="e">
        <v>#VALUE!</v>
      </c>
      <c r="L381" s="3"/>
      <c r="M381" s="3"/>
      <c r="N381" s="3"/>
      <c r="Q381" s="4" t="s">
        <v>99</v>
      </c>
      <c r="R381" s="2" t="s">
        <v>17</v>
      </c>
      <c r="S381" s="2">
        <f>I381*0.49</f>
        <v>6.5858001422475105</v>
      </c>
    </row>
    <row r="382" spans="1:19" ht="14.25" customHeight="1">
      <c r="A382" s="2" t="s">
        <v>15</v>
      </c>
      <c r="B382" s="2">
        <v>1920</v>
      </c>
      <c r="C382" s="2" t="s">
        <v>20</v>
      </c>
      <c r="G382" s="3"/>
      <c r="H382" s="3">
        <v>20.190764072343018</v>
      </c>
      <c r="I382" s="3">
        <f t="shared" si="8"/>
        <v>20.190764072343018</v>
      </c>
      <c r="J382" s="3">
        <v>5.9918207681365576</v>
      </c>
      <c r="K382" s="3" t="e">
        <v>#VALUE!</v>
      </c>
      <c r="L382" s="3"/>
      <c r="M382" s="3"/>
      <c r="N382" s="3"/>
      <c r="Q382" s="4" t="s">
        <v>99</v>
      </c>
      <c r="R382" s="2" t="s">
        <v>17</v>
      </c>
      <c r="S382" s="2">
        <f>I382*0.49</f>
        <v>9.8934743954480791</v>
      </c>
    </row>
    <row r="383" spans="1:19" ht="14.25" customHeight="1">
      <c r="A383" s="2" t="s">
        <v>15</v>
      </c>
      <c r="B383" s="2">
        <v>1921</v>
      </c>
      <c r="C383" s="2" t="s">
        <v>20</v>
      </c>
      <c r="G383" s="3"/>
      <c r="H383" s="3">
        <v>17.721804511278194</v>
      </c>
      <c r="I383" s="3">
        <f t="shared" si="8"/>
        <v>17.721804511278194</v>
      </c>
      <c r="J383" s="3" t="e">
        <v>#N/A</v>
      </c>
      <c r="K383" s="3" t="e">
        <v>#N/A</v>
      </c>
      <c r="L383" s="3"/>
      <c r="M383" s="3"/>
      <c r="N383" s="3"/>
      <c r="Q383" s="4" t="s">
        <v>99</v>
      </c>
      <c r="R383" s="2" t="s">
        <v>17</v>
      </c>
      <c r="S383" s="2">
        <f>I383*0.49</f>
        <v>8.6836842105263141</v>
      </c>
    </row>
    <row r="384" spans="1:19" ht="14.25" customHeight="1">
      <c r="A384" s="2" t="s">
        <v>15</v>
      </c>
      <c r="B384" s="2">
        <v>1922</v>
      </c>
      <c r="C384" s="2" t="s">
        <v>20</v>
      </c>
      <c r="G384" s="3"/>
      <c r="H384" s="3">
        <v>15.875939849624059</v>
      </c>
      <c r="I384" s="3">
        <f t="shared" ref="I384:I417" si="9">H384*1.0078</f>
        <v>15.999772180451126</v>
      </c>
      <c r="J384" s="3" t="e">
        <v>#N/A</v>
      </c>
      <c r="K384" s="3" t="e">
        <v>#N/A</v>
      </c>
      <c r="L384" s="3"/>
      <c r="M384" s="3"/>
      <c r="N384" s="3"/>
      <c r="Q384" s="4" t="s">
        <v>99</v>
      </c>
      <c r="R384" s="2" t="s">
        <v>17</v>
      </c>
      <c r="S384" s="2">
        <f>I384*0.49</f>
        <v>7.8398883684210521</v>
      </c>
    </row>
    <row r="385" spans="1:19" ht="14.25" customHeight="1">
      <c r="A385" s="2" t="s">
        <v>15</v>
      </c>
      <c r="B385" s="2">
        <v>1923</v>
      </c>
      <c r="C385" s="2" t="s">
        <v>20</v>
      </c>
      <c r="G385" s="3"/>
      <c r="H385" s="3">
        <v>13.297754521438732</v>
      </c>
      <c r="I385" s="3">
        <f t="shared" si="9"/>
        <v>13.401477006705955</v>
      </c>
      <c r="J385" s="3" t="e">
        <v>#N/A</v>
      </c>
      <c r="K385" s="3" t="e">
        <v>#N/A</v>
      </c>
      <c r="L385" s="3"/>
      <c r="M385" s="3"/>
      <c r="N385" s="3"/>
      <c r="Q385" s="4" t="s">
        <v>99</v>
      </c>
      <c r="R385" s="2" t="s">
        <v>17</v>
      </c>
      <c r="S385" s="2">
        <f>I385*0.49</f>
        <v>6.5667237332859179</v>
      </c>
    </row>
    <row r="386" spans="1:19" ht="14.25" customHeight="1">
      <c r="A386" s="2" t="s">
        <v>15</v>
      </c>
      <c r="B386" s="2">
        <v>1924</v>
      </c>
      <c r="C386" s="2" t="s">
        <v>20</v>
      </c>
      <c r="G386" s="3"/>
      <c r="H386" s="3">
        <v>12.451127819548873</v>
      </c>
      <c r="I386" s="3">
        <f t="shared" si="9"/>
        <v>12.548246616541354</v>
      </c>
      <c r="J386" s="3" t="e">
        <v>#N/A</v>
      </c>
      <c r="K386" s="3" t="e">
        <v>#N/A</v>
      </c>
      <c r="L386" s="3"/>
      <c r="M386" s="3"/>
      <c r="N386" s="3"/>
      <c r="Q386" s="4" t="s">
        <v>99</v>
      </c>
      <c r="R386" s="2" t="s">
        <v>17</v>
      </c>
      <c r="S386" s="2">
        <f>I386*0.49</f>
        <v>6.1486408421052632</v>
      </c>
    </row>
    <row r="387" spans="1:19" ht="14.25" customHeight="1">
      <c r="A387" s="2" t="s">
        <v>15</v>
      </c>
      <c r="B387" s="2">
        <v>1925</v>
      </c>
      <c r="C387" s="2" t="s">
        <v>20</v>
      </c>
      <c r="G387" s="3"/>
      <c r="H387" s="3">
        <v>11.665007112375534</v>
      </c>
      <c r="I387" s="3">
        <f t="shared" si="9"/>
        <v>11.755994167852064</v>
      </c>
      <c r="J387" s="3">
        <v>1.9910587279008329</v>
      </c>
      <c r="K387" s="3">
        <v>2.5435887014834382</v>
      </c>
      <c r="L387" s="3"/>
      <c r="M387" s="3"/>
      <c r="N387" s="3"/>
      <c r="Q387" s="4" t="s">
        <v>99</v>
      </c>
      <c r="R387" s="2" t="s">
        <v>17</v>
      </c>
      <c r="S387" s="2">
        <f>I387*0.49</f>
        <v>5.7604371422475111</v>
      </c>
    </row>
    <row r="388" spans="1:19" ht="14.25" customHeight="1">
      <c r="A388" s="2" t="s">
        <v>15</v>
      </c>
      <c r="B388" s="2">
        <v>1926</v>
      </c>
      <c r="C388" s="2" t="s">
        <v>20</v>
      </c>
      <c r="G388" s="3"/>
      <c r="H388" s="3">
        <v>10.092968908758381</v>
      </c>
      <c r="I388" s="3">
        <f t="shared" si="9"/>
        <v>10.171694066246697</v>
      </c>
      <c r="J388" s="3" t="e">
        <v>#N/A</v>
      </c>
      <c r="K388" s="3" t="e">
        <v>#N/A</v>
      </c>
      <c r="L388" s="3"/>
      <c r="M388" s="3"/>
      <c r="N388" s="3"/>
      <c r="Q388" s="4" t="s">
        <v>99</v>
      </c>
      <c r="R388" s="2" t="s">
        <v>17</v>
      </c>
      <c r="S388" s="2">
        <f>I388*0.49</f>
        <v>4.984130092460882</v>
      </c>
    </row>
    <row r="389" spans="1:19" ht="14.25" customHeight="1">
      <c r="A389" s="2" t="s">
        <v>15</v>
      </c>
      <c r="B389" s="2">
        <v>1927</v>
      </c>
      <c r="C389" s="2" t="s">
        <v>20</v>
      </c>
      <c r="G389" s="3"/>
      <c r="H389" s="3">
        <v>9.4581893923999178</v>
      </c>
      <c r="I389" s="3">
        <f t="shared" si="9"/>
        <v>9.531963269660638</v>
      </c>
      <c r="J389" s="3" t="e">
        <v>#N/A</v>
      </c>
      <c r="K389" s="3" t="e">
        <v>#N/A</v>
      </c>
      <c r="L389" s="3"/>
      <c r="M389" s="3"/>
      <c r="N389" s="3"/>
      <c r="Q389" s="4" t="s">
        <v>99</v>
      </c>
      <c r="R389" s="2" t="s">
        <v>17</v>
      </c>
      <c r="S389" s="2">
        <f>I389*0.49</f>
        <v>4.6706620021337129</v>
      </c>
    </row>
    <row r="390" spans="1:19" ht="14.25" customHeight="1">
      <c r="A390" s="2" t="s">
        <v>15</v>
      </c>
      <c r="B390" s="2">
        <v>1928</v>
      </c>
      <c r="C390" s="2" t="s">
        <v>20</v>
      </c>
      <c r="G390" s="3"/>
      <c r="H390" s="3">
        <v>8.7379597642755531</v>
      </c>
      <c r="I390" s="3">
        <f t="shared" si="9"/>
        <v>8.8061158504369033</v>
      </c>
      <c r="J390" s="3" t="e">
        <v>#N/A</v>
      </c>
      <c r="K390" s="3" t="e">
        <v>#N/A</v>
      </c>
      <c r="L390" s="3"/>
      <c r="M390" s="3"/>
      <c r="N390" s="3"/>
      <c r="Q390" s="4" t="s">
        <v>99</v>
      </c>
      <c r="R390" s="2" t="s">
        <v>17</v>
      </c>
      <c r="S390" s="2">
        <f>I390*0.49</f>
        <v>4.3149967667140823</v>
      </c>
    </row>
    <row r="391" spans="1:19" ht="14.25" customHeight="1">
      <c r="A391" s="2" t="s">
        <v>15</v>
      </c>
      <c r="B391" s="2">
        <v>1929</v>
      </c>
      <c r="C391" s="2" t="s">
        <v>20</v>
      </c>
      <c r="G391" s="3"/>
      <c r="H391" s="3">
        <v>9.6024690103637464</v>
      </c>
      <c r="I391" s="3">
        <f t="shared" si="9"/>
        <v>9.6773682686445834</v>
      </c>
      <c r="J391" s="3" t="e">
        <v>#N/A</v>
      </c>
      <c r="K391" s="3" t="e">
        <v>#N/A</v>
      </c>
      <c r="L391" s="3"/>
      <c r="M391" s="3"/>
      <c r="N391" s="3"/>
      <c r="Q391" s="4" t="s">
        <v>99</v>
      </c>
      <c r="R391" s="2" t="s">
        <v>17</v>
      </c>
      <c r="S391" s="2">
        <f>I391*0.49</f>
        <v>4.7419104516358459</v>
      </c>
    </row>
    <row r="392" spans="1:19" ht="14.25" customHeight="1">
      <c r="A392" s="2" t="s">
        <v>15</v>
      </c>
      <c r="B392" s="2">
        <v>1930</v>
      </c>
      <c r="C392" s="2" t="s">
        <v>20</v>
      </c>
      <c r="G392" s="3"/>
      <c r="H392" s="3">
        <v>8.7977545214387316</v>
      </c>
      <c r="I392" s="3">
        <f t="shared" si="9"/>
        <v>8.8663770067059531</v>
      </c>
      <c r="J392" s="3">
        <v>0.72952651900020316</v>
      </c>
      <c r="K392" s="3">
        <v>1.9118573460678723</v>
      </c>
      <c r="L392" s="3"/>
      <c r="M392" s="3"/>
      <c r="N392" s="3"/>
      <c r="Q392" s="4" t="s">
        <v>99</v>
      </c>
      <c r="R392" s="2" t="s">
        <v>17</v>
      </c>
      <c r="S392" s="2">
        <f>I392*0.49</f>
        <v>4.3445247332859172</v>
      </c>
    </row>
    <row r="393" spans="1:19" ht="14.25" customHeight="1">
      <c r="A393" s="2" t="s">
        <v>15</v>
      </c>
      <c r="B393" s="2">
        <v>1931</v>
      </c>
      <c r="C393" s="2" t="s">
        <v>20</v>
      </c>
      <c r="G393" s="3"/>
      <c r="H393" s="3">
        <v>10.329455395244867</v>
      </c>
      <c r="I393" s="3">
        <f t="shared" si="9"/>
        <v>10.410025147327778</v>
      </c>
      <c r="J393" s="3" t="e">
        <v>#N/A</v>
      </c>
      <c r="K393" s="3" t="e">
        <v>#N/A</v>
      </c>
      <c r="L393" s="3"/>
      <c r="M393" s="3"/>
      <c r="N393" s="3"/>
      <c r="Q393" s="4" t="s">
        <v>99</v>
      </c>
      <c r="R393" s="2" t="s">
        <v>17</v>
      </c>
      <c r="S393" s="2">
        <f>I393*0.49</f>
        <v>5.1009123221906112</v>
      </c>
    </row>
    <row r="394" spans="1:19" ht="14.25" customHeight="1">
      <c r="A394" s="2" t="s">
        <v>15</v>
      </c>
      <c r="B394" s="2">
        <v>1932</v>
      </c>
      <c r="C394" s="2" t="s">
        <v>20</v>
      </c>
      <c r="G394" s="3"/>
      <c r="H394" s="3">
        <v>9.4687563503352976</v>
      </c>
      <c r="I394" s="3">
        <f t="shared" si="9"/>
        <v>9.5426126498679125</v>
      </c>
      <c r="J394" s="3" t="e">
        <v>#N/A</v>
      </c>
      <c r="K394" s="3" t="e">
        <v>#N/A</v>
      </c>
      <c r="L394" s="3"/>
      <c r="M394" s="3"/>
      <c r="N394" s="3"/>
      <c r="Q394" s="4" t="s">
        <v>99</v>
      </c>
      <c r="R394" s="2" t="s">
        <v>17</v>
      </c>
      <c r="S394" s="2">
        <f>I394*0.49</f>
        <v>4.6758801984352774</v>
      </c>
    </row>
    <row r="395" spans="1:19" ht="14.25" customHeight="1">
      <c r="A395" s="2" t="s">
        <v>15</v>
      </c>
      <c r="B395" s="2">
        <v>1933</v>
      </c>
      <c r="C395" s="2" t="s">
        <v>20</v>
      </c>
      <c r="G395" s="3"/>
      <c r="H395" s="3">
        <v>10.991160333265595</v>
      </c>
      <c r="I395" s="3">
        <f t="shared" si="9"/>
        <v>11.076891383865068</v>
      </c>
      <c r="J395" s="3" t="e">
        <v>#N/A</v>
      </c>
      <c r="K395" s="3" t="e">
        <v>#N/A</v>
      </c>
      <c r="L395" s="3"/>
      <c r="M395" s="3"/>
      <c r="N395" s="3"/>
      <c r="Q395" s="4" t="s">
        <v>99</v>
      </c>
      <c r="R395" s="2" t="s">
        <v>17</v>
      </c>
      <c r="S395" s="2">
        <f>I395*0.49</f>
        <v>5.4276767780938826</v>
      </c>
    </row>
    <row r="396" spans="1:19" ht="14.25" customHeight="1">
      <c r="A396" s="2" t="s">
        <v>15</v>
      </c>
      <c r="B396" s="2">
        <v>1934</v>
      </c>
      <c r="C396" s="2" t="s">
        <v>20</v>
      </c>
      <c r="G396" s="3"/>
      <c r="H396" s="3">
        <v>11.1346779109937</v>
      </c>
      <c r="I396" s="3">
        <f t="shared" si="9"/>
        <v>11.221528398699451</v>
      </c>
      <c r="J396" s="3" t="e">
        <v>#N/A</v>
      </c>
      <c r="K396" s="3" t="e">
        <v>#N/A</v>
      </c>
      <c r="L396" s="3"/>
      <c r="M396" s="3"/>
      <c r="N396" s="3"/>
      <c r="Q396" s="4" t="s">
        <v>99</v>
      </c>
      <c r="R396" s="2" t="s">
        <v>17</v>
      </c>
      <c r="S396" s="2">
        <f>I396*0.49</f>
        <v>5.4985489153627309</v>
      </c>
    </row>
    <row r="397" spans="1:19" ht="14.25" customHeight="1">
      <c r="A397" s="2" t="s">
        <v>15</v>
      </c>
      <c r="B397" s="2">
        <v>1935</v>
      </c>
      <c r="C397" s="2" t="s">
        <v>20</v>
      </c>
      <c r="G397" s="3"/>
      <c r="H397" s="3">
        <v>11.617811420442999</v>
      </c>
      <c r="I397" s="3">
        <f t="shared" si="9"/>
        <v>11.708430349522455</v>
      </c>
      <c r="J397" s="3">
        <v>0.25203210729526515</v>
      </c>
      <c r="K397" s="3">
        <v>0.58966673440357642</v>
      </c>
      <c r="L397" s="3"/>
      <c r="M397" s="3"/>
      <c r="N397" s="3"/>
      <c r="Q397" s="4" t="s">
        <v>99</v>
      </c>
      <c r="R397" s="2" t="s">
        <v>17</v>
      </c>
      <c r="S397" s="2">
        <f>I397*0.49</f>
        <v>5.737130871266003</v>
      </c>
    </row>
    <row r="398" spans="1:19" ht="14.25" customHeight="1">
      <c r="A398" s="2" t="s">
        <v>15</v>
      </c>
      <c r="B398" s="2">
        <v>1936</v>
      </c>
      <c r="C398" s="2" t="s">
        <v>20</v>
      </c>
      <c r="G398" s="3"/>
      <c r="H398" s="3">
        <v>12.635439951229424</v>
      </c>
      <c r="I398" s="3">
        <f t="shared" si="9"/>
        <v>12.733996382849014</v>
      </c>
      <c r="J398" s="3" t="e">
        <v>#N/A</v>
      </c>
      <c r="K398" s="3" t="e">
        <v>#N/A</v>
      </c>
      <c r="L398" s="3"/>
      <c r="M398" s="3"/>
      <c r="N398" s="3"/>
      <c r="Q398" s="4" t="s">
        <v>99</v>
      </c>
      <c r="R398" s="2" t="s">
        <v>17</v>
      </c>
      <c r="S398" s="2">
        <f>I398*0.49</f>
        <v>6.2396582275960171</v>
      </c>
    </row>
    <row r="399" spans="1:19" ht="14.25" customHeight="1">
      <c r="A399" s="2" t="s">
        <v>15</v>
      </c>
      <c r="B399" s="2">
        <v>1937</v>
      </c>
      <c r="C399" s="2" t="s">
        <v>20</v>
      </c>
      <c r="G399" s="3"/>
      <c r="H399" s="3">
        <v>9.1082605161552532</v>
      </c>
      <c r="I399" s="3">
        <f t="shared" si="9"/>
        <v>9.1793049481812652</v>
      </c>
      <c r="J399" s="3" t="e">
        <v>#N/A</v>
      </c>
      <c r="K399" s="3" t="e">
        <v>#N/A</v>
      </c>
      <c r="L399" s="3"/>
      <c r="M399" s="3"/>
      <c r="N399" s="3"/>
      <c r="Q399" s="4" t="s">
        <v>99</v>
      </c>
      <c r="R399" s="2" t="s">
        <v>17</v>
      </c>
      <c r="S399" s="2">
        <f>I399*0.49</f>
        <v>4.4978594246088202</v>
      </c>
    </row>
    <row r="400" spans="1:19" ht="14.25" customHeight="1">
      <c r="A400" s="2" t="s">
        <v>15</v>
      </c>
      <c r="B400" s="2">
        <v>1938</v>
      </c>
      <c r="C400" s="2" t="s">
        <v>20</v>
      </c>
      <c r="G400" s="3"/>
      <c r="H400" s="3">
        <v>10.218705547652915</v>
      </c>
      <c r="I400" s="3">
        <f t="shared" si="9"/>
        <v>10.298411450924608</v>
      </c>
      <c r="J400" s="3" t="e">
        <v>#N/A</v>
      </c>
      <c r="K400" s="3" t="e">
        <v>#N/A</v>
      </c>
      <c r="L400" s="3"/>
      <c r="M400" s="3"/>
      <c r="N400" s="3"/>
      <c r="Q400" s="4" t="s">
        <v>99</v>
      </c>
      <c r="R400" s="2" t="s">
        <v>17</v>
      </c>
      <c r="S400" s="2">
        <f>I400*0.49</f>
        <v>5.046221610953058</v>
      </c>
    </row>
    <row r="401" spans="1:19" ht="14.25" customHeight="1">
      <c r="A401" s="2" t="s">
        <v>15</v>
      </c>
      <c r="B401" s="2">
        <v>1939</v>
      </c>
      <c r="C401" s="2" t="s">
        <v>20</v>
      </c>
      <c r="G401" s="3"/>
      <c r="H401" s="3">
        <v>6.7520321072952649</v>
      </c>
      <c r="I401" s="3">
        <f t="shared" si="9"/>
        <v>6.8046979577321682</v>
      </c>
      <c r="J401" s="3" t="e">
        <v>#N/A</v>
      </c>
      <c r="K401" s="3" t="e">
        <v>#N/A</v>
      </c>
      <c r="L401" s="3"/>
      <c r="M401" s="3"/>
      <c r="N401" s="3"/>
      <c r="Q401" s="4" t="s">
        <v>100</v>
      </c>
      <c r="R401" s="2" t="s">
        <v>17</v>
      </c>
      <c r="S401" s="2">
        <f>I401*0.49</f>
        <v>3.3343019992887624</v>
      </c>
    </row>
    <row r="402" spans="1:19" ht="14.25" customHeight="1">
      <c r="A402" s="2" t="s">
        <v>15</v>
      </c>
      <c r="B402" s="2">
        <v>1940</v>
      </c>
      <c r="C402" s="2" t="s">
        <v>20</v>
      </c>
      <c r="G402" s="3"/>
      <c r="H402" s="3">
        <v>6.3523674049989838</v>
      </c>
      <c r="I402" s="3">
        <f t="shared" si="9"/>
        <v>6.4019158707579757</v>
      </c>
      <c r="J402" s="3" t="e">
        <v>#VALUE!</v>
      </c>
      <c r="K402" s="3" t="e">
        <v>#VALUE!</v>
      </c>
      <c r="L402" s="3"/>
      <c r="M402" s="3"/>
      <c r="N402" s="3"/>
      <c r="Q402" s="4" t="s">
        <v>100</v>
      </c>
      <c r="R402" s="2" t="s">
        <v>17</v>
      </c>
      <c r="S402" s="2">
        <f>I402*0.49</f>
        <v>3.1369387766714079</v>
      </c>
    </row>
    <row r="403" spans="1:19" ht="14.25" customHeight="1">
      <c r="A403" s="2" t="s">
        <v>15</v>
      </c>
      <c r="B403" s="2">
        <v>1941</v>
      </c>
      <c r="C403" s="2" t="s">
        <v>20</v>
      </c>
      <c r="G403" s="3"/>
      <c r="H403" s="3">
        <v>3.6921865474497055</v>
      </c>
      <c r="I403" s="3">
        <f t="shared" si="9"/>
        <v>3.7209856025198134</v>
      </c>
      <c r="J403" s="3" t="e">
        <v>#N/A</v>
      </c>
      <c r="K403" s="3" t="e">
        <v>#N/A</v>
      </c>
      <c r="L403" s="3"/>
      <c r="M403" s="3"/>
      <c r="N403" s="3"/>
      <c r="Q403" s="4" t="s">
        <v>100</v>
      </c>
      <c r="R403" s="2" t="s">
        <v>17</v>
      </c>
      <c r="S403" s="2">
        <f>I403*0.49</f>
        <v>1.8232829452347086</v>
      </c>
    </row>
    <row r="404" spans="1:19" ht="14.25" customHeight="1">
      <c r="A404" s="2" t="s">
        <v>15</v>
      </c>
      <c r="B404" s="2">
        <v>1942</v>
      </c>
      <c r="C404" s="2" t="s">
        <v>20</v>
      </c>
      <c r="G404" s="3"/>
      <c r="H404" s="3">
        <v>4.2239890266206057</v>
      </c>
      <c r="I404" s="3">
        <f t="shared" si="9"/>
        <v>4.2569361410282465</v>
      </c>
      <c r="J404" s="3" t="e">
        <v>#VALUE!</v>
      </c>
      <c r="K404" s="3" t="e">
        <v>#VALUE!</v>
      </c>
      <c r="L404" s="3"/>
      <c r="M404" s="3"/>
      <c r="N404" s="3"/>
      <c r="Q404" s="4" t="s">
        <v>100</v>
      </c>
      <c r="R404" s="2" t="s">
        <v>17</v>
      </c>
      <c r="S404" s="2">
        <f>I404*0.49</f>
        <v>2.0858987091038408</v>
      </c>
    </row>
    <row r="405" spans="1:19" ht="14.25" customHeight="1">
      <c r="A405" s="2" t="s">
        <v>15</v>
      </c>
      <c r="B405" s="2">
        <v>1943</v>
      </c>
      <c r="C405" s="2" t="s">
        <v>20</v>
      </c>
      <c r="G405" s="3"/>
      <c r="H405" s="3">
        <v>2.3452042267831739</v>
      </c>
      <c r="I405" s="3">
        <f t="shared" si="9"/>
        <v>2.3634968197520827</v>
      </c>
      <c r="J405" s="3" t="e">
        <v>#N/A</v>
      </c>
      <c r="K405" s="3" t="e">
        <v>#N/A</v>
      </c>
      <c r="L405" s="3"/>
      <c r="M405" s="3"/>
      <c r="N405" s="3"/>
      <c r="Q405" s="4" t="s">
        <v>100</v>
      </c>
      <c r="R405" s="2" t="s">
        <v>17</v>
      </c>
      <c r="S405" s="2">
        <f>I405*0.49</f>
        <v>1.1581134416785206</v>
      </c>
    </row>
    <row r="406" spans="1:19" ht="14.25" customHeight="1">
      <c r="A406" s="2" t="s">
        <v>15</v>
      </c>
      <c r="B406" s="2">
        <v>1944</v>
      </c>
      <c r="C406" s="2" t="s">
        <v>20</v>
      </c>
      <c r="G406" s="3"/>
      <c r="H406" s="3">
        <v>3.6492582808372283</v>
      </c>
      <c r="I406" s="3">
        <f t="shared" si="9"/>
        <v>3.6777224954277585</v>
      </c>
      <c r="J406" s="3" t="e">
        <v>#VALUE!</v>
      </c>
      <c r="K406" s="3" t="e">
        <v>#VALUE!</v>
      </c>
      <c r="L406" s="3"/>
      <c r="M406" s="3"/>
      <c r="N406" s="3"/>
      <c r="Q406" s="4" t="s">
        <v>100</v>
      </c>
      <c r="R406" s="2" t="s">
        <v>17</v>
      </c>
      <c r="S406" s="2">
        <f>I406*0.49</f>
        <v>1.8020840227596016</v>
      </c>
    </row>
    <row r="407" spans="1:19" ht="14.25" customHeight="1">
      <c r="A407" s="2" t="s">
        <v>15</v>
      </c>
      <c r="B407" s="2">
        <v>1945</v>
      </c>
      <c r="C407" s="2" t="s">
        <v>20</v>
      </c>
      <c r="G407" s="3"/>
      <c r="H407" s="3">
        <v>3.7098150782361308</v>
      </c>
      <c r="I407" s="3">
        <f t="shared" si="9"/>
        <v>3.7387516358463726</v>
      </c>
      <c r="J407" s="3" t="e">
        <v>#N/A</v>
      </c>
      <c r="K407" s="3" t="e">
        <v>#N/A</v>
      </c>
      <c r="L407" s="3"/>
      <c r="M407" s="3"/>
      <c r="N407" s="3"/>
      <c r="Q407" s="4" t="s">
        <v>100</v>
      </c>
      <c r="R407" s="2" t="s">
        <v>17</v>
      </c>
      <c r="S407" s="2">
        <f>I407*0.49</f>
        <v>1.8319883015647225</v>
      </c>
    </row>
    <row r="408" spans="1:19" ht="14.25" customHeight="1">
      <c r="A408" s="2" t="s">
        <v>15</v>
      </c>
      <c r="B408" s="2">
        <v>1946</v>
      </c>
      <c r="C408" s="2" t="s">
        <v>20</v>
      </c>
      <c r="G408" s="3"/>
      <c r="H408" s="3">
        <v>3.171255842308474</v>
      </c>
      <c r="I408" s="3">
        <f t="shared" si="9"/>
        <v>3.1959916378784801</v>
      </c>
      <c r="J408" s="3" t="e">
        <v>#VALUE!</v>
      </c>
      <c r="K408" s="3" t="e">
        <v>#VALUE!</v>
      </c>
      <c r="L408" s="3"/>
      <c r="M408" s="3"/>
      <c r="N408" s="3"/>
      <c r="Q408" s="4" t="s">
        <v>99</v>
      </c>
      <c r="R408" s="2" t="s">
        <v>17</v>
      </c>
      <c r="S408" s="2">
        <f>I408*0.49</f>
        <v>1.5660359025604551</v>
      </c>
    </row>
    <row r="409" spans="1:19" ht="14.25" customHeight="1">
      <c r="A409" s="2" t="s">
        <v>15</v>
      </c>
      <c r="B409" s="2">
        <v>1947</v>
      </c>
      <c r="C409" s="2" t="s">
        <v>20</v>
      </c>
      <c r="G409" s="3"/>
      <c r="H409" s="3">
        <v>3.6330522251574879</v>
      </c>
      <c r="I409" s="3">
        <f t="shared" si="9"/>
        <v>3.6613900325137165</v>
      </c>
      <c r="J409" s="3" t="e">
        <v>#N/A</v>
      </c>
      <c r="K409" s="3" t="e">
        <v>#N/A</v>
      </c>
      <c r="L409" s="3"/>
      <c r="M409" s="3"/>
      <c r="N409" s="3"/>
      <c r="Q409" s="4" t="s">
        <v>99</v>
      </c>
      <c r="R409" s="2" t="s">
        <v>17</v>
      </c>
      <c r="S409" s="2">
        <f>I409*0.49</f>
        <v>1.7940811159317211</v>
      </c>
    </row>
    <row r="410" spans="1:19" ht="14.25" customHeight="1">
      <c r="A410" s="2" t="s">
        <v>15</v>
      </c>
      <c r="B410" s="2">
        <v>1948</v>
      </c>
      <c r="C410" s="2" t="s">
        <v>20</v>
      </c>
      <c r="G410" s="3"/>
      <c r="H410" s="3">
        <v>8.1517476122739279</v>
      </c>
      <c r="I410" s="3">
        <f t="shared" si="9"/>
        <v>8.2153312436496648</v>
      </c>
      <c r="J410" s="3" t="e">
        <v>#N/A</v>
      </c>
      <c r="K410" s="3" t="e">
        <v>#N/A</v>
      </c>
      <c r="L410" s="3"/>
      <c r="M410" s="3"/>
      <c r="N410" s="3"/>
      <c r="Q410" s="4" t="s">
        <v>99</v>
      </c>
      <c r="R410" s="2" t="s">
        <v>17</v>
      </c>
      <c r="S410" s="2">
        <f>I410*0.49</f>
        <v>4.0255123093883354</v>
      </c>
    </row>
    <row r="411" spans="1:19" ht="14.25" customHeight="1">
      <c r="A411" s="2" t="s">
        <v>15</v>
      </c>
      <c r="B411" s="2">
        <v>1949</v>
      </c>
      <c r="C411" s="2" t="s">
        <v>20</v>
      </c>
      <c r="G411" s="3"/>
      <c r="H411" s="3">
        <v>6.8559235927656976</v>
      </c>
      <c r="I411" s="3">
        <f t="shared" si="9"/>
        <v>6.9093997967892706</v>
      </c>
      <c r="J411" s="3" t="e">
        <v>#N/A</v>
      </c>
      <c r="K411" s="3" t="e">
        <v>#N/A</v>
      </c>
      <c r="L411" s="3"/>
      <c r="M411" s="3"/>
      <c r="N411" s="3"/>
      <c r="Q411" s="4" t="s">
        <v>99</v>
      </c>
      <c r="R411" s="2" t="s">
        <v>17</v>
      </c>
      <c r="S411" s="2">
        <f>I411*0.49</f>
        <v>3.3856059004267425</v>
      </c>
    </row>
    <row r="412" spans="1:19" ht="14.25" customHeight="1">
      <c r="A412" s="2" t="s">
        <v>15</v>
      </c>
      <c r="B412" s="2">
        <v>1950</v>
      </c>
      <c r="C412" s="2" t="s">
        <v>20</v>
      </c>
      <c r="G412" s="3"/>
      <c r="H412" s="3">
        <v>4.1533224954277586</v>
      </c>
      <c r="I412" s="3">
        <f t="shared" si="9"/>
        <v>4.1857184108920951</v>
      </c>
      <c r="J412" s="3" t="e">
        <v>#VALUE!</v>
      </c>
      <c r="K412" s="3" t="e">
        <v>#VALUE!</v>
      </c>
      <c r="L412" s="3"/>
      <c r="M412" s="3"/>
      <c r="N412" s="3"/>
      <c r="Q412" s="4" t="s">
        <v>99</v>
      </c>
      <c r="R412" s="2" t="s">
        <v>17</v>
      </c>
      <c r="S412" s="2">
        <f>I412*0.49</f>
        <v>2.0510020213371267</v>
      </c>
    </row>
    <row r="413" spans="1:19" ht="14.25" customHeight="1">
      <c r="A413" s="2" t="s">
        <v>15</v>
      </c>
      <c r="B413" s="2">
        <v>1951</v>
      </c>
      <c r="C413" s="2" t="s">
        <v>20</v>
      </c>
      <c r="G413" s="3"/>
      <c r="H413" s="3">
        <v>6.3154338549075391</v>
      </c>
      <c r="I413" s="3">
        <f t="shared" si="9"/>
        <v>6.3646942389758179</v>
      </c>
      <c r="J413" s="3" t="e">
        <v>#N/A</v>
      </c>
      <c r="K413" s="3" t="e">
        <v>#N/A</v>
      </c>
      <c r="L413" s="3"/>
      <c r="M413" s="3"/>
      <c r="N413" s="3"/>
      <c r="Q413" s="4" t="s">
        <v>99</v>
      </c>
      <c r="R413" s="2" t="s">
        <v>17</v>
      </c>
      <c r="S413" s="2">
        <f>I413*0.49</f>
        <v>3.1187001770981508</v>
      </c>
    </row>
    <row r="414" spans="1:19" ht="14.25" customHeight="1">
      <c r="A414" s="2" t="s">
        <v>15</v>
      </c>
      <c r="B414" s="2">
        <v>1952</v>
      </c>
      <c r="C414" s="2" t="s">
        <v>20</v>
      </c>
      <c r="G414" s="3"/>
      <c r="H414" s="3">
        <v>6.630156472261735</v>
      </c>
      <c r="I414" s="3">
        <f t="shared" si="9"/>
        <v>6.6818716927453767</v>
      </c>
      <c r="J414" s="3" t="e">
        <v>#N/A</v>
      </c>
      <c r="K414" s="3" t="e">
        <v>#N/A</v>
      </c>
      <c r="L414" s="3"/>
      <c r="M414" s="3"/>
      <c r="N414" s="3"/>
      <c r="Q414" s="4" t="s">
        <v>99</v>
      </c>
      <c r="R414" s="2" t="s">
        <v>17</v>
      </c>
      <c r="S414" s="2">
        <f>I414*0.49</f>
        <v>3.2741171294452345</v>
      </c>
    </row>
    <row r="415" spans="1:19" ht="14.25" customHeight="1">
      <c r="A415" s="2" t="s">
        <v>15</v>
      </c>
      <c r="B415" s="2">
        <v>1953</v>
      </c>
      <c r="C415" s="2" t="s">
        <v>20</v>
      </c>
      <c r="G415" s="3"/>
      <c r="H415" s="3">
        <v>4.507772810404389</v>
      </c>
      <c r="I415" s="3">
        <f t="shared" si="9"/>
        <v>4.5429334383255435</v>
      </c>
      <c r="J415" s="3" t="e">
        <v>#N/A</v>
      </c>
      <c r="K415" s="3" t="e">
        <v>#N/A</v>
      </c>
      <c r="L415" s="3"/>
      <c r="M415" s="3"/>
      <c r="N415" s="3"/>
      <c r="Q415" s="4" t="s">
        <v>99</v>
      </c>
      <c r="R415" s="2" t="s">
        <v>17</v>
      </c>
      <c r="S415" s="2">
        <f>I415*0.49</f>
        <v>2.2260373847795161</v>
      </c>
    </row>
    <row r="416" spans="1:19" ht="14.25" customHeight="1">
      <c r="A416" s="2" t="s">
        <v>15</v>
      </c>
      <c r="B416" s="2">
        <v>1954</v>
      </c>
      <c r="C416" s="2" t="s">
        <v>20</v>
      </c>
      <c r="G416" s="3"/>
      <c r="H416" s="3">
        <v>5.0083316399105868</v>
      </c>
      <c r="I416" s="3">
        <f t="shared" si="9"/>
        <v>5.0473966267018895</v>
      </c>
      <c r="J416" s="3" t="e">
        <v>#N/A</v>
      </c>
      <c r="K416" s="3" t="e">
        <v>#N/A</v>
      </c>
      <c r="L416" s="3"/>
      <c r="M416" s="3"/>
      <c r="N416" s="3"/>
      <c r="Q416" s="4" t="s">
        <v>99</v>
      </c>
      <c r="R416" s="2" t="s">
        <v>17</v>
      </c>
      <c r="S416" s="2">
        <f>I416*0.49</f>
        <v>2.4732243470839257</v>
      </c>
    </row>
    <row r="417" spans="1:19" ht="14.25" customHeight="1">
      <c r="A417" s="2" t="s">
        <v>15</v>
      </c>
      <c r="B417" s="2">
        <v>1955</v>
      </c>
      <c r="C417" s="2" t="s">
        <v>20</v>
      </c>
      <c r="G417" s="3"/>
      <c r="H417" s="3">
        <v>4.2367404998983949</v>
      </c>
      <c r="I417" s="3">
        <f t="shared" si="9"/>
        <v>4.2697870757976029</v>
      </c>
      <c r="J417" s="3" t="e">
        <v>#VALUE!</v>
      </c>
      <c r="K417" s="3" t="e">
        <v>#VALUE!</v>
      </c>
      <c r="L417" s="3"/>
      <c r="M417" s="3"/>
      <c r="N417" s="3"/>
      <c r="Q417" s="4" t="s">
        <v>99</v>
      </c>
      <c r="R417" s="2" t="s">
        <v>17</v>
      </c>
      <c r="S417" s="2">
        <f>I417*0.49</f>
        <v>2.0921956671408255</v>
      </c>
    </row>
    <row r="418" spans="1:19" ht="14.25" customHeight="1">
      <c r="A418" s="2" t="s">
        <v>15</v>
      </c>
      <c r="B418" s="2">
        <v>1956</v>
      </c>
      <c r="C418" s="2" t="s">
        <v>20</v>
      </c>
      <c r="G418" s="3"/>
      <c r="H418" s="3">
        <v>3.0898699451331026</v>
      </c>
      <c r="I418" s="3">
        <f t="shared" ref="I418:I426" si="10">H418*1.0098</f>
        <v>3.120150670595407</v>
      </c>
      <c r="J418" s="3" t="e">
        <v>#N/A</v>
      </c>
      <c r="K418" s="3" t="e">
        <v>#N/A</v>
      </c>
      <c r="L418" s="3"/>
      <c r="M418" s="3"/>
      <c r="N418" s="3"/>
      <c r="Q418" s="4" t="s">
        <v>99</v>
      </c>
      <c r="R418" s="2" t="s">
        <v>17</v>
      </c>
      <c r="S418" s="2">
        <f>I418*0.49</f>
        <v>1.5288738285917494</v>
      </c>
    </row>
    <row r="419" spans="1:19" ht="14.25" customHeight="1">
      <c r="A419" s="2" t="s">
        <v>15</v>
      </c>
      <c r="B419" s="2">
        <v>1957</v>
      </c>
      <c r="C419" s="2" t="s">
        <v>20</v>
      </c>
      <c r="G419" s="3"/>
      <c r="H419" s="3">
        <v>3.7528957528957525</v>
      </c>
      <c r="I419" s="3">
        <f t="shared" si="10"/>
        <v>3.7896741312741309</v>
      </c>
      <c r="J419" s="3" t="e">
        <v>#N/A</v>
      </c>
      <c r="K419" s="3" t="e">
        <v>#N/A</v>
      </c>
      <c r="L419" s="3"/>
      <c r="M419" s="3"/>
      <c r="N419" s="3"/>
      <c r="Q419" s="4" t="s">
        <v>99</v>
      </c>
      <c r="R419" s="2" t="s">
        <v>17</v>
      </c>
      <c r="S419" s="2">
        <f>I419*0.49</f>
        <v>1.8569403243243241</v>
      </c>
    </row>
    <row r="420" spans="1:19" ht="14.25" customHeight="1">
      <c r="A420" s="2" t="s">
        <v>15</v>
      </c>
      <c r="B420" s="2">
        <v>1958</v>
      </c>
      <c r="C420" s="2" t="s">
        <v>20</v>
      </c>
      <c r="G420" s="3"/>
      <c r="H420" s="3">
        <v>3.9011887827677301</v>
      </c>
      <c r="I420" s="3">
        <f t="shared" si="10"/>
        <v>3.9394204328388538</v>
      </c>
      <c r="J420" s="3" t="e">
        <v>#N/A</v>
      </c>
      <c r="K420" s="3" t="e">
        <v>#N/A</v>
      </c>
      <c r="L420" s="3"/>
      <c r="M420" s="3"/>
      <c r="N420" s="3"/>
      <c r="Q420" s="4" t="s">
        <v>99</v>
      </c>
      <c r="R420" s="2" t="s">
        <v>17</v>
      </c>
      <c r="S420" s="2">
        <f>I420*0.49</f>
        <v>1.9303160120910383</v>
      </c>
    </row>
    <row r="421" spans="1:19" ht="14.25" customHeight="1">
      <c r="A421" s="2" t="s">
        <v>15</v>
      </c>
      <c r="B421" s="2">
        <v>1959</v>
      </c>
      <c r="C421" s="2" t="s">
        <v>20</v>
      </c>
      <c r="G421" s="3"/>
      <c r="H421" s="3">
        <v>4.8185328185328178</v>
      </c>
      <c r="I421" s="3">
        <f t="shared" si="10"/>
        <v>4.8657544401544399</v>
      </c>
      <c r="J421" s="3" t="e">
        <v>#N/A</v>
      </c>
      <c r="K421" s="3" t="e">
        <v>#N/A</v>
      </c>
      <c r="L421" s="3"/>
      <c r="M421" s="3"/>
      <c r="N421" s="3"/>
      <c r="Q421" s="4" t="s">
        <v>99</v>
      </c>
      <c r="R421" s="2" t="s">
        <v>17</v>
      </c>
      <c r="S421" s="2">
        <f>I421*0.49</f>
        <v>2.3842196756756757</v>
      </c>
    </row>
    <row r="422" spans="1:19" ht="14.25" customHeight="1">
      <c r="A422" s="2" t="s">
        <v>15</v>
      </c>
      <c r="B422" s="2">
        <v>1960</v>
      </c>
      <c r="C422" s="2" t="s">
        <v>20</v>
      </c>
      <c r="G422" s="3"/>
      <c r="H422" s="3">
        <v>3.7700162568583617</v>
      </c>
      <c r="I422" s="3">
        <f t="shared" si="10"/>
        <v>3.806962416175574</v>
      </c>
      <c r="J422" s="3" t="e">
        <v>#VALUE!</v>
      </c>
      <c r="K422" s="3" t="e">
        <v>#VALUE!</v>
      </c>
      <c r="L422" s="3"/>
      <c r="M422" s="3"/>
      <c r="N422" s="3"/>
      <c r="Q422" s="4" t="s">
        <v>99</v>
      </c>
      <c r="R422" s="2" t="s">
        <v>17</v>
      </c>
      <c r="S422" s="2">
        <f>I422*0.49</f>
        <v>1.8654115839260312</v>
      </c>
    </row>
    <row r="423" spans="1:19" ht="14.25" customHeight="1">
      <c r="A423" s="2" t="s">
        <v>15</v>
      </c>
      <c r="B423" s="2">
        <v>1961</v>
      </c>
      <c r="C423" s="2" t="s">
        <v>20</v>
      </c>
      <c r="G423" s="3"/>
      <c r="H423" s="3">
        <v>4.9282158097947564</v>
      </c>
      <c r="I423" s="3">
        <f t="shared" si="10"/>
        <v>4.976512324730745</v>
      </c>
      <c r="J423" s="3" t="e">
        <v>#N/A</v>
      </c>
      <c r="K423" s="3" t="e">
        <v>#N/A</v>
      </c>
      <c r="L423" s="3"/>
      <c r="M423" s="3"/>
      <c r="N423" s="3"/>
      <c r="Q423" s="4" t="s">
        <v>99</v>
      </c>
      <c r="R423" s="2" t="s">
        <v>17</v>
      </c>
      <c r="S423" s="2">
        <f>I423*0.49</f>
        <v>2.4384910391180652</v>
      </c>
    </row>
    <row r="424" spans="1:19" ht="14.25" customHeight="1">
      <c r="A424" s="2" t="s">
        <v>15</v>
      </c>
      <c r="B424" s="2">
        <v>1962</v>
      </c>
      <c r="C424" s="2" t="s">
        <v>20</v>
      </c>
      <c r="G424" s="3"/>
      <c r="H424" s="3">
        <v>4.4132798211745579</v>
      </c>
      <c r="I424" s="3">
        <f t="shared" si="10"/>
        <v>4.456529963422069</v>
      </c>
      <c r="J424" s="3" t="e">
        <v>#N/A</v>
      </c>
      <c r="K424" s="3" t="e">
        <v>#N/A</v>
      </c>
      <c r="L424" s="3"/>
      <c r="M424" s="3"/>
      <c r="N424" s="3"/>
      <c r="Q424" s="4" t="s">
        <v>99</v>
      </c>
      <c r="R424" s="2" t="s">
        <v>17</v>
      </c>
      <c r="S424" s="2">
        <f>I424*0.49</f>
        <v>2.183699682076814</v>
      </c>
    </row>
    <row r="425" spans="1:19" ht="14.25" customHeight="1">
      <c r="A425" s="2" t="s">
        <v>15</v>
      </c>
      <c r="B425" s="2">
        <v>1963</v>
      </c>
      <c r="C425" s="2" t="s">
        <v>20</v>
      </c>
      <c r="G425" s="3"/>
      <c r="H425" s="3">
        <v>4.2324222718959561</v>
      </c>
      <c r="I425" s="3">
        <f t="shared" si="10"/>
        <v>4.2739000101605367</v>
      </c>
      <c r="J425" s="3" t="e">
        <v>#N/A</v>
      </c>
      <c r="K425" s="3" t="e">
        <v>#N/A</v>
      </c>
      <c r="L425" s="3"/>
      <c r="M425" s="3"/>
      <c r="N425" s="3"/>
      <c r="Q425" s="4" t="s">
        <v>99</v>
      </c>
      <c r="R425" s="2" t="s">
        <v>17</v>
      </c>
      <c r="S425" s="2">
        <f>I425*0.49</f>
        <v>2.0942110049786629</v>
      </c>
    </row>
    <row r="426" spans="1:19" ht="14.25" customHeight="1">
      <c r="A426" s="2" t="s">
        <v>15</v>
      </c>
      <c r="B426" s="2">
        <v>1964</v>
      </c>
      <c r="C426" s="2" t="s">
        <v>20</v>
      </c>
      <c r="G426" s="3"/>
      <c r="H426" s="3">
        <v>3.3083722820564927</v>
      </c>
      <c r="I426" s="3">
        <f t="shared" si="10"/>
        <v>3.3407943304206462</v>
      </c>
      <c r="J426" s="3" t="e">
        <v>#N/A</v>
      </c>
      <c r="K426" s="3" t="e">
        <v>#N/A</v>
      </c>
      <c r="L426" s="3"/>
      <c r="M426" s="3"/>
      <c r="N426" s="3"/>
      <c r="Q426" s="4" t="s">
        <v>99</v>
      </c>
      <c r="R426" s="2" t="s">
        <v>17</v>
      </c>
      <c r="S426" s="2">
        <f>I426*0.49</f>
        <v>1.6369892219061166</v>
      </c>
    </row>
    <row r="427" spans="1:19" ht="14.25" customHeight="1">
      <c r="A427" s="2" t="s">
        <v>15</v>
      </c>
      <c r="B427" s="2">
        <v>1965</v>
      </c>
      <c r="C427" s="2" t="s">
        <v>20</v>
      </c>
      <c r="G427" s="3"/>
      <c r="H427" s="3">
        <v>3.251371672424304</v>
      </c>
      <c r="I427" s="3">
        <f t="shared" ref="I427:I601" si="11">H427</f>
        <v>3.251371672424304</v>
      </c>
      <c r="J427" s="3" t="e">
        <v>#N/A</v>
      </c>
      <c r="K427" s="3" t="e">
        <v>#N/A</v>
      </c>
      <c r="L427" s="3"/>
      <c r="M427" s="3"/>
      <c r="N427" s="3"/>
      <c r="Q427" s="4" t="s">
        <v>99</v>
      </c>
      <c r="R427" s="2" t="s">
        <v>17</v>
      </c>
      <c r="S427" s="2">
        <f>I427*0.49</f>
        <v>1.5931721194879089</v>
      </c>
    </row>
    <row r="428" spans="1:19" ht="14.25" customHeight="1">
      <c r="A428" s="2" t="s">
        <v>15</v>
      </c>
      <c r="B428" s="2">
        <v>1966</v>
      </c>
      <c r="C428" s="2" t="s">
        <v>20</v>
      </c>
      <c r="G428" s="3"/>
      <c r="H428" s="3">
        <v>3.4037797195691932</v>
      </c>
      <c r="I428" s="3">
        <f t="shared" si="11"/>
        <v>3.4037797195691932</v>
      </c>
      <c r="J428" s="3" t="e">
        <v>#N/A</v>
      </c>
      <c r="K428" s="3" t="e">
        <v>#N/A</v>
      </c>
      <c r="L428" s="3"/>
      <c r="M428" s="3"/>
      <c r="N428" s="3"/>
      <c r="Q428" s="4" t="s">
        <v>99</v>
      </c>
      <c r="R428" s="2" t="s">
        <v>17</v>
      </c>
      <c r="S428" s="2">
        <f>I428*0.49</f>
        <v>1.6678520625889046</v>
      </c>
    </row>
    <row r="429" spans="1:19" ht="14.25" customHeight="1">
      <c r="A429" s="2" t="s">
        <v>15</v>
      </c>
      <c r="B429" s="2">
        <v>1967</v>
      </c>
      <c r="C429" s="2" t="s">
        <v>20</v>
      </c>
      <c r="G429" s="3"/>
      <c r="H429" s="3">
        <v>4.1150172729120094</v>
      </c>
      <c r="I429" s="3">
        <f t="shared" si="11"/>
        <v>4.1150172729120094</v>
      </c>
      <c r="J429" s="3" t="e">
        <v>#N/A</v>
      </c>
      <c r="K429" s="3" t="e">
        <v>#N/A</v>
      </c>
      <c r="L429" s="3"/>
      <c r="M429" s="3"/>
      <c r="N429" s="3"/>
      <c r="Q429" s="4" t="s">
        <v>99</v>
      </c>
      <c r="R429" s="2" t="s">
        <v>17</v>
      </c>
      <c r="S429" s="2">
        <f>I429*0.49</f>
        <v>2.0163584637268848</v>
      </c>
    </row>
    <row r="430" spans="1:19" ht="14.25" customHeight="1">
      <c r="A430" s="2" t="s">
        <v>15</v>
      </c>
      <c r="B430" s="2">
        <v>1968</v>
      </c>
      <c r="C430" s="2" t="s">
        <v>20</v>
      </c>
      <c r="G430" s="3"/>
      <c r="H430" s="3">
        <v>3.9118065433854907</v>
      </c>
      <c r="I430" s="3">
        <f t="shared" si="11"/>
        <v>3.9118065433854907</v>
      </c>
      <c r="J430" s="3" t="e">
        <v>#N/A</v>
      </c>
      <c r="K430" s="3" t="e">
        <v>#N/A</v>
      </c>
      <c r="L430" s="3"/>
      <c r="M430" s="3"/>
      <c r="N430" s="3"/>
      <c r="Q430" s="4" t="s">
        <v>99</v>
      </c>
      <c r="R430" s="2" t="s">
        <v>17</v>
      </c>
      <c r="S430" s="2">
        <f>I430*0.49</f>
        <v>1.9167852062588904</v>
      </c>
    </row>
    <row r="431" spans="1:19" ht="14.25" customHeight="1">
      <c r="A431" s="2" t="s">
        <v>15</v>
      </c>
      <c r="B431" s="2">
        <v>1969</v>
      </c>
      <c r="C431" s="2" t="s">
        <v>20</v>
      </c>
      <c r="G431" s="3"/>
      <c r="H431" s="3">
        <v>3.6577931314773418</v>
      </c>
      <c r="I431" s="3">
        <f t="shared" si="11"/>
        <v>3.6577931314773418</v>
      </c>
      <c r="J431" s="3" t="e">
        <v>#N/A</v>
      </c>
      <c r="K431" s="3" t="e">
        <v>#N/A</v>
      </c>
      <c r="L431" s="3"/>
      <c r="M431" s="3"/>
      <c r="N431" s="3"/>
      <c r="Q431" s="4" t="s">
        <v>99</v>
      </c>
      <c r="R431" s="2" t="s">
        <v>17</v>
      </c>
      <c r="S431" s="2">
        <f>I431*0.49</f>
        <v>1.7923186344238975</v>
      </c>
    </row>
    <row r="432" spans="1:19" ht="14.25" customHeight="1">
      <c r="A432" s="2" t="s">
        <v>15</v>
      </c>
      <c r="B432" s="2">
        <v>1970</v>
      </c>
      <c r="C432" s="2" t="s">
        <v>20</v>
      </c>
      <c r="G432" s="3"/>
      <c r="H432" s="3">
        <v>4.6230440967283073</v>
      </c>
      <c r="I432" s="3">
        <f t="shared" si="11"/>
        <v>4.6230440967283073</v>
      </c>
      <c r="J432" s="3" t="e">
        <v>#N/A</v>
      </c>
      <c r="K432" s="3" t="e">
        <v>#N/A</v>
      </c>
      <c r="L432" s="3"/>
      <c r="M432" s="3"/>
      <c r="N432" s="3"/>
      <c r="Q432" s="4" t="s">
        <v>99</v>
      </c>
      <c r="R432" s="2" t="s">
        <v>17</v>
      </c>
      <c r="S432" s="2">
        <f>I432*0.49</f>
        <v>2.2652916073968705</v>
      </c>
    </row>
    <row r="433" spans="1:19" ht="14.25" customHeight="1">
      <c r="A433" s="2" t="s">
        <v>15</v>
      </c>
      <c r="B433" s="2">
        <v>1971</v>
      </c>
      <c r="C433" s="2" t="s">
        <v>20</v>
      </c>
      <c r="G433" s="3"/>
      <c r="H433" s="3">
        <v>6.5535460272302375</v>
      </c>
      <c r="I433" s="3">
        <f t="shared" si="11"/>
        <v>6.5535460272302375</v>
      </c>
      <c r="J433" s="3" t="e">
        <v>#N/A</v>
      </c>
      <c r="K433" s="3" t="e">
        <v>#N/A</v>
      </c>
      <c r="L433" s="3"/>
      <c r="M433" s="3"/>
      <c r="N433" s="3"/>
      <c r="Q433" s="4" t="s">
        <v>99</v>
      </c>
      <c r="R433" s="2" t="s">
        <v>17</v>
      </c>
      <c r="S433" s="2">
        <f>I433*0.49</f>
        <v>3.2112375533428161</v>
      </c>
    </row>
    <row r="434" spans="1:19" ht="14.25" customHeight="1">
      <c r="A434" s="2" t="s">
        <v>15</v>
      </c>
      <c r="B434" s="2">
        <v>1972</v>
      </c>
      <c r="C434" s="2" t="s">
        <v>20</v>
      </c>
      <c r="G434" s="3"/>
      <c r="H434" s="3">
        <v>8.7888640520219461</v>
      </c>
      <c r="I434" s="3">
        <f t="shared" si="11"/>
        <v>8.7888640520219461</v>
      </c>
      <c r="J434" s="3" t="e">
        <v>#N/A</v>
      </c>
      <c r="K434" s="3">
        <v>3.3529770371875633</v>
      </c>
      <c r="L434" s="3"/>
      <c r="M434" s="3"/>
      <c r="N434" s="3"/>
      <c r="Q434" s="4" t="s">
        <v>99</v>
      </c>
      <c r="R434" s="2" t="s">
        <v>17</v>
      </c>
      <c r="S434" s="2">
        <f>I434*0.49</f>
        <v>4.3065433854907536</v>
      </c>
    </row>
    <row r="435" spans="1:19" ht="14.25" customHeight="1">
      <c r="A435" s="2" t="s">
        <v>15</v>
      </c>
      <c r="B435" s="2">
        <v>1973</v>
      </c>
      <c r="C435" s="2" t="s">
        <v>20</v>
      </c>
      <c r="G435" s="3"/>
      <c r="H435" s="3">
        <v>21.387929282666125</v>
      </c>
      <c r="I435" s="3">
        <f t="shared" si="11"/>
        <v>21.387929282666125</v>
      </c>
      <c r="J435" s="3" t="e">
        <v>#N/A</v>
      </c>
      <c r="K435" s="3">
        <v>3.3529770371875633</v>
      </c>
      <c r="L435" s="3"/>
      <c r="M435" s="3"/>
      <c r="N435" s="3"/>
      <c r="Q435" s="4" t="s">
        <v>99</v>
      </c>
      <c r="R435" s="2" t="s">
        <v>17</v>
      </c>
      <c r="S435" s="2">
        <f>I435*0.49</f>
        <v>10.480085348506401</v>
      </c>
    </row>
    <row r="436" spans="1:19" ht="14.25" customHeight="1">
      <c r="A436" s="2" t="s">
        <v>15</v>
      </c>
      <c r="B436" s="2">
        <v>1974</v>
      </c>
      <c r="C436" s="2" t="s">
        <v>20</v>
      </c>
      <c r="G436" s="3"/>
      <c r="H436" s="3">
        <v>35.206258890469414</v>
      </c>
      <c r="I436" s="3">
        <f t="shared" si="11"/>
        <v>35.206258890469414</v>
      </c>
      <c r="J436" s="3" t="e">
        <v>#N/A</v>
      </c>
      <c r="K436" s="3">
        <v>3.5053850843324525</v>
      </c>
      <c r="L436" s="3"/>
      <c r="M436" s="3"/>
      <c r="N436" s="3"/>
      <c r="Q436" s="4" t="s">
        <v>99</v>
      </c>
      <c r="R436" s="2" t="s">
        <v>17</v>
      </c>
      <c r="S436" s="2">
        <f>I436*0.49</f>
        <v>17.251066856330013</v>
      </c>
    </row>
    <row r="437" spans="1:19" ht="14.25" customHeight="1">
      <c r="A437" s="2" t="s">
        <v>15</v>
      </c>
      <c r="B437" s="2">
        <v>1975</v>
      </c>
      <c r="C437" s="2" t="s">
        <v>20</v>
      </c>
      <c r="G437" s="3"/>
      <c r="H437" s="3">
        <v>48.375999999999998</v>
      </c>
      <c r="I437" s="3">
        <f t="shared" si="11"/>
        <v>48.375999999999998</v>
      </c>
      <c r="J437" s="3" t="e">
        <v>#N/A</v>
      </c>
      <c r="K437" s="3">
        <v>3.5760000000000001</v>
      </c>
      <c r="L437" s="3"/>
      <c r="M437" s="3"/>
      <c r="N437" s="3"/>
      <c r="Q437" s="4" t="s">
        <v>99</v>
      </c>
      <c r="R437" s="2" t="s">
        <v>17</v>
      </c>
      <c r="S437" s="2">
        <f>I437*0.49</f>
        <v>23.704239999999999</v>
      </c>
    </row>
    <row r="438" spans="1:19" ht="14.25" customHeight="1">
      <c r="A438" s="2" t="s">
        <v>15</v>
      </c>
      <c r="B438" s="2">
        <v>1976</v>
      </c>
      <c r="C438" s="2" t="s">
        <v>20</v>
      </c>
      <c r="G438" s="3"/>
      <c r="H438" s="3">
        <v>87.097999999999999</v>
      </c>
      <c r="I438" s="3">
        <f t="shared" si="11"/>
        <v>87.097999999999999</v>
      </c>
      <c r="J438" s="3" t="e">
        <v>#N/A</v>
      </c>
      <c r="K438" s="3">
        <v>3.1120000000000001</v>
      </c>
      <c r="L438" s="3"/>
      <c r="M438" s="3"/>
      <c r="N438" s="3"/>
      <c r="Q438" s="4" t="s">
        <v>101</v>
      </c>
      <c r="R438" s="2" t="s">
        <v>17</v>
      </c>
      <c r="S438" s="2">
        <f>I438*0.49</f>
        <v>42.678019999999997</v>
      </c>
    </row>
    <row r="439" spans="1:19" ht="14.25" customHeight="1">
      <c r="A439" s="2" t="s">
        <v>15</v>
      </c>
      <c r="B439" s="2">
        <v>1977</v>
      </c>
      <c r="C439" s="2" t="s">
        <v>20</v>
      </c>
      <c r="G439" s="3"/>
      <c r="H439" s="3">
        <v>186.76499999999999</v>
      </c>
      <c r="I439" s="3">
        <f t="shared" si="11"/>
        <v>186.76499999999999</v>
      </c>
      <c r="J439" s="3" t="e">
        <v>#N/A</v>
      </c>
      <c r="K439" s="3">
        <v>2.609</v>
      </c>
      <c r="L439" s="3"/>
      <c r="M439" s="3"/>
      <c r="N439" s="3"/>
      <c r="Q439" s="4" t="s">
        <v>101</v>
      </c>
      <c r="R439" s="2" t="s">
        <v>17</v>
      </c>
      <c r="S439" s="2">
        <f>I439*0.49</f>
        <v>91.514849999999996</v>
      </c>
    </row>
    <row r="440" spans="1:19" ht="14.25" customHeight="1">
      <c r="A440" s="2" t="s">
        <v>15</v>
      </c>
      <c r="B440" s="2">
        <v>1978</v>
      </c>
      <c r="C440" s="2" t="s">
        <v>20</v>
      </c>
      <c r="G440" s="3"/>
      <c r="H440" s="3">
        <v>320.95999999999998</v>
      </c>
      <c r="I440" s="3">
        <f t="shared" si="11"/>
        <v>320.95999999999998</v>
      </c>
      <c r="J440" s="3" t="e">
        <v>#N/A</v>
      </c>
      <c r="K440" s="3">
        <v>1.254</v>
      </c>
      <c r="L440" s="3"/>
      <c r="M440" s="3"/>
      <c r="N440" s="3"/>
      <c r="Q440" s="4" t="s">
        <v>101</v>
      </c>
      <c r="R440" s="2" t="s">
        <v>17</v>
      </c>
      <c r="S440" s="2">
        <f>I440*0.49</f>
        <v>157.2704</v>
      </c>
    </row>
    <row r="441" spans="1:19" ht="14.25" customHeight="1">
      <c r="A441" s="2" t="s">
        <v>15</v>
      </c>
      <c r="B441" s="2">
        <v>1979</v>
      </c>
      <c r="C441" s="2" t="s">
        <v>20</v>
      </c>
      <c r="G441" s="3"/>
      <c r="H441" s="3">
        <v>353.45400000000001</v>
      </c>
      <c r="I441" s="3">
        <f t="shared" si="11"/>
        <v>353.45400000000001</v>
      </c>
      <c r="J441" s="3" t="e">
        <v>#N/A</v>
      </c>
      <c r="K441" s="3">
        <v>1.395</v>
      </c>
      <c r="L441" s="3"/>
      <c r="M441" s="3"/>
      <c r="N441" s="3"/>
      <c r="Q441" s="4" t="s">
        <v>101</v>
      </c>
      <c r="R441" s="2" t="s">
        <v>17</v>
      </c>
      <c r="S441" s="2">
        <f>I441*0.49</f>
        <v>173.19246000000001</v>
      </c>
    </row>
    <row r="442" spans="1:19" ht="14.25" customHeight="1">
      <c r="A442" s="2" t="s">
        <v>15</v>
      </c>
      <c r="B442" s="2">
        <v>1980</v>
      </c>
      <c r="C442" s="2" t="s">
        <v>20</v>
      </c>
      <c r="G442" s="3"/>
      <c r="H442" s="3">
        <v>253.1</v>
      </c>
      <c r="I442" s="3">
        <f t="shared" si="11"/>
        <v>253.1</v>
      </c>
      <c r="J442" s="3" t="e">
        <v>#N/A</v>
      </c>
      <c r="K442" s="3">
        <v>2.2490000000000001</v>
      </c>
      <c r="L442" s="3"/>
      <c r="M442" s="3"/>
      <c r="N442" s="3"/>
      <c r="Q442" s="4" t="s">
        <v>101</v>
      </c>
      <c r="R442" s="2" t="s">
        <v>17</v>
      </c>
      <c r="S442" s="2">
        <f>I442*0.49</f>
        <v>124.01899999999999</v>
      </c>
    </row>
    <row r="443" spans="1:19" ht="14.25" customHeight="1">
      <c r="A443" s="2" t="s">
        <v>15</v>
      </c>
      <c r="B443" s="2">
        <v>1981</v>
      </c>
      <c r="C443" s="2" t="s">
        <v>20</v>
      </c>
      <c r="G443" s="3"/>
      <c r="H443" s="3">
        <v>197.232</v>
      </c>
      <c r="I443" s="3">
        <f t="shared" si="11"/>
        <v>197.232</v>
      </c>
      <c r="J443" s="3" t="e">
        <v>#N/A</v>
      </c>
      <c r="K443" s="3">
        <v>1.6259999999999999</v>
      </c>
      <c r="L443" s="3"/>
      <c r="M443" s="3"/>
      <c r="N443" s="3"/>
      <c r="Q443" s="4" t="s">
        <v>101</v>
      </c>
      <c r="R443" s="2" t="s">
        <v>17</v>
      </c>
      <c r="S443" s="2">
        <f>I443*0.49</f>
        <v>96.643680000000003</v>
      </c>
    </row>
    <row r="444" spans="1:19" ht="14.25" customHeight="1">
      <c r="A444" s="2" t="s">
        <v>15</v>
      </c>
      <c r="B444" s="2">
        <v>1982</v>
      </c>
      <c r="C444" s="2" t="s">
        <v>20</v>
      </c>
      <c r="G444" s="3"/>
      <c r="H444" s="3">
        <v>185.666</v>
      </c>
      <c r="I444" s="3">
        <f t="shared" si="11"/>
        <v>185.666</v>
      </c>
      <c r="J444" s="3" t="e">
        <v>#N/A</v>
      </c>
      <c r="K444" s="3">
        <v>1.546</v>
      </c>
      <c r="L444" s="3"/>
      <c r="M444" s="3"/>
      <c r="N444" s="3"/>
      <c r="Q444" s="4" t="s">
        <v>101</v>
      </c>
      <c r="R444" s="2" t="s">
        <v>17</v>
      </c>
      <c r="S444" s="2">
        <f>I444*0.49</f>
        <v>90.976339999999993</v>
      </c>
    </row>
    <row r="445" spans="1:19" ht="14.25" customHeight="1">
      <c r="A445" s="2" t="s">
        <v>15</v>
      </c>
      <c r="B445" s="2">
        <v>1983</v>
      </c>
      <c r="C445" s="2" t="s">
        <v>20</v>
      </c>
      <c r="G445" s="3"/>
      <c r="H445" s="3">
        <v>175.47499999999999</v>
      </c>
      <c r="I445" s="3">
        <f t="shared" si="11"/>
        <v>175.47499999999999</v>
      </c>
      <c r="J445" s="3" t="e">
        <v>#N/A</v>
      </c>
      <c r="K445" s="3">
        <v>2.0489999999999999</v>
      </c>
      <c r="L445" s="3"/>
      <c r="M445" s="3"/>
      <c r="N445" s="3"/>
      <c r="Q445" s="4" t="s">
        <v>101</v>
      </c>
      <c r="R445" s="2" t="s">
        <v>17</v>
      </c>
      <c r="S445" s="2">
        <f>I445*0.49</f>
        <v>85.982749999999996</v>
      </c>
    </row>
    <row r="446" spans="1:19" ht="14.25" customHeight="1">
      <c r="A446" s="2" t="s">
        <v>15</v>
      </c>
      <c r="B446" s="2">
        <v>1984</v>
      </c>
      <c r="C446" s="2" t="s">
        <v>20</v>
      </c>
      <c r="G446" s="3"/>
      <c r="H446" s="3">
        <v>186.32900000000001</v>
      </c>
      <c r="I446" s="3">
        <f t="shared" si="11"/>
        <v>186.32900000000001</v>
      </c>
      <c r="J446" s="3" t="e">
        <v>#N/A</v>
      </c>
      <c r="K446" s="3">
        <v>1.923</v>
      </c>
      <c r="L446" s="3"/>
      <c r="M446" s="3"/>
      <c r="N446" s="3"/>
      <c r="Q446" s="4" t="s">
        <v>101</v>
      </c>
      <c r="R446" s="2" t="s">
        <v>17</v>
      </c>
      <c r="S446" s="2">
        <f>I446*0.49</f>
        <v>91.301209999999998</v>
      </c>
    </row>
    <row r="447" spans="1:19" ht="14.25" customHeight="1">
      <c r="A447" s="2" t="s">
        <v>15</v>
      </c>
      <c r="B447" s="2">
        <v>1985</v>
      </c>
      <c r="C447" s="2" t="s">
        <v>20</v>
      </c>
      <c r="G447" s="3"/>
      <c r="H447" s="3">
        <v>174.22300000000001</v>
      </c>
      <c r="I447" s="3">
        <f t="shared" si="11"/>
        <v>174.22300000000001</v>
      </c>
      <c r="J447" s="3" t="e">
        <v>#N/A</v>
      </c>
      <c r="K447" s="3">
        <v>2.3290000000000002</v>
      </c>
      <c r="L447" s="3"/>
      <c r="M447" s="3"/>
      <c r="N447" s="3"/>
      <c r="Q447" s="4" t="s">
        <v>101</v>
      </c>
      <c r="R447" s="2" t="s">
        <v>17</v>
      </c>
      <c r="S447" s="2">
        <f>I447*0.49</f>
        <v>85.36927</v>
      </c>
    </row>
    <row r="448" spans="1:19" ht="14.25" customHeight="1">
      <c r="A448" s="2" t="s">
        <v>15</v>
      </c>
      <c r="B448" s="2">
        <v>1986</v>
      </c>
      <c r="C448" s="2" t="s">
        <v>20</v>
      </c>
      <c r="G448" s="3"/>
      <c r="H448" s="3">
        <v>132.09899999999999</v>
      </c>
      <c r="I448" s="3">
        <f t="shared" si="11"/>
        <v>132.09899999999999</v>
      </c>
      <c r="J448" s="3" t="e">
        <v>#N/A</v>
      </c>
      <c r="K448" s="3">
        <v>2.5179999999999998</v>
      </c>
      <c r="L448" s="3"/>
      <c r="M448" s="3"/>
      <c r="N448" s="3"/>
      <c r="Q448" s="4" t="s">
        <v>101</v>
      </c>
      <c r="R448" s="2" t="s">
        <v>17</v>
      </c>
      <c r="S448" s="2">
        <f>I448*0.49</f>
        <v>64.72851</v>
      </c>
    </row>
    <row r="449" spans="1:19" ht="14.25" customHeight="1">
      <c r="A449" s="2" t="s">
        <v>15</v>
      </c>
      <c r="B449" s="2">
        <v>1987</v>
      </c>
      <c r="C449" s="2" t="s">
        <v>20</v>
      </c>
      <c r="G449" s="3"/>
      <c r="H449" s="3">
        <v>189.35400000000001</v>
      </c>
      <c r="I449" s="3">
        <f t="shared" si="11"/>
        <v>189.35400000000001</v>
      </c>
      <c r="J449" s="3" t="e">
        <v>#N/A</v>
      </c>
      <c r="K449" s="3">
        <v>2.0760000000000001</v>
      </c>
      <c r="L449" s="3"/>
      <c r="M449" s="3"/>
      <c r="N449" s="3"/>
      <c r="Q449" s="4" t="s">
        <v>101</v>
      </c>
      <c r="R449" s="2" t="s">
        <v>17</v>
      </c>
      <c r="S449" s="2">
        <f>I449*0.49</f>
        <v>92.783460000000005</v>
      </c>
    </row>
    <row r="450" spans="1:19" ht="14.25" customHeight="1">
      <c r="A450" s="2" t="s">
        <v>15</v>
      </c>
      <c r="B450" s="2">
        <v>1988</v>
      </c>
      <c r="C450" s="2" t="s">
        <v>20</v>
      </c>
      <c r="D450" s="2">
        <v>38.700000000000003</v>
      </c>
      <c r="E450" s="2">
        <f>D450*VLOOKUP(C450,Conversion_factors!A$1:C$40,3,FALSE)</f>
        <v>35.5045871559633</v>
      </c>
      <c r="G450" s="3"/>
      <c r="H450" s="3">
        <v>176.06100000000001</v>
      </c>
      <c r="I450" s="3">
        <f t="shared" si="11"/>
        <v>176.06100000000001</v>
      </c>
      <c r="J450" s="3" t="e">
        <v>#N/A</v>
      </c>
      <c r="K450" s="3">
        <v>0.84199999999999997</v>
      </c>
      <c r="L450" s="3"/>
      <c r="M450" s="3"/>
      <c r="N450" s="3"/>
      <c r="Q450" s="4" t="s">
        <v>101</v>
      </c>
      <c r="R450" s="2" t="s">
        <v>17</v>
      </c>
      <c r="S450" s="2">
        <f>I450*0.49</f>
        <v>86.269890000000004</v>
      </c>
    </row>
    <row r="451" spans="1:19" ht="14.25" customHeight="1">
      <c r="A451" s="2" t="s">
        <v>15</v>
      </c>
      <c r="B451" s="2">
        <v>1989</v>
      </c>
      <c r="C451" s="2" t="s">
        <v>20</v>
      </c>
      <c r="D451" s="2">
        <v>33.1</v>
      </c>
      <c r="E451" s="2">
        <f>D451*VLOOKUP(C451,Conversion_factors!A$1:C$40,3,FALSE)</f>
        <v>30.36697247706422</v>
      </c>
      <c r="G451" s="3"/>
      <c r="H451" s="3">
        <v>158.03200000000001</v>
      </c>
      <c r="I451" s="3">
        <f t="shared" si="11"/>
        <v>158.03200000000001</v>
      </c>
      <c r="J451" s="3" t="e">
        <v>#N/A</v>
      </c>
      <c r="K451" s="3">
        <v>2.3780000000000001</v>
      </c>
      <c r="L451" s="3"/>
      <c r="M451" s="3"/>
      <c r="N451" s="3"/>
      <c r="Q451" s="4" t="s">
        <v>101</v>
      </c>
      <c r="R451" s="2" t="s">
        <v>17</v>
      </c>
      <c r="S451" s="2">
        <f>I451*0.49</f>
        <v>77.435680000000005</v>
      </c>
    </row>
    <row r="452" spans="1:19" ht="14.25" customHeight="1">
      <c r="A452" s="2" t="s">
        <v>15</v>
      </c>
      <c r="B452" s="2">
        <v>1990</v>
      </c>
      <c r="C452" s="2" t="s">
        <v>20</v>
      </c>
      <c r="D452" s="2">
        <v>48.5</v>
      </c>
      <c r="E452" s="2">
        <f>D452*VLOOKUP(C452,Conversion_factors!A$1:C$40,3,FALSE)</f>
        <v>44.495412844036693</v>
      </c>
      <c r="G452" s="3"/>
      <c r="H452" s="3">
        <v>146.54499999999999</v>
      </c>
      <c r="I452" s="3">
        <f t="shared" si="11"/>
        <v>146.54499999999999</v>
      </c>
      <c r="J452" s="3" t="e">
        <v>#N/A</v>
      </c>
      <c r="K452" s="3">
        <v>3.1219999999999999</v>
      </c>
      <c r="L452" s="3"/>
      <c r="M452" s="3"/>
      <c r="N452" s="3"/>
      <c r="Q452" s="4" t="s">
        <v>101</v>
      </c>
      <c r="R452" s="2" t="s">
        <v>17</v>
      </c>
      <c r="S452" s="2">
        <f>I452*0.49</f>
        <v>71.80704999999999</v>
      </c>
    </row>
    <row r="453" spans="1:19" ht="14.25" customHeight="1">
      <c r="A453" s="2" t="s">
        <v>15</v>
      </c>
      <c r="B453" s="2">
        <v>1991</v>
      </c>
      <c r="C453" s="2" t="s">
        <v>20</v>
      </c>
      <c r="D453" s="2">
        <v>74.099999999999994</v>
      </c>
      <c r="E453" s="2">
        <f>D453*VLOOKUP(C453,Conversion_factors!A$1:C$40,3,FALSE)</f>
        <v>67.981651376146786</v>
      </c>
      <c r="G453" s="2">
        <v>125.4</v>
      </c>
      <c r="H453" s="2">
        <f t="shared" ref="H453:H482" si="12">G453*0.91743119266055</f>
        <v>115.04587155963297</v>
      </c>
      <c r="I453" s="3">
        <f t="shared" si="11"/>
        <v>115.04587155963297</v>
      </c>
      <c r="J453" s="4">
        <v>0.97199999999999998</v>
      </c>
      <c r="K453" s="4">
        <v>2.7549999999999999</v>
      </c>
      <c r="L453" s="4"/>
      <c r="M453" s="3"/>
      <c r="N453" s="3"/>
      <c r="Q453" s="4" t="s">
        <v>101</v>
      </c>
      <c r="R453" s="2" t="s">
        <v>17</v>
      </c>
      <c r="S453" s="2">
        <f>I453*0.49</f>
        <v>56.372477064220156</v>
      </c>
    </row>
    <row r="454" spans="1:19" ht="14.25" customHeight="1">
      <c r="A454" s="2" t="s">
        <v>15</v>
      </c>
      <c r="B454" s="2">
        <v>1992</v>
      </c>
      <c r="C454" s="2" t="s">
        <v>20</v>
      </c>
      <c r="D454" s="2">
        <v>83.8</v>
      </c>
      <c r="E454" s="2">
        <f>D454*VLOOKUP(C454,Conversion_factors!A$1:C$40,3,FALSE)</f>
        <v>76.880733944954116</v>
      </c>
      <c r="G454" s="2">
        <v>150.69999999999999</v>
      </c>
      <c r="H454" s="2">
        <f t="shared" si="12"/>
        <v>138.25688073394485</v>
      </c>
      <c r="I454" s="3">
        <f t="shared" si="11"/>
        <v>138.25688073394485</v>
      </c>
      <c r="J454" s="4">
        <v>1.1539999999999999</v>
      </c>
      <c r="K454" s="4">
        <v>2.2589999999999999</v>
      </c>
      <c r="L454" s="4"/>
      <c r="M454" s="3"/>
      <c r="N454" s="3"/>
      <c r="Q454" s="4" t="s">
        <v>101</v>
      </c>
      <c r="R454" s="2" t="s">
        <v>17</v>
      </c>
      <c r="S454" s="2">
        <f>I454*0.49</f>
        <v>67.745871559632974</v>
      </c>
    </row>
    <row r="455" spans="1:19" ht="14.25" customHeight="1">
      <c r="A455" s="2" t="s">
        <v>15</v>
      </c>
      <c r="B455" s="2">
        <v>1993</v>
      </c>
      <c r="C455" s="2" t="s">
        <v>20</v>
      </c>
      <c r="D455" s="2">
        <v>95.9</v>
      </c>
      <c r="E455" s="2">
        <f>D455*VLOOKUP(C455,Conversion_factors!A$1:C$40,3,FALSE)</f>
        <v>87.981651376146786</v>
      </c>
      <c r="G455" s="2">
        <v>161.80000000000001</v>
      </c>
      <c r="H455" s="2">
        <f t="shared" si="12"/>
        <v>148.44036697247699</v>
      </c>
      <c r="I455" s="3">
        <f t="shared" si="11"/>
        <v>148.44036697247699</v>
      </c>
      <c r="J455" s="4">
        <v>114.092</v>
      </c>
      <c r="K455" s="4">
        <v>10.675000000000001</v>
      </c>
      <c r="L455" s="4"/>
      <c r="M455" s="3"/>
      <c r="N455" s="3"/>
      <c r="Q455" s="4" t="s">
        <v>101</v>
      </c>
      <c r="R455" s="2" t="s">
        <v>17</v>
      </c>
      <c r="S455" s="2">
        <f>I455*0.49</f>
        <v>72.735779816513727</v>
      </c>
    </row>
    <row r="456" spans="1:19" ht="14.25" customHeight="1">
      <c r="A456" s="2" t="s">
        <v>15</v>
      </c>
      <c r="B456" s="2">
        <v>1994</v>
      </c>
      <c r="C456" s="2" t="s">
        <v>20</v>
      </c>
      <c r="D456" s="2">
        <v>82.6</v>
      </c>
      <c r="E456" s="2">
        <f>D456*VLOOKUP(C456,Conversion_factors!A$1:C$40,3,FALSE)</f>
        <v>75.77981651376146</v>
      </c>
      <c r="G456" s="2">
        <v>155.91</v>
      </c>
      <c r="H456" s="2">
        <f t="shared" si="12"/>
        <v>143.03669724770634</v>
      </c>
      <c r="I456" s="3">
        <f t="shared" si="11"/>
        <v>143.03669724770634</v>
      </c>
      <c r="J456" s="4">
        <v>125.98399999999999</v>
      </c>
      <c r="K456" s="4">
        <v>14.484999999999999</v>
      </c>
      <c r="L456" s="4"/>
      <c r="M456" s="3"/>
      <c r="N456" s="3"/>
      <c r="Q456" s="4" t="s">
        <v>101</v>
      </c>
      <c r="R456" s="2" t="s">
        <v>17</v>
      </c>
      <c r="S456" s="2">
        <f>I456*0.49</f>
        <v>70.087981651376111</v>
      </c>
    </row>
    <row r="457" spans="1:19" ht="14.25" customHeight="1">
      <c r="A457" s="2" t="s">
        <v>15</v>
      </c>
      <c r="B457" s="2">
        <v>1995</v>
      </c>
      <c r="C457" s="2" t="s">
        <v>20</v>
      </c>
      <c r="D457" s="2">
        <v>78.099999999999994</v>
      </c>
      <c r="E457" s="2">
        <f>D457*VLOOKUP(C457,Conversion_factors!A$1:C$40,3,FALSE)</f>
        <v>71.651376146788976</v>
      </c>
      <c r="G457" s="2">
        <v>140.44</v>
      </c>
      <c r="H457" s="2">
        <f t="shared" si="12"/>
        <v>128.84403669724765</v>
      </c>
      <c r="I457" s="3">
        <f t="shared" si="11"/>
        <v>128.84403669724765</v>
      </c>
      <c r="J457" s="4">
        <v>99.091999999999999</v>
      </c>
      <c r="K457" s="4">
        <v>17.091999999999999</v>
      </c>
      <c r="L457" s="4"/>
      <c r="M457" s="3"/>
      <c r="N457" s="3"/>
      <c r="Q457" s="4" t="s">
        <v>101</v>
      </c>
      <c r="R457" s="2" t="s">
        <v>17</v>
      </c>
      <c r="S457" s="2">
        <f>I457*0.49</f>
        <v>63.133577981651342</v>
      </c>
    </row>
    <row r="458" spans="1:19" ht="14.25" customHeight="1">
      <c r="A458" s="2" t="s">
        <v>15</v>
      </c>
      <c r="B458" s="2">
        <v>1996</v>
      </c>
      <c r="C458" s="2" t="s">
        <v>20</v>
      </c>
      <c r="D458" s="2">
        <v>87.3</v>
      </c>
      <c r="E458" s="2">
        <f>D458*VLOOKUP(C458,Conversion_factors!A$1:C$40,3,FALSE)</f>
        <v>80.091743119266042</v>
      </c>
      <c r="G458" s="2">
        <v>60.834000000000003</v>
      </c>
      <c r="H458" s="2">
        <f t="shared" si="12"/>
        <v>55.811009174311899</v>
      </c>
      <c r="I458" s="3">
        <f t="shared" si="11"/>
        <v>55.811009174311899</v>
      </c>
      <c r="J458" s="4">
        <v>55.064999999999998</v>
      </c>
      <c r="K458" s="4">
        <v>6.3010000000000002</v>
      </c>
      <c r="L458" s="4"/>
      <c r="M458" s="3"/>
      <c r="N458" s="3"/>
      <c r="Q458" s="4" t="s">
        <v>101</v>
      </c>
      <c r="R458" s="2" t="s">
        <v>17</v>
      </c>
      <c r="S458" s="2">
        <f>I458*0.49</f>
        <v>27.347394495412829</v>
      </c>
    </row>
    <row r="459" spans="1:19" ht="14.25" customHeight="1">
      <c r="A459" s="2" t="s">
        <v>15</v>
      </c>
      <c r="B459" s="2">
        <v>1997</v>
      </c>
      <c r="C459" s="2" t="s">
        <v>20</v>
      </c>
      <c r="D459" s="2">
        <v>86.3</v>
      </c>
      <c r="E459" s="2">
        <f>D459*VLOOKUP(C459,Conversion_factors!A$1:C$40,3,FALSE)</f>
        <v>79.174311926605498</v>
      </c>
      <c r="G459" s="2">
        <v>63.176000000000002</v>
      </c>
      <c r="H459" s="2">
        <f t="shared" si="12"/>
        <v>57.959633027522905</v>
      </c>
      <c r="I459" s="3">
        <f t="shared" si="11"/>
        <v>57.959633027522905</v>
      </c>
      <c r="J459" s="4">
        <v>56.015000000000001</v>
      </c>
      <c r="K459" s="4">
        <v>6.2110000000000003</v>
      </c>
      <c r="L459" s="4"/>
      <c r="M459" s="3"/>
      <c r="N459" s="3"/>
      <c r="Q459" s="4" t="s">
        <v>101</v>
      </c>
      <c r="R459" s="2" t="s">
        <v>17</v>
      </c>
      <c r="S459" s="2">
        <f>I459*0.49</f>
        <v>28.400220183486223</v>
      </c>
    </row>
    <row r="460" spans="1:19" ht="14.25" customHeight="1">
      <c r="A460" s="2" t="s">
        <v>15</v>
      </c>
      <c r="B460" s="2">
        <v>1998</v>
      </c>
      <c r="C460" s="2" t="s">
        <v>20</v>
      </c>
      <c r="D460" s="2">
        <v>125.3</v>
      </c>
      <c r="E460" s="2">
        <f>D460*VLOOKUP(C460,Conversion_factors!A$1:C$40,3,FALSE)</f>
        <v>114.95412844036696</v>
      </c>
      <c r="G460" s="2">
        <v>54.430999999999997</v>
      </c>
      <c r="H460" s="2">
        <f t="shared" si="12"/>
        <v>49.936697247706391</v>
      </c>
      <c r="I460" s="3">
        <f t="shared" si="11"/>
        <v>49.936697247706391</v>
      </c>
      <c r="J460" s="4">
        <v>68.507999999999996</v>
      </c>
      <c r="K460" s="4">
        <v>9.1329999999999991</v>
      </c>
      <c r="L460" s="4"/>
      <c r="M460" s="3"/>
      <c r="N460" s="3"/>
      <c r="Q460" s="4" t="s">
        <v>101</v>
      </c>
      <c r="R460" s="2" t="s">
        <v>17</v>
      </c>
      <c r="S460" s="2">
        <f>I460*0.49</f>
        <v>24.468981651376133</v>
      </c>
    </row>
    <row r="461" spans="1:19" ht="14.25" customHeight="1">
      <c r="A461" s="2" t="s">
        <v>15</v>
      </c>
      <c r="B461" s="2">
        <v>1999</v>
      </c>
      <c r="C461" s="2" t="s">
        <v>20</v>
      </c>
      <c r="D461" s="2">
        <v>125.3</v>
      </c>
      <c r="E461" s="2">
        <f>D461*VLOOKUP(C461,Conversion_factors!A$1:C$40,3,FALSE)</f>
        <v>114.95412844036696</v>
      </c>
      <c r="G461" s="2">
        <v>41.311999999999998</v>
      </c>
      <c r="H461" s="2">
        <f t="shared" si="12"/>
        <v>37.900917431192639</v>
      </c>
      <c r="I461" s="3">
        <f t="shared" si="11"/>
        <v>37.900917431192639</v>
      </c>
      <c r="J461" s="4">
        <v>62.415999999999997</v>
      </c>
      <c r="K461" s="4">
        <v>7.7169999999999996</v>
      </c>
      <c r="L461" s="4"/>
      <c r="M461" s="3"/>
      <c r="N461" s="3"/>
      <c r="Q461" s="4" t="s">
        <v>101</v>
      </c>
      <c r="R461" s="2" t="s">
        <v>17</v>
      </c>
      <c r="S461" s="2">
        <f>I461*0.49</f>
        <v>18.571449541284391</v>
      </c>
    </row>
    <row r="462" spans="1:19" ht="14.25" customHeight="1">
      <c r="A462" s="2" t="s">
        <v>15</v>
      </c>
      <c r="B462" s="2">
        <v>2000</v>
      </c>
      <c r="C462" s="2" t="s">
        <v>20</v>
      </c>
      <c r="D462" s="2">
        <v>139.19999999999999</v>
      </c>
      <c r="E462" s="2">
        <f>D462*VLOOKUP(C462,Conversion_factors!A$1:C$40,3,FALSE)</f>
        <v>127.7064220183486</v>
      </c>
      <c r="G462" s="2">
        <v>54.616999999999997</v>
      </c>
      <c r="H462" s="2">
        <f t="shared" si="12"/>
        <v>50.107339449541257</v>
      </c>
      <c r="I462" s="3">
        <f t="shared" si="11"/>
        <v>50.107339449541257</v>
      </c>
      <c r="J462" s="4">
        <v>92.356999999999999</v>
      </c>
      <c r="K462" s="4">
        <v>9.6509999999999998</v>
      </c>
      <c r="L462" s="4"/>
      <c r="M462" s="3"/>
      <c r="N462" s="3"/>
      <c r="Q462" s="4" t="s">
        <v>101</v>
      </c>
      <c r="R462" s="2" t="s">
        <v>17</v>
      </c>
      <c r="S462" s="2">
        <f>I462*0.49</f>
        <v>24.552596330275215</v>
      </c>
    </row>
    <row r="463" spans="1:19" ht="14.25" customHeight="1">
      <c r="A463" s="2" t="s">
        <v>15</v>
      </c>
      <c r="B463" s="2">
        <v>2001</v>
      </c>
      <c r="C463" s="2" t="s">
        <v>20</v>
      </c>
      <c r="D463" s="2">
        <v>135</v>
      </c>
      <c r="E463" s="2">
        <f>D463*VLOOKUP(C463,Conversion_factors!A$1:C$40,3,FALSE)</f>
        <v>123.8532110091743</v>
      </c>
      <c r="G463" s="2">
        <v>63.911999999999999</v>
      </c>
      <c r="H463" s="2">
        <f t="shared" si="12"/>
        <v>58.634862385321071</v>
      </c>
      <c r="I463" s="3">
        <f t="shared" si="11"/>
        <v>58.634862385321071</v>
      </c>
      <c r="J463" s="3">
        <v>114.458</v>
      </c>
      <c r="K463" s="3">
        <v>21.481999999999999</v>
      </c>
      <c r="L463" s="3"/>
      <c r="M463" s="3"/>
      <c r="N463" s="3"/>
      <c r="Q463" s="4" t="s">
        <v>101</v>
      </c>
      <c r="R463" s="2" t="s">
        <v>17</v>
      </c>
      <c r="S463" s="2">
        <f>I463*0.49</f>
        <v>28.731082568807324</v>
      </c>
    </row>
    <row r="464" spans="1:19" ht="14.25" customHeight="1">
      <c r="A464" s="2" t="s">
        <v>15</v>
      </c>
      <c r="B464" s="2">
        <v>2002</v>
      </c>
      <c r="C464" s="2" t="s">
        <v>20</v>
      </c>
      <c r="D464" s="2">
        <v>103.8</v>
      </c>
      <c r="E464" s="2">
        <f>D464*VLOOKUP(C464,Conversion_factors!A$1:C$40,3,FALSE)</f>
        <v>95.229357798165125</v>
      </c>
      <c r="G464" s="2">
        <v>96.608999999999995</v>
      </c>
      <c r="H464" s="2">
        <f t="shared" si="12"/>
        <v>88.632110091743073</v>
      </c>
      <c r="I464" s="3">
        <f t="shared" si="11"/>
        <v>88.632110091743073</v>
      </c>
      <c r="J464" s="3">
        <v>104.27</v>
      </c>
      <c r="K464" s="3">
        <v>25.152000000000001</v>
      </c>
      <c r="L464" s="3"/>
      <c r="M464" s="3"/>
      <c r="N464" s="3"/>
      <c r="Q464" s="4" t="s">
        <v>101</v>
      </c>
      <c r="R464" s="2" t="s">
        <v>17</v>
      </c>
      <c r="S464" s="2">
        <f>I464*0.49</f>
        <v>43.429733944954101</v>
      </c>
    </row>
    <row r="465" spans="1:19" ht="14.25" customHeight="1">
      <c r="A465" s="2" t="s">
        <v>15</v>
      </c>
      <c r="B465" s="2">
        <v>2003</v>
      </c>
      <c r="C465" s="2" t="s">
        <v>20</v>
      </c>
      <c r="D465" s="2">
        <v>76.5</v>
      </c>
      <c r="E465" s="2">
        <f>D465*VLOOKUP(C465,Conversion_factors!A$1:C$40,3,FALSE)</f>
        <v>70.183486238532112</v>
      </c>
      <c r="G465" s="2">
        <v>106.43</v>
      </c>
      <c r="H465" s="2">
        <f t="shared" si="12"/>
        <v>97.642201834862334</v>
      </c>
      <c r="I465" s="3">
        <f t="shared" si="11"/>
        <v>97.642201834862334</v>
      </c>
      <c r="J465" s="2">
        <v>131.80000000000001</v>
      </c>
      <c r="K465" s="2">
        <v>17.5</v>
      </c>
      <c r="M465" s="3"/>
      <c r="N465" s="3"/>
      <c r="Q465" s="4" t="s">
        <v>101</v>
      </c>
      <c r="R465" s="2" t="s">
        <v>17</v>
      </c>
      <c r="S465" s="2">
        <f>I465*0.49</f>
        <v>47.844678899082545</v>
      </c>
    </row>
    <row r="466" spans="1:19" ht="14.25" customHeight="1">
      <c r="A466" s="2" t="s">
        <v>15</v>
      </c>
      <c r="B466" s="2">
        <v>2004</v>
      </c>
      <c r="C466" s="2" t="s">
        <v>20</v>
      </c>
      <c r="D466" s="2">
        <v>59.4</v>
      </c>
      <c r="E466" s="2">
        <f>D466*VLOOKUP(C466,Conversion_factors!A$1:C$40,3,FALSE)</f>
        <v>54.495412844036693</v>
      </c>
      <c r="G466" s="2">
        <v>115.303</v>
      </c>
      <c r="H466" s="2">
        <f t="shared" si="12"/>
        <v>105.78256880733939</v>
      </c>
      <c r="I466" s="3">
        <f t="shared" si="11"/>
        <v>105.78256880733939</v>
      </c>
      <c r="J466" s="2">
        <v>120.5</v>
      </c>
      <c r="K466" s="2">
        <v>21.6</v>
      </c>
      <c r="M466" s="3"/>
      <c r="N466" s="3"/>
      <c r="Q466" s="4" t="s">
        <v>101</v>
      </c>
      <c r="R466" s="2" t="s">
        <v>17</v>
      </c>
      <c r="S466" s="2">
        <f>I466*0.49</f>
        <v>51.833458715596301</v>
      </c>
    </row>
    <row r="467" spans="1:19" ht="14.25" customHeight="1">
      <c r="A467" s="2" t="s">
        <v>15</v>
      </c>
      <c r="B467" s="2">
        <v>2005</v>
      </c>
      <c r="C467" s="2" t="s">
        <v>20</v>
      </c>
      <c r="D467" s="2">
        <v>34.6</v>
      </c>
      <c r="E467" s="2">
        <f>D467*VLOOKUP(C467,Conversion_factors!A$1:C$40,3,FALSE)</f>
        <v>31.743119266055047</v>
      </c>
      <c r="G467" s="2">
        <v>120.852</v>
      </c>
      <c r="H467" s="2">
        <f t="shared" si="12"/>
        <v>110.87339449541278</v>
      </c>
      <c r="I467" s="3">
        <f t="shared" si="11"/>
        <v>110.87339449541278</v>
      </c>
      <c r="J467" s="2">
        <v>100.8</v>
      </c>
      <c r="K467" s="2">
        <v>27.1</v>
      </c>
      <c r="M467" s="3"/>
      <c r="N467" s="3"/>
      <c r="Q467" s="4" t="s">
        <v>101</v>
      </c>
      <c r="R467" s="2" t="s">
        <v>17</v>
      </c>
      <c r="S467" s="2">
        <f>I467*0.49</f>
        <v>54.327963302752259</v>
      </c>
    </row>
    <row r="468" spans="1:19" ht="14.25" customHeight="1">
      <c r="A468" s="2" t="s">
        <v>15</v>
      </c>
      <c r="B468" s="2">
        <v>2006</v>
      </c>
      <c r="C468" s="2" t="s">
        <v>20</v>
      </c>
      <c r="D468" s="2">
        <v>32.700000000000003</v>
      </c>
      <c r="E468" s="2">
        <f>D468*VLOOKUP(C468,Conversion_factors!A$1:C$40,3,FALSE)</f>
        <v>30</v>
      </c>
      <c r="G468" s="2">
        <v>70.400000000000006</v>
      </c>
      <c r="H468" s="2">
        <f t="shared" si="12"/>
        <v>64.58715596330272</v>
      </c>
      <c r="I468" s="3">
        <f t="shared" si="11"/>
        <v>64.58715596330272</v>
      </c>
      <c r="J468" s="2">
        <v>74.599999999999994</v>
      </c>
      <c r="K468" s="2">
        <v>32.6</v>
      </c>
      <c r="M468" s="3"/>
      <c r="N468" s="3"/>
      <c r="Q468" s="4" t="s">
        <v>101</v>
      </c>
      <c r="R468" s="2" t="s">
        <v>17</v>
      </c>
      <c r="S468" s="2">
        <f>I468*0.49</f>
        <v>31.647706422018331</v>
      </c>
    </row>
    <row r="469" spans="1:19" ht="14.25" customHeight="1">
      <c r="A469" s="2" t="s">
        <v>15</v>
      </c>
      <c r="B469" s="2">
        <v>2007</v>
      </c>
      <c r="C469" s="2" t="s">
        <v>20</v>
      </c>
      <c r="D469" s="2">
        <v>33.6</v>
      </c>
      <c r="E469" s="2">
        <f>D469*VLOOKUP(C469,Conversion_factors!A$1:C$40,3,FALSE)</f>
        <v>30.825688073394495</v>
      </c>
      <c r="G469" s="2">
        <v>100.301</v>
      </c>
      <c r="H469" s="2">
        <f t="shared" si="12"/>
        <v>92.019266055045819</v>
      </c>
      <c r="I469" s="3">
        <f t="shared" si="11"/>
        <v>92.019266055045819</v>
      </c>
      <c r="J469" s="2">
        <v>99.7</v>
      </c>
      <c r="K469" s="2">
        <v>31</v>
      </c>
      <c r="M469" s="3"/>
      <c r="N469" s="3"/>
      <c r="Q469" s="4" t="s">
        <v>101</v>
      </c>
      <c r="R469" s="2" t="s">
        <v>17</v>
      </c>
      <c r="S469" s="2">
        <f>I469*0.49</f>
        <v>45.089440366972447</v>
      </c>
    </row>
    <row r="470" spans="1:19" ht="14.25" customHeight="1">
      <c r="A470" s="2" t="s">
        <v>15</v>
      </c>
      <c r="B470" s="2">
        <v>2008</v>
      </c>
      <c r="C470" s="2" t="s">
        <v>20</v>
      </c>
      <c r="D470" s="2">
        <v>37.5</v>
      </c>
      <c r="E470" s="2">
        <f>D470*VLOOKUP(C470,Conversion_factors!A$1:C$40,3,FALSE)</f>
        <v>34.403669724770637</v>
      </c>
      <c r="G470" s="2">
        <v>90.722999999999999</v>
      </c>
      <c r="H470" s="2">
        <f t="shared" si="12"/>
        <v>83.232110091743067</v>
      </c>
      <c r="I470" s="3">
        <f t="shared" si="11"/>
        <v>83.232110091743067</v>
      </c>
      <c r="J470" s="2">
        <v>78.7</v>
      </c>
      <c r="K470" s="2">
        <v>27.1</v>
      </c>
      <c r="M470" s="3"/>
      <c r="N470" s="3"/>
      <c r="Q470" s="4" t="s">
        <v>101</v>
      </c>
      <c r="R470" s="2" t="s">
        <v>17</v>
      </c>
      <c r="S470" s="2">
        <f>I470*0.49</f>
        <v>40.783733944954101</v>
      </c>
    </row>
    <row r="471" spans="1:19" ht="14.25" customHeight="1">
      <c r="A471" s="2" t="s">
        <v>15</v>
      </c>
      <c r="B471" s="2">
        <v>2009</v>
      </c>
      <c r="C471" s="2" t="s">
        <v>20</v>
      </c>
      <c r="D471" s="2">
        <v>72</v>
      </c>
      <c r="E471" s="2">
        <f>D471*VLOOKUP(C471,Conversion_factors!A$1:C$40,3,FALSE)</f>
        <v>66.055045871559628</v>
      </c>
      <c r="G471" s="2">
        <v>100.265</v>
      </c>
      <c r="H471" s="2">
        <f t="shared" si="12"/>
        <v>91.986238532110036</v>
      </c>
      <c r="I471" s="3">
        <f t="shared" si="11"/>
        <v>91.986238532110036</v>
      </c>
      <c r="J471" s="2">
        <v>103.1</v>
      </c>
      <c r="K471" s="2">
        <v>32</v>
      </c>
      <c r="M471" s="3"/>
      <c r="N471" s="3"/>
      <c r="Q471" s="4" t="s">
        <v>101</v>
      </c>
      <c r="R471" s="2" t="s">
        <v>17</v>
      </c>
      <c r="S471" s="2">
        <f>I471*0.49</f>
        <v>45.073256880733915</v>
      </c>
    </row>
    <row r="472" spans="1:19" ht="14.25" customHeight="1">
      <c r="A472" s="2" t="s">
        <v>15</v>
      </c>
      <c r="B472" s="2">
        <v>2010</v>
      </c>
      <c r="C472" s="2" t="s">
        <v>20</v>
      </c>
      <c r="D472" s="2">
        <v>60.8</v>
      </c>
      <c r="E472" s="2">
        <f>D472*VLOOKUP(C472,Conversion_factors!A$1:C$40,3,FALSE)</f>
        <v>55.77981651376146</v>
      </c>
      <c r="G472" s="2">
        <v>99.9</v>
      </c>
      <c r="H472" s="2">
        <f t="shared" si="12"/>
        <v>91.651376146788948</v>
      </c>
      <c r="I472" s="3">
        <f t="shared" si="11"/>
        <v>91.651376146788948</v>
      </c>
      <c r="J472" s="2">
        <v>112.6</v>
      </c>
      <c r="K472" s="2">
        <v>45.5</v>
      </c>
      <c r="M472" s="3"/>
      <c r="N472" s="3"/>
      <c r="Q472" s="4" t="s">
        <v>101</v>
      </c>
      <c r="R472" s="2" t="s">
        <v>17</v>
      </c>
      <c r="S472" s="2">
        <f>I472*0.49</f>
        <v>44.909174311926584</v>
      </c>
    </row>
    <row r="473" spans="1:19" ht="14.25" customHeight="1">
      <c r="A473" s="2" t="s">
        <v>15</v>
      </c>
      <c r="B473" s="2">
        <v>2011</v>
      </c>
      <c r="C473" s="2" t="s">
        <v>20</v>
      </c>
      <c r="D473" s="2">
        <v>87.8</v>
      </c>
      <c r="E473" s="2">
        <f>D473*VLOOKUP(C473,Conversion_factors!A$1:C$40,3,FALSE)</f>
        <v>80.550458715596321</v>
      </c>
      <c r="G473" s="2">
        <v>94.4</v>
      </c>
      <c r="H473" s="2">
        <f t="shared" si="12"/>
        <v>86.60550458715592</v>
      </c>
      <c r="I473" s="3">
        <f t="shared" si="11"/>
        <v>86.60550458715592</v>
      </c>
      <c r="J473" s="2">
        <v>77.8</v>
      </c>
      <c r="K473" s="2">
        <v>33.5</v>
      </c>
      <c r="M473" s="3"/>
      <c r="N473" s="3"/>
      <c r="Q473" s="4" t="s">
        <v>101</v>
      </c>
      <c r="R473" s="2" t="s">
        <v>17</v>
      </c>
      <c r="S473" s="2">
        <f>I473*0.49</f>
        <v>42.436697247706398</v>
      </c>
    </row>
    <row r="474" spans="1:19" ht="14.25" customHeight="1">
      <c r="A474" s="2" t="s">
        <v>15</v>
      </c>
      <c r="B474" s="2">
        <v>2012</v>
      </c>
      <c r="C474" s="2" t="s">
        <v>20</v>
      </c>
      <c r="D474" s="2">
        <v>101</v>
      </c>
      <c r="E474" s="2">
        <f>D474*VLOOKUP(C474,Conversion_factors!A$1:C$40,3,FALSE)</f>
        <v>92.660550458715591</v>
      </c>
      <c r="G474" s="2">
        <v>67.8</v>
      </c>
      <c r="H474" s="2">
        <f t="shared" si="12"/>
        <v>62.201834862385283</v>
      </c>
      <c r="I474" s="3">
        <f t="shared" si="11"/>
        <v>62.201834862385283</v>
      </c>
      <c r="J474" s="2">
        <v>75</v>
      </c>
      <c r="K474" s="2">
        <v>49</v>
      </c>
      <c r="M474" s="3"/>
      <c r="N474" s="3"/>
      <c r="Q474" s="4" t="s">
        <v>101</v>
      </c>
      <c r="R474" s="2" t="s">
        <v>17</v>
      </c>
      <c r="S474" s="2">
        <f>I474*0.49</f>
        <v>30.478899082568788</v>
      </c>
    </row>
    <row r="475" spans="1:19" ht="14.25" customHeight="1">
      <c r="A475" s="2" t="s">
        <v>15</v>
      </c>
      <c r="B475" s="2">
        <v>2013</v>
      </c>
      <c r="C475" s="2" t="s">
        <v>20</v>
      </c>
      <c r="D475" s="2">
        <v>85.6</v>
      </c>
      <c r="E475" s="2">
        <f>D475*VLOOKUP(C475,Conversion_factors!A$1:C$40,3,FALSE)</f>
        <v>78.532110091743107</v>
      </c>
      <c r="G475" s="2">
        <v>78.2</v>
      </c>
      <c r="H475" s="2">
        <f t="shared" si="12"/>
        <v>71.743119266055004</v>
      </c>
      <c r="I475" s="3">
        <f t="shared" si="11"/>
        <v>71.743119266055004</v>
      </c>
      <c r="J475" s="2">
        <v>80.8</v>
      </c>
      <c r="K475" s="2">
        <v>29.9</v>
      </c>
      <c r="M475" s="3"/>
      <c r="N475" s="3"/>
      <c r="Q475" s="4" t="s">
        <v>101</v>
      </c>
      <c r="R475" s="2" t="s">
        <v>17</v>
      </c>
      <c r="S475" s="2">
        <f>I475*0.49</f>
        <v>35.154128440366954</v>
      </c>
    </row>
    <row r="476" spans="1:19" ht="14.25" customHeight="1">
      <c r="A476" s="2" t="s">
        <v>15</v>
      </c>
      <c r="B476" s="2">
        <v>2014</v>
      </c>
      <c r="C476" s="2" t="s">
        <v>20</v>
      </c>
      <c r="D476" s="2">
        <v>161.80000000000001</v>
      </c>
      <c r="E476" s="2">
        <f>D476*VLOOKUP(C476,Conversion_factors!A$1:C$40,3,FALSE)</f>
        <v>148.44036697247705</v>
      </c>
      <c r="G476" s="2">
        <v>128.19999999999999</v>
      </c>
      <c r="H476" s="2">
        <f t="shared" si="12"/>
        <v>117.61467889908249</v>
      </c>
      <c r="I476" s="3">
        <f t="shared" si="11"/>
        <v>117.61467889908249</v>
      </c>
      <c r="J476" s="2">
        <v>120.3</v>
      </c>
      <c r="K476" s="2">
        <v>32</v>
      </c>
      <c r="M476" s="3"/>
      <c r="N476" s="3"/>
      <c r="Q476" s="4" t="s">
        <v>101</v>
      </c>
      <c r="R476" s="2" t="s">
        <v>17</v>
      </c>
      <c r="S476" s="2">
        <f>I476*0.49</f>
        <v>57.631192660550418</v>
      </c>
    </row>
    <row r="477" spans="1:19" ht="14.25" customHeight="1">
      <c r="A477" s="2" t="s">
        <v>15</v>
      </c>
      <c r="B477" s="2">
        <v>2015</v>
      </c>
      <c r="C477" s="2" t="s">
        <v>20</v>
      </c>
      <c r="D477" s="2">
        <v>153.19999999999999</v>
      </c>
      <c r="E477" s="2">
        <f>D477*VLOOKUP(C477,Conversion_factors!A$1:C$40,3,FALSE)</f>
        <v>140.55045871559631</v>
      </c>
      <c r="G477" s="2">
        <v>94.8</v>
      </c>
      <c r="H477" s="2">
        <f t="shared" si="12"/>
        <v>86.972477064220129</v>
      </c>
      <c r="I477" s="3">
        <f t="shared" si="11"/>
        <v>86.972477064220129</v>
      </c>
      <c r="J477" s="2">
        <v>80.3</v>
      </c>
      <c r="K477" s="2">
        <v>19</v>
      </c>
      <c r="M477" s="3"/>
      <c r="N477" s="3"/>
      <c r="Q477" s="4" t="s">
        <v>101</v>
      </c>
      <c r="R477" s="2" t="s">
        <v>17</v>
      </c>
      <c r="S477" s="2">
        <f>I477*0.49</f>
        <v>42.616513761467864</v>
      </c>
    </row>
    <row r="478" spans="1:19" ht="14.25" customHeight="1">
      <c r="A478" s="2" t="s">
        <v>15</v>
      </c>
      <c r="B478" s="2">
        <v>2016</v>
      </c>
      <c r="C478" s="2" t="s">
        <v>20</v>
      </c>
      <c r="D478" s="2">
        <v>113.8</v>
      </c>
      <c r="E478" s="2">
        <f>D478*VLOOKUP(C478,Conversion_factors!A$1:C$40,3,FALSE)</f>
        <v>104.40366972477064</v>
      </c>
      <c r="G478" s="2">
        <v>103.9</v>
      </c>
      <c r="H478" s="2">
        <f t="shared" si="12"/>
        <v>95.321100917431139</v>
      </c>
      <c r="I478" s="3">
        <f t="shared" si="11"/>
        <v>95.321100917431139</v>
      </c>
      <c r="J478" s="2">
        <v>83.7</v>
      </c>
      <c r="K478" s="2">
        <v>19</v>
      </c>
      <c r="M478" s="3"/>
      <c r="N478" s="3"/>
      <c r="Q478" s="4" t="s">
        <v>101</v>
      </c>
      <c r="R478" s="2" t="s">
        <v>17</v>
      </c>
      <c r="S478" s="2">
        <f>I478*0.49</f>
        <v>46.707339449541259</v>
      </c>
    </row>
    <row r="479" spans="1:19" ht="14.25" customHeight="1">
      <c r="A479" s="2" t="s">
        <v>15</v>
      </c>
      <c r="B479" s="2">
        <v>2017</v>
      </c>
      <c r="C479" s="2" t="s">
        <v>20</v>
      </c>
      <c r="D479" s="2">
        <v>131.4</v>
      </c>
      <c r="E479" s="2">
        <f>D479*VLOOKUP(C479,Conversion_factors!A$1:C$40,3,FALSE)</f>
        <v>120.55045871559632</v>
      </c>
      <c r="G479" s="2">
        <v>95.5</v>
      </c>
      <c r="H479" s="2">
        <f t="shared" si="12"/>
        <v>87.61467889908252</v>
      </c>
      <c r="I479" s="3">
        <f t="shared" si="11"/>
        <v>87.61467889908252</v>
      </c>
      <c r="J479" s="2">
        <v>77.5</v>
      </c>
      <c r="K479" s="2">
        <v>26.4</v>
      </c>
      <c r="M479" s="3"/>
      <c r="N479" s="3"/>
      <c r="Q479" s="4" t="s">
        <v>101</v>
      </c>
      <c r="R479" s="2" t="s">
        <v>17</v>
      </c>
      <c r="S479" s="2">
        <f>I479*0.49</f>
        <v>42.931192660550437</v>
      </c>
    </row>
    <row r="480" spans="1:19" ht="14.25" customHeight="1">
      <c r="A480" s="2" t="s">
        <v>15</v>
      </c>
      <c r="B480" s="2">
        <v>2018</v>
      </c>
      <c r="C480" s="2" t="s">
        <v>20</v>
      </c>
      <c r="D480" s="2">
        <v>109.9</v>
      </c>
      <c r="E480" s="2">
        <f>D480*VLOOKUP(C480,Conversion_factors!A$1:C$40,3,FALSE)</f>
        <v>100.82568807339449</v>
      </c>
      <c r="G480" s="2">
        <v>81</v>
      </c>
      <c r="H480" s="2">
        <f t="shared" si="12"/>
        <v>74.311926605504553</v>
      </c>
      <c r="I480" s="3">
        <f t="shared" si="11"/>
        <v>74.311926605504553</v>
      </c>
      <c r="J480" s="2">
        <v>67.3</v>
      </c>
      <c r="K480" s="2">
        <v>14</v>
      </c>
      <c r="M480" s="3"/>
      <c r="N480" s="3"/>
      <c r="Q480" s="4" t="s">
        <v>101</v>
      </c>
      <c r="R480" s="2" t="s">
        <v>17</v>
      </c>
      <c r="S480" s="2">
        <f>I480*0.49</f>
        <v>36.41284403669723</v>
      </c>
    </row>
    <row r="481" spans="1:19" ht="14.25" customHeight="1">
      <c r="A481" s="2" t="s">
        <v>15</v>
      </c>
      <c r="B481" s="2">
        <v>2019</v>
      </c>
      <c r="C481" s="2" t="s">
        <v>20</v>
      </c>
      <c r="D481" s="2">
        <v>90.6</v>
      </c>
      <c r="E481" s="2">
        <f>D481*VLOOKUP(C481,Conversion_factors!A$1:C$40,3,FALSE)</f>
        <v>83.119266055045856</v>
      </c>
      <c r="G481" s="2">
        <v>61.5</v>
      </c>
      <c r="H481" s="2">
        <f t="shared" si="12"/>
        <v>56.422018348623823</v>
      </c>
      <c r="I481" s="3">
        <f t="shared" si="11"/>
        <v>56.422018348623823</v>
      </c>
      <c r="J481" s="2">
        <v>62.302202000000001</v>
      </c>
      <c r="K481" s="2">
        <v>20.153808999999999</v>
      </c>
      <c r="M481" s="3"/>
      <c r="N481" s="3"/>
      <c r="Q481" s="4" t="s">
        <v>101</v>
      </c>
      <c r="R481" s="2" t="s">
        <v>17</v>
      </c>
      <c r="S481" s="2">
        <f>I481*0.49</f>
        <v>27.646788990825673</v>
      </c>
    </row>
    <row r="482" spans="1:19" ht="14.25" customHeight="1">
      <c r="A482" s="2" t="s">
        <v>15</v>
      </c>
      <c r="B482" s="2">
        <v>2020</v>
      </c>
      <c r="C482" s="2" t="s">
        <v>20</v>
      </c>
      <c r="D482" s="2">
        <v>121.1748324</v>
      </c>
      <c r="E482" s="2">
        <f>D482*VLOOKUP(C482,Conversion_factors!A$1:C$40,3,FALSE)</f>
        <v>111.16957100917431</v>
      </c>
      <c r="G482" s="2">
        <v>83.131358700000106</v>
      </c>
      <c r="H482" s="2">
        <f t="shared" si="12"/>
        <v>76.267301559633083</v>
      </c>
      <c r="I482" s="3">
        <f t="shared" si="11"/>
        <v>76.267301559633083</v>
      </c>
      <c r="J482" s="2">
        <v>70.013717999999997</v>
      </c>
      <c r="K482" s="2">
        <v>14.216229999999999</v>
      </c>
      <c r="M482" s="3"/>
      <c r="N482" s="3"/>
      <c r="Q482" s="4" t="s">
        <v>101</v>
      </c>
      <c r="R482" s="2" t="s">
        <v>17</v>
      </c>
      <c r="S482" s="2">
        <f>I482*0.49</f>
        <v>37.370977764220207</v>
      </c>
    </row>
    <row r="483" spans="1:19" ht="14.25" customHeight="1">
      <c r="A483" s="2" t="s">
        <v>15</v>
      </c>
      <c r="B483" s="2">
        <v>1900</v>
      </c>
      <c r="C483" s="2" t="s">
        <v>29</v>
      </c>
      <c r="G483" s="3"/>
      <c r="H483" s="3" t="e">
        <v>#VALUE!</v>
      </c>
      <c r="I483" s="3" t="e">
        <f t="shared" si="11"/>
        <v>#VALUE!</v>
      </c>
      <c r="J483" s="3" t="e">
        <v>#VALUE!</v>
      </c>
      <c r="K483" s="3" t="e">
        <v>#VALUE!</v>
      </c>
      <c r="L483" s="3"/>
      <c r="M483" s="3" t="e">
        <v>#VALUE!</v>
      </c>
      <c r="N483" s="3" t="e">
        <v>#VALUE!</v>
      </c>
      <c r="Q483" s="4" t="s">
        <v>99</v>
      </c>
      <c r="R483" s="2" t="s">
        <v>17</v>
      </c>
      <c r="S483" s="2" t="e">
        <f>I483*0.49</f>
        <v>#VALUE!</v>
      </c>
    </row>
    <row r="484" spans="1:19" ht="14.25" customHeight="1">
      <c r="A484" s="2" t="s">
        <v>15</v>
      </c>
      <c r="B484" s="2">
        <v>1901</v>
      </c>
      <c r="C484" s="2" t="s">
        <v>29</v>
      </c>
      <c r="G484" s="3"/>
      <c r="H484" s="3" t="e">
        <v>#VALUE!</v>
      </c>
      <c r="I484" s="3" t="e">
        <f t="shared" si="11"/>
        <v>#VALUE!</v>
      </c>
      <c r="J484" s="3" t="e">
        <v>#N/A</v>
      </c>
      <c r="K484" s="3" t="e">
        <v>#N/A</v>
      </c>
      <c r="L484" s="3"/>
      <c r="M484" s="3" t="e">
        <v>#N/A</v>
      </c>
      <c r="N484" s="3" t="e">
        <v>#N/A</v>
      </c>
      <c r="Q484" s="4" t="s">
        <v>99</v>
      </c>
      <c r="R484" s="2" t="s">
        <v>17</v>
      </c>
      <c r="S484" s="2" t="e">
        <f>I484*0.49</f>
        <v>#VALUE!</v>
      </c>
    </row>
    <row r="485" spans="1:19" ht="14.25" customHeight="1">
      <c r="A485" s="2" t="s">
        <v>15</v>
      </c>
      <c r="B485" s="2">
        <v>1902</v>
      </c>
      <c r="C485" s="2" t="s">
        <v>29</v>
      </c>
      <c r="G485" s="3"/>
      <c r="H485" s="3" t="e">
        <v>#VALUE!</v>
      </c>
      <c r="I485" s="3" t="e">
        <f t="shared" si="11"/>
        <v>#VALUE!</v>
      </c>
      <c r="J485" s="3" t="e">
        <v>#N/A</v>
      </c>
      <c r="K485" s="3" t="e">
        <v>#N/A</v>
      </c>
      <c r="L485" s="3"/>
      <c r="M485" s="3" t="e">
        <v>#N/A</v>
      </c>
      <c r="N485" s="3" t="e">
        <v>#N/A</v>
      </c>
      <c r="Q485" s="4" t="s">
        <v>99</v>
      </c>
      <c r="R485" s="2" t="s">
        <v>17</v>
      </c>
      <c r="S485" s="2" t="e">
        <f>I485*0.49</f>
        <v>#VALUE!</v>
      </c>
    </row>
    <row r="486" spans="1:19" ht="14.25" customHeight="1">
      <c r="A486" s="2" t="s">
        <v>15</v>
      </c>
      <c r="B486" s="2">
        <v>1903</v>
      </c>
      <c r="C486" s="2" t="s">
        <v>29</v>
      </c>
      <c r="G486" s="3"/>
      <c r="H486" s="3" t="e">
        <v>#VALUE!</v>
      </c>
      <c r="I486" s="3" t="e">
        <f t="shared" si="11"/>
        <v>#VALUE!</v>
      </c>
      <c r="J486" s="3" t="e">
        <v>#N/A</v>
      </c>
      <c r="K486" s="3" t="e">
        <v>#N/A</v>
      </c>
      <c r="L486" s="3"/>
      <c r="M486" s="3" t="e">
        <v>#N/A</v>
      </c>
      <c r="N486" s="3" t="e">
        <v>#N/A</v>
      </c>
      <c r="Q486" s="4" t="s">
        <v>99</v>
      </c>
      <c r="R486" s="2" t="s">
        <v>17</v>
      </c>
      <c r="S486" s="2" t="e">
        <f>I486*0.49</f>
        <v>#VALUE!</v>
      </c>
    </row>
    <row r="487" spans="1:19" ht="14.25" customHeight="1">
      <c r="A487" s="2" t="s">
        <v>15</v>
      </c>
      <c r="B487" s="2">
        <v>1904</v>
      </c>
      <c r="C487" s="2" t="s">
        <v>29</v>
      </c>
      <c r="G487" s="3"/>
      <c r="H487" s="3" t="e">
        <v>#VALUE!</v>
      </c>
      <c r="I487" s="3" t="e">
        <f t="shared" si="11"/>
        <v>#VALUE!</v>
      </c>
      <c r="J487" s="3" t="e">
        <v>#N/A</v>
      </c>
      <c r="K487" s="3" t="e">
        <v>#N/A</v>
      </c>
      <c r="L487" s="3"/>
      <c r="M487" s="3" t="e">
        <v>#N/A</v>
      </c>
      <c r="N487" s="3" t="e">
        <v>#N/A</v>
      </c>
      <c r="Q487" s="4" t="s">
        <v>99</v>
      </c>
      <c r="R487" s="2" t="s">
        <v>17</v>
      </c>
      <c r="S487" s="2" t="e">
        <f>I487*0.49</f>
        <v>#VALUE!</v>
      </c>
    </row>
    <row r="488" spans="1:19" ht="14.25" customHeight="1">
      <c r="A488" s="2" t="s">
        <v>15</v>
      </c>
      <c r="B488" s="2">
        <v>1905</v>
      </c>
      <c r="C488" s="2" t="s">
        <v>29</v>
      </c>
      <c r="G488" s="3"/>
      <c r="H488" s="3" t="e">
        <v>#VALUE!</v>
      </c>
      <c r="I488" s="3" t="e">
        <f t="shared" si="11"/>
        <v>#VALUE!</v>
      </c>
      <c r="J488" s="3">
        <v>0.34540743751270064</v>
      </c>
      <c r="K488" s="3">
        <v>17.934210526315791</v>
      </c>
      <c r="L488" s="3"/>
      <c r="M488" s="3">
        <v>3.7599129032369998</v>
      </c>
      <c r="N488" s="3">
        <v>67.177182774393543</v>
      </c>
      <c r="Q488" s="4" t="s">
        <v>99</v>
      </c>
      <c r="R488" s="2" t="s">
        <v>17</v>
      </c>
      <c r="S488" s="2" t="e">
        <f>I488*0.49</f>
        <v>#VALUE!</v>
      </c>
    </row>
    <row r="489" spans="1:19" ht="14.25" customHeight="1">
      <c r="A489" s="2" t="s">
        <v>15</v>
      </c>
      <c r="B489" s="2">
        <v>1906</v>
      </c>
      <c r="C489" s="2" t="s">
        <v>29</v>
      </c>
      <c r="G489" s="3"/>
      <c r="H489" s="3" t="e">
        <v>#VALUE!</v>
      </c>
      <c r="I489" s="3" t="e">
        <f t="shared" si="11"/>
        <v>#VALUE!</v>
      </c>
      <c r="J489" s="3" t="e">
        <v>#N/A</v>
      </c>
      <c r="K489" s="3" t="e">
        <v>#N/A</v>
      </c>
      <c r="L489" s="3"/>
      <c r="M489" s="3" t="e">
        <v>#N/A</v>
      </c>
      <c r="N489" s="3" t="e">
        <v>#N/A</v>
      </c>
      <c r="Q489" s="4" t="s">
        <v>99</v>
      </c>
      <c r="R489" s="2" t="s">
        <v>17</v>
      </c>
      <c r="S489" s="2" t="e">
        <f>I489*0.49</f>
        <v>#VALUE!</v>
      </c>
    </row>
    <row r="490" spans="1:19" ht="14.25" customHeight="1">
      <c r="A490" s="2" t="s">
        <v>15</v>
      </c>
      <c r="B490" s="2">
        <v>1907</v>
      </c>
      <c r="C490" s="2" t="s">
        <v>29</v>
      </c>
      <c r="G490" s="3"/>
      <c r="H490" s="3" t="e">
        <v>#VALUE!</v>
      </c>
      <c r="I490" s="3" t="e">
        <f t="shared" si="11"/>
        <v>#VALUE!</v>
      </c>
      <c r="J490" s="3" t="e">
        <v>#N/A</v>
      </c>
      <c r="K490" s="3" t="e">
        <v>#N/A</v>
      </c>
      <c r="L490" s="3"/>
      <c r="M490" s="3" t="e">
        <v>#N/A</v>
      </c>
      <c r="N490" s="3" t="e">
        <v>#N/A</v>
      </c>
      <c r="Q490" s="4" t="s">
        <v>99</v>
      </c>
      <c r="R490" s="2" t="s">
        <v>17</v>
      </c>
      <c r="S490" s="2" t="e">
        <f>I490*0.49</f>
        <v>#VALUE!</v>
      </c>
    </row>
    <row r="491" spans="1:19" ht="14.25" customHeight="1">
      <c r="A491" s="2" t="s">
        <v>15</v>
      </c>
      <c r="B491" s="2">
        <v>1908</v>
      </c>
      <c r="C491" s="2" t="s">
        <v>29</v>
      </c>
      <c r="G491" s="3"/>
      <c r="H491" s="3" t="e">
        <v>#VALUE!</v>
      </c>
      <c r="I491" s="3" t="e">
        <f t="shared" si="11"/>
        <v>#VALUE!</v>
      </c>
      <c r="J491" s="3" t="e">
        <v>#N/A</v>
      </c>
      <c r="K491" s="3" t="e">
        <v>#N/A</v>
      </c>
      <c r="L491" s="3"/>
      <c r="M491" s="3" t="e">
        <v>#N/A</v>
      </c>
      <c r="N491" s="3" t="e">
        <v>#N/A</v>
      </c>
      <c r="Q491" s="4" t="s">
        <v>99</v>
      </c>
      <c r="R491" s="2" t="s">
        <v>17</v>
      </c>
      <c r="S491" s="2" t="e">
        <f>I491*0.49</f>
        <v>#VALUE!</v>
      </c>
    </row>
    <row r="492" spans="1:19" ht="14.25" customHeight="1">
      <c r="A492" s="2" t="s">
        <v>15</v>
      </c>
      <c r="B492" s="2">
        <v>1910</v>
      </c>
      <c r="C492" s="2" t="s">
        <v>29</v>
      </c>
      <c r="G492" s="3"/>
      <c r="H492" s="3" t="e">
        <v>#VALUE!</v>
      </c>
      <c r="I492" s="3" t="e">
        <f t="shared" si="11"/>
        <v>#VALUE!</v>
      </c>
      <c r="J492" s="3">
        <v>0.39092664092664092</v>
      </c>
      <c r="K492" s="3">
        <v>32.309794757163175</v>
      </c>
      <c r="L492" s="3"/>
      <c r="M492" s="3">
        <v>4.8491363752309793</v>
      </c>
      <c r="N492" s="3">
        <v>123.52260638088377</v>
      </c>
      <c r="Q492" s="4" t="s">
        <v>99</v>
      </c>
      <c r="R492" s="2" t="s">
        <v>17</v>
      </c>
      <c r="S492" s="2" t="e">
        <f>I492*0.49</f>
        <v>#VALUE!</v>
      </c>
    </row>
    <row r="493" spans="1:19" ht="14.25" customHeight="1">
      <c r="A493" s="2" t="s">
        <v>15</v>
      </c>
      <c r="B493" s="2">
        <v>1911</v>
      </c>
      <c r="C493" s="2" t="s">
        <v>29</v>
      </c>
      <c r="G493" s="3"/>
      <c r="H493" s="3" t="e">
        <v>#VALUE!</v>
      </c>
      <c r="I493" s="3" t="e">
        <f t="shared" si="11"/>
        <v>#VALUE!</v>
      </c>
      <c r="J493" s="3" t="e">
        <v>#N/A</v>
      </c>
      <c r="K493" s="3" t="e">
        <v>#N/A</v>
      </c>
      <c r="L493" s="3"/>
      <c r="M493" s="3" t="e">
        <v>#N/A</v>
      </c>
      <c r="N493" s="3" t="e">
        <v>#N/A</v>
      </c>
      <c r="Q493" s="4" t="s">
        <v>99</v>
      </c>
      <c r="R493" s="2" t="s">
        <v>17</v>
      </c>
      <c r="S493" s="2" t="e">
        <f>I493*0.49</f>
        <v>#VALUE!</v>
      </c>
    </row>
    <row r="494" spans="1:19" ht="14.25" customHeight="1">
      <c r="A494" s="2" t="s">
        <v>15</v>
      </c>
      <c r="B494" s="2">
        <v>1912</v>
      </c>
      <c r="C494" s="2" t="s">
        <v>29</v>
      </c>
      <c r="G494" s="3"/>
      <c r="H494" s="3" t="e">
        <v>#VALUE!</v>
      </c>
      <c r="I494" s="3" t="e">
        <f t="shared" si="11"/>
        <v>#VALUE!</v>
      </c>
      <c r="J494" s="3" t="e">
        <v>#N/A</v>
      </c>
      <c r="K494" s="3" t="e">
        <v>#N/A</v>
      </c>
      <c r="L494" s="3"/>
      <c r="M494" s="3" t="e">
        <v>#N/A</v>
      </c>
      <c r="N494" s="3" t="e">
        <v>#N/A</v>
      </c>
      <c r="Q494" s="4" t="s">
        <v>99</v>
      </c>
      <c r="R494" s="2" t="s">
        <v>17</v>
      </c>
      <c r="S494" s="2" t="e">
        <f>I494*0.49</f>
        <v>#VALUE!</v>
      </c>
    </row>
    <row r="495" spans="1:19" ht="14.25" customHeight="1">
      <c r="A495" s="2" t="s">
        <v>15</v>
      </c>
      <c r="B495" s="2">
        <v>1913</v>
      </c>
      <c r="C495" s="2" t="s">
        <v>29</v>
      </c>
      <c r="G495" s="3"/>
      <c r="H495" s="3" t="e">
        <v>#VALUE!</v>
      </c>
      <c r="I495" s="3" t="e">
        <f t="shared" si="11"/>
        <v>#VALUE!</v>
      </c>
      <c r="J495" s="3" t="e">
        <v>#N/A</v>
      </c>
      <c r="K495" s="3" t="e">
        <v>#N/A</v>
      </c>
      <c r="L495" s="3"/>
      <c r="M495" s="3" t="e">
        <v>#N/A</v>
      </c>
      <c r="N495" s="3" t="e">
        <v>#N/A</v>
      </c>
      <c r="Q495" s="4" t="s">
        <v>99</v>
      </c>
      <c r="R495" s="2" t="s">
        <v>17</v>
      </c>
      <c r="S495" s="2" t="e">
        <f>I495*0.49</f>
        <v>#VALUE!</v>
      </c>
    </row>
    <row r="496" spans="1:19" ht="14.25" customHeight="1">
      <c r="A496" s="2" t="s">
        <v>15</v>
      </c>
      <c r="B496" s="2">
        <v>1914</v>
      </c>
      <c r="C496" s="2" t="s">
        <v>29</v>
      </c>
      <c r="G496" s="3"/>
      <c r="H496" s="3" t="e">
        <v>#VALUE!</v>
      </c>
      <c r="I496" s="3" t="e">
        <f t="shared" si="11"/>
        <v>#VALUE!</v>
      </c>
      <c r="J496" s="3">
        <v>0.26391993497256655</v>
      </c>
      <c r="K496" s="3">
        <v>44.867404998983943</v>
      </c>
      <c r="L496" s="3"/>
      <c r="M496" s="3">
        <v>3.7355507552021305</v>
      </c>
      <c r="N496" s="3">
        <v>176.17207794349579</v>
      </c>
      <c r="Q496" s="4" t="s">
        <v>100</v>
      </c>
      <c r="R496" s="2" t="s">
        <v>17</v>
      </c>
      <c r="S496" s="2" t="e">
        <f>I496*0.49</f>
        <v>#VALUE!</v>
      </c>
    </row>
    <row r="497" spans="1:19" ht="14.25" customHeight="1">
      <c r="A497" s="2" t="s">
        <v>15</v>
      </c>
      <c r="B497" s="2">
        <v>1915</v>
      </c>
      <c r="C497" s="2" t="s">
        <v>29</v>
      </c>
      <c r="G497" s="3"/>
      <c r="H497" s="3" t="e">
        <v>#VALUE!</v>
      </c>
      <c r="I497" s="3" t="e">
        <f t="shared" si="11"/>
        <v>#VALUE!</v>
      </c>
      <c r="J497" s="3">
        <v>3.0837228205649256E-2</v>
      </c>
      <c r="K497" s="3">
        <v>51.519101808575492</v>
      </c>
      <c r="L497" s="3"/>
      <c r="M497" s="3">
        <v>0.24282516362552004</v>
      </c>
      <c r="N497" s="3">
        <v>208.0548110270727</v>
      </c>
      <c r="Q497" s="4" t="s">
        <v>100</v>
      </c>
      <c r="R497" s="2" t="s">
        <v>17</v>
      </c>
      <c r="S497" s="2" t="e">
        <f>I497*0.49</f>
        <v>#VALUE!</v>
      </c>
    </row>
    <row r="498" spans="1:19" ht="14.25" customHeight="1">
      <c r="A498" s="2" t="s">
        <v>15</v>
      </c>
      <c r="B498" s="2">
        <v>1916</v>
      </c>
      <c r="C498" s="2" t="s">
        <v>29</v>
      </c>
      <c r="G498" s="3"/>
      <c r="H498" s="3" t="e">
        <v>#VALUE!</v>
      </c>
      <c r="I498" s="3" t="e">
        <f t="shared" si="11"/>
        <v>#VALUE!</v>
      </c>
      <c r="J498" s="3">
        <v>4.3080674659622023E-2</v>
      </c>
      <c r="K498" s="3">
        <v>70.884525502946545</v>
      </c>
      <c r="L498" s="3"/>
      <c r="M498" s="3">
        <v>0.33770869232779999</v>
      </c>
      <c r="N498" s="3">
        <v>252.72526884581688</v>
      </c>
      <c r="Q498" s="4" t="s">
        <v>100</v>
      </c>
      <c r="R498" s="2" t="s">
        <v>17</v>
      </c>
      <c r="S498" s="2" t="e">
        <f>I498*0.49</f>
        <v>#VALUE!</v>
      </c>
    </row>
    <row r="499" spans="1:19" ht="14.25" customHeight="1">
      <c r="A499" s="2" t="s">
        <v>15</v>
      </c>
      <c r="B499" s="2">
        <v>1917</v>
      </c>
      <c r="C499" s="2" t="s">
        <v>29</v>
      </c>
      <c r="G499" s="3"/>
      <c r="H499" s="3" t="e">
        <v>#VALUE!</v>
      </c>
      <c r="I499" s="3" t="e">
        <f t="shared" si="11"/>
        <v>#VALUE!</v>
      </c>
      <c r="J499" s="3">
        <v>2.2657996342206867E-2</v>
      </c>
      <c r="K499" s="3">
        <v>32.808118268644584</v>
      </c>
      <c r="L499" s="3"/>
      <c r="M499" s="3">
        <v>0.12121250307813</v>
      </c>
      <c r="N499" s="3">
        <v>124.42086326246084</v>
      </c>
      <c r="Q499" s="4" t="s">
        <v>100</v>
      </c>
      <c r="R499" s="2" t="s">
        <v>17</v>
      </c>
      <c r="S499" s="2" t="e">
        <f>I499*0.49</f>
        <v>#VALUE!</v>
      </c>
    </row>
    <row r="500" spans="1:19" ht="14.25" customHeight="1">
      <c r="A500" s="2" t="s">
        <v>15</v>
      </c>
      <c r="B500" s="2">
        <v>1918</v>
      </c>
      <c r="C500" s="2" t="s">
        <v>29</v>
      </c>
      <c r="G500" s="3"/>
      <c r="H500" s="3" t="e">
        <v>#VALUE!</v>
      </c>
      <c r="I500" s="3" t="e">
        <f t="shared" si="11"/>
        <v>#VALUE!</v>
      </c>
      <c r="J500" s="3">
        <v>0</v>
      </c>
      <c r="K500" s="3">
        <v>45.182534037797197</v>
      </c>
      <c r="L500" s="3"/>
      <c r="M500" s="3">
        <v>0</v>
      </c>
      <c r="N500" s="3">
        <v>179.94213638271307</v>
      </c>
      <c r="Q500" s="4" t="s">
        <v>100</v>
      </c>
      <c r="R500" s="2" t="s">
        <v>17</v>
      </c>
      <c r="S500" s="2" t="e">
        <f>I500*0.49</f>
        <v>#VALUE!</v>
      </c>
    </row>
    <row r="501" spans="1:19" ht="14.25" customHeight="1">
      <c r="A501" s="2" t="s">
        <v>15</v>
      </c>
      <c r="B501" s="2">
        <v>1919</v>
      </c>
      <c r="C501" s="2" t="s">
        <v>29</v>
      </c>
      <c r="G501" s="3"/>
      <c r="H501" s="3" t="e">
        <v>#VALUE!</v>
      </c>
      <c r="I501" s="3" t="e">
        <f t="shared" si="11"/>
        <v>#VALUE!</v>
      </c>
      <c r="J501" s="3">
        <v>3.5409469619995929E-2</v>
      </c>
      <c r="K501" s="3">
        <v>57.896870554765286</v>
      </c>
      <c r="L501" s="3"/>
      <c r="M501" s="3">
        <v>0.28648128770151005</v>
      </c>
      <c r="N501" s="3">
        <v>250.01555423646889</v>
      </c>
      <c r="Q501" s="4" t="s">
        <v>99</v>
      </c>
      <c r="R501" s="2" t="s">
        <v>17</v>
      </c>
      <c r="S501" s="2" t="e">
        <f>I501*0.49</f>
        <v>#VALUE!</v>
      </c>
    </row>
    <row r="502" spans="1:19" ht="14.25" customHeight="1">
      <c r="A502" s="2" t="s">
        <v>15</v>
      </c>
      <c r="B502" s="2">
        <v>1920</v>
      </c>
      <c r="C502" s="2" t="s">
        <v>29</v>
      </c>
      <c r="G502" s="3"/>
      <c r="H502" s="3" t="e">
        <v>#VALUE!</v>
      </c>
      <c r="I502" s="3" t="e">
        <f t="shared" si="11"/>
        <v>#VALUE!</v>
      </c>
      <c r="J502" s="3">
        <v>8.1538305222515747E-2</v>
      </c>
      <c r="K502" s="3">
        <v>43.17943507417192</v>
      </c>
      <c r="L502" s="3"/>
      <c r="M502" s="3">
        <v>0.66293117777088006</v>
      </c>
      <c r="N502" s="3">
        <v>198.83179626407713</v>
      </c>
      <c r="Q502" s="4" t="s">
        <v>99</v>
      </c>
      <c r="R502" s="2" t="s">
        <v>17</v>
      </c>
      <c r="S502" s="2" t="e">
        <f>I502*0.49</f>
        <v>#VALUE!</v>
      </c>
    </row>
    <row r="503" spans="1:19" ht="14.25" customHeight="1">
      <c r="A503" s="2" t="s">
        <v>15</v>
      </c>
      <c r="B503" s="2">
        <v>1921</v>
      </c>
      <c r="C503" s="2" t="s">
        <v>29</v>
      </c>
      <c r="G503" s="3"/>
      <c r="H503" s="3" t="e">
        <v>#VALUE!</v>
      </c>
      <c r="I503" s="3" t="e">
        <f t="shared" si="11"/>
        <v>#VALUE!</v>
      </c>
      <c r="J503" s="3" t="e">
        <v>#N/A</v>
      </c>
      <c r="K503" s="3" t="e">
        <v>#N/A</v>
      </c>
      <c r="L503" s="3"/>
      <c r="M503" s="3" t="e">
        <v>#N/A</v>
      </c>
      <c r="N503" s="3" t="e">
        <v>#N/A</v>
      </c>
      <c r="Q503" s="4" t="s">
        <v>99</v>
      </c>
      <c r="R503" s="2" t="s">
        <v>17</v>
      </c>
      <c r="S503" s="2" t="e">
        <f>I503*0.49</f>
        <v>#VALUE!</v>
      </c>
    </row>
    <row r="504" spans="1:19" ht="14.25" customHeight="1">
      <c r="A504" s="2" t="s">
        <v>15</v>
      </c>
      <c r="B504" s="2">
        <v>1922</v>
      </c>
      <c r="C504" s="2" t="s">
        <v>29</v>
      </c>
      <c r="G504" s="3"/>
      <c r="H504" s="3" t="e">
        <v>#VALUE!</v>
      </c>
      <c r="I504" s="3" t="e">
        <f t="shared" si="11"/>
        <v>#VALUE!</v>
      </c>
      <c r="J504" s="3" t="e">
        <v>#N/A</v>
      </c>
      <c r="K504" s="3" t="e">
        <v>#N/A</v>
      </c>
      <c r="L504" s="3"/>
      <c r="M504" s="3" t="e">
        <v>#N/A</v>
      </c>
      <c r="N504" s="3" t="e">
        <v>#N/A</v>
      </c>
      <c r="Q504" s="4" t="s">
        <v>99</v>
      </c>
      <c r="R504" s="2" t="s">
        <v>17</v>
      </c>
      <c r="S504" s="2" t="e">
        <f>I504*0.49</f>
        <v>#VALUE!</v>
      </c>
    </row>
    <row r="505" spans="1:19" ht="14.25" customHeight="1">
      <c r="A505" s="2" t="s">
        <v>15</v>
      </c>
      <c r="B505" s="2">
        <v>1923</v>
      </c>
      <c r="C505" s="2" t="s">
        <v>29</v>
      </c>
      <c r="G505" s="3"/>
      <c r="H505" s="3" t="e">
        <v>#VALUE!</v>
      </c>
      <c r="I505" s="3" t="e">
        <f t="shared" si="11"/>
        <v>#VALUE!</v>
      </c>
      <c r="J505" s="3" t="e">
        <v>#N/A</v>
      </c>
      <c r="K505" s="3" t="e">
        <v>#N/A</v>
      </c>
      <c r="L505" s="3"/>
      <c r="M505" s="3" t="e">
        <v>#N/A</v>
      </c>
      <c r="N505" s="3" t="e">
        <v>#N/A</v>
      </c>
      <c r="Q505" s="4" t="s">
        <v>99</v>
      </c>
      <c r="R505" s="2" t="s">
        <v>17</v>
      </c>
      <c r="S505" s="2" t="e">
        <f>I505*0.49</f>
        <v>#VALUE!</v>
      </c>
    </row>
    <row r="506" spans="1:19" ht="14.25" customHeight="1">
      <c r="A506" s="2" t="s">
        <v>15</v>
      </c>
      <c r="B506" s="2">
        <v>1924</v>
      </c>
      <c r="C506" s="2" t="s">
        <v>29</v>
      </c>
      <c r="G506" s="3"/>
      <c r="H506" s="3" t="e">
        <v>#VALUE!</v>
      </c>
      <c r="I506" s="3" t="e">
        <f t="shared" si="11"/>
        <v>#VALUE!</v>
      </c>
      <c r="J506" s="3" t="e">
        <v>#N/A</v>
      </c>
      <c r="K506" s="3" t="e">
        <v>#N/A</v>
      </c>
      <c r="L506" s="3"/>
      <c r="M506" s="3" t="e">
        <v>#N/A</v>
      </c>
      <c r="N506" s="3" t="e">
        <v>#N/A</v>
      </c>
      <c r="Q506" s="4" t="s">
        <v>99</v>
      </c>
      <c r="R506" s="2" t="s">
        <v>17</v>
      </c>
      <c r="S506" s="2" t="e">
        <f>I506*0.49</f>
        <v>#VALUE!</v>
      </c>
    </row>
    <row r="507" spans="1:19" ht="14.25" customHeight="1">
      <c r="A507" s="2" t="s">
        <v>15</v>
      </c>
      <c r="B507" s="2">
        <v>1925</v>
      </c>
      <c r="C507" s="2" t="s">
        <v>29</v>
      </c>
      <c r="G507" s="3"/>
      <c r="H507" s="3" t="e">
        <v>#VALUE!</v>
      </c>
      <c r="I507" s="3" t="e">
        <f t="shared" si="11"/>
        <v>#VALUE!</v>
      </c>
      <c r="J507" s="3">
        <v>0.18263564316195893</v>
      </c>
      <c r="K507" s="3">
        <v>40.001270067059536</v>
      </c>
      <c r="L507" s="3"/>
      <c r="M507" s="3">
        <v>1.5819445268864298</v>
      </c>
      <c r="N507" s="3">
        <v>165.99538706501031</v>
      </c>
      <c r="Q507" s="4" t="s">
        <v>99</v>
      </c>
      <c r="R507" s="2" t="s">
        <v>17</v>
      </c>
      <c r="S507" s="2" t="e">
        <f>I507*0.49</f>
        <v>#VALUE!</v>
      </c>
    </row>
    <row r="508" spans="1:19" ht="14.25" customHeight="1">
      <c r="A508" s="2" t="s">
        <v>15</v>
      </c>
      <c r="B508" s="2">
        <v>1926</v>
      </c>
      <c r="C508" s="2" t="s">
        <v>29</v>
      </c>
      <c r="G508" s="3"/>
      <c r="H508" s="3" t="e">
        <v>#VALUE!</v>
      </c>
      <c r="I508" s="3" t="e">
        <f t="shared" si="11"/>
        <v>#VALUE!</v>
      </c>
      <c r="J508" s="3" t="e">
        <v>#N/A</v>
      </c>
      <c r="K508" s="3" t="e">
        <v>#N/A</v>
      </c>
      <c r="L508" s="3"/>
      <c r="M508" s="3" t="e">
        <v>#N/A</v>
      </c>
      <c r="N508" s="3" t="e">
        <v>#N/A</v>
      </c>
      <c r="Q508" s="4" t="s">
        <v>99</v>
      </c>
      <c r="R508" s="2" t="s">
        <v>17</v>
      </c>
      <c r="S508" s="2" t="e">
        <f>I508*0.49</f>
        <v>#VALUE!</v>
      </c>
    </row>
    <row r="509" spans="1:19" ht="14.25" customHeight="1">
      <c r="A509" s="2" t="s">
        <v>15</v>
      </c>
      <c r="B509" s="2">
        <v>1927</v>
      </c>
      <c r="C509" s="2" t="s">
        <v>29</v>
      </c>
      <c r="G509" s="3"/>
      <c r="H509" s="3" t="e">
        <v>#VALUE!</v>
      </c>
      <c r="I509" s="3" t="e">
        <f t="shared" si="11"/>
        <v>#VALUE!</v>
      </c>
      <c r="J509" s="3" t="e">
        <v>#N/A</v>
      </c>
      <c r="K509" s="3" t="e">
        <v>#N/A</v>
      </c>
      <c r="L509" s="3"/>
      <c r="M509" s="3" t="e">
        <v>#N/A</v>
      </c>
      <c r="N509" s="3" t="e">
        <v>#N/A</v>
      </c>
      <c r="Q509" s="4" t="s">
        <v>99</v>
      </c>
      <c r="R509" s="2" t="s">
        <v>17</v>
      </c>
      <c r="S509" s="2" t="e">
        <f>I509*0.49</f>
        <v>#VALUE!</v>
      </c>
    </row>
    <row r="510" spans="1:19" ht="14.25" customHeight="1">
      <c r="A510" s="2" t="s">
        <v>15</v>
      </c>
      <c r="B510" s="2">
        <v>1928</v>
      </c>
      <c r="C510" s="2" t="s">
        <v>29</v>
      </c>
      <c r="G510" s="3"/>
      <c r="H510" s="3" t="e">
        <v>#VALUE!</v>
      </c>
      <c r="I510" s="3" t="e">
        <f t="shared" si="11"/>
        <v>#VALUE!</v>
      </c>
      <c r="J510" s="3" t="e">
        <v>#N/A</v>
      </c>
      <c r="K510" s="3" t="e">
        <v>#N/A</v>
      </c>
      <c r="L510" s="3"/>
      <c r="M510" s="3" t="e">
        <v>#N/A</v>
      </c>
      <c r="N510" s="3" t="e">
        <v>#N/A</v>
      </c>
      <c r="Q510" s="4" t="s">
        <v>99</v>
      </c>
      <c r="R510" s="2" t="s">
        <v>17</v>
      </c>
      <c r="S510" s="2" t="e">
        <f>I510*0.49</f>
        <v>#VALUE!</v>
      </c>
    </row>
    <row r="511" spans="1:19" ht="14.25" customHeight="1">
      <c r="A511" s="2" t="s">
        <v>15</v>
      </c>
      <c r="B511" s="2">
        <v>1929</v>
      </c>
      <c r="C511" s="2" t="s">
        <v>29</v>
      </c>
      <c r="G511" s="3"/>
      <c r="H511" s="3" t="e">
        <v>#VALUE!</v>
      </c>
      <c r="I511" s="3" t="e">
        <f t="shared" si="11"/>
        <v>#VALUE!</v>
      </c>
      <c r="J511" s="3" t="e">
        <v>#N/A</v>
      </c>
      <c r="K511" s="3" t="e">
        <v>#N/A</v>
      </c>
      <c r="L511" s="3"/>
      <c r="M511" s="3" t="e">
        <v>#N/A</v>
      </c>
      <c r="N511" s="3" t="e">
        <v>#N/A</v>
      </c>
      <c r="Q511" s="4" t="s">
        <v>99</v>
      </c>
      <c r="R511" s="2" t="s">
        <v>17</v>
      </c>
      <c r="S511" s="2" t="e">
        <f>I511*0.49</f>
        <v>#VALUE!</v>
      </c>
    </row>
    <row r="512" spans="1:19" ht="14.25" customHeight="1">
      <c r="A512" s="2" t="s">
        <v>15</v>
      </c>
      <c r="B512" s="2">
        <v>1930</v>
      </c>
      <c r="C512" s="2" t="s">
        <v>29</v>
      </c>
      <c r="G512" s="3"/>
      <c r="H512" s="3" t="e">
        <v>#VALUE!</v>
      </c>
      <c r="I512" s="3" t="e">
        <f t="shared" si="11"/>
        <v>#VALUE!</v>
      </c>
      <c r="J512" s="3">
        <v>0.16302580776264985</v>
      </c>
      <c r="K512" s="3">
        <v>54.213472871367607</v>
      </c>
      <c r="L512" s="3"/>
      <c r="M512" s="3">
        <v>1.6180671906599198</v>
      </c>
      <c r="N512" s="3">
        <v>208.24619494775823</v>
      </c>
      <c r="Q512" s="4" t="s">
        <v>99</v>
      </c>
      <c r="R512" s="2" t="s">
        <v>17</v>
      </c>
      <c r="S512" s="2" t="e">
        <f>I512*0.49</f>
        <v>#VALUE!</v>
      </c>
    </row>
    <row r="513" spans="1:19" ht="14.25" customHeight="1">
      <c r="A513" s="2" t="s">
        <v>15</v>
      </c>
      <c r="B513" s="2">
        <v>1931</v>
      </c>
      <c r="C513" s="2" t="s">
        <v>29</v>
      </c>
      <c r="G513" s="3"/>
      <c r="H513" s="3" t="e">
        <v>#VALUE!</v>
      </c>
      <c r="I513" s="3" t="e">
        <f t="shared" si="11"/>
        <v>#VALUE!</v>
      </c>
      <c r="J513" s="3" t="e">
        <v>#N/A</v>
      </c>
      <c r="K513" s="3" t="e">
        <v>#N/A</v>
      </c>
      <c r="L513" s="3"/>
      <c r="M513" s="3" t="e">
        <v>#N/A</v>
      </c>
      <c r="N513" s="3" t="e">
        <v>#N/A</v>
      </c>
      <c r="Q513" s="4" t="s">
        <v>99</v>
      </c>
      <c r="R513" s="2" t="s">
        <v>17</v>
      </c>
      <c r="S513" s="2" t="e">
        <f>I513*0.49</f>
        <v>#VALUE!</v>
      </c>
    </row>
    <row r="514" spans="1:19" ht="14.25" customHeight="1">
      <c r="A514" s="2" t="s">
        <v>15</v>
      </c>
      <c r="B514" s="2">
        <v>1932</v>
      </c>
      <c r="C514" s="2" t="s">
        <v>29</v>
      </c>
      <c r="G514" s="3"/>
      <c r="H514" s="3" t="e">
        <v>#VALUE!</v>
      </c>
      <c r="I514" s="3" t="e">
        <f t="shared" si="11"/>
        <v>#VALUE!</v>
      </c>
      <c r="J514" s="3" t="e">
        <v>#N/A</v>
      </c>
      <c r="K514" s="3" t="e">
        <v>#N/A</v>
      </c>
      <c r="L514" s="3"/>
      <c r="M514" s="3" t="e">
        <v>#N/A</v>
      </c>
      <c r="N514" s="3" t="e">
        <v>#N/A</v>
      </c>
      <c r="Q514" s="4" t="s">
        <v>99</v>
      </c>
      <c r="R514" s="2" t="s">
        <v>17</v>
      </c>
      <c r="S514" s="2" t="e">
        <f>I514*0.49</f>
        <v>#VALUE!</v>
      </c>
    </row>
    <row r="515" spans="1:19" ht="14.25" customHeight="1">
      <c r="A515" s="2" t="s">
        <v>15</v>
      </c>
      <c r="B515" s="2">
        <v>1933</v>
      </c>
      <c r="C515" s="2" t="s">
        <v>29</v>
      </c>
      <c r="G515" s="3"/>
      <c r="H515" s="3" t="e">
        <v>#VALUE!</v>
      </c>
      <c r="I515" s="3" t="e">
        <f t="shared" si="11"/>
        <v>#VALUE!</v>
      </c>
      <c r="J515" s="3" t="e">
        <v>#N/A</v>
      </c>
      <c r="K515" s="3" t="e">
        <v>#N/A</v>
      </c>
      <c r="L515" s="3"/>
      <c r="M515" s="3" t="e">
        <v>#N/A</v>
      </c>
      <c r="N515" s="3" t="e">
        <v>#N/A</v>
      </c>
      <c r="Q515" s="4" t="s">
        <v>99</v>
      </c>
      <c r="R515" s="2" t="s">
        <v>17</v>
      </c>
      <c r="S515" s="2" t="e">
        <f>I515*0.49</f>
        <v>#VALUE!</v>
      </c>
    </row>
    <row r="516" spans="1:19" ht="14.25" customHeight="1">
      <c r="A516" s="2" t="s">
        <v>15</v>
      </c>
      <c r="B516" s="2">
        <v>1934</v>
      </c>
      <c r="C516" s="2" t="s">
        <v>29</v>
      </c>
      <c r="G516" s="3"/>
      <c r="H516" s="3" t="e">
        <v>#VALUE!</v>
      </c>
      <c r="I516" s="3" t="e">
        <f t="shared" si="11"/>
        <v>#VALUE!</v>
      </c>
      <c r="J516" s="3" t="e">
        <v>#N/A</v>
      </c>
      <c r="K516" s="3" t="e">
        <v>#N/A</v>
      </c>
      <c r="L516" s="3"/>
      <c r="M516" s="3" t="e">
        <v>#N/A</v>
      </c>
      <c r="N516" s="3" t="e">
        <v>#N/A</v>
      </c>
      <c r="Q516" s="4" t="s">
        <v>99</v>
      </c>
      <c r="R516" s="2" t="s">
        <v>17</v>
      </c>
      <c r="S516" s="2" t="e">
        <f>I516*0.49</f>
        <v>#VALUE!</v>
      </c>
    </row>
    <row r="517" spans="1:19" ht="14.25" customHeight="1">
      <c r="A517" s="2" t="s">
        <v>15</v>
      </c>
      <c r="B517" s="2">
        <v>1935</v>
      </c>
      <c r="C517" s="2" t="s">
        <v>29</v>
      </c>
      <c r="G517" s="3"/>
      <c r="H517" s="3" t="e">
        <v>#VALUE!</v>
      </c>
      <c r="I517" s="3" t="e">
        <f t="shared" si="11"/>
        <v>#VALUE!</v>
      </c>
      <c r="J517" s="3">
        <v>0.20468400731558625</v>
      </c>
      <c r="K517" s="3">
        <v>54.68014631172526</v>
      </c>
      <c r="L517" s="3"/>
      <c r="M517" s="3">
        <v>1.7482433082984103</v>
      </c>
      <c r="N517" s="3">
        <v>176.98980841489819</v>
      </c>
      <c r="Q517" s="4" t="s">
        <v>99</v>
      </c>
      <c r="R517" s="2" t="s">
        <v>17</v>
      </c>
      <c r="S517" s="2" t="e">
        <f>I517*0.49</f>
        <v>#VALUE!</v>
      </c>
    </row>
    <row r="518" spans="1:19" ht="14.25" customHeight="1">
      <c r="A518" s="2" t="s">
        <v>15</v>
      </c>
      <c r="B518" s="2">
        <v>1936</v>
      </c>
      <c r="C518" s="2" t="s">
        <v>29</v>
      </c>
      <c r="G518" s="3"/>
      <c r="H518" s="3" t="e">
        <v>#VALUE!</v>
      </c>
      <c r="I518" s="3" t="e">
        <f t="shared" si="11"/>
        <v>#VALUE!</v>
      </c>
      <c r="J518" s="3" t="e">
        <v>#N/A</v>
      </c>
      <c r="K518" s="3" t="e">
        <v>#N/A</v>
      </c>
      <c r="L518" s="3"/>
      <c r="M518" s="3" t="e">
        <v>#N/A</v>
      </c>
      <c r="N518" s="3" t="e">
        <v>#N/A</v>
      </c>
      <c r="Q518" s="4" t="s">
        <v>99</v>
      </c>
      <c r="R518" s="2" t="s">
        <v>17</v>
      </c>
      <c r="S518" s="2" t="e">
        <f>I518*0.49</f>
        <v>#VALUE!</v>
      </c>
    </row>
    <row r="519" spans="1:19" ht="14.25" customHeight="1">
      <c r="A519" s="2" t="s">
        <v>15</v>
      </c>
      <c r="B519" s="2">
        <v>1937</v>
      </c>
      <c r="C519" s="2" t="s">
        <v>29</v>
      </c>
      <c r="G519" s="3"/>
      <c r="H519" s="3" t="e">
        <v>#VALUE!</v>
      </c>
      <c r="I519" s="3" t="e">
        <f t="shared" si="11"/>
        <v>#VALUE!</v>
      </c>
      <c r="J519" s="3" t="e">
        <v>#N/A</v>
      </c>
      <c r="K519" s="3" t="e">
        <v>#N/A</v>
      </c>
      <c r="L519" s="3"/>
      <c r="M519" s="3" t="e">
        <v>#N/A</v>
      </c>
      <c r="N519" s="3" t="e">
        <v>#N/A</v>
      </c>
      <c r="Q519" s="4" t="s">
        <v>99</v>
      </c>
      <c r="R519" s="2" t="s">
        <v>17</v>
      </c>
      <c r="S519" s="2" t="e">
        <f>I519*0.49</f>
        <v>#VALUE!</v>
      </c>
    </row>
    <row r="520" spans="1:19" ht="14.25" customHeight="1">
      <c r="A520" s="2" t="s">
        <v>15</v>
      </c>
      <c r="B520" s="2">
        <v>1938</v>
      </c>
      <c r="C520" s="2" t="s">
        <v>29</v>
      </c>
      <c r="G520" s="3"/>
      <c r="H520" s="3" t="e">
        <v>#VALUE!</v>
      </c>
      <c r="I520" s="3" t="e">
        <f t="shared" si="11"/>
        <v>#VALUE!</v>
      </c>
      <c r="J520" s="3" t="e">
        <v>#N/A</v>
      </c>
      <c r="K520" s="3" t="e">
        <v>#N/A</v>
      </c>
      <c r="L520" s="3"/>
      <c r="M520" s="3" t="e">
        <v>#N/A</v>
      </c>
      <c r="N520" s="3" t="e">
        <v>#N/A</v>
      </c>
      <c r="Q520" s="4" t="s">
        <v>99</v>
      </c>
      <c r="R520" s="2" t="s">
        <v>17</v>
      </c>
      <c r="S520" s="2" t="e">
        <f>I520*0.49</f>
        <v>#VALUE!</v>
      </c>
    </row>
    <row r="521" spans="1:19" ht="14.25" customHeight="1">
      <c r="A521" s="2" t="s">
        <v>15</v>
      </c>
      <c r="B521" s="2">
        <v>1939</v>
      </c>
      <c r="C521" s="2" t="s">
        <v>29</v>
      </c>
      <c r="G521" s="3"/>
      <c r="H521" s="3" t="e">
        <v>#VALUE!</v>
      </c>
      <c r="I521" s="3" t="e">
        <f t="shared" si="11"/>
        <v>#VALUE!</v>
      </c>
      <c r="J521" s="3" t="e">
        <v>#N/A</v>
      </c>
      <c r="K521" s="3" t="e">
        <v>#N/A</v>
      </c>
      <c r="L521" s="3"/>
      <c r="M521" s="3" t="e">
        <v>#N/A</v>
      </c>
      <c r="N521" s="3" t="e">
        <v>#N/A</v>
      </c>
      <c r="Q521" s="4" t="s">
        <v>100</v>
      </c>
      <c r="R521" s="2" t="s">
        <v>17</v>
      </c>
      <c r="S521" s="2" t="e">
        <f>I521*0.49</f>
        <v>#VALUE!</v>
      </c>
    </row>
    <row r="522" spans="1:19" ht="14.25" customHeight="1">
      <c r="A522" s="2" t="s">
        <v>15</v>
      </c>
      <c r="B522" s="2">
        <v>1940</v>
      </c>
      <c r="C522" s="2" t="s">
        <v>29</v>
      </c>
      <c r="G522" s="3"/>
      <c r="H522" s="3" t="e">
        <v>#VALUE!</v>
      </c>
      <c r="I522" s="3" t="e">
        <f t="shared" si="11"/>
        <v>#VALUE!</v>
      </c>
      <c r="J522" s="3">
        <v>2.2099166836008939E-2</v>
      </c>
      <c r="K522" s="3">
        <v>57.12736232473074</v>
      </c>
      <c r="L522" s="3"/>
      <c r="M522" s="3">
        <v>0.17872540592676001</v>
      </c>
      <c r="N522" s="3">
        <v>193.79580885628658</v>
      </c>
      <c r="Q522" s="4" t="s">
        <v>100</v>
      </c>
      <c r="R522" s="2" t="s">
        <v>17</v>
      </c>
      <c r="S522" s="2" t="e">
        <f>I522*0.49</f>
        <v>#VALUE!</v>
      </c>
    </row>
    <row r="523" spans="1:19" ht="14.25" customHeight="1">
      <c r="A523" s="2" t="s">
        <v>15</v>
      </c>
      <c r="B523" s="2">
        <v>1941</v>
      </c>
      <c r="C523" s="2" t="s">
        <v>29</v>
      </c>
      <c r="G523" s="3"/>
      <c r="H523" s="3" t="e">
        <v>#VALUE!</v>
      </c>
      <c r="I523" s="3" t="e">
        <f t="shared" si="11"/>
        <v>#VALUE!</v>
      </c>
      <c r="J523" s="3" t="e">
        <v>#N/A</v>
      </c>
      <c r="K523" s="3" t="e">
        <v>#N/A</v>
      </c>
      <c r="L523" s="3"/>
      <c r="M523" s="3" t="e">
        <v>#N/A</v>
      </c>
      <c r="N523" s="3" t="e">
        <v>#N/A</v>
      </c>
      <c r="Q523" s="4" t="s">
        <v>100</v>
      </c>
      <c r="R523" s="2" t="s">
        <v>17</v>
      </c>
      <c r="S523" s="2" t="e">
        <f>I523*0.49</f>
        <v>#VALUE!</v>
      </c>
    </row>
    <row r="524" spans="1:19" ht="14.25" customHeight="1">
      <c r="A524" s="2" t="s">
        <v>15</v>
      </c>
      <c r="B524" s="2">
        <v>1942</v>
      </c>
      <c r="C524" s="2" t="s">
        <v>29</v>
      </c>
      <c r="G524" s="3"/>
      <c r="H524" s="3" t="e">
        <v>#VALUE!</v>
      </c>
      <c r="I524" s="3" t="e">
        <f t="shared" si="11"/>
        <v>#VALUE!</v>
      </c>
      <c r="J524" s="3">
        <v>0</v>
      </c>
      <c r="K524" s="3">
        <v>56.161044503149768</v>
      </c>
      <c r="L524" s="3"/>
      <c r="M524" s="3">
        <v>0</v>
      </c>
      <c r="N524" s="3">
        <v>164.54223853626087</v>
      </c>
      <c r="Q524" s="4" t="s">
        <v>100</v>
      </c>
      <c r="R524" s="2" t="s">
        <v>17</v>
      </c>
      <c r="S524" s="2" t="e">
        <f>I524*0.49</f>
        <v>#VALUE!</v>
      </c>
    </row>
    <row r="525" spans="1:19" ht="14.25" customHeight="1">
      <c r="A525" s="2" t="s">
        <v>15</v>
      </c>
      <c r="B525" s="2">
        <v>1943</v>
      </c>
      <c r="C525" s="2" t="s">
        <v>29</v>
      </c>
      <c r="G525" s="3"/>
      <c r="H525" s="3" t="e">
        <v>#VALUE!</v>
      </c>
      <c r="I525" s="3" t="e">
        <f t="shared" si="11"/>
        <v>#VALUE!</v>
      </c>
      <c r="J525" s="3" t="e">
        <v>#N/A</v>
      </c>
      <c r="K525" s="3" t="e">
        <v>#N/A</v>
      </c>
      <c r="L525" s="3"/>
      <c r="M525" s="3" t="e">
        <v>#N/A</v>
      </c>
      <c r="N525" s="3" t="e">
        <v>#N/A</v>
      </c>
      <c r="Q525" s="4" t="s">
        <v>100</v>
      </c>
      <c r="R525" s="2" t="s">
        <v>17</v>
      </c>
      <c r="S525" s="2" t="e">
        <f>I525*0.49</f>
        <v>#VALUE!</v>
      </c>
    </row>
    <row r="526" spans="1:19" ht="14.25" customHeight="1">
      <c r="A526" s="2" t="s">
        <v>15</v>
      </c>
      <c r="B526" s="2">
        <v>1944</v>
      </c>
      <c r="C526" s="2" t="s">
        <v>29</v>
      </c>
      <c r="G526" s="3"/>
      <c r="H526" s="3" t="e">
        <v>#VALUE!</v>
      </c>
      <c r="I526" s="3" t="e">
        <f t="shared" si="11"/>
        <v>#VALUE!</v>
      </c>
      <c r="J526" s="3">
        <v>0</v>
      </c>
      <c r="K526" s="3">
        <v>23.81548465758992</v>
      </c>
      <c r="L526" s="3"/>
      <c r="M526" s="3">
        <v>0</v>
      </c>
      <c r="N526" s="3">
        <v>75.729274112058434</v>
      </c>
      <c r="Q526" s="4" t="s">
        <v>100</v>
      </c>
      <c r="R526" s="2" t="s">
        <v>17</v>
      </c>
      <c r="S526" s="2" t="e">
        <f>I526*0.49</f>
        <v>#VALUE!</v>
      </c>
    </row>
    <row r="527" spans="1:19" ht="14.25" customHeight="1">
      <c r="A527" s="2" t="s">
        <v>15</v>
      </c>
      <c r="B527" s="2">
        <v>1945</v>
      </c>
      <c r="C527" s="2" t="s">
        <v>29</v>
      </c>
      <c r="G527" s="3"/>
      <c r="H527" s="3" t="e">
        <v>#VALUE!</v>
      </c>
      <c r="I527" s="3" t="e">
        <f t="shared" si="11"/>
        <v>#VALUE!</v>
      </c>
      <c r="J527" s="3" t="e">
        <v>#N/A</v>
      </c>
      <c r="K527" s="3" t="e">
        <v>#N/A</v>
      </c>
      <c r="L527" s="3"/>
      <c r="M527" s="3" t="e">
        <v>#N/A</v>
      </c>
      <c r="N527" s="3" t="e">
        <v>#N/A</v>
      </c>
      <c r="Q527" s="4" t="s">
        <v>100</v>
      </c>
      <c r="R527" s="2" t="s">
        <v>17</v>
      </c>
      <c r="S527" s="2" t="e">
        <f>I527*0.49</f>
        <v>#VALUE!</v>
      </c>
    </row>
    <row r="528" spans="1:19" ht="14.25" customHeight="1">
      <c r="A528" s="2" t="s">
        <v>15</v>
      </c>
      <c r="B528" s="2">
        <v>1946</v>
      </c>
      <c r="C528" s="2" t="s">
        <v>29</v>
      </c>
      <c r="G528" s="3"/>
      <c r="H528" s="3" t="e">
        <v>#VALUE!</v>
      </c>
      <c r="I528" s="3" t="e">
        <f t="shared" si="11"/>
        <v>#VALUE!</v>
      </c>
      <c r="J528" s="3">
        <v>0</v>
      </c>
      <c r="K528" s="3">
        <v>44.863239179028646</v>
      </c>
      <c r="L528" s="3"/>
      <c r="M528" s="3">
        <v>3.2345925924000003E-4</v>
      </c>
      <c r="N528" s="3">
        <v>174.71875821181919</v>
      </c>
      <c r="Q528" s="4" t="s">
        <v>99</v>
      </c>
      <c r="R528" s="2" t="s">
        <v>17</v>
      </c>
      <c r="S528" s="2" t="e">
        <f>I528*0.49</f>
        <v>#VALUE!</v>
      </c>
    </row>
    <row r="529" spans="1:20" ht="14.25" customHeight="1">
      <c r="A529" s="2" t="s">
        <v>15</v>
      </c>
      <c r="B529" s="2">
        <v>1947</v>
      </c>
      <c r="C529" s="2" t="s">
        <v>29</v>
      </c>
      <c r="G529" s="3"/>
      <c r="H529" s="3" t="e">
        <v>#VALUE!</v>
      </c>
      <c r="I529" s="3" t="e">
        <f t="shared" si="11"/>
        <v>#VALUE!</v>
      </c>
      <c r="J529" s="3" t="e">
        <v>#N/A</v>
      </c>
      <c r="K529" s="3" t="e">
        <v>#N/A</v>
      </c>
      <c r="L529" s="3"/>
      <c r="M529" s="3" t="e">
        <v>#N/A</v>
      </c>
      <c r="N529" s="3" t="e">
        <v>#N/A</v>
      </c>
      <c r="Q529" s="4" t="s">
        <v>99</v>
      </c>
      <c r="R529" s="2" t="s">
        <v>17</v>
      </c>
      <c r="S529" s="2" t="e">
        <f>I529*0.49</f>
        <v>#VALUE!</v>
      </c>
    </row>
    <row r="530" spans="1:20" ht="14.25" customHeight="1">
      <c r="A530" s="2" t="s">
        <v>15</v>
      </c>
      <c r="B530" s="2">
        <v>1948</v>
      </c>
      <c r="C530" s="2" t="s">
        <v>29</v>
      </c>
      <c r="G530" s="3"/>
      <c r="H530" s="3" t="e">
        <v>#VALUE!</v>
      </c>
      <c r="I530" s="3" t="e">
        <f t="shared" si="11"/>
        <v>#VALUE!</v>
      </c>
      <c r="J530" s="3" t="e">
        <v>#N/A</v>
      </c>
      <c r="K530" s="3" t="e">
        <v>#N/A</v>
      </c>
      <c r="L530" s="3"/>
      <c r="M530" s="3" t="e">
        <v>#N/A</v>
      </c>
      <c r="N530" s="3" t="e">
        <v>#N/A</v>
      </c>
      <c r="Q530" s="4" t="s">
        <v>99</v>
      </c>
      <c r="R530" s="2" t="s">
        <v>17</v>
      </c>
      <c r="S530" s="2" t="e">
        <f>I530*0.49</f>
        <v>#VALUE!</v>
      </c>
    </row>
    <row r="531" spans="1:20" ht="14.25" customHeight="1">
      <c r="A531" s="2" t="s">
        <v>15</v>
      </c>
      <c r="B531" s="2">
        <v>1949</v>
      </c>
      <c r="C531" s="2" t="s">
        <v>29</v>
      </c>
      <c r="G531" s="3"/>
      <c r="H531" s="3" t="e">
        <v>#VALUE!</v>
      </c>
      <c r="I531" s="3" t="e">
        <f t="shared" si="11"/>
        <v>#VALUE!</v>
      </c>
      <c r="J531" s="3" t="e">
        <v>#N/A</v>
      </c>
      <c r="K531" s="3" t="e">
        <v>#N/A</v>
      </c>
      <c r="L531" s="3"/>
      <c r="M531" s="3" t="e">
        <v>#N/A</v>
      </c>
      <c r="N531" s="3" t="e">
        <v>#N/A</v>
      </c>
      <c r="Q531" s="4" t="s">
        <v>99</v>
      </c>
      <c r="R531" s="2" t="s">
        <v>17</v>
      </c>
      <c r="S531" s="2" t="e">
        <f>I531*0.49</f>
        <v>#VALUE!</v>
      </c>
    </row>
    <row r="532" spans="1:20" ht="14.25" customHeight="1">
      <c r="A532" s="2" t="s">
        <v>15</v>
      </c>
      <c r="B532" s="2">
        <v>1950</v>
      </c>
      <c r="C532" s="2" t="s">
        <v>29</v>
      </c>
      <c r="G532" s="3"/>
      <c r="H532" s="3" t="e">
        <v>#VALUE!</v>
      </c>
      <c r="I532" s="3" t="e">
        <f t="shared" si="11"/>
        <v>#VALUE!</v>
      </c>
      <c r="J532" s="3" t="e">
        <v>#VALUE!</v>
      </c>
      <c r="K532" s="3">
        <v>6.4036273115220483</v>
      </c>
      <c r="L532" s="3">
        <v>0</v>
      </c>
      <c r="M532" s="3" t="e">
        <v>#VALUE!</v>
      </c>
      <c r="N532" s="3">
        <v>51.131247660634322</v>
      </c>
      <c r="Q532" s="4" t="s">
        <v>99</v>
      </c>
      <c r="R532" s="2" t="s">
        <v>17</v>
      </c>
      <c r="S532" s="2" t="e">
        <f>I532*0.49</f>
        <v>#VALUE!</v>
      </c>
      <c r="T532" s="2">
        <f>L532*0.28</f>
        <v>0</v>
      </c>
    </row>
    <row r="533" spans="1:20" ht="14.25" customHeight="1">
      <c r="A533" s="2" t="s">
        <v>15</v>
      </c>
      <c r="B533" s="2">
        <v>1951</v>
      </c>
      <c r="C533" s="2" t="s">
        <v>29</v>
      </c>
      <c r="G533" s="3"/>
      <c r="H533" s="3" t="e">
        <v>#VALUE!</v>
      </c>
      <c r="I533" s="3" t="e">
        <f t="shared" si="11"/>
        <v>#VALUE!</v>
      </c>
      <c r="J533" s="3" t="e">
        <v>#N/A</v>
      </c>
      <c r="K533" s="3" t="e">
        <v>#N/A</v>
      </c>
      <c r="L533" s="3">
        <v>0</v>
      </c>
      <c r="M533" s="3" t="e">
        <v>#N/A</v>
      </c>
      <c r="N533" s="3" t="e">
        <v>#N/A</v>
      </c>
      <c r="Q533" s="4" t="s">
        <v>99</v>
      </c>
      <c r="R533" s="2" t="s">
        <v>17</v>
      </c>
      <c r="S533" s="2" t="e">
        <f>I533*0.49</f>
        <v>#VALUE!</v>
      </c>
      <c r="T533" s="2">
        <f>L533*0.28</f>
        <v>0</v>
      </c>
    </row>
    <row r="534" spans="1:20" ht="14.25" customHeight="1">
      <c r="A534" s="2" t="s">
        <v>15</v>
      </c>
      <c r="B534" s="2">
        <v>1952</v>
      </c>
      <c r="C534" s="2" t="s">
        <v>29</v>
      </c>
      <c r="G534" s="3"/>
      <c r="H534" s="3" t="e">
        <v>#VALUE!</v>
      </c>
      <c r="I534" s="3" t="e">
        <f t="shared" si="11"/>
        <v>#VALUE!</v>
      </c>
      <c r="J534" s="3" t="e">
        <v>#N/A</v>
      </c>
      <c r="K534" s="3" t="e">
        <v>#N/A</v>
      </c>
      <c r="L534" s="3">
        <v>0</v>
      </c>
      <c r="M534" s="3" t="e">
        <v>#N/A</v>
      </c>
      <c r="N534" s="3" t="e">
        <v>#N/A</v>
      </c>
      <c r="Q534" s="4" t="s">
        <v>99</v>
      </c>
      <c r="R534" s="2" t="s">
        <v>17</v>
      </c>
      <c r="S534" s="2" t="e">
        <f>I534*0.49</f>
        <v>#VALUE!</v>
      </c>
      <c r="T534" s="2">
        <f>L534*0.28</f>
        <v>0</v>
      </c>
    </row>
    <row r="535" spans="1:20" ht="14.25" customHeight="1">
      <c r="A535" s="2" t="s">
        <v>15</v>
      </c>
      <c r="B535" s="2">
        <v>1953</v>
      </c>
      <c r="C535" s="2" t="s">
        <v>29</v>
      </c>
      <c r="G535" s="3"/>
      <c r="H535" s="3" t="e">
        <v>#VALUE!</v>
      </c>
      <c r="I535" s="3" t="e">
        <f t="shared" si="11"/>
        <v>#VALUE!</v>
      </c>
      <c r="J535" s="3" t="e">
        <v>#N/A</v>
      </c>
      <c r="K535" s="3" t="e">
        <v>#N/A</v>
      </c>
      <c r="L535" s="3">
        <v>0</v>
      </c>
      <c r="M535" s="3" t="e">
        <v>#N/A</v>
      </c>
      <c r="N535" s="3" t="e">
        <v>#N/A</v>
      </c>
      <c r="Q535" s="4" t="s">
        <v>99</v>
      </c>
      <c r="R535" s="2" t="s">
        <v>17</v>
      </c>
      <c r="S535" s="2" t="e">
        <f>I535*0.49</f>
        <v>#VALUE!</v>
      </c>
      <c r="T535" s="2">
        <f>L535*0.28</f>
        <v>0</v>
      </c>
    </row>
    <row r="536" spans="1:20" ht="14.25" customHeight="1">
      <c r="A536" s="2" t="s">
        <v>15</v>
      </c>
      <c r="B536" s="2">
        <v>1954</v>
      </c>
      <c r="C536" s="2" t="s">
        <v>29</v>
      </c>
      <c r="G536" s="3"/>
      <c r="H536" s="3" t="e">
        <v>#VALUE!</v>
      </c>
      <c r="I536" s="3" t="e">
        <f t="shared" si="11"/>
        <v>#VALUE!</v>
      </c>
      <c r="J536" s="3" t="e">
        <v>#N/A</v>
      </c>
      <c r="K536" s="3" t="e">
        <v>#N/A</v>
      </c>
      <c r="L536" s="3">
        <v>0</v>
      </c>
      <c r="M536" s="3" t="e">
        <v>#N/A</v>
      </c>
      <c r="N536" s="3" t="e">
        <v>#N/A</v>
      </c>
      <c r="Q536" s="4" t="s">
        <v>99</v>
      </c>
      <c r="R536" s="2" t="s">
        <v>17</v>
      </c>
      <c r="S536" s="2" t="e">
        <f>I536*0.49</f>
        <v>#VALUE!</v>
      </c>
      <c r="T536" s="2">
        <f>L536*0.28</f>
        <v>0</v>
      </c>
    </row>
    <row r="537" spans="1:20" ht="14.25" customHeight="1">
      <c r="A537" s="2" t="s">
        <v>15</v>
      </c>
      <c r="B537" s="2">
        <v>1955</v>
      </c>
      <c r="C537" s="2" t="s">
        <v>29</v>
      </c>
      <c r="G537" s="3"/>
      <c r="H537" s="3" t="e">
        <v>#VALUE!</v>
      </c>
      <c r="I537" s="3" t="e">
        <f t="shared" si="11"/>
        <v>#VALUE!</v>
      </c>
      <c r="J537" s="3" t="e">
        <v>#VALUE!</v>
      </c>
      <c r="K537" s="3">
        <v>11.075137167242429</v>
      </c>
      <c r="L537" s="3">
        <v>0</v>
      </c>
      <c r="M537" s="3" t="e">
        <v>#VALUE!</v>
      </c>
      <c r="N537" s="3">
        <v>94.418528465304405</v>
      </c>
      <c r="Q537" s="4" t="s">
        <v>99</v>
      </c>
      <c r="R537" s="2" t="s">
        <v>17</v>
      </c>
      <c r="S537" s="2" t="e">
        <f>I537*0.49</f>
        <v>#VALUE!</v>
      </c>
      <c r="T537" s="2">
        <f>L537*0.28</f>
        <v>0</v>
      </c>
    </row>
    <row r="538" spans="1:20" ht="14.25" customHeight="1">
      <c r="A538" s="2" t="s">
        <v>15</v>
      </c>
      <c r="B538" s="2">
        <v>1956</v>
      </c>
      <c r="C538" s="2" t="s">
        <v>29</v>
      </c>
      <c r="G538" s="3"/>
      <c r="H538" s="3" t="e">
        <v>#VALUE!</v>
      </c>
      <c r="I538" s="3" t="e">
        <f t="shared" si="11"/>
        <v>#VALUE!</v>
      </c>
      <c r="J538" s="3" t="e">
        <v>#N/A</v>
      </c>
      <c r="K538" s="3" t="e">
        <v>#N/A</v>
      </c>
      <c r="L538" s="3">
        <v>0</v>
      </c>
      <c r="M538" s="3" t="e">
        <v>#N/A</v>
      </c>
      <c r="N538" s="3" t="e">
        <v>#N/A</v>
      </c>
      <c r="Q538" s="4" t="s">
        <v>99</v>
      </c>
      <c r="R538" s="2" t="s">
        <v>17</v>
      </c>
      <c r="S538" s="2" t="e">
        <f>I538*0.49</f>
        <v>#VALUE!</v>
      </c>
      <c r="T538" s="2">
        <f>L538*0.28</f>
        <v>0</v>
      </c>
    </row>
    <row r="539" spans="1:20" ht="14.25" customHeight="1">
      <c r="A539" s="2" t="s">
        <v>15</v>
      </c>
      <c r="B539" s="2">
        <v>1957</v>
      </c>
      <c r="C539" s="2" t="s">
        <v>29</v>
      </c>
      <c r="G539" s="3"/>
      <c r="H539" s="3" t="e">
        <v>#VALUE!</v>
      </c>
      <c r="I539" s="3" t="e">
        <f t="shared" si="11"/>
        <v>#VALUE!</v>
      </c>
      <c r="J539" s="3" t="e">
        <v>#N/A</v>
      </c>
      <c r="K539" s="3" t="e">
        <v>#N/A</v>
      </c>
      <c r="L539" s="3">
        <v>0</v>
      </c>
      <c r="M539" s="3" t="e">
        <v>#N/A</v>
      </c>
      <c r="N539" s="3" t="e">
        <v>#N/A</v>
      </c>
      <c r="Q539" s="4" t="s">
        <v>99</v>
      </c>
      <c r="R539" s="2" t="s">
        <v>17</v>
      </c>
      <c r="S539" s="2" t="e">
        <f>I539*0.49</f>
        <v>#VALUE!</v>
      </c>
      <c r="T539" s="2">
        <f>L539*0.28</f>
        <v>0</v>
      </c>
    </row>
    <row r="540" spans="1:20" ht="14.25" customHeight="1">
      <c r="A540" s="2" t="s">
        <v>15</v>
      </c>
      <c r="B540" s="2">
        <v>1958</v>
      </c>
      <c r="C540" s="2" t="s">
        <v>29</v>
      </c>
      <c r="G540" s="3"/>
      <c r="H540" s="3" t="e">
        <v>#VALUE!</v>
      </c>
      <c r="I540" s="3" t="e">
        <f t="shared" si="11"/>
        <v>#VALUE!</v>
      </c>
      <c r="J540" s="3" t="e">
        <v>#N/A</v>
      </c>
      <c r="K540" s="3" t="e">
        <v>#N/A</v>
      </c>
      <c r="L540" s="3">
        <v>0</v>
      </c>
      <c r="M540" s="3" t="e">
        <v>#N/A</v>
      </c>
      <c r="N540" s="3" t="e">
        <v>#N/A</v>
      </c>
      <c r="Q540" s="4" t="s">
        <v>99</v>
      </c>
      <c r="R540" s="2" t="s">
        <v>17</v>
      </c>
      <c r="S540" s="2" t="e">
        <f>I540*0.49</f>
        <v>#VALUE!</v>
      </c>
      <c r="T540" s="2">
        <f>L540*0.28</f>
        <v>0</v>
      </c>
    </row>
    <row r="541" spans="1:20" ht="14.25" customHeight="1">
      <c r="A541" s="2" t="s">
        <v>15</v>
      </c>
      <c r="B541" s="2">
        <v>1959</v>
      </c>
      <c r="C541" s="2" t="s">
        <v>29</v>
      </c>
      <c r="G541" s="3"/>
      <c r="H541" s="3" t="e">
        <v>#VALUE!</v>
      </c>
      <c r="I541" s="3" t="e">
        <f t="shared" si="11"/>
        <v>#VALUE!</v>
      </c>
      <c r="J541" s="3" t="e">
        <v>#N/A</v>
      </c>
      <c r="K541" s="3" t="e">
        <v>#N/A</v>
      </c>
      <c r="L541" s="3">
        <v>0</v>
      </c>
      <c r="M541" s="3" t="e">
        <v>#N/A</v>
      </c>
      <c r="N541" s="3" t="e">
        <v>#N/A</v>
      </c>
      <c r="Q541" s="4" t="s">
        <v>99</v>
      </c>
      <c r="R541" s="2" t="s">
        <v>17</v>
      </c>
      <c r="S541" s="2" t="e">
        <f>I541*0.49</f>
        <v>#VALUE!</v>
      </c>
      <c r="T541" s="2">
        <f>L541*0.28</f>
        <v>0</v>
      </c>
    </row>
    <row r="542" spans="1:20" ht="14.25" customHeight="1">
      <c r="A542" s="2" t="s">
        <v>15</v>
      </c>
      <c r="B542" s="2">
        <v>1960</v>
      </c>
      <c r="C542" s="2" t="s">
        <v>29</v>
      </c>
      <c r="G542" s="3"/>
      <c r="H542" s="3" t="e">
        <v>#VALUE!</v>
      </c>
      <c r="I542" s="3" t="e">
        <f t="shared" si="11"/>
        <v>#VALUE!</v>
      </c>
      <c r="J542" s="3" t="e">
        <v>#VALUE!</v>
      </c>
      <c r="K542" s="3">
        <v>37.004216622637671</v>
      </c>
      <c r="L542" s="3">
        <v>0</v>
      </c>
      <c r="M542" s="3" t="e">
        <v>#VALUE!</v>
      </c>
      <c r="N542" s="3">
        <v>327.3375190774035</v>
      </c>
      <c r="Q542" s="4" t="s">
        <v>99</v>
      </c>
      <c r="R542" s="2" t="s">
        <v>17</v>
      </c>
      <c r="S542" s="2" t="e">
        <f>I542*0.49</f>
        <v>#VALUE!</v>
      </c>
      <c r="T542" s="2">
        <f>L542*0.28</f>
        <v>0</v>
      </c>
    </row>
    <row r="543" spans="1:20" ht="14.25" customHeight="1">
      <c r="A543" s="2" t="s">
        <v>15</v>
      </c>
      <c r="B543" s="2">
        <v>1961</v>
      </c>
      <c r="C543" s="2" t="s">
        <v>29</v>
      </c>
      <c r="G543" s="3"/>
      <c r="H543" s="3" t="e">
        <v>#VALUE!</v>
      </c>
      <c r="I543" s="3" t="e">
        <f t="shared" si="11"/>
        <v>#VALUE!</v>
      </c>
      <c r="J543" s="3" t="e">
        <v>#N/A</v>
      </c>
      <c r="K543" s="3" t="e">
        <v>#N/A</v>
      </c>
      <c r="L543" s="3">
        <v>0</v>
      </c>
      <c r="M543" s="3" t="e">
        <v>#N/A</v>
      </c>
      <c r="N543" s="3" t="e">
        <v>#N/A</v>
      </c>
      <c r="Q543" s="4" t="s">
        <v>99</v>
      </c>
      <c r="R543" s="2" t="s">
        <v>17</v>
      </c>
      <c r="S543" s="2" t="e">
        <f>I543*0.49</f>
        <v>#VALUE!</v>
      </c>
      <c r="T543" s="2">
        <f>L543*0.28</f>
        <v>0</v>
      </c>
    </row>
    <row r="544" spans="1:20" ht="14.25" customHeight="1">
      <c r="A544" s="2" t="s">
        <v>15</v>
      </c>
      <c r="B544" s="2">
        <v>1962</v>
      </c>
      <c r="C544" s="2" t="s">
        <v>29</v>
      </c>
      <c r="G544" s="3"/>
      <c r="H544" s="3" t="e">
        <v>#VALUE!</v>
      </c>
      <c r="I544" s="3" t="e">
        <f t="shared" si="11"/>
        <v>#VALUE!</v>
      </c>
      <c r="J544" s="3" t="e">
        <v>#N/A</v>
      </c>
      <c r="K544" s="3" t="e">
        <v>#N/A</v>
      </c>
      <c r="L544" s="3">
        <v>0</v>
      </c>
      <c r="M544" s="3" t="e">
        <v>#N/A</v>
      </c>
      <c r="N544" s="3" t="e">
        <v>#N/A</v>
      </c>
      <c r="Q544" s="4" t="s">
        <v>99</v>
      </c>
      <c r="R544" s="2" t="s">
        <v>17</v>
      </c>
      <c r="S544" s="2" t="e">
        <f>I544*0.49</f>
        <v>#VALUE!</v>
      </c>
      <c r="T544" s="2">
        <f>L544*0.28</f>
        <v>0</v>
      </c>
    </row>
    <row r="545" spans="1:20" ht="14.25" customHeight="1">
      <c r="A545" s="2" t="s">
        <v>15</v>
      </c>
      <c r="B545" s="2">
        <v>1963</v>
      </c>
      <c r="C545" s="2" t="s">
        <v>29</v>
      </c>
      <c r="G545" s="3"/>
      <c r="H545" s="3" t="e">
        <v>#VALUE!</v>
      </c>
      <c r="I545" s="3" t="e">
        <f t="shared" si="11"/>
        <v>#VALUE!</v>
      </c>
      <c r="J545" s="3" t="e">
        <v>#N/A</v>
      </c>
      <c r="K545" s="3" t="e">
        <v>#N/A</v>
      </c>
      <c r="L545" s="3">
        <v>0</v>
      </c>
      <c r="M545" s="3" t="e">
        <v>#N/A</v>
      </c>
      <c r="N545" s="3" t="e">
        <v>#N/A</v>
      </c>
      <c r="Q545" s="4" t="s">
        <v>99</v>
      </c>
      <c r="R545" s="2" t="s">
        <v>17</v>
      </c>
      <c r="S545" s="2" t="e">
        <f>I545*0.49</f>
        <v>#VALUE!</v>
      </c>
      <c r="T545" s="2">
        <f>L545*0.28</f>
        <v>0</v>
      </c>
    </row>
    <row r="546" spans="1:20" ht="14.25" customHeight="1">
      <c r="A546" s="2" t="s">
        <v>15</v>
      </c>
      <c r="B546" s="2">
        <v>1964</v>
      </c>
      <c r="C546" s="2" t="s">
        <v>29</v>
      </c>
      <c r="G546" s="3"/>
      <c r="H546" s="3" t="e">
        <v>#VALUE!</v>
      </c>
      <c r="I546" s="3" t="e">
        <f t="shared" si="11"/>
        <v>#VALUE!</v>
      </c>
      <c r="J546" s="3" t="e">
        <v>#N/A</v>
      </c>
      <c r="K546" s="3" t="e">
        <v>#N/A</v>
      </c>
      <c r="L546" s="3">
        <v>0</v>
      </c>
      <c r="M546" s="3" t="e">
        <v>#N/A</v>
      </c>
      <c r="N546" s="3" t="e">
        <v>#N/A</v>
      </c>
      <c r="Q546" s="4" t="s">
        <v>99</v>
      </c>
      <c r="R546" s="2" t="s">
        <v>17</v>
      </c>
      <c r="S546" s="2" t="e">
        <f>I546*0.49</f>
        <v>#VALUE!</v>
      </c>
      <c r="T546" s="2">
        <f>L546*0.28</f>
        <v>0</v>
      </c>
    </row>
    <row r="547" spans="1:20" ht="14.25" customHeight="1">
      <c r="A547" s="2" t="s">
        <v>15</v>
      </c>
      <c r="B547" s="2">
        <v>1965</v>
      </c>
      <c r="C547" s="2" t="s">
        <v>29</v>
      </c>
      <c r="G547" s="3"/>
      <c r="H547" s="3" t="e">
        <v>#N/A</v>
      </c>
      <c r="I547" s="3" t="e">
        <f t="shared" si="11"/>
        <v>#N/A</v>
      </c>
      <c r="J547" s="3" t="e">
        <v>#N/A</v>
      </c>
      <c r="K547" s="3">
        <v>49.024588498272706</v>
      </c>
      <c r="L547" s="3">
        <v>0</v>
      </c>
      <c r="M547" s="3" t="e">
        <v>#N/A</v>
      </c>
      <c r="N547" s="3">
        <v>361.19603089934003</v>
      </c>
      <c r="Q547" s="4" t="s">
        <v>99</v>
      </c>
      <c r="R547" s="2" t="s">
        <v>17</v>
      </c>
      <c r="S547" s="2" t="e">
        <f>I547*0.49</f>
        <v>#N/A</v>
      </c>
      <c r="T547" s="2">
        <f>L547*0.28</f>
        <v>0</v>
      </c>
    </row>
    <row r="548" spans="1:20" ht="14.25" customHeight="1">
      <c r="A548" s="2" t="s">
        <v>15</v>
      </c>
      <c r="B548" s="2">
        <v>1966</v>
      </c>
      <c r="C548" s="2" t="s">
        <v>29</v>
      </c>
      <c r="G548" s="3"/>
      <c r="H548" s="3" t="e">
        <v>#N/A</v>
      </c>
      <c r="I548" s="3" t="e">
        <f t="shared" si="11"/>
        <v>#N/A</v>
      </c>
      <c r="J548" s="3" t="e">
        <v>#N/A</v>
      </c>
      <c r="K548" s="3">
        <v>36.323917902865269</v>
      </c>
      <c r="L548" s="3">
        <v>0</v>
      </c>
      <c r="M548" s="3" t="e">
        <v>#N/A</v>
      </c>
      <c r="N548" s="3">
        <v>261.08339362700002</v>
      </c>
      <c r="Q548" s="4" t="s">
        <v>99</v>
      </c>
      <c r="R548" s="2" t="s">
        <v>17</v>
      </c>
      <c r="S548" s="2" t="e">
        <f>I548*0.49</f>
        <v>#N/A</v>
      </c>
      <c r="T548" s="2">
        <f>L548*0.28</f>
        <v>0</v>
      </c>
    </row>
    <row r="549" spans="1:20" ht="14.25" customHeight="1">
      <c r="A549" s="2" t="s">
        <v>15</v>
      </c>
      <c r="B549" s="2">
        <v>1967</v>
      </c>
      <c r="C549" s="2" t="s">
        <v>29</v>
      </c>
      <c r="G549" s="3"/>
      <c r="H549" s="3" t="e">
        <v>#N/A</v>
      </c>
      <c r="I549" s="3" t="e">
        <f t="shared" si="11"/>
        <v>#N/A</v>
      </c>
      <c r="J549" s="3" t="e">
        <v>#N/A</v>
      </c>
      <c r="K549" s="3">
        <v>46.230440967283073</v>
      </c>
      <c r="L549" s="3">
        <v>0</v>
      </c>
      <c r="M549" s="3" t="e">
        <v>#N/A</v>
      </c>
      <c r="N549" s="3">
        <v>336.97833062500001</v>
      </c>
      <c r="Q549" s="4" t="s">
        <v>99</v>
      </c>
      <c r="R549" s="2" t="s">
        <v>17</v>
      </c>
      <c r="S549" s="2" t="e">
        <f>I549*0.49</f>
        <v>#N/A</v>
      </c>
      <c r="T549" s="2">
        <f>L549*0.28</f>
        <v>0</v>
      </c>
    </row>
    <row r="550" spans="1:20" ht="14.25" customHeight="1">
      <c r="A550" s="2" t="s">
        <v>15</v>
      </c>
      <c r="B550" s="2">
        <v>1968</v>
      </c>
      <c r="C550" s="2" t="s">
        <v>29</v>
      </c>
      <c r="G550" s="3"/>
      <c r="H550" s="3" t="e">
        <v>#N/A</v>
      </c>
      <c r="I550" s="3" t="e">
        <f t="shared" si="11"/>
        <v>#N/A</v>
      </c>
      <c r="J550" s="3" t="e">
        <v>#N/A</v>
      </c>
      <c r="K550" s="3">
        <v>50.142247510668561</v>
      </c>
      <c r="L550" s="3">
        <v>0</v>
      </c>
      <c r="M550" s="3" t="e">
        <v>#N/A</v>
      </c>
      <c r="N550" s="3">
        <v>375.86797846942</v>
      </c>
      <c r="Q550" s="4" t="s">
        <v>99</v>
      </c>
      <c r="R550" s="2" t="s">
        <v>17</v>
      </c>
      <c r="S550" s="2" t="e">
        <f>I550*0.49</f>
        <v>#N/A</v>
      </c>
      <c r="T550" s="2">
        <f>L550*0.28</f>
        <v>0</v>
      </c>
    </row>
    <row r="551" spans="1:20" ht="14.25" customHeight="1">
      <c r="A551" s="2" t="s">
        <v>15</v>
      </c>
      <c r="B551" s="2">
        <v>1969</v>
      </c>
      <c r="C551" s="2" t="s">
        <v>29</v>
      </c>
      <c r="G551" s="3"/>
      <c r="H551" s="3" t="e">
        <v>#N/A</v>
      </c>
      <c r="I551" s="3" t="e">
        <f t="shared" si="11"/>
        <v>#N/A</v>
      </c>
      <c r="J551" s="3" t="e">
        <v>#N/A</v>
      </c>
      <c r="K551" s="3">
        <v>36.17150985572038</v>
      </c>
      <c r="L551" s="3">
        <v>0</v>
      </c>
      <c r="M551" s="3" t="e">
        <v>#N/A</v>
      </c>
      <c r="N551" s="3">
        <v>283.51524598273994</v>
      </c>
      <c r="Q551" s="4" t="s">
        <v>99</v>
      </c>
      <c r="R551" s="2" t="s">
        <v>17</v>
      </c>
      <c r="S551" s="2" t="e">
        <f>I551*0.49</f>
        <v>#N/A</v>
      </c>
      <c r="T551" s="2">
        <f>L551*0.28</f>
        <v>0</v>
      </c>
    </row>
    <row r="552" spans="1:20" ht="14.25" customHeight="1">
      <c r="A552" s="2" t="s">
        <v>15</v>
      </c>
      <c r="B552" s="2">
        <v>1970</v>
      </c>
      <c r="C552" s="2" t="s">
        <v>29</v>
      </c>
      <c r="G552" s="3"/>
      <c r="H552" s="3" t="e">
        <v>#N/A</v>
      </c>
      <c r="I552" s="3" t="e">
        <f t="shared" si="11"/>
        <v>#N/A</v>
      </c>
      <c r="J552" s="3" t="e">
        <v>#N/A</v>
      </c>
      <c r="K552" s="3">
        <v>28.805120910384066</v>
      </c>
      <c r="L552" s="3">
        <v>0.21645850356017277</v>
      </c>
      <c r="M552" s="3" t="e">
        <v>#N/A</v>
      </c>
      <c r="N552" s="3">
        <v>230.112177843681</v>
      </c>
      <c r="Q552" s="4" t="s">
        <v>99</v>
      </c>
      <c r="R552" s="2" t="s">
        <v>17</v>
      </c>
      <c r="S552" s="2" t="e">
        <f>I552*0.49</f>
        <v>#N/A</v>
      </c>
      <c r="T552" s="2">
        <f>L552*0.28</f>
        <v>6.0608380996848378E-2</v>
      </c>
    </row>
    <row r="553" spans="1:20" ht="14.25" customHeight="1">
      <c r="A553" s="2" t="s">
        <v>15</v>
      </c>
      <c r="B553" s="2">
        <v>1971</v>
      </c>
      <c r="C553" s="2" t="s">
        <v>29</v>
      </c>
      <c r="G553" s="3"/>
      <c r="H553" s="3" t="e">
        <v>#N/A</v>
      </c>
      <c r="I553" s="3" t="e">
        <f t="shared" si="11"/>
        <v>#N/A</v>
      </c>
      <c r="J553" s="3" t="e">
        <v>#N/A</v>
      </c>
      <c r="K553" s="3">
        <v>38.203617150985572</v>
      </c>
      <c r="L553" s="3">
        <v>0.19161900315162836</v>
      </c>
      <c r="M553" s="3" t="e">
        <v>#N/A</v>
      </c>
      <c r="N553" s="3">
        <v>283.89428250000003</v>
      </c>
      <c r="Q553" s="4" t="s">
        <v>99</v>
      </c>
      <c r="R553" s="2" t="s">
        <v>17</v>
      </c>
      <c r="S553" s="2" t="e">
        <f>I553*0.49</f>
        <v>#N/A</v>
      </c>
      <c r="T553" s="2">
        <f>L553*0.28</f>
        <v>5.3653320882455946E-2</v>
      </c>
    </row>
    <row r="554" spans="1:20" ht="14.25" customHeight="1">
      <c r="A554" s="2" t="s">
        <v>15</v>
      </c>
      <c r="B554" s="2">
        <v>1972</v>
      </c>
      <c r="C554" s="2" t="s">
        <v>29</v>
      </c>
      <c r="G554" s="3"/>
      <c r="H554" s="3" t="e">
        <v>#N/A</v>
      </c>
      <c r="I554" s="3" t="e">
        <f t="shared" si="11"/>
        <v>#N/A</v>
      </c>
      <c r="J554" s="3" t="e">
        <v>#N/A</v>
      </c>
      <c r="K554" s="3">
        <v>39.321276163381427</v>
      </c>
      <c r="L554" s="3">
        <v>0.18895762810785574</v>
      </c>
      <c r="M554" s="3" t="e">
        <v>#N/A</v>
      </c>
      <c r="N554" s="3">
        <v>290.598574088502</v>
      </c>
      <c r="Q554" s="4" t="s">
        <v>99</v>
      </c>
      <c r="R554" s="2" t="s">
        <v>17</v>
      </c>
      <c r="S554" s="2" t="e">
        <f>I554*0.49</f>
        <v>#N/A</v>
      </c>
      <c r="T554" s="2">
        <f>L554*0.28</f>
        <v>5.2908135870199616E-2</v>
      </c>
    </row>
    <row r="555" spans="1:20" ht="14.25" customHeight="1">
      <c r="A555" s="2" t="s">
        <v>15</v>
      </c>
      <c r="B555" s="2">
        <v>1973</v>
      </c>
      <c r="C555" s="2" t="s">
        <v>29</v>
      </c>
      <c r="G555" s="3"/>
      <c r="H555" s="3" t="e">
        <v>#N/A</v>
      </c>
      <c r="I555" s="3" t="e">
        <f t="shared" si="11"/>
        <v>#N/A</v>
      </c>
      <c r="J555" s="3" t="e">
        <v>#N/A</v>
      </c>
      <c r="K555" s="3">
        <v>29.211542369437105</v>
      </c>
      <c r="L555" s="3">
        <v>0.35573713085093972</v>
      </c>
      <c r="M555" s="3" t="e">
        <v>#N/A</v>
      </c>
      <c r="N555" s="3">
        <v>310.17760427946001</v>
      </c>
      <c r="Q555" s="4" t="s">
        <v>99</v>
      </c>
      <c r="R555" s="2" t="s">
        <v>17</v>
      </c>
      <c r="S555" s="2" t="e">
        <f>I555*0.49</f>
        <v>#N/A</v>
      </c>
      <c r="T555" s="2">
        <f>L555*0.28</f>
        <v>9.9606396638263137E-2</v>
      </c>
    </row>
    <row r="556" spans="1:20" ht="14.25" customHeight="1">
      <c r="A556" s="2" t="s">
        <v>15</v>
      </c>
      <c r="B556" s="2">
        <v>1974</v>
      </c>
      <c r="C556" s="2" t="s">
        <v>29</v>
      </c>
      <c r="G556" s="3"/>
      <c r="H556" s="3" t="e">
        <v>#N/A</v>
      </c>
      <c r="I556" s="3" t="e">
        <f t="shared" si="11"/>
        <v>#N/A</v>
      </c>
      <c r="J556" s="3" t="e">
        <v>#N/A</v>
      </c>
      <c r="K556" s="3">
        <v>18.4413737045316</v>
      </c>
      <c r="L556" s="3">
        <v>0.33001050542780436</v>
      </c>
      <c r="M556" s="3" t="e">
        <v>#N/A</v>
      </c>
      <c r="N556" s="3">
        <v>180.890663590835</v>
      </c>
      <c r="Q556" s="4" t="s">
        <v>99</v>
      </c>
      <c r="R556" s="2" t="s">
        <v>17</v>
      </c>
      <c r="S556" s="2" t="e">
        <f>I556*0.49</f>
        <v>#N/A</v>
      </c>
      <c r="T556" s="2">
        <f>L556*0.28</f>
        <v>9.2402941519785231E-2</v>
      </c>
    </row>
    <row r="557" spans="1:20" ht="14.25" customHeight="1">
      <c r="A557" s="2" t="s">
        <v>15</v>
      </c>
      <c r="B557" s="2">
        <v>1975</v>
      </c>
      <c r="C557" s="2" t="s">
        <v>29</v>
      </c>
      <c r="G557" s="3"/>
      <c r="H557" s="3" t="e">
        <v>#N/A</v>
      </c>
      <c r="I557" s="3" t="e">
        <f t="shared" si="11"/>
        <v>#N/A</v>
      </c>
      <c r="J557" s="3" t="e">
        <v>#N/A</v>
      </c>
      <c r="K557" s="3">
        <v>25.396999999999998</v>
      </c>
      <c r="L557" s="3">
        <v>0.34864013073421274</v>
      </c>
      <c r="M557" s="3" t="e">
        <v>#N/A</v>
      </c>
      <c r="N557" s="3">
        <v>202.69621364080001</v>
      </c>
      <c r="Q557" s="4" t="s">
        <v>99</v>
      </c>
      <c r="R557" s="2" t="s">
        <v>17</v>
      </c>
      <c r="S557" s="2" t="e">
        <f>I557*0.49</f>
        <v>#N/A</v>
      </c>
      <c r="T557" s="2">
        <f>L557*0.28</f>
        <v>9.7619236605579571E-2</v>
      </c>
    </row>
    <row r="558" spans="1:20" ht="14.25" customHeight="1">
      <c r="A558" s="2" t="s">
        <v>15</v>
      </c>
      <c r="B558" s="2">
        <v>1976</v>
      </c>
      <c r="C558" s="2" t="s">
        <v>29</v>
      </c>
      <c r="G558" s="3"/>
      <c r="H558" s="3" t="e">
        <v>#N/A</v>
      </c>
      <c r="I558" s="3" t="e">
        <f t="shared" si="11"/>
        <v>#N/A</v>
      </c>
      <c r="J558" s="3" t="e">
        <v>#N/A</v>
      </c>
      <c r="K558" s="3">
        <v>23.446999999999999</v>
      </c>
      <c r="L558" s="3">
        <v>0.18540912804949225</v>
      </c>
      <c r="M558" s="3" t="e">
        <v>#N/A</v>
      </c>
      <c r="N558" s="3">
        <v>229.65211457434401</v>
      </c>
      <c r="Q558" s="4" t="s">
        <v>101</v>
      </c>
      <c r="R558" s="2" t="s">
        <v>17</v>
      </c>
      <c r="S558" s="2" t="e">
        <f>I558*0.49</f>
        <v>#N/A</v>
      </c>
      <c r="T558" s="2">
        <f>L558*0.28</f>
        <v>5.1914555853857833E-2</v>
      </c>
    </row>
    <row r="559" spans="1:20" ht="14.25" customHeight="1">
      <c r="A559" s="2" t="s">
        <v>15</v>
      </c>
      <c r="B559" s="2">
        <v>1977</v>
      </c>
      <c r="C559" s="2" t="s">
        <v>29</v>
      </c>
      <c r="G559" s="3"/>
      <c r="H559" s="3" t="e">
        <v>#N/A</v>
      </c>
      <c r="I559" s="3" t="e">
        <f t="shared" si="11"/>
        <v>#N/A</v>
      </c>
      <c r="J559" s="3" t="e">
        <v>#N/A</v>
      </c>
      <c r="K559" s="3">
        <v>17.396000000000001</v>
      </c>
      <c r="L559" s="3">
        <v>0.10201937667795029</v>
      </c>
      <c r="M559" s="3" t="e">
        <v>#N/A</v>
      </c>
      <c r="N559" s="3">
        <v>149.09899669486302</v>
      </c>
      <c r="Q559" s="4" t="s">
        <v>101</v>
      </c>
      <c r="R559" s="2" t="s">
        <v>17</v>
      </c>
      <c r="S559" s="2" t="e">
        <f>I559*0.49</f>
        <v>#N/A</v>
      </c>
      <c r="T559" s="2">
        <f>L559*0.28</f>
        <v>2.8565425469826083E-2</v>
      </c>
    </row>
    <row r="560" spans="1:20" ht="14.25" customHeight="1">
      <c r="A560" s="2" t="s">
        <v>15</v>
      </c>
      <c r="B560" s="2">
        <v>1978</v>
      </c>
      <c r="C560" s="2" t="s">
        <v>29</v>
      </c>
      <c r="G560" s="3"/>
      <c r="H560" s="3" t="e">
        <v>#N/A</v>
      </c>
      <c r="I560" s="3" t="e">
        <f t="shared" si="11"/>
        <v>#N/A</v>
      </c>
      <c r="J560" s="3" t="e">
        <v>#N/A</v>
      </c>
      <c r="K560" s="3">
        <v>18.815999999999999</v>
      </c>
      <c r="L560" s="3">
        <v>0.33533325551534965</v>
      </c>
      <c r="M560" s="3" t="e">
        <v>#N/A</v>
      </c>
      <c r="N560" s="3">
        <v>143.58319026924599</v>
      </c>
      <c r="Q560" s="4" t="s">
        <v>101</v>
      </c>
      <c r="R560" s="2" t="s">
        <v>17</v>
      </c>
      <c r="S560" s="2" t="e">
        <f>I560*0.49</f>
        <v>#N/A</v>
      </c>
      <c r="T560" s="2">
        <f>L560*0.28</f>
        <v>9.3893311544297905E-2</v>
      </c>
    </row>
    <row r="561" spans="1:20" ht="14.25" customHeight="1">
      <c r="A561" s="2" t="s">
        <v>15</v>
      </c>
      <c r="B561" s="2">
        <v>1979</v>
      </c>
      <c r="C561" s="2" t="s">
        <v>29</v>
      </c>
      <c r="G561" s="3"/>
      <c r="H561" s="3" t="e">
        <v>#N/A</v>
      </c>
      <c r="I561" s="3" t="e">
        <f t="shared" si="11"/>
        <v>#N/A</v>
      </c>
      <c r="J561" s="3" t="e">
        <v>#N/A</v>
      </c>
      <c r="K561" s="3">
        <v>20.324000000000002</v>
      </c>
      <c r="L561" s="3">
        <v>0.46130500758725346</v>
      </c>
      <c r="M561" s="3" t="e">
        <v>#N/A</v>
      </c>
      <c r="N561" s="3">
        <v>147.97033736954</v>
      </c>
      <c r="Q561" s="4" t="s">
        <v>101</v>
      </c>
      <c r="R561" s="2" t="s">
        <v>17</v>
      </c>
      <c r="S561" s="2" t="e">
        <f>I561*0.49</f>
        <v>#N/A</v>
      </c>
      <c r="T561" s="2">
        <f>L561*0.28</f>
        <v>0.12916540212443098</v>
      </c>
    </row>
    <row r="562" spans="1:20" ht="14.25" customHeight="1">
      <c r="A562" s="2" t="s">
        <v>15</v>
      </c>
      <c r="B562" s="2">
        <v>1980</v>
      </c>
      <c r="C562" s="2" t="s">
        <v>29</v>
      </c>
      <c r="G562" s="3"/>
      <c r="H562" s="3" t="e">
        <v>#N/A</v>
      </c>
      <c r="I562" s="3" t="e">
        <f t="shared" si="11"/>
        <v>#N/A</v>
      </c>
      <c r="J562" s="3" t="e">
        <v>#N/A</v>
      </c>
      <c r="K562" s="3">
        <v>29.356999999999999</v>
      </c>
      <c r="L562" s="3">
        <v>0.53050075872534141</v>
      </c>
      <c r="M562" s="3" t="e">
        <v>#N/A</v>
      </c>
      <c r="N562" s="3">
        <v>171.89367238455301</v>
      </c>
      <c r="Q562" s="4" t="s">
        <v>101</v>
      </c>
      <c r="R562" s="2" t="s">
        <v>17</v>
      </c>
      <c r="S562" s="2" t="e">
        <f>I562*0.49</f>
        <v>#N/A</v>
      </c>
      <c r="T562" s="2">
        <f>L562*0.28</f>
        <v>0.14854021244309562</v>
      </c>
    </row>
    <row r="563" spans="1:20" ht="14.25" customHeight="1">
      <c r="A563" s="2" t="s">
        <v>15</v>
      </c>
      <c r="B563" s="2">
        <v>1981</v>
      </c>
      <c r="C563" s="2" t="s">
        <v>29</v>
      </c>
      <c r="G563" s="3"/>
      <c r="H563" s="3" t="e">
        <v>#N/A</v>
      </c>
      <c r="I563" s="3" t="e">
        <f t="shared" si="11"/>
        <v>#N/A</v>
      </c>
      <c r="J563" s="3" t="e">
        <v>#N/A</v>
      </c>
      <c r="K563" s="3">
        <v>35.683999999999997</v>
      </c>
      <c r="L563" s="3">
        <v>1.005112641531458</v>
      </c>
      <c r="M563" s="3" t="e">
        <v>#N/A</v>
      </c>
      <c r="N563" s="3">
        <v>198.42466986595201</v>
      </c>
      <c r="Q563" s="4" t="s">
        <v>101</v>
      </c>
      <c r="R563" s="2" t="s">
        <v>17</v>
      </c>
      <c r="S563" s="2" t="e">
        <f>I563*0.49</f>
        <v>#N/A</v>
      </c>
      <c r="T563" s="2">
        <f>L563*0.28</f>
        <v>0.28143153962880824</v>
      </c>
    </row>
    <row r="564" spans="1:20" ht="14.25" customHeight="1">
      <c r="A564" s="2" t="s">
        <v>15</v>
      </c>
      <c r="B564" s="2">
        <v>1982</v>
      </c>
      <c r="C564" s="2" t="s">
        <v>29</v>
      </c>
      <c r="G564" s="3"/>
      <c r="H564" s="3" t="e">
        <v>#N/A</v>
      </c>
      <c r="I564" s="3" t="e">
        <f t="shared" si="11"/>
        <v>#N/A</v>
      </c>
      <c r="J564" s="3" t="e">
        <v>#N/A</v>
      </c>
      <c r="K564" s="3">
        <v>22.462</v>
      </c>
      <c r="L564" s="3">
        <v>1.9090930313995567</v>
      </c>
      <c r="M564" s="3" t="e">
        <v>#N/A</v>
      </c>
      <c r="N564" s="3">
        <v>127.60635515496301</v>
      </c>
      <c r="Q564" s="4" t="s">
        <v>101</v>
      </c>
      <c r="R564" s="2" t="s">
        <v>17</v>
      </c>
      <c r="S564" s="2" t="e">
        <f>I564*0.49</f>
        <v>#N/A</v>
      </c>
      <c r="T564" s="2">
        <f>L564*0.28</f>
        <v>0.53454604879187595</v>
      </c>
    </row>
    <row r="565" spans="1:20" ht="14.25" customHeight="1">
      <c r="A565" s="2" t="s">
        <v>15</v>
      </c>
      <c r="B565" s="2">
        <v>1983</v>
      </c>
      <c r="C565" s="2" t="s">
        <v>29</v>
      </c>
      <c r="G565" s="3"/>
      <c r="H565" s="3" t="e">
        <v>#N/A</v>
      </c>
      <c r="I565" s="3" t="e">
        <f t="shared" si="11"/>
        <v>#N/A</v>
      </c>
      <c r="J565" s="3" t="e">
        <v>#N/A</v>
      </c>
      <c r="K565" s="3">
        <v>32.966000000000001</v>
      </c>
      <c r="L565" s="3">
        <v>2.2497490370024513</v>
      </c>
      <c r="M565" s="3" t="e">
        <v>#N/A</v>
      </c>
      <c r="N565" s="3">
        <v>205.766065042772</v>
      </c>
      <c r="Q565" s="4" t="s">
        <v>101</v>
      </c>
      <c r="R565" s="2" t="s">
        <v>17</v>
      </c>
      <c r="S565" s="2" t="e">
        <f>I565*0.49</f>
        <v>#N/A</v>
      </c>
      <c r="T565" s="2">
        <f>L565*0.28</f>
        <v>0.62992973036068645</v>
      </c>
    </row>
    <row r="566" spans="1:20" ht="14.25" customHeight="1">
      <c r="A566" s="2" t="s">
        <v>15</v>
      </c>
      <c r="B566" s="2">
        <v>1984</v>
      </c>
      <c r="C566" s="2" t="s">
        <v>29</v>
      </c>
      <c r="G566" s="3"/>
      <c r="H566" s="3" t="e">
        <v>#N/A</v>
      </c>
      <c r="I566" s="3" t="e">
        <f t="shared" si="11"/>
        <v>#N/A</v>
      </c>
      <c r="J566" s="3" t="e">
        <v>#N/A</v>
      </c>
      <c r="K566" s="3">
        <v>28.047999999999998</v>
      </c>
      <c r="L566" s="3">
        <v>3.4704330570794912</v>
      </c>
      <c r="M566" s="3" t="e">
        <v>#N/A</v>
      </c>
      <c r="N566" s="3">
        <v>185.30833431328</v>
      </c>
      <c r="Q566" s="4" t="s">
        <v>101</v>
      </c>
      <c r="R566" s="2" t="s">
        <v>17</v>
      </c>
      <c r="S566" s="2" t="e">
        <f>I566*0.49</f>
        <v>#N/A</v>
      </c>
      <c r="T566" s="2">
        <f>L566*0.28</f>
        <v>0.97172125598225767</v>
      </c>
    </row>
    <row r="567" spans="1:20" ht="14.25" customHeight="1">
      <c r="A567" s="2" t="s">
        <v>15</v>
      </c>
      <c r="B567" s="2">
        <v>1985</v>
      </c>
      <c r="C567" s="2" t="s">
        <v>29</v>
      </c>
      <c r="G567" s="3"/>
      <c r="H567" s="3" t="e">
        <v>#N/A</v>
      </c>
      <c r="I567" s="3" t="e">
        <f t="shared" si="11"/>
        <v>#N/A</v>
      </c>
      <c r="J567" s="3" t="e">
        <v>#N/A</v>
      </c>
      <c r="K567" s="3">
        <v>25.984000000000002</v>
      </c>
      <c r="L567" s="3">
        <v>6.1397922259834257</v>
      </c>
      <c r="M567" s="3" t="e">
        <v>#N/A</v>
      </c>
      <c r="N567" s="3">
        <v>175.07842442406002</v>
      </c>
      <c r="Q567" s="4" t="s">
        <v>101</v>
      </c>
      <c r="R567" s="2" t="s">
        <v>17</v>
      </c>
      <c r="S567" s="2" t="e">
        <f>I567*0.49</f>
        <v>#N/A</v>
      </c>
      <c r="T567" s="2">
        <f>L567*0.28</f>
        <v>1.7191418232753592</v>
      </c>
    </row>
    <row r="568" spans="1:20" ht="14.25" customHeight="1">
      <c r="A568" s="2" t="s">
        <v>15</v>
      </c>
      <c r="B568" s="2">
        <v>1986</v>
      </c>
      <c r="C568" s="2" t="s">
        <v>29</v>
      </c>
      <c r="G568" s="3"/>
      <c r="H568" s="3" t="e">
        <v>#N/A</v>
      </c>
      <c r="I568" s="3" t="e">
        <f t="shared" si="11"/>
        <v>#N/A</v>
      </c>
      <c r="J568" s="3" t="e">
        <v>#N/A</v>
      </c>
      <c r="K568" s="3">
        <v>34.536000000000001</v>
      </c>
      <c r="L568" s="3">
        <v>9.1702112758258441</v>
      </c>
      <c r="M568" s="3" t="e">
        <v>#N/A</v>
      </c>
      <c r="N568" s="3">
        <v>202.06225962963001</v>
      </c>
      <c r="Q568" s="4" t="s">
        <v>101</v>
      </c>
      <c r="R568" s="2" t="s">
        <v>17</v>
      </c>
      <c r="S568" s="2" t="e">
        <f>I568*0.49</f>
        <v>#N/A</v>
      </c>
      <c r="T568" s="2">
        <f>L568*0.28</f>
        <v>2.5676591572312364</v>
      </c>
    </row>
    <row r="569" spans="1:20" ht="14.25" customHeight="1">
      <c r="A569" s="2" t="s">
        <v>15</v>
      </c>
      <c r="B569" s="2">
        <v>1987</v>
      </c>
      <c r="C569" s="2" t="s">
        <v>29</v>
      </c>
      <c r="G569" s="3"/>
      <c r="H569" s="3" t="e">
        <v>#N/A</v>
      </c>
      <c r="I569" s="3" t="e">
        <f t="shared" si="11"/>
        <v>#N/A</v>
      </c>
      <c r="J569" s="3" t="e">
        <v>#N/A</v>
      </c>
      <c r="K569" s="3">
        <v>32.021000000000001</v>
      </c>
      <c r="L569" s="3">
        <v>11.285117310610483</v>
      </c>
      <c r="M569" s="3" t="e">
        <v>#N/A</v>
      </c>
      <c r="N569" s="3">
        <v>193.36141994597401</v>
      </c>
      <c r="Q569" s="4" t="s">
        <v>101</v>
      </c>
      <c r="R569" s="2" t="s">
        <v>17</v>
      </c>
      <c r="S569" s="2" t="e">
        <f>I569*0.49</f>
        <v>#N/A</v>
      </c>
      <c r="T569" s="2">
        <f>L569*0.28</f>
        <v>3.1598328469709354</v>
      </c>
    </row>
    <row r="570" spans="1:20" ht="14.25" customHeight="1">
      <c r="A570" s="2" t="s">
        <v>15</v>
      </c>
      <c r="B570" s="2">
        <v>1988</v>
      </c>
      <c r="C570" s="2" t="s">
        <v>29</v>
      </c>
      <c r="G570" s="3"/>
      <c r="H570" s="3" t="e">
        <v>#N/A</v>
      </c>
      <c r="I570" s="3" t="e">
        <f t="shared" si="11"/>
        <v>#N/A</v>
      </c>
      <c r="J570" s="3" t="e">
        <v>#N/A</v>
      </c>
      <c r="K570" s="3">
        <v>25.788</v>
      </c>
      <c r="L570" s="3">
        <v>15.924781136920744</v>
      </c>
      <c r="M570" s="3" t="e">
        <v>#N/A</v>
      </c>
      <c r="N570" s="3">
        <v>164.85624707501799</v>
      </c>
      <c r="Q570" s="4" t="s">
        <v>101</v>
      </c>
      <c r="R570" s="2" t="s">
        <v>17</v>
      </c>
      <c r="S570" s="2" t="e">
        <f>I570*0.49</f>
        <v>#N/A</v>
      </c>
      <c r="T570" s="2">
        <f>L570*0.28</f>
        <v>4.4589387183378086</v>
      </c>
    </row>
    <row r="571" spans="1:20" ht="14.25" customHeight="1">
      <c r="A571" s="2" t="s">
        <v>15</v>
      </c>
      <c r="B571" s="2">
        <v>1989</v>
      </c>
      <c r="C571" s="2" t="s">
        <v>29</v>
      </c>
      <c r="G571" s="3"/>
      <c r="H571" s="3" t="e">
        <v>#N/A</v>
      </c>
      <c r="I571" s="3" t="e">
        <f t="shared" si="11"/>
        <v>#N/A</v>
      </c>
      <c r="J571" s="3" t="e">
        <v>#N/A</v>
      </c>
      <c r="K571" s="3">
        <v>26.974</v>
      </c>
      <c r="L571" s="3">
        <v>25.374436792342713</v>
      </c>
      <c r="M571" s="3" t="e">
        <v>#N/A</v>
      </c>
      <c r="N571" s="3">
        <v>174.41080926675602</v>
      </c>
      <c r="Q571" s="4" t="s">
        <v>101</v>
      </c>
      <c r="R571" s="2" t="s">
        <v>17</v>
      </c>
      <c r="S571" s="2" t="e">
        <f>I571*0.49</f>
        <v>#N/A</v>
      </c>
      <c r="T571" s="2">
        <f>L571*0.28</f>
        <v>7.1048423018559603</v>
      </c>
    </row>
    <row r="572" spans="1:20" ht="14.25" customHeight="1">
      <c r="A572" s="2" t="s">
        <v>15</v>
      </c>
      <c r="B572" s="2">
        <v>1990</v>
      </c>
      <c r="C572" s="2" t="s">
        <v>29</v>
      </c>
      <c r="G572" s="3"/>
      <c r="H572" s="3" t="e">
        <v>#N/A</v>
      </c>
      <c r="I572" s="3" t="e">
        <f t="shared" si="11"/>
        <v>#N/A</v>
      </c>
      <c r="J572" s="3" t="e">
        <v>#N/A</v>
      </c>
      <c r="K572" s="3">
        <v>35.421999999999997</v>
      </c>
      <c r="L572" s="3">
        <v>28.391548966966266</v>
      </c>
      <c r="M572" s="3" t="e">
        <v>#N/A</v>
      </c>
      <c r="N572" s="3">
        <v>165.45860103027002</v>
      </c>
      <c r="Q572" s="4" t="s">
        <v>101</v>
      </c>
      <c r="R572" s="2" t="s">
        <v>17</v>
      </c>
      <c r="S572" s="2" t="e">
        <f>I572*0.49</f>
        <v>#N/A</v>
      </c>
      <c r="T572" s="2">
        <f>L572*0.28</f>
        <v>7.9496337107505548</v>
      </c>
    </row>
    <row r="573" spans="1:20" ht="14.25" customHeight="1">
      <c r="A573" s="2" t="s">
        <v>15</v>
      </c>
      <c r="B573" s="2">
        <v>1991</v>
      </c>
      <c r="C573" s="2" t="s">
        <v>29</v>
      </c>
      <c r="H573" s="3" t="e">
        <v>#N/A</v>
      </c>
      <c r="I573" s="3" t="e">
        <f t="shared" si="11"/>
        <v>#N/A</v>
      </c>
      <c r="J573" s="3">
        <v>16.753</v>
      </c>
      <c r="K573" s="3">
        <v>39.527999999999999</v>
      </c>
      <c r="L573" s="3">
        <v>36.067841718221082</v>
      </c>
      <c r="M573" s="3">
        <v>83.164426801385986</v>
      </c>
      <c r="N573" s="3">
        <v>152.89923104837499</v>
      </c>
      <c r="Q573" s="4" t="s">
        <v>101</v>
      </c>
      <c r="R573" s="2" t="s">
        <v>17</v>
      </c>
      <c r="S573" s="2" t="e">
        <f>I573*0.49</f>
        <v>#N/A</v>
      </c>
      <c r="T573" s="2">
        <f>L573*0.28</f>
        <v>10.098995681101904</v>
      </c>
    </row>
    <row r="574" spans="1:20" ht="14.25" customHeight="1">
      <c r="A574" s="2" t="s">
        <v>15</v>
      </c>
      <c r="B574" s="2">
        <v>1992</v>
      </c>
      <c r="C574" s="2" t="s">
        <v>29</v>
      </c>
      <c r="H574" s="3" t="e">
        <v>#N/A</v>
      </c>
      <c r="I574" s="3" t="e">
        <f t="shared" si="11"/>
        <v>#N/A</v>
      </c>
      <c r="J574" s="3">
        <v>14.430999999999999</v>
      </c>
      <c r="K574" s="3">
        <v>44.954000000000001</v>
      </c>
      <c r="L574" s="3">
        <v>32.204412279677832</v>
      </c>
      <c r="M574" s="3">
        <v>75.605778538628016</v>
      </c>
      <c r="N574" s="3">
        <v>170.16433342859602</v>
      </c>
      <c r="Q574" s="4" t="s">
        <v>101</v>
      </c>
      <c r="R574" s="2" t="s">
        <v>17</v>
      </c>
      <c r="S574" s="2" t="e">
        <f>I574*0.49</f>
        <v>#N/A</v>
      </c>
      <c r="T574" s="2">
        <f>L574*0.28</f>
        <v>9.0172354383097932</v>
      </c>
    </row>
    <row r="575" spans="1:20" ht="14.25" customHeight="1">
      <c r="A575" s="2" t="s">
        <v>15</v>
      </c>
      <c r="B575" s="2">
        <v>1993</v>
      </c>
      <c r="C575" s="2" t="s">
        <v>29</v>
      </c>
      <c r="H575" s="3" t="e">
        <v>#N/A</v>
      </c>
      <c r="I575" s="3" t="e">
        <f t="shared" si="11"/>
        <v>#N/A</v>
      </c>
      <c r="J575" s="3">
        <v>20.849</v>
      </c>
      <c r="K575" s="3">
        <v>37.33</v>
      </c>
      <c r="L575" s="3">
        <v>43.283716586903232</v>
      </c>
      <c r="M575" s="3">
        <v>119.23209516131999</v>
      </c>
      <c r="N575" s="3">
        <v>155.328486455286</v>
      </c>
      <c r="Q575" s="4" t="s">
        <v>101</v>
      </c>
      <c r="R575" s="2" t="s">
        <v>17</v>
      </c>
      <c r="S575" s="2" t="e">
        <f>I575*0.49</f>
        <v>#N/A</v>
      </c>
      <c r="T575" s="2">
        <f>L575*0.28</f>
        <v>12.119440644332906</v>
      </c>
    </row>
    <row r="576" spans="1:20" ht="14.25" customHeight="1">
      <c r="A576" s="2" t="s">
        <v>15</v>
      </c>
      <c r="B576" s="2">
        <v>1994</v>
      </c>
      <c r="C576" s="2" t="s">
        <v>29</v>
      </c>
      <c r="H576" s="3" t="e">
        <v>#N/A</v>
      </c>
      <c r="I576" s="3" t="e">
        <f t="shared" si="11"/>
        <v>#N/A</v>
      </c>
      <c r="J576" s="3">
        <v>28.844000000000001</v>
      </c>
      <c r="K576" s="3">
        <v>31.495000000000001</v>
      </c>
      <c r="L576" s="3">
        <v>57.011976187696987</v>
      </c>
      <c r="M576" s="3">
        <v>146.09906989433</v>
      </c>
      <c r="N576" s="3">
        <v>117.713304183185</v>
      </c>
      <c r="Q576" s="4" t="s">
        <v>101</v>
      </c>
      <c r="R576" s="2" t="s">
        <v>17</v>
      </c>
      <c r="S576" s="2" t="e">
        <f>I576*0.49</f>
        <v>#N/A</v>
      </c>
      <c r="T576" s="2">
        <f>L576*0.28</f>
        <v>15.963353332555158</v>
      </c>
    </row>
    <row r="577" spans="1:20" ht="14.25" customHeight="1">
      <c r="A577" s="2" t="s">
        <v>15</v>
      </c>
      <c r="B577" s="2">
        <v>1995</v>
      </c>
      <c r="C577" s="2" t="s">
        <v>29</v>
      </c>
      <c r="H577" s="3" t="e">
        <v>#N/A</v>
      </c>
      <c r="I577" s="3" t="e">
        <f t="shared" si="11"/>
        <v>#N/A</v>
      </c>
      <c r="J577" s="3">
        <v>29.183</v>
      </c>
      <c r="K577" s="3">
        <v>37.595999999999997</v>
      </c>
      <c r="L577" s="3">
        <v>62.384405276059304</v>
      </c>
      <c r="M577" s="3">
        <v>138.88511326185599</v>
      </c>
      <c r="N577" s="3">
        <v>142.337767802</v>
      </c>
      <c r="Q577" s="4" t="s">
        <v>101</v>
      </c>
      <c r="R577" s="2" t="s">
        <v>17</v>
      </c>
      <c r="S577" s="2" t="e">
        <f>I577*0.49</f>
        <v>#N/A</v>
      </c>
      <c r="T577" s="2">
        <f>L577*0.28</f>
        <v>17.467633477296609</v>
      </c>
    </row>
    <row r="578" spans="1:20" ht="14.25" customHeight="1">
      <c r="A578" s="2" t="s">
        <v>15</v>
      </c>
      <c r="B578" s="2">
        <v>1996</v>
      </c>
      <c r="C578" s="2" t="s">
        <v>29</v>
      </c>
      <c r="H578" s="3" t="e">
        <v>#N/A</v>
      </c>
      <c r="I578" s="3" t="e">
        <f t="shared" si="11"/>
        <v>#N/A</v>
      </c>
      <c r="J578" s="3">
        <v>31.882000000000001</v>
      </c>
      <c r="K578" s="3">
        <v>46.93</v>
      </c>
      <c r="L578" s="3">
        <v>73.936547216061626</v>
      </c>
      <c r="M578" s="3">
        <v>126.476609860473</v>
      </c>
      <c r="N578" s="3">
        <v>157.15592260140301</v>
      </c>
      <c r="Q578" s="4" t="s">
        <v>101</v>
      </c>
      <c r="R578" s="2" t="s">
        <v>17</v>
      </c>
      <c r="S578" s="2" t="e">
        <f>I578*0.49</f>
        <v>#N/A</v>
      </c>
      <c r="T578" s="2">
        <f>L578*0.28</f>
        <v>20.702233220497256</v>
      </c>
    </row>
    <row r="579" spans="1:20" ht="14.25" customHeight="1">
      <c r="A579" s="2" t="s">
        <v>15</v>
      </c>
      <c r="B579" s="2">
        <v>1997</v>
      </c>
      <c r="C579" s="2" t="s">
        <v>29</v>
      </c>
      <c r="H579" s="3" t="e">
        <v>#N/A</v>
      </c>
      <c r="I579" s="3" t="e">
        <f t="shared" si="11"/>
        <v>#N/A</v>
      </c>
      <c r="J579" s="3">
        <v>44.569000000000003</v>
      </c>
      <c r="K579" s="3">
        <v>45.944000000000003</v>
      </c>
      <c r="L579" s="3">
        <v>88.199743200653671</v>
      </c>
      <c r="M579" s="3">
        <v>141.66621701514498</v>
      </c>
      <c r="N579" s="3">
        <v>130.64039277169999</v>
      </c>
      <c r="Q579" s="4" t="s">
        <v>101</v>
      </c>
      <c r="R579" s="2" t="s">
        <v>17</v>
      </c>
      <c r="S579" s="2" t="e">
        <f>I579*0.49</f>
        <v>#N/A</v>
      </c>
      <c r="T579" s="2">
        <f>L579*0.28</f>
        <v>24.695928096183032</v>
      </c>
    </row>
    <row r="580" spans="1:20" ht="14.25" customHeight="1">
      <c r="A580" s="2" t="s">
        <v>15</v>
      </c>
      <c r="B580" s="2">
        <v>1998</v>
      </c>
      <c r="C580" s="2" t="s">
        <v>29</v>
      </c>
      <c r="H580" s="3" t="e">
        <v>#N/A</v>
      </c>
      <c r="I580" s="3" t="e">
        <f t="shared" si="11"/>
        <v>#N/A</v>
      </c>
      <c r="J580" s="3">
        <v>49.527999999999999</v>
      </c>
      <c r="K580" s="3">
        <v>36.520000000000003</v>
      </c>
      <c r="L580" s="3">
        <v>98.39724524337575</v>
      </c>
      <c r="M580" s="3">
        <v>155.10781008966802</v>
      </c>
      <c r="N580" s="3">
        <v>122.033212218142</v>
      </c>
      <c r="Q580" s="4" t="s">
        <v>101</v>
      </c>
      <c r="R580" s="2" t="s">
        <v>17</v>
      </c>
      <c r="S580" s="2" t="e">
        <f>I580*0.49</f>
        <v>#N/A</v>
      </c>
      <c r="T580" s="2">
        <f>L580*0.28</f>
        <v>27.551228668145214</v>
      </c>
    </row>
    <row r="581" spans="1:20" ht="14.25" customHeight="1">
      <c r="A581" s="2" t="s">
        <v>15</v>
      </c>
      <c r="B581" s="2">
        <v>1999</v>
      </c>
      <c r="C581" s="2" t="s">
        <v>29</v>
      </c>
      <c r="H581" s="3" t="e">
        <v>#N/A</v>
      </c>
      <c r="I581" s="3" t="e">
        <f t="shared" si="11"/>
        <v>#N/A</v>
      </c>
      <c r="J581" s="3">
        <v>63.529000000000003</v>
      </c>
      <c r="K581" s="3">
        <v>49.881999999999998</v>
      </c>
      <c r="L581" s="3">
        <v>112.38631959845922</v>
      </c>
      <c r="M581" s="3">
        <v>187.24533148310402</v>
      </c>
      <c r="N581" s="3">
        <v>136.97409991521599</v>
      </c>
      <c r="Q581" s="4" t="s">
        <v>101</v>
      </c>
      <c r="R581" s="2" t="s">
        <v>17</v>
      </c>
      <c r="S581" s="2" t="e">
        <f>I581*0.49</f>
        <v>#N/A</v>
      </c>
      <c r="T581" s="2">
        <f>L581*0.28</f>
        <v>31.468169487568584</v>
      </c>
    </row>
    <row r="582" spans="1:20" ht="14.25" customHeight="1">
      <c r="A582" s="2" t="s">
        <v>15</v>
      </c>
      <c r="B582" s="2">
        <v>2000</v>
      </c>
      <c r="C582" s="2" t="s">
        <v>29</v>
      </c>
      <c r="H582" s="3" t="e">
        <v>#N/A</v>
      </c>
      <c r="I582" s="3" t="e">
        <f t="shared" si="11"/>
        <v>#N/A</v>
      </c>
      <c r="J582" s="3">
        <v>51.567999999999998</v>
      </c>
      <c r="K582" s="3">
        <v>48.936999999999998</v>
      </c>
      <c r="L582" s="3">
        <v>114.40275475662426</v>
      </c>
      <c r="M582" s="3">
        <v>163.75700000000001</v>
      </c>
      <c r="N582" s="3">
        <v>131.358</v>
      </c>
      <c r="Q582" s="4" t="s">
        <v>101</v>
      </c>
      <c r="R582" s="2" t="s">
        <v>17</v>
      </c>
      <c r="S582" s="2" t="e">
        <f>I582*0.49</f>
        <v>#N/A</v>
      </c>
      <c r="T582" s="2">
        <f>L582*0.28</f>
        <v>32.032771331854796</v>
      </c>
    </row>
    <row r="583" spans="1:20" ht="14.25" customHeight="1">
      <c r="A583" s="2" t="s">
        <v>15</v>
      </c>
      <c r="B583" s="2">
        <v>2001</v>
      </c>
      <c r="C583" s="2" t="s">
        <v>29</v>
      </c>
      <c r="H583" s="3" t="e">
        <v>#N/A</v>
      </c>
      <c r="I583" s="3" t="e">
        <f t="shared" si="11"/>
        <v>#N/A</v>
      </c>
      <c r="J583" s="3">
        <v>59.691000000000003</v>
      </c>
      <c r="K583" s="3">
        <v>55.432000000000002</v>
      </c>
      <c r="L583" s="3">
        <v>122.88366989611301</v>
      </c>
      <c r="M583" s="3">
        <v>143.77620506361191</v>
      </c>
      <c r="N583" s="3">
        <v>116.68115606496441</v>
      </c>
      <c r="Q583" s="4" t="s">
        <v>101</v>
      </c>
      <c r="R583" s="2" t="s">
        <v>17</v>
      </c>
      <c r="S583" s="2" t="e">
        <f>I583*0.49</f>
        <v>#N/A</v>
      </c>
      <c r="T583" s="2">
        <f>L583*0.28</f>
        <v>34.407427570911643</v>
      </c>
    </row>
    <row r="584" spans="1:20" ht="14.25" customHeight="1">
      <c r="A584" s="2" t="s">
        <v>15</v>
      </c>
      <c r="B584" s="2">
        <v>2002</v>
      </c>
      <c r="C584" s="2" t="s">
        <v>29</v>
      </c>
      <c r="H584" s="3" t="e">
        <v>#N/A</v>
      </c>
      <c r="I584" s="3" t="e">
        <f t="shared" si="11"/>
        <v>#N/A</v>
      </c>
      <c r="J584" s="3">
        <v>53.622</v>
      </c>
      <c r="K584" s="3">
        <v>38.912999999999997</v>
      </c>
      <c r="L584" s="3">
        <v>129.1733862495623</v>
      </c>
      <c r="M584" s="3">
        <v>147.25767083616802</v>
      </c>
      <c r="N584" s="3">
        <v>94.959524383329608</v>
      </c>
      <c r="Q584" s="4" t="s">
        <v>101</v>
      </c>
      <c r="R584" s="2" t="s">
        <v>17</v>
      </c>
      <c r="S584" s="2" t="e">
        <f>I584*0.49</f>
        <v>#N/A</v>
      </c>
      <c r="T584" s="2">
        <f>L584*0.28</f>
        <v>36.168548149877445</v>
      </c>
    </row>
    <row r="585" spans="1:20" ht="14.25" customHeight="1">
      <c r="A585" s="2" t="s">
        <v>15</v>
      </c>
      <c r="B585" s="2">
        <v>2003</v>
      </c>
      <c r="C585" s="2" t="s">
        <v>29</v>
      </c>
      <c r="H585" s="2" t="s">
        <v>17</v>
      </c>
      <c r="I585" s="3" t="str">
        <f t="shared" si="11"/>
        <v>NA</v>
      </c>
      <c r="J585" s="2">
        <v>74.7</v>
      </c>
      <c r="K585" s="2">
        <v>34.700000000000003</v>
      </c>
      <c r="L585" s="2">
        <v>129.1733862495623</v>
      </c>
      <c r="M585" s="3">
        <v>189.46037472478</v>
      </c>
      <c r="N585" s="3">
        <v>87.450475393540003</v>
      </c>
      <c r="Q585" s="4" t="s">
        <v>101</v>
      </c>
      <c r="R585" s="2" t="s">
        <v>17</v>
      </c>
      <c r="S585" s="2" t="e">
        <f>I585*0.49</f>
        <v>#VALUE!</v>
      </c>
      <c r="T585" s="2">
        <f>L585*0.28</f>
        <v>36.168548149877445</v>
      </c>
    </row>
    <row r="586" spans="1:20" ht="14.25" customHeight="1">
      <c r="A586" s="2" t="s">
        <v>15</v>
      </c>
      <c r="B586" s="2">
        <v>2004</v>
      </c>
      <c r="C586" s="2" t="s">
        <v>29</v>
      </c>
      <c r="H586" s="2" t="s">
        <v>17</v>
      </c>
      <c r="I586" s="3" t="str">
        <f t="shared" si="11"/>
        <v>NA</v>
      </c>
      <c r="J586" s="2">
        <v>66.5</v>
      </c>
      <c r="K586" s="2">
        <v>44.7</v>
      </c>
      <c r="L586" s="2">
        <v>140.25357768180226</v>
      </c>
      <c r="M586" s="3">
        <v>164.55223353624001</v>
      </c>
      <c r="N586" s="3">
        <v>98.421208417740004</v>
      </c>
      <c r="Q586" s="4" t="s">
        <v>101</v>
      </c>
      <c r="R586" s="2" t="s">
        <v>17</v>
      </c>
      <c r="S586" s="2" t="e">
        <f>I586*0.49</f>
        <v>#VALUE!</v>
      </c>
      <c r="T586" s="2">
        <f>L586*0.28</f>
        <v>39.271001750904638</v>
      </c>
    </row>
    <row r="587" spans="1:20" ht="14.25" customHeight="1">
      <c r="A587" s="2" t="s">
        <v>15</v>
      </c>
      <c r="B587" s="2">
        <v>2005</v>
      </c>
      <c r="C587" s="2" t="s">
        <v>29</v>
      </c>
      <c r="H587" s="2" t="s">
        <v>17</v>
      </c>
      <c r="I587" s="3" t="str">
        <f t="shared" si="11"/>
        <v>NA</v>
      </c>
      <c r="J587" s="2">
        <v>49.7</v>
      </c>
      <c r="K587" s="2">
        <v>54.9</v>
      </c>
      <c r="L587" s="2">
        <v>115.16923076923078</v>
      </c>
      <c r="M587" s="3">
        <v>144.77454113279998</v>
      </c>
      <c r="N587" s="3">
        <v>134.1293542848</v>
      </c>
      <c r="Q587" s="4" t="s">
        <v>101</v>
      </c>
      <c r="R587" s="2" t="s">
        <v>17</v>
      </c>
      <c r="S587" s="2" t="e">
        <f>I587*0.49</f>
        <v>#VALUE!</v>
      </c>
      <c r="T587" s="2">
        <f>L587*0.28</f>
        <v>32.247384615384618</v>
      </c>
    </row>
    <row r="588" spans="1:20" ht="14.25" customHeight="1">
      <c r="A588" s="2" t="s">
        <v>15</v>
      </c>
      <c r="B588" s="2">
        <v>2006</v>
      </c>
      <c r="C588" s="2" t="s">
        <v>29</v>
      </c>
      <c r="H588" s="2" t="s">
        <v>17</v>
      </c>
      <c r="I588" s="3" t="str">
        <f t="shared" si="11"/>
        <v>NA</v>
      </c>
      <c r="J588" s="2">
        <v>54.8</v>
      </c>
      <c r="K588" s="2">
        <v>65.599999999999994</v>
      </c>
      <c r="L588" s="2">
        <v>117.07654955060116</v>
      </c>
      <c r="M588" s="3">
        <v>174.24678182048999</v>
      </c>
      <c r="N588" s="3">
        <v>176.30989122537</v>
      </c>
      <c r="Q588" s="4" t="s">
        <v>101</v>
      </c>
      <c r="R588" s="2" t="s">
        <v>17</v>
      </c>
      <c r="S588" s="2" t="e">
        <f>I588*0.49</f>
        <v>#VALUE!</v>
      </c>
      <c r="T588" s="2">
        <f>L588*0.28</f>
        <v>32.781433874168329</v>
      </c>
    </row>
    <row r="589" spans="1:20" ht="14.25" customHeight="1">
      <c r="A589" s="2" t="s">
        <v>15</v>
      </c>
      <c r="B589" s="2">
        <v>2007</v>
      </c>
      <c r="C589" s="2" t="s">
        <v>29</v>
      </c>
      <c r="H589" s="2" t="s">
        <v>17</v>
      </c>
      <c r="I589" s="3" t="str">
        <f t="shared" si="11"/>
        <v>NA</v>
      </c>
      <c r="J589" s="2">
        <v>61.4</v>
      </c>
      <c r="K589" s="2">
        <v>62.6</v>
      </c>
      <c r="L589" s="2">
        <v>115.41851289833082</v>
      </c>
      <c r="M589" s="3">
        <v>166.09533741775002</v>
      </c>
      <c r="N589" s="3">
        <v>152.82419631390002</v>
      </c>
      <c r="Q589" s="4" t="s">
        <v>101</v>
      </c>
      <c r="R589" s="2" t="s">
        <v>17</v>
      </c>
      <c r="S589" s="2" t="e">
        <f>I589*0.49</f>
        <v>#VALUE!</v>
      </c>
      <c r="T589" s="2">
        <f>L589*0.28</f>
        <v>32.317183611532634</v>
      </c>
    </row>
    <row r="590" spans="1:20" ht="14.25" customHeight="1">
      <c r="A590" s="2" t="s">
        <v>15</v>
      </c>
      <c r="B590" s="2">
        <v>2008</v>
      </c>
      <c r="C590" s="2" t="s">
        <v>29</v>
      </c>
      <c r="H590" s="2" t="s">
        <v>17</v>
      </c>
      <c r="I590" s="3" t="str">
        <f t="shared" si="11"/>
        <v>NA</v>
      </c>
      <c r="J590" s="2">
        <v>57.8</v>
      </c>
      <c r="K590" s="2">
        <v>63.6</v>
      </c>
      <c r="L590" s="2">
        <v>114.21202287848723</v>
      </c>
      <c r="M590" s="3">
        <v>172.48811799807999</v>
      </c>
      <c r="N590" s="3">
        <v>164.48200590350001</v>
      </c>
      <c r="Q590" s="4" t="s">
        <v>101</v>
      </c>
      <c r="R590" s="2" t="s">
        <v>17</v>
      </c>
      <c r="S590" s="2" t="e">
        <f>I590*0.49</f>
        <v>#VALUE!</v>
      </c>
      <c r="T590" s="2">
        <f>L590*0.28</f>
        <v>31.979366405976428</v>
      </c>
    </row>
    <row r="591" spans="1:20" ht="14.25" customHeight="1">
      <c r="A591" s="2" t="s">
        <v>15</v>
      </c>
      <c r="B591" s="2">
        <v>2009</v>
      </c>
      <c r="C591" s="2" t="s">
        <v>29</v>
      </c>
      <c r="H591" s="2" t="s">
        <v>17</v>
      </c>
      <c r="I591" s="3" t="str">
        <f t="shared" si="11"/>
        <v>NA</v>
      </c>
      <c r="J591" s="2">
        <v>71.3</v>
      </c>
      <c r="K591" s="2">
        <v>60.3</v>
      </c>
      <c r="L591" s="2">
        <v>128.33416598575931</v>
      </c>
      <c r="M591" s="3">
        <v>237.8793594345</v>
      </c>
      <c r="N591" s="3">
        <v>182.81247924380003</v>
      </c>
      <c r="Q591" s="4" t="s">
        <v>101</v>
      </c>
      <c r="R591" s="2" t="s">
        <v>17</v>
      </c>
      <c r="S591" s="2" t="e">
        <f>I591*0.49</f>
        <v>#VALUE!</v>
      </c>
      <c r="T591" s="2">
        <f>L591*0.28</f>
        <v>35.933566476012608</v>
      </c>
    </row>
    <row r="592" spans="1:20" ht="14.25" customHeight="1">
      <c r="A592" s="2" t="s">
        <v>15</v>
      </c>
      <c r="B592" s="2">
        <v>2010</v>
      </c>
      <c r="C592" s="2" t="s">
        <v>29</v>
      </c>
      <c r="H592" s="2" t="s">
        <v>17</v>
      </c>
      <c r="I592" s="3" t="str">
        <f t="shared" si="11"/>
        <v>NA</v>
      </c>
      <c r="J592" s="2">
        <v>82.3</v>
      </c>
      <c r="K592" s="2">
        <v>57.2</v>
      </c>
      <c r="L592" s="2">
        <v>137.17880238123033</v>
      </c>
      <c r="M592" s="3">
        <v>299.98280985112001</v>
      </c>
      <c r="N592" s="3">
        <v>193.56432702683998</v>
      </c>
      <c r="Q592" s="4" t="s">
        <v>101</v>
      </c>
      <c r="R592" s="2" t="s">
        <v>17</v>
      </c>
      <c r="S592" s="2" t="e">
        <f>I592*0.49</f>
        <v>#VALUE!</v>
      </c>
      <c r="T592" s="2">
        <f>L592*0.28</f>
        <v>38.410064666744496</v>
      </c>
    </row>
    <row r="593" spans="1:20" ht="14.25" customHeight="1">
      <c r="A593" s="2" t="s">
        <v>15</v>
      </c>
      <c r="B593" s="2">
        <v>2011</v>
      </c>
      <c r="C593" s="2" t="s">
        <v>29</v>
      </c>
      <c r="H593" s="2" t="s">
        <v>17</v>
      </c>
      <c r="I593" s="3" t="str">
        <f t="shared" si="11"/>
        <v>NA</v>
      </c>
      <c r="J593" s="2">
        <v>95.3</v>
      </c>
      <c r="K593" s="2">
        <v>62.5</v>
      </c>
      <c r="L593" s="2">
        <v>140.44031749737366</v>
      </c>
      <c r="M593" s="3">
        <v>351.25046346852002</v>
      </c>
      <c r="N593" s="3">
        <v>199.70084070216001</v>
      </c>
      <c r="Q593" s="4" t="s">
        <v>101</v>
      </c>
      <c r="R593" s="2" t="s">
        <v>17</v>
      </c>
      <c r="S593" s="2" t="e">
        <f>I593*0.49</f>
        <v>#VALUE!</v>
      </c>
      <c r="T593" s="2">
        <f>L593*0.28</f>
        <v>39.323288899264625</v>
      </c>
    </row>
    <row r="594" spans="1:20" ht="14.25" customHeight="1">
      <c r="A594" s="2" t="s">
        <v>15</v>
      </c>
      <c r="B594" s="2">
        <v>2012</v>
      </c>
      <c r="C594" s="2" t="s">
        <v>29</v>
      </c>
      <c r="H594" s="2" t="s">
        <v>17</v>
      </c>
      <c r="I594" s="3" t="str">
        <f t="shared" si="11"/>
        <v>NA</v>
      </c>
      <c r="J594" s="2">
        <v>100.9</v>
      </c>
      <c r="K594" s="2">
        <v>69.900000000000006</v>
      </c>
      <c r="L594" s="2">
        <v>144.19950974670246</v>
      </c>
      <c r="M594" s="3">
        <v>314.92378864145002</v>
      </c>
      <c r="N594" s="3">
        <v>205.41253133040001</v>
      </c>
      <c r="Q594" s="4" t="s">
        <v>101</v>
      </c>
      <c r="R594" s="2" t="s">
        <v>17</v>
      </c>
      <c r="S594" s="2" t="e">
        <f>I594*0.49</f>
        <v>#VALUE!</v>
      </c>
      <c r="T594" s="2">
        <f>L594*0.28</f>
        <v>40.375862729076694</v>
      </c>
    </row>
    <row r="595" spans="1:20" ht="14.25" customHeight="1">
      <c r="A595" s="2" t="s">
        <v>15</v>
      </c>
      <c r="B595" s="2">
        <v>2013</v>
      </c>
      <c r="C595" s="2" t="s">
        <v>29</v>
      </c>
      <c r="H595" s="2" t="s">
        <v>17</v>
      </c>
      <c r="I595" s="3" t="str">
        <f t="shared" si="11"/>
        <v>NA</v>
      </c>
      <c r="J595" s="2">
        <v>112.1</v>
      </c>
      <c r="K595" s="2">
        <v>74.5</v>
      </c>
      <c r="L595" s="2">
        <v>145.06090813587022</v>
      </c>
      <c r="M595" s="3">
        <v>394.01100638055004</v>
      </c>
      <c r="N595" s="3">
        <v>258.04418769350002</v>
      </c>
      <c r="Q595" s="4" t="s">
        <v>101</v>
      </c>
      <c r="R595" s="2" t="s">
        <v>17</v>
      </c>
      <c r="S595" s="2" t="e">
        <f>I595*0.49</f>
        <v>#VALUE!</v>
      </c>
      <c r="T595" s="2">
        <f>L595*0.28</f>
        <v>40.617054278043668</v>
      </c>
    </row>
    <row r="596" spans="1:20" ht="14.25" customHeight="1">
      <c r="A596" s="2" t="s">
        <v>15</v>
      </c>
      <c r="B596" s="2">
        <v>2014</v>
      </c>
      <c r="C596" s="2" t="s">
        <v>29</v>
      </c>
      <c r="H596" s="2" t="s">
        <v>17</v>
      </c>
      <c r="I596" s="3" t="str">
        <f t="shared" si="11"/>
        <v>NA</v>
      </c>
      <c r="J596" s="2">
        <v>124.8</v>
      </c>
      <c r="K596" s="2">
        <v>78.3</v>
      </c>
      <c r="L596" s="2">
        <v>159.14756624255867</v>
      </c>
      <c r="M596" s="3">
        <v>416.31645547591</v>
      </c>
      <c r="N596" s="3">
        <v>261.46988120719004</v>
      </c>
      <c r="Q596" s="4" t="s">
        <v>101</v>
      </c>
      <c r="R596" s="2" t="s">
        <v>17</v>
      </c>
      <c r="S596" s="2" t="e">
        <f>I596*0.49</f>
        <v>#VALUE!</v>
      </c>
      <c r="T596" s="2">
        <f>L596*0.28</f>
        <v>44.561318547916429</v>
      </c>
    </row>
    <row r="597" spans="1:20" ht="14.25" customHeight="1">
      <c r="A597" s="2" t="s">
        <v>15</v>
      </c>
      <c r="B597" s="2">
        <v>2015</v>
      </c>
      <c r="C597" s="2" t="s">
        <v>29</v>
      </c>
      <c r="H597" s="2" t="s">
        <v>17</v>
      </c>
      <c r="I597" s="3" t="str">
        <f t="shared" si="11"/>
        <v>NA</v>
      </c>
      <c r="J597" s="2">
        <v>113.7</v>
      </c>
      <c r="K597" s="2">
        <v>71.8</v>
      </c>
      <c r="L597" s="2">
        <v>152.71525341426405</v>
      </c>
      <c r="M597" s="3">
        <v>325.0985098136</v>
      </c>
      <c r="N597" s="3">
        <v>227.75337255580001</v>
      </c>
      <c r="Q597" s="4" t="s">
        <v>101</v>
      </c>
      <c r="R597" s="2" t="s">
        <v>17</v>
      </c>
      <c r="S597" s="2" t="e">
        <f>I597*0.49</f>
        <v>#VALUE!</v>
      </c>
      <c r="T597" s="2">
        <f>L597*0.28</f>
        <v>42.760270955993938</v>
      </c>
    </row>
    <row r="598" spans="1:20" ht="14.25" customHeight="1">
      <c r="A598" s="2" t="s">
        <v>15</v>
      </c>
      <c r="B598" s="2">
        <v>2016</v>
      </c>
      <c r="C598" s="2" t="s">
        <v>29</v>
      </c>
      <c r="H598" s="2" t="s">
        <v>17</v>
      </c>
      <c r="I598" s="3" t="str">
        <f t="shared" si="11"/>
        <v>NA</v>
      </c>
      <c r="J598" s="2">
        <v>105.3</v>
      </c>
      <c r="K598" s="2">
        <v>85.8</v>
      </c>
      <c r="L598" s="2">
        <v>144.72071343527489</v>
      </c>
      <c r="M598" s="3">
        <v>375.94127397952002</v>
      </c>
      <c r="N598" s="3">
        <v>316.38109280831998</v>
      </c>
      <c r="Q598" s="4" t="s">
        <v>101</v>
      </c>
      <c r="R598" s="2" t="s">
        <v>17</v>
      </c>
      <c r="S598" s="2" t="e">
        <f>I598*0.49</f>
        <v>#VALUE!</v>
      </c>
      <c r="T598" s="2">
        <f>L598*0.28</f>
        <v>40.52179976187697</v>
      </c>
    </row>
    <row r="599" spans="1:20" ht="14.25" customHeight="1">
      <c r="A599" s="2" t="s">
        <v>15</v>
      </c>
      <c r="B599" s="2">
        <v>2017</v>
      </c>
      <c r="C599" s="2" t="s">
        <v>29</v>
      </c>
      <c r="H599" s="2" t="s">
        <v>17</v>
      </c>
      <c r="I599" s="3" t="str">
        <f t="shared" si="11"/>
        <v>NA</v>
      </c>
      <c r="J599" s="2">
        <v>116.1</v>
      </c>
      <c r="K599" s="2">
        <v>74</v>
      </c>
      <c r="L599" s="2">
        <v>168.29382514299056</v>
      </c>
      <c r="M599" s="3">
        <v>453.49156199760006</v>
      </c>
      <c r="N599" s="3">
        <v>305.93180760450002</v>
      </c>
      <c r="Q599" s="4" t="s">
        <v>101</v>
      </c>
      <c r="R599" s="2" t="s">
        <v>17</v>
      </c>
      <c r="S599" s="2" t="e">
        <f>I599*0.49</f>
        <v>#VALUE!</v>
      </c>
      <c r="T599" s="2">
        <f>L599*0.28</f>
        <v>47.122271040037361</v>
      </c>
    </row>
    <row r="600" spans="1:20" ht="14.25" customHeight="1">
      <c r="A600" s="2" t="s">
        <v>15</v>
      </c>
      <c r="B600" s="2">
        <v>2018</v>
      </c>
      <c r="C600" s="2" t="s">
        <v>29</v>
      </c>
      <c r="H600" s="2" t="s">
        <v>17</v>
      </c>
      <c r="I600" s="3" t="str">
        <f t="shared" si="11"/>
        <v>NA</v>
      </c>
      <c r="J600" s="2">
        <v>100.4</v>
      </c>
      <c r="K600" s="2">
        <v>80.099999999999994</v>
      </c>
      <c r="L600" s="2">
        <v>138.4136804015408</v>
      </c>
      <c r="M600" s="3">
        <v>386.64182570129998</v>
      </c>
      <c r="N600" s="3">
        <v>328.40061216300001</v>
      </c>
      <c r="Q600" s="4" t="s">
        <v>101</v>
      </c>
      <c r="R600" s="2" t="s">
        <v>17</v>
      </c>
      <c r="S600" s="2" t="e">
        <f>I600*0.49</f>
        <v>#VALUE!</v>
      </c>
      <c r="T600" s="2">
        <f>L600*0.28</f>
        <v>38.75583051243143</v>
      </c>
    </row>
    <row r="601" spans="1:20" ht="14.25" customHeight="1">
      <c r="A601" s="2" t="s">
        <v>15</v>
      </c>
      <c r="B601" s="2">
        <v>2019</v>
      </c>
      <c r="C601" s="2" t="s">
        <v>29</v>
      </c>
      <c r="H601" s="2" t="s">
        <v>17</v>
      </c>
      <c r="I601" s="3" t="str">
        <f t="shared" si="11"/>
        <v>NA</v>
      </c>
      <c r="J601" s="2">
        <v>125.249847</v>
      </c>
      <c r="K601" s="2">
        <v>90.794152999999994</v>
      </c>
      <c r="L601" s="2">
        <v>168.99731527956112</v>
      </c>
      <c r="M601" s="3">
        <v>491.30497670764009</v>
      </c>
      <c r="N601" s="3">
        <v>355.80103570018002</v>
      </c>
      <c r="Q601" s="4" t="s">
        <v>101</v>
      </c>
      <c r="R601" s="2" t="s">
        <v>17</v>
      </c>
      <c r="S601" s="2" t="e">
        <f>I601*0.49</f>
        <v>#VALUE!</v>
      </c>
      <c r="T601" s="2">
        <f>L601*0.28</f>
        <v>47.319248278277115</v>
      </c>
    </row>
    <row r="602" spans="1:20" ht="14.25" customHeight="1">
      <c r="A602" s="2" t="s">
        <v>15</v>
      </c>
      <c r="B602" s="2">
        <v>2020</v>
      </c>
      <c r="C602" s="2" t="s">
        <v>29</v>
      </c>
      <c r="H602" s="2" t="s">
        <v>17</v>
      </c>
      <c r="I602" s="3" t="s">
        <v>17</v>
      </c>
      <c r="J602" s="2">
        <v>98.234696000000099</v>
      </c>
      <c r="K602" s="2">
        <v>84.284597000000005</v>
      </c>
      <c r="L602" s="2" t="s">
        <v>17</v>
      </c>
      <c r="M602" s="3">
        <v>360.5282420171738</v>
      </c>
      <c r="N602" s="3">
        <v>304.39805884444723</v>
      </c>
      <c r="Q602" s="4" t="s">
        <v>101</v>
      </c>
      <c r="R602" s="2" t="s">
        <v>17</v>
      </c>
      <c r="S602" s="2" t="e">
        <f>I602*0.49</f>
        <v>#VALUE!</v>
      </c>
      <c r="T602" s="2" t="e">
        <f>L602*0.28</f>
        <v>#VALUE!</v>
      </c>
    </row>
    <row r="603" spans="1:20" ht="14.25" customHeight="1">
      <c r="A603" s="2" t="s">
        <v>15</v>
      </c>
      <c r="B603" s="2">
        <v>1900</v>
      </c>
      <c r="C603" s="2" t="s">
        <v>28</v>
      </c>
      <c r="G603" s="3"/>
      <c r="H603" s="3">
        <v>0</v>
      </c>
      <c r="I603" s="3">
        <f t="shared" ref="I603:I843" si="13">H603</f>
        <v>0</v>
      </c>
      <c r="J603" s="3" t="e">
        <v>#VALUE!</v>
      </c>
      <c r="K603" s="3" t="e">
        <v>#VALUE!</v>
      </c>
      <c r="L603" s="3"/>
      <c r="Q603" s="4" t="s">
        <v>99</v>
      </c>
      <c r="R603" s="2" t="s">
        <v>17</v>
      </c>
      <c r="S603" s="2">
        <v>0</v>
      </c>
    </row>
    <row r="604" spans="1:20" ht="14.25" customHeight="1">
      <c r="A604" s="2" t="s">
        <v>15</v>
      </c>
      <c r="B604" s="2">
        <v>1901</v>
      </c>
      <c r="C604" s="2" t="s">
        <v>28</v>
      </c>
      <c r="G604" s="3"/>
      <c r="H604" s="3">
        <v>0</v>
      </c>
      <c r="I604" s="3">
        <f t="shared" si="13"/>
        <v>0</v>
      </c>
      <c r="J604" s="3" t="e">
        <v>#N/A</v>
      </c>
      <c r="K604" s="3" t="e">
        <v>#N/A</v>
      </c>
      <c r="L604" s="3"/>
      <c r="M604" s="3"/>
      <c r="N604" s="3"/>
      <c r="Q604" s="4" t="s">
        <v>99</v>
      </c>
      <c r="R604" s="2" t="s">
        <v>17</v>
      </c>
      <c r="S604" s="2">
        <v>0</v>
      </c>
    </row>
    <row r="605" spans="1:20" ht="14.25" customHeight="1">
      <c r="A605" s="2" t="s">
        <v>15</v>
      </c>
      <c r="B605" s="2">
        <v>1902</v>
      </c>
      <c r="C605" s="2" t="s">
        <v>28</v>
      </c>
      <c r="G605" s="3"/>
      <c r="H605" s="3">
        <v>0</v>
      </c>
      <c r="I605" s="3">
        <f t="shared" si="13"/>
        <v>0</v>
      </c>
      <c r="J605" s="3" t="e">
        <v>#N/A</v>
      </c>
      <c r="K605" s="3" t="e">
        <v>#N/A</v>
      </c>
      <c r="L605" s="3"/>
      <c r="M605" s="3"/>
      <c r="N605" s="3"/>
      <c r="Q605" s="4" t="s">
        <v>99</v>
      </c>
      <c r="R605" s="2" t="s">
        <v>17</v>
      </c>
      <c r="S605" s="2">
        <v>0</v>
      </c>
    </row>
    <row r="606" spans="1:20" ht="14.25" customHeight="1">
      <c r="A606" s="2" t="s">
        <v>15</v>
      </c>
      <c r="B606" s="2">
        <v>1903</v>
      </c>
      <c r="C606" s="2" t="s">
        <v>28</v>
      </c>
      <c r="G606" s="3"/>
      <c r="H606" s="3">
        <v>29.337</v>
      </c>
      <c r="I606" s="3">
        <f t="shared" si="13"/>
        <v>29.337</v>
      </c>
      <c r="J606" s="3" t="e">
        <v>#N/A</v>
      </c>
      <c r="K606" s="3" t="e">
        <v>#N/A</v>
      </c>
      <c r="L606" s="3"/>
      <c r="M606" s="3"/>
      <c r="N606" s="3"/>
      <c r="Q606" s="4" t="s">
        <v>99</v>
      </c>
      <c r="R606" s="2" t="s">
        <v>17</v>
      </c>
      <c r="S606" s="2">
        <f>H606*0.28</f>
        <v>8.214360000000001</v>
      </c>
    </row>
    <row r="607" spans="1:20" ht="14.25" customHeight="1">
      <c r="A607" s="2" t="s">
        <v>15</v>
      </c>
      <c r="B607" s="2">
        <v>1904</v>
      </c>
      <c r="C607" s="2" t="s">
        <v>28</v>
      </c>
      <c r="G607" s="3"/>
      <c r="H607" s="3">
        <v>30.876999999999999</v>
      </c>
      <c r="I607" s="3">
        <f t="shared" si="13"/>
        <v>30.876999999999999</v>
      </c>
      <c r="J607" s="3" t="e">
        <v>#N/A</v>
      </c>
      <c r="K607" s="3" t="e">
        <v>#N/A</v>
      </c>
      <c r="L607" s="3"/>
      <c r="M607" s="3"/>
      <c r="N607" s="3"/>
      <c r="Q607" s="4" t="s">
        <v>99</v>
      </c>
      <c r="R607" s="2" t="s">
        <v>17</v>
      </c>
      <c r="S607" s="2">
        <f>H607*0.28</f>
        <v>8.6455599999999997</v>
      </c>
    </row>
    <row r="608" spans="1:20" ht="14.25" customHeight="1">
      <c r="A608" s="2" t="s">
        <v>15</v>
      </c>
      <c r="B608" s="2">
        <v>1905</v>
      </c>
      <c r="C608" s="2" t="s">
        <v>28</v>
      </c>
      <c r="G608" s="3"/>
      <c r="H608" s="3">
        <v>14.48</v>
      </c>
      <c r="I608" s="3">
        <f t="shared" si="13"/>
        <v>14.48</v>
      </c>
      <c r="J608" s="3" t="e">
        <v>#VALUE!</v>
      </c>
      <c r="K608" s="3">
        <v>10.411603332655964</v>
      </c>
      <c r="L608" s="3"/>
      <c r="M608" s="3"/>
      <c r="N608" s="3"/>
      <c r="Q608" s="4" t="s">
        <v>99</v>
      </c>
      <c r="R608" s="2" t="s">
        <v>17</v>
      </c>
      <c r="S608" s="2">
        <f>H608*0.28</f>
        <v>4.0544000000000002</v>
      </c>
    </row>
    <row r="609" spans="1:19" ht="14.25" customHeight="1">
      <c r="A609" s="2" t="s">
        <v>15</v>
      </c>
      <c r="B609" s="2">
        <v>1906</v>
      </c>
      <c r="C609" s="2" t="s">
        <v>28</v>
      </c>
      <c r="G609" s="3"/>
      <c r="H609" s="3">
        <v>40.414000000000001</v>
      </c>
      <c r="I609" s="3">
        <f t="shared" si="13"/>
        <v>40.414000000000001</v>
      </c>
      <c r="J609" s="3" t="e">
        <v>#N/A</v>
      </c>
      <c r="K609" s="3" t="e">
        <v>#N/A</v>
      </c>
      <c r="L609" s="3"/>
      <c r="M609" s="3"/>
      <c r="N609" s="3"/>
      <c r="Q609" s="4" t="s">
        <v>99</v>
      </c>
      <c r="R609" s="2" t="s">
        <v>17</v>
      </c>
      <c r="S609" s="2">
        <f>H609*0.28</f>
        <v>11.315920000000002</v>
      </c>
    </row>
    <row r="610" spans="1:19" ht="14.25" customHeight="1">
      <c r="A610" s="2" t="s">
        <v>15</v>
      </c>
      <c r="B610" s="2">
        <v>1907</v>
      </c>
      <c r="C610" s="2" t="s">
        <v>28</v>
      </c>
      <c r="G610" s="3"/>
      <c r="H610" s="3">
        <v>40.834000000000003</v>
      </c>
      <c r="I610" s="3">
        <f t="shared" si="13"/>
        <v>40.834000000000003</v>
      </c>
      <c r="J610" s="3" t="e">
        <v>#N/A</v>
      </c>
      <c r="K610" s="3" t="e">
        <v>#N/A</v>
      </c>
      <c r="L610" s="3"/>
      <c r="M610" s="3"/>
      <c r="N610" s="3"/>
      <c r="Q610" s="4" t="s">
        <v>99</v>
      </c>
      <c r="R610" s="2" t="s">
        <v>17</v>
      </c>
      <c r="S610" s="2">
        <f>H610*0.28</f>
        <v>11.433520000000001</v>
      </c>
    </row>
    <row r="611" spans="1:19" ht="14.25" customHeight="1">
      <c r="A611" s="2" t="s">
        <v>15</v>
      </c>
      <c r="B611" s="2">
        <v>1908</v>
      </c>
      <c r="C611" s="2" t="s">
        <v>28</v>
      </c>
      <c r="G611" s="3"/>
      <c r="H611" s="3">
        <v>39.07</v>
      </c>
      <c r="I611" s="3">
        <f t="shared" si="13"/>
        <v>39.07</v>
      </c>
      <c r="J611" s="3" t="e">
        <v>#N/A</v>
      </c>
      <c r="K611" s="3" t="e">
        <v>#N/A</v>
      </c>
      <c r="L611" s="3"/>
      <c r="M611" s="3"/>
      <c r="N611" s="3"/>
      <c r="Q611" s="4" t="s">
        <v>99</v>
      </c>
      <c r="R611" s="2" t="s">
        <v>17</v>
      </c>
      <c r="S611" s="2">
        <f>H611*0.28</f>
        <v>10.9396</v>
      </c>
    </row>
    <row r="612" spans="1:19" ht="14.25" customHeight="1">
      <c r="A612" s="2" t="s">
        <v>15</v>
      </c>
      <c r="B612" s="2">
        <v>1910</v>
      </c>
      <c r="C612" s="2" t="s">
        <v>28</v>
      </c>
      <c r="G612" s="3"/>
      <c r="H612" s="3">
        <v>33.399000000000001</v>
      </c>
      <c r="I612" s="3">
        <f t="shared" si="13"/>
        <v>33.399000000000001</v>
      </c>
      <c r="J612" s="3">
        <v>0.87680349522454781</v>
      </c>
      <c r="K612" s="3">
        <v>12.466419426945743</v>
      </c>
      <c r="L612" s="3"/>
      <c r="M612" s="3"/>
      <c r="N612" s="3"/>
      <c r="Q612" s="4" t="s">
        <v>99</v>
      </c>
      <c r="R612" s="2" t="s">
        <v>17</v>
      </c>
      <c r="S612" s="2">
        <f>H612*0.28</f>
        <v>9.351720000000002</v>
      </c>
    </row>
    <row r="613" spans="1:19" ht="14.25" customHeight="1">
      <c r="A613" s="2" t="s">
        <v>15</v>
      </c>
      <c r="B613" s="2">
        <v>1911</v>
      </c>
      <c r="C613" s="2" t="s">
        <v>28</v>
      </c>
      <c r="G613" s="3"/>
      <c r="H613" s="3">
        <v>33.384</v>
      </c>
      <c r="I613" s="3">
        <f t="shared" si="13"/>
        <v>33.384</v>
      </c>
      <c r="J613" s="3" t="e">
        <v>#N/A</v>
      </c>
      <c r="K613" s="3" t="e">
        <v>#N/A</v>
      </c>
      <c r="L613" s="3"/>
      <c r="M613" s="3"/>
      <c r="N613" s="3"/>
      <c r="Q613" s="4" t="s">
        <v>99</v>
      </c>
      <c r="R613" s="2" t="s">
        <v>17</v>
      </c>
      <c r="S613" s="2">
        <f>H613*0.28</f>
        <v>9.3475200000000012</v>
      </c>
    </row>
    <row r="614" spans="1:19" ht="14.25" customHeight="1">
      <c r="A614" s="2" t="s">
        <v>15</v>
      </c>
      <c r="B614" s="2">
        <v>1912</v>
      </c>
      <c r="C614" s="2" t="s">
        <v>28</v>
      </c>
      <c r="G614" s="3"/>
      <c r="H614" s="3">
        <v>37.125999999999998</v>
      </c>
      <c r="I614" s="3">
        <f t="shared" si="13"/>
        <v>37.125999999999998</v>
      </c>
      <c r="J614" s="3" t="e">
        <v>#N/A</v>
      </c>
      <c r="K614" s="3" t="e">
        <v>#N/A</v>
      </c>
      <c r="L614" s="3"/>
      <c r="M614" s="3"/>
      <c r="N614" s="3"/>
      <c r="Q614" s="4" t="s">
        <v>99</v>
      </c>
      <c r="R614" s="2" t="s">
        <v>17</v>
      </c>
      <c r="S614" s="2">
        <f>H614*0.28</f>
        <v>10.39528</v>
      </c>
    </row>
    <row r="615" spans="1:19" ht="14.25" customHeight="1">
      <c r="A615" s="2" t="s">
        <v>15</v>
      </c>
      <c r="B615" s="2">
        <v>1913</v>
      </c>
      <c r="C615" s="2" t="s">
        <v>28</v>
      </c>
      <c r="G615" s="3"/>
      <c r="H615" s="3">
        <v>38.905999999999999</v>
      </c>
      <c r="I615" s="3">
        <f t="shared" si="13"/>
        <v>38.905999999999999</v>
      </c>
      <c r="J615" s="3" t="e">
        <v>#N/A</v>
      </c>
      <c r="K615" s="3" t="e">
        <v>#N/A</v>
      </c>
      <c r="L615" s="3"/>
      <c r="M615" s="3"/>
      <c r="N615" s="3"/>
      <c r="Q615" s="4" t="s">
        <v>99</v>
      </c>
      <c r="R615" s="2" t="s">
        <v>17</v>
      </c>
      <c r="S615" s="2">
        <f>H615*0.28</f>
        <v>10.893680000000002</v>
      </c>
    </row>
    <row r="616" spans="1:19" ht="14.25" customHeight="1">
      <c r="A616" s="2" t="s">
        <v>15</v>
      </c>
      <c r="B616" s="2">
        <v>1914</v>
      </c>
      <c r="C616" s="2" t="s">
        <v>28</v>
      </c>
      <c r="G616" s="3"/>
      <c r="H616" s="3">
        <v>39.68</v>
      </c>
      <c r="I616" s="3">
        <f t="shared" si="13"/>
        <v>39.68</v>
      </c>
      <c r="J616" s="3">
        <v>1.1353891485470433</v>
      </c>
      <c r="K616" s="3">
        <v>11.346779109937005</v>
      </c>
      <c r="L616" s="3"/>
      <c r="M616" s="3"/>
      <c r="N616" s="3"/>
      <c r="Q616" s="4" t="s">
        <v>100</v>
      </c>
      <c r="R616" s="2" t="s">
        <v>17</v>
      </c>
      <c r="S616" s="2">
        <f>H616*0.28</f>
        <v>11.1104</v>
      </c>
    </row>
    <row r="617" spans="1:19" ht="14.25" customHeight="1">
      <c r="A617" s="2" t="s">
        <v>15</v>
      </c>
      <c r="B617" s="2">
        <v>1915</v>
      </c>
      <c r="C617" s="2" t="s">
        <v>28</v>
      </c>
      <c r="G617" s="3"/>
      <c r="H617" s="3">
        <v>38.908999999999999</v>
      </c>
      <c r="I617" s="3">
        <f t="shared" si="13"/>
        <v>38.908999999999999</v>
      </c>
      <c r="J617" s="3">
        <v>0.20046738467791098</v>
      </c>
      <c r="K617" s="3">
        <v>9.2446657183499283</v>
      </c>
      <c r="L617" s="3"/>
      <c r="M617" s="3"/>
      <c r="N617" s="3"/>
      <c r="Q617" s="4" t="s">
        <v>100</v>
      </c>
      <c r="R617" s="2" t="s">
        <v>17</v>
      </c>
      <c r="S617" s="2">
        <f>H617*0.28</f>
        <v>10.89452</v>
      </c>
    </row>
    <row r="618" spans="1:19" ht="14.25" customHeight="1">
      <c r="A618" s="2" t="s">
        <v>15</v>
      </c>
      <c r="B618" s="2">
        <v>1916</v>
      </c>
      <c r="C618" s="2" t="s">
        <v>28</v>
      </c>
      <c r="G618" s="3"/>
      <c r="H618" s="3">
        <v>32.709000000000003</v>
      </c>
      <c r="I618" s="3">
        <f t="shared" si="13"/>
        <v>32.709000000000003</v>
      </c>
      <c r="J618" s="3">
        <v>0.34769355821987397</v>
      </c>
      <c r="K618" s="3">
        <v>8.2920138183296075</v>
      </c>
      <c r="L618" s="3"/>
      <c r="M618" s="3"/>
      <c r="N618" s="3"/>
      <c r="Q618" s="4" t="s">
        <v>100</v>
      </c>
      <c r="R618" s="2" t="s">
        <v>17</v>
      </c>
      <c r="S618" s="2">
        <f>H618*0.28</f>
        <v>9.1585200000000011</v>
      </c>
    </row>
    <row r="619" spans="1:19" ht="14.25" customHeight="1">
      <c r="A619" s="2" t="s">
        <v>15</v>
      </c>
      <c r="B619" s="2">
        <v>1917</v>
      </c>
      <c r="C619" s="2" t="s">
        <v>28</v>
      </c>
      <c r="G619" s="3"/>
      <c r="H619" s="3">
        <v>35.098999999999997</v>
      </c>
      <c r="I619" s="3">
        <f t="shared" si="13"/>
        <v>35.098999999999997</v>
      </c>
      <c r="J619" s="3">
        <v>2.1387929282666127E-2</v>
      </c>
      <c r="K619" s="3">
        <v>2.0715809794757161</v>
      </c>
      <c r="L619" s="3"/>
      <c r="M619" s="3"/>
      <c r="N619" s="3"/>
      <c r="Q619" s="4" t="s">
        <v>100</v>
      </c>
      <c r="R619" s="2" t="s">
        <v>17</v>
      </c>
      <c r="S619" s="2">
        <f>H619*0.28</f>
        <v>9.8277199999999993</v>
      </c>
    </row>
    <row r="620" spans="1:19" ht="14.25" customHeight="1">
      <c r="A620" s="2" t="s">
        <v>15</v>
      </c>
      <c r="B620" s="2">
        <v>1918</v>
      </c>
      <c r="C620" s="2" t="s">
        <v>28</v>
      </c>
      <c r="G620" s="3"/>
      <c r="H620" s="3">
        <v>32.72</v>
      </c>
      <c r="I620" s="3">
        <f t="shared" si="13"/>
        <v>32.72</v>
      </c>
      <c r="J620" s="3">
        <v>3.6577931314773419E-3</v>
      </c>
      <c r="K620" s="3">
        <v>1.1994513310302783</v>
      </c>
      <c r="L620" s="3"/>
      <c r="M620" s="3"/>
      <c r="N620" s="3"/>
      <c r="Q620" s="4" t="s">
        <v>100</v>
      </c>
      <c r="R620" s="2" t="s">
        <v>17</v>
      </c>
      <c r="S620" s="2">
        <f>H620*0.28</f>
        <v>9.1616</v>
      </c>
    </row>
    <row r="621" spans="1:19" ht="14.25" customHeight="1">
      <c r="A621" s="2" t="s">
        <v>15</v>
      </c>
      <c r="B621" s="2">
        <v>1919</v>
      </c>
      <c r="C621" s="2" t="s">
        <v>28</v>
      </c>
      <c r="G621" s="3"/>
      <c r="H621" s="3">
        <v>34.753</v>
      </c>
      <c r="I621" s="3">
        <f t="shared" si="13"/>
        <v>34.753</v>
      </c>
      <c r="J621" s="3">
        <v>0.37314570209307052</v>
      </c>
      <c r="K621" s="3">
        <v>5.6368116236537293</v>
      </c>
      <c r="L621" s="3"/>
      <c r="M621" s="3"/>
      <c r="N621" s="3"/>
      <c r="Q621" s="4" t="s">
        <v>99</v>
      </c>
      <c r="R621" s="2" t="s">
        <v>17</v>
      </c>
      <c r="S621" s="2">
        <f>H621*0.28</f>
        <v>9.7308400000000006</v>
      </c>
    </row>
    <row r="622" spans="1:19" ht="14.25" customHeight="1">
      <c r="A622" s="2" t="s">
        <v>15</v>
      </c>
      <c r="B622" s="2">
        <v>1920</v>
      </c>
      <c r="C622" s="2" t="s">
        <v>28</v>
      </c>
      <c r="G622" s="3"/>
      <c r="H622" s="3">
        <v>31.69</v>
      </c>
      <c r="I622" s="3">
        <f t="shared" si="13"/>
        <v>31.69</v>
      </c>
      <c r="J622" s="3">
        <v>0.15113798008534848</v>
      </c>
      <c r="K622" s="3">
        <v>9.0184413737045315</v>
      </c>
      <c r="L622" s="3"/>
      <c r="M622" s="3"/>
      <c r="N622" s="3"/>
      <c r="Q622" s="4" t="s">
        <v>99</v>
      </c>
      <c r="R622" s="2" t="s">
        <v>17</v>
      </c>
      <c r="S622" s="2">
        <f>H622*0.28</f>
        <v>8.8732000000000006</v>
      </c>
    </row>
    <row r="623" spans="1:19" ht="14.25" customHeight="1">
      <c r="A623" s="2" t="s">
        <v>15</v>
      </c>
      <c r="B623" s="2">
        <v>1921</v>
      </c>
      <c r="C623" s="2" t="s">
        <v>28</v>
      </c>
      <c r="G623" s="3"/>
      <c r="H623" s="3">
        <v>28.878</v>
      </c>
      <c r="I623" s="3">
        <f t="shared" si="13"/>
        <v>28.878</v>
      </c>
      <c r="J623" s="3" t="e">
        <v>#N/A</v>
      </c>
      <c r="K623" s="3" t="e">
        <v>#N/A</v>
      </c>
      <c r="L623" s="3"/>
      <c r="M623" s="3"/>
      <c r="N623" s="3"/>
      <c r="Q623" s="4" t="s">
        <v>99</v>
      </c>
      <c r="R623" s="2" t="s">
        <v>17</v>
      </c>
      <c r="S623" s="2">
        <f>H623*0.28</f>
        <v>8.085840000000001</v>
      </c>
    </row>
    <row r="624" spans="1:19" ht="14.25" customHeight="1">
      <c r="A624" s="2" t="s">
        <v>15</v>
      </c>
      <c r="B624" s="2">
        <v>1922</v>
      </c>
      <c r="C624" s="2" t="s">
        <v>28</v>
      </c>
      <c r="G624" s="3"/>
      <c r="H624" s="3">
        <v>30.129000000000001</v>
      </c>
      <c r="I624" s="3">
        <f t="shared" si="13"/>
        <v>30.129000000000001</v>
      </c>
      <c r="J624" s="3" t="e">
        <v>#N/A</v>
      </c>
      <c r="K624" s="3" t="e">
        <v>#N/A</v>
      </c>
      <c r="L624" s="3"/>
      <c r="M624" s="3"/>
      <c r="N624" s="3"/>
      <c r="Q624" s="4" t="s">
        <v>99</v>
      </c>
      <c r="R624" s="2" t="s">
        <v>17</v>
      </c>
      <c r="S624" s="2">
        <f>H624*0.28</f>
        <v>8.4361200000000007</v>
      </c>
    </row>
    <row r="625" spans="1:19" ht="14.25" customHeight="1">
      <c r="A625" s="2" t="s">
        <v>15</v>
      </c>
      <c r="B625" s="2">
        <v>1923</v>
      </c>
      <c r="C625" s="2" t="s">
        <v>28</v>
      </c>
      <c r="G625" s="3"/>
      <c r="H625" s="3">
        <v>27.81</v>
      </c>
      <c r="I625" s="3">
        <f t="shared" si="13"/>
        <v>27.81</v>
      </c>
      <c r="J625" s="3" t="e">
        <v>#N/A</v>
      </c>
      <c r="K625" s="3" t="e">
        <v>#N/A</v>
      </c>
      <c r="L625" s="3"/>
      <c r="M625" s="3"/>
      <c r="N625" s="3"/>
      <c r="Q625" s="4" t="s">
        <v>99</v>
      </c>
      <c r="R625" s="2" t="s">
        <v>17</v>
      </c>
      <c r="S625" s="2">
        <f>H625*0.28</f>
        <v>7.7868000000000004</v>
      </c>
    </row>
    <row r="626" spans="1:19" ht="14.25" customHeight="1">
      <c r="A626" s="2" t="s">
        <v>15</v>
      </c>
      <c r="B626" s="2">
        <v>1924</v>
      </c>
      <c r="C626" s="2" t="s">
        <v>28</v>
      </c>
      <c r="G626" s="3"/>
      <c r="H626" s="3">
        <v>30.731000000000002</v>
      </c>
      <c r="I626" s="3">
        <f t="shared" si="13"/>
        <v>30.731000000000002</v>
      </c>
      <c r="J626" s="3" t="e">
        <v>#N/A</v>
      </c>
      <c r="K626" s="3" t="e">
        <v>#N/A</v>
      </c>
      <c r="L626" s="3"/>
      <c r="M626" s="3"/>
      <c r="N626" s="3"/>
      <c r="Q626" s="4" t="s">
        <v>99</v>
      </c>
      <c r="R626" s="2" t="s">
        <v>17</v>
      </c>
      <c r="S626" s="2">
        <f>H626*0.28</f>
        <v>8.6046800000000019</v>
      </c>
    </row>
    <row r="627" spans="1:19" ht="14.25" customHeight="1">
      <c r="A627" s="2" t="s">
        <v>15</v>
      </c>
      <c r="B627" s="2">
        <v>1925</v>
      </c>
      <c r="C627" s="2" t="s">
        <v>28</v>
      </c>
      <c r="G627" s="3"/>
      <c r="H627" s="3">
        <v>39.186999999999998</v>
      </c>
      <c r="I627" s="3">
        <f t="shared" si="13"/>
        <v>39.186999999999998</v>
      </c>
      <c r="J627" s="3">
        <v>0.2948587685429791</v>
      </c>
      <c r="K627" s="3">
        <v>13.350487705750863</v>
      </c>
      <c r="L627" s="3"/>
      <c r="M627" s="3"/>
      <c r="N627" s="3"/>
      <c r="Q627" s="4" t="s">
        <v>99</v>
      </c>
      <c r="R627" s="2" t="s">
        <v>17</v>
      </c>
      <c r="S627" s="2">
        <f>H627*0.28</f>
        <v>10.97236</v>
      </c>
    </row>
    <row r="628" spans="1:19" ht="14.25" customHeight="1">
      <c r="A628" s="2" t="s">
        <v>15</v>
      </c>
      <c r="B628" s="2">
        <v>1926</v>
      </c>
      <c r="C628" s="2" t="s">
        <v>28</v>
      </c>
      <c r="G628" s="3"/>
      <c r="H628" s="3">
        <v>37.966000000000001</v>
      </c>
      <c r="I628" s="3">
        <f t="shared" si="13"/>
        <v>37.966000000000001</v>
      </c>
      <c r="J628" s="3" t="e">
        <v>#N/A</v>
      </c>
      <c r="K628" s="3" t="e">
        <v>#N/A</v>
      </c>
      <c r="L628" s="3"/>
      <c r="M628" s="3"/>
      <c r="N628" s="3"/>
      <c r="Q628" s="4" t="s">
        <v>99</v>
      </c>
      <c r="R628" s="2" t="s">
        <v>17</v>
      </c>
      <c r="S628" s="2">
        <f>H628*0.28</f>
        <v>10.630480000000002</v>
      </c>
    </row>
    <row r="629" spans="1:19" ht="14.25" customHeight="1">
      <c r="A629" s="2" t="s">
        <v>15</v>
      </c>
      <c r="B629" s="2">
        <v>1927</v>
      </c>
      <c r="C629" s="2" t="s">
        <v>28</v>
      </c>
      <c r="G629" s="3"/>
      <c r="H629" s="3">
        <v>33.514000000000003</v>
      </c>
      <c r="I629" s="3">
        <f t="shared" si="13"/>
        <v>33.514000000000003</v>
      </c>
      <c r="J629" s="3" t="e">
        <v>#N/A</v>
      </c>
      <c r="K629" s="3" t="e">
        <v>#N/A</v>
      </c>
      <c r="L629" s="3"/>
      <c r="M629" s="3"/>
      <c r="N629" s="3"/>
      <c r="Q629" s="4" t="s">
        <v>99</v>
      </c>
      <c r="R629" s="2" t="s">
        <v>17</v>
      </c>
      <c r="S629" s="2">
        <f>H629*0.28</f>
        <v>9.3839200000000016</v>
      </c>
    </row>
    <row r="630" spans="1:19" ht="14.25" customHeight="1">
      <c r="A630" s="2" t="s">
        <v>15</v>
      </c>
      <c r="B630" s="2">
        <v>1928</v>
      </c>
      <c r="C630" s="2" t="s">
        <v>28</v>
      </c>
      <c r="G630" s="3"/>
      <c r="H630" s="3">
        <v>35.326999999999998</v>
      </c>
      <c r="I630" s="3">
        <f t="shared" si="13"/>
        <v>35.326999999999998</v>
      </c>
      <c r="J630" s="3" t="e">
        <v>#N/A</v>
      </c>
      <c r="K630" s="3" t="e">
        <v>#N/A</v>
      </c>
      <c r="L630" s="3"/>
      <c r="M630" s="3"/>
      <c r="N630" s="3"/>
      <c r="Q630" s="4" t="s">
        <v>99</v>
      </c>
      <c r="R630" s="2" t="s">
        <v>17</v>
      </c>
      <c r="S630" s="2">
        <f>H630*0.28</f>
        <v>9.8915600000000001</v>
      </c>
    </row>
    <row r="631" spans="1:19" ht="14.25" customHeight="1">
      <c r="A631" s="2" t="s">
        <v>15</v>
      </c>
      <c r="B631" s="2">
        <v>1929</v>
      </c>
      <c r="C631" s="2" t="s">
        <v>28</v>
      </c>
      <c r="G631" s="3"/>
      <c r="H631" s="3">
        <v>34.582999999999998</v>
      </c>
      <c r="I631" s="3">
        <f t="shared" si="13"/>
        <v>34.582999999999998</v>
      </c>
      <c r="J631" s="3" t="e">
        <v>#N/A</v>
      </c>
      <c r="K631" s="3" t="e">
        <v>#N/A</v>
      </c>
      <c r="L631" s="3"/>
      <c r="M631" s="3"/>
      <c r="N631" s="3"/>
      <c r="Q631" s="4" t="s">
        <v>99</v>
      </c>
      <c r="R631" s="2" t="s">
        <v>17</v>
      </c>
      <c r="S631" s="2">
        <f>H631*0.28</f>
        <v>9.6832399999999996</v>
      </c>
    </row>
    <row r="632" spans="1:19" ht="14.25" customHeight="1">
      <c r="A632" s="2" t="s">
        <v>15</v>
      </c>
      <c r="B632" s="2">
        <v>1930</v>
      </c>
      <c r="C632" s="2" t="s">
        <v>28</v>
      </c>
      <c r="G632" s="3"/>
      <c r="H632" s="3">
        <v>34.780999999999999</v>
      </c>
      <c r="I632" s="3">
        <f t="shared" si="13"/>
        <v>34.780999999999999</v>
      </c>
      <c r="J632" s="3">
        <v>0.15281446860394229</v>
      </c>
      <c r="K632" s="3">
        <v>14.675015240804715</v>
      </c>
      <c r="L632" s="3"/>
      <c r="M632" s="3"/>
      <c r="N632" s="3"/>
      <c r="Q632" s="4" t="s">
        <v>99</v>
      </c>
      <c r="R632" s="2" t="s">
        <v>17</v>
      </c>
      <c r="S632" s="2">
        <f>H632*0.28</f>
        <v>9.7386800000000004</v>
      </c>
    </row>
    <row r="633" spans="1:19" ht="14.25" customHeight="1">
      <c r="A633" s="2" t="s">
        <v>15</v>
      </c>
      <c r="B633" s="2">
        <v>1931</v>
      </c>
      <c r="C633" s="2" t="s">
        <v>28</v>
      </c>
      <c r="G633" s="3"/>
      <c r="H633" s="3">
        <v>28.916</v>
      </c>
      <c r="I633" s="3">
        <f t="shared" si="13"/>
        <v>28.916</v>
      </c>
      <c r="J633" s="3" t="e">
        <v>#N/A</v>
      </c>
      <c r="K633" s="3" t="e">
        <v>#N/A</v>
      </c>
      <c r="L633" s="3"/>
      <c r="M633" s="3"/>
      <c r="N633" s="3"/>
      <c r="Q633" s="4" t="s">
        <v>99</v>
      </c>
      <c r="R633" s="2" t="s">
        <v>17</v>
      </c>
      <c r="S633" s="2">
        <f>H633*0.28</f>
        <v>8.0964800000000015</v>
      </c>
    </row>
    <row r="634" spans="1:19" ht="14.25" customHeight="1">
      <c r="A634" s="2" t="s">
        <v>15</v>
      </c>
      <c r="B634" s="2">
        <v>1932</v>
      </c>
      <c r="C634" s="2" t="s">
        <v>28</v>
      </c>
      <c r="G634" s="3"/>
      <c r="H634" s="3">
        <v>27.469000000000001</v>
      </c>
      <c r="I634" s="3">
        <f t="shared" si="13"/>
        <v>27.469000000000001</v>
      </c>
      <c r="J634" s="3" t="e">
        <v>#N/A</v>
      </c>
      <c r="K634" s="3" t="e">
        <v>#N/A</v>
      </c>
      <c r="L634" s="3"/>
      <c r="M634" s="3"/>
      <c r="N634" s="3"/>
      <c r="Q634" s="4" t="s">
        <v>99</v>
      </c>
      <c r="R634" s="2" t="s">
        <v>17</v>
      </c>
      <c r="S634" s="2">
        <f>H634*0.28</f>
        <v>7.691320000000001</v>
      </c>
    </row>
    <row r="635" spans="1:19" ht="14.25" customHeight="1">
      <c r="A635" s="2" t="s">
        <v>15</v>
      </c>
      <c r="B635" s="2">
        <v>1933</v>
      </c>
      <c r="C635" s="2" t="s">
        <v>28</v>
      </c>
      <c r="G635" s="3"/>
      <c r="H635" s="3">
        <v>27.053000000000001</v>
      </c>
      <c r="I635" s="3">
        <f t="shared" si="13"/>
        <v>27.053000000000001</v>
      </c>
      <c r="J635" s="3" t="e">
        <v>#N/A</v>
      </c>
      <c r="K635" s="3" t="e">
        <v>#N/A</v>
      </c>
      <c r="L635" s="3"/>
      <c r="M635" s="3"/>
      <c r="N635" s="3"/>
      <c r="Q635" s="4" t="s">
        <v>99</v>
      </c>
      <c r="R635" s="2" t="s">
        <v>17</v>
      </c>
      <c r="S635" s="2">
        <f>H635*0.28</f>
        <v>7.5748400000000009</v>
      </c>
    </row>
    <row r="636" spans="1:19" ht="14.25" customHeight="1">
      <c r="A636" s="2" t="s">
        <v>15</v>
      </c>
      <c r="B636" s="2">
        <v>1934</v>
      </c>
      <c r="C636" s="2" t="s">
        <v>28</v>
      </c>
      <c r="G636" s="3"/>
      <c r="H636" s="3">
        <v>28.494</v>
      </c>
      <c r="I636" s="3">
        <f t="shared" si="13"/>
        <v>28.494</v>
      </c>
      <c r="J636" s="3" t="e">
        <v>#N/A</v>
      </c>
      <c r="K636" s="3" t="e">
        <v>#N/A</v>
      </c>
      <c r="L636" s="3"/>
      <c r="M636" s="3"/>
      <c r="N636" s="3"/>
      <c r="Q636" s="4" t="s">
        <v>99</v>
      </c>
      <c r="R636" s="2" t="s">
        <v>17</v>
      </c>
      <c r="S636" s="2">
        <f>H636*0.28</f>
        <v>7.978320000000001</v>
      </c>
    </row>
    <row r="637" spans="1:19" ht="14.25" customHeight="1">
      <c r="A637" s="2" t="s">
        <v>15</v>
      </c>
      <c r="B637" s="2">
        <v>1935</v>
      </c>
      <c r="C637" s="2" t="s">
        <v>28</v>
      </c>
      <c r="G637" s="3"/>
      <c r="H637" s="3">
        <v>27.363</v>
      </c>
      <c r="I637" s="3">
        <f t="shared" si="13"/>
        <v>27.363</v>
      </c>
      <c r="J637" s="3">
        <v>0.52286120707173334</v>
      </c>
      <c r="K637" s="3">
        <v>14.170188985978459</v>
      </c>
      <c r="L637" s="3"/>
      <c r="M637" s="3"/>
      <c r="N637" s="3"/>
      <c r="Q637" s="4" t="s">
        <v>99</v>
      </c>
      <c r="R637" s="2" t="s">
        <v>17</v>
      </c>
      <c r="S637" s="2">
        <f>H637*0.28</f>
        <v>7.6616400000000002</v>
      </c>
    </row>
    <row r="638" spans="1:19" ht="14.25" customHeight="1">
      <c r="A638" s="2" t="s">
        <v>15</v>
      </c>
      <c r="B638" s="2">
        <v>1936</v>
      </c>
      <c r="C638" s="2" t="s">
        <v>28</v>
      </c>
      <c r="G638" s="3"/>
      <c r="H638" s="3">
        <v>26.366</v>
      </c>
      <c r="I638" s="3">
        <f t="shared" si="13"/>
        <v>26.366</v>
      </c>
      <c r="J638" s="3" t="e">
        <v>#N/A</v>
      </c>
      <c r="K638" s="3" t="e">
        <v>#N/A</v>
      </c>
      <c r="L638" s="3"/>
      <c r="M638" s="3"/>
      <c r="N638" s="3"/>
      <c r="Q638" s="4" t="s">
        <v>99</v>
      </c>
      <c r="R638" s="2" t="s">
        <v>17</v>
      </c>
      <c r="S638" s="2">
        <f>H638*0.28</f>
        <v>7.382480000000001</v>
      </c>
    </row>
    <row r="639" spans="1:19" ht="14.25" customHeight="1">
      <c r="A639" s="2" t="s">
        <v>15</v>
      </c>
      <c r="B639" s="2">
        <v>1937</v>
      </c>
      <c r="C639" s="2" t="s">
        <v>28</v>
      </c>
      <c r="G639" s="3"/>
      <c r="H639" s="3">
        <v>29.516999999999999</v>
      </c>
      <c r="I639" s="3">
        <f t="shared" si="13"/>
        <v>29.516999999999999</v>
      </c>
      <c r="J639" s="3" t="e">
        <v>#N/A</v>
      </c>
      <c r="K639" s="3" t="e">
        <v>#N/A</v>
      </c>
      <c r="L639" s="3"/>
      <c r="M639" s="3"/>
      <c r="N639" s="3"/>
      <c r="Q639" s="4" t="s">
        <v>99</v>
      </c>
      <c r="R639" s="2" t="s">
        <v>17</v>
      </c>
      <c r="S639" s="2">
        <f>H639*0.28</f>
        <v>8.2647600000000008</v>
      </c>
    </row>
    <row r="640" spans="1:19" ht="14.25" customHeight="1">
      <c r="A640" s="2" t="s">
        <v>15</v>
      </c>
      <c r="B640" s="2">
        <v>1938</v>
      </c>
      <c r="C640" s="2" t="s">
        <v>28</v>
      </c>
      <c r="G640" s="3"/>
      <c r="H640" s="3">
        <v>24.658000000000001</v>
      </c>
      <c r="I640" s="3">
        <f t="shared" si="13"/>
        <v>24.658000000000001</v>
      </c>
      <c r="J640" s="3" t="e">
        <v>#N/A</v>
      </c>
      <c r="K640" s="3" t="e">
        <v>#N/A</v>
      </c>
      <c r="L640" s="3"/>
      <c r="M640" s="3"/>
      <c r="N640" s="3"/>
      <c r="Q640" s="4" t="s">
        <v>99</v>
      </c>
      <c r="R640" s="2" t="s">
        <v>17</v>
      </c>
      <c r="S640" s="2">
        <f>H640*0.28</f>
        <v>6.9042400000000006</v>
      </c>
    </row>
    <row r="641" spans="1:20" ht="14.25" customHeight="1">
      <c r="A641" s="2" t="s">
        <v>15</v>
      </c>
      <c r="B641" s="2">
        <v>1939</v>
      </c>
      <c r="C641" s="2" t="s">
        <v>28</v>
      </c>
      <c r="G641" s="3"/>
      <c r="H641" s="3">
        <v>26.271999999999998</v>
      </c>
      <c r="I641" s="3">
        <f t="shared" si="13"/>
        <v>26.271999999999998</v>
      </c>
      <c r="J641" s="3">
        <v>0.20351554562080879</v>
      </c>
      <c r="K641" s="3">
        <v>11.774588498272708</v>
      </c>
      <c r="L641" s="3"/>
      <c r="M641" s="3"/>
      <c r="N641" s="3"/>
      <c r="Q641" s="4" t="s">
        <v>100</v>
      </c>
      <c r="R641" s="2" t="s">
        <v>17</v>
      </c>
      <c r="S641" s="2">
        <f>H641*0.28</f>
        <v>7.35616</v>
      </c>
    </row>
    <row r="642" spans="1:20" ht="14.25" customHeight="1">
      <c r="A642" s="2" t="s">
        <v>15</v>
      </c>
      <c r="B642" s="2">
        <v>1940</v>
      </c>
      <c r="C642" s="2" t="s">
        <v>28</v>
      </c>
      <c r="G642" s="3"/>
      <c r="H642" s="3">
        <v>21.114999999999998</v>
      </c>
      <c r="I642" s="3">
        <f t="shared" si="13"/>
        <v>21.114999999999998</v>
      </c>
      <c r="J642" s="3">
        <v>4.6230440967283071E-2</v>
      </c>
      <c r="K642" s="3">
        <v>4.0080776264986788</v>
      </c>
      <c r="L642" s="3"/>
      <c r="M642" s="3"/>
      <c r="N642" s="3"/>
      <c r="Q642" s="4" t="s">
        <v>100</v>
      </c>
      <c r="R642" s="2" t="s">
        <v>17</v>
      </c>
      <c r="S642" s="2">
        <f>H642*0.28</f>
        <v>5.9122000000000003</v>
      </c>
    </row>
    <row r="643" spans="1:20" ht="14.25" customHeight="1">
      <c r="A643" s="2" t="s">
        <v>15</v>
      </c>
      <c r="B643" s="2">
        <v>1941</v>
      </c>
      <c r="C643" s="2" t="s">
        <v>28</v>
      </c>
      <c r="G643" s="3"/>
      <c r="H643" s="3">
        <v>22.495000000000001</v>
      </c>
      <c r="I643" s="3">
        <f t="shared" si="13"/>
        <v>22.495000000000001</v>
      </c>
      <c r="J643" s="3" t="e">
        <v>#N/A</v>
      </c>
      <c r="K643" s="3" t="e">
        <v>#N/A</v>
      </c>
      <c r="L643" s="3"/>
      <c r="M643" s="3"/>
      <c r="N643" s="3"/>
      <c r="Q643" s="4" t="s">
        <v>100</v>
      </c>
      <c r="R643" s="2" t="s">
        <v>17</v>
      </c>
      <c r="S643" s="2">
        <f>H643*0.28</f>
        <v>6.2986000000000013</v>
      </c>
    </row>
    <row r="644" spans="1:20" ht="14.25" customHeight="1">
      <c r="A644" s="2" t="s">
        <v>15</v>
      </c>
      <c r="B644" s="2">
        <v>1942</v>
      </c>
      <c r="C644" s="2" t="s">
        <v>28</v>
      </c>
      <c r="G644" s="3"/>
      <c r="H644" s="3">
        <v>22.818000000000001</v>
      </c>
      <c r="I644" s="3">
        <f t="shared" si="13"/>
        <v>22.818000000000001</v>
      </c>
      <c r="J644" s="3">
        <v>3.0481609428977848E-4</v>
      </c>
      <c r="K644" s="3">
        <v>5.7681873602926235</v>
      </c>
      <c r="L644" s="3"/>
      <c r="M644" s="3"/>
      <c r="N644" s="3"/>
      <c r="Q644" s="4" t="s">
        <v>100</v>
      </c>
      <c r="R644" s="2" t="s">
        <v>17</v>
      </c>
      <c r="S644" s="2">
        <f>H644*0.28</f>
        <v>6.3890400000000014</v>
      </c>
    </row>
    <row r="645" spans="1:20" ht="14.25" customHeight="1">
      <c r="A645" s="2" t="s">
        <v>15</v>
      </c>
      <c r="B645" s="2">
        <v>1943</v>
      </c>
      <c r="C645" s="2" t="s">
        <v>28</v>
      </c>
      <c r="G645" s="3"/>
      <c r="H645" s="3">
        <v>21.495999999999999</v>
      </c>
      <c r="I645" s="3">
        <f t="shared" si="13"/>
        <v>21.495999999999999</v>
      </c>
      <c r="J645" s="3" t="e">
        <v>#N/A</v>
      </c>
      <c r="K645" s="3" t="e">
        <v>#N/A</v>
      </c>
      <c r="L645" s="3"/>
      <c r="M645" s="3"/>
      <c r="N645" s="3"/>
      <c r="Q645" s="4" t="s">
        <v>100</v>
      </c>
      <c r="R645" s="2" t="s">
        <v>17</v>
      </c>
      <c r="S645" s="2">
        <f>H645*0.28</f>
        <v>6.0188800000000002</v>
      </c>
    </row>
    <row r="646" spans="1:20" ht="14.25" customHeight="1">
      <c r="A646" s="2" t="s">
        <v>15</v>
      </c>
      <c r="B646" s="2">
        <v>1944</v>
      </c>
      <c r="C646" s="2" t="s">
        <v>28</v>
      </c>
      <c r="G646" s="3"/>
      <c r="H646" s="3">
        <v>19.895</v>
      </c>
      <c r="I646" s="3">
        <f t="shared" si="13"/>
        <v>19.895</v>
      </c>
      <c r="J646" s="3">
        <v>0</v>
      </c>
      <c r="K646" s="3">
        <v>4.3028855923592761</v>
      </c>
      <c r="L646" s="3"/>
      <c r="M646" s="3"/>
      <c r="N646" s="3"/>
      <c r="Q646" s="4" t="s">
        <v>100</v>
      </c>
      <c r="R646" s="2" t="s">
        <v>17</v>
      </c>
      <c r="S646" s="2">
        <f>H646*0.28</f>
        <v>5.5706000000000007</v>
      </c>
    </row>
    <row r="647" spans="1:20" ht="14.25" customHeight="1">
      <c r="A647" s="2" t="s">
        <v>15</v>
      </c>
      <c r="B647" s="2">
        <v>1945</v>
      </c>
      <c r="C647" s="2" t="s">
        <v>28</v>
      </c>
      <c r="G647" s="3"/>
      <c r="H647" s="3">
        <v>20.87</v>
      </c>
      <c r="I647" s="3">
        <f t="shared" si="13"/>
        <v>20.87</v>
      </c>
      <c r="J647" s="3" t="e">
        <v>#N/A</v>
      </c>
      <c r="K647" s="3" t="e">
        <v>#N/A</v>
      </c>
      <c r="L647" s="3"/>
      <c r="M647" s="3"/>
      <c r="N647" s="3"/>
      <c r="Q647" s="4" t="s">
        <v>100</v>
      </c>
      <c r="R647" s="2" t="s">
        <v>17</v>
      </c>
      <c r="S647" s="2">
        <f>H647*0.28</f>
        <v>5.8436000000000012</v>
      </c>
    </row>
    <row r="648" spans="1:20" ht="14.25" customHeight="1">
      <c r="A648" s="2" t="s">
        <v>15</v>
      </c>
      <c r="B648" s="2">
        <v>1946</v>
      </c>
      <c r="C648" s="2" t="s">
        <v>28</v>
      </c>
      <c r="G648" s="3"/>
      <c r="H648" s="3">
        <v>26.256</v>
      </c>
      <c r="I648" s="3">
        <f t="shared" si="13"/>
        <v>26.256</v>
      </c>
      <c r="J648" s="3">
        <v>1.98130461288356E-3</v>
      </c>
      <c r="K648" s="3">
        <v>4.0719365982523872</v>
      </c>
      <c r="L648" s="3"/>
      <c r="M648" s="3"/>
      <c r="N648" s="3"/>
      <c r="Q648" s="4" t="s">
        <v>99</v>
      </c>
      <c r="R648" s="2" t="s">
        <v>17</v>
      </c>
      <c r="S648" s="2">
        <f>H648*0.28</f>
        <v>7.3516800000000009</v>
      </c>
    </row>
    <row r="649" spans="1:20" ht="14.25" customHeight="1">
      <c r="A649" s="2" t="s">
        <v>15</v>
      </c>
      <c r="B649" s="2">
        <v>1947</v>
      </c>
      <c r="C649" s="2" t="s">
        <v>28</v>
      </c>
      <c r="G649" s="3"/>
      <c r="H649" s="3">
        <v>26.664999999999999</v>
      </c>
      <c r="I649" s="3">
        <f t="shared" si="13"/>
        <v>26.664999999999999</v>
      </c>
      <c r="J649" s="3" t="e">
        <v>#N/A</v>
      </c>
      <c r="K649" s="3" t="e">
        <v>#N/A</v>
      </c>
      <c r="L649" s="3"/>
      <c r="M649" s="3"/>
      <c r="N649" s="3"/>
      <c r="Q649" s="4" t="s">
        <v>99</v>
      </c>
      <c r="R649" s="2" t="s">
        <v>17</v>
      </c>
      <c r="S649" s="2">
        <f>H649*0.28</f>
        <v>7.4662000000000006</v>
      </c>
    </row>
    <row r="650" spans="1:20" ht="14.25" customHeight="1">
      <c r="A650" s="2" t="s">
        <v>15</v>
      </c>
      <c r="B650" s="2">
        <v>1948</v>
      </c>
      <c r="C650" s="2" t="s">
        <v>28</v>
      </c>
      <c r="G650" s="3"/>
      <c r="H650" s="3">
        <v>26.654</v>
      </c>
      <c r="I650" s="3">
        <f t="shared" si="13"/>
        <v>26.654</v>
      </c>
      <c r="J650" s="3" t="e">
        <v>#N/A</v>
      </c>
      <c r="K650" s="3" t="e">
        <v>#N/A</v>
      </c>
      <c r="L650" s="3"/>
      <c r="M650" s="3"/>
      <c r="N650" s="3"/>
      <c r="Q650" s="4" t="s">
        <v>99</v>
      </c>
      <c r="R650" s="2" t="s">
        <v>17</v>
      </c>
      <c r="S650" s="2">
        <f>H650*0.28</f>
        <v>7.4631200000000009</v>
      </c>
    </row>
    <row r="651" spans="1:20" ht="14.25" customHeight="1">
      <c r="A651" s="2" t="s">
        <v>15</v>
      </c>
      <c r="B651" s="2">
        <v>1949</v>
      </c>
      <c r="C651" s="2" t="s">
        <v>28</v>
      </c>
      <c r="G651" s="3"/>
      <c r="H651" s="3">
        <v>22.547999999999998</v>
      </c>
      <c r="I651" s="3">
        <f t="shared" si="13"/>
        <v>22.547999999999998</v>
      </c>
      <c r="J651" s="3" t="e">
        <v>#N/A</v>
      </c>
      <c r="K651" s="3" t="e">
        <v>#N/A</v>
      </c>
      <c r="L651" s="3"/>
      <c r="M651" s="3"/>
      <c r="N651" s="3"/>
      <c r="Q651" s="4" t="s">
        <v>99</v>
      </c>
      <c r="R651" s="2" t="s">
        <v>17</v>
      </c>
      <c r="S651" s="2">
        <f>H651*0.28</f>
        <v>6.3134399999999999</v>
      </c>
    </row>
    <row r="652" spans="1:20" ht="14.25" customHeight="1">
      <c r="A652" s="2" t="s">
        <v>15</v>
      </c>
      <c r="B652" s="2">
        <v>1950</v>
      </c>
      <c r="C652" s="2" t="s">
        <v>28</v>
      </c>
      <c r="G652" s="3"/>
      <c r="H652" s="3">
        <v>18.71</v>
      </c>
      <c r="I652" s="3">
        <f t="shared" si="13"/>
        <v>18.71</v>
      </c>
      <c r="J652" s="3">
        <v>0.17410079252184513</v>
      </c>
      <c r="K652" s="3">
        <v>5.5801666327982113</v>
      </c>
      <c r="L652" s="4">
        <v>0</v>
      </c>
      <c r="M652" s="3"/>
      <c r="N652" s="3"/>
      <c r="Q652" s="4" t="s">
        <v>99</v>
      </c>
      <c r="R652" s="2" t="s">
        <v>17</v>
      </c>
      <c r="S652" s="2">
        <f>H652*0.28</f>
        <v>5.2388000000000003</v>
      </c>
      <c r="T652" s="2">
        <f>L652*0.28</f>
        <v>0</v>
      </c>
    </row>
    <row r="653" spans="1:20" ht="14.25" customHeight="1">
      <c r="A653" s="2" t="s">
        <v>15</v>
      </c>
      <c r="B653" s="2">
        <v>1951</v>
      </c>
      <c r="C653" s="2" t="s">
        <v>28</v>
      </c>
      <c r="G653" s="3"/>
      <c r="H653" s="3">
        <v>26.286999999999999</v>
      </c>
      <c r="I653" s="3">
        <f t="shared" si="13"/>
        <v>26.286999999999999</v>
      </c>
      <c r="J653" s="3" t="e">
        <v>#N/A</v>
      </c>
      <c r="K653" s="3" t="e">
        <v>#N/A</v>
      </c>
      <c r="L653" s="4">
        <v>0</v>
      </c>
      <c r="M653" s="3"/>
      <c r="N653" s="3"/>
      <c r="Q653" s="4" t="s">
        <v>99</v>
      </c>
      <c r="R653" s="2" t="s">
        <v>17</v>
      </c>
      <c r="S653" s="2">
        <f>H653*0.28</f>
        <v>7.36036</v>
      </c>
      <c r="T653" s="2">
        <f>L653*0.28</f>
        <v>0</v>
      </c>
    </row>
    <row r="654" spans="1:20" ht="14.25" customHeight="1">
      <c r="A654" s="2" t="s">
        <v>15</v>
      </c>
      <c r="B654" s="2">
        <v>1952</v>
      </c>
      <c r="C654" s="2" t="s">
        <v>28</v>
      </c>
      <c r="G654" s="3"/>
      <c r="H654" s="3">
        <v>26.213000000000001</v>
      </c>
      <c r="I654" s="3">
        <f t="shared" si="13"/>
        <v>26.213000000000001</v>
      </c>
      <c r="J654" s="3" t="e">
        <v>#N/A</v>
      </c>
      <c r="K654" s="3" t="e">
        <v>#N/A</v>
      </c>
      <c r="L654" s="4">
        <v>0</v>
      </c>
      <c r="M654" s="3"/>
      <c r="N654" s="3"/>
      <c r="Q654" s="4" t="s">
        <v>99</v>
      </c>
      <c r="R654" s="2" t="s">
        <v>17</v>
      </c>
      <c r="S654" s="2">
        <f>H654*0.28</f>
        <v>7.3396400000000011</v>
      </c>
      <c r="T654" s="2">
        <f>L654*0.28</f>
        <v>0</v>
      </c>
    </row>
    <row r="655" spans="1:20" ht="14.25" customHeight="1">
      <c r="A655" s="2" t="s">
        <v>15</v>
      </c>
      <c r="B655" s="2">
        <v>1953</v>
      </c>
      <c r="C655" s="2" t="s">
        <v>28</v>
      </c>
      <c r="G655" s="3"/>
      <c r="H655" s="3">
        <v>26.064</v>
      </c>
      <c r="I655" s="3">
        <f t="shared" si="13"/>
        <v>26.064</v>
      </c>
      <c r="J655" s="3" t="e">
        <v>#N/A</v>
      </c>
      <c r="K655" s="3" t="e">
        <v>#N/A</v>
      </c>
      <c r="L655" s="4">
        <v>0</v>
      </c>
      <c r="M655" s="3"/>
      <c r="N655" s="3"/>
      <c r="Q655" s="4" t="s">
        <v>99</v>
      </c>
      <c r="R655" s="2" t="s">
        <v>17</v>
      </c>
      <c r="S655" s="2">
        <f>H655*0.28</f>
        <v>7.2979200000000004</v>
      </c>
      <c r="T655" s="2">
        <f>L655*0.28</f>
        <v>0</v>
      </c>
    </row>
    <row r="656" spans="1:20" ht="14.25" customHeight="1">
      <c r="A656" s="2" t="s">
        <v>15</v>
      </c>
      <c r="B656" s="2">
        <v>1954</v>
      </c>
      <c r="C656" s="2" t="s">
        <v>28</v>
      </c>
      <c r="G656" s="3"/>
      <c r="H656" s="3">
        <v>23.88</v>
      </c>
      <c r="I656" s="3">
        <f t="shared" si="13"/>
        <v>23.88</v>
      </c>
      <c r="J656" s="3" t="e">
        <v>#N/A</v>
      </c>
      <c r="K656" s="3" t="e">
        <v>#N/A</v>
      </c>
      <c r="L656" s="4">
        <v>0</v>
      </c>
      <c r="M656" s="3"/>
      <c r="N656" s="3"/>
      <c r="Q656" s="4" t="s">
        <v>99</v>
      </c>
      <c r="R656" s="2" t="s">
        <v>17</v>
      </c>
      <c r="S656" s="2">
        <f>H656*0.28</f>
        <v>6.6864000000000008</v>
      </c>
      <c r="T656" s="2">
        <f>L656*0.28</f>
        <v>0</v>
      </c>
    </row>
    <row r="657" spans="1:20" ht="14.25" customHeight="1">
      <c r="A657" s="2" t="s">
        <v>15</v>
      </c>
      <c r="B657" s="2">
        <v>1955</v>
      </c>
      <c r="C657" s="2" t="s">
        <v>28</v>
      </c>
      <c r="G657" s="3"/>
      <c r="H657" s="3">
        <v>26.561</v>
      </c>
      <c r="I657" s="3">
        <f t="shared" si="13"/>
        <v>26.561</v>
      </c>
      <c r="J657" s="3">
        <v>1.0547144889250151</v>
      </c>
      <c r="K657" s="3">
        <v>11.05578134525503</v>
      </c>
      <c r="L657" s="4">
        <v>0</v>
      </c>
      <c r="M657" s="3"/>
      <c r="N657" s="3"/>
      <c r="Q657" s="4" t="s">
        <v>99</v>
      </c>
      <c r="R657" s="2" t="s">
        <v>17</v>
      </c>
      <c r="S657" s="2">
        <f>H657*0.28</f>
        <v>7.4370800000000008</v>
      </c>
      <c r="T657" s="2">
        <f>L657*0.28</f>
        <v>0</v>
      </c>
    </row>
    <row r="658" spans="1:20" ht="14.25" customHeight="1">
      <c r="A658" s="2" t="s">
        <v>15</v>
      </c>
      <c r="B658" s="2">
        <v>1956</v>
      </c>
      <c r="C658" s="2" t="s">
        <v>28</v>
      </c>
      <c r="G658" s="3"/>
      <c r="H658" s="3">
        <v>24.399000000000001</v>
      </c>
      <c r="I658" s="3">
        <f t="shared" si="13"/>
        <v>24.399000000000001</v>
      </c>
      <c r="J658" s="3" t="e">
        <v>#N/A</v>
      </c>
      <c r="K658" s="3" t="e">
        <v>#N/A</v>
      </c>
      <c r="L658" s="4">
        <v>0</v>
      </c>
      <c r="M658" s="3"/>
      <c r="N658" s="3"/>
      <c r="Q658" s="4" t="s">
        <v>99</v>
      </c>
      <c r="R658" s="2" t="s">
        <v>17</v>
      </c>
      <c r="S658" s="2">
        <f>H658*0.28</f>
        <v>6.8317200000000007</v>
      </c>
      <c r="T658" s="2">
        <f>L658*0.28</f>
        <v>0</v>
      </c>
    </row>
    <row r="659" spans="1:20" ht="14.25" customHeight="1">
      <c r="A659" s="2" t="s">
        <v>15</v>
      </c>
      <c r="B659" s="2">
        <v>1957</v>
      </c>
      <c r="C659" s="2" t="s">
        <v>28</v>
      </c>
      <c r="G659" s="3"/>
      <c r="H659" s="3">
        <v>25.704000000000001</v>
      </c>
      <c r="I659" s="3">
        <f t="shared" si="13"/>
        <v>25.704000000000001</v>
      </c>
      <c r="J659" s="3" t="e">
        <v>#N/A</v>
      </c>
      <c r="K659" s="3" t="e">
        <v>#N/A</v>
      </c>
      <c r="L659" s="4">
        <v>0</v>
      </c>
      <c r="M659" s="3"/>
      <c r="N659" s="3"/>
      <c r="Q659" s="4" t="s">
        <v>99</v>
      </c>
      <c r="R659" s="2" t="s">
        <v>17</v>
      </c>
      <c r="S659" s="2">
        <f>H659*0.28</f>
        <v>7.1971200000000009</v>
      </c>
      <c r="T659" s="2">
        <f>L659*0.28</f>
        <v>0</v>
      </c>
    </row>
    <row r="660" spans="1:20" ht="14.25" customHeight="1">
      <c r="A660" s="2" t="s">
        <v>15</v>
      </c>
      <c r="B660" s="2">
        <v>1958</v>
      </c>
      <c r="C660" s="2" t="s">
        <v>28</v>
      </c>
      <c r="G660" s="3"/>
      <c r="H660" s="3">
        <v>23.577000000000002</v>
      </c>
      <c r="I660" s="3">
        <f t="shared" si="13"/>
        <v>23.577000000000002</v>
      </c>
      <c r="J660" s="3" t="e">
        <v>#N/A</v>
      </c>
      <c r="K660" s="3" t="e">
        <v>#N/A</v>
      </c>
      <c r="L660" s="4">
        <v>0</v>
      </c>
      <c r="M660" s="3"/>
      <c r="N660" s="3"/>
      <c r="Q660" s="4" t="s">
        <v>99</v>
      </c>
      <c r="R660" s="2" t="s">
        <v>17</v>
      </c>
      <c r="S660" s="2">
        <f>H660*0.28</f>
        <v>6.601560000000001</v>
      </c>
      <c r="T660" s="2">
        <f>L660*0.28</f>
        <v>0</v>
      </c>
    </row>
    <row r="661" spans="1:20" ht="14.25" customHeight="1">
      <c r="A661" s="2" t="s">
        <v>15</v>
      </c>
      <c r="B661" s="2">
        <v>1959</v>
      </c>
      <c r="C661" s="2" t="s">
        <v>28</v>
      </c>
      <c r="G661" s="3"/>
      <c r="H661" s="3">
        <v>25.123999999999999</v>
      </c>
      <c r="I661" s="3">
        <f t="shared" si="13"/>
        <v>25.123999999999999</v>
      </c>
      <c r="J661" s="3" t="e">
        <v>#N/A</v>
      </c>
      <c r="K661" s="3" t="e">
        <v>#N/A</v>
      </c>
      <c r="L661" s="4">
        <v>0</v>
      </c>
      <c r="M661" s="3"/>
      <c r="N661" s="3"/>
      <c r="Q661" s="4" t="s">
        <v>99</v>
      </c>
      <c r="R661" s="2" t="s">
        <v>17</v>
      </c>
      <c r="S661" s="2">
        <f>H661*0.28</f>
        <v>7.0347200000000001</v>
      </c>
      <c r="T661" s="2">
        <f>L661*0.28</f>
        <v>0</v>
      </c>
    </row>
    <row r="662" spans="1:20" ht="14.25" customHeight="1">
      <c r="A662" s="2" t="s">
        <v>15</v>
      </c>
      <c r="B662" s="2">
        <v>1960</v>
      </c>
      <c r="C662" s="2" t="s">
        <v>28</v>
      </c>
      <c r="G662" s="3"/>
      <c r="H662" s="3">
        <v>28.052</v>
      </c>
      <c r="I662" s="3">
        <f t="shared" si="13"/>
        <v>28.052</v>
      </c>
      <c r="J662" s="3">
        <v>1.0403881324933957</v>
      </c>
      <c r="K662" s="3">
        <v>7.5967791099370041</v>
      </c>
      <c r="L662" s="4">
        <v>0</v>
      </c>
      <c r="M662" s="3"/>
      <c r="N662" s="3"/>
      <c r="Q662" s="4" t="s">
        <v>99</v>
      </c>
      <c r="R662" s="2" t="s">
        <v>17</v>
      </c>
      <c r="S662" s="2">
        <f>H662*0.28</f>
        <v>7.8545600000000002</v>
      </c>
      <c r="T662" s="2">
        <f>L662*0.28</f>
        <v>0</v>
      </c>
    </row>
    <row r="663" spans="1:20" ht="14.25" customHeight="1">
      <c r="A663" s="2" t="s">
        <v>15</v>
      </c>
      <c r="B663" s="2">
        <v>1961</v>
      </c>
      <c r="C663" s="2" t="s">
        <v>28</v>
      </c>
      <c r="G663" s="3"/>
      <c r="H663" s="3">
        <v>29.067</v>
      </c>
      <c r="I663" s="3">
        <f t="shared" si="13"/>
        <v>29.067</v>
      </c>
      <c r="J663" s="3" t="e">
        <v>#N/A</v>
      </c>
      <c r="K663" s="3" t="e">
        <v>#N/A</v>
      </c>
      <c r="L663" s="4">
        <v>0.1</v>
      </c>
      <c r="M663" s="3"/>
      <c r="N663" s="3"/>
      <c r="Q663" s="4" t="s">
        <v>99</v>
      </c>
      <c r="R663" s="2" t="s">
        <v>17</v>
      </c>
      <c r="S663" s="2">
        <f>H663*0.28</f>
        <v>8.1387600000000013</v>
      </c>
      <c r="T663" s="2">
        <f>L663*0.28</f>
        <v>2.8000000000000004E-2</v>
      </c>
    </row>
    <row r="664" spans="1:20" ht="14.25" customHeight="1">
      <c r="A664" s="2" t="s">
        <v>15</v>
      </c>
      <c r="B664" s="2">
        <v>1962</v>
      </c>
      <c r="C664" s="2" t="s">
        <v>28</v>
      </c>
      <c r="G664" s="3"/>
      <c r="H664" s="3">
        <v>30.024385287543179</v>
      </c>
      <c r="I664" s="3">
        <f t="shared" si="13"/>
        <v>30.024385287543179</v>
      </c>
      <c r="J664" s="3" t="e">
        <v>#N/A</v>
      </c>
      <c r="K664" s="3" t="e">
        <v>#N/A</v>
      </c>
      <c r="L664" s="4">
        <v>0</v>
      </c>
      <c r="M664" s="3"/>
      <c r="N664" s="3"/>
      <c r="Q664" s="4" t="s">
        <v>99</v>
      </c>
      <c r="R664" s="2" t="s">
        <v>17</v>
      </c>
      <c r="S664" s="2">
        <f>H664*0.28</f>
        <v>8.4068278805120915</v>
      </c>
      <c r="T664" s="2">
        <f>L664*0.28</f>
        <v>0</v>
      </c>
    </row>
    <row r="665" spans="1:20" ht="14.25" customHeight="1">
      <c r="A665" s="2" t="s">
        <v>15</v>
      </c>
      <c r="B665" s="2">
        <v>1963</v>
      </c>
      <c r="C665" s="2" t="s">
        <v>28</v>
      </c>
      <c r="G665" s="3"/>
      <c r="H665" s="3">
        <v>28.246291404186142</v>
      </c>
      <c r="I665" s="3">
        <f t="shared" si="13"/>
        <v>28.246291404186142</v>
      </c>
      <c r="J665" s="3" t="e">
        <v>#N/A</v>
      </c>
      <c r="K665" s="3" t="e">
        <v>#N/A</v>
      </c>
      <c r="L665" s="4">
        <v>0</v>
      </c>
      <c r="M665" s="3"/>
      <c r="N665" s="3"/>
      <c r="Q665" s="4" t="s">
        <v>99</v>
      </c>
      <c r="R665" s="2" t="s">
        <v>17</v>
      </c>
      <c r="S665" s="2">
        <f>H665*0.28</f>
        <v>7.90896159317212</v>
      </c>
      <c r="T665" s="2">
        <f>L665*0.28</f>
        <v>0</v>
      </c>
    </row>
    <row r="666" spans="1:20" ht="14.25" customHeight="1">
      <c r="A666" s="2" t="s">
        <v>15</v>
      </c>
      <c r="B666" s="2">
        <v>1964</v>
      </c>
      <c r="C666" s="2" t="s">
        <v>28</v>
      </c>
      <c r="G666" s="3"/>
      <c r="H666" s="3">
        <v>28.398699451331026</v>
      </c>
      <c r="I666" s="3">
        <f t="shared" si="13"/>
        <v>28.398699451331026</v>
      </c>
      <c r="J666" s="3" t="e">
        <v>#N/A</v>
      </c>
      <c r="K666" s="3" t="e">
        <v>#N/A</v>
      </c>
      <c r="L666" s="4">
        <v>0.1</v>
      </c>
      <c r="M666" s="3"/>
      <c r="N666" s="3"/>
      <c r="Q666" s="4" t="s">
        <v>99</v>
      </c>
      <c r="R666" s="2" t="s">
        <v>17</v>
      </c>
      <c r="S666" s="2">
        <f>H666*0.28</f>
        <v>7.9516358463726879</v>
      </c>
      <c r="T666" s="2">
        <f>L666*0.28</f>
        <v>2.8000000000000004E-2</v>
      </c>
    </row>
    <row r="667" spans="1:20" ht="14.25" customHeight="1">
      <c r="A667" s="2" t="s">
        <v>15</v>
      </c>
      <c r="B667" s="2">
        <v>1965</v>
      </c>
      <c r="C667" s="2" t="s">
        <v>28</v>
      </c>
      <c r="G667" s="3"/>
      <c r="H667" s="3">
        <v>27.789067262751473</v>
      </c>
      <c r="I667" s="3">
        <f t="shared" si="13"/>
        <v>27.789067262751473</v>
      </c>
      <c r="J667" s="3">
        <v>1.9305019305019304</v>
      </c>
      <c r="K667" s="3">
        <v>15.698028855923592</v>
      </c>
      <c r="L667" s="4">
        <v>0.1</v>
      </c>
      <c r="M667" s="3"/>
      <c r="N667" s="3"/>
      <c r="Q667" s="4" t="s">
        <v>99</v>
      </c>
      <c r="R667" s="2" t="s">
        <v>17</v>
      </c>
      <c r="S667" s="2">
        <f>H667*0.28</f>
        <v>7.7809388335704135</v>
      </c>
      <c r="T667" s="2">
        <f>L667*0.28</f>
        <v>2.8000000000000004E-2</v>
      </c>
    </row>
    <row r="668" spans="1:20" ht="14.25" customHeight="1">
      <c r="A668" s="2" t="s">
        <v>15</v>
      </c>
      <c r="B668" s="2">
        <v>1966</v>
      </c>
      <c r="C668" s="2" t="s">
        <v>28</v>
      </c>
      <c r="G668" s="3"/>
      <c r="H668" s="3">
        <v>34.088599878073559</v>
      </c>
      <c r="I668" s="3">
        <f t="shared" si="13"/>
        <v>34.088599878073559</v>
      </c>
      <c r="J668" s="3">
        <v>1.625685836212152</v>
      </c>
      <c r="K668" s="3">
        <v>15.850436903068481</v>
      </c>
      <c r="L668" s="4">
        <v>0.1</v>
      </c>
      <c r="M668" s="3"/>
      <c r="N668" s="3"/>
      <c r="Q668" s="4" t="s">
        <v>99</v>
      </c>
      <c r="R668" s="2" t="s">
        <v>17</v>
      </c>
      <c r="S668" s="2">
        <f>H668*0.28</f>
        <v>9.5448079658605973</v>
      </c>
      <c r="T668" s="2">
        <f>L668*0.28</f>
        <v>2.8000000000000004E-2</v>
      </c>
    </row>
    <row r="669" spans="1:20" ht="14.25" customHeight="1">
      <c r="A669" s="2" t="s">
        <v>15</v>
      </c>
      <c r="B669" s="2">
        <v>1967</v>
      </c>
      <c r="C669" s="2" t="s">
        <v>28</v>
      </c>
      <c r="G669" s="3"/>
      <c r="H669" s="3">
        <v>42.166226376752689</v>
      </c>
      <c r="I669" s="3">
        <f t="shared" si="13"/>
        <v>42.166226376752689</v>
      </c>
      <c r="J669" s="3">
        <v>2.0829099776468198</v>
      </c>
      <c r="K669" s="3">
        <v>6.7567567567567561</v>
      </c>
      <c r="L669" s="4">
        <v>0.1</v>
      </c>
      <c r="M669" s="3"/>
      <c r="N669" s="3"/>
      <c r="Q669" s="4" t="s">
        <v>99</v>
      </c>
      <c r="R669" s="2" t="s">
        <v>17</v>
      </c>
      <c r="S669" s="2">
        <f>H669*0.28</f>
        <v>11.806543385490754</v>
      </c>
      <c r="T669" s="2">
        <f>L669*0.28</f>
        <v>2.8000000000000004E-2</v>
      </c>
    </row>
    <row r="670" spans="1:20" ht="14.25" customHeight="1">
      <c r="A670" s="2" t="s">
        <v>15</v>
      </c>
      <c r="B670" s="2">
        <v>1968</v>
      </c>
      <c r="C670" s="2" t="s">
        <v>28</v>
      </c>
      <c r="G670" s="3"/>
      <c r="H670" s="3">
        <v>41.810607600081283</v>
      </c>
      <c r="I670" s="3">
        <f t="shared" si="13"/>
        <v>41.810607600081283</v>
      </c>
      <c r="J670" s="3">
        <v>3.2005689900426741</v>
      </c>
      <c r="K670" s="3">
        <v>13.615118878276773</v>
      </c>
      <c r="L670" s="4">
        <v>0.1</v>
      </c>
      <c r="M670" s="3"/>
      <c r="N670" s="3"/>
      <c r="Q670" s="4" t="s">
        <v>99</v>
      </c>
      <c r="R670" s="2" t="s">
        <v>17</v>
      </c>
      <c r="S670" s="2">
        <f>H670*0.28</f>
        <v>11.70697012802276</v>
      </c>
      <c r="T670" s="2">
        <f>L670*0.28</f>
        <v>2.8000000000000004E-2</v>
      </c>
    </row>
    <row r="671" spans="1:20" ht="14.25" customHeight="1">
      <c r="A671" s="2" t="s">
        <v>15</v>
      </c>
      <c r="B671" s="2">
        <v>1969</v>
      </c>
      <c r="C671" s="2" t="s">
        <v>28</v>
      </c>
      <c r="G671" s="3"/>
      <c r="H671" s="3">
        <v>50.599471652103226</v>
      </c>
      <c r="I671" s="3">
        <f t="shared" si="13"/>
        <v>50.599471652103226</v>
      </c>
      <c r="J671" s="3">
        <v>4.6738467791099367</v>
      </c>
      <c r="K671" s="3">
        <v>13.462710831131883</v>
      </c>
      <c r="L671" s="4">
        <v>0.1</v>
      </c>
      <c r="M671" s="3"/>
      <c r="N671" s="3"/>
      <c r="Q671" s="4" t="s">
        <v>99</v>
      </c>
      <c r="R671" s="2" t="s">
        <v>17</v>
      </c>
      <c r="S671" s="2">
        <f>H671*0.28</f>
        <v>14.167852062588905</v>
      </c>
      <c r="T671" s="2">
        <f>L671*0.28</f>
        <v>2.8000000000000004E-2</v>
      </c>
    </row>
    <row r="672" spans="1:20" ht="14.25" customHeight="1">
      <c r="A672" s="2" t="s">
        <v>15</v>
      </c>
      <c r="B672" s="2">
        <v>1970</v>
      </c>
      <c r="C672" s="2" t="s">
        <v>28</v>
      </c>
      <c r="G672" s="3"/>
      <c r="H672" s="3">
        <v>56.441780125990647</v>
      </c>
      <c r="I672" s="3">
        <f t="shared" si="13"/>
        <v>56.441780125990647</v>
      </c>
      <c r="J672" s="3">
        <v>6.7567567567567561</v>
      </c>
      <c r="K672" s="3">
        <v>15.748831538305222</v>
      </c>
      <c r="L672" s="4">
        <v>0.1</v>
      </c>
      <c r="M672" s="3"/>
      <c r="N672" s="3"/>
      <c r="Q672" s="4" t="s">
        <v>99</v>
      </c>
      <c r="R672" s="2" t="s">
        <v>17</v>
      </c>
      <c r="S672" s="2">
        <f>H672*0.28</f>
        <v>15.803698435277383</v>
      </c>
      <c r="T672" s="2">
        <f>L672*0.28</f>
        <v>2.8000000000000004E-2</v>
      </c>
    </row>
    <row r="673" spans="1:20" ht="14.25" customHeight="1">
      <c r="A673" s="2" t="s">
        <v>15</v>
      </c>
      <c r="B673" s="2">
        <v>1971</v>
      </c>
      <c r="C673" s="2" t="s">
        <v>28</v>
      </c>
      <c r="G673" s="3"/>
      <c r="H673" s="3">
        <v>54.460475513107092</v>
      </c>
      <c r="I673" s="3">
        <f t="shared" si="13"/>
        <v>54.460475513107092</v>
      </c>
      <c r="J673" s="3">
        <v>8.890469416785205</v>
      </c>
      <c r="K673" s="3">
        <v>16.561674456411296</v>
      </c>
      <c r="L673" s="4">
        <v>0.1</v>
      </c>
      <c r="M673" s="3"/>
      <c r="N673" s="3"/>
      <c r="Q673" s="4" t="s">
        <v>99</v>
      </c>
      <c r="R673" s="2" t="s">
        <v>17</v>
      </c>
      <c r="S673" s="2">
        <f>H673*0.28</f>
        <v>15.248933143669987</v>
      </c>
      <c r="T673" s="2">
        <f>L673*0.28</f>
        <v>2.8000000000000004E-2</v>
      </c>
    </row>
    <row r="674" spans="1:20" ht="14.25" customHeight="1">
      <c r="A674" s="2" t="s">
        <v>15</v>
      </c>
      <c r="B674" s="2">
        <v>1972</v>
      </c>
      <c r="C674" s="2" t="s">
        <v>28</v>
      </c>
      <c r="G674" s="3"/>
      <c r="H674" s="3">
        <v>59.337533021743546</v>
      </c>
      <c r="I674" s="3">
        <f t="shared" si="13"/>
        <v>59.337533021743546</v>
      </c>
      <c r="J674" s="3">
        <v>10.211339158707579</v>
      </c>
      <c r="K674" s="3">
        <v>17.679333468807151</v>
      </c>
      <c r="L674" s="4">
        <v>0</v>
      </c>
      <c r="M674" s="3"/>
      <c r="N674" s="3"/>
      <c r="Q674" s="4" t="s">
        <v>99</v>
      </c>
      <c r="R674" s="2" t="s">
        <v>17</v>
      </c>
      <c r="S674" s="2">
        <f>H674*0.28</f>
        <v>16.614509246088193</v>
      </c>
      <c r="T674" s="2">
        <f>L674*0.28</f>
        <v>0</v>
      </c>
    </row>
    <row r="675" spans="1:20" ht="14.25" customHeight="1">
      <c r="A675" s="2" t="s">
        <v>15</v>
      </c>
      <c r="B675" s="2">
        <v>1973</v>
      </c>
      <c r="C675" s="2" t="s">
        <v>28</v>
      </c>
      <c r="G675" s="3"/>
      <c r="H675" s="3">
        <v>70.869741922373493</v>
      </c>
      <c r="I675" s="3">
        <f t="shared" si="13"/>
        <v>70.869741922373493</v>
      </c>
      <c r="J675" s="3">
        <v>12.294249136354399</v>
      </c>
      <c r="K675" s="3">
        <v>21.235521235521233</v>
      </c>
      <c r="L675" s="4">
        <v>0</v>
      </c>
      <c r="M675" s="3"/>
      <c r="N675" s="3"/>
      <c r="Q675" s="4" t="s">
        <v>99</v>
      </c>
      <c r="R675" s="2" t="s">
        <v>17</v>
      </c>
      <c r="S675" s="2">
        <f>H675*0.28</f>
        <v>19.84352773826458</v>
      </c>
      <c r="T675" s="2">
        <f>L675*0.28</f>
        <v>0</v>
      </c>
    </row>
    <row r="676" spans="1:20" ht="14.25" customHeight="1">
      <c r="A676" s="2" t="s">
        <v>15</v>
      </c>
      <c r="B676" s="2">
        <v>1974</v>
      </c>
      <c r="C676" s="2" t="s">
        <v>28</v>
      </c>
      <c r="G676" s="3"/>
      <c r="H676" s="3">
        <v>63.706563706563706</v>
      </c>
      <c r="I676" s="3">
        <f t="shared" si="13"/>
        <v>63.706563706563706</v>
      </c>
      <c r="J676" s="3">
        <v>11.227392806340173</v>
      </c>
      <c r="K676" s="3">
        <v>18.847795163584635</v>
      </c>
      <c r="L676" s="4">
        <v>1E-3</v>
      </c>
      <c r="M676" s="3"/>
      <c r="N676" s="3"/>
      <c r="Q676" s="4" t="s">
        <v>99</v>
      </c>
      <c r="R676" s="2" t="s">
        <v>17</v>
      </c>
      <c r="S676" s="2">
        <f>H676*0.28</f>
        <v>17.837837837837839</v>
      </c>
      <c r="T676" s="2">
        <f>L676*0.28</f>
        <v>2.8000000000000003E-4</v>
      </c>
    </row>
    <row r="677" spans="1:20" ht="14.25" customHeight="1">
      <c r="A677" s="2" t="s">
        <v>15</v>
      </c>
      <c r="B677" s="2">
        <v>1975</v>
      </c>
      <c r="C677" s="2" t="s">
        <v>28</v>
      </c>
      <c r="G677" s="3"/>
      <c r="H677" s="3">
        <v>67.406000000000006</v>
      </c>
      <c r="I677" s="3">
        <f t="shared" si="13"/>
        <v>67.406000000000006</v>
      </c>
      <c r="J677" s="3">
        <v>15.143000000000001</v>
      </c>
      <c r="K677" s="3">
        <v>18.213000000000001</v>
      </c>
      <c r="L677" s="4">
        <v>3.0000000000000001E-3</v>
      </c>
      <c r="M677" s="3"/>
      <c r="N677" s="3"/>
      <c r="Q677" s="4" t="s">
        <v>99</v>
      </c>
      <c r="R677" s="2" t="s">
        <v>17</v>
      </c>
      <c r="S677" s="2">
        <f>H677*0.28</f>
        <v>18.873680000000004</v>
      </c>
      <c r="T677" s="2">
        <f>L677*0.28</f>
        <v>8.4000000000000014E-4</v>
      </c>
    </row>
    <row r="678" spans="1:20" ht="14.25" customHeight="1">
      <c r="A678" s="2" t="s">
        <v>15</v>
      </c>
      <c r="B678" s="2">
        <v>1976</v>
      </c>
      <c r="C678" s="2" t="s">
        <v>28</v>
      </c>
      <c r="G678" s="3"/>
      <c r="H678" s="3">
        <v>82.027000000000001</v>
      </c>
      <c r="I678" s="3">
        <f t="shared" si="13"/>
        <v>82.027000000000001</v>
      </c>
      <c r="J678" s="3">
        <v>19.725999999999999</v>
      </c>
      <c r="K678" s="3">
        <v>20.936</v>
      </c>
      <c r="L678" s="4">
        <v>6.0000000000000001E-3</v>
      </c>
      <c r="M678" s="3"/>
      <c r="N678" s="3"/>
      <c r="Q678" s="4" t="s">
        <v>101</v>
      </c>
      <c r="R678" s="2" t="s">
        <v>17</v>
      </c>
      <c r="S678" s="2">
        <f>H678*0.28</f>
        <v>22.967560000000002</v>
      </c>
      <c r="T678" s="2">
        <f>L678*0.28</f>
        <v>1.6800000000000003E-3</v>
      </c>
    </row>
    <row r="679" spans="1:20" ht="14.25" customHeight="1">
      <c r="A679" s="2" t="s">
        <v>15</v>
      </c>
      <c r="B679" s="2">
        <v>1977</v>
      </c>
      <c r="C679" s="2" t="s">
        <v>28</v>
      </c>
      <c r="G679" s="3"/>
      <c r="H679" s="3">
        <v>77.632000000000005</v>
      </c>
      <c r="I679" s="3">
        <f t="shared" si="13"/>
        <v>77.632000000000005</v>
      </c>
      <c r="J679" s="3">
        <v>25.47</v>
      </c>
      <c r="K679" s="3">
        <v>19.864000000000001</v>
      </c>
      <c r="L679" s="4">
        <v>0</v>
      </c>
      <c r="M679" s="3"/>
      <c r="N679" s="3"/>
      <c r="Q679" s="4" t="s">
        <v>101</v>
      </c>
      <c r="R679" s="2" t="s">
        <v>17</v>
      </c>
      <c r="S679" s="2">
        <f>H679*0.28</f>
        <v>21.736960000000003</v>
      </c>
      <c r="T679" s="2">
        <f>L679*0.28</f>
        <v>0</v>
      </c>
    </row>
    <row r="680" spans="1:20" ht="14.25" customHeight="1">
      <c r="A680" s="2" t="s">
        <v>15</v>
      </c>
      <c r="B680" s="2">
        <v>1978</v>
      </c>
      <c r="C680" s="2" t="s">
        <v>28</v>
      </c>
      <c r="G680" s="3"/>
      <c r="H680" s="3">
        <v>69.034000000000006</v>
      </c>
      <c r="I680" s="3">
        <f t="shared" si="13"/>
        <v>69.034000000000006</v>
      </c>
      <c r="J680" s="3">
        <v>25.311</v>
      </c>
      <c r="K680" s="3">
        <v>28.033000000000001</v>
      </c>
      <c r="L680" s="4">
        <v>0.01</v>
      </c>
      <c r="M680" s="3"/>
      <c r="N680" s="3"/>
      <c r="Q680" s="4" t="s">
        <v>101</v>
      </c>
      <c r="R680" s="2" t="s">
        <v>17</v>
      </c>
      <c r="S680" s="2">
        <f>H680*0.28</f>
        <v>19.329520000000002</v>
      </c>
      <c r="T680" s="2">
        <f>L680*0.28</f>
        <v>2.8000000000000004E-3</v>
      </c>
    </row>
    <row r="681" spans="1:20" ht="14.25" customHeight="1">
      <c r="A681" s="2" t="s">
        <v>15</v>
      </c>
      <c r="B681" s="2">
        <v>1979</v>
      </c>
      <c r="C681" s="2" t="s">
        <v>28</v>
      </c>
      <c r="G681" s="3"/>
      <c r="H681" s="3">
        <v>64.381</v>
      </c>
      <c r="I681" s="3">
        <f t="shared" si="13"/>
        <v>64.381</v>
      </c>
      <c r="J681" s="3">
        <v>23.599</v>
      </c>
      <c r="K681" s="3">
        <v>29.3</v>
      </c>
      <c r="L681" s="4">
        <v>1.7000000000000001E-2</v>
      </c>
      <c r="M681" s="3"/>
      <c r="N681" s="3"/>
      <c r="Q681" s="4" t="s">
        <v>101</v>
      </c>
      <c r="R681" s="2" t="s">
        <v>17</v>
      </c>
      <c r="S681" s="2">
        <f>H681*0.28</f>
        <v>18.026680000000002</v>
      </c>
      <c r="T681" s="2">
        <f>L681*0.28</f>
        <v>4.7600000000000012E-3</v>
      </c>
    </row>
    <row r="682" spans="1:20" ht="14.25" customHeight="1">
      <c r="A682" s="2" t="s">
        <v>15</v>
      </c>
      <c r="B682" s="2">
        <v>1980</v>
      </c>
      <c r="C682" s="2" t="s">
        <v>28</v>
      </c>
      <c r="G682" s="3"/>
      <c r="H682" s="3">
        <v>69.977000000000004</v>
      </c>
      <c r="I682" s="3">
        <f t="shared" si="13"/>
        <v>69.977000000000004</v>
      </c>
      <c r="J682" s="3">
        <v>29.809000000000001</v>
      </c>
      <c r="K682" s="3">
        <v>33.527000000000001</v>
      </c>
      <c r="L682" s="4">
        <v>0.03</v>
      </c>
      <c r="M682" s="3"/>
      <c r="N682" s="3"/>
      <c r="Q682" s="4" t="s">
        <v>101</v>
      </c>
      <c r="R682" s="2" t="s">
        <v>17</v>
      </c>
      <c r="S682" s="2">
        <f>H682*0.28</f>
        <v>19.593560000000004</v>
      </c>
      <c r="T682" s="2">
        <f>L682*0.28</f>
        <v>8.4000000000000012E-3</v>
      </c>
    </row>
    <row r="683" spans="1:20" ht="14.25" customHeight="1">
      <c r="A683" s="2" t="s">
        <v>15</v>
      </c>
      <c r="B683" s="2">
        <v>1981</v>
      </c>
      <c r="C683" s="2" t="s">
        <v>28</v>
      </c>
      <c r="G683" s="3"/>
      <c r="H683" s="3">
        <v>64.412000000000006</v>
      </c>
      <c r="I683" s="3">
        <f t="shared" si="13"/>
        <v>64.412000000000006</v>
      </c>
      <c r="J683" s="3">
        <v>28.045999999999999</v>
      </c>
      <c r="K683" s="3">
        <v>28.908999999999999</v>
      </c>
      <c r="L683" s="4">
        <v>4.4999999999999998E-2</v>
      </c>
      <c r="M683" s="3"/>
      <c r="N683" s="3"/>
      <c r="Q683" s="4" t="s">
        <v>101</v>
      </c>
      <c r="R683" s="2" t="s">
        <v>17</v>
      </c>
      <c r="S683" s="2">
        <f>H683*0.28</f>
        <v>18.035360000000004</v>
      </c>
      <c r="T683" s="2">
        <f>L683*0.28</f>
        <v>1.26E-2</v>
      </c>
    </row>
    <row r="684" spans="1:20" ht="14.25" customHeight="1">
      <c r="A684" s="2" t="s">
        <v>15</v>
      </c>
      <c r="B684" s="2">
        <v>1982</v>
      </c>
      <c r="C684" s="2" t="s">
        <v>28</v>
      </c>
      <c r="G684" s="3"/>
      <c r="H684" s="3">
        <v>64.947000000000003</v>
      </c>
      <c r="I684" s="3">
        <f t="shared" si="13"/>
        <v>64.947000000000003</v>
      </c>
      <c r="J684" s="3">
        <v>29.88</v>
      </c>
      <c r="K684" s="3">
        <v>35.194000000000003</v>
      </c>
      <c r="L684" s="4">
        <v>3.9E-2</v>
      </c>
      <c r="M684" s="3"/>
      <c r="N684" s="3"/>
      <c r="Q684" s="4" t="s">
        <v>101</v>
      </c>
      <c r="R684" s="2" t="s">
        <v>17</v>
      </c>
      <c r="S684" s="2">
        <f>H684*0.28</f>
        <v>18.185160000000003</v>
      </c>
      <c r="T684" s="2">
        <f>L684*0.28</f>
        <v>1.0920000000000001E-2</v>
      </c>
    </row>
    <row r="685" spans="1:20" ht="14.25" customHeight="1">
      <c r="A685" s="2" t="s">
        <v>15</v>
      </c>
      <c r="B685" s="2">
        <v>1983</v>
      </c>
      <c r="C685" s="2" t="s">
        <v>28</v>
      </c>
      <c r="G685" s="3"/>
      <c r="H685" s="3">
        <v>72.179000000000002</v>
      </c>
      <c r="I685" s="3">
        <f t="shared" si="13"/>
        <v>72.179000000000002</v>
      </c>
      <c r="J685" s="3">
        <v>34.256999999999998</v>
      </c>
      <c r="K685" s="3">
        <v>39.185000000000002</v>
      </c>
      <c r="L685" s="4">
        <v>4.9000000000000002E-2</v>
      </c>
      <c r="M685" s="3"/>
      <c r="N685" s="3"/>
      <c r="Q685" s="4" t="s">
        <v>101</v>
      </c>
      <c r="R685" s="2" t="s">
        <v>17</v>
      </c>
      <c r="S685" s="2">
        <f>H685*0.28</f>
        <v>20.210120000000003</v>
      </c>
      <c r="T685" s="2">
        <f>L685*0.28</f>
        <v>1.3720000000000001E-2</v>
      </c>
    </row>
    <row r="686" spans="1:20" ht="14.25" customHeight="1">
      <c r="A686" s="2" t="s">
        <v>15</v>
      </c>
      <c r="B686" s="2">
        <v>1984</v>
      </c>
      <c r="C686" s="2" t="s">
        <v>28</v>
      </c>
      <c r="G686" s="3"/>
      <c r="H686" s="3">
        <v>72.605999999999995</v>
      </c>
      <c r="I686" s="3">
        <f t="shared" si="13"/>
        <v>72.605999999999995</v>
      </c>
      <c r="J686" s="3">
        <v>36.656999999999996</v>
      </c>
      <c r="K686" s="3">
        <v>42.973999999999997</v>
      </c>
      <c r="L686" s="4">
        <v>1.127</v>
      </c>
      <c r="M686" s="3"/>
      <c r="N686" s="3"/>
      <c r="Q686" s="4" t="s">
        <v>101</v>
      </c>
      <c r="R686" s="2" t="s">
        <v>17</v>
      </c>
      <c r="S686" s="2">
        <f>H686*0.28</f>
        <v>20.32968</v>
      </c>
      <c r="T686" s="2">
        <f>L686*0.28</f>
        <v>0.31556000000000001</v>
      </c>
    </row>
    <row r="687" spans="1:20" ht="14.25" customHeight="1">
      <c r="A687" s="2" t="s">
        <v>15</v>
      </c>
      <c r="B687" s="2">
        <v>1985</v>
      </c>
      <c r="C687" s="2" t="s">
        <v>28</v>
      </c>
      <c r="G687" s="3"/>
      <c r="H687" s="3">
        <v>74.83</v>
      </c>
      <c r="I687" s="3">
        <f t="shared" si="13"/>
        <v>74.83</v>
      </c>
      <c r="J687" s="3">
        <v>38.289000000000001</v>
      </c>
      <c r="K687" s="3">
        <v>45.628</v>
      </c>
      <c r="L687" s="4">
        <v>1.327</v>
      </c>
      <c r="M687" s="3"/>
      <c r="N687" s="3"/>
      <c r="Q687" s="4" t="s">
        <v>101</v>
      </c>
      <c r="R687" s="2" t="s">
        <v>17</v>
      </c>
      <c r="S687" s="2">
        <f>H687*0.28</f>
        <v>20.952400000000001</v>
      </c>
      <c r="T687" s="2">
        <f>L687*0.28</f>
        <v>0.37156</v>
      </c>
    </row>
    <row r="688" spans="1:20" ht="14.25" customHeight="1">
      <c r="A688" s="2" t="s">
        <v>15</v>
      </c>
      <c r="B688" s="2">
        <v>1986</v>
      </c>
      <c r="C688" s="2" t="s">
        <v>28</v>
      </c>
      <c r="G688" s="3"/>
      <c r="H688" s="3">
        <v>87.823999999999998</v>
      </c>
      <c r="I688" s="3">
        <f t="shared" si="13"/>
        <v>87.823999999999998</v>
      </c>
      <c r="J688" s="3">
        <v>44.301000000000002</v>
      </c>
      <c r="K688" s="3">
        <v>50.381999999999998</v>
      </c>
      <c r="L688" s="4">
        <v>1.806</v>
      </c>
      <c r="M688" s="3"/>
      <c r="N688" s="3"/>
      <c r="Q688" s="4" t="s">
        <v>101</v>
      </c>
      <c r="R688" s="2" t="s">
        <v>17</v>
      </c>
      <c r="S688" s="2">
        <f>H688*0.28</f>
        <v>24.590720000000001</v>
      </c>
      <c r="T688" s="2">
        <f>L688*0.28</f>
        <v>0.50568000000000002</v>
      </c>
    </row>
    <row r="689" spans="1:20" ht="14.25" customHeight="1">
      <c r="A689" s="2" t="s">
        <v>15</v>
      </c>
      <c r="B689" s="2">
        <v>1987</v>
      </c>
      <c r="C689" s="2" t="s">
        <v>28</v>
      </c>
      <c r="G689" s="3"/>
      <c r="H689" s="3">
        <v>111.072</v>
      </c>
      <c r="I689" s="3">
        <f t="shared" si="13"/>
        <v>111.072</v>
      </c>
      <c r="J689" s="3">
        <v>52.274999999999999</v>
      </c>
      <c r="K689" s="3">
        <v>51.140999999999998</v>
      </c>
      <c r="L689" s="4">
        <v>2.6379999999999999</v>
      </c>
      <c r="M689" s="3"/>
      <c r="N689" s="3"/>
      <c r="Q689" s="4" t="s">
        <v>101</v>
      </c>
      <c r="R689" s="2" t="s">
        <v>17</v>
      </c>
      <c r="S689" s="2">
        <f>H689*0.28</f>
        <v>31.100160000000002</v>
      </c>
      <c r="T689" s="2">
        <f>L689*0.28</f>
        <v>0.73864000000000007</v>
      </c>
    </row>
    <row r="690" spans="1:20" ht="14.25" customHeight="1">
      <c r="A690" s="2" t="s">
        <v>15</v>
      </c>
      <c r="B690" s="2">
        <v>1988</v>
      </c>
      <c r="C690" s="2" t="s">
        <v>28</v>
      </c>
      <c r="E690" s="2">
        <v>0.6</v>
      </c>
      <c r="F690" s="2">
        <f t="shared" ref="F690:F722" si="14">E690*0.28</f>
        <v>0.16800000000000001</v>
      </c>
      <c r="G690" s="3"/>
      <c r="H690" s="3">
        <v>96.483000000000004</v>
      </c>
      <c r="I690" s="3">
        <f t="shared" si="13"/>
        <v>96.483000000000004</v>
      </c>
      <c r="J690" s="3">
        <v>47.585000000000001</v>
      </c>
      <c r="K690" s="3">
        <v>61.021999999999998</v>
      </c>
      <c r="L690" s="4">
        <v>2.8860000000000001</v>
      </c>
      <c r="M690" s="3"/>
      <c r="N690" s="3"/>
      <c r="Q690" s="4" t="s">
        <v>101</v>
      </c>
      <c r="R690" s="2" t="s">
        <v>17</v>
      </c>
      <c r="S690" s="2">
        <f>H690*0.28</f>
        <v>27.015240000000002</v>
      </c>
      <c r="T690" s="2">
        <f>L690*0.28</f>
        <v>0.80808000000000013</v>
      </c>
    </row>
    <row r="691" spans="1:20" ht="14.25" customHeight="1">
      <c r="A691" s="2" t="s">
        <v>15</v>
      </c>
      <c r="B691" s="2">
        <v>1989</v>
      </c>
      <c r="C691" s="2" t="s">
        <v>28</v>
      </c>
      <c r="E691" s="2">
        <v>0.7</v>
      </c>
      <c r="F691" s="2">
        <f t="shared" si="14"/>
        <v>0.19600000000000001</v>
      </c>
      <c r="G691" s="3"/>
      <c r="H691" s="3">
        <v>92.031000000000006</v>
      </c>
      <c r="I691" s="3">
        <f t="shared" si="13"/>
        <v>92.031000000000006</v>
      </c>
      <c r="J691" s="3">
        <v>57.424999999999997</v>
      </c>
      <c r="K691" s="3">
        <v>64.472999999999999</v>
      </c>
      <c r="L691" s="4">
        <v>2.9809999999999999</v>
      </c>
      <c r="M691" s="3"/>
      <c r="N691" s="3"/>
      <c r="Q691" s="4" t="s">
        <v>101</v>
      </c>
      <c r="R691" s="2" t="s">
        <v>17</v>
      </c>
      <c r="S691" s="2">
        <f>H691*0.28</f>
        <v>25.768680000000003</v>
      </c>
      <c r="T691" s="2">
        <f>L691*0.28</f>
        <v>0.83468000000000009</v>
      </c>
    </row>
    <row r="692" spans="1:20" ht="14.25" customHeight="1">
      <c r="A692" s="2" t="s">
        <v>15</v>
      </c>
      <c r="B692" s="2">
        <v>1990</v>
      </c>
      <c r="C692" s="2" t="s">
        <v>28</v>
      </c>
      <c r="E692" s="2">
        <v>1.3</v>
      </c>
      <c r="F692" s="2">
        <f t="shared" si="14"/>
        <v>0.36400000000000005</v>
      </c>
      <c r="G692" s="3"/>
      <c r="H692" s="3">
        <v>93.143000000000001</v>
      </c>
      <c r="I692" s="3">
        <f t="shared" si="13"/>
        <v>93.143000000000001</v>
      </c>
      <c r="J692" s="3">
        <v>63.762</v>
      </c>
      <c r="K692" s="3">
        <v>64.459000000000003</v>
      </c>
      <c r="L692" s="4">
        <v>2.8410000000000002</v>
      </c>
      <c r="M692" s="3"/>
      <c r="N692" s="3"/>
      <c r="Q692" s="4" t="s">
        <v>101</v>
      </c>
      <c r="R692" s="2" t="s">
        <v>17</v>
      </c>
      <c r="S692" s="2">
        <f>H692*0.28</f>
        <v>26.080040000000004</v>
      </c>
      <c r="T692" s="2">
        <f>L692*0.28</f>
        <v>0.79548000000000008</v>
      </c>
    </row>
    <row r="693" spans="1:20" ht="14.25" customHeight="1">
      <c r="A693" s="2" t="s">
        <v>15</v>
      </c>
      <c r="B693" s="2">
        <v>1991</v>
      </c>
      <c r="C693" s="2" t="s">
        <v>28</v>
      </c>
      <c r="E693" s="2">
        <v>1</v>
      </c>
      <c r="F693" s="2">
        <f t="shared" si="14"/>
        <v>0.28000000000000003</v>
      </c>
      <c r="H693" s="2">
        <v>124.5</v>
      </c>
      <c r="I693" s="3">
        <f t="shared" si="13"/>
        <v>124.5</v>
      </c>
      <c r="J693" s="3">
        <v>76.102999999999994</v>
      </c>
      <c r="K693" s="3">
        <v>65.844999999999999</v>
      </c>
      <c r="L693" s="4">
        <v>5.6459999999999999</v>
      </c>
      <c r="M693" s="3"/>
      <c r="N693" s="3"/>
      <c r="Q693" s="4" t="s">
        <v>101</v>
      </c>
      <c r="R693" s="2" t="s">
        <v>17</v>
      </c>
      <c r="S693" s="2">
        <f>H693*0.28</f>
        <v>34.860000000000007</v>
      </c>
      <c r="T693" s="2">
        <f>L693*0.28</f>
        <v>1.5808800000000001</v>
      </c>
    </row>
    <row r="694" spans="1:20" ht="14.25" customHeight="1">
      <c r="A694" s="2" t="s">
        <v>15</v>
      </c>
      <c r="B694" s="2">
        <v>1992</v>
      </c>
      <c r="C694" s="2" t="s">
        <v>28</v>
      </c>
      <c r="E694" s="2">
        <v>1.6</v>
      </c>
      <c r="F694" s="2">
        <f t="shared" si="14"/>
        <v>0.44800000000000006</v>
      </c>
      <c r="H694" s="2">
        <v>108</v>
      </c>
      <c r="I694" s="3">
        <f t="shared" si="13"/>
        <v>108</v>
      </c>
      <c r="J694" s="3">
        <v>69.2</v>
      </c>
      <c r="K694" s="3">
        <v>66.438000000000002</v>
      </c>
      <c r="L694" s="4">
        <v>5.0270000000000001</v>
      </c>
      <c r="M694" s="3"/>
      <c r="N694" s="3"/>
      <c r="Q694" s="4" t="s">
        <v>101</v>
      </c>
      <c r="R694" s="2" t="s">
        <v>17</v>
      </c>
      <c r="S694" s="2">
        <f>H694*0.28</f>
        <v>30.240000000000002</v>
      </c>
      <c r="T694" s="2">
        <f>L694*0.28</f>
        <v>1.4075600000000001</v>
      </c>
    </row>
    <row r="695" spans="1:20" ht="14.25" customHeight="1">
      <c r="A695" s="2" t="s">
        <v>15</v>
      </c>
      <c r="B695" s="2">
        <v>1993</v>
      </c>
      <c r="C695" s="2" t="s">
        <v>28</v>
      </c>
      <c r="E695" s="2">
        <v>2.2000000000000002</v>
      </c>
      <c r="F695" s="2">
        <f t="shared" si="14"/>
        <v>0.6160000000000001</v>
      </c>
      <c r="H695" s="2">
        <v>102.5</v>
      </c>
      <c r="I695" s="3">
        <f t="shared" si="13"/>
        <v>102.5</v>
      </c>
      <c r="J695" s="3">
        <v>61.322000000000003</v>
      </c>
      <c r="K695" s="3">
        <v>62.540999999999997</v>
      </c>
      <c r="L695" s="4">
        <v>5.4279999999999999</v>
      </c>
      <c r="M695" s="3"/>
      <c r="N695" s="3"/>
      <c r="Q695" s="4" t="s">
        <v>101</v>
      </c>
      <c r="R695" s="2" t="s">
        <v>17</v>
      </c>
      <c r="S695" s="2">
        <f>H695*0.28</f>
        <v>28.700000000000003</v>
      </c>
      <c r="T695" s="2">
        <f>L695*0.28</f>
        <v>1.5198400000000001</v>
      </c>
    </row>
    <row r="696" spans="1:20" ht="14.25" customHeight="1">
      <c r="A696" s="2" t="s">
        <v>15</v>
      </c>
      <c r="B696" s="2">
        <v>1994</v>
      </c>
      <c r="C696" s="2" t="s">
        <v>28</v>
      </c>
      <c r="E696" s="2">
        <v>3.3</v>
      </c>
      <c r="F696" s="2">
        <f t="shared" si="14"/>
        <v>0.92400000000000004</v>
      </c>
      <c r="H696" s="2">
        <v>111.08</v>
      </c>
      <c r="I696" s="3">
        <f t="shared" si="13"/>
        <v>111.08</v>
      </c>
      <c r="J696" s="3">
        <v>65.805000000000007</v>
      </c>
      <c r="K696" s="3">
        <v>69.498999999999995</v>
      </c>
      <c r="L696" s="4">
        <v>5.0679999999999996</v>
      </c>
      <c r="M696" s="3"/>
      <c r="N696" s="3"/>
      <c r="Q696" s="4" t="s">
        <v>101</v>
      </c>
      <c r="R696" s="2" t="s">
        <v>17</v>
      </c>
      <c r="S696" s="2">
        <f>H696*0.28</f>
        <v>31.102400000000003</v>
      </c>
      <c r="T696" s="2">
        <f>L696*0.28</f>
        <v>1.4190400000000001</v>
      </c>
    </row>
    <row r="697" spans="1:20" ht="14.25" customHeight="1">
      <c r="A697" s="2" t="s">
        <v>15</v>
      </c>
      <c r="B697" s="2">
        <v>1995</v>
      </c>
      <c r="C697" s="2" t="s">
        <v>28</v>
      </c>
      <c r="E697" s="2">
        <v>4.8</v>
      </c>
      <c r="F697" s="2">
        <f t="shared" si="14"/>
        <v>1.3440000000000001</v>
      </c>
      <c r="H697" s="2">
        <v>124.646</v>
      </c>
      <c r="I697" s="3">
        <f t="shared" si="13"/>
        <v>124.646</v>
      </c>
      <c r="J697" s="3">
        <v>71.293999999999997</v>
      </c>
      <c r="K697" s="3">
        <v>70.442999999999998</v>
      </c>
      <c r="L697" s="4">
        <v>6.899</v>
      </c>
      <c r="M697" s="3"/>
      <c r="N697" s="3"/>
      <c r="Q697" s="4" t="s">
        <v>101</v>
      </c>
      <c r="R697" s="2" t="s">
        <v>17</v>
      </c>
      <c r="S697" s="2">
        <f>H697*0.28</f>
        <v>34.900880000000001</v>
      </c>
      <c r="T697" s="2">
        <f>L697*0.28</f>
        <v>1.9317200000000001</v>
      </c>
    </row>
    <row r="698" spans="1:20" ht="14.25" customHeight="1">
      <c r="A698" s="2" t="s">
        <v>15</v>
      </c>
      <c r="B698" s="2">
        <v>1996</v>
      </c>
      <c r="C698" s="2" t="s">
        <v>28</v>
      </c>
      <c r="E698" s="2">
        <v>9</v>
      </c>
      <c r="F698" s="2">
        <f t="shared" si="14"/>
        <v>2.5200000000000005</v>
      </c>
      <c r="H698" s="2">
        <v>131.58099999999999</v>
      </c>
      <c r="I698" s="3">
        <f t="shared" si="13"/>
        <v>131.58099999999999</v>
      </c>
      <c r="J698" s="3">
        <v>75.332999999999998</v>
      </c>
      <c r="K698" s="3">
        <v>74.900000000000006</v>
      </c>
      <c r="L698" s="4">
        <v>9.7460000000000004</v>
      </c>
      <c r="M698" s="3"/>
      <c r="N698" s="3"/>
      <c r="Q698" s="4" t="s">
        <v>101</v>
      </c>
      <c r="R698" s="2" t="s">
        <v>17</v>
      </c>
      <c r="S698" s="2">
        <f>H698*0.28</f>
        <v>36.842680000000001</v>
      </c>
      <c r="T698" s="2">
        <f>L698*0.28</f>
        <v>2.7288800000000002</v>
      </c>
    </row>
    <row r="699" spans="1:20" ht="14.25" customHeight="1">
      <c r="A699" s="2" t="s">
        <v>15</v>
      </c>
      <c r="B699" s="2">
        <v>1997</v>
      </c>
      <c r="C699" s="2" t="s">
        <v>28</v>
      </c>
      <c r="E699" s="2">
        <v>6.3</v>
      </c>
      <c r="F699" s="2">
        <f t="shared" si="14"/>
        <v>1.764</v>
      </c>
      <c r="H699" s="2">
        <v>126.07299999999999</v>
      </c>
      <c r="I699" s="3">
        <f t="shared" si="13"/>
        <v>126.07299999999999</v>
      </c>
      <c r="J699" s="3">
        <v>65.561000000000007</v>
      </c>
      <c r="K699" s="3">
        <v>54.341000000000001</v>
      </c>
      <c r="L699" s="4">
        <v>14.343</v>
      </c>
      <c r="M699" s="3"/>
      <c r="N699" s="3"/>
      <c r="Q699" s="4" t="s">
        <v>101</v>
      </c>
      <c r="R699" s="2" t="s">
        <v>17</v>
      </c>
      <c r="S699" s="2">
        <f>H699*0.28</f>
        <v>35.300440000000002</v>
      </c>
      <c r="T699" s="2">
        <f>L699*0.28</f>
        <v>4.0160400000000003</v>
      </c>
    </row>
    <row r="700" spans="1:20" ht="14.25" customHeight="1">
      <c r="A700" s="2" t="s">
        <v>15</v>
      </c>
      <c r="B700" s="2">
        <v>1998</v>
      </c>
      <c r="C700" s="2" t="s">
        <v>28</v>
      </c>
      <c r="E700" s="2">
        <v>8.4</v>
      </c>
      <c r="F700" s="2">
        <f t="shared" si="14"/>
        <v>2.3520000000000003</v>
      </c>
      <c r="H700" s="2">
        <v>124.212</v>
      </c>
      <c r="I700" s="3">
        <f t="shared" si="13"/>
        <v>124.212</v>
      </c>
      <c r="J700" s="3">
        <v>79.453999999999994</v>
      </c>
      <c r="K700" s="3">
        <v>89.194999999999993</v>
      </c>
      <c r="L700" s="4">
        <v>9.9410000000000007</v>
      </c>
      <c r="M700" s="3"/>
      <c r="N700" s="3"/>
      <c r="Q700" s="4" t="s">
        <v>101</v>
      </c>
      <c r="R700" s="2" t="s">
        <v>17</v>
      </c>
      <c r="S700" s="2">
        <f>H700*0.28</f>
        <v>34.779360000000004</v>
      </c>
      <c r="T700" s="2">
        <f>L700*0.28</f>
        <v>2.7834800000000004</v>
      </c>
    </row>
    <row r="701" spans="1:20" ht="14.25" customHeight="1">
      <c r="A701" s="2" t="s">
        <v>15</v>
      </c>
      <c r="B701" s="2">
        <v>1999</v>
      </c>
      <c r="C701" s="2" t="s">
        <v>28</v>
      </c>
      <c r="E701" s="2">
        <v>7.1</v>
      </c>
      <c r="F701" s="2">
        <f t="shared" si="14"/>
        <v>1.988</v>
      </c>
      <c r="H701" s="2">
        <v>116.745</v>
      </c>
      <c r="I701" s="3">
        <f t="shared" si="13"/>
        <v>116.745</v>
      </c>
      <c r="J701" s="3">
        <v>83.433999999999997</v>
      </c>
      <c r="K701" s="3">
        <v>87.73</v>
      </c>
      <c r="L701" s="4">
        <v>10.901</v>
      </c>
      <c r="M701" s="3"/>
      <c r="N701" s="3"/>
      <c r="Q701" s="4" t="s">
        <v>101</v>
      </c>
      <c r="R701" s="2" t="s">
        <v>17</v>
      </c>
      <c r="S701" s="2">
        <f>H701*0.28</f>
        <v>32.688600000000001</v>
      </c>
      <c r="T701" s="2">
        <f>L701*0.28</f>
        <v>3.0522800000000001</v>
      </c>
    </row>
    <row r="702" spans="1:20" ht="14.25" customHeight="1">
      <c r="A702" s="2" t="s">
        <v>15</v>
      </c>
      <c r="B702" s="2">
        <v>2000</v>
      </c>
      <c r="C702" s="2" t="s">
        <v>28</v>
      </c>
      <c r="E702" s="2">
        <v>8.4</v>
      </c>
      <c r="F702" s="2">
        <f t="shared" si="14"/>
        <v>2.3520000000000003</v>
      </c>
      <c r="H702" s="2">
        <v>127.023</v>
      </c>
      <c r="I702" s="3">
        <f t="shared" si="13"/>
        <v>127.023</v>
      </c>
      <c r="J702" s="3">
        <v>86.799000000000007</v>
      </c>
      <c r="K702" s="3">
        <v>93.417000000000002</v>
      </c>
      <c r="L702" s="4">
        <v>12.394</v>
      </c>
      <c r="M702" s="3"/>
      <c r="N702" s="3"/>
      <c r="Q702" s="4" t="s">
        <v>101</v>
      </c>
      <c r="R702" s="2" t="s">
        <v>17</v>
      </c>
      <c r="S702" s="2">
        <f>H702*0.28</f>
        <v>35.56644</v>
      </c>
      <c r="T702" s="2">
        <f>L702*0.28</f>
        <v>3.4703200000000005</v>
      </c>
    </row>
    <row r="703" spans="1:20" ht="14.25" customHeight="1">
      <c r="A703" s="2" t="s">
        <v>15</v>
      </c>
      <c r="B703" s="2">
        <v>2001</v>
      </c>
      <c r="C703" s="2" t="s">
        <v>28</v>
      </c>
      <c r="E703" s="2">
        <v>7.7</v>
      </c>
      <c r="F703" s="2">
        <f t="shared" si="14"/>
        <v>2.1560000000000001</v>
      </c>
      <c r="H703" s="2">
        <v>136.16300000000001</v>
      </c>
      <c r="I703" s="3">
        <f t="shared" si="13"/>
        <v>136.16300000000001</v>
      </c>
      <c r="J703" s="3">
        <v>97.25</v>
      </c>
      <c r="K703" s="3">
        <v>102.217</v>
      </c>
      <c r="L703" s="4">
        <v>18.518999999999998</v>
      </c>
      <c r="M703" s="3"/>
      <c r="N703" s="3"/>
      <c r="Q703" s="4" t="s">
        <v>101</v>
      </c>
      <c r="R703" s="2" t="s">
        <v>17</v>
      </c>
      <c r="S703" s="2">
        <f>H703*0.28</f>
        <v>38.125640000000004</v>
      </c>
      <c r="T703" s="2">
        <f>L703*0.28</f>
        <v>5.1853199999999999</v>
      </c>
    </row>
    <row r="704" spans="1:20" ht="14.25" customHeight="1">
      <c r="A704" s="2" t="s">
        <v>15</v>
      </c>
      <c r="B704" s="2">
        <v>2002</v>
      </c>
      <c r="C704" s="2" t="s">
        <v>28</v>
      </c>
      <c r="E704" s="2">
        <v>6.9</v>
      </c>
      <c r="F704" s="2">
        <f t="shared" si="14"/>
        <v>1.9320000000000004</v>
      </c>
      <c r="H704" s="2">
        <v>130.749</v>
      </c>
      <c r="I704" s="3">
        <f t="shared" si="13"/>
        <v>130.749</v>
      </c>
      <c r="J704" s="3">
        <v>93.623999999999995</v>
      </c>
      <c r="K704" s="3">
        <v>105.07899999999999</v>
      </c>
      <c r="L704" s="4">
        <v>18.707000000000001</v>
      </c>
      <c r="M704" s="3"/>
      <c r="N704" s="3"/>
      <c r="Q704" s="4" t="s">
        <v>101</v>
      </c>
      <c r="R704" s="2" t="s">
        <v>17</v>
      </c>
      <c r="S704" s="2">
        <f>H704*0.28</f>
        <v>36.609720000000003</v>
      </c>
      <c r="T704" s="2">
        <f>L704*0.28</f>
        <v>5.2379600000000011</v>
      </c>
    </row>
    <row r="705" spans="1:20" ht="14.25" customHeight="1">
      <c r="A705" s="2" t="s">
        <v>15</v>
      </c>
      <c r="B705" s="2">
        <v>2003</v>
      </c>
      <c r="C705" s="2" t="s">
        <v>28</v>
      </c>
      <c r="E705" s="2">
        <v>8.3000000000000007</v>
      </c>
      <c r="F705" s="2">
        <f t="shared" si="14"/>
        <v>2.3240000000000003</v>
      </c>
      <c r="H705" s="2">
        <v>135.745</v>
      </c>
      <c r="I705" s="3">
        <f t="shared" si="13"/>
        <v>135.745</v>
      </c>
      <c r="J705" s="2">
        <v>108.5</v>
      </c>
      <c r="K705" s="2">
        <v>110.5</v>
      </c>
      <c r="L705" s="4">
        <v>20.492000000000001</v>
      </c>
      <c r="M705" s="3"/>
      <c r="N705" s="3"/>
      <c r="Q705" s="4" t="s">
        <v>101</v>
      </c>
      <c r="R705" s="2" t="s">
        <v>17</v>
      </c>
      <c r="S705" s="2">
        <f>H705*0.28</f>
        <v>38.008600000000008</v>
      </c>
      <c r="T705" s="2">
        <f>L705*0.28</f>
        <v>5.7377600000000006</v>
      </c>
    </row>
    <row r="706" spans="1:20" ht="14.25" customHeight="1">
      <c r="A706" s="2" t="s">
        <v>15</v>
      </c>
      <c r="B706" s="2">
        <v>2004</v>
      </c>
      <c r="C706" s="2" t="s">
        <v>28</v>
      </c>
      <c r="E706" s="2">
        <v>5.6</v>
      </c>
      <c r="F706" s="2">
        <f t="shared" si="14"/>
        <v>1.5680000000000001</v>
      </c>
      <c r="H706" s="2">
        <v>126.09699999999999</v>
      </c>
      <c r="I706" s="3">
        <f t="shared" si="13"/>
        <v>126.09699999999999</v>
      </c>
      <c r="J706" s="2">
        <v>111.6</v>
      </c>
      <c r="K706" s="2">
        <v>113.7</v>
      </c>
      <c r="L706" s="4">
        <v>32.5</v>
      </c>
      <c r="M706" s="3"/>
      <c r="N706" s="3"/>
      <c r="Q706" s="4" t="s">
        <v>101</v>
      </c>
      <c r="R706" s="2" t="s">
        <v>17</v>
      </c>
      <c r="S706" s="2">
        <f>H706*0.28</f>
        <v>35.307160000000003</v>
      </c>
      <c r="T706" s="2">
        <f>L706*0.28</f>
        <v>9.1000000000000014</v>
      </c>
    </row>
    <row r="707" spans="1:20" ht="14.25" customHeight="1">
      <c r="A707" s="2" t="s">
        <v>15</v>
      </c>
      <c r="B707" s="2">
        <v>2005</v>
      </c>
      <c r="C707" s="2" t="s">
        <v>28</v>
      </c>
      <c r="E707" s="2">
        <v>8.4</v>
      </c>
      <c r="F707" s="2">
        <f t="shared" si="14"/>
        <v>2.3520000000000003</v>
      </c>
      <c r="H707" s="2">
        <v>131.47499999999999</v>
      </c>
      <c r="I707" s="3">
        <f t="shared" si="13"/>
        <v>131.47499999999999</v>
      </c>
      <c r="J707" s="2">
        <v>103.1</v>
      </c>
      <c r="K707" s="2">
        <v>115.4</v>
      </c>
      <c r="L707" s="4">
        <v>29.800999999999998</v>
      </c>
      <c r="M707" s="3"/>
      <c r="N707" s="3"/>
      <c r="Q707" s="4" t="s">
        <v>101</v>
      </c>
      <c r="R707" s="2" t="s">
        <v>17</v>
      </c>
      <c r="S707" s="2">
        <f>H707*0.28</f>
        <v>36.813000000000002</v>
      </c>
      <c r="T707" s="2">
        <f>L707*0.28</f>
        <v>8.3442799999999995</v>
      </c>
    </row>
    <row r="708" spans="1:20" ht="14.25" customHeight="1">
      <c r="A708" s="2" t="s">
        <v>15</v>
      </c>
      <c r="B708" s="2">
        <v>2006</v>
      </c>
      <c r="C708" s="2" t="s">
        <v>28</v>
      </c>
      <c r="E708" s="2">
        <v>7.4</v>
      </c>
      <c r="F708" s="2">
        <f t="shared" si="14"/>
        <v>2.0720000000000005</v>
      </c>
      <c r="H708" s="2">
        <v>134.04599999999999</v>
      </c>
      <c r="I708" s="3">
        <f t="shared" si="13"/>
        <v>134.04599999999999</v>
      </c>
      <c r="J708" s="2">
        <v>103.8</v>
      </c>
      <c r="K708" s="2">
        <v>116.3</v>
      </c>
      <c r="L708" s="4">
        <v>25.513999999999999</v>
      </c>
      <c r="M708" s="3"/>
      <c r="N708" s="3"/>
      <c r="Q708" s="4" t="s">
        <v>101</v>
      </c>
      <c r="R708" s="2" t="s">
        <v>17</v>
      </c>
      <c r="S708" s="2">
        <f>H708*0.28</f>
        <v>37.532879999999999</v>
      </c>
      <c r="T708" s="2">
        <f>L708*0.28</f>
        <v>7.1439200000000005</v>
      </c>
    </row>
    <row r="709" spans="1:20" ht="14.25" customHeight="1">
      <c r="A709" s="2" t="s">
        <v>15</v>
      </c>
      <c r="B709" s="2">
        <v>2007</v>
      </c>
      <c r="C709" s="2" t="s">
        <v>28</v>
      </c>
      <c r="E709" s="2">
        <v>7.3</v>
      </c>
      <c r="F709" s="2">
        <f t="shared" si="14"/>
        <v>2.044</v>
      </c>
      <c r="H709" s="2">
        <v>140.40100000000001</v>
      </c>
      <c r="I709" s="3">
        <f t="shared" si="13"/>
        <v>140.40100000000001</v>
      </c>
      <c r="J709" s="2">
        <v>106.8</v>
      </c>
      <c r="K709" s="2">
        <v>119.2</v>
      </c>
      <c r="L709" s="4">
        <v>26.821000000000002</v>
      </c>
      <c r="M709" s="3"/>
      <c r="N709" s="3"/>
      <c r="Q709" s="4" t="s">
        <v>101</v>
      </c>
      <c r="R709" s="2" t="s">
        <v>17</v>
      </c>
      <c r="S709" s="2">
        <f>H709*0.28</f>
        <v>39.312280000000008</v>
      </c>
      <c r="T709" s="2">
        <f>L709*0.28</f>
        <v>7.5098800000000008</v>
      </c>
    </row>
    <row r="710" spans="1:20" ht="14.25" customHeight="1">
      <c r="A710" s="2" t="s">
        <v>15</v>
      </c>
      <c r="B710" s="2">
        <v>2008</v>
      </c>
      <c r="C710" s="2" t="s">
        <v>28</v>
      </c>
      <c r="E710" s="2">
        <v>7.7</v>
      </c>
      <c r="F710" s="2">
        <f t="shared" si="14"/>
        <v>2.1560000000000001</v>
      </c>
      <c r="H710" s="2">
        <v>142.49799999999999</v>
      </c>
      <c r="I710" s="3">
        <f t="shared" si="13"/>
        <v>142.49799999999999</v>
      </c>
      <c r="J710" s="2">
        <v>92.2</v>
      </c>
      <c r="K710" s="2">
        <v>110.4</v>
      </c>
      <c r="L710" s="4">
        <v>31.388000000000002</v>
      </c>
      <c r="M710" s="3"/>
      <c r="N710" s="3"/>
      <c r="Q710" s="4" t="s">
        <v>101</v>
      </c>
      <c r="R710" s="2" t="s">
        <v>17</v>
      </c>
      <c r="S710" s="2">
        <f>H710*0.28</f>
        <v>39.899439999999998</v>
      </c>
      <c r="T710" s="2">
        <f>L710*0.28</f>
        <v>8.7886400000000009</v>
      </c>
    </row>
    <row r="711" spans="1:20" ht="14.25" customHeight="1">
      <c r="A711" s="2" t="s">
        <v>15</v>
      </c>
      <c r="B711" s="2">
        <v>2009</v>
      </c>
      <c r="C711" s="2" t="s">
        <v>28</v>
      </c>
      <c r="E711" s="2">
        <v>6.5</v>
      </c>
      <c r="F711" s="2">
        <f t="shared" si="14"/>
        <v>1.8200000000000003</v>
      </c>
      <c r="H711" s="2">
        <v>130.39400000000001</v>
      </c>
      <c r="I711" s="3">
        <f t="shared" si="13"/>
        <v>130.39400000000001</v>
      </c>
      <c r="J711" s="2">
        <v>95.8</v>
      </c>
      <c r="K711" s="2">
        <v>114.9</v>
      </c>
      <c r="L711" s="4">
        <v>35.610519999999994</v>
      </c>
      <c r="M711" s="3"/>
      <c r="N711" s="3"/>
      <c r="Q711" s="4" t="s">
        <v>101</v>
      </c>
      <c r="R711" s="2" t="s">
        <v>17</v>
      </c>
      <c r="S711" s="2">
        <f>H711*0.28</f>
        <v>36.510320000000007</v>
      </c>
      <c r="T711" s="2">
        <f>L711*0.28</f>
        <v>9.9709455999999985</v>
      </c>
    </row>
    <row r="712" spans="1:20" ht="14.25" customHeight="1">
      <c r="A712" s="2" t="s">
        <v>15</v>
      </c>
      <c r="B712" s="2">
        <v>2010</v>
      </c>
      <c r="C712" s="2" t="s">
        <v>28</v>
      </c>
      <c r="E712" s="2">
        <v>11.2</v>
      </c>
      <c r="F712" s="2">
        <f t="shared" si="14"/>
        <v>3.1360000000000001</v>
      </c>
      <c r="H712" s="2">
        <v>139.4</v>
      </c>
      <c r="I712" s="3">
        <f t="shared" si="13"/>
        <v>139.4</v>
      </c>
      <c r="J712" s="2">
        <v>98.4</v>
      </c>
      <c r="K712" s="2">
        <v>115.6</v>
      </c>
      <c r="L712" s="4">
        <v>31.519549999999999</v>
      </c>
      <c r="M712" s="3"/>
      <c r="N712" s="3"/>
      <c r="Q712" s="4" t="s">
        <v>101</v>
      </c>
      <c r="R712" s="2" t="s">
        <v>17</v>
      </c>
      <c r="S712" s="2">
        <f>H712*0.28</f>
        <v>39.032000000000004</v>
      </c>
      <c r="T712" s="2">
        <f>L712*0.28</f>
        <v>8.8254739999999998</v>
      </c>
    </row>
    <row r="713" spans="1:20" ht="14.25" customHeight="1">
      <c r="A713" s="2" t="s">
        <v>15</v>
      </c>
      <c r="B713" s="2">
        <v>2011</v>
      </c>
      <c r="C713" s="2" t="s">
        <v>28</v>
      </c>
      <c r="E713" s="2">
        <v>6.6</v>
      </c>
      <c r="F713" s="2">
        <f t="shared" si="14"/>
        <v>1.8480000000000001</v>
      </c>
      <c r="H713" s="2">
        <v>147.4</v>
      </c>
      <c r="I713" s="3">
        <f t="shared" si="13"/>
        <v>147.4</v>
      </c>
      <c r="J713" s="2">
        <v>96.2</v>
      </c>
      <c r="K713" s="2">
        <v>123.3</v>
      </c>
      <c r="L713" s="4">
        <v>27.0578</v>
      </c>
      <c r="M713" s="3"/>
      <c r="N713" s="3"/>
      <c r="Q713" s="4" t="s">
        <v>101</v>
      </c>
      <c r="R713" s="2" t="s">
        <v>17</v>
      </c>
      <c r="S713" s="2">
        <f>H713*0.28</f>
        <v>41.272000000000006</v>
      </c>
      <c r="T713" s="2">
        <f>L713*0.28</f>
        <v>7.5761840000000005</v>
      </c>
    </row>
    <row r="714" spans="1:20" ht="14.25" customHeight="1">
      <c r="A714" s="2" t="s">
        <v>15</v>
      </c>
      <c r="B714" s="2">
        <v>2012</v>
      </c>
      <c r="C714" s="2" t="s">
        <v>28</v>
      </c>
      <c r="E714" s="2">
        <v>14.8</v>
      </c>
      <c r="F714" s="2">
        <f t="shared" si="14"/>
        <v>4.144000000000001</v>
      </c>
      <c r="H714" s="2">
        <v>148.80000000000001</v>
      </c>
      <c r="I714" s="3">
        <f t="shared" si="13"/>
        <v>148.80000000000001</v>
      </c>
      <c r="J714" s="2">
        <v>94.5</v>
      </c>
      <c r="K714" s="2">
        <v>116.2</v>
      </c>
      <c r="L714" s="4">
        <v>27.359400000000001</v>
      </c>
      <c r="M714" s="3"/>
      <c r="N714" s="3"/>
      <c r="Q714" s="4" t="s">
        <v>101</v>
      </c>
      <c r="R714" s="2" t="s">
        <v>17</v>
      </c>
      <c r="S714" s="2">
        <f>H714*0.28</f>
        <v>41.664000000000009</v>
      </c>
      <c r="T714" s="2">
        <f>L714*0.28</f>
        <v>7.6606320000000006</v>
      </c>
    </row>
    <row r="715" spans="1:20" ht="14.25" customHeight="1">
      <c r="A715" s="2" t="s">
        <v>15</v>
      </c>
      <c r="B715" s="2">
        <v>2013</v>
      </c>
      <c r="C715" s="2" t="s">
        <v>28</v>
      </c>
      <c r="E715" s="2">
        <v>7.3</v>
      </c>
      <c r="F715" s="2">
        <f t="shared" si="14"/>
        <v>2.044</v>
      </c>
      <c r="H715" s="2">
        <v>147.9</v>
      </c>
      <c r="I715" s="3">
        <f t="shared" si="13"/>
        <v>147.9</v>
      </c>
      <c r="J715" s="2">
        <v>88.3</v>
      </c>
      <c r="K715" s="2">
        <v>117.5</v>
      </c>
      <c r="L715" s="4">
        <v>26.318000000000001</v>
      </c>
      <c r="M715" s="3"/>
      <c r="N715" s="3"/>
      <c r="Q715" s="4" t="s">
        <v>101</v>
      </c>
      <c r="R715" s="2" t="s">
        <v>17</v>
      </c>
      <c r="S715" s="2">
        <f>H715*0.28</f>
        <v>41.412000000000006</v>
      </c>
      <c r="T715" s="2">
        <f>L715*0.28</f>
        <v>7.3690400000000009</v>
      </c>
    </row>
    <row r="716" spans="1:20" ht="14.25" customHeight="1">
      <c r="A716" s="2" t="s">
        <v>15</v>
      </c>
      <c r="B716" s="2">
        <v>2014</v>
      </c>
      <c r="C716" s="2" t="s">
        <v>28</v>
      </c>
      <c r="E716" s="2">
        <v>8.8000000000000007</v>
      </c>
      <c r="F716" s="2">
        <f t="shared" si="14"/>
        <v>2.4640000000000004</v>
      </c>
      <c r="H716" s="2">
        <v>142.5</v>
      </c>
      <c r="I716" s="3">
        <f t="shared" si="13"/>
        <v>142.5</v>
      </c>
      <c r="J716" s="2">
        <v>81.8</v>
      </c>
      <c r="K716" s="2">
        <v>118.8</v>
      </c>
      <c r="L716" s="4">
        <v>21.6187</v>
      </c>
      <c r="M716" s="3"/>
      <c r="N716" s="3"/>
      <c r="Q716" s="4" t="s">
        <v>101</v>
      </c>
      <c r="R716" s="2" t="s">
        <v>17</v>
      </c>
      <c r="S716" s="2">
        <f>H716*0.28</f>
        <v>39.900000000000006</v>
      </c>
      <c r="T716" s="2">
        <f>L716*0.28</f>
        <v>6.0532360000000009</v>
      </c>
    </row>
    <row r="717" spans="1:20" ht="14.25" customHeight="1">
      <c r="A717" s="2" t="s">
        <v>15</v>
      </c>
      <c r="B717" s="2">
        <v>2015</v>
      </c>
      <c r="C717" s="2" t="s">
        <v>28</v>
      </c>
      <c r="E717" s="2">
        <v>8.6999999999999993</v>
      </c>
      <c r="F717" s="2">
        <f t="shared" si="14"/>
        <v>2.4359999999999999</v>
      </c>
      <c r="H717" s="2">
        <v>141.19999999999999</v>
      </c>
      <c r="I717" s="3">
        <f t="shared" si="13"/>
        <v>141.19999999999999</v>
      </c>
      <c r="J717" s="2">
        <v>80.8</v>
      </c>
      <c r="K717" s="2">
        <v>110.3</v>
      </c>
      <c r="L717" s="4">
        <v>24.157091000000001</v>
      </c>
      <c r="M717" s="3"/>
      <c r="N717" s="3"/>
      <c r="Q717" s="4" t="s">
        <v>101</v>
      </c>
      <c r="R717" s="2" t="s">
        <v>17</v>
      </c>
      <c r="S717" s="2">
        <f>H717*0.28</f>
        <v>39.536000000000001</v>
      </c>
      <c r="T717" s="2">
        <f>L717*0.28</f>
        <v>6.7639854800000005</v>
      </c>
    </row>
    <row r="718" spans="1:20" ht="14.25" customHeight="1">
      <c r="A718" s="2" t="s">
        <v>15</v>
      </c>
      <c r="B718" s="2">
        <v>2016</v>
      </c>
      <c r="C718" s="2" t="s">
        <v>28</v>
      </c>
      <c r="E718" s="2">
        <v>8.6</v>
      </c>
      <c r="F718" s="2">
        <f t="shared" si="14"/>
        <v>2.4079999999999999</v>
      </c>
      <c r="H718" s="2">
        <v>141.80000000000001</v>
      </c>
      <c r="I718" s="3">
        <f t="shared" si="13"/>
        <v>141.80000000000001</v>
      </c>
      <c r="J718" s="2">
        <v>89.4</v>
      </c>
      <c r="K718" s="2">
        <v>118.3</v>
      </c>
      <c r="L718" s="4">
        <v>16.88823</v>
      </c>
      <c r="M718" s="3"/>
      <c r="N718" s="3"/>
      <c r="Q718" s="4" t="s">
        <v>101</v>
      </c>
      <c r="R718" s="2" t="s">
        <v>17</v>
      </c>
      <c r="S718" s="2">
        <f>H718*0.28</f>
        <v>39.704000000000008</v>
      </c>
      <c r="T718" s="2">
        <f>L718*0.28</f>
        <v>4.7287044000000007</v>
      </c>
    </row>
    <row r="719" spans="1:20" ht="14.25" customHeight="1">
      <c r="A719" s="2" t="s">
        <v>15</v>
      </c>
      <c r="B719" s="2">
        <v>2017</v>
      </c>
      <c r="C719" s="2" t="s">
        <v>28</v>
      </c>
      <c r="E719" s="2">
        <v>11.9</v>
      </c>
      <c r="F719" s="2">
        <f t="shared" si="14"/>
        <v>3.3320000000000003</v>
      </c>
      <c r="H719" s="2">
        <v>137.69999999999999</v>
      </c>
      <c r="I719" s="3">
        <f t="shared" si="13"/>
        <v>137.69999999999999</v>
      </c>
      <c r="J719" s="2">
        <v>85.8</v>
      </c>
      <c r="K719" s="2">
        <v>113.6</v>
      </c>
      <c r="L719" s="4">
        <v>18.512080000000001</v>
      </c>
      <c r="M719" s="3"/>
      <c r="N719" s="3"/>
      <c r="Q719" s="4" t="s">
        <v>101</v>
      </c>
      <c r="R719" s="2" t="s">
        <v>17</v>
      </c>
      <c r="S719" s="2">
        <f>H719*0.28</f>
        <v>38.555999999999997</v>
      </c>
      <c r="T719" s="2">
        <f>L719*0.28</f>
        <v>5.1833824000000011</v>
      </c>
    </row>
    <row r="720" spans="1:20" ht="14.25" customHeight="1">
      <c r="A720" s="2" t="s">
        <v>15</v>
      </c>
      <c r="B720" s="2">
        <v>2018</v>
      </c>
      <c r="C720" s="2" t="s">
        <v>28</v>
      </c>
      <c r="E720" s="2">
        <v>14.1</v>
      </c>
      <c r="F720" s="2">
        <f t="shared" si="14"/>
        <v>3.9480000000000004</v>
      </c>
      <c r="H720" s="2">
        <v>124.2</v>
      </c>
      <c r="I720" s="3">
        <f t="shared" si="13"/>
        <v>124.2</v>
      </c>
      <c r="J720" s="2">
        <v>79.5</v>
      </c>
      <c r="K720" s="2">
        <v>114.5</v>
      </c>
      <c r="L720" s="4">
        <v>16.490749999999998</v>
      </c>
      <c r="M720" s="3"/>
      <c r="N720" s="3"/>
      <c r="Q720" s="4" t="s">
        <v>101</v>
      </c>
      <c r="R720" s="2" t="s">
        <v>17</v>
      </c>
      <c r="S720" s="2">
        <f>H720*0.28</f>
        <v>34.776000000000003</v>
      </c>
      <c r="T720" s="2">
        <f>L720*0.28</f>
        <v>4.6174099999999996</v>
      </c>
    </row>
    <row r="721" spans="1:20" ht="14.25" customHeight="1">
      <c r="A721" s="2" t="s">
        <v>15</v>
      </c>
      <c r="B721" s="2">
        <v>2019</v>
      </c>
      <c r="C721" s="2" t="s">
        <v>28</v>
      </c>
      <c r="E721" s="2">
        <v>11.2</v>
      </c>
      <c r="F721" s="2">
        <f t="shared" si="14"/>
        <v>3.1360000000000001</v>
      </c>
      <c r="H721" s="2">
        <v>135.6</v>
      </c>
      <c r="I721" s="3">
        <f t="shared" si="13"/>
        <v>135.6</v>
      </c>
      <c r="J721" s="2">
        <v>82.238076000000007</v>
      </c>
      <c r="K721" s="2">
        <v>130.82545500000001</v>
      </c>
      <c r="L721" s="4">
        <v>16.524999999999999</v>
      </c>
      <c r="M721" s="3"/>
      <c r="N721" s="3"/>
      <c r="Q721" s="4" t="s">
        <v>101</v>
      </c>
      <c r="R721" s="2" t="s">
        <v>17</v>
      </c>
      <c r="S721" s="2">
        <f>H721*0.28</f>
        <v>37.968000000000004</v>
      </c>
      <c r="T721" s="2">
        <f>L721*0.28</f>
        <v>4.6269999999999998</v>
      </c>
    </row>
    <row r="722" spans="1:20" ht="14.25" customHeight="1">
      <c r="A722" s="2" t="s">
        <v>15</v>
      </c>
      <c r="B722" s="2">
        <v>2020</v>
      </c>
      <c r="C722" s="2" t="s">
        <v>28</v>
      </c>
      <c r="E722" s="2">
        <v>8.5027369000000004</v>
      </c>
      <c r="F722" s="2">
        <f t="shared" si="14"/>
        <v>2.3807663320000003</v>
      </c>
      <c r="H722" s="2">
        <v>112.5758659</v>
      </c>
      <c r="I722" s="3">
        <f t="shared" si="13"/>
        <v>112.5758659</v>
      </c>
      <c r="J722" s="2">
        <v>70.405557999999999</v>
      </c>
      <c r="K722" s="2">
        <v>103.163718</v>
      </c>
      <c r="L722" s="4" t="s">
        <v>17</v>
      </c>
      <c r="M722" s="3"/>
      <c r="N722" s="3"/>
      <c r="Q722" s="4" t="s">
        <v>101</v>
      </c>
      <c r="R722" s="2" t="s">
        <v>17</v>
      </c>
      <c r="S722" s="2">
        <v>31.521242452000003</v>
      </c>
      <c r="T722" s="2" t="s">
        <v>17</v>
      </c>
    </row>
    <row r="723" spans="1:20" ht="14.25" customHeight="1">
      <c r="A723" s="2" t="s">
        <v>15</v>
      </c>
      <c r="B723" s="2">
        <v>1900</v>
      </c>
      <c r="C723" s="2" t="s">
        <v>30</v>
      </c>
      <c r="G723" s="3"/>
      <c r="H723" s="3" t="e">
        <v>#N/A</v>
      </c>
      <c r="I723" s="3" t="e">
        <f t="shared" si="13"/>
        <v>#N/A</v>
      </c>
      <c r="J723" s="3" t="e">
        <v>#VALUE!</v>
      </c>
      <c r="K723" s="3" t="e">
        <v>#VALUE!</v>
      </c>
      <c r="L723" s="3"/>
      <c r="M723" s="3"/>
      <c r="N723" s="3"/>
      <c r="Q723" s="4" t="s">
        <v>99</v>
      </c>
      <c r="R723" s="2" t="s">
        <v>17</v>
      </c>
      <c r="S723" s="2" t="s">
        <v>17</v>
      </c>
    </row>
    <row r="724" spans="1:20" ht="14.25" customHeight="1">
      <c r="A724" s="2" t="s">
        <v>15</v>
      </c>
      <c r="B724" s="2">
        <v>1901</v>
      </c>
      <c r="C724" s="2" t="s">
        <v>30</v>
      </c>
      <c r="G724" s="3"/>
      <c r="H724" s="3" t="e">
        <v>#N/A</v>
      </c>
      <c r="I724" s="3" t="e">
        <f t="shared" si="13"/>
        <v>#N/A</v>
      </c>
      <c r="J724" s="3" t="e">
        <v>#N/A</v>
      </c>
      <c r="K724" s="3" t="e">
        <v>#N/A</v>
      </c>
      <c r="L724" s="3"/>
      <c r="M724" s="3"/>
      <c r="N724" s="3"/>
      <c r="Q724" s="4" t="s">
        <v>99</v>
      </c>
      <c r="R724" s="2" t="s">
        <v>17</v>
      </c>
      <c r="S724" s="2" t="s">
        <v>17</v>
      </c>
    </row>
    <row r="725" spans="1:20" ht="14.25" customHeight="1">
      <c r="A725" s="2" t="s">
        <v>15</v>
      </c>
      <c r="B725" s="2">
        <v>1902</v>
      </c>
      <c r="C725" s="2" t="s">
        <v>30</v>
      </c>
      <c r="G725" s="3"/>
      <c r="H725" s="3" t="e">
        <v>#N/A</v>
      </c>
      <c r="I725" s="3" t="e">
        <f t="shared" si="13"/>
        <v>#N/A</v>
      </c>
      <c r="J725" s="3" t="e">
        <v>#N/A</v>
      </c>
      <c r="K725" s="3" t="e">
        <v>#N/A</v>
      </c>
      <c r="L725" s="3"/>
      <c r="M725" s="3"/>
      <c r="N725" s="3"/>
      <c r="Q725" s="4" t="s">
        <v>99</v>
      </c>
      <c r="R725" s="2" t="s">
        <v>17</v>
      </c>
      <c r="S725" s="2" t="s">
        <v>17</v>
      </c>
    </row>
    <row r="726" spans="1:20" ht="14.25" customHeight="1">
      <c r="A726" s="2" t="s">
        <v>15</v>
      </c>
      <c r="B726" s="2">
        <v>1903</v>
      </c>
      <c r="C726" s="2" t="s">
        <v>30</v>
      </c>
      <c r="G726" s="3"/>
      <c r="H726" s="3" t="e">
        <v>#N/A</v>
      </c>
      <c r="I726" s="3" t="e">
        <f t="shared" si="13"/>
        <v>#N/A</v>
      </c>
      <c r="J726" s="3" t="e">
        <v>#N/A</v>
      </c>
      <c r="K726" s="3" t="e">
        <v>#N/A</v>
      </c>
      <c r="L726" s="3"/>
      <c r="M726" s="3"/>
      <c r="N726" s="3"/>
      <c r="Q726" s="4" t="s">
        <v>99</v>
      </c>
      <c r="R726" s="2" t="s">
        <v>17</v>
      </c>
      <c r="S726" s="2" t="s">
        <v>17</v>
      </c>
    </row>
    <row r="727" spans="1:20" ht="14.25" customHeight="1">
      <c r="A727" s="2" t="s">
        <v>15</v>
      </c>
      <c r="B727" s="2">
        <v>1904</v>
      </c>
      <c r="C727" s="2" t="s">
        <v>30</v>
      </c>
      <c r="G727" s="3"/>
      <c r="H727" s="3" t="e">
        <v>#N/A</v>
      </c>
      <c r="I727" s="3" t="e">
        <f t="shared" si="13"/>
        <v>#N/A</v>
      </c>
      <c r="J727" s="3" t="e">
        <v>#N/A</v>
      </c>
      <c r="K727" s="3" t="e">
        <v>#N/A</v>
      </c>
      <c r="L727" s="3"/>
      <c r="M727" s="3"/>
      <c r="N727" s="3"/>
      <c r="Q727" s="4" t="s">
        <v>99</v>
      </c>
      <c r="R727" s="2" t="s">
        <v>17</v>
      </c>
      <c r="S727" s="2" t="s">
        <v>17</v>
      </c>
    </row>
    <row r="728" spans="1:20" ht="14.25" customHeight="1">
      <c r="A728" s="2" t="s">
        <v>15</v>
      </c>
      <c r="B728" s="2">
        <v>1905</v>
      </c>
      <c r="C728" s="2" t="s">
        <v>30</v>
      </c>
      <c r="G728" s="3"/>
      <c r="H728" s="3" t="e">
        <v>#N/A</v>
      </c>
      <c r="I728" s="3" t="e">
        <f t="shared" si="13"/>
        <v>#N/A</v>
      </c>
      <c r="J728" s="3" t="e">
        <v>#VALUE!</v>
      </c>
      <c r="K728" s="3" t="e">
        <v>#VALUE!</v>
      </c>
      <c r="L728" s="3"/>
      <c r="M728" s="3"/>
      <c r="N728" s="3"/>
      <c r="Q728" s="4" t="s">
        <v>99</v>
      </c>
      <c r="R728" s="2" t="s">
        <v>17</v>
      </c>
      <c r="S728" s="2" t="s">
        <v>17</v>
      </c>
    </row>
    <row r="729" spans="1:20" ht="14.25" customHeight="1">
      <c r="A729" s="2" t="s">
        <v>15</v>
      </c>
      <c r="B729" s="2">
        <v>1906</v>
      </c>
      <c r="C729" s="2" t="s">
        <v>30</v>
      </c>
      <c r="G729" s="3"/>
      <c r="H729" s="3" t="e">
        <v>#N/A</v>
      </c>
      <c r="I729" s="3" t="e">
        <f t="shared" si="13"/>
        <v>#N/A</v>
      </c>
      <c r="J729" s="3" t="e">
        <v>#N/A</v>
      </c>
      <c r="K729" s="3" t="e">
        <v>#N/A</v>
      </c>
      <c r="L729" s="3"/>
      <c r="M729" s="3"/>
      <c r="N729" s="3"/>
      <c r="Q729" s="4" t="s">
        <v>99</v>
      </c>
      <c r="R729" s="2" t="s">
        <v>17</v>
      </c>
      <c r="S729" s="2" t="s">
        <v>17</v>
      </c>
    </row>
    <row r="730" spans="1:20" ht="14.25" customHeight="1">
      <c r="A730" s="2" t="s">
        <v>15</v>
      </c>
      <c r="B730" s="2">
        <v>1907</v>
      </c>
      <c r="C730" s="2" t="s">
        <v>30</v>
      </c>
      <c r="G730" s="3"/>
      <c r="H730" s="3" t="e">
        <v>#N/A</v>
      </c>
      <c r="I730" s="3" t="e">
        <f t="shared" si="13"/>
        <v>#N/A</v>
      </c>
      <c r="J730" s="3" t="e">
        <v>#N/A</v>
      </c>
      <c r="K730" s="3" t="e">
        <v>#N/A</v>
      </c>
      <c r="L730" s="3"/>
      <c r="M730" s="3"/>
      <c r="N730" s="3"/>
      <c r="Q730" s="4" t="s">
        <v>99</v>
      </c>
      <c r="R730" s="2" t="s">
        <v>17</v>
      </c>
      <c r="S730" s="2" t="s">
        <v>17</v>
      </c>
    </row>
    <row r="731" spans="1:20" ht="14.25" customHeight="1">
      <c r="A731" s="2" t="s">
        <v>15</v>
      </c>
      <c r="B731" s="2">
        <v>1908</v>
      </c>
      <c r="C731" s="2" t="s">
        <v>30</v>
      </c>
      <c r="G731" s="3"/>
      <c r="H731" s="3" t="e">
        <v>#N/A</v>
      </c>
      <c r="I731" s="3" t="e">
        <f t="shared" si="13"/>
        <v>#N/A</v>
      </c>
      <c r="J731" s="3" t="e">
        <v>#N/A</v>
      </c>
      <c r="K731" s="3" t="e">
        <v>#N/A</v>
      </c>
      <c r="L731" s="3"/>
      <c r="M731" s="3"/>
      <c r="N731" s="3"/>
      <c r="Q731" s="4" t="s">
        <v>99</v>
      </c>
      <c r="R731" s="2" t="s">
        <v>17</v>
      </c>
      <c r="S731" s="2" t="s">
        <v>17</v>
      </c>
    </row>
    <row r="732" spans="1:20" ht="14.25" customHeight="1">
      <c r="A732" s="2" t="s">
        <v>15</v>
      </c>
      <c r="B732" s="2">
        <v>1909</v>
      </c>
      <c r="C732" s="2" t="s">
        <v>30</v>
      </c>
      <c r="G732" s="3"/>
      <c r="H732" s="3" t="e">
        <v>#N/A</v>
      </c>
      <c r="I732" s="3" t="e">
        <f t="shared" si="13"/>
        <v>#N/A</v>
      </c>
      <c r="J732" s="3" t="e">
        <v>#N/A</v>
      </c>
      <c r="K732" s="3" t="e">
        <v>#N/A</v>
      </c>
      <c r="L732" s="3"/>
      <c r="M732" s="3"/>
      <c r="N732" s="3"/>
      <c r="Q732" s="4" t="s">
        <v>99</v>
      </c>
      <c r="R732" s="2" t="s">
        <v>17</v>
      </c>
      <c r="S732" s="2" t="s">
        <v>17</v>
      </c>
    </row>
    <row r="733" spans="1:20" ht="14.25" customHeight="1">
      <c r="A733" s="2" t="s">
        <v>15</v>
      </c>
      <c r="B733" s="2">
        <v>1910</v>
      </c>
      <c r="C733" s="2" t="s">
        <v>30</v>
      </c>
      <c r="G733" s="3"/>
      <c r="H733" s="3" t="e">
        <v>#N/A</v>
      </c>
      <c r="I733" s="3" t="e">
        <f t="shared" si="13"/>
        <v>#N/A</v>
      </c>
      <c r="J733" s="3" t="e">
        <v>#VALUE!</v>
      </c>
      <c r="K733" s="3" t="e">
        <v>#VALUE!</v>
      </c>
      <c r="L733" s="3"/>
      <c r="M733" s="3"/>
      <c r="N733" s="3"/>
      <c r="Q733" s="4" t="s">
        <v>99</v>
      </c>
      <c r="R733" s="2" t="s">
        <v>17</v>
      </c>
      <c r="S733" s="2" t="s">
        <v>17</v>
      </c>
    </row>
    <row r="734" spans="1:20" ht="14.25" customHeight="1">
      <c r="A734" s="2" t="s">
        <v>15</v>
      </c>
      <c r="B734" s="2">
        <v>1911</v>
      </c>
      <c r="C734" s="2" t="s">
        <v>30</v>
      </c>
      <c r="G734" s="3"/>
      <c r="H734" s="3" t="e">
        <v>#N/A</v>
      </c>
      <c r="I734" s="3" t="e">
        <f t="shared" si="13"/>
        <v>#N/A</v>
      </c>
      <c r="J734" s="3" t="e">
        <v>#N/A</v>
      </c>
      <c r="K734" s="3" t="e">
        <v>#N/A</v>
      </c>
      <c r="L734" s="3"/>
      <c r="M734" s="3"/>
      <c r="N734" s="3"/>
      <c r="Q734" s="4" t="s">
        <v>99</v>
      </c>
      <c r="R734" s="2" t="s">
        <v>17</v>
      </c>
      <c r="S734" s="2" t="s">
        <v>17</v>
      </c>
    </row>
    <row r="735" spans="1:20" ht="14.25" customHeight="1">
      <c r="A735" s="2" t="s">
        <v>15</v>
      </c>
      <c r="B735" s="2">
        <v>1912</v>
      </c>
      <c r="C735" s="2" t="s">
        <v>30</v>
      </c>
      <c r="G735" s="3"/>
      <c r="H735" s="3" t="e">
        <v>#N/A</v>
      </c>
      <c r="I735" s="3" t="e">
        <f t="shared" si="13"/>
        <v>#N/A</v>
      </c>
      <c r="J735" s="3" t="e">
        <v>#N/A</v>
      </c>
      <c r="K735" s="3" t="e">
        <v>#N/A</v>
      </c>
      <c r="L735" s="3"/>
      <c r="M735" s="3"/>
      <c r="N735" s="3"/>
      <c r="Q735" s="4" t="s">
        <v>99</v>
      </c>
      <c r="R735" s="2" t="s">
        <v>17</v>
      </c>
      <c r="S735" s="2" t="s">
        <v>17</v>
      </c>
    </row>
    <row r="736" spans="1:20" ht="14.25" customHeight="1">
      <c r="A736" s="2" t="s">
        <v>15</v>
      </c>
      <c r="B736" s="2">
        <v>1913</v>
      </c>
      <c r="C736" s="2" t="s">
        <v>30</v>
      </c>
      <c r="G736" s="3"/>
      <c r="H736" s="3" t="e">
        <v>#N/A</v>
      </c>
      <c r="I736" s="3" t="e">
        <f t="shared" si="13"/>
        <v>#N/A</v>
      </c>
      <c r="J736" s="3" t="e">
        <v>#N/A</v>
      </c>
      <c r="K736" s="3" t="e">
        <v>#N/A</v>
      </c>
      <c r="L736" s="3"/>
      <c r="M736" s="3"/>
      <c r="N736" s="3"/>
      <c r="Q736" s="4" t="s">
        <v>99</v>
      </c>
      <c r="R736" s="2" t="s">
        <v>17</v>
      </c>
      <c r="S736" s="2" t="s">
        <v>17</v>
      </c>
    </row>
    <row r="737" spans="1:19" ht="14.25" customHeight="1">
      <c r="A737" s="2" t="s">
        <v>15</v>
      </c>
      <c r="B737" s="2">
        <v>1914</v>
      </c>
      <c r="C737" s="2" t="s">
        <v>30</v>
      </c>
      <c r="G737" s="3"/>
      <c r="H737" s="3" t="e">
        <v>#N/A</v>
      </c>
      <c r="I737" s="3" t="e">
        <f t="shared" si="13"/>
        <v>#N/A</v>
      </c>
      <c r="J737" s="3" t="e">
        <v>#VALUE!</v>
      </c>
      <c r="K737" s="3" t="e">
        <v>#VALUE!</v>
      </c>
      <c r="L737" s="3"/>
      <c r="M737" s="3"/>
      <c r="N737" s="3"/>
      <c r="Q737" s="4" t="s">
        <v>100</v>
      </c>
      <c r="R737" s="2" t="s">
        <v>17</v>
      </c>
      <c r="S737" s="2" t="s">
        <v>17</v>
      </c>
    </row>
    <row r="738" spans="1:19" ht="14.25" customHeight="1">
      <c r="A738" s="2" t="s">
        <v>15</v>
      </c>
      <c r="B738" s="2">
        <v>1915</v>
      </c>
      <c r="C738" s="2" t="s">
        <v>30</v>
      </c>
      <c r="G738" s="3"/>
      <c r="H738" s="3" t="e">
        <v>#N/A</v>
      </c>
      <c r="I738" s="3" t="e">
        <f t="shared" si="13"/>
        <v>#N/A</v>
      </c>
      <c r="J738" s="3" t="e">
        <v>#VALUE!</v>
      </c>
      <c r="K738" s="3" t="e">
        <v>#VALUE!</v>
      </c>
      <c r="L738" s="3"/>
      <c r="M738" s="3"/>
      <c r="N738" s="3"/>
      <c r="Q738" s="4" t="s">
        <v>100</v>
      </c>
      <c r="R738" s="2" t="s">
        <v>17</v>
      </c>
      <c r="S738" s="2" t="s">
        <v>17</v>
      </c>
    </row>
    <row r="739" spans="1:19" ht="14.25" customHeight="1">
      <c r="A739" s="2" t="s">
        <v>15</v>
      </c>
      <c r="B739" s="2">
        <v>1916</v>
      </c>
      <c r="C739" s="2" t="s">
        <v>30</v>
      </c>
      <c r="G739" s="3"/>
      <c r="H739" s="3" t="e">
        <v>#N/A</v>
      </c>
      <c r="I739" s="3" t="e">
        <f t="shared" si="13"/>
        <v>#N/A</v>
      </c>
      <c r="J739" s="3" t="e">
        <v>#VALUE!</v>
      </c>
      <c r="K739" s="3" t="e">
        <v>#VALUE!</v>
      </c>
      <c r="L739" s="3"/>
      <c r="M739" s="3"/>
      <c r="N739" s="3"/>
      <c r="Q739" s="4" t="s">
        <v>100</v>
      </c>
      <c r="R739" s="2" t="s">
        <v>17</v>
      </c>
      <c r="S739" s="2" t="s">
        <v>17</v>
      </c>
    </row>
    <row r="740" spans="1:19" ht="14.25" customHeight="1">
      <c r="A740" s="2" t="s">
        <v>15</v>
      </c>
      <c r="B740" s="2">
        <v>1917</v>
      </c>
      <c r="C740" s="2" t="s">
        <v>30</v>
      </c>
      <c r="G740" s="3"/>
      <c r="H740" s="3" t="e">
        <v>#N/A</v>
      </c>
      <c r="I740" s="3" t="e">
        <f t="shared" si="13"/>
        <v>#N/A</v>
      </c>
      <c r="J740" s="3" t="e">
        <v>#VALUE!</v>
      </c>
      <c r="K740" s="3" t="e">
        <v>#VALUE!</v>
      </c>
      <c r="L740" s="3"/>
      <c r="M740" s="3"/>
      <c r="N740" s="3"/>
      <c r="Q740" s="4" t="s">
        <v>100</v>
      </c>
      <c r="R740" s="2" t="s">
        <v>17</v>
      </c>
      <c r="S740" s="2" t="s">
        <v>17</v>
      </c>
    </row>
    <row r="741" spans="1:19" ht="14.25" customHeight="1">
      <c r="A741" s="2" t="s">
        <v>15</v>
      </c>
      <c r="B741" s="2">
        <v>1918</v>
      </c>
      <c r="C741" s="2" t="s">
        <v>30</v>
      </c>
      <c r="G741" s="3"/>
      <c r="H741" s="3" t="e">
        <v>#N/A</v>
      </c>
      <c r="I741" s="3" t="e">
        <f t="shared" si="13"/>
        <v>#N/A</v>
      </c>
      <c r="J741" s="3" t="e">
        <v>#VALUE!</v>
      </c>
      <c r="K741" s="3" t="e">
        <v>#VALUE!</v>
      </c>
      <c r="L741" s="3"/>
      <c r="M741" s="3"/>
      <c r="N741" s="3"/>
      <c r="Q741" s="4" t="s">
        <v>100</v>
      </c>
      <c r="R741" s="2" t="s">
        <v>17</v>
      </c>
      <c r="S741" s="2" t="s">
        <v>17</v>
      </c>
    </row>
    <row r="742" spans="1:19" ht="14.25" customHeight="1">
      <c r="A742" s="2" t="s">
        <v>15</v>
      </c>
      <c r="B742" s="2">
        <v>1919</v>
      </c>
      <c r="C742" s="2" t="s">
        <v>30</v>
      </c>
      <c r="G742" s="3"/>
      <c r="H742" s="3" t="e">
        <v>#N/A</v>
      </c>
      <c r="I742" s="3" t="e">
        <f t="shared" si="13"/>
        <v>#N/A</v>
      </c>
      <c r="J742" s="3" t="e">
        <v>#VALUE!</v>
      </c>
      <c r="K742" s="3" t="e">
        <v>#VALUE!</v>
      </c>
      <c r="L742" s="3"/>
      <c r="M742" s="3"/>
      <c r="N742" s="3"/>
      <c r="Q742" s="4" t="s">
        <v>99</v>
      </c>
      <c r="R742" s="2" t="s">
        <v>17</v>
      </c>
      <c r="S742" s="2" t="s">
        <v>17</v>
      </c>
    </row>
    <row r="743" spans="1:19" ht="14.25" customHeight="1">
      <c r="A743" s="2" t="s">
        <v>15</v>
      </c>
      <c r="B743" s="2">
        <v>1920</v>
      </c>
      <c r="C743" s="2" t="s">
        <v>30</v>
      </c>
      <c r="G743" s="3"/>
      <c r="H743" s="3" t="e">
        <v>#N/A</v>
      </c>
      <c r="I743" s="3" t="e">
        <f t="shared" si="13"/>
        <v>#N/A</v>
      </c>
      <c r="J743" s="3" t="e">
        <v>#VALUE!</v>
      </c>
      <c r="K743" s="3" t="e">
        <v>#VALUE!</v>
      </c>
      <c r="L743" s="3"/>
      <c r="M743" s="3"/>
      <c r="N743" s="3"/>
      <c r="Q743" s="4" t="s">
        <v>99</v>
      </c>
      <c r="R743" s="2" t="s">
        <v>17</v>
      </c>
      <c r="S743" s="2" t="s">
        <v>17</v>
      </c>
    </row>
    <row r="744" spans="1:19" ht="14.25" customHeight="1">
      <c r="A744" s="2" t="s">
        <v>15</v>
      </c>
      <c r="B744" s="2">
        <v>1921</v>
      </c>
      <c r="C744" s="2" t="s">
        <v>30</v>
      </c>
      <c r="G744" s="3"/>
      <c r="H744" s="3" t="e">
        <v>#N/A</v>
      </c>
      <c r="I744" s="3" t="e">
        <f t="shared" si="13"/>
        <v>#N/A</v>
      </c>
      <c r="J744" s="3" t="e">
        <v>#N/A</v>
      </c>
      <c r="K744" s="3" t="e">
        <v>#N/A</v>
      </c>
      <c r="L744" s="3"/>
      <c r="M744" s="3"/>
      <c r="N744" s="3"/>
      <c r="Q744" s="4" t="s">
        <v>99</v>
      </c>
      <c r="R744" s="2" t="s">
        <v>17</v>
      </c>
      <c r="S744" s="2" t="s">
        <v>17</v>
      </c>
    </row>
    <row r="745" spans="1:19" ht="14.25" customHeight="1">
      <c r="A745" s="2" t="s">
        <v>15</v>
      </c>
      <c r="B745" s="2">
        <v>1922</v>
      </c>
      <c r="C745" s="2" t="s">
        <v>30</v>
      </c>
      <c r="G745" s="3"/>
      <c r="H745" s="3" t="e">
        <v>#N/A</v>
      </c>
      <c r="I745" s="3" t="e">
        <f t="shared" si="13"/>
        <v>#N/A</v>
      </c>
      <c r="J745" s="3" t="e">
        <v>#N/A</v>
      </c>
      <c r="K745" s="3" t="e">
        <v>#N/A</v>
      </c>
      <c r="L745" s="3"/>
      <c r="M745" s="3"/>
      <c r="N745" s="3"/>
      <c r="Q745" s="4" t="s">
        <v>99</v>
      </c>
      <c r="R745" s="2" t="s">
        <v>17</v>
      </c>
      <c r="S745" s="2" t="s">
        <v>17</v>
      </c>
    </row>
    <row r="746" spans="1:19" ht="14.25" customHeight="1">
      <c r="A746" s="2" t="s">
        <v>15</v>
      </c>
      <c r="B746" s="2">
        <v>1923</v>
      </c>
      <c r="C746" s="2" t="s">
        <v>30</v>
      </c>
      <c r="G746" s="3"/>
      <c r="H746" s="3" t="e">
        <v>#N/A</v>
      </c>
      <c r="I746" s="3" t="e">
        <f t="shared" si="13"/>
        <v>#N/A</v>
      </c>
      <c r="J746" s="3" t="e">
        <v>#N/A</v>
      </c>
      <c r="K746" s="3" t="e">
        <v>#N/A</v>
      </c>
      <c r="L746" s="3"/>
      <c r="M746" s="3"/>
      <c r="N746" s="3"/>
      <c r="Q746" s="4" t="s">
        <v>99</v>
      </c>
      <c r="R746" s="2" t="s">
        <v>17</v>
      </c>
      <c r="S746" s="2" t="s">
        <v>17</v>
      </c>
    </row>
    <row r="747" spans="1:19" ht="14.25" customHeight="1">
      <c r="A747" s="2" t="s">
        <v>15</v>
      </c>
      <c r="B747" s="2">
        <v>1924</v>
      </c>
      <c r="C747" s="2" t="s">
        <v>30</v>
      </c>
      <c r="G747" s="3"/>
      <c r="H747" s="3" t="e">
        <v>#N/A</v>
      </c>
      <c r="I747" s="3" t="e">
        <f t="shared" si="13"/>
        <v>#N/A</v>
      </c>
      <c r="J747" s="3" t="e">
        <v>#N/A</v>
      </c>
      <c r="K747" s="3" t="e">
        <v>#N/A</v>
      </c>
      <c r="L747" s="3"/>
      <c r="M747" s="3"/>
      <c r="N747" s="3"/>
      <c r="Q747" s="4" t="s">
        <v>99</v>
      </c>
      <c r="R747" s="2" t="s">
        <v>17</v>
      </c>
      <c r="S747" s="2" t="s">
        <v>17</v>
      </c>
    </row>
    <row r="748" spans="1:19" ht="14.25" customHeight="1">
      <c r="A748" s="2" t="s">
        <v>15</v>
      </c>
      <c r="B748" s="2">
        <v>1925</v>
      </c>
      <c r="C748" s="2" t="s">
        <v>30</v>
      </c>
      <c r="G748" s="3"/>
      <c r="H748" s="3" t="e">
        <v>#N/A</v>
      </c>
      <c r="I748" s="3" t="e">
        <f t="shared" si="13"/>
        <v>#N/A</v>
      </c>
      <c r="J748" s="3" t="e">
        <v>#VALUE!</v>
      </c>
      <c r="K748" s="3" t="e">
        <v>#VALUE!</v>
      </c>
      <c r="L748" s="3"/>
      <c r="M748" s="3"/>
      <c r="N748" s="3"/>
      <c r="Q748" s="4" t="s">
        <v>99</v>
      </c>
      <c r="R748" s="2" t="s">
        <v>17</v>
      </c>
      <c r="S748" s="2" t="s">
        <v>17</v>
      </c>
    </row>
    <row r="749" spans="1:19" ht="14.25" customHeight="1">
      <c r="A749" s="2" t="s">
        <v>15</v>
      </c>
      <c r="B749" s="2">
        <v>1926</v>
      </c>
      <c r="C749" s="2" t="s">
        <v>30</v>
      </c>
      <c r="G749" s="3"/>
      <c r="H749" s="3" t="e">
        <v>#N/A</v>
      </c>
      <c r="I749" s="3" t="e">
        <f t="shared" si="13"/>
        <v>#N/A</v>
      </c>
      <c r="J749" s="3" t="e">
        <v>#N/A</v>
      </c>
      <c r="K749" s="3" t="e">
        <v>#N/A</v>
      </c>
      <c r="L749" s="3"/>
      <c r="M749" s="3"/>
      <c r="N749" s="3"/>
      <c r="Q749" s="4" t="s">
        <v>99</v>
      </c>
      <c r="R749" s="2" t="s">
        <v>17</v>
      </c>
      <c r="S749" s="2" t="s">
        <v>17</v>
      </c>
    </row>
    <row r="750" spans="1:19" ht="14.25" customHeight="1">
      <c r="A750" s="2" t="s">
        <v>15</v>
      </c>
      <c r="B750" s="2">
        <v>1927</v>
      </c>
      <c r="C750" s="2" t="s">
        <v>30</v>
      </c>
      <c r="G750" s="3"/>
      <c r="H750" s="3" t="e">
        <v>#N/A</v>
      </c>
      <c r="I750" s="3" t="e">
        <f t="shared" si="13"/>
        <v>#N/A</v>
      </c>
      <c r="J750" s="3" t="e">
        <v>#N/A</v>
      </c>
      <c r="K750" s="3" t="e">
        <v>#N/A</v>
      </c>
      <c r="L750" s="3"/>
      <c r="M750" s="3"/>
      <c r="N750" s="3"/>
      <c r="Q750" s="4" t="s">
        <v>99</v>
      </c>
      <c r="R750" s="2" t="s">
        <v>17</v>
      </c>
      <c r="S750" s="2" t="s">
        <v>17</v>
      </c>
    </row>
    <row r="751" spans="1:19" ht="14.25" customHeight="1">
      <c r="A751" s="2" t="s">
        <v>15</v>
      </c>
      <c r="B751" s="2">
        <v>1928</v>
      </c>
      <c r="C751" s="2" t="s">
        <v>30</v>
      </c>
      <c r="G751" s="3"/>
      <c r="H751" s="3" t="e">
        <v>#N/A</v>
      </c>
      <c r="I751" s="3" t="e">
        <f t="shared" si="13"/>
        <v>#N/A</v>
      </c>
      <c r="J751" s="3" t="e">
        <v>#N/A</v>
      </c>
      <c r="K751" s="3" t="e">
        <v>#N/A</v>
      </c>
      <c r="L751" s="3"/>
      <c r="M751" s="3"/>
      <c r="N751" s="3"/>
      <c r="Q751" s="4" t="s">
        <v>99</v>
      </c>
      <c r="R751" s="2" t="s">
        <v>17</v>
      </c>
      <c r="S751" s="2" t="s">
        <v>17</v>
      </c>
    </row>
    <row r="752" spans="1:19" ht="14.25" customHeight="1">
      <c r="A752" s="2" t="s">
        <v>15</v>
      </c>
      <c r="B752" s="2">
        <v>1929</v>
      </c>
      <c r="C752" s="2" t="s">
        <v>30</v>
      </c>
      <c r="G752" s="3"/>
      <c r="H752" s="3" t="e">
        <v>#N/A</v>
      </c>
      <c r="I752" s="3" t="e">
        <f t="shared" si="13"/>
        <v>#N/A</v>
      </c>
      <c r="J752" s="3" t="e">
        <v>#N/A</v>
      </c>
      <c r="K752" s="3" t="e">
        <v>#N/A</v>
      </c>
      <c r="L752" s="3"/>
      <c r="M752" s="3"/>
      <c r="N752" s="3"/>
      <c r="Q752" s="4" t="s">
        <v>99</v>
      </c>
      <c r="R752" s="2" t="s">
        <v>17</v>
      </c>
      <c r="S752" s="2" t="s">
        <v>17</v>
      </c>
    </row>
    <row r="753" spans="1:19" ht="14.25" customHeight="1">
      <c r="A753" s="2" t="s">
        <v>15</v>
      </c>
      <c r="B753" s="2">
        <v>1930</v>
      </c>
      <c r="C753" s="2" t="s">
        <v>30</v>
      </c>
      <c r="G753" s="3"/>
      <c r="H753" s="3" t="e">
        <v>#N/A</v>
      </c>
      <c r="I753" s="3" t="e">
        <f t="shared" si="13"/>
        <v>#N/A</v>
      </c>
      <c r="J753" s="3" t="e">
        <v>#VALUE!</v>
      </c>
      <c r="K753" s="3" t="e">
        <v>#VALUE!</v>
      </c>
      <c r="L753" s="3"/>
      <c r="M753" s="3"/>
      <c r="N753" s="3"/>
      <c r="Q753" s="4" t="s">
        <v>99</v>
      </c>
      <c r="R753" s="2" t="s">
        <v>17</v>
      </c>
      <c r="S753" s="2" t="s">
        <v>17</v>
      </c>
    </row>
    <row r="754" spans="1:19" ht="14.25" customHeight="1">
      <c r="A754" s="2" t="s">
        <v>15</v>
      </c>
      <c r="B754" s="2">
        <v>1931</v>
      </c>
      <c r="C754" s="2" t="s">
        <v>30</v>
      </c>
      <c r="G754" s="3"/>
      <c r="H754" s="3" t="e">
        <v>#N/A</v>
      </c>
      <c r="I754" s="3" t="e">
        <f t="shared" si="13"/>
        <v>#N/A</v>
      </c>
      <c r="J754" s="3" t="e">
        <v>#N/A</v>
      </c>
      <c r="K754" s="3" t="e">
        <v>#N/A</v>
      </c>
      <c r="L754" s="3"/>
      <c r="M754" s="3"/>
      <c r="N754" s="3"/>
      <c r="Q754" s="4" t="s">
        <v>99</v>
      </c>
      <c r="R754" s="2" t="s">
        <v>17</v>
      </c>
      <c r="S754" s="2" t="s">
        <v>17</v>
      </c>
    </row>
    <row r="755" spans="1:19" ht="14.25" customHeight="1">
      <c r="A755" s="2" t="s">
        <v>15</v>
      </c>
      <c r="B755" s="2">
        <v>1932</v>
      </c>
      <c r="C755" s="2" t="s">
        <v>30</v>
      </c>
      <c r="G755" s="3"/>
      <c r="H755" s="3" t="e">
        <v>#N/A</v>
      </c>
      <c r="I755" s="3" t="e">
        <f t="shared" si="13"/>
        <v>#N/A</v>
      </c>
      <c r="J755" s="3" t="e">
        <v>#N/A</v>
      </c>
      <c r="K755" s="3" t="e">
        <v>#N/A</v>
      </c>
      <c r="L755" s="3"/>
      <c r="M755" s="3"/>
      <c r="N755" s="3"/>
      <c r="Q755" s="4" t="s">
        <v>99</v>
      </c>
      <c r="R755" s="2" t="s">
        <v>17</v>
      </c>
      <c r="S755" s="2" t="s">
        <v>17</v>
      </c>
    </row>
    <row r="756" spans="1:19" ht="14.25" customHeight="1">
      <c r="A756" s="2" t="s">
        <v>15</v>
      </c>
      <c r="B756" s="2">
        <v>1933</v>
      </c>
      <c r="C756" s="2" t="s">
        <v>30</v>
      </c>
      <c r="G756" s="3"/>
      <c r="H756" s="3" t="e">
        <v>#N/A</v>
      </c>
      <c r="I756" s="3" t="e">
        <f t="shared" si="13"/>
        <v>#N/A</v>
      </c>
      <c r="J756" s="3" t="e">
        <v>#N/A</v>
      </c>
      <c r="K756" s="3" t="e">
        <v>#N/A</v>
      </c>
      <c r="L756" s="3"/>
      <c r="M756" s="3"/>
      <c r="N756" s="3"/>
      <c r="Q756" s="4" t="s">
        <v>99</v>
      </c>
      <c r="R756" s="2" t="s">
        <v>17</v>
      </c>
      <c r="S756" s="2" t="s">
        <v>17</v>
      </c>
    </row>
    <row r="757" spans="1:19" ht="14.25" customHeight="1">
      <c r="A757" s="2" t="s">
        <v>15</v>
      </c>
      <c r="B757" s="2">
        <v>1934</v>
      </c>
      <c r="C757" s="2" t="s">
        <v>30</v>
      </c>
      <c r="G757" s="3"/>
      <c r="H757" s="3" t="e">
        <v>#N/A</v>
      </c>
      <c r="I757" s="3" t="e">
        <f t="shared" si="13"/>
        <v>#N/A</v>
      </c>
      <c r="J757" s="3" t="e">
        <v>#N/A</v>
      </c>
      <c r="K757" s="3" t="e">
        <v>#N/A</v>
      </c>
      <c r="L757" s="3"/>
      <c r="M757" s="3"/>
      <c r="N757" s="3"/>
      <c r="Q757" s="4" t="s">
        <v>99</v>
      </c>
      <c r="R757" s="2" t="s">
        <v>17</v>
      </c>
      <c r="S757" s="2" t="s">
        <v>17</v>
      </c>
    </row>
    <row r="758" spans="1:19" ht="14.25" customHeight="1">
      <c r="A758" s="2" t="s">
        <v>15</v>
      </c>
      <c r="B758" s="2">
        <v>1935</v>
      </c>
      <c r="C758" s="2" t="s">
        <v>30</v>
      </c>
      <c r="G758" s="3"/>
      <c r="H758" s="3" t="e">
        <v>#N/A</v>
      </c>
      <c r="I758" s="3" t="e">
        <f t="shared" si="13"/>
        <v>#N/A</v>
      </c>
      <c r="J758" s="3" t="e">
        <v>#VALUE!</v>
      </c>
      <c r="K758" s="3">
        <v>1.640367811420443</v>
      </c>
      <c r="L758" s="3"/>
      <c r="M758" s="3"/>
      <c r="N758" s="3"/>
      <c r="Q758" s="4" t="s">
        <v>99</v>
      </c>
      <c r="R758" s="2" t="s">
        <v>17</v>
      </c>
      <c r="S758" s="2" t="s">
        <v>17</v>
      </c>
    </row>
    <row r="759" spans="1:19" ht="14.25" customHeight="1">
      <c r="A759" s="2" t="s">
        <v>15</v>
      </c>
      <c r="B759" s="2">
        <v>1936</v>
      </c>
      <c r="C759" s="2" t="s">
        <v>30</v>
      </c>
      <c r="G759" s="3"/>
      <c r="H759" s="3" t="e">
        <v>#N/A</v>
      </c>
      <c r="I759" s="3" t="e">
        <f t="shared" si="13"/>
        <v>#N/A</v>
      </c>
      <c r="J759" s="3" t="e">
        <v>#N/A</v>
      </c>
      <c r="K759" s="3" t="e">
        <v>#N/A</v>
      </c>
      <c r="L759" s="3"/>
      <c r="M759" s="3"/>
      <c r="N759" s="3"/>
      <c r="Q759" s="4" t="s">
        <v>99</v>
      </c>
      <c r="R759" s="2" t="s">
        <v>17</v>
      </c>
      <c r="S759" s="2" t="s">
        <v>17</v>
      </c>
    </row>
    <row r="760" spans="1:19" ht="14.25" customHeight="1">
      <c r="A760" s="2" t="s">
        <v>15</v>
      </c>
      <c r="B760" s="2">
        <v>1937</v>
      </c>
      <c r="C760" s="2" t="s">
        <v>30</v>
      </c>
      <c r="G760" s="3"/>
      <c r="H760" s="3" t="e">
        <v>#N/A</v>
      </c>
      <c r="I760" s="3" t="e">
        <f t="shared" si="13"/>
        <v>#N/A</v>
      </c>
      <c r="J760" s="3" t="e">
        <v>#N/A</v>
      </c>
      <c r="K760" s="3" t="e">
        <v>#N/A</v>
      </c>
      <c r="L760" s="3"/>
      <c r="M760" s="3"/>
      <c r="N760" s="3"/>
      <c r="Q760" s="4" t="s">
        <v>99</v>
      </c>
      <c r="R760" s="2" t="s">
        <v>17</v>
      </c>
      <c r="S760" s="2" t="s">
        <v>17</v>
      </c>
    </row>
    <row r="761" spans="1:19" ht="14.25" customHeight="1">
      <c r="A761" s="2" t="s">
        <v>15</v>
      </c>
      <c r="B761" s="2">
        <v>1938</v>
      </c>
      <c r="C761" s="2" t="s">
        <v>30</v>
      </c>
      <c r="G761" s="3"/>
      <c r="H761" s="3" t="e">
        <v>#N/A</v>
      </c>
      <c r="I761" s="3" t="e">
        <f t="shared" si="13"/>
        <v>#N/A</v>
      </c>
      <c r="J761" s="3" t="e">
        <v>#N/A</v>
      </c>
      <c r="K761" s="3" t="e">
        <v>#N/A</v>
      </c>
      <c r="L761" s="3"/>
      <c r="M761" s="3"/>
      <c r="N761" s="3"/>
      <c r="Q761" s="4" t="s">
        <v>99</v>
      </c>
      <c r="R761" s="2" t="s">
        <v>17</v>
      </c>
      <c r="S761" s="2" t="s">
        <v>17</v>
      </c>
    </row>
    <row r="762" spans="1:19" ht="14.25" customHeight="1">
      <c r="A762" s="2" t="s">
        <v>15</v>
      </c>
      <c r="B762" s="2">
        <v>1939</v>
      </c>
      <c r="C762" s="2" t="s">
        <v>30</v>
      </c>
      <c r="G762" s="3"/>
      <c r="H762" s="3" t="e">
        <v>#N/A</v>
      </c>
      <c r="I762" s="3" t="e">
        <f t="shared" si="13"/>
        <v>#N/A</v>
      </c>
      <c r="J762" s="3" t="e">
        <v>#N/A</v>
      </c>
      <c r="K762" s="3" t="e">
        <v>#N/A</v>
      </c>
      <c r="L762" s="3"/>
      <c r="M762" s="3"/>
      <c r="N762" s="3"/>
      <c r="Q762" s="4" t="s">
        <v>100</v>
      </c>
      <c r="R762" s="2" t="s">
        <v>17</v>
      </c>
      <c r="S762" s="2" t="s">
        <v>17</v>
      </c>
    </row>
    <row r="763" spans="1:19" ht="14.25" customHeight="1">
      <c r="A763" s="2" t="s">
        <v>15</v>
      </c>
      <c r="B763" s="2">
        <v>1940</v>
      </c>
      <c r="C763" s="2" t="s">
        <v>30</v>
      </c>
      <c r="G763" s="3"/>
      <c r="H763" s="3" t="e">
        <v>#N/A</v>
      </c>
      <c r="I763" s="3" t="e">
        <f t="shared" si="13"/>
        <v>#N/A</v>
      </c>
      <c r="J763" s="3" t="e">
        <v>#VALUE!</v>
      </c>
      <c r="K763" s="3">
        <v>0.17242430400325137</v>
      </c>
      <c r="L763" s="3"/>
      <c r="M763" s="3"/>
      <c r="N763" s="3"/>
      <c r="Q763" s="4" t="s">
        <v>100</v>
      </c>
      <c r="R763" s="2" t="s">
        <v>17</v>
      </c>
      <c r="S763" s="2" t="s">
        <v>17</v>
      </c>
    </row>
    <row r="764" spans="1:19" ht="14.25" customHeight="1">
      <c r="A764" s="2" t="s">
        <v>15</v>
      </c>
      <c r="B764" s="2">
        <v>1941</v>
      </c>
      <c r="C764" s="2" t="s">
        <v>30</v>
      </c>
      <c r="G764" s="3"/>
      <c r="H764" s="3" t="e">
        <v>#N/A</v>
      </c>
      <c r="I764" s="3" t="e">
        <f t="shared" si="13"/>
        <v>#N/A</v>
      </c>
      <c r="J764" s="3" t="e">
        <v>#N/A</v>
      </c>
      <c r="K764" s="3" t="e">
        <v>#N/A</v>
      </c>
      <c r="L764" s="3"/>
      <c r="M764" s="3"/>
      <c r="N764" s="3"/>
      <c r="Q764" s="4" t="s">
        <v>100</v>
      </c>
      <c r="R764" s="2" t="s">
        <v>17</v>
      </c>
      <c r="S764" s="2" t="s">
        <v>17</v>
      </c>
    </row>
    <row r="765" spans="1:19" ht="14.25" customHeight="1">
      <c r="A765" s="2" t="s">
        <v>15</v>
      </c>
      <c r="B765" s="2">
        <v>1942</v>
      </c>
      <c r="C765" s="2" t="s">
        <v>30</v>
      </c>
      <c r="G765" s="3"/>
      <c r="H765" s="3" t="e">
        <v>#N/A</v>
      </c>
      <c r="I765" s="3" t="e">
        <f t="shared" si="13"/>
        <v>#N/A</v>
      </c>
      <c r="J765" s="3" t="e">
        <v>#VALUE!</v>
      </c>
      <c r="K765" s="3">
        <v>1.1684616947774842E-3</v>
      </c>
      <c r="L765" s="3"/>
      <c r="M765" s="3"/>
      <c r="N765" s="3"/>
      <c r="Q765" s="4" t="s">
        <v>100</v>
      </c>
      <c r="R765" s="2" t="s">
        <v>17</v>
      </c>
      <c r="S765" s="2" t="s">
        <v>17</v>
      </c>
    </row>
    <row r="766" spans="1:19" ht="14.25" customHeight="1">
      <c r="A766" s="2" t="s">
        <v>15</v>
      </c>
      <c r="B766" s="2">
        <v>1943</v>
      </c>
      <c r="C766" s="2" t="s">
        <v>30</v>
      </c>
      <c r="G766" s="3"/>
      <c r="H766" s="3" t="e">
        <v>#N/A</v>
      </c>
      <c r="I766" s="3" t="e">
        <f t="shared" si="13"/>
        <v>#N/A</v>
      </c>
      <c r="J766" s="3" t="e">
        <v>#N/A</v>
      </c>
      <c r="K766" s="3" t="e">
        <v>#N/A</v>
      </c>
      <c r="L766" s="3"/>
      <c r="M766" s="3"/>
      <c r="N766" s="3"/>
      <c r="Q766" s="4" t="s">
        <v>100</v>
      </c>
      <c r="R766" s="2" t="s">
        <v>17</v>
      </c>
      <c r="S766" s="2" t="s">
        <v>17</v>
      </c>
    </row>
    <row r="767" spans="1:19" ht="14.25" customHeight="1">
      <c r="A767" s="2" t="s">
        <v>15</v>
      </c>
      <c r="B767" s="2">
        <v>1944</v>
      </c>
      <c r="C767" s="2" t="s">
        <v>30</v>
      </c>
      <c r="G767" s="3"/>
      <c r="H767" s="3" t="e">
        <v>#N/A</v>
      </c>
      <c r="I767" s="3" t="e">
        <f t="shared" si="13"/>
        <v>#N/A</v>
      </c>
      <c r="J767" s="3" t="e">
        <v>#VALUE!</v>
      </c>
      <c r="K767" s="3">
        <v>1.7272912009754114E-3</v>
      </c>
      <c r="L767" s="3"/>
      <c r="M767" s="3"/>
      <c r="N767" s="3"/>
      <c r="Q767" s="4" t="s">
        <v>100</v>
      </c>
      <c r="R767" s="2" t="s">
        <v>17</v>
      </c>
      <c r="S767" s="2" t="s">
        <v>17</v>
      </c>
    </row>
    <row r="768" spans="1:19" ht="14.25" customHeight="1">
      <c r="A768" s="2" t="s">
        <v>15</v>
      </c>
      <c r="B768" s="2">
        <v>1945</v>
      </c>
      <c r="C768" s="2" t="s">
        <v>30</v>
      </c>
      <c r="G768" s="3"/>
      <c r="H768" s="3" t="e">
        <v>#N/A</v>
      </c>
      <c r="I768" s="3" t="e">
        <f t="shared" si="13"/>
        <v>#N/A</v>
      </c>
      <c r="J768" s="3" t="e">
        <v>#N/A</v>
      </c>
      <c r="K768" s="3" t="e">
        <v>#N/A</v>
      </c>
      <c r="L768" s="3"/>
      <c r="M768" s="3"/>
      <c r="N768" s="3"/>
      <c r="Q768" s="4" t="s">
        <v>100</v>
      </c>
      <c r="R768" s="2" t="s">
        <v>17</v>
      </c>
      <c r="S768" s="2" t="s">
        <v>17</v>
      </c>
    </row>
    <row r="769" spans="1:19" ht="14.25" customHeight="1">
      <c r="A769" s="2" t="s">
        <v>15</v>
      </c>
      <c r="B769" s="2">
        <v>1946</v>
      </c>
      <c r="C769" s="2" t="s">
        <v>30</v>
      </c>
      <c r="G769" s="3"/>
      <c r="H769" s="3" t="e">
        <v>#N/A</v>
      </c>
      <c r="I769" s="3" t="e">
        <f t="shared" si="13"/>
        <v>#N/A</v>
      </c>
      <c r="J769" s="3" t="e">
        <v>#VALUE!</v>
      </c>
      <c r="K769" s="3">
        <v>0.42384677910993696</v>
      </c>
      <c r="L769" s="3"/>
      <c r="M769" s="3"/>
      <c r="N769" s="3"/>
      <c r="Q769" s="4" t="s">
        <v>99</v>
      </c>
      <c r="R769" s="2" t="s">
        <v>17</v>
      </c>
      <c r="S769" s="2" t="s">
        <v>17</v>
      </c>
    </row>
    <row r="770" spans="1:19" ht="14.25" customHeight="1">
      <c r="A770" s="2" t="s">
        <v>15</v>
      </c>
      <c r="B770" s="2">
        <v>1947</v>
      </c>
      <c r="C770" s="2" t="s">
        <v>30</v>
      </c>
      <c r="G770" s="3"/>
      <c r="H770" s="3" t="e">
        <v>#N/A</v>
      </c>
      <c r="I770" s="3" t="e">
        <f t="shared" si="13"/>
        <v>#N/A</v>
      </c>
      <c r="J770" s="3" t="e">
        <v>#N/A</v>
      </c>
      <c r="K770" s="3" t="e">
        <v>#N/A</v>
      </c>
      <c r="L770" s="3"/>
      <c r="M770" s="3"/>
      <c r="N770" s="3"/>
      <c r="Q770" s="4" t="s">
        <v>99</v>
      </c>
      <c r="R770" s="2" t="s">
        <v>17</v>
      </c>
      <c r="S770" s="2" t="s">
        <v>17</v>
      </c>
    </row>
    <row r="771" spans="1:19" ht="14.25" customHeight="1">
      <c r="A771" s="2" t="s">
        <v>15</v>
      </c>
      <c r="B771" s="2">
        <v>1948</v>
      </c>
      <c r="C771" s="2" t="s">
        <v>30</v>
      </c>
      <c r="G771" s="3"/>
      <c r="H771" s="3" t="e">
        <v>#N/A</v>
      </c>
      <c r="I771" s="3" t="e">
        <f t="shared" si="13"/>
        <v>#N/A</v>
      </c>
      <c r="J771" s="3" t="e">
        <v>#N/A</v>
      </c>
      <c r="K771" s="3" t="e">
        <v>#N/A</v>
      </c>
      <c r="L771" s="3"/>
      <c r="M771" s="3"/>
      <c r="N771" s="3"/>
      <c r="Q771" s="4" t="s">
        <v>99</v>
      </c>
      <c r="R771" s="2" t="s">
        <v>17</v>
      </c>
      <c r="S771" s="2" t="s">
        <v>17</v>
      </c>
    </row>
    <row r="772" spans="1:19" ht="14.25" customHeight="1">
      <c r="A772" s="2" t="s">
        <v>15</v>
      </c>
      <c r="B772" s="2">
        <v>1949</v>
      </c>
      <c r="C772" s="2" t="s">
        <v>30</v>
      </c>
      <c r="G772" s="3"/>
      <c r="H772" s="3" t="e">
        <v>#N/A</v>
      </c>
      <c r="I772" s="3" t="e">
        <f t="shared" si="13"/>
        <v>#N/A</v>
      </c>
      <c r="J772" s="3" t="e">
        <v>#N/A</v>
      </c>
      <c r="K772" s="3" t="e">
        <v>#N/A</v>
      </c>
      <c r="L772" s="3"/>
      <c r="M772" s="3"/>
      <c r="N772" s="3"/>
      <c r="Q772" s="4" t="s">
        <v>99</v>
      </c>
      <c r="R772" s="2" t="s">
        <v>17</v>
      </c>
      <c r="S772" s="2" t="s">
        <v>17</v>
      </c>
    </row>
    <row r="773" spans="1:19" ht="14.25" customHeight="1">
      <c r="A773" s="2" t="s">
        <v>15</v>
      </c>
      <c r="B773" s="2">
        <v>1950</v>
      </c>
      <c r="C773" s="2" t="s">
        <v>30</v>
      </c>
      <c r="G773" s="3"/>
      <c r="H773" s="3" t="e">
        <v>#N/A</v>
      </c>
      <c r="I773" s="3" t="e">
        <f t="shared" si="13"/>
        <v>#N/A</v>
      </c>
      <c r="J773" s="3" t="e">
        <v>#VALUE!</v>
      </c>
      <c r="K773" s="3">
        <v>1.0496850233692339</v>
      </c>
      <c r="L773" s="3"/>
      <c r="M773" s="3"/>
      <c r="N773" s="3"/>
      <c r="Q773" s="4" t="s">
        <v>99</v>
      </c>
      <c r="R773" s="2" t="s">
        <v>17</v>
      </c>
      <c r="S773" s="2" t="s">
        <v>17</v>
      </c>
    </row>
    <row r="774" spans="1:19" ht="14.25" customHeight="1">
      <c r="A774" s="2" t="s">
        <v>15</v>
      </c>
      <c r="B774" s="2">
        <v>1951</v>
      </c>
      <c r="C774" s="2" t="s">
        <v>30</v>
      </c>
      <c r="G774" s="3"/>
      <c r="H774" s="3" t="e">
        <v>#N/A</v>
      </c>
      <c r="I774" s="3" t="e">
        <f t="shared" si="13"/>
        <v>#N/A</v>
      </c>
      <c r="J774" s="3" t="e">
        <v>#N/A</v>
      </c>
      <c r="K774" s="3" t="e">
        <v>#N/A</v>
      </c>
      <c r="L774" s="3"/>
      <c r="M774" s="3"/>
      <c r="N774" s="3"/>
      <c r="Q774" s="4" t="s">
        <v>99</v>
      </c>
      <c r="R774" s="2" t="s">
        <v>17</v>
      </c>
      <c r="S774" s="2" t="s">
        <v>17</v>
      </c>
    </row>
    <row r="775" spans="1:19" ht="14.25" customHeight="1">
      <c r="A775" s="2" t="s">
        <v>15</v>
      </c>
      <c r="B775" s="2">
        <v>1952</v>
      </c>
      <c r="C775" s="2" t="s">
        <v>30</v>
      </c>
      <c r="G775" s="3"/>
      <c r="H775" s="3" t="e">
        <v>#N/A</v>
      </c>
      <c r="I775" s="3" t="e">
        <f t="shared" si="13"/>
        <v>#N/A</v>
      </c>
      <c r="J775" s="3" t="e">
        <v>#N/A</v>
      </c>
      <c r="K775" s="3" t="e">
        <v>#N/A</v>
      </c>
      <c r="L775" s="3"/>
      <c r="M775" s="3"/>
      <c r="N775" s="3"/>
      <c r="Q775" s="4" t="s">
        <v>99</v>
      </c>
      <c r="R775" s="2" t="s">
        <v>17</v>
      </c>
      <c r="S775" s="2" t="s">
        <v>17</v>
      </c>
    </row>
    <row r="776" spans="1:19" ht="14.25" customHeight="1">
      <c r="A776" s="2" t="s">
        <v>15</v>
      </c>
      <c r="B776" s="2">
        <v>1953</v>
      </c>
      <c r="C776" s="2" t="s">
        <v>30</v>
      </c>
      <c r="G776" s="3"/>
      <c r="H776" s="3" t="e">
        <v>#N/A</v>
      </c>
      <c r="I776" s="3" t="e">
        <f t="shared" si="13"/>
        <v>#N/A</v>
      </c>
      <c r="J776" s="3" t="e">
        <v>#N/A</v>
      </c>
      <c r="K776" s="3" t="e">
        <v>#N/A</v>
      </c>
      <c r="L776" s="3"/>
      <c r="M776" s="3"/>
      <c r="N776" s="3"/>
      <c r="Q776" s="4" t="s">
        <v>99</v>
      </c>
      <c r="R776" s="2" t="s">
        <v>17</v>
      </c>
      <c r="S776" s="2" t="s">
        <v>17</v>
      </c>
    </row>
    <row r="777" spans="1:19" ht="14.25" customHeight="1">
      <c r="A777" s="2" t="s">
        <v>15</v>
      </c>
      <c r="B777" s="2">
        <v>1954</v>
      </c>
      <c r="C777" s="2" t="s">
        <v>30</v>
      </c>
      <c r="G777" s="3"/>
      <c r="H777" s="3" t="e">
        <v>#N/A</v>
      </c>
      <c r="I777" s="3" t="e">
        <f t="shared" si="13"/>
        <v>#N/A</v>
      </c>
      <c r="J777" s="3" t="e">
        <v>#N/A</v>
      </c>
      <c r="K777" s="3" t="e">
        <v>#N/A</v>
      </c>
      <c r="L777" s="3"/>
      <c r="M777" s="3"/>
      <c r="N777" s="3"/>
      <c r="Q777" s="4" t="s">
        <v>99</v>
      </c>
      <c r="R777" s="2" t="s">
        <v>17</v>
      </c>
      <c r="S777" s="2" t="s">
        <v>17</v>
      </c>
    </row>
    <row r="778" spans="1:19" ht="14.25" customHeight="1">
      <c r="A778" s="2" t="s">
        <v>15</v>
      </c>
      <c r="B778" s="2">
        <v>1955</v>
      </c>
      <c r="C778" s="2" t="s">
        <v>30</v>
      </c>
      <c r="G778" s="3"/>
      <c r="H778" s="3" t="e">
        <v>#N/A</v>
      </c>
      <c r="I778" s="3" t="e">
        <f t="shared" si="13"/>
        <v>#N/A</v>
      </c>
      <c r="J778" s="3" t="e">
        <v>#VALUE!</v>
      </c>
      <c r="K778" s="3">
        <v>1.2066653119284696</v>
      </c>
      <c r="L778" s="3"/>
      <c r="M778" s="3"/>
      <c r="N778" s="3"/>
      <c r="Q778" s="4" t="s">
        <v>99</v>
      </c>
      <c r="R778" s="2" t="s">
        <v>17</v>
      </c>
      <c r="S778" s="2" t="s">
        <v>17</v>
      </c>
    </row>
    <row r="779" spans="1:19" ht="14.25" customHeight="1">
      <c r="A779" s="2" t="s">
        <v>15</v>
      </c>
      <c r="B779" s="2">
        <v>1956</v>
      </c>
      <c r="C779" s="2" t="s">
        <v>30</v>
      </c>
      <c r="G779" s="3"/>
      <c r="H779" s="3" t="e">
        <v>#N/A</v>
      </c>
      <c r="I779" s="3" t="e">
        <f t="shared" si="13"/>
        <v>#N/A</v>
      </c>
      <c r="J779" s="3" t="e">
        <v>#N/A</v>
      </c>
      <c r="K779" s="3" t="e">
        <v>#N/A</v>
      </c>
      <c r="L779" s="3"/>
      <c r="M779" s="3"/>
      <c r="N779" s="3"/>
      <c r="Q779" s="4" t="s">
        <v>99</v>
      </c>
      <c r="R779" s="2" t="s">
        <v>17</v>
      </c>
      <c r="S779" s="2" t="s">
        <v>17</v>
      </c>
    </row>
    <row r="780" spans="1:19" ht="14.25" customHeight="1">
      <c r="A780" s="2" t="s">
        <v>15</v>
      </c>
      <c r="B780" s="2">
        <v>1957</v>
      </c>
      <c r="C780" s="2" t="s">
        <v>30</v>
      </c>
      <c r="G780" s="3"/>
      <c r="H780" s="3" t="e">
        <v>#N/A</v>
      </c>
      <c r="I780" s="3" t="e">
        <f t="shared" si="13"/>
        <v>#N/A</v>
      </c>
      <c r="J780" s="3" t="e">
        <v>#N/A</v>
      </c>
      <c r="K780" s="3" t="e">
        <v>#N/A</v>
      </c>
      <c r="L780" s="3"/>
      <c r="M780" s="3"/>
      <c r="N780" s="3"/>
      <c r="Q780" s="4" t="s">
        <v>99</v>
      </c>
      <c r="R780" s="2" t="s">
        <v>17</v>
      </c>
      <c r="S780" s="2" t="s">
        <v>17</v>
      </c>
    </row>
    <row r="781" spans="1:19" ht="14.25" customHeight="1">
      <c r="A781" s="2" t="s">
        <v>15</v>
      </c>
      <c r="B781" s="2">
        <v>1958</v>
      </c>
      <c r="C781" s="2" t="s">
        <v>30</v>
      </c>
      <c r="G781" s="3"/>
      <c r="H781" s="3" t="e">
        <v>#N/A</v>
      </c>
      <c r="I781" s="3" t="e">
        <f t="shared" si="13"/>
        <v>#N/A</v>
      </c>
      <c r="J781" s="3" t="e">
        <v>#N/A</v>
      </c>
      <c r="K781" s="3" t="e">
        <v>#N/A</v>
      </c>
      <c r="L781" s="3"/>
      <c r="M781" s="3"/>
      <c r="N781" s="3"/>
      <c r="Q781" s="4" t="s">
        <v>99</v>
      </c>
      <c r="R781" s="2" t="s">
        <v>17</v>
      </c>
      <c r="S781" s="2" t="s">
        <v>17</v>
      </c>
    </row>
    <row r="782" spans="1:19" ht="14.25" customHeight="1">
      <c r="A782" s="2" t="s">
        <v>15</v>
      </c>
      <c r="B782" s="2">
        <v>1959</v>
      </c>
      <c r="C782" s="2" t="s">
        <v>30</v>
      </c>
      <c r="G782" s="3"/>
      <c r="H782" s="3" t="e">
        <v>#N/A</v>
      </c>
      <c r="I782" s="3" t="e">
        <f t="shared" si="13"/>
        <v>#N/A</v>
      </c>
      <c r="J782" s="3" t="e">
        <v>#N/A</v>
      </c>
      <c r="K782" s="3" t="e">
        <v>#N/A</v>
      </c>
      <c r="L782" s="3"/>
      <c r="M782" s="3"/>
      <c r="N782" s="3"/>
      <c r="Q782" s="4" t="s">
        <v>99</v>
      </c>
      <c r="R782" s="2" t="s">
        <v>17</v>
      </c>
      <c r="S782" s="2" t="s">
        <v>17</v>
      </c>
    </row>
    <row r="783" spans="1:19" ht="14.25" customHeight="1">
      <c r="A783" s="2" t="s">
        <v>15</v>
      </c>
      <c r="B783" s="2">
        <v>1960</v>
      </c>
      <c r="C783" s="2" t="s">
        <v>30</v>
      </c>
      <c r="G783" s="3"/>
      <c r="H783" s="3" t="e">
        <v>#N/A</v>
      </c>
      <c r="I783" s="3" t="e">
        <f t="shared" si="13"/>
        <v>#N/A</v>
      </c>
      <c r="J783" s="3" t="e">
        <v>#VALUE!</v>
      </c>
      <c r="K783" s="3">
        <v>0.909012395854501</v>
      </c>
      <c r="L783" s="3"/>
      <c r="M783" s="3"/>
      <c r="N783" s="3"/>
      <c r="Q783" s="4" t="s">
        <v>99</v>
      </c>
      <c r="R783" s="2" t="s">
        <v>17</v>
      </c>
      <c r="S783" s="2" t="s">
        <v>17</v>
      </c>
    </row>
    <row r="784" spans="1:19" ht="14.25" customHeight="1">
      <c r="A784" s="2" t="s">
        <v>15</v>
      </c>
      <c r="B784" s="2">
        <v>1961</v>
      </c>
      <c r="C784" s="2" t="s">
        <v>30</v>
      </c>
      <c r="G784" s="3"/>
      <c r="H784" s="3" t="e">
        <v>#N/A</v>
      </c>
      <c r="I784" s="3" t="e">
        <f t="shared" si="13"/>
        <v>#N/A</v>
      </c>
      <c r="J784" s="3" t="e">
        <v>#N/A</v>
      </c>
      <c r="K784" s="3" t="e">
        <v>#N/A</v>
      </c>
      <c r="L784" s="3"/>
      <c r="M784" s="3"/>
      <c r="N784" s="3"/>
      <c r="Q784" s="4" t="s">
        <v>99</v>
      </c>
      <c r="R784" s="2" t="s">
        <v>17</v>
      </c>
      <c r="S784" s="2" t="s">
        <v>17</v>
      </c>
    </row>
    <row r="785" spans="1:19" ht="14.25" customHeight="1">
      <c r="A785" s="2" t="s">
        <v>15</v>
      </c>
      <c r="B785" s="2">
        <v>1962</v>
      </c>
      <c r="C785" s="2" t="s">
        <v>30</v>
      </c>
      <c r="G785" s="3"/>
      <c r="H785" s="3" t="e">
        <v>#N/A</v>
      </c>
      <c r="I785" s="3" t="e">
        <f t="shared" si="13"/>
        <v>#N/A</v>
      </c>
      <c r="J785" s="3" t="e">
        <v>#N/A</v>
      </c>
      <c r="K785" s="3" t="e">
        <v>#N/A</v>
      </c>
      <c r="L785" s="3"/>
      <c r="M785" s="3"/>
      <c r="N785" s="3"/>
      <c r="Q785" s="4" t="s">
        <v>99</v>
      </c>
      <c r="R785" s="2" t="s">
        <v>17</v>
      </c>
      <c r="S785" s="2" t="s">
        <v>17</v>
      </c>
    </row>
    <row r="786" spans="1:19" ht="14.25" customHeight="1">
      <c r="A786" s="2" t="s">
        <v>15</v>
      </c>
      <c r="B786" s="2">
        <v>1963</v>
      </c>
      <c r="C786" s="2" t="s">
        <v>30</v>
      </c>
      <c r="G786" s="3"/>
      <c r="H786" s="3" t="e">
        <v>#N/A</v>
      </c>
      <c r="I786" s="3" t="e">
        <f t="shared" si="13"/>
        <v>#N/A</v>
      </c>
      <c r="J786" s="3" t="e">
        <v>#N/A</v>
      </c>
      <c r="K786" s="3" t="e">
        <v>#N/A</v>
      </c>
      <c r="L786" s="3"/>
      <c r="M786" s="3"/>
      <c r="N786" s="3"/>
      <c r="Q786" s="4" t="s">
        <v>99</v>
      </c>
      <c r="R786" s="2" t="s">
        <v>17</v>
      </c>
      <c r="S786" s="2" t="s">
        <v>17</v>
      </c>
    </row>
    <row r="787" spans="1:19" ht="14.25" customHeight="1">
      <c r="A787" s="2" t="s">
        <v>15</v>
      </c>
      <c r="B787" s="2">
        <v>1964</v>
      </c>
      <c r="C787" s="2" t="s">
        <v>30</v>
      </c>
      <c r="G787" s="3"/>
      <c r="H787" s="3" t="e">
        <v>#N/A</v>
      </c>
      <c r="I787" s="3" t="e">
        <f t="shared" si="13"/>
        <v>#N/A</v>
      </c>
      <c r="J787" s="3" t="e">
        <v>#N/A</v>
      </c>
      <c r="K787" s="3" t="e">
        <v>#N/A</v>
      </c>
      <c r="L787" s="3"/>
      <c r="M787" s="3"/>
      <c r="N787" s="3"/>
      <c r="Q787" s="4" t="s">
        <v>99</v>
      </c>
      <c r="R787" s="2" t="s">
        <v>17</v>
      </c>
      <c r="S787" s="2" t="s">
        <v>17</v>
      </c>
    </row>
    <row r="788" spans="1:19" ht="14.25" customHeight="1">
      <c r="A788" s="2" t="s">
        <v>15</v>
      </c>
      <c r="B788" s="2">
        <v>1965</v>
      </c>
      <c r="C788" s="2" t="s">
        <v>30</v>
      </c>
      <c r="G788" s="3"/>
      <c r="H788" s="3">
        <v>1.4224751066856329</v>
      </c>
      <c r="I788" s="3">
        <f t="shared" si="13"/>
        <v>1.4224751066856329</v>
      </c>
      <c r="J788" s="3" t="e">
        <v>#N/A</v>
      </c>
      <c r="K788" s="3">
        <v>3.2005689900426741</v>
      </c>
      <c r="L788" s="3"/>
      <c r="M788" s="3"/>
      <c r="N788" s="3"/>
      <c r="Q788" s="4" t="s">
        <v>99</v>
      </c>
      <c r="R788" s="2" t="s">
        <v>17</v>
      </c>
      <c r="S788" s="2" t="s">
        <v>17</v>
      </c>
    </row>
    <row r="789" spans="1:19" ht="14.25" customHeight="1">
      <c r="A789" s="2" t="s">
        <v>15</v>
      </c>
      <c r="B789" s="2">
        <v>1966</v>
      </c>
      <c r="C789" s="2" t="s">
        <v>30</v>
      </c>
      <c r="G789" s="3"/>
      <c r="H789" s="3">
        <v>1.4732777890672626</v>
      </c>
      <c r="I789" s="3">
        <f t="shared" si="13"/>
        <v>1.4732777890672626</v>
      </c>
      <c r="J789" s="3" t="e">
        <v>#N/A</v>
      </c>
      <c r="K789" s="3">
        <v>2.9465555781345252</v>
      </c>
      <c r="L789" s="3"/>
      <c r="M789" s="3"/>
      <c r="N789" s="3"/>
      <c r="Q789" s="4" t="s">
        <v>99</v>
      </c>
      <c r="R789" s="2" t="s">
        <v>17</v>
      </c>
      <c r="S789" s="2" t="s">
        <v>17</v>
      </c>
    </row>
    <row r="790" spans="1:19" ht="14.25" customHeight="1">
      <c r="A790" s="2" t="s">
        <v>15</v>
      </c>
      <c r="B790" s="2">
        <v>1967</v>
      </c>
      <c r="C790" s="2" t="s">
        <v>30</v>
      </c>
      <c r="G790" s="3"/>
      <c r="H790" s="3">
        <v>1.5240804714488925</v>
      </c>
      <c r="I790" s="3">
        <f t="shared" si="13"/>
        <v>1.5240804714488925</v>
      </c>
      <c r="J790" s="3" t="e">
        <v>#N/A</v>
      </c>
      <c r="K790" s="3">
        <v>2.794147530989636</v>
      </c>
      <c r="L790" s="3"/>
      <c r="M790" s="3"/>
      <c r="N790" s="3"/>
      <c r="Q790" s="4" t="s">
        <v>99</v>
      </c>
      <c r="R790" s="2" t="s">
        <v>17</v>
      </c>
      <c r="S790" s="2" t="s">
        <v>17</v>
      </c>
    </row>
    <row r="791" spans="1:19" ht="14.25" customHeight="1">
      <c r="A791" s="2" t="s">
        <v>15</v>
      </c>
      <c r="B791" s="2">
        <v>1968</v>
      </c>
      <c r="C791" s="2" t="s">
        <v>30</v>
      </c>
      <c r="G791" s="3"/>
      <c r="H791" s="3">
        <v>1.3208697419223734</v>
      </c>
      <c r="I791" s="3">
        <f t="shared" si="13"/>
        <v>1.3208697419223734</v>
      </c>
      <c r="J791" s="3" t="e">
        <v>#N/A</v>
      </c>
      <c r="K791" s="3">
        <v>4.9786628733997151</v>
      </c>
      <c r="L791" s="3"/>
      <c r="M791" s="3"/>
      <c r="N791" s="3"/>
      <c r="Q791" s="4" t="s">
        <v>99</v>
      </c>
      <c r="R791" s="2" t="s">
        <v>17</v>
      </c>
      <c r="S791" s="2" t="s">
        <v>17</v>
      </c>
    </row>
    <row r="792" spans="1:19" ht="14.25" customHeight="1">
      <c r="A792" s="2" t="s">
        <v>15</v>
      </c>
      <c r="B792" s="2">
        <v>1969</v>
      </c>
      <c r="C792" s="2" t="s">
        <v>30</v>
      </c>
      <c r="G792" s="3"/>
      <c r="H792" s="3">
        <v>1.2700670595407437</v>
      </c>
      <c r="I792" s="3">
        <f t="shared" si="13"/>
        <v>1.2700670595407437</v>
      </c>
      <c r="J792" s="3" t="e">
        <v>#N/A</v>
      </c>
      <c r="K792" s="3">
        <v>4.1150172729120094</v>
      </c>
      <c r="L792" s="3"/>
      <c r="M792" s="3"/>
      <c r="N792" s="3"/>
      <c r="Q792" s="4" t="s">
        <v>99</v>
      </c>
      <c r="R792" s="2" t="s">
        <v>17</v>
      </c>
      <c r="S792" s="2" t="s">
        <v>17</v>
      </c>
    </row>
    <row r="793" spans="1:19" ht="14.25" customHeight="1">
      <c r="A793" s="2" t="s">
        <v>15</v>
      </c>
      <c r="B793" s="2">
        <v>1970</v>
      </c>
      <c r="C793" s="2" t="s">
        <v>30</v>
      </c>
      <c r="G793" s="3"/>
      <c r="H793" s="3">
        <v>1.3716724243040033</v>
      </c>
      <c r="I793" s="3">
        <f t="shared" si="13"/>
        <v>1.3716724243040033</v>
      </c>
      <c r="J793" s="3" t="e">
        <v>#N/A</v>
      </c>
      <c r="K793" s="3">
        <v>4.5214387319650475</v>
      </c>
      <c r="L793" s="3"/>
      <c r="M793" s="3"/>
      <c r="N793" s="3"/>
      <c r="Q793" s="4" t="s">
        <v>99</v>
      </c>
      <c r="R793" s="2" t="s">
        <v>17</v>
      </c>
      <c r="S793" s="2" t="s">
        <v>17</v>
      </c>
    </row>
    <row r="794" spans="1:19" ht="14.25" customHeight="1">
      <c r="A794" s="2" t="s">
        <v>15</v>
      </c>
      <c r="B794" s="2">
        <v>1971</v>
      </c>
      <c r="C794" s="2" t="s">
        <v>30</v>
      </c>
      <c r="G794" s="3"/>
      <c r="H794" s="3">
        <v>1.625685836212152</v>
      </c>
      <c r="I794" s="3">
        <f t="shared" si="13"/>
        <v>1.625685836212152</v>
      </c>
      <c r="J794" s="3" t="e">
        <v>#N/A</v>
      </c>
      <c r="K794" s="3">
        <v>4.8262548262548259</v>
      </c>
      <c r="L794" s="3"/>
      <c r="M794" s="3"/>
      <c r="N794" s="3"/>
      <c r="Q794" s="4" t="s">
        <v>99</v>
      </c>
      <c r="R794" s="2" t="s">
        <v>17</v>
      </c>
      <c r="S794" s="2" t="s">
        <v>17</v>
      </c>
    </row>
    <row r="795" spans="1:19" ht="14.25" customHeight="1">
      <c r="A795" s="2" t="s">
        <v>15</v>
      </c>
      <c r="B795" s="2">
        <v>1972</v>
      </c>
      <c r="C795" s="2" t="s">
        <v>30</v>
      </c>
      <c r="G795" s="3"/>
      <c r="H795" s="3">
        <v>1.3716724243040033</v>
      </c>
      <c r="I795" s="3">
        <f t="shared" si="13"/>
        <v>1.3716724243040033</v>
      </c>
      <c r="J795" s="3" t="e">
        <v>#N/A</v>
      </c>
      <c r="K795" s="3">
        <v>5.0294655557813446</v>
      </c>
      <c r="L795" s="3"/>
      <c r="M795" s="3"/>
      <c r="N795" s="3"/>
      <c r="Q795" s="4" t="s">
        <v>99</v>
      </c>
      <c r="R795" s="2" t="s">
        <v>17</v>
      </c>
      <c r="S795" s="2" t="s">
        <v>17</v>
      </c>
    </row>
    <row r="796" spans="1:19" ht="14.25" customHeight="1">
      <c r="A796" s="2" t="s">
        <v>15</v>
      </c>
      <c r="B796" s="2">
        <v>1973</v>
      </c>
      <c r="C796" s="2" t="s">
        <v>30</v>
      </c>
      <c r="G796" s="3"/>
      <c r="H796" s="3">
        <v>1.4732777890672626</v>
      </c>
      <c r="I796" s="3">
        <f t="shared" si="13"/>
        <v>1.4732777890672626</v>
      </c>
      <c r="J796" s="3" t="e">
        <v>#N/A</v>
      </c>
      <c r="K796" s="3">
        <v>7.3663889453363129</v>
      </c>
      <c r="L796" s="3"/>
      <c r="M796" s="3"/>
      <c r="N796" s="3"/>
      <c r="Q796" s="4" t="s">
        <v>99</v>
      </c>
      <c r="R796" s="2" t="s">
        <v>17</v>
      </c>
      <c r="S796" s="2" t="s">
        <v>17</v>
      </c>
    </row>
    <row r="797" spans="1:19" ht="14.25" customHeight="1">
      <c r="A797" s="2" t="s">
        <v>15</v>
      </c>
      <c r="B797" s="2">
        <v>1974</v>
      </c>
      <c r="C797" s="2" t="s">
        <v>30</v>
      </c>
      <c r="G797" s="3"/>
      <c r="H797" s="3">
        <v>1.7272912009754113</v>
      </c>
      <c r="I797" s="3">
        <f t="shared" si="13"/>
        <v>1.7272912009754113</v>
      </c>
      <c r="J797" s="3" t="e">
        <v>#N/A</v>
      </c>
      <c r="K797" s="3">
        <v>7.0615728510465345</v>
      </c>
      <c r="L797" s="3"/>
      <c r="M797" s="3"/>
      <c r="N797" s="3"/>
      <c r="Q797" s="4" t="s">
        <v>99</v>
      </c>
      <c r="R797" s="2" t="s">
        <v>17</v>
      </c>
      <c r="S797" s="2" t="s">
        <v>17</v>
      </c>
    </row>
    <row r="798" spans="1:19" ht="14.25" customHeight="1">
      <c r="A798" s="2" t="s">
        <v>15</v>
      </c>
      <c r="B798" s="2">
        <v>1975</v>
      </c>
      <c r="C798" s="2" t="s">
        <v>30</v>
      </c>
      <c r="G798" s="3"/>
      <c r="H798" s="3">
        <v>2.069</v>
      </c>
      <c r="I798" s="3">
        <f t="shared" si="13"/>
        <v>2.069</v>
      </c>
      <c r="J798" s="3" t="e">
        <v>#N/A</v>
      </c>
      <c r="K798" s="3">
        <v>5.7329999999999997</v>
      </c>
      <c r="L798" s="3"/>
      <c r="M798" s="3"/>
      <c r="N798" s="3"/>
      <c r="Q798" s="4" t="s">
        <v>99</v>
      </c>
      <c r="R798" s="2" t="s">
        <v>17</v>
      </c>
      <c r="S798" s="2" t="s">
        <v>17</v>
      </c>
    </row>
    <row r="799" spans="1:19" ht="14.25" customHeight="1">
      <c r="A799" s="2" t="s">
        <v>15</v>
      </c>
      <c r="B799" s="2">
        <v>1976</v>
      </c>
      <c r="C799" s="2" t="s">
        <v>30</v>
      </c>
      <c r="G799" s="3"/>
      <c r="H799" s="3">
        <v>3.2650000000000001</v>
      </c>
      <c r="I799" s="3">
        <f t="shared" si="13"/>
        <v>3.2650000000000001</v>
      </c>
      <c r="J799" s="3" t="e">
        <v>#N/A</v>
      </c>
      <c r="K799" s="3">
        <v>7.6070000000000002</v>
      </c>
      <c r="L799" s="3"/>
      <c r="M799" s="3"/>
      <c r="N799" s="3"/>
      <c r="Q799" s="4" t="s">
        <v>101</v>
      </c>
      <c r="R799" s="2" t="s">
        <v>17</v>
      </c>
      <c r="S799" s="2" t="s">
        <v>17</v>
      </c>
    </row>
    <row r="800" spans="1:19" ht="14.25" customHeight="1">
      <c r="A800" s="2" t="s">
        <v>15</v>
      </c>
      <c r="B800" s="2">
        <v>1977</v>
      </c>
      <c r="C800" s="2" t="s">
        <v>30</v>
      </c>
      <c r="G800" s="3"/>
      <c r="H800" s="3">
        <v>2.7109999999999999</v>
      </c>
      <c r="I800" s="3">
        <f t="shared" si="13"/>
        <v>2.7109999999999999</v>
      </c>
      <c r="J800" s="3" t="e">
        <v>#N/A</v>
      </c>
      <c r="K800" s="3">
        <v>6.07</v>
      </c>
      <c r="L800" s="3"/>
      <c r="M800" s="3"/>
      <c r="N800" s="3"/>
      <c r="Q800" s="4" t="s">
        <v>101</v>
      </c>
      <c r="R800" s="2" t="s">
        <v>17</v>
      </c>
      <c r="S800" s="2" t="s">
        <v>17</v>
      </c>
    </row>
    <row r="801" spans="1:19" ht="14.25" customHeight="1">
      <c r="A801" s="2" t="s">
        <v>15</v>
      </c>
      <c r="B801" s="2">
        <v>1978</v>
      </c>
      <c r="C801" s="2" t="s">
        <v>30</v>
      </c>
      <c r="G801" s="3"/>
      <c r="H801" s="3">
        <v>3.2109999999999999</v>
      </c>
      <c r="I801" s="3">
        <f t="shared" si="13"/>
        <v>3.2109999999999999</v>
      </c>
      <c r="J801" s="3" t="e">
        <v>#N/A</v>
      </c>
      <c r="K801" s="3">
        <v>11.624000000000001</v>
      </c>
      <c r="L801" s="3"/>
      <c r="M801" s="3"/>
      <c r="N801" s="3"/>
      <c r="Q801" s="4" t="s">
        <v>101</v>
      </c>
      <c r="R801" s="2" t="s">
        <v>17</v>
      </c>
      <c r="S801" s="2" t="s">
        <v>17</v>
      </c>
    </row>
    <row r="802" spans="1:19" ht="14.25" customHeight="1">
      <c r="A802" s="2" t="s">
        <v>15</v>
      </c>
      <c r="B802" s="2">
        <v>1979</v>
      </c>
      <c r="C802" s="2" t="s">
        <v>30</v>
      </c>
      <c r="G802" s="3"/>
      <c r="H802" s="3">
        <v>1.3979999999999999</v>
      </c>
      <c r="I802" s="3">
        <f t="shared" si="13"/>
        <v>1.3979999999999999</v>
      </c>
      <c r="J802" s="3" t="e">
        <v>#N/A</v>
      </c>
      <c r="K802" s="3">
        <v>12.824999999999999</v>
      </c>
      <c r="L802" s="3"/>
      <c r="M802" s="3"/>
      <c r="N802" s="3"/>
      <c r="Q802" s="4" t="s">
        <v>101</v>
      </c>
      <c r="R802" s="2" t="s">
        <v>17</v>
      </c>
      <c r="S802" s="2" t="s">
        <v>17</v>
      </c>
    </row>
    <row r="803" spans="1:19" ht="14.25" customHeight="1">
      <c r="A803" s="2" t="s">
        <v>15</v>
      </c>
      <c r="B803" s="2">
        <v>1980</v>
      </c>
      <c r="C803" s="2" t="s">
        <v>30</v>
      </c>
      <c r="G803" s="3"/>
      <c r="H803" s="3">
        <v>1.2490000000000001</v>
      </c>
      <c r="I803" s="3">
        <f t="shared" si="13"/>
        <v>1.2490000000000001</v>
      </c>
      <c r="J803" s="3" t="e">
        <v>#N/A</v>
      </c>
      <c r="K803" s="3">
        <v>15.608000000000001</v>
      </c>
      <c r="L803" s="3"/>
      <c r="M803" s="3"/>
      <c r="N803" s="3"/>
      <c r="Q803" s="4" t="s">
        <v>101</v>
      </c>
      <c r="R803" s="2" t="s">
        <v>17</v>
      </c>
      <c r="S803" s="2" t="s">
        <v>17</v>
      </c>
    </row>
    <row r="804" spans="1:19" ht="14.25" customHeight="1">
      <c r="A804" s="2" t="s">
        <v>15</v>
      </c>
      <c r="B804" s="2">
        <v>1981</v>
      </c>
      <c r="C804" s="2" t="s">
        <v>30</v>
      </c>
      <c r="G804" s="3"/>
      <c r="H804" s="3">
        <v>1.4159999999999999</v>
      </c>
      <c r="I804" s="3">
        <f t="shared" si="13"/>
        <v>1.4159999999999999</v>
      </c>
      <c r="J804" s="3" t="e">
        <v>#N/A</v>
      </c>
      <c r="K804" s="3">
        <v>11.286</v>
      </c>
      <c r="L804" s="3"/>
      <c r="M804" s="3"/>
      <c r="N804" s="3"/>
      <c r="Q804" s="4" t="s">
        <v>101</v>
      </c>
      <c r="R804" s="2" t="s">
        <v>17</v>
      </c>
      <c r="S804" s="2" t="s">
        <v>17</v>
      </c>
    </row>
    <row r="805" spans="1:19" ht="14.25" customHeight="1">
      <c r="A805" s="2" t="s">
        <v>15</v>
      </c>
      <c r="B805" s="2">
        <v>1982</v>
      </c>
      <c r="C805" s="2" t="s">
        <v>30</v>
      </c>
      <c r="G805" s="3"/>
      <c r="H805" s="3">
        <v>1.5820000000000001</v>
      </c>
      <c r="I805" s="3">
        <f t="shared" si="13"/>
        <v>1.5820000000000001</v>
      </c>
      <c r="J805" s="3" t="e">
        <v>#N/A</v>
      </c>
      <c r="K805" s="3">
        <v>14.348000000000001</v>
      </c>
      <c r="L805" s="3"/>
      <c r="M805" s="3"/>
      <c r="N805" s="3"/>
      <c r="Q805" s="4" t="s">
        <v>101</v>
      </c>
      <c r="R805" s="2" t="s">
        <v>17</v>
      </c>
      <c r="S805" s="2" t="s">
        <v>17</v>
      </c>
    </row>
    <row r="806" spans="1:19" ht="14.25" customHeight="1">
      <c r="A806" s="2" t="s">
        <v>15</v>
      </c>
      <c r="B806" s="2">
        <v>1983</v>
      </c>
      <c r="C806" s="2" t="s">
        <v>30</v>
      </c>
      <c r="G806" s="3"/>
      <c r="H806" s="3">
        <v>1.0720000000000001</v>
      </c>
      <c r="I806" s="3">
        <f t="shared" si="13"/>
        <v>1.0720000000000001</v>
      </c>
      <c r="J806" s="3" t="e">
        <v>#N/A</v>
      </c>
      <c r="K806" s="3">
        <v>15.853</v>
      </c>
      <c r="L806" s="3"/>
      <c r="M806" s="3"/>
      <c r="N806" s="3"/>
      <c r="Q806" s="4" t="s">
        <v>101</v>
      </c>
      <c r="R806" s="2" t="s">
        <v>17</v>
      </c>
      <c r="S806" s="2" t="s">
        <v>17</v>
      </c>
    </row>
    <row r="807" spans="1:19" ht="14.25" customHeight="1">
      <c r="A807" s="2" t="s">
        <v>15</v>
      </c>
      <c r="B807" s="2">
        <v>1984</v>
      </c>
      <c r="C807" s="2" t="s">
        <v>30</v>
      </c>
      <c r="G807" s="3"/>
      <c r="H807" s="3">
        <v>0.65500000000000003</v>
      </c>
      <c r="I807" s="3">
        <f t="shared" si="13"/>
        <v>0.65500000000000003</v>
      </c>
      <c r="J807" s="3" t="e">
        <v>#N/A</v>
      </c>
      <c r="K807" s="3">
        <v>18.402999999999999</v>
      </c>
      <c r="L807" s="3"/>
      <c r="M807" s="3"/>
      <c r="N807" s="3"/>
      <c r="Q807" s="4" t="s">
        <v>101</v>
      </c>
      <c r="R807" s="2" t="s">
        <v>17</v>
      </c>
      <c r="S807" s="2" t="s">
        <v>17</v>
      </c>
    </row>
    <row r="808" spans="1:19" ht="14.25" customHeight="1">
      <c r="A808" s="2" t="s">
        <v>15</v>
      </c>
      <c r="B808" s="2">
        <v>1985</v>
      </c>
      <c r="C808" s="2" t="s">
        <v>30</v>
      </c>
      <c r="G808" s="3"/>
      <c r="H808" s="3">
        <v>0.83099999999999996</v>
      </c>
      <c r="I808" s="3">
        <f t="shared" si="13"/>
        <v>0.83099999999999996</v>
      </c>
      <c r="J808" s="3" t="e">
        <v>#N/A</v>
      </c>
      <c r="K808" s="3">
        <v>19.352</v>
      </c>
      <c r="L808" s="3"/>
      <c r="M808" s="3"/>
      <c r="N808" s="3"/>
      <c r="Q808" s="4" t="s">
        <v>101</v>
      </c>
      <c r="R808" s="2" t="s">
        <v>17</v>
      </c>
      <c r="S808" s="2" t="s">
        <v>17</v>
      </c>
    </row>
    <row r="809" spans="1:19" ht="14.25" customHeight="1">
      <c r="A809" s="2" t="s">
        <v>15</v>
      </c>
      <c r="B809" s="2">
        <v>1986</v>
      </c>
      <c r="C809" s="2" t="s">
        <v>30</v>
      </c>
      <c r="G809" s="3"/>
      <c r="H809" s="3">
        <v>1.2929999999999999</v>
      </c>
      <c r="I809" s="3">
        <f t="shared" si="13"/>
        <v>1.2929999999999999</v>
      </c>
      <c r="J809" s="3" t="e">
        <v>#N/A</v>
      </c>
      <c r="K809" s="3">
        <v>24.681999999999999</v>
      </c>
      <c r="L809" s="3"/>
      <c r="M809" s="3"/>
      <c r="N809" s="3"/>
      <c r="Q809" s="4" t="s">
        <v>101</v>
      </c>
      <c r="R809" s="2" t="s">
        <v>17</v>
      </c>
      <c r="S809" s="2" t="s">
        <v>17</v>
      </c>
    </row>
    <row r="810" spans="1:19" ht="14.25" customHeight="1">
      <c r="A810" s="2" t="s">
        <v>15</v>
      </c>
      <c r="B810" s="2">
        <v>1987</v>
      </c>
      <c r="C810" s="2" t="s">
        <v>30</v>
      </c>
      <c r="G810" s="3"/>
      <c r="H810" s="3">
        <v>3.3330000000000002</v>
      </c>
      <c r="I810" s="3">
        <f t="shared" si="13"/>
        <v>3.3330000000000002</v>
      </c>
      <c r="J810" s="3" t="e">
        <v>#N/A</v>
      </c>
      <c r="K810" s="3">
        <v>27.308</v>
      </c>
      <c r="L810" s="3"/>
      <c r="M810" s="3"/>
      <c r="N810" s="3"/>
      <c r="Q810" s="4" t="s">
        <v>101</v>
      </c>
      <c r="R810" s="2" t="s">
        <v>17</v>
      </c>
      <c r="S810" s="2" t="s">
        <v>17</v>
      </c>
    </row>
    <row r="811" spans="1:19" ht="14.25" customHeight="1">
      <c r="A811" s="2" t="s">
        <v>15</v>
      </c>
      <c r="B811" s="2">
        <v>1988</v>
      </c>
      <c r="C811" s="2" t="s">
        <v>30</v>
      </c>
      <c r="E811" s="2">
        <v>0</v>
      </c>
      <c r="G811" s="3"/>
      <c r="H811" s="3">
        <v>1.6779999999999999</v>
      </c>
      <c r="I811" s="3">
        <f t="shared" si="13"/>
        <v>1.6779999999999999</v>
      </c>
      <c r="J811" s="3" t="e">
        <v>#N/A</v>
      </c>
      <c r="K811" s="3">
        <v>26.280999999999999</v>
      </c>
      <c r="L811" s="3"/>
      <c r="M811" s="3"/>
      <c r="N811" s="3"/>
      <c r="Q811" s="4" t="s">
        <v>101</v>
      </c>
      <c r="R811" s="2" t="s">
        <v>17</v>
      </c>
      <c r="S811" s="2" t="s">
        <v>17</v>
      </c>
    </row>
    <row r="812" spans="1:19" ht="14.25" customHeight="1">
      <c r="A812" s="2" t="s">
        <v>15</v>
      </c>
      <c r="B812" s="2">
        <v>1989</v>
      </c>
      <c r="C812" s="2" t="s">
        <v>30</v>
      </c>
      <c r="E812" s="2">
        <v>0.1</v>
      </c>
      <c r="G812" s="3"/>
      <c r="H812" s="3">
        <v>1.8240000000000001</v>
      </c>
      <c r="I812" s="3">
        <f t="shared" si="13"/>
        <v>1.8240000000000001</v>
      </c>
      <c r="J812" s="3" t="e">
        <v>#N/A</v>
      </c>
      <c r="K812" s="3">
        <v>26.863</v>
      </c>
      <c r="L812" s="3"/>
      <c r="M812" s="3"/>
      <c r="N812" s="3"/>
      <c r="Q812" s="4" t="s">
        <v>101</v>
      </c>
      <c r="R812" s="2" t="s">
        <v>17</v>
      </c>
      <c r="S812" s="2" t="s">
        <v>17</v>
      </c>
    </row>
    <row r="813" spans="1:19" ht="14.25" customHeight="1">
      <c r="A813" s="2" t="s">
        <v>15</v>
      </c>
      <c r="B813" s="2">
        <v>1990</v>
      </c>
      <c r="C813" s="2" t="s">
        <v>30</v>
      </c>
      <c r="E813" s="2">
        <v>0</v>
      </c>
      <c r="G813" s="3"/>
      <c r="H813" s="3">
        <v>1.1890000000000001</v>
      </c>
      <c r="I813" s="3">
        <f t="shared" si="13"/>
        <v>1.1890000000000001</v>
      </c>
      <c r="J813" s="3" t="e">
        <v>#N/A</v>
      </c>
      <c r="K813" s="3">
        <v>25.489000000000001</v>
      </c>
      <c r="L813" s="3"/>
      <c r="M813" s="3"/>
      <c r="N813" s="3"/>
      <c r="Q813" s="4" t="s">
        <v>101</v>
      </c>
      <c r="R813" s="2" t="s">
        <v>17</v>
      </c>
      <c r="S813" s="2" t="s">
        <v>17</v>
      </c>
    </row>
    <row r="814" spans="1:19" ht="14.25" customHeight="1">
      <c r="A814" s="2" t="s">
        <v>15</v>
      </c>
      <c r="B814" s="2">
        <v>1991</v>
      </c>
      <c r="C814" s="2" t="s">
        <v>30</v>
      </c>
      <c r="E814" s="2">
        <v>0</v>
      </c>
      <c r="H814" s="2">
        <v>0.8</v>
      </c>
      <c r="I814" s="3">
        <f t="shared" si="13"/>
        <v>0.8</v>
      </c>
      <c r="J814" s="3">
        <v>19.148</v>
      </c>
      <c r="K814" s="3">
        <v>23.326000000000001</v>
      </c>
      <c r="L814" s="3"/>
      <c r="M814" s="3"/>
      <c r="N814" s="3"/>
      <c r="Q814" s="4" t="s">
        <v>101</v>
      </c>
      <c r="R814" s="2" t="s">
        <v>17</v>
      </c>
      <c r="S814" s="2" t="s">
        <v>17</v>
      </c>
    </row>
    <row r="815" spans="1:19" ht="14.25" customHeight="1">
      <c r="A815" s="2" t="s">
        <v>15</v>
      </c>
      <c r="B815" s="2">
        <v>1992</v>
      </c>
      <c r="C815" s="2" t="s">
        <v>30</v>
      </c>
      <c r="E815" s="2">
        <v>0</v>
      </c>
      <c r="H815" s="2">
        <v>0.7</v>
      </c>
      <c r="I815" s="3">
        <f t="shared" si="13"/>
        <v>0.7</v>
      </c>
      <c r="J815" s="3">
        <v>18.311</v>
      </c>
      <c r="K815" s="3">
        <v>21.184999999999999</v>
      </c>
      <c r="L815" s="3"/>
      <c r="M815" s="3"/>
      <c r="N815" s="3"/>
      <c r="Q815" s="4" t="s">
        <v>101</v>
      </c>
      <c r="R815" s="2" t="s">
        <v>17</v>
      </c>
      <c r="S815" s="2" t="s">
        <v>17</v>
      </c>
    </row>
    <row r="816" spans="1:19" ht="14.25" customHeight="1">
      <c r="A816" s="2" t="s">
        <v>15</v>
      </c>
      <c r="B816" s="2">
        <v>1993</v>
      </c>
      <c r="C816" s="2" t="s">
        <v>30</v>
      </c>
      <c r="E816" s="2">
        <v>0</v>
      </c>
      <c r="H816" s="2">
        <v>1.5</v>
      </c>
      <c r="I816" s="3">
        <f t="shared" si="13"/>
        <v>1.5</v>
      </c>
      <c r="J816" s="3">
        <v>17.995999999999999</v>
      </c>
      <c r="K816" s="3">
        <v>51.783999999999999</v>
      </c>
      <c r="L816" s="3"/>
      <c r="M816" s="3"/>
      <c r="N816" s="3"/>
      <c r="Q816" s="4" t="s">
        <v>101</v>
      </c>
      <c r="R816" s="2" t="s">
        <v>17</v>
      </c>
      <c r="S816" s="2" t="s">
        <v>17</v>
      </c>
    </row>
    <row r="817" spans="1:19" ht="14.25" customHeight="1">
      <c r="A817" s="2" t="s">
        <v>15</v>
      </c>
      <c r="B817" s="2">
        <v>1994</v>
      </c>
      <c r="C817" s="2" t="s">
        <v>30</v>
      </c>
      <c r="E817" s="2">
        <v>0</v>
      </c>
      <c r="H817" s="2">
        <v>1.425</v>
      </c>
      <c r="I817" s="3">
        <f t="shared" si="13"/>
        <v>1.425</v>
      </c>
      <c r="J817" s="3">
        <v>20.234999999999999</v>
      </c>
      <c r="K817" s="3">
        <v>57.326000000000001</v>
      </c>
      <c r="L817" s="3"/>
      <c r="M817" s="3"/>
      <c r="N817" s="3"/>
      <c r="Q817" s="4" t="s">
        <v>101</v>
      </c>
      <c r="R817" s="2" t="s">
        <v>17</v>
      </c>
      <c r="S817" s="2" t="s">
        <v>17</v>
      </c>
    </row>
    <row r="818" spans="1:19" ht="14.25" customHeight="1">
      <c r="A818" s="2" t="s">
        <v>15</v>
      </c>
      <c r="B818" s="2">
        <v>1995</v>
      </c>
      <c r="C818" s="2" t="s">
        <v>30</v>
      </c>
      <c r="E818" s="2">
        <v>0</v>
      </c>
      <c r="H818" s="2">
        <v>2.702</v>
      </c>
      <c r="I818" s="3">
        <f t="shared" si="13"/>
        <v>2.702</v>
      </c>
      <c r="J818" s="3">
        <v>20.879000000000001</v>
      </c>
      <c r="K818" s="3">
        <v>58.414999999999999</v>
      </c>
      <c r="L818" s="3"/>
      <c r="M818" s="3"/>
      <c r="N818" s="3"/>
      <c r="Q818" s="4" t="s">
        <v>101</v>
      </c>
      <c r="R818" s="2" t="s">
        <v>17</v>
      </c>
      <c r="S818" s="2" t="s">
        <v>17</v>
      </c>
    </row>
    <row r="819" spans="1:19" ht="14.25" customHeight="1">
      <c r="A819" s="2" t="s">
        <v>15</v>
      </c>
      <c r="B819" s="2">
        <v>1996</v>
      </c>
      <c r="C819" s="2" t="s">
        <v>30</v>
      </c>
      <c r="E819" s="2">
        <v>0.1</v>
      </c>
      <c r="H819" s="2">
        <v>2.677</v>
      </c>
      <c r="I819" s="3">
        <f t="shared" si="13"/>
        <v>2.677</v>
      </c>
      <c r="J819" s="3">
        <v>22.021999999999998</v>
      </c>
      <c r="K819" s="3">
        <v>61.963999999999999</v>
      </c>
      <c r="L819" s="3"/>
      <c r="M819" s="3"/>
      <c r="N819" s="3"/>
      <c r="Q819" s="4" t="s">
        <v>101</v>
      </c>
      <c r="R819" s="2" t="s">
        <v>17</v>
      </c>
      <c r="S819" s="2" t="s">
        <v>17</v>
      </c>
    </row>
    <row r="820" spans="1:19" ht="14.25" customHeight="1">
      <c r="A820" s="2" t="s">
        <v>15</v>
      </c>
      <c r="B820" s="2">
        <v>1997</v>
      </c>
      <c r="C820" s="2" t="s">
        <v>30</v>
      </c>
      <c r="E820" s="2">
        <v>0</v>
      </c>
      <c r="H820" s="2">
        <v>1.0149999999999999</v>
      </c>
      <c r="I820" s="3">
        <f t="shared" si="13"/>
        <v>1.0149999999999999</v>
      </c>
      <c r="J820" s="3">
        <v>8.5820000000000007</v>
      </c>
      <c r="K820" s="3">
        <v>39.450000000000003</v>
      </c>
      <c r="L820" s="3"/>
      <c r="M820" s="3"/>
      <c r="N820" s="3"/>
      <c r="Q820" s="4" t="s">
        <v>101</v>
      </c>
      <c r="R820" s="2" t="s">
        <v>17</v>
      </c>
      <c r="S820" s="2" t="s">
        <v>17</v>
      </c>
    </row>
    <row r="821" spans="1:19" ht="14.25" customHeight="1">
      <c r="A821" s="2" t="s">
        <v>15</v>
      </c>
      <c r="B821" s="2">
        <v>1998</v>
      </c>
      <c r="C821" s="2" t="s">
        <v>30</v>
      </c>
      <c r="E821" s="2">
        <v>0.6</v>
      </c>
      <c r="H821" s="2">
        <v>2.16</v>
      </c>
      <c r="I821" s="3">
        <f t="shared" si="13"/>
        <v>2.16</v>
      </c>
      <c r="J821" s="3">
        <v>24.059000000000001</v>
      </c>
      <c r="K821" s="3">
        <v>72.930999999999997</v>
      </c>
      <c r="L821" s="3"/>
      <c r="M821" s="3"/>
      <c r="N821" s="3"/>
      <c r="Q821" s="4" t="s">
        <v>101</v>
      </c>
      <c r="R821" s="2" t="s">
        <v>17</v>
      </c>
      <c r="S821" s="2" t="s">
        <v>17</v>
      </c>
    </row>
    <row r="822" spans="1:19" ht="14.25" customHeight="1">
      <c r="A822" s="2" t="s">
        <v>15</v>
      </c>
      <c r="B822" s="2">
        <v>1999</v>
      </c>
      <c r="C822" s="2" t="s">
        <v>30</v>
      </c>
      <c r="E822" s="2">
        <v>1.4</v>
      </c>
      <c r="H822" s="2">
        <v>1.956</v>
      </c>
      <c r="I822" s="3">
        <f t="shared" si="13"/>
        <v>1.956</v>
      </c>
      <c r="J822" s="3">
        <v>26.709</v>
      </c>
      <c r="K822" s="3">
        <v>68.152000000000001</v>
      </c>
      <c r="L822" s="3"/>
      <c r="M822" s="3"/>
      <c r="N822" s="3"/>
      <c r="Q822" s="4" t="s">
        <v>101</v>
      </c>
      <c r="R822" s="2" t="s">
        <v>17</v>
      </c>
      <c r="S822" s="2" t="s">
        <v>17</v>
      </c>
    </row>
    <row r="823" spans="1:19" ht="14.25" customHeight="1">
      <c r="A823" s="2" t="s">
        <v>15</v>
      </c>
      <c r="B823" s="2">
        <v>2000</v>
      </c>
      <c r="C823" s="2" t="s">
        <v>30</v>
      </c>
      <c r="E823" s="2">
        <v>0.5</v>
      </c>
      <c r="H823" s="2">
        <v>1.59</v>
      </c>
      <c r="I823" s="3">
        <f t="shared" si="13"/>
        <v>1.59</v>
      </c>
      <c r="J823" s="3">
        <v>27.523</v>
      </c>
      <c r="K823" s="3">
        <v>75.605999999999995</v>
      </c>
      <c r="L823" s="3"/>
      <c r="M823" s="3"/>
      <c r="N823" s="3"/>
      <c r="Q823" s="4" t="s">
        <v>101</v>
      </c>
      <c r="R823" s="2" t="s">
        <v>17</v>
      </c>
      <c r="S823" s="2" t="s">
        <v>17</v>
      </c>
    </row>
    <row r="824" spans="1:19" ht="14.25" customHeight="1">
      <c r="A824" s="2" t="s">
        <v>15</v>
      </c>
      <c r="B824" s="2">
        <v>2001</v>
      </c>
      <c r="C824" s="2" t="s">
        <v>30</v>
      </c>
      <c r="E824" s="2">
        <v>0.8</v>
      </c>
      <c r="H824" s="2">
        <v>2.5539999999999998</v>
      </c>
      <c r="I824" s="3">
        <f t="shared" si="13"/>
        <v>2.5539999999999998</v>
      </c>
      <c r="J824" s="3">
        <v>29.132999999999999</v>
      </c>
      <c r="K824" s="3">
        <v>83.195999999999998</v>
      </c>
      <c r="L824" s="3"/>
      <c r="M824" s="3"/>
      <c r="N824" s="3"/>
      <c r="Q824" s="4" t="s">
        <v>101</v>
      </c>
      <c r="R824" s="2" t="s">
        <v>17</v>
      </c>
      <c r="S824" s="2" t="s">
        <v>17</v>
      </c>
    </row>
    <row r="825" spans="1:19" ht="14.25" customHeight="1">
      <c r="A825" s="2" t="s">
        <v>15</v>
      </c>
      <c r="B825" s="2">
        <v>2002</v>
      </c>
      <c r="C825" s="2" t="s">
        <v>30</v>
      </c>
      <c r="E825" s="2">
        <v>0.3</v>
      </c>
      <c r="H825" s="2">
        <v>1.5249999999999999</v>
      </c>
      <c r="I825" s="3">
        <f t="shared" si="13"/>
        <v>1.5249999999999999</v>
      </c>
      <c r="J825" s="3">
        <v>30.925000000000001</v>
      </c>
      <c r="K825" s="3">
        <v>86.634</v>
      </c>
      <c r="L825" s="3"/>
      <c r="M825" s="3"/>
      <c r="N825" s="3"/>
      <c r="Q825" s="4" t="s">
        <v>101</v>
      </c>
      <c r="R825" s="2" t="s">
        <v>17</v>
      </c>
      <c r="S825" s="2" t="s">
        <v>17</v>
      </c>
    </row>
    <row r="826" spans="1:19" ht="14.25" customHeight="1">
      <c r="A826" s="2" t="s">
        <v>15</v>
      </c>
      <c r="B826" s="2">
        <v>2003</v>
      </c>
      <c r="C826" s="2" t="s">
        <v>30</v>
      </c>
      <c r="E826" s="2">
        <v>0.5</v>
      </c>
      <c r="H826" s="2">
        <v>0.65800000000000003</v>
      </c>
      <c r="I826" s="3">
        <f t="shared" si="13"/>
        <v>0.65800000000000003</v>
      </c>
      <c r="J826" s="2">
        <v>29.4</v>
      </c>
      <c r="K826" s="2">
        <v>90.7</v>
      </c>
      <c r="M826" s="3"/>
      <c r="N826" s="3"/>
      <c r="Q826" s="4" t="s">
        <v>101</v>
      </c>
      <c r="R826" s="2" t="s">
        <v>17</v>
      </c>
      <c r="S826" s="2" t="s">
        <v>17</v>
      </c>
    </row>
    <row r="827" spans="1:19" ht="14.25" customHeight="1">
      <c r="A827" s="2" t="s">
        <v>15</v>
      </c>
      <c r="B827" s="2">
        <v>2004</v>
      </c>
      <c r="C827" s="2" t="s">
        <v>30</v>
      </c>
      <c r="E827" s="2">
        <v>0</v>
      </c>
      <c r="H827" s="2">
        <v>0.52800000000000002</v>
      </c>
      <c r="I827" s="3">
        <f t="shared" si="13"/>
        <v>0.52800000000000002</v>
      </c>
      <c r="J827" s="2">
        <v>25.2</v>
      </c>
      <c r="K827" s="2">
        <v>91.6</v>
      </c>
      <c r="M827" s="3"/>
      <c r="N827" s="3"/>
      <c r="Q827" s="4" t="s">
        <v>101</v>
      </c>
      <c r="R827" s="2" t="s">
        <v>17</v>
      </c>
      <c r="S827" s="2" t="s">
        <v>17</v>
      </c>
    </row>
    <row r="828" spans="1:19" ht="14.25" customHeight="1">
      <c r="A828" s="2" t="s">
        <v>15</v>
      </c>
      <c r="B828" s="2">
        <v>2005</v>
      </c>
      <c r="C828" s="2" t="s">
        <v>30</v>
      </c>
      <c r="E828" s="2">
        <v>0</v>
      </c>
      <c r="H828" s="2">
        <v>0.54</v>
      </c>
      <c r="I828" s="3">
        <f t="shared" si="13"/>
        <v>0.54</v>
      </c>
      <c r="J828" s="2">
        <v>23</v>
      </c>
      <c r="K828" s="2">
        <v>90.5</v>
      </c>
      <c r="M828" s="3"/>
      <c r="N828" s="3"/>
      <c r="Q828" s="4" t="s">
        <v>101</v>
      </c>
      <c r="R828" s="2" t="s">
        <v>17</v>
      </c>
      <c r="S828" s="2" t="s">
        <v>17</v>
      </c>
    </row>
    <row r="829" spans="1:19" ht="14.25" customHeight="1">
      <c r="A829" s="2" t="s">
        <v>15</v>
      </c>
      <c r="B829" s="2">
        <v>2006</v>
      </c>
      <c r="C829" s="2" t="s">
        <v>30</v>
      </c>
      <c r="E829" s="2">
        <v>0</v>
      </c>
      <c r="H829" s="2">
        <v>0.47799999999999998</v>
      </c>
      <c r="I829" s="3">
        <f t="shared" si="13"/>
        <v>0.47799999999999998</v>
      </c>
      <c r="J829" s="2">
        <v>22.8</v>
      </c>
      <c r="K829" s="2">
        <v>89.4</v>
      </c>
      <c r="M829" s="3"/>
      <c r="N829" s="3"/>
      <c r="Q829" s="4" t="s">
        <v>101</v>
      </c>
      <c r="R829" s="2" t="s">
        <v>17</v>
      </c>
      <c r="S829" s="2" t="s">
        <v>17</v>
      </c>
    </row>
    <row r="830" spans="1:19" ht="14.25" customHeight="1">
      <c r="A830" s="2" t="s">
        <v>15</v>
      </c>
      <c r="B830" s="2">
        <v>2007</v>
      </c>
      <c r="C830" s="2" t="s">
        <v>30</v>
      </c>
      <c r="E830" s="2">
        <v>0</v>
      </c>
      <c r="H830" s="2">
        <v>1.403</v>
      </c>
      <c r="I830" s="3">
        <f t="shared" si="13"/>
        <v>1.403</v>
      </c>
      <c r="J830" s="2">
        <v>22.900000000000002</v>
      </c>
      <c r="K830" s="2">
        <v>87.5</v>
      </c>
      <c r="M830" s="3"/>
      <c r="N830" s="3"/>
      <c r="Q830" s="4" t="s">
        <v>101</v>
      </c>
      <c r="R830" s="2" t="s">
        <v>17</v>
      </c>
      <c r="S830" s="2" t="s">
        <v>17</v>
      </c>
    </row>
    <row r="831" spans="1:19" ht="14.25" customHeight="1">
      <c r="A831" s="2" t="s">
        <v>15</v>
      </c>
      <c r="B831" s="2">
        <v>2008</v>
      </c>
      <c r="C831" s="2" t="s">
        <v>30</v>
      </c>
      <c r="E831" s="2">
        <v>0</v>
      </c>
      <c r="H831" s="2">
        <v>0.88900000000000001</v>
      </c>
      <c r="I831" s="3">
        <f t="shared" si="13"/>
        <v>0.88900000000000001</v>
      </c>
      <c r="J831" s="2">
        <v>16.400000000000002</v>
      </c>
      <c r="K831" s="2">
        <v>80.100000000000009</v>
      </c>
      <c r="M831" s="3"/>
      <c r="N831" s="3"/>
      <c r="Q831" s="4" t="s">
        <v>101</v>
      </c>
      <c r="R831" s="2" t="s">
        <v>17</v>
      </c>
      <c r="S831" s="2" t="s">
        <v>17</v>
      </c>
    </row>
    <row r="832" spans="1:19" ht="14.25" customHeight="1">
      <c r="A832" s="2" t="s">
        <v>15</v>
      </c>
      <c r="B832" s="2">
        <v>2009</v>
      </c>
      <c r="C832" s="2" t="s">
        <v>30</v>
      </c>
      <c r="E832" s="2">
        <v>0</v>
      </c>
      <c r="H832" s="2">
        <v>1.0920000000000001</v>
      </c>
      <c r="I832" s="3">
        <f t="shared" si="13"/>
        <v>1.0920000000000001</v>
      </c>
      <c r="J832" s="2">
        <v>17.2</v>
      </c>
      <c r="K832" s="2">
        <v>84.9</v>
      </c>
      <c r="M832" s="3"/>
      <c r="N832" s="3"/>
      <c r="Q832" s="4" t="s">
        <v>101</v>
      </c>
      <c r="R832" s="2" t="s">
        <v>17</v>
      </c>
      <c r="S832" s="2" t="s">
        <v>17</v>
      </c>
    </row>
    <row r="833" spans="1:19" ht="14.25" customHeight="1">
      <c r="A833" s="2" t="s">
        <v>15</v>
      </c>
      <c r="B833" s="2">
        <v>2010</v>
      </c>
      <c r="C833" s="2" t="s">
        <v>30</v>
      </c>
      <c r="E833" s="2">
        <v>2.8</v>
      </c>
      <c r="H833" s="2">
        <v>0.9</v>
      </c>
      <c r="I833" s="3">
        <f t="shared" si="13"/>
        <v>0.9</v>
      </c>
      <c r="J833" s="2">
        <v>16.5</v>
      </c>
      <c r="K833" s="2">
        <v>86</v>
      </c>
      <c r="M833" s="3"/>
      <c r="N833" s="3"/>
      <c r="Q833" s="4" t="s">
        <v>101</v>
      </c>
      <c r="R833" s="2" t="s">
        <v>17</v>
      </c>
      <c r="S833" s="2" t="s">
        <v>17</v>
      </c>
    </row>
    <row r="834" spans="1:19" ht="14.25" customHeight="1">
      <c r="A834" s="2" t="s">
        <v>15</v>
      </c>
      <c r="B834" s="2">
        <v>2011</v>
      </c>
      <c r="C834" s="2" t="s">
        <v>30</v>
      </c>
      <c r="E834" s="2">
        <v>0</v>
      </c>
      <c r="H834" s="2">
        <v>0.4</v>
      </c>
      <c r="I834" s="3">
        <f t="shared" si="13"/>
        <v>0.4</v>
      </c>
      <c r="J834" s="2">
        <v>14.7</v>
      </c>
      <c r="K834" s="2">
        <v>90.4</v>
      </c>
      <c r="M834" s="3"/>
      <c r="N834" s="3"/>
      <c r="Q834" s="4" t="s">
        <v>101</v>
      </c>
      <c r="R834" s="2" t="s">
        <v>17</v>
      </c>
      <c r="S834" s="2" t="s">
        <v>17</v>
      </c>
    </row>
    <row r="835" spans="1:19" ht="14.25" customHeight="1">
      <c r="A835" s="2" t="s">
        <v>15</v>
      </c>
      <c r="B835" s="2">
        <v>2012</v>
      </c>
      <c r="C835" s="2" t="s">
        <v>30</v>
      </c>
      <c r="E835" s="2">
        <v>1.3</v>
      </c>
      <c r="H835" s="2">
        <v>1</v>
      </c>
      <c r="I835" s="3">
        <f t="shared" si="13"/>
        <v>1</v>
      </c>
      <c r="J835" s="2">
        <v>13.7</v>
      </c>
      <c r="K835" s="2">
        <v>85.8</v>
      </c>
      <c r="M835" s="3"/>
      <c r="N835" s="3"/>
      <c r="Q835" s="4" t="s">
        <v>101</v>
      </c>
      <c r="R835" s="2" t="s">
        <v>17</v>
      </c>
      <c r="S835" s="2" t="s">
        <v>17</v>
      </c>
    </row>
    <row r="836" spans="1:19" ht="14.25" customHeight="1">
      <c r="A836" s="2" t="s">
        <v>15</v>
      </c>
      <c r="B836" s="2">
        <v>2013</v>
      </c>
      <c r="C836" s="2" t="s">
        <v>30</v>
      </c>
      <c r="E836" s="2">
        <v>0</v>
      </c>
      <c r="H836" s="2">
        <v>0.9</v>
      </c>
      <c r="I836" s="3">
        <f t="shared" si="13"/>
        <v>0.9</v>
      </c>
      <c r="J836" s="2">
        <v>16.100000000000001</v>
      </c>
      <c r="K836" s="2">
        <v>85.1</v>
      </c>
      <c r="M836" s="3"/>
      <c r="N836" s="3"/>
      <c r="Q836" s="4" t="s">
        <v>101</v>
      </c>
      <c r="R836" s="2" t="s">
        <v>17</v>
      </c>
      <c r="S836" s="2" t="s">
        <v>17</v>
      </c>
    </row>
    <row r="837" spans="1:19" ht="14.25" customHeight="1">
      <c r="A837" s="2" t="s">
        <v>15</v>
      </c>
      <c r="B837" s="2">
        <v>2014</v>
      </c>
      <c r="C837" s="2" t="s">
        <v>30</v>
      </c>
      <c r="E837" s="2">
        <v>0</v>
      </c>
      <c r="H837" s="2">
        <v>0.6</v>
      </c>
      <c r="I837" s="3">
        <f t="shared" si="13"/>
        <v>0.6</v>
      </c>
      <c r="J837" s="2">
        <v>13.5</v>
      </c>
      <c r="K837" s="2">
        <v>82.3</v>
      </c>
      <c r="M837" s="3"/>
      <c r="N837" s="3"/>
      <c r="Q837" s="4" t="s">
        <v>101</v>
      </c>
      <c r="R837" s="2" t="s">
        <v>17</v>
      </c>
      <c r="S837" s="2" t="s">
        <v>17</v>
      </c>
    </row>
    <row r="838" spans="1:19" ht="14.25" customHeight="1">
      <c r="A838" s="2" t="s">
        <v>15</v>
      </c>
      <c r="B838" s="2">
        <v>2015</v>
      </c>
      <c r="C838" s="2" t="s">
        <v>30</v>
      </c>
      <c r="E838" s="2">
        <v>0</v>
      </c>
      <c r="H838" s="2">
        <v>0.3</v>
      </c>
      <c r="I838" s="3">
        <f t="shared" si="13"/>
        <v>0.3</v>
      </c>
      <c r="J838" s="2">
        <v>11.7</v>
      </c>
      <c r="K838" s="2">
        <v>77.400000000000006</v>
      </c>
      <c r="M838" s="3"/>
      <c r="N838" s="3"/>
      <c r="Q838" s="4" t="s">
        <v>101</v>
      </c>
      <c r="R838" s="2" t="s">
        <v>17</v>
      </c>
      <c r="S838" s="2" t="s">
        <v>17</v>
      </c>
    </row>
    <row r="839" spans="1:19" ht="14.25" customHeight="1">
      <c r="A839" s="2" t="s">
        <v>15</v>
      </c>
      <c r="B839" s="2">
        <v>2016</v>
      </c>
      <c r="C839" s="2" t="s">
        <v>30</v>
      </c>
      <c r="E839" s="2">
        <v>0</v>
      </c>
      <c r="H839" s="2">
        <v>0.8</v>
      </c>
      <c r="I839" s="3">
        <f t="shared" si="13"/>
        <v>0.8</v>
      </c>
      <c r="J839" s="2">
        <v>12.6</v>
      </c>
      <c r="K839" s="2">
        <v>81.8</v>
      </c>
      <c r="M839" s="3"/>
      <c r="N839" s="3"/>
      <c r="Q839" s="4" t="s">
        <v>101</v>
      </c>
      <c r="R839" s="2" t="s">
        <v>17</v>
      </c>
      <c r="S839" s="2" t="s">
        <v>17</v>
      </c>
    </row>
    <row r="840" spans="1:19" ht="14.25" customHeight="1">
      <c r="A840" s="2" t="s">
        <v>15</v>
      </c>
      <c r="B840" s="2">
        <v>2017</v>
      </c>
      <c r="C840" s="2" t="s">
        <v>30</v>
      </c>
      <c r="E840" s="2">
        <v>0</v>
      </c>
      <c r="H840" s="2">
        <v>0.6</v>
      </c>
      <c r="I840" s="3">
        <f t="shared" si="13"/>
        <v>0.6</v>
      </c>
      <c r="J840" s="2">
        <v>14.2</v>
      </c>
      <c r="K840" s="2">
        <v>81</v>
      </c>
      <c r="M840" s="3"/>
      <c r="N840" s="3"/>
      <c r="Q840" s="4" t="s">
        <v>101</v>
      </c>
      <c r="R840" s="2" t="s">
        <v>17</v>
      </c>
      <c r="S840" s="2" t="s">
        <v>17</v>
      </c>
    </row>
    <row r="841" spans="1:19" ht="14.25" customHeight="1">
      <c r="A841" s="2" t="s">
        <v>15</v>
      </c>
      <c r="B841" s="2">
        <v>2018</v>
      </c>
      <c r="C841" s="2" t="s">
        <v>30</v>
      </c>
      <c r="E841" s="2">
        <v>1.3</v>
      </c>
      <c r="H841" s="2">
        <v>1.1000000000000001</v>
      </c>
      <c r="I841" s="3">
        <f t="shared" si="13"/>
        <v>1.1000000000000001</v>
      </c>
      <c r="J841" s="2">
        <v>13.1</v>
      </c>
      <c r="K841" s="2">
        <v>80.2</v>
      </c>
      <c r="M841" s="3"/>
      <c r="N841" s="3"/>
      <c r="Q841" s="4" t="s">
        <v>101</v>
      </c>
      <c r="R841" s="2" t="s">
        <v>17</v>
      </c>
      <c r="S841" s="2" t="s">
        <v>17</v>
      </c>
    </row>
    <row r="842" spans="1:19" ht="14.25" customHeight="1">
      <c r="A842" s="2" t="s">
        <v>15</v>
      </c>
      <c r="B842" s="2">
        <v>2019</v>
      </c>
      <c r="C842" s="2" t="s">
        <v>30</v>
      </c>
      <c r="E842" s="2">
        <v>0.3</v>
      </c>
      <c r="H842" s="2">
        <v>0.4</v>
      </c>
      <c r="I842" s="3">
        <f t="shared" si="13"/>
        <v>0.4</v>
      </c>
      <c r="J842" s="2">
        <v>11.310750000000001</v>
      </c>
      <c r="K842" s="2">
        <v>78.440484999999995</v>
      </c>
      <c r="M842" s="3"/>
      <c r="N842" s="3"/>
      <c r="Q842" s="4" t="s">
        <v>101</v>
      </c>
      <c r="R842" s="2" t="s">
        <v>17</v>
      </c>
      <c r="S842" s="2" t="s">
        <v>17</v>
      </c>
    </row>
    <row r="843" spans="1:19" ht="14.25" customHeight="1">
      <c r="A843" s="2" t="s">
        <v>15</v>
      </c>
      <c r="B843" s="2">
        <v>2020</v>
      </c>
      <c r="C843" s="2" t="s">
        <v>30</v>
      </c>
      <c r="E843" s="2">
        <v>0.1468257</v>
      </c>
      <c r="H843" s="2">
        <v>1.1032090999999999</v>
      </c>
      <c r="I843" s="3">
        <f t="shared" si="13"/>
        <v>1.1032090999999999</v>
      </c>
      <c r="J843" s="2">
        <v>12.163997999999999</v>
      </c>
      <c r="K843" s="2">
        <v>76.799329999999998</v>
      </c>
      <c r="M843" s="3"/>
      <c r="N843" s="3"/>
      <c r="Q843" s="4" t="s">
        <v>101</v>
      </c>
      <c r="R843" s="2" t="s">
        <v>17</v>
      </c>
      <c r="S843" s="2" t="s">
        <v>17</v>
      </c>
    </row>
    <row r="844" spans="1:19" ht="61.5" customHeight="1">
      <c r="A844" s="2" t="s">
        <v>15</v>
      </c>
      <c r="B844" s="2">
        <v>1900</v>
      </c>
      <c r="C844" s="2" t="s">
        <v>16</v>
      </c>
      <c r="G844" s="3"/>
      <c r="H844" s="3">
        <f t="shared" ref="H844:I844" si="15">H1079+H603</f>
        <v>745.32970940865664</v>
      </c>
      <c r="I844" s="3">
        <f t="shared" si="15"/>
        <v>745.32970940865664</v>
      </c>
      <c r="J844" s="3" t="e">
        <v>#VALUE!</v>
      </c>
      <c r="K844" s="3">
        <v>113.1025706157285</v>
      </c>
      <c r="M844" s="3">
        <v>219.12743191173877</v>
      </c>
      <c r="N844" s="3">
        <v>265.57444254189699</v>
      </c>
      <c r="Q844" s="4" t="s">
        <v>99</v>
      </c>
      <c r="R844" s="2">
        <v>539.1147806974684</v>
      </c>
      <c r="S844" s="2">
        <f t="shared" ref="S844:S904" si="16">S603+S1079</f>
        <v>365.21155761024175</v>
      </c>
    </row>
    <row r="845" spans="1:19" ht="14.25" customHeight="1">
      <c r="A845" s="2" t="s">
        <v>15</v>
      </c>
      <c r="B845" s="2">
        <v>1901</v>
      </c>
      <c r="C845" s="2" t="s">
        <v>16</v>
      </c>
      <c r="G845" s="3"/>
      <c r="H845" s="3">
        <f t="shared" ref="H845:I845" si="17">H1080+H604</f>
        <v>805.2727087990246</v>
      </c>
      <c r="I845" s="3">
        <f t="shared" si="17"/>
        <v>805.2727087990246</v>
      </c>
      <c r="J845" s="3" t="e">
        <v>#VALUE!</v>
      </c>
      <c r="K845" s="3">
        <v>116.94894330420647</v>
      </c>
      <c r="M845" s="3">
        <v>224.23902667257789</v>
      </c>
      <c r="N845" s="3">
        <v>265.60080338972296</v>
      </c>
      <c r="Q845" s="4" t="s">
        <v>99</v>
      </c>
      <c r="R845" s="2">
        <v>544.13984302040558</v>
      </c>
      <c r="S845" s="2">
        <f t="shared" si="16"/>
        <v>394.58362731152204</v>
      </c>
    </row>
    <row r="846" spans="1:19" ht="14.25" customHeight="1">
      <c r="A846" s="2" t="s">
        <v>15</v>
      </c>
      <c r="B846" s="2">
        <v>1902</v>
      </c>
      <c r="C846" s="2" t="s">
        <v>16</v>
      </c>
      <c r="G846" s="3"/>
      <c r="H846" s="3">
        <f t="shared" ref="H846:I846" si="18">H1081+H605</f>
        <v>913.40444015444007</v>
      </c>
      <c r="I846" s="3">
        <f t="shared" si="18"/>
        <v>913.40444015444007</v>
      </c>
      <c r="J846" s="3" t="e">
        <v>#VALUE!</v>
      </c>
      <c r="K846" s="3">
        <v>131.22586872586874</v>
      </c>
      <c r="M846" s="3">
        <v>270.66179408534498</v>
      </c>
      <c r="N846" s="3">
        <v>299.80608456343231</v>
      </c>
      <c r="Q846" s="4" t="s">
        <v>99</v>
      </c>
      <c r="R846" s="2">
        <v>548.78370275315115</v>
      </c>
      <c r="S846" s="2">
        <f t="shared" si="16"/>
        <v>447.5681756756756</v>
      </c>
    </row>
    <row r="847" spans="1:19" ht="14.25" customHeight="1">
      <c r="A847" s="2" t="s">
        <v>15</v>
      </c>
      <c r="B847" s="2">
        <v>1903</v>
      </c>
      <c r="C847" s="2" t="s">
        <v>16</v>
      </c>
      <c r="G847" s="3"/>
      <c r="H847" s="3">
        <f t="shared" ref="H847:I847" si="19">H1082+H606</f>
        <v>972.00414082503551</v>
      </c>
      <c r="I847" s="3">
        <f t="shared" si="19"/>
        <v>972.00414082503551</v>
      </c>
      <c r="J847" s="3" t="e">
        <v>#VALUE!</v>
      </c>
      <c r="K847" s="3">
        <v>106.7569091648039</v>
      </c>
      <c r="M847" s="3">
        <v>238.2600101082362</v>
      </c>
      <c r="N847" s="3">
        <v>232.14901391466964</v>
      </c>
      <c r="Q847" s="4" t="s">
        <v>99</v>
      </c>
      <c r="R847" s="2">
        <v>553.41970263867631</v>
      </c>
      <c r="S847" s="2">
        <f t="shared" si="16"/>
        <v>470.12125900426742</v>
      </c>
    </row>
    <row r="848" spans="1:19" ht="14.25" customHeight="1">
      <c r="A848" s="2" t="s">
        <v>15</v>
      </c>
      <c r="B848" s="2">
        <v>1904</v>
      </c>
      <c r="C848" s="2" t="s">
        <v>16</v>
      </c>
      <c r="G848" s="3"/>
      <c r="H848" s="3">
        <f t="shared" ref="H848:I848" si="20">H1083+H607</f>
        <v>1060.380606990449</v>
      </c>
      <c r="I848" s="3">
        <f t="shared" si="20"/>
        <v>1060.380606990449</v>
      </c>
      <c r="J848" s="3" t="e">
        <v>#VALUE!</v>
      </c>
      <c r="K848" s="3">
        <v>107.50695996748628</v>
      </c>
      <c r="M848" s="3">
        <v>256.80573535560319</v>
      </c>
      <c r="N848" s="3">
        <v>240.73960223727585</v>
      </c>
      <c r="Q848" s="4" t="s">
        <v>99</v>
      </c>
      <c r="R848" s="2">
        <v>558.19848974870615</v>
      </c>
      <c r="S848" s="2">
        <f t="shared" si="16"/>
        <v>513.10232742532003</v>
      </c>
    </row>
    <row r="849" spans="1:19" ht="14.25" customHeight="1">
      <c r="A849" s="2" t="s">
        <v>15</v>
      </c>
      <c r="B849" s="2">
        <v>1905</v>
      </c>
      <c r="C849" s="2" t="s">
        <v>16</v>
      </c>
      <c r="G849" s="3"/>
      <c r="H849" s="3">
        <f t="shared" ref="H849:I849" si="21">H1084+H608</f>
        <v>1038.8793090835195</v>
      </c>
      <c r="I849" s="3">
        <f t="shared" si="21"/>
        <v>1038.8793090835195</v>
      </c>
      <c r="J849" s="3" t="e">
        <v>#VALUE!</v>
      </c>
      <c r="K849" s="3">
        <v>111.32915057915058</v>
      </c>
      <c r="M849" s="3">
        <v>300.85580582885262</v>
      </c>
      <c r="N849" s="3">
        <v>232.91970576413428</v>
      </c>
      <c r="Q849" s="4" t="s">
        <v>99</v>
      </c>
      <c r="R849" s="2">
        <v>563.03753568742616</v>
      </c>
      <c r="S849" s="2">
        <f t="shared" si="16"/>
        <v>506.01006145092452</v>
      </c>
    </row>
    <row r="850" spans="1:19" ht="14.25" customHeight="1">
      <c r="A850" s="2" t="s">
        <v>15</v>
      </c>
      <c r="B850" s="2">
        <v>1906</v>
      </c>
      <c r="C850" s="2" t="s">
        <v>16</v>
      </c>
      <c r="G850" s="3"/>
      <c r="H850" s="3">
        <f t="shared" ref="H850:I850" si="22">H1085+H609</f>
        <v>1083.9701877667139</v>
      </c>
      <c r="I850" s="3">
        <f t="shared" si="22"/>
        <v>1083.9701877667139</v>
      </c>
      <c r="J850" s="3">
        <v>379.42786019101811</v>
      </c>
      <c r="K850" s="3">
        <v>133.58992074781548</v>
      </c>
      <c r="M850" s="3">
        <v>326.38507266763833</v>
      </c>
      <c r="N850" s="3">
        <v>270.96012793629052</v>
      </c>
      <c r="Q850" s="4" t="s">
        <v>99</v>
      </c>
      <c r="R850" s="2">
        <v>568.01936885065095</v>
      </c>
      <c r="S850" s="2">
        <f t="shared" si="16"/>
        <v>522.65845200568981</v>
      </c>
    </row>
    <row r="851" spans="1:19" ht="14.25" customHeight="1">
      <c r="A851" s="2" t="s">
        <v>15</v>
      </c>
      <c r="B851" s="2">
        <v>1907</v>
      </c>
      <c r="C851" s="2" t="s">
        <v>16</v>
      </c>
      <c r="G851" s="3"/>
      <c r="H851" s="3">
        <f t="shared" ref="H851:I851" si="23">H1086+H610</f>
        <v>1245.3841422475107</v>
      </c>
      <c r="I851" s="3">
        <f t="shared" si="23"/>
        <v>1245.3841422475107</v>
      </c>
      <c r="J851" s="3">
        <v>486.3540438935176</v>
      </c>
      <c r="K851" s="3">
        <v>127.49644381223328</v>
      </c>
      <c r="M851" s="3">
        <v>367.21895867815954</v>
      </c>
      <c r="N851" s="3">
        <v>204.42538101034606</v>
      </c>
      <c r="Q851" s="4" t="s">
        <v>99</v>
      </c>
      <c r="R851" s="2">
        <v>572.95404293055299</v>
      </c>
      <c r="S851" s="2">
        <f t="shared" si="16"/>
        <v>601.66308970128023</v>
      </c>
    </row>
    <row r="852" spans="1:19" ht="14.25" customHeight="1">
      <c r="A852" s="2" t="s">
        <v>15</v>
      </c>
      <c r="B852" s="2">
        <v>1908</v>
      </c>
      <c r="C852" s="2" t="s">
        <v>16</v>
      </c>
      <c r="G852" s="3"/>
      <c r="H852" s="3">
        <f t="shared" ref="H852:I852" si="24">H1087+H611</f>
        <v>1190.9825685836211</v>
      </c>
      <c r="I852" s="3">
        <f t="shared" si="24"/>
        <v>1190.9825685836211</v>
      </c>
      <c r="J852" s="3">
        <v>456.16495630969308</v>
      </c>
      <c r="K852" s="3">
        <v>133.5533428165007</v>
      </c>
      <c r="M852" s="3">
        <v>329.0424943145253</v>
      </c>
      <c r="N852" s="3">
        <v>229.04484990520908</v>
      </c>
      <c r="Q852" s="4" t="s">
        <v>99</v>
      </c>
      <c r="R852" s="2">
        <v>578.01054464237177</v>
      </c>
      <c r="S852" s="2">
        <f t="shared" si="16"/>
        <v>575.37675860597437</v>
      </c>
    </row>
    <row r="853" spans="1:19" ht="14.25" customHeight="1">
      <c r="A853" s="2" t="s">
        <v>15</v>
      </c>
      <c r="B853" s="2">
        <v>1910</v>
      </c>
      <c r="C853" s="2" t="s">
        <v>16</v>
      </c>
      <c r="G853" s="3"/>
      <c r="H853" s="3">
        <f t="shared" ref="H853:I853" si="25">H1088+H612</f>
        <v>1195.1896421459051</v>
      </c>
      <c r="I853" s="3">
        <f t="shared" si="25"/>
        <v>1195.1896421459051</v>
      </c>
      <c r="J853" s="3">
        <v>453.21027230237758</v>
      </c>
      <c r="K853" s="3">
        <v>192.13132493395651</v>
      </c>
      <c r="M853" s="3">
        <v>366.93904945497843</v>
      </c>
      <c r="N853" s="3">
        <v>262.10584909581826</v>
      </c>
      <c r="Q853" s="4" t="s">
        <v>99</v>
      </c>
      <c r="R853" s="2">
        <v>588.38685294789457</v>
      </c>
      <c r="S853" s="2">
        <f t="shared" si="16"/>
        <v>578.62913465149347</v>
      </c>
    </row>
    <row r="854" spans="1:19" ht="14.25" customHeight="1">
      <c r="A854" s="2" t="s">
        <v>15</v>
      </c>
      <c r="B854" s="2">
        <v>1911</v>
      </c>
      <c r="C854" s="2" t="s">
        <v>16</v>
      </c>
      <c r="G854" s="3"/>
      <c r="H854" s="3">
        <f t="shared" ref="H854:I854" si="26">H1089+H613</f>
        <v>1231.5205068075595</v>
      </c>
      <c r="I854" s="3">
        <f t="shared" si="26"/>
        <v>1231.5205068075595</v>
      </c>
      <c r="J854" s="3">
        <v>498.01828896565735</v>
      </c>
      <c r="K854" s="3">
        <v>166.40002032107296</v>
      </c>
      <c r="M854" s="3">
        <v>449.76450168809038</v>
      </c>
      <c r="N854" s="3">
        <v>273.74751328387276</v>
      </c>
      <c r="Q854" s="4" t="s">
        <v>99</v>
      </c>
      <c r="R854" s="2">
        <v>552.67563710180764</v>
      </c>
      <c r="S854" s="2">
        <f t="shared" si="16"/>
        <v>596.43440833570412</v>
      </c>
    </row>
    <row r="855" spans="1:19" ht="14.25" customHeight="1">
      <c r="A855" s="2" t="s">
        <v>15</v>
      </c>
      <c r="B855" s="2">
        <v>1912</v>
      </c>
      <c r="C855" s="2" t="s">
        <v>16</v>
      </c>
      <c r="G855" s="3"/>
      <c r="H855" s="3">
        <f t="shared" ref="H855:I855" si="27">H1090+H614</f>
        <v>1237.2673330623857</v>
      </c>
      <c r="I855" s="3">
        <f t="shared" si="27"/>
        <v>1237.2673330623857</v>
      </c>
      <c r="J855" s="3">
        <v>535.1140520219468</v>
      </c>
      <c r="K855" s="3">
        <v>158.58545011176588</v>
      </c>
      <c r="M855" s="3">
        <v>456.11141699940413</v>
      </c>
      <c r="N855" s="3">
        <v>265.72003978331526</v>
      </c>
      <c r="Q855" s="4" t="s">
        <v>99</v>
      </c>
      <c r="R855" s="2">
        <v>579.60609362812193</v>
      </c>
      <c r="S855" s="2">
        <f t="shared" si="16"/>
        <v>598.46453320056889</v>
      </c>
    </row>
    <row r="856" spans="1:19" ht="14.25" customHeight="1">
      <c r="A856" s="2" t="s">
        <v>15</v>
      </c>
      <c r="B856" s="2">
        <v>1913</v>
      </c>
      <c r="C856" s="2" t="s">
        <v>16</v>
      </c>
      <c r="G856" s="3"/>
      <c r="H856" s="3">
        <f t="shared" ref="H856:I856" si="28">H1091+H615</f>
        <v>1263.0522101198942</v>
      </c>
      <c r="I856" s="3">
        <f t="shared" si="28"/>
        <v>1263.0522101198942</v>
      </c>
      <c r="J856" s="3">
        <v>558.76706970128021</v>
      </c>
      <c r="K856" s="3">
        <v>187.4095204226783</v>
      </c>
      <c r="M856" s="3">
        <v>514.37038801378196</v>
      </c>
      <c r="N856" s="3">
        <v>335.00383251918009</v>
      </c>
      <c r="Q856" s="4" t="s">
        <v>99</v>
      </c>
      <c r="R856" s="2">
        <v>582.18281354189082</v>
      </c>
      <c r="S856" s="2">
        <f t="shared" si="16"/>
        <v>610.72532295874817</v>
      </c>
    </row>
    <row r="857" spans="1:19" ht="14.25" customHeight="1">
      <c r="A857" s="2" t="s">
        <v>15</v>
      </c>
      <c r="B857" s="2">
        <v>1914</v>
      </c>
      <c r="C857" s="2" t="s">
        <v>16</v>
      </c>
      <c r="G857" s="3"/>
      <c r="H857" s="3">
        <f t="shared" ref="H857:I857" si="29">H1092+H616</f>
        <v>935.8924568177199</v>
      </c>
      <c r="I857" s="3">
        <f t="shared" si="29"/>
        <v>935.8924568177199</v>
      </c>
      <c r="J857" s="3">
        <v>253.91886811623652</v>
      </c>
      <c r="K857" s="3">
        <v>181.52824629140417</v>
      </c>
      <c r="M857" s="3">
        <v>257.60465770077974</v>
      </c>
      <c r="N857" s="3">
        <v>388.94416264307438</v>
      </c>
      <c r="Q857" s="4" t="s">
        <v>100</v>
      </c>
      <c r="R857" s="2">
        <v>586.95898070284716</v>
      </c>
      <c r="S857" s="2">
        <f t="shared" si="16"/>
        <v>450.25450384068279</v>
      </c>
    </row>
    <row r="858" spans="1:19" ht="14.25" customHeight="1">
      <c r="A858" s="2" t="s">
        <v>15</v>
      </c>
      <c r="B858" s="2">
        <v>1915</v>
      </c>
      <c r="C858" s="2" t="s">
        <v>16</v>
      </c>
      <c r="G858" s="3"/>
      <c r="H858" s="3">
        <f t="shared" ref="H858:I858" si="30">H1093+H617</f>
        <v>478.57756330014223</v>
      </c>
      <c r="I858" s="3">
        <f t="shared" si="30"/>
        <v>478.57756330014223</v>
      </c>
      <c r="J858" s="3">
        <v>66.943913838650687</v>
      </c>
      <c r="K858" s="3">
        <v>180.34520422678315</v>
      </c>
      <c r="M858" s="3">
        <v>89.767809250536772</v>
      </c>
      <c r="N858" s="3">
        <v>473.98226056065198</v>
      </c>
      <c r="Q858" s="4" t="s">
        <v>100</v>
      </c>
      <c r="R858" s="2">
        <v>566.16444490662604</v>
      </c>
      <c r="S858" s="2">
        <f t="shared" si="16"/>
        <v>226.33211601706969</v>
      </c>
    </row>
    <row r="859" spans="1:19" ht="14.25" customHeight="1">
      <c r="A859" s="2" t="s">
        <v>15</v>
      </c>
      <c r="B859" s="2">
        <v>1916</v>
      </c>
      <c r="C859" s="2" t="s">
        <v>16</v>
      </c>
      <c r="G859" s="3"/>
      <c r="H859" s="3">
        <f t="shared" ref="H859:I859" si="31">H1094+H618</f>
        <v>450.42633387522858</v>
      </c>
      <c r="I859" s="3">
        <f t="shared" si="31"/>
        <v>450.42633387522858</v>
      </c>
      <c r="J859" s="3">
        <v>92.95483641536272</v>
      </c>
      <c r="K859" s="3">
        <v>191.89290794553952</v>
      </c>
      <c r="M859" s="3">
        <v>121.76126951494217</v>
      </c>
      <c r="N859" s="3">
        <v>548.20750707879495</v>
      </c>
      <c r="Q859" s="4" t="s">
        <v>100</v>
      </c>
      <c r="R859" s="2">
        <v>555.42003375627928</v>
      </c>
      <c r="S859" s="2">
        <f t="shared" si="16"/>
        <v>213.84001359886201</v>
      </c>
    </row>
    <row r="860" spans="1:19" ht="14.25" customHeight="1">
      <c r="A860" s="2" t="s">
        <v>15</v>
      </c>
      <c r="B860" s="2">
        <v>1917</v>
      </c>
      <c r="C860" s="2" t="s">
        <v>16</v>
      </c>
      <c r="G860" s="3"/>
      <c r="H860" s="3">
        <f t="shared" ref="H860:I860" si="32">H1095+H619</f>
        <v>431.06201564722613</v>
      </c>
      <c r="I860" s="3">
        <f t="shared" si="32"/>
        <v>431.06201564722613</v>
      </c>
      <c r="J860" s="3">
        <v>28.098557203820359</v>
      </c>
      <c r="K860" s="3">
        <v>169.64336516968095</v>
      </c>
      <c r="M860" s="3">
        <v>43.167065402564091</v>
      </c>
      <c r="N860" s="3">
        <v>399.06869459946495</v>
      </c>
      <c r="Q860" s="4" t="s">
        <v>100</v>
      </c>
      <c r="R860" s="2">
        <v>545.44326768446251</v>
      </c>
      <c r="S860" s="2">
        <f t="shared" si="16"/>
        <v>203.84959766714081</v>
      </c>
    </row>
    <row r="861" spans="1:19" ht="14.25" customHeight="1">
      <c r="A861" s="2" t="s">
        <v>15</v>
      </c>
      <c r="B861" s="2">
        <v>1918</v>
      </c>
      <c r="C861" s="2" t="s">
        <v>16</v>
      </c>
      <c r="G861" s="3"/>
      <c r="H861" s="3">
        <f t="shared" ref="H861:I861" si="33">H1096+H620</f>
        <v>477.50835602519817</v>
      </c>
      <c r="I861" s="3">
        <f t="shared" si="33"/>
        <v>477.50835602519817</v>
      </c>
      <c r="J861" s="3">
        <v>19.512954684007315</v>
      </c>
      <c r="K861" s="3">
        <v>161.66327982117454</v>
      </c>
      <c r="M861" s="3">
        <v>33.183679155927081</v>
      </c>
      <c r="N861" s="3">
        <v>598.93488406297615</v>
      </c>
      <c r="Q861" s="4" t="s">
        <v>100</v>
      </c>
      <c r="R861" s="2">
        <v>542.77484955312184</v>
      </c>
      <c r="S861" s="2">
        <f t="shared" si="16"/>
        <v>227.10789445234707</v>
      </c>
    </row>
    <row r="862" spans="1:19" ht="14.25" customHeight="1">
      <c r="A862" s="2" t="s">
        <v>15</v>
      </c>
      <c r="B862" s="2">
        <v>1919</v>
      </c>
      <c r="C862" s="2" t="s">
        <v>16</v>
      </c>
      <c r="G862" s="3"/>
      <c r="H862" s="3">
        <f t="shared" ref="H862:I862" si="34">H1097+H621</f>
        <v>902.66866754724651</v>
      </c>
      <c r="I862" s="3">
        <f t="shared" si="34"/>
        <v>902.66866754724651</v>
      </c>
      <c r="J862" s="3">
        <v>138.04323308270676</v>
      </c>
      <c r="K862" s="3">
        <v>149.76407234301971</v>
      </c>
      <c r="M862" s="3">
        <v>143.87054070926905</v>
      </c>
      <c r="N862" s="3">
        <v>440.13087437528293</v>
      </c>
      <c r="Q862" s="4" t="s">
        <v>99</v>
      </c>
      <c r="R862" s="2">
        <v>586.81750345287924</v>
      </c>
      <c r="S862" s="2">
        <f t="shared" si="16"/>
        <v>435.00951709815075</v>
      </c>
    </row>
    <row r="863" spans="1:19" ht="14.25" customHeight="1">
      <c r="A863" s="2" t="s">
        <v>15</v>
      </c>
      <c r="B863" s="2">
        <v>1920</v>
      </c>
      <c r="C863" s="2" t="s">
        <v>16</v>
      </c>
      <c r="G863" s="3"/>
      <c r="H863" s="3">
        <f t="shared" ref="H863:I863" si="35">H1098+H622</f>
        <v>1128.126090225564</v>
      </c>
      <c r="I863" s="3">
        <f t="shared" si="35"/>
        <v>1128.126090225564</v>
      </c>
      <c r="J863" s="3">
        <v>202.01026214184108</v>
      </c>
      <c r="K863" s="3">
        <v>139.00965250965251</v>
      </c>
      <c r="M863" s="3">
        <v>189.09173184649666</v>
      </c>
      <c r="N863" s="3">
        <v>342.37824966648924</v>
      </c>
      <c r="Q863" s="4" t="s">
        <v>99</v>
      </c>
      <c r="R863" s="2">
        <v>595.92575640683697</v>
      </c>
      <c r="S863" s="2">
        <f t="shared" si="16"/>
        <v>546.12688421052633</v>
      </c>
    </row>
    <row r="864" spans="1:19" ht="14.25" customHeight="1">
      <c r="A864" s="2" t="s">
        <v>15</v>
      </c>
      <c r="B864" s="2">
        <v>1921</v>
      </c>
      <c r="C864" s="2" t="s">
        <v>16</v>
      </c>
      <c r="G864" s="3"/>
      <c r="H864" s="3">
        <f t="shared" ref="H864:I864" si="36">H1099+H623</f>
        <v>884.96959723633404</v>
      </c>
      <c r="I864" s="3">
        <f t="shared" si="36"/>
        <v>884.96959723633404</v>
      </c>
      <c r="J864" s="3">
        <v>292.95006096321885</v>
      </c>
      <c r="K864" s="3">
        <v>143.47038203617151</v>
      </c>
      <c r="M864" s="3">
        <v>176.58009983048782</v>
      </c>
      <c r="N864" s="3">
        <v>276.77956422100038</v>
      </c>
      <c r="Q864" s="4" t="s">
        <v>99</v>
      </c>
      <c r="R864" s="2">
        <v>599.82293065364036</v>
      </c>
      <c r="S864" s="2">
        <f t="shared" si="16"/>
        <v>427.57072264580364</v>
      </c>
    </row>
    <row r="865" spans="1:19" ht="14.25" customHeight="1">
      <c r="A865" s="2" t="s">
        <v>15</v>
      </c>
      <c r="B865" s="2">
        <v>1922</v>
      </c>
      <c r="C865" s="2" t="s">
        <v>16</v>
      </c>
      <c r="G865" s="3"/>
      <c r="H865" s="3">
        <f t="shared" ref="H865:I865" si="37">H1100+H624</f>
        <v>931.86574049989838</v>
      </c>
      <c r="I865" s="3">
        <f t="shared" si="37"/>
        <v>938.89928707579759</v>
      </c>
      <c r="J865" s="3">
        <v>221.12477138792926</v>
      </c>
      <c r="K865" s="3">
        <v>151.96677504572241</v>
      </c>
      <c r="M865" s="3">
        <v>146.64296839261465</v>
      </c>
      <c r="N865" s="3">
        <v>301.36039888576784</v>
      </c>
      <c r="Q865" s="4" t="s">
        <v>99</v>
      </c>
      <c r="R865" s="2">
        <v>580.73136175518221</v>
      </c>
      <c r="S865" s="2">
        <f t="shared" si="16"/>
        <v>453.73356066714081</v>
      </c>
    </row>
    <row r="866" spans="1:19" ht="14.25" customHeight="1">
      <c r="A866" s="2" t="s">
        <v>15</v>
      </c>
      <c r="B866" s="2">
        <v>1923</v>
      </c>
      <c r="C866" s="2" t="s">
        <v>16</v>
      </c>
      <c r="G866" s="3"/>
      <c r="H866" s="3">
        <f t="shared" ref="H866:I866" si="38">H1101+H625</f>
        <v>887.98999390367794</v>
      </c>
      <c r="I866" s="3">
        <f t="shared" si="38"/>
        <v>894.69939785612667</v>
      </c>
      <c r="J866" s="3">
        <v>270.13076610445029</v>
      </c>
      <c r="K866" s="3">
        <v>191.45234708392601</v>
      </c>
      <c r="M866" s="3">
        <v>161.98606855687311</v>
      </c>
      <c r="N866" s="3">
        <v>296.74616677137868</v>
      </c>
      <c r="Q866" s="4" t="s">
        <v>99</v>
      </c>
      <c r="R866" s="2">
        <v>583.76526278227357</v>
      </c>
      <c r="S866" s="2">
        <f t="shared" si="16"/>
        <v>432.56260494950209</v>
      </c>
    </row>
    <row r="867" spans="1:19" ht="14.25" customHeight="1">
      <c r="A867" s="2" t="s">
        <v>15</v>
      </c>
      <c r="B867" s="2">
        <v>1924</v>
      </c>
      <c r="C867" s="2" t="s">
        <v>16</v>
      </c>
      <c r="G867" s="3"/>
      <c r="H867" s="3">
        <f t="shared" ref="H867:I867" si="39">H1102+H626</f>
        <v>1081.5533938223939</v>
      </c>
      <c r="I867" s="3">
        <f t="shared" si="39"/>
        <v>1089.7498084942085</v>
      </c>
      <c r="J867" s="3">
        <v>413.67689494005282</v>
      </c>
      <c r="K867" s="3">
        <v>213.46494614915667</v>
      </c>
      <c r="M867" s="3">
        <v>304.77481975359552</v>
      </c>
      <c r="N867" s="3">
        <v>399.67036217323283</v>
      </c>
      <c r="Q867" s="4" t="s">
        <v>99</v>
      </c>
      <c r="R867" s="2">
        <v>587.98993066326204</v>
      </c>
      <c r="S867" s="2">
        <f t="shared" si="16"/>
        <v>527.52389616216226</v>
      </c>
    </row>
    <row r="868" spans="1:19" ht="14.25" customHeight="1">
      <c r="A868" s="2" t="s">
        <v>15</v>
      </c>
      <c r="B868" s="2">
        <v>1925</v>
      </c>
      <c r="C868" s="2" t="s">
        <v>16</v>
      </c>
      <c r="G868" s="3"/>
      <c r="H868" s="3">
        <f t="shared" ref="H868:I868" si="40">H1103+H627</f>
        <v>1017.1975669579354</v>
      </c>
      <c r="I868" s="3">
        <f t="shared" si="40"/>
        <v>1024.8260493802072</v>
      </c>
      <c r="J868" s="3">
        <v>343.28053241211137</v>
      </c>
      <c r="K868" s="3">
        <v>225.26966063808166</v>
      </c>
      <c r="M868" s="3">
        <v>271.77632881801338</v>
      </c>
      <c r="N868" s="3">
        <v>388.93864611943746</v>
      </c>
      <c r="Q868" s="4" t="s">
        <v>99</v>
      </c>
      <c r="R868" s="2">
        <v>590.01253134798958</v>
      </c>
      <c r="S868" s="2">
        <f t="shared" si="16"/>
        <v>493.93549419630153</v>
      </c>
    </row>
    <row r="869" spans="1:19" ht="14.25" customHeight="1">
      <c r="A869" s="2" t="s">
        <v>15</v>
      </c>
      <c r="B869" s="2">
        <v>1926</v>
      </c>
      <c r="C869" s="2" t="s">
        <v>16</v>
      </c>
      <c r="G869" s="3"/>
      <c r="H869" s="3">
        <f t="shared" ref="H869:I869" si="41">H1104+H628</f>
        <v>1001.4360772200772</v>
      </c>
      <c r="I869" s="3">
        <f t="shared" si="41"/>
        <v>1008.9511438223939</v>
      </c>
      <c r="J869" s="3">
        <v>369.58021743548056</v>
      </c>
      <c r="K869" s="3">
        <v>244.12507620402354</v>
      </c>
      <c r="M869" s="3">
        <v>267.75525886057983</v>
      </c>
      <c r="N869" s="3">
        <v>408.38816411183774</v>
      </c>
      <c r="Q869" s="4" t="s">
        <v>99</v>
      </c>
      <c r="R869" s="2">
        <v>592.339046125241</v>
      </c>
      <c r="S869" s="2">
        <f t="shared" si="16"/>
        <v>486.41320047297296</v>
      </c>
    </row>
    <row r="870" spans="1:19" ht="14.25" customHeight="1">
      <c r="A870" s="2" t="s">
        <v>15</v>
      </c>
      <c r="B870" s="2">
        <v>1927</v>
      </c>
      <c r="C870" s="2" t="s">
        <v>16</v>
      </c>
      <c r="G870" s="3"/>
      <c r="H870" s="3">
        <f t="shared" ref="H870:I870" si="42">H1105+H629</f>
        <v>1049.5459548872179</v>
      </c>
      <c r="I870" s="3">
        <f t="shared" si="42"/>
        <v>1057.4710041353383</v>
      </c>
      <c r="J870" s="3">
        <v>390.16460069091647</v>
      </c>
      <c r="K870" s="3">
        <v>245.93085754927858</v>
      </c>
      <c r="M870" s="3">
        <v>261.32952818444005</v>
      </c>
      <c r="N870" s="3">
        <v>432.07541048538468</v>
      </c>
      <c r="Q870" s="4" t="s">
        <v>99</v>
      </c>
      <c r="R870" s="2">
        <v>595.14763153201307</v>
      </c>
      <c r="S870" s="2">
        <f t="shared" si="16"/>
        <v>511.12285202631574</v>
      </c>
    </row>
    <row r="871" spans="1:19" ht="14.25" customHeight="1">
      <c r="A871" s="2" t="s">
        <v>15</v>
      </c>
      <c r="B871" s="2">
        <v>1928</v>
      </c>
      <c r="C871" s="2" t="s">
        <v>16</v>
      </c>
      <c r="G871" s="3"/>
      <c r="H871" s="3">
        <f t="shared" ref="H871:I871" si="43">H1106+H630</f>
        <v>1053.7884915667546</v>
      </c>
      <c r="I871" s="3">
        <f t="shared" si="43"/>
        <v>1061.7324912009753</v>
      </c>
      <c r="J871" s="3">
        <v>391.20168664905503</v>
      </c>
      <c r="K871" s="3">
        <v>277.7845966267019</v>
      </c>
      <c r="M871" s="3">
        <v>281.56530117212407</v>
      </c>
      <c r="N871" s="3">
        <v>507.17354385869095</v>
      </c>
      <c r="Q871" s="4" t="s">
        <v>99</v>
      </c>
      <c r="R871" s="2">
        <v>597.63920310089384</v>
      </c>
      <c r="S871" s="2">
        <f t="shared" si="16"/>
        <v>512.83025068847792</v>
      </c>
    </row>
    <row r="872" spans="1:19" ht="14.25" customHeight="1">
      <c r="A872" s="2" t="s">
        <v>15</v>
      </c>
      <c r="B872" s="2">
        <v>1929</v>
      </c>
      <c r="C872" s="2" t="s">
        <v>16</v>
      </c>
      <c r="G872" s="3"/>
      <c r="H872" s="3">
        <f t="shared" ref="H872:I872" si="44">H1107+H631</f>
        <v>1104.5551601300549</v>
      </c>
      <c r="I872" s="3">
        <f t="shared" si="44"/>
        <v>1112.9009429790694</v>
      </c>
      <c r="J872" s="3">
        <v>420.6102926234505</v>
      </c>
      <c r="K872" s="3">
        <v>266.95620808778705</v>
      </c>
      <c r="M872" s="3">
        <v>298.35445666731783</v>
      </c>
      <c r="N872" s="3">
        <v>501.91113986080285</v>
      </c>
      <c r="Q872" s="4" t="s">
        <v>99</v>
      </c>
      <c r="R872" s="2">
        <v>599.06445539686752</v>
      </c>
      <c r="S872" s="2">
        <f t="shared" si="16"/>
        <v>538.05903205974391</v>
      </c>
    </row>
    <row r="873" spans="1:19" ht="14.25" customHeight="1">
      <c r="A873" s="2" t="s">
        <v>15</v>
      </c>
      <c r="B873" s="2">
        <v>1930</v>
      </c>
      <c r="C873" s="2" t="s">
        <v>16</v>
      </c>
      <c r="G873" s="3"/>
      <c r="H873" s="3">
        <f t="shared" ref="H873:I873" si="45">H1108+H632</f>
        <v>1146.2096222312537</v>
      </c>
      <c r="I873" s="3">
        <f t="shared" si="45"/>
        <v>1154.8787654846574</v>
      </c>
      <c r="J873" s="3">
        <v>364.44172932330827</v>
      </c>
      <c r="K873" s="3">
        <v>266.52931314773423</v>
      </c>
      <c r="M873" s="3">
        <v>273.37883590361162</v>
      </c>
      <c r="N873" s="3">
        <v>497.28954289672663</v>
      </c>
      <c r="Q873" s="4" t="s">
        <v>99</v>
      </c>
      <c r="R873" s="2">
        <v>601.13290519038105</v>
      </c>
      <c r="S873" s="2">
        <f t="shared" si="16"/>
        <v>558.58658508748215</v>
      </c>
    </row>
    <row r="874" spans="1:19" ht="14.25" customHeight="1">
      <c r="A874" s="2" t="s">
        <v>15</v>
      </c>
      <c r="B874" s="2">
        <v>1931</v>
      </c>
      <c r="C874" s="2" t="s">
        <v>16</v>
      </c>
      <c r="G874" s="3"/>
      <c r="H874" s="3">
        <f t="shared" ref="H874:I874" si="46">H1109+H633</f>
        <v>1034.2746669376143</v>
      </c>
      <c r="I874" s="3">
        <f t="shared" si="46"/>
        <v>1042.1164645397275</v>
      </c>
      <c r="J874" s="3">
        <v>276.57889656573866</v>
      </c>
      <c r="K874" s="3">
        <v>232.1066856330014</v>
      </c>
      <c r="M874" s="3">
        <v>206.49970515441453</v>
      </c>
      <c r="N874" s="3">
        <v>447.66518064782974</v>
      </c>
      <c r="Q874" s="4" t="s">
        <v>99</v>
      </c>
      <c r="R874" s="2">
        <v>603.552428159741</v>
      </c>
      <c r="S874" s="2">
        <f t="shared" si="16"/>
        <v>504.56470762446651</v>
      </c>
    </row>
    <row r="875" spans="1:19" ht="14.25" customHeight="1">
      <c r="A875" s="2" t="s">
        <v>15</v>
      </c>
      <c r="B875" s="2">
        <v>1932</v>
      </c>
      <c r="C875" s="2" t="s">
        <v>16</v>
      </c>
      <c r="G875" s="3"/>
      <c r="H875" s="3">
        <f t="shared" ref="H875:I875" si="47">H1110+H634</f>
        <v>1018.4789065230644</v>
      </c>
      <c r="I875" s="3">
        <f t="shared" si="47"/>
        <v>1026.2087837939443</v>
      </c>
      <c r="J875" s="3">
        <v>262.23506401137979</v>
      </c>
      <c r="K875" s="3">
        <v>210.27423287949603</v>
      </c>
      <c r="M875" s="3">
        <v>188.96846559368674</v>
      </c>
      <c r="N875" s="3">
        <v>372.28074840993258</v>
      </c>
      <c r="Q875" s="4" t="s">
        <v>99</v>
      </c>
      <c r="R875" s="2">
        <v>606.97670159878123</v>
      </c>
      <c r="S875" s="2">
        <f t="shared" si="16"/>
        <v>497.07381405903271</v>
      </c>
    </row>
    <row r="876" spans="1:19" ht="14.25" customHeight="1">
      <c r="A876" s="2" t="s">
        <v>15</v>
      </c>
      <c r="B876" s="2">
        <v>1933</v>
      </c>
      <c r="C876" s="2" t="s">
        <v>16</v>
      </c>
      <c r="G876" s="3"/>
      <c r="H876" s="3">
        <f t="shared" ref="H876:I876" si="48">H1111+H635</f>
        <v>976.64175228612066</v>
      </c>
      <c r="I876" s="3">
        <f t="shared" si="48"/>
        <v>984.04854455395241</v>
      </c>
      <c r="J876" s="3">
        <v>202.03495224547854</v>
      </c>
      <c r="K876" s="3">
        <v>186.51742532005687</v>
      </c>
      <c r="M876" s="3">
        <v>158.9767929047664</v>
      </c>
      <c r="N876" s="3">
        <v>315.61865561975674</v>
      </c>
      <c r="Q876" s="4" t="s">
        <v>99</v>
      </c>
      <c r="R876" s="2">
        <v>609.40015449175144</v>
      </c>
      <c r="S876" s="2">
        <f t="shared" si="16"/>
        <v>476.5026568314367</v>
      </c>
    </row>
    <row r="877" spans="1:19" ht="14.25" customHeight="1">
      <c r="A877" s="2" t="s">
        <v>15</v>
      </c>
      <c r="B877" s="2">
        <v>1934</v>
      </c>
      <c r="C877" s="2" t="s">
        <v>16</v>
      </c>
      <c r="G877" s="3"/>
      <c r="H877" s="3">
        <f t="shared" ref="H877:I877" si="49">H1112+H636</f>
        <v>974.8677045315992</v>
      </c>
      <c r="I877" s="3">
        <f t="shared" si="49"/>
        <v>982.24941942694568</v>
      </c>
      <c r="J877" s="3">
        <v>214.52159114001216</v>
      </c>
      <c r="K877" s="3">
        <v>189.0212355212355</v>
      </c>
      <c r="M877" s="3">
        <v>152.7768867657843</v>
      </c>
      <c r="N877" s="3">
        <v>400.17718619851087</v>
      </c>
      <c r="Q877" s="4" t="s">
        <v>99</v>
      </c>
      <c r="R877" s="2">
        <v>611.31271731539266</v>
      </c>
      <c r="S877" s="2">
        <f t="shared" si="16"/>
        <v>475.31847551920333</v>
      </c>
    </row>
    <row r="878" spans="1:19" ht="14.25" customHeight="1">
      <c r="A878" s="2" t="s">
        <v>15</v>
      </c>
      <c r="B878" s="2">
        <v>1935</v>
      </c>
      <c r="C878" s="2" t="s">
        <v>16</v>
      </c>
      <c r="G878" s="3"/>
      <c r="H878" s="3">
        <f t="shared" ref="H878:I878" si="50">H1113+H637</f>
        <v>1035.9918864052022</v>
      </c>
      <c r="I878" s="3">
        <f t="shared" si="50"/>
        <v>1043.8591917191627</v>
      </c>
      <c r="J878" s="3">
        <v>233.08595813858972</v>
      </c>
      <c r="K878" s="3">
        <v>197.42994310099573</v>
      </c>
      <c r="M878" s="3">
        <v>158.48252119347757</v>
      </c>
      <c r="N878" s="3">
        <v>388.78806767499884</v>
      </c>
      <c r="Q878" s="4" t="s">
        <v>99</v>
      </c>
      <c r="R878" s="2">
        <v>613.96541575229253</v>
      </c>
      <c r="S878" s="2">
        <f t="shared" si="16"/>
        <v>505.74477394238971</v>
      </c>
    </row>
    <row r="879" spans="1:19" ht="14.25" customHeight="1">
      <c r="A879" s="2" t="s">
        <v>15</v>
      </c>
      <c r="B879" s="2">
        <v>1936</v>
      </c>
      <c r="C879" s="2" t="s">
        <v>16</v>
      </c>
      <c r="G879" s="3"/>
      <c r="H879" s="3">
        <f t="shared" ref="H879:I879" si="51">H1114+H638</f>
        <v>1086.997934566145</v>
      </c>
      <c r="I879" s="3">
        <f t="shared" si="51"/>
        <v>1095.2708636557609</v>
      </c>
      <c r="J879" s="3">
        <v>230.89549888234097</v>
      </c>
      <c r="K879" s="3">
        <v>183.84114001219262</v>
      </c>
      <c r="M879" s="3">
        <v>166.0522909625</v>
      </c>
      <c r="N879" s="3">
        <v>394.34517242499999</v>
      </c>
      <c r="Q879" s="4" t="s">
        <v>99</v>
      </c>
      <c r="R879" s="2">
        <v>616.75304156647667</v>
      </c>
      <c r="S879" s="2">
        <f t="shared" si="16"/>
        <v>531.14586319132286</v>
      </c>
    </row>
    <row r="880" spans="1:19" ht="14.25" customHeight="1">
      <c r="A880" s="2" t="s">
        <v>15</v>
      </c>
      <c r="B880" s="2">
        <v>1937</v>
      </c>
      <c r="C880" s="2" t="s">
        <v>16</v>
      </c>
      <c r="G880" s="3"/>
      <c r="H880" s="3">
        <f t="shared" ref="H880:I880" si="52">H1115+H639</f>
        <v>1133.7833584637269</v>
      </c>
      <c r="I880" s="3">
        <f t="shared" si="52"/>
        <v>1142.396636059744</v>
      </c>
      <c r="J880" s="3">
        <v>204.16988416988417</v>
      </c>
      <c r="K880" s="3">
        <v>187.41780125990653</v>
      </c>
      <c r="M880" s="3">
        <v>151.1630535132245</v>
      </c>
      <c r="N880" s="3">
        <v>412.22344083891267</v>
      </c>
      <c r="Q880" s="4" t="s">
        <v>99</v>
      </c>
      <c r="R880" s="2">
        <v>619.46861878113998</v>
      </c>
      <c r="S880" s="2">
        <f t="shared" si="16"/>
        <v>553.57578166927453</v>
      </c>
    </row>
    <row r="881" spans="1:20" ht="14.25" customHeight="1">
      <c r="A881" s="2" t="s">
        <v>15</v>
      </c>
      <c r="B881" s="2">
        <v>1938</v>
      </c>
      <c r="C881" s="2" t="s">
        <v>16</v>
      </c>
      <c r="G881" s="3"/>
      <c r="H881" s="3">
        <f t="shared" ref="H881:I881" si="53">H1116+H640</f>
        <v>1087.1074005283476</v>
      </c>
      <c r="I881" s="3">
        <f t="shared" si="53"/>
        <v>1095.3945058524687</v>
      </c>
      <c r="J881" s="3">
        <v>222.59637268847794</v>
      </c>
      <c r="K881" s="3">
        <v>188.87578744157693</v>
      </c>
      <c r="M881" s="3">
        <v>154.76440545975288</v>
      </c>
      <c r="N881" s="3">
        <v>405.36404004311834</v>
      </c>
      <c r="Q881" s="4" t="s">
        <v>99</v>
      </c>
      <c r="R881" s="2">
        <v>622.16061645414209</v>
      </c>
      <c r="S881" s="2">
        <f t="shared" si="16"/>
        <v>531.56512786770963</v>
      </c>
    </row>
    <row r="882" spans="1:20" ht="14.25" customHeight="1">
      <c r="A882" s="2" t="s">
        <v>15</v>
      </c>
      <c r="B882" s="2">
        <v>1939</v>
      </c>
      <c r="C882" s="2" t="s">
        <v>16</v>
      </c>
      <c r="G882" s="3"/>
      <c r="H882" s="3">
        <f t="shared" ref="H882:I882" si="54">H1117+H641</f>
        <v>823.49532859174974</v>
      </c>
      <c r="I882" s="3">
        <f t="shared" si="54"/>
        <v>829.71367055476537</v>
      </c>
      <c r="J882" s="3">
        <v>102.81792318634425</v>
      </c>
      <c r="K882" s="3">
        <v>203.39610851452957</v>
      </c>
      <c r="M882" s="3">
        <v>86.499686526899097</v>
      </c>
      <c r="N882" s="3">
        <v>457.59536617064811</v>
      </c>
      <c r="Q882" s="4" t="s">
        <v>100</v>
      </c>
      <c r="R882" s="2">
        <v>622.86276280583502</v>
      </c>
      <c r="S882" s="2">
        <f t="shared" si="16"/>
        <v>401.04257857183501</v>
      </c>
    </row>
    <row r="883" spans="1:20" ht="14.25" customHeight="1">
      <c r="A883" s="2" t="s">
        <v>15</v>
      </c>
      <c r="B883" s="2">
        <v>1940</v>
      </c>
      <c r="C883" s="2" t="s">
        <v>16</v>
      </c>
      <c r="G883" s="3"/>
      <c r="H883" s="3">
        <f t="shared" ref="H883:I883" si="55">H1118+H642</f>
        <v>339.67840174761227</v>
      </c>
      <c r="I883" s="3">
        <f t="shared" si="55"/>
        <v>342.16319628124364</v>
      </c>
      <c r="J883" s="3">
        <v>24.789676894940051</v>
      </c>
      <c r="K883" s="3">
        <v>279.50762040235725</v>
      </c>
      <c r="M883" s="3">
        <v>31.318983423318365</v>
      </c>
      <c r="N883" s="3">
        <v>541.60675631451318</v>
      </c>
      <c r="Q883" s="4" t="s">
        <v>100</v>
      </c>
      <c r="R883" s="2">
        <v>602.97079946542817</v>
      </c>
      <c r="S883" s="2">
        <f t="shared" si="16"/>
        <v>163.22581617780938</v>
      </c>
    </row>
    <row r="884" spans="1:20" ht="14.25" customHeight="1">
      <c r="A884" s="2" t="s">
        <v>15</v>
      </c>
      <c r="B884" s="2">
        <v>1941</v>
      </c>
      <c r="C884" s="2" t="s">
        <v>16</v>
      </c>
      <c r="G884" s="3"/>
      <c r="H884" s="3">
        <f t="shared" ref="H884:I884" si="56">H1119+H643</f>
        <v>271.82369335500914</v>
      </c>
      <c r="I884" s="3">
        <f t="shared" si="56"/>
        <v>273.7684571631782</v>
      </c>
      <c r="J884" s="3">
        <v>0.98572444625076194</v>
      </c>
      <c r="K884" s="3">
        <v>262.57600081284289</v>
      </c>
      <c r="M884" s="3">
        <v>2.6856704554850701</v>
      </c>
      <c r="N884" s="3">
        <v>573.90797323269419</v>
      </c>
      <c r="Q884" s="4" t="s">
        <v>100</v>
      </c>
      <c r="R884" s="2">
        <v>587.79081453367746</v>
      </c>
      <c r="S884" s="2">
        <f t="shared" si="16"/>
        <v>129.42259400995732</v>
      </c>
    </row>
    <row r="885" spans="1:20" ht="14.25" customHeight="1">
      <c r="A885" s="2" t="s">
        <v>15</v>
      </c>
      <c r="B885" s="2">
        <v>1942</v>
      </c>
      <c r="C885" s="2" t="s">
        <v>16</v>
      </c>
      <c r="G885" s="3"/>
      <c r="H885" s="3">
        <f t="shared" ref="H885:I885" si="57">H1120+H644</f>
        <v>332.40207843934155</v>
      </c>
      <c r="I885" s="3">
        <f t="shared" si="57"/>
        <v>334.81683425116842</v>
      </c>
      <c r="J885" s="3">
        <v>4.0716825848404792</v>
      </c>
      <c r="K885" s="3">
        <v>315.77443609022555</v>
      </c>
      <c r="M885" s="3">
        <v>8.6136796426924107</v>
      </c>
      <c r="N885" s="3">
        <v>661.89279752882021</v>
      </c>
      <c r="Q885" s="4" t="s">
        <v>100</v>
      </c>
      <c r="R885" s="2">
        <v>580.62001391955926</v>
      </c>
      <c r="S885" s="2">
        <f t="shared" si="16"/>
        <v>159.26846878307254</v>
      </c>
    </row>
    <row r="886" spans="1:20" ht="14.25" customHeight="1">
      <c r="A886" s="2" t="s">
        <v>15</v>
      </c>
      <c r="B886" s="2">
        <v>1943</v>
      </c>
      <c r="C886" s="2" t="s">
        <v>16</v>
      </c>
      <c r="G886" s="3"/>
      <c r="H886" s="3">
        <f t="shared" ref="H886:I886" si="58">H1121+H645</f>
        <v>335.48197845966263</v>
      </c>
      <c r="I886" s="3">
        <f t="shared" si="58"/>
        <v>337.931069091648</v>
      </c>
      <c r="J886" s="3">
        <v>0.2444117049380207</v>
      </c>
      <c r="K886" s="3">
        <v>351.7381121723227</v>
      </c>
      <c r="M886" s="3">
        <v>0.74304330652240003</v>
      </c>
      <c r="N886" s="3">
        <v>720.61046881865002</v>
      </c>
      <c r="Q886" s="4" t="s">
        <v>100</v>
      </c>
      <c r="R886" s="2">
        <v>632.21467102362647</v>
      </c>
      <c r="S886" s="2">
        <f t="shared" si="16"/>
        <v>161.07206385490753</v>
      </c>
    </row>
    <row r="887" spans="1:20" ht="14.25" customHeight="1">
      <c r="A887" s="2" t="s">
        <v>15</v>
      </c>
      <c r="B887" s="2">
        <v>1944</v>
      </c>
      <c r="C887" s="2" t="s">
        <v>16</v>
      </c>
      <c r="G887" s="3"/>
      <c r="H887" s="3">
        <f t="shared" ref="H887:I887" si="59">H1122+H646</f>
        <v>349.01921255842302</v>
      </c>
      <c r="I887" s="3">
        <f t="shared" si="59"/>
        <v>351.58638141637874</v>
      </c>
      <c r="J887" s="3">
        <v>6.2741312741312741E-2</v>
      </c>
      <c r="K887" s="3">
        <v>288.93395651290388</v>
      </c>
      <c r="M887" s="3">
        <v>0.14587280784748</v>
      </c>
      <c r="N887" s="3">
        <v>598.70428728841216</v>
      </c>
      <c r="Q887" s="4" t="s">
        <v>100</v>
      </c>
      <c r="R887" s="2">
        <v>634.80842060637303</v>
      </c>
      <c r="S887" s="2">
        <f t="shared" si="16"/>
        <v>168.0993768940256</v>
      </c>
    </row>
    <row r="888" spans="1:20" ht="14.25" customHeight="1">
      <c r="A888" s="2" t="s">
        <v>15</v>
      </c>
      <c r="B888" s="2">
        <v>1945</v>
      </c>
      <c r="C888" s="2" t="s">
        <v>16</v>
      </c>
      <c r="G888" s="3"/>
      <c r="H888" s="3">
        <f t="shared" ref="H888:I888" si="60">H1123+H647</f>
        <v>520.21332452753495</v>
      </c>
      <c r="I888" s="3">
        <f t="shared" si="60"/>
        <v>524.10820245884975</v>
      </c>
      <c r="J888" s="3">
        <v>10.361207071733386</v>
      </c>
      <c r="K888" s="3">
        <v>280.11293436293431</v>
      </c>
      <c r="M888" s="3">
        <v>12.58245502091544</v>
      </c>
      <c r="N888" s="3">
        <v>594.72789875348906</v>
      </c>
      <c r="Q888" s="4" t="s">
        <v>100</v>
      </c>
      <c r="R888" s="2">
        <v>637.55019731177129</v>
      </c>
      <c r="S888" s="2">
        <f t="shared" si="16"/>
        <v>252.43031920483639</v>
      </c>
    </row>
    <row r="889" spans="1:20" ht="14.25" customHeight="1">
      <c r="A889" s="2" t="s">
        <v>15</v>
      </c>
      <c r="B889" s="2">
        <v>1946</v>
      </c>
      <c r="C889" s="2" t="s">
        <v>16</v>
      </c>
      <c r="G889" s="3"/>
      <c r="H889" s="3">
        <f t="shared" ref="H889:I889" si="61">H1124+H648</f>
        <v>941.06046047551297</v>
      </c>
      <c r="I889" s="3">
        <f t="shared" si="61"/>
        <v>948.19593526722201</v>
      </c>
      <c r="J889" s="3">
        <v>50.675472464946147</v>
      </c>
      <c r="K889" s="3">
        <v>295.44899410688885</v>
      </c>
      <c r="M889" s="3">
        <v>67.142876825631845</v>
      </c>
      <c r="N889" s="3">
        <v>630.5154515772731</v>
      </c>
      <c r="Q889" s="4" t="s">
        <v>99</v>
      </c>
      <c r="R889" s="2">
        <v>641.72770610943712</v>
      </c>
      <c r="S889" s="2">
        <f t="shared" si="16"/>
        <v>459.1022482809388</v>
      </c>
    </row>
    <row r="890" spans="1:20" ht="14.25" customHeight="1">
      <c r="A890" s="2" t="s">
        <v>15</v>
      </c>
      <c r="B890" s="2">
        <v>1947</v>
      </c>
      <c r="C890" s="2" t="s">
        <v>16</v>
      </c>
      <c r="G890" s="3"/>
      <c r="H890" s="3">
        <f t="shared" ref="H890:I890" si="62">H1125+H649</f>
        <v>1036.3830959154643</v>
      </c>
      <c r="I890" s="3">
        <f t="shared" si="62"/>
        <v>1044.258897063605</v>
      </c>
      <c r="J890" s="3">
        <v>61.036730339361917</v>
      </c>
      <c r="K890" s="3">
        <v>306.89204429993902</v>
      </c>
      <c r="M890" s="3">
        <v>84.391051084746508</v>
      </c>
      <c r="N890" s="3">
        <v>662.01226916267444</v>
      </c>
      <c r="Q890" s="4" t="s">
        <v>99</v>
      </c>
      <c r="R890" s="2">
        <v>648.94435583234133</v>
      </c>
      <c r="S890" s="2">
        <f t="shared" si="16"/>
        <v>506.08720956116645</v>
      </c>
    </row>
    <row r="891" spans="1:20" ht="14.25" customHeight="1">
      <c r="A891" s="2" t="s">
        <v>15</v>
      </c>
      <c r="B891" s="2">
        <v>1948</v>
      </c>
      <c r="C891" s="2" t="s">
        <v>16</v>
      </c>
      <c r="G891" s="3"/>
      <c r="H891" s="3">
        <f t="shared" ref="H891:I891" si="63">H1126+H650</f>
        <v>1085.7184686039423</v>
      </c>
      <c r="I891" s="3">
        <f t="shared" si="63"/>
        <v>1093.9791714590531</v>
      </c>
      <c r="J891" s="3">
        <v>91.719111969111964</v>
      </c>
      <c r="K891" s="3">
        <v>254.24588498272706</v>
      </c>
      <c r="M891" s="3">
        <v>111.34404557612672</v>
      </c>
      <c r="N891" s="3">
        <v>422.85077151086801</v>
      </c>
      <c r="Q891" s="4" t="s">
        <v>99</v>
      </c>
      <c r="R891" s="2">
        <v>655.42217991652399</v>
      </c>
      <c r="S891" s="2">
        <f t="shared" si="16"/>
        <v>530.45245401493605</v>
      </c>
    </row>
    <row r="892" spans="1:20" ht="14.25" customHeight="1">
      <c r="A892" s="2" t="s">
        <v>15</v>
      </c>
      <c r="B892" s="2">
        <v>1949</v>
      </c>
      <c r="C892" s="2" t="s">
        <v>16</v>
      </c>
      <c r="G892" s="3"/>
      <c r="H892" s="3">
        <f t="shared" ref="H892:I892" si="64">H1127+H651</f>
        <v>1040.3181178622231</v>
      </c>
      <c r="I892" s="3">
        <f t="shared" si="64"/>
        <v>1048.2567247815484</v>
      </c>
      <c r="J892" s="3">
        <v>75.620148343832554</v>
      </c>
      <c r="K892" s="3">
        <v>244.5416581995529</v>
      </c>
      <c r="M892" s="3">
        <v>100.16462422499998</v>
      </c>
      <c r="N892" s="3">
        <v>527.08628138124993</v>
      </c>
      <c r="Q892" s="4" t="s">
        <v>99</v>
      </c>
      <c r="R892" s="2">
        <v>659.32328408693752</v>
      </c>
      <c r="S892" s="2">
        <f t="shared" si="16"/>
        <v>508.91071514295874</v>
      </c>
    </row>
    <row r="893" spans="1:20" ht="14.25" customHeight="1">
      <c r="A893" s="2" t="s">
        <v>15</v>
      </c>
      <c r="B893" s="2">
        <v>1950</v>
      </c>
      <c r="C893" s="2" t="s">
        <v>16</v>
      </c>
      <c r="G893" s="3"/>
      <c r="H893" s="3">
        <f t="shared" ref="H893:I893" si="65">H1128+H652</f>
        <v>915.59010566957943</v>
      </c>
      <c r="I893" s="3">
        <f t="shared" si="65"/>
        <v>922.58577049380222</v>
      </c>
      <c r="J893" s="3">
        <v>69.19680959154644</v>
      </c>
      <c r="K893" s="3">
        <v>142.16134931924404</v>
      </c>
      <c r="L893" s="2">
        <v>2.6613750437726159E-2</v>
      </c>
      <c r="M893" s="3">
        <v>115.93376782592696</v>
      </c>
      <c r="N893" s="3">
        <v>332.29530445775254</v>
      </c>
      <c r="P893" s="2">
        <v>0</v>
      </c>
      <c r="Q893" s="4" t="s">
        <v>99</v>
      </c>
      <c r="R893" s="2">
        <v>659.98482122799157</v>
      </c>
      <c r="S893" s="2">
        <f t="shared" si="16"/>
        <v>448.13792754196311</v>
      </c>
      <c r="T893" s="2">
        <f t="shared" ref="T893:T904" si="66">T1128+T652</f>
        <v>1.3040737714485818E-2</v>
      </c>
    </row>
    <row r="894" spans="1:20" ht="14.25" customHeight="1">
      <c r="A894" s="2" t="s">
        <v>15</v>
      </c>
      <c r="B894" s="2">
        <v>1951</v>
      </c>
      <c r="C894" s="2" t="s">
        <v>16</v>
      </c>
      <c r="G894" s="3"/>
      <c r="H894" s="3">
        <f t="shared" ref="H894:I894" si="67">H1129+H653</f>
        <v>985.68097480186952</v>
      </c>
      <c r="I894" s="3">
        <f t="shared" si="67"/>
        <v>993.16424780532418</v>
      </c>
      <c r="J894" s="3">
        <v>64.530634017476117</v>
      </c>
      <c r="K894" s="3">
        <v>194.21926437715911</v>
      </c>
      <c r="L894" s="2">
        <v>2.6613750437726159E-2</v>
      </c>
      <c r="M894" s="3">
        <v>106.12924717145869</v>
      </c>
      <c r="N894" s="3">
        <v>370.0346245057454</v>
      </c>
      <c r="P894" s="2">
        <v>0</v>
      </c>
      <c r="Q894" s="4" t="s">
        <v>99</v>
      </c>
      <c r="R894" s="2">
        <v>658.74558531623484</v>
      </c>
      <c r="S894" s="2">
        <f t="shared" si="16"/>
        <v>481.13021142460883</v>
      </c>
      <c r="T894" s="2">
        <f t="shared" si="66"/>
        <v>1.3040737714485818E-2</v>
      </c>
    </row>
    <row r="895" spans="1:20" ht="14.25" customHeight="1">
      <c r="A895" s="2" t="s">
        <v>15</v>
      </c>
      <c r="B895" s="2">
        <v>1952</v>
      </c>
      <c r="C895" s="2" t="s">
        <v>16</v>
      </c>
      <c r="G895" s="3"/>
      <c r="H895" s="3">
        <f t="shared" ref="H895:I895" si="68">H1130+H654</f>
        <v>1032.0069443202601</v>
      </c>
      <c r="I895" s="3">
        <f t="shared" si="68"/>
        <v>1039.852137085958</v>
      </c>
      <c r="J895" s="3">
        <v>65.790946961999595</v>
      </c>
      <c r="K895" s="3">
        <v>193.82808372282057</v>
      </c>
      <c r="L895" s="2">
        <v>2.6613750437726159E-2</v>
      </c>
      <c r="M895" s="3">
        <v>99.82599277814208</v>
      </c>
      <c r="N895" s="3">
        <v>287.89083005635638</v>
      </c>
      <c r="P895" s="2">
        <v>0</v>
      </c>
      <c r="Q895" s="4" t="s">
        <v>99</v>
      </c>
      <c r="R895" s="2">
        <v>660.60967908201701</v>
      </c>
      <c r="S895" s="2">
        <f t="shared" si="16"/>
        <v>504.0228171721194</v>
      </c>
      <c r="T895" s="2">
        <f t="shared" si="66"/>
        <v>1.3040737714485818E-2</v>
      </c>
    </row>
    <row r="896" spans="1:20" ht="14.25" customHeight="1">
      <c r="A896" s="2" t="s">
        <v>15</v>
      </c>
      <c r="B896" s="2">
        <v>1953</v>
      </c>
      <c r="C896" s="2" t="s">
        <v>16</v>
      </c>
      <c r="G896" s="3"/>
      <c r="H896" s="3">
        <f t="shared" ref="H896:I896" si="69">H1131+H655</f>
        <v>1022.1400516155252</v>
      </c>
      <c r="I896" s="3">
        <f t="shared" si="69"/>
        <v>1029.9094448181263</v>
      </c>
      <c r="J896" s="3">
        <v>58.68522657996342</v>
      </c>
      <c r="K896" s="3">
        <v>113.79983743141636</v>
      </c>
      <c r="L896" s="2">
        <v>2.6613750437726159E-2</v>
      </c>
      <c r="M896" s="3">
        <v>87.154173234316872</v>
      </c>
      <c r="N896" s="3">
        <v>228.07732747283967</v>
      </c>
      <c r="P896" s="2">
        <v>0</v>
      </c>
      <c r="Q896" s="4" t="s">
        <v>99</v>
      </c>
      <c r="R896" s="2">
        <v>654.52563321599996</v>
      </c>
      <c r="S896" s="2">
        <f t="shared" si="16"/>
        <v>499.18218796088189</v>
      </c>
      <c r="T896" s="2">
        <f t="shared" si="66"/>
        <v>1.3040737714485818E-2</v>
      </c>
    </row>
    <row r="897" spans="1:20" ht="14.25" customHeight="1">
      <c r="A897" s="2" t="s">
        <v>15</v>
      </c>
      <c r="B897" s="2">
        <v>1954</v>
      </c>
      <c r="C897" s="2" t="s">
        <v>16</v>
      </c>
      <c r="G897" s="3"/>
      <c r="H897" s="3">
        <f t="shared" ref="H897:I897" si="70">H1132+H656</f>
        <v>970.75934362934356</v>
      </c>
      <c r="I897" s="3">
        <f t="shared" si="70"/>
        <v>978.1450025096525</v>
      </c>
      <c r="J897" s="3">
        <v>63.173186344238971</v>
      </c>
      <c r="K897" s="3">
        <v>127.83677098150781</v>
      </c>
      <c r="L897" s="2">
        <v>2.6613750437726159E-2</v>
      </c>
      <c r="M897" s="3">
        <v>95.726148398387437</v>
      </c>
      <c r="N897" s="3">
        <v>359.5137863621357</v>
      </c>
      <c r="P897" s="2">
        <v>0</v>
      </c>
      <c r="Q897" s="4" t="s">
        <v>99</v>
      </c>
      <c r="R897" s="2">
        <v>656.40830837400006</v>
      </c>
      <c r="S897" s="2">
        <f t="shared" si="16"/>
        <v>474.27625122972972</v>
      </c>
      <c r="T897" s="2">
        <f t="shared" si="66"/>
        <v>1.3040737714485818E-2</v>
      </c>
    </row>
    <row r="898" spans="1:20" ht="14.25" customHeight="1">
      <c r="A898" s="2" t="s">
        <v>15</v>
      </c>
      <c r="B898" s="2">
        <v>1955</v>
      </c>
      <c r="C898" s="2" t="s">
        <v>16</v>
      </c>
      <c r="G898" s="3"/>
      <c r="H898" s="3">
        <f t="shared" ref="H898:I898" si="71">H1133+H657</f>
        <v>994.58457244462511</v>
      </c>
      <c r="I898" s="3">
        <f t="shared" si="71"/>
        <v>1002.1351563096932</v>
      </c>
      <c r="J898" s="3">
        <v>50.104399512294243</v>
      </c>
      <c r="K898" s="3">
        <v>140.7372485267222</v>
      </c>
      <c r="L898" s="2">
        <v>3.1049375510680523E-2</v>
      </c>
      <c r="M898" s="3">
        <v>90.033731950379845</v>
      </c>
      <c r="N898" s="3">
        <v>349.45748511976632</v>
      </c>
      <c r="P898" s="2">
        <v>0</v>
      </c>
      <c r="Q898" s="4" t="s">
        <v>99</v>
      </c>
      <c r="R898" s="2">
        <v>658.45085396999991</v>
      </c>
      <c r="S898" s="2">
        <f t="shared" si="16"/>
        <v>485.46841659174964</v>
      </c>
      <c r="T898" s="2">
        <f t="shared" si="66"/>
        <v>1.5214194000233456E-2</v>
      </c>
    </row>
    <row r="899" spans="1:20" ht="14.25" customHeight="1">
      <c r="A899" s="2" t="s">
        <v>15</v>
      </c>
      <c r="B899" s="2">
        <v>1956</v>
      </c>
      <c r="C899" s="2" t="s">
        <v>16</v>
      </c>
      <c r="G899" s="3"/>
      <c r="H899" s="3">
        <f t="shared" ref="H899:I899" si="72">H1134+H658</f>
        <v>972.17384251168448</v>
      </c>
      <c r="I899" s="3">
        <f t="shared" si="72"/>
        <v>972.17384251168448</v>
      </c>
      <c r="J899" s="3">
        <v>47.552936395041662</v>
      </c>
      <c r="K899" s="3">
        <v>158.95940865677704</v>
      </c>
      <c r="L899" s="2">
        <v>3.1049375510680523E-2</v>
      </c>
      <c r="M899" s="3">
        <v>85.989955128009612</v>
      </c>
      <c r="N899" s="3">
        <v>471.92870390128576</v>
      </c>
      <c r="P899" s="2">
        <v>0</v>
      </c>
      <c r="Q899" s="4" t="s">
        <v>99</v>
      </c>
      <c r="R899" s="2">
        <v>660.78613036800004</v>
      </c>
      <c r="S899" s="2">
        <f t="shared" si="16"/>
        <v>471.24139283072543</v>
      </c>
      <c r="T899" s="2">
        <f t="shared" si="66"/>
        <v>1.5214194000233456E-2</v>
      </c>
    </row>
    <row r="900" spans="1:20" ht="14.25" customHeight="1">
      <c r="A900" s="2" t="s">
        <v>15</v>
      </c>
      <c r="B900" s="2">
        <v>1957</v>
      </c>
      <c r="C900" s="2" t="s">
        <v>16</v>
      </c>
      <c r="G900" s="3"/>
      <c r="H900" s="3">
        <f t="shared" ref="H900:I900" si="73">H1135+H659</f>
        <v>912.26161024182068</v>
      </c>
      <c r="I900" s="3">
        <f t="shared" si="73"/>
        <v>912.26161024182068</v>
      </c>
      <c r="J900" s="3">
        <v>40.723938223938227</v>
      </c>
      <c r="K900" s="3">
        <v>176.07894736842104</v>
      </c>
      <c r="L900" s="2">
        <v>3.1049375510680523E-2</v>
      </c>
      <c r="M900" s="3">
        <v>79.018347890652478</v>
      </c>
      <c r="N900" s="3">
        <v>478.48108457308786</v>
      </c>
      <c r="P900" s="2">
        <v>0</v>
      </c>
      <c r="Q900" s="4" t="s">
        <v>99</v>
      </c>
      <c r="R900" s="2">
        <v>663.59663806800006</v>
      </c>
      <c r="S900" s="2">
        <f t="shared" si="16"/>
        <v>441.61034901849212</v>
      </c>
      <c r="T900" s="2">
        <f t="shared" si="66"/>
        <v>1.5214194000233456E-2</v>
      </c>
    </row>
    <row r="901" spans="1:20" ht="14.25" customHeight="1">
      <c r="A901" s="2" t="s">
        <v>15</v>
      </c>
      <c r="B901" s="2">
        <v>1958</v>
      </c>
      <c r="C901" s="2" t="s">
        <v>16</v>
      </c>
      <c r="G901" s="3"/>
      <c r="H901" s="3">
        <f t="shared" ref="H901:I901" si="74">H1136+H660</f>
        <v>903.47945884982721</v>
      </c>
      <c r="I901" s="3">
        <f t="shared" si="74"/>
        <v>903.47945884982721</v>
      </c>
      <c r="J901" s="3">
        <v>44.34571225360699</v>
      </c>
      <c r="K901" s="3">
        <v>186.55181873602928</v>
      </c>
      <c r="L901" s="2">
        <v>3.1049375510680523E-2</v>
      </c>
      <c r="M901" s="3">
        <v>82.50571510772707</v>
      </c>
      <c r="N901" s="3">
        <v>671.96796391617431</v>
      </c>
      <c r="P901" s="2">
        <v>0</v>
      </c>
      <c r="Q901" s="4" t="s">
        <v>99</v>
      </c>
      <c r="R901" s="2">
        <v>666.234135294</v>
      </c>
      <c r="S901" s="2">
        <f t="shared" si="16"/>
        <v>437.75376483641531</v>
      </c>
      <c r="T901" s="2">
        <f t="shared" si="66"/>
        <v>1.5214194000233456E-2</v>
      </c>
    </row>
    <row r="902" spans="1:20" ht="14.25" customHeight="1">
      <c r="A902" s="2" t="s">
        <v>15</v>
      </c>
      <c r="B902" s="2">
        <v>1959</v>
      </c>
      <c r="C902" s="2" t="s">
        <v>16</v>
      </c>
      <c r="G902" s="3"/>
      <c r="H902" s="3">
        <f t="shared" ref="H902:I902" si="75">H1137+H661</f>
        <v>898.52371550497867</v>
      </c>
      <c r="I902" s="3">
        <f t="shared" si="75"/>
        <v>898.52371550497867</v>
      </c>
      <c r="J902" s="3">
        <v>48.194980694980693</v>
      </c>
      <c r="K902" s="3">
        <v>196.76544401544399</v>
      </c>
      <c r="L902" s="2">
        <v>3.1049375510680523E-2</v>
      </c>
      <c r="M902" s="3">
        <v>83.514817015166429</v>
      </c>
      <c r="N902" s="3">
        <v>729.19103092666103</v>
      </c>
      <c r="P902" s="2">
        <v>0</v>
      </c>
      <c r="Q902" s="4" t="s">
        <v>99</v>
      </c>
      <c r="R902" s="2">
        <v>670.180526106</v>
      </c>
      <c r="S902" s="2">
        <f t="shared" si="16"/>
        <v>435.00058059743952</v>
      </c>
      <c r="T902" s="2">
        <f t="shared" si="66"/>
        <v>1.5214194000233456E-2</v>
      </c>
    </row>
    <row r="903" spans="1:20" ht="14.25" customHeight="1">
      <c r="A903" s="2" t="s">
        <v>15</v>
      </c>
      <c r="B903" s="2">
        <v>1960</v>
      </c>
      <c r="C903" s="2" t="s">
        <v>16</v>
      </c>
      <c r="G903" s="3"/>
      <c r="H903" s="3">
        <f t="shared" ref="H903:I903" si="76">H1138+H662</f>
        <v>843.43505222515751</v>
      </c>
      <c r="I903" s="3">
        <f t="shared" si="76"/>
        <v>843.43505222515751</v>
      </c>
      <c r="J903" s="3">
        <v>45.919376143060347</v>
      </c>
      <c r="K903" s="3">
        <v>206.78012599065229</v>
      </c>
      <c r="L903" s="2">
        <v>3.1049375510680523E-2</v>
      </c>
      <c r="M903" s="3">
        <v>86.633905048701919</v>
      </c>
      <c r="N903" s="3">
        <v>654.75767913240941</v>
      </c>
      <c r="P903" s="2">
        <v>0</v>
      </c>
      <c r="Q903" s="4" t="s">
        <v>99</v>
      </c>
      <c r="R903" s="2">
        <v>675.42632047799998</v>
      </c>
      <c r="S903" s="2">
        <f t="shared" si="16"/>
        <v>407.39225559032712</v>
      </c>
      <c r="T903" s="2">
        <f t="shared" si="66"/>
        <v>1.5214194000233456E-2</v>
      </c>
    </row>
    <row r="904" spans="1:20" ht="14.25" customHeight="1">
      <c r="A904" s="2" t="s">
        <v>15</v>
      </c>
      <c r="B904" s="2">
        <v>1961</v>
      </c>
      <c r="C904" s="2" t="s">
        <v>16</v>
      </c>
      <c r="G904" s="3"/>
      <c r="H904" s="3">
        <f t="shared" ref="H904:I904" si="77">H1139+H663</f>
        <v>786.73820503962611</v>
      </c>
      <c r="I904" s="3">
        <f t="shared" si="77"/>
        <v>786.73820503962611</v>
      </c>
      <c r="J904" s="3">
        <v>38.175574070310908</v>
      </c>
      <c r="K904" s="3">
        <v>204.30252997358261</v>
      </c>
      <c r="L904" s="2">
        <v>0.13104937551068052</v>
      </c>
      <c r="M904" s="3">
        <v>84.195622830354353</v>
      </c>
      <c r="N904" s="3">
        <v>566.79791131440152</v>
      </c>
      <c r="P904" s="2">
        <v>0</v>
      </c>
      <c r="Q904" s="4" t="s">
        <v>99</v>
      </c>
      <c r="R904" s="2">
        <v>680.76920511599997</v>
      </c>
      <c r="S904" s="2">
        <f t="shared" si="16"/>
        <v>379.39765046941676</v>
      </c>
      <c r="T904" s="2">
        <f t="shared" si="66"/>
        <v>4.3214194000233463E-2</v>
      </c>
    </row>
    <row r="905" spans="1:20" ht="14.25" customHeight="1">
      <c r="A905" s="2" t="s">
        <v>15</v>
      </c>
      <c r="B905" s="2">
        <v>1962</v>
      </c>
      <c r="C905" s="2" t="s">
        <v>16</v>
      </c>
      <c r="G905" s="3"/>
      <c r="H905" s="3">
        <v>828.54094696199957</v>
      </c>
      <c r="I905" s="3">
        <v>828.54094696199957</v>
      </c>
      <c r="J905" s="3">
        <v>43.784850640113795</v>
      </c>
      <c r="K905" s="3">
        <v>218.25619792725055</v>
      </c>
      <c r="L905" s="2">
        <v>3.1049375510680523E-2</v>
      </c>
      <c r="M905" s="3">
        <v>89.651088915231696</v>
      </c>
      <c r="N905" s="3">
        <v>764.30594747980751</v>
      </c>
      <c r="P905" s="2">
        <v>0</v>
      </c>
      <c r="Q905" s="4" t="s">
        <v>99</v>
      </c>
      <c r="R905" s="2">
        <v>687.82540444799997</v>
      </c>
      <c r="S905" s="2">
        <f t="shared" ref="S905:S963" si="78">S664+S1020</f>
        <v>399.67994310099573</v>
      </c>
      <c r="T905" s="2">
        <f t="shared" ref="T905:T962" si="79">T1020+T664</f>
        <v>1.5214194000233456E-2</v>
      </c>
    </row>
    <row r="906" spans="1:20" ht="14.25" customHeight="1">
      <c r="A906" s="2" t="s">
        <v>15</v>
      </c>
      <c r="B906" s="2">
        <v>1963</v>
      </c>
      <c r="C906" s="2" t="s">
        <v>16</v>
      </c>
      <c r="G906" s="3"/>
      <c r="H906" s="3">
        <v>852.01178622231248</v>
      </c>
      <c r="I906" s="3">
        <v>852.01178622231248</v>
      </c>
      <c r="J906" s="3">
        <v>44.908148750254014</v>
      </c>
      <c r="K906" s="3">
        <v>192.59047957732167</v>
      </c>
      <c r="L906" s="2">
        <v>3.1049375510680523E-2</v>
      </c>
      <c r="M906" s="3">
        <v>95.512878857275979</v>
      </c>
      <c r="N906" s="3">
        <v>621.10590975931473</v>
      </c>
      <c r="P906" s="2">
        <v>0</v>
      </c>
      <c r="Q906" s="4" t="s">
        <v>99</v>
      </c>
      <c r="R906" s="2">
        <v>692.24775656400004</v>
      </c>
      <c r="S906" s="2">
        <f t="shared" si="78"/>
        <v>411.55405405405401</v>
      </c>
      <c r="T906" s="2">
        <f t="shared" si="79"/>
        <v>1.5214194000233456E-2</v>
      </c>
    </row>
    <row r="907" spans="1:20" ht="14.25" customHeight="1">
      <c r="A907" s="2" t="s">
        <v>15</v>
      </c>
      <c r="B907" s="2">
        <v>1964</v>
      </c>
      <c r="C907" s="2" t="s">
        <v>16</v>
      </c>
      <c r="G907" s="3"/>
      <c r="H907" s="3">
        <v>858.56533224954273</v>
      </c>
      <c r="I907" s="3">
        <v>858.56533224954273</v>
      </c>
      <c r="J907" s="3">
        <v>43.133204633204627</v>
      </c>
      <c r="K907" s="3">
        <v>228.55451127819549</v>
      </c>
      <c r="L907" s="2">
        <v>0.18871250145908722</v>
      </c>
      <c r="M907" s="3">
        <v>98.445415460491873</v>
      </c>
      <c r="N907" s="3">
        <v>805.17332061817979</v>
      </c>
      <c r="P907" s="2">
        <v>0</v>
      </c>
      <c r="Q907" s="4" t="s">
        <v>99</v>
      </c>
      <c r="R907" s="2">
        <v>696.68762872799994</v>
      </c>
      <c r="S907" s="2">
        <f t="shared" si="78"/>
        <v>414.73328591749646</v>
      </c>
      <c r="T907" s="2">
        <f t="shared" si="79"/>
        <v>7.146912571495273E-2</v>
      </c>
    </row>
    <row r="908" spans="1:20" ht="14.25" customHeight="1">
      <c r="A908" s="2" t="s">
        <v>15</v>
      </c>
      <c r="B908" s="2">
        <v>1965</v>
      </c>
      <c r="C908" s="2" t="s">
        <v>16</v>
      </c>
      <c r="G908" s="3"/>
      <c r="H908" s="3">
        <v>926.2345051818736</v>
      </c>
      <c r="I908" s="3">
        <v>926.2345051818736</v>
      </c>
      <c r="J908" s="3">
        <v>53.850843324527531</v>
      </c>
      <c r="K908" s="3">
        <v>219.36598252387725</v>
      </c>
      <c r="L908" s="2">
        <v>0.2774250029181744</v>
      </c>
      <c r="M908" s="3">
        <v>116.81727742229999</v>
      </c>
      <c r="N908" s="3">
        <v>775.12376044012012</v>
      </c>
      <c r="P908" s="2">
        <v>0</v>
      </c>
      <c r="Q908" s="4" t="s">
        <v>99</v>
      </c>
      <c r="R908" s="2">
        <v>700.75665987599996</v>
      </c>
      <c r="S908" s="2">
        <f t="shared" si="78"/>
        <v>448.01920341394026</v>
      </c>
      <c r="T908" s="2">
        <f t="shared" si="79"/>
        <v>0.11493825142990546</v>
      </c>
    </row>
    <row r="909" spans="1:20" ht="14.25" customHeight="1">
      <c r="A909" s="2" t="s">
        <v>15</v>
      </c>
      <c r="B909" s="2">
        <v>1966</v>
      </c>
      <c r="C909" s="2" t="s">
        <v>16</v>
      </c>
      <c r="G909" s="3"/>
      <c r="H909" s="3">
        <v>950.01016053647629</v>
      </c>
      <c r="I909" s="3">
        <v>950.01016053647629</v>
      </c>
      <c r="J909" s="3">
        <v>77.321682584840474</v>
      </c>
      <c r="K909" s="3">
        <v>205.95407437512699</v>
      </c>
      <c r="L909" s="2">
        <v>0.18871250145908722</v>
      </c>
      <c r="M909" s="3">
        <v>109.4137528358</v>
      </c>
      <c r="N909" s="3">
        <v>683.01142309890008</v>
      </c>
      <c r="P909" s="2">
        <v>0</v>
      </c>
      <c r="Q909" s="4" t="s">
        <v>99</v>
      </c>
      <c r="R909" s="2">
        <v>703.96574866799995</v>
      </c>
      <c r="S909" s="2">
        <f t="shared" si="78"/>
        <v>458.34637268847791</v>
      </c>
      <c r="T909" s="2">
        <f t="shared" si="79"/>
        <v>7.146912571495273E-2</v>
      </c>
    </row>
    <row r="910" spans="1:20" ht="14.25" customHeight="1">
      <c r="A910" s="2" t="s">
        <v>15</v>
      </c>
      <c r="B910" s="2">
        <v>1967</v>
      </c>
      <c r="C910" s="2" t="s">
        <v>16</v>
      </c>
      <c r="G910" s="3"/>
      <c r="H910" s="3">
        <v>904.33854907539114</v>
      </c>
      <c r="I910" s="3">
        <v>904.33854907539114</v>
      </c>
      <c r="J910" s="3">
        <v>55.171713066449904</v>
      </c>
      <c r="K910" s="3">
        <v>202.49949197317616</v>
      </c>
      <c r="L910" s="2">
        <v>0.18871250145908722</v>
      </c>
      <c r="M910" s="3">
        <v>102.6031621087</v>
      </c>
      <c r="N910" s="3">
        <v>617.35508501157994</v>
      </c>
      <c r="P910" s="2">
        <v>0</v>
      </c>
      <c r="Q910" s="4" t="s">
        <v>99</v>
      </c>
      <c r="R910" s="2">
        <v>707.35806796199995</v>
      </c>
      <c r="S910" s="2">
        <f t="shared" si="78"/>
        <v>434.27098150782359</v>
      </c>
      <c r="T910" s="2">
        <f t="shared" si="79"/>
        <v>7.146912571495273E-2</v>
      </c>
    </row>
    <row r="911" spans="1:20" ht="14.25" customHeight="1">
      <c r="A911" s="2" t="s">
        <v>15</v>
      </c>
      <c r="B911" s="2">
        <v>1968</v>
      </c>
      <c r="C911" s="2" t="s">
        <v>16</v>
      </c>
      <c r="G911" s="3"/>
      <c r="H911" s="3">
        <v>912.21296484454376</v>
      </c>
      <c r="I911" s="3">
        <v>912.21296484454376</v>
      </c>
      <c r="J911" s="3">
        <v>57.254623044096725</v>
      </c>
      <c r="K911" s="3">
        <v>239.73785815891077</v>
      </c>
      <c r="L911" s="2">
        <v>0.18871250145908722</v>
      </c>
      <c r="M911" s="3">
        <v>113.23745397019999</v>
      </c>
      <c r="N911" s="3">
        <v>787.35578208670006</v>
      </c>
      <c r="P911" s="2">
        <v>0</v>
      </c>
      <c r="Q911" s="4" t="s">
        <v>99</v>
      </c>
      <c r="R911" s="2">
        <v>709.8123346860001</v>
      </c>
      <c r="S911" s="2">
        <f t="shared" si="78"/>
        <v>438.20412517780937</v>
      </c>
      <c r="T911" s="2">
        <f t="shared" si="79"/>
        <v>7.146912571495273E-2</v>
      </c>
    </row>
    <row r="912" spans="1:20" ht="14.25" customHeight="1">
      <c r="A912" s="2" t="s">
        <v>15</v>
      </c>
      <c r="B912" s="2">
        <v>1969</v>
      </c>
      <c r="C912" s="2" t="s">
        <v>16</v>
      </c>
      <c r="G912" s="3"/>
      <c r="H912" s="3">
        <v>954.02357244462507</v>
      </c>
      <c r="I912" s="3">
        <v>954.02357244462507</v>
      </c>
      <c r="J912" s="3">
        <v>78.845763056289371</v>
      </c>
      <c r="K912" s="3">
        <v>197.97805324121111</v>
      </c>
      <c r="L912" s="2">
        <v>0.18871250145908722</v>
      </c>
      <c r="M912" s="3">
        <v>138.14437553886</v>
      </c>
      <c r="N912" s="3">
        <v>677.71614261490004</v>
      </c>
      <c r="P912" s="2">
        <v>0</v>
      </c>
      <c r="Q912" s="4" t="s">
        <v>99</v>
      </c>
      <c r="R912" s="2">
        <v>712.46224194600006</v>
      </c>
      <c r="S912" s="2">
        <f t="shared" si="78"/>
        <v>456.84566145092458</v>
      </c>
      <c r="T912" s="2">
        <f t="shared" si="79"/>
        <v>7.146912571495273E-2</v>
      </c>
    </row>
    <row r="913" spans="1:20" ht="14.25" customHeight="1">
      <c r="A913" s="2" t="s">
        <v>15</v>
      </c>
      <c r="B913" s="2">
        <v>1970</v>
      </c>
      <c r="C913" s="2" t="s">
        <v>16</v>
      </c>
      <c r="G913" s="3"/>
      <c r="H913" s="3">
        <v>975.10668563300135</v>
      </c>
      <c r="I913" s="3">
        <v>975.10668563300135</v>
      </c>
      <c r="J913" s="3">
        <v>112.93436293436292</v>
      </c>
      <c r="K913" s="3">
        <v>185.78540946961999</v>
      </c>
      <c r="L913" s="2">
        <v>0.40517100501925996</v>
      </c>
      <c r="M913" s="3">
        <v>191.366503424217</v>
      </c>
      <c r="N913" s="3">
        <v>674.45595350333099</v>
      </c>
      <c r="P913" s="2">
        <v>0</v>
      </c>
      <c r="Q913" s="4" t="s">
        <v>99</v>
      </c>
      <c r="R913" s="2">
        <v>714.37192717799996</v>
      </c>
      <c r="S913" s="2">
        <f t="shared" si="78"/>
        <v>465.94950213371266</v>
      </c>
      <c r="T913" s="2">
        <f t="shared" si="79"/>
        <v>0.17753379245943735</v>
      </c>
    </row>
    <row r="914" spans="1:20" ht="14.25" customHeight="1">
      <c r="A914" s="2" t="s">
        <v>15</v>
      </c>
      <c r="B914" s="2">
        <v>1971</v>
      </c>
      <c r="C914" s="2" t="s">
        <v>16</v>
      </c>
      <c r="G914" s="3"/>
      <c r="H914" s="3">
        <v>975.61471245681764</v>
      </c>
      <c r="I914" s="3">
        <v>975.61471245681764</v>
      </c>
      <c r="J914" s="3">
        <v>121.36760820971347</v>
      </c>
      <c r="K914" s="3">
        <v>176.03129445234708</v>
      </c>
      <c r="L914" s="2">
        <v>0.46904400606980279</v>
      </c>
      <c r="M914" s="3">
        <v>224.70870250000002</v>
      </c>
      <c r="N914" s="3">
        <v>690.92110750000006</v>
      </c>
      <c r="P914" s="2">
        <v>0</v>
      </c>
      <c r="Q914" s="4" t="s">
        <v>99</v>
      </c>
      <c r="R914" s="2">
        <v>718.22969574720003</v>
      </c>
      <c r="S914" s="2">
        <f t="shared" si="78"/>
        <v>466.61450924608818</v>
      </c>
      <c r="T914" s="2">
        <f t="shared" si="79"/>
        <v>0.20883156297420338</v>
      </c>
    </row>
    <row r="915" spans="1:20" ht="14.25" customHeight="1">
      <c r="A915" s="2" t="s">
        <v>15</v>
      </c>
      <c r="B915" s="2">
        <v>1972</v>
      </c>
      <c r="C915" s="2" t="s">
        <v>16</v>
      </c>
      <c r="G915" s="3"/>
      <c r="H915" s="3">
        <v>954.88721804511272</v>
      </c>
      <c r="I915" s="3">
        <v>954.88721804511272</v>
      </c>
      <c r="J915" s="3">
        <v>121.72322698638487</v>
      </c>
      <c r="K915" s="3">
        <v>196.25076204023571</v>
      </c>
      <c r="L915" s="2">
        <v>0.18895762810785574</v>
      </c>
      <c r="M915" s="3">
        <v>229.45458342490201</v>
      </c>
      <c r="N915" s="3">
        <v>744.92194163853605</v>
      </c>
      <c r="P915" s="2">
        <v>0</v>
      </c>
      <c r="Q915" s="4" t="s">
        <v>99</v>
      </c>
      <c r="R915" s="2">
        <v>720.50424327882001</v>
      </c>
      <c r="S915" s="2">
        <f t="shared" si="78"/>
        <v>455.43385490753906</v>
      </c>
      <c r="T915" s="2">
        <f t="shared" si="79"/>
        <v>9.2589237772849317E-2</v>
      </c>
    </row>
    <row r="916" spans="1:20" ht="14.25" customHeight="1">
      <c r="A916" s="2" t="s">
        <v>15</v>
      </c>
      <c r="B916" s="2">
        <v>1973</v>
      </c>
      <c r="C916" s="2" t="s">
        <v>16</v>
      </c>
      <c r="G916" s="3"/>
      <c r="H916" s="3">
        <v>1013.3611054663686</v>
      </c>
      <c r="I916" s="3">
        <v>1013.3611054663686</v>
      </c>
      <c r="J916" s="3">
        <v>169.12212964844542</v>
      </c>
      <c r="K916" s="3">
        <v>209.7134728713676</v>
      </c>
      <c r="L916" s="2">
        <v>0.35573713085093972</v>
      </c>
      <c r="M916" s="3">
        <v>309.83990802277401</v>
      </c>
      <c r="N916" s="3">
        <v>938.63752299884413</v>
      </c>
      <c r="P916" s="2">
        <v>0</v>
      </c>
      <c r="Q916" s="4" t="s">
        <v>99</v>
      </c>
      <c r="R916" s="2">
        <v>722.64226583640004</v>
      </c>
      <c r="S916" s="2">
        <f t="shared" si="78"/>
        <v>481.66429587482213</v>
      </c>
      <c r="T916" s="2">
        <f t="shared" si="79"/>
        <v>0.17431119411696047</v>
      </c>
    </row>
    <row r="917" spans="1:20" ht="14.25" customHeight="1">
      <c r="A917" s="2" t="s">
        <v>15</v>
      </c>
      <c r="B917" s="2">
        <v>1974</v>
      </c>
      <c r="C917" s="2" t="s">
        <v>16</v>
      </c>
      <c r="G917" s="3"/>
      <c r="H917" s="3">
        <v>969.97561471245672</v>
      </c>
      <c r="I917" s="3">
        <v>969.97561471245672</v>
      </c>
      <c r="J917" s="3">
        <v>158.55517171306644</v>
      </c>
      <c r="K917" s="3">
        <v>191.22129648445437</v>
      </c>
      <c r="L917" s="2">
        <v>0.493354383097934</v>
      </c>
      <c r="M917" s="3">
        <v>311.925717966082</v>
      </c>
      <c r="N917" s="3">
        <v>745.50605712787603</v>
      </c>
      <c r="P917" s="2">
        <v>0</v>
      </c>
      <c r="Q917" s="4" t="s">
        <v>99</v>
      </c>
      <c r="R917" s="2">
        <v>723.79461049350004</v>
      </c>
      <c r="S917" s="2">
        <f t="shared" si="78"/>
        <v>461.90967283072541</v>
      </c>
      <c r="T917" s="2">
        <f t="shared" si="79"/>
        <v>0.24153364771798766</v>
      </c>
    </row>
    <row r="918" spans="1:20" ht="14.25" customHeight="1">
      <c r="A918" s="2" t="s">
        <v>15</v>
      </c>
      <c r="B918" s="2">
        <v>1975</v>
      </c>
      <c r="C918" s="2" t="s">
        <v>16</v>
      </c>
      <c r="G918" s="3"/>
      <c r="H918" s="3">
        <v>869.13</v>
      </c>
      <c r="I918" s="3">
        <v>869.13</v>
      </c>
      <c r="J918" s="3">
        <v>144.196</v>
      </c>
      <c r="K918" s="3">
        <v>194.46299999999999</v>
      </c>
      <c r="L918" s="2">
        <v>0.77746013773783129</v>
      </c>
      <c r="M918" s="3">
        <v>287.97195399307503</v>
      </c>
      <c r="N918" s="3">
        <v>677.35181896084998</v>
      </c>
      <c r="P918" s="2">
        <v>0</v>
      </c>
      <c r="Q918" s="4" t="s">
        <v>99</v>
      </c>
      <c r="R918" s="2">
        <v>724.99416437994</v>
      </c>
      <c r="S918" s="2">
        <f t="shared" si="78"/>
        <v>411.71843999999999</v>
      </c>
      <c r="T918" s="2">
        <f t="shared" si="79"/>
        <v>0.38032546749153734</v>
      </c>
    </row>
    <row r="919" spans="1:20" ht="14.25" customHeight="1">
      <c r="A919" s="2" t="s">
        <v>15</v>
      </c>
      <c r="B919" s="2">
        <v>1976</v>
      </c>
      <c r="C919" s="2" t="s">
        <v>16</v>
      </c>
      <c r="G919" s="3"/>
      <c r="H919" s="3">
        <v>932.77499999999998</v>
      </c>
      <c r="I919" s="3">
        <v>932.77499999999998</v>
      </c>
      <c r="J919" s="3">
        <v>150.45599999999999</v>
      </c>
      <c r="K919" s="3">
        <v>200.011</v>
      </c>
      <c r="L919" s="2">
        <v>0.61279350998015636</v>
      </c>
      <c r="M919" s="3">
        <v>346.543604070279</v>
      </c>
      <c r="N919" s="3">
        <v>804.73600635710704</v>
      </c>
      <c r="P919" s="2">
        <v>0</v>
      </c>
      <c r="Q919" s="4" t="s">
        <v>101</v>
      </c>
      <c r="R919" s="2">
        <v>726.61000190687992</v>
      </c>
      <c r="S919" s="2">
        <f t="shared" si="78"/>
        <v>439.83408000000003</v>
      </c>
      <c r="T919" s="2">
        <f t="shared" si="79"/>
        <v>0.29900881989027661</v>
      </c>
    </row>
    <row r="920" spans="1:20" ht="14.25" customHeight="1">
      <c r="A920" s="2" t="s">
        <v>15</v>
      </c>
      <c r="B920" s="2">
        <v>1977</v>
      </c>
      <c r="C920" s="2" t="s">
        <v>16</v>
      </c>
      <c r="G920" s="3"/>
      <c r="H920" s="3">
        <v>916.32799999999997</v>
      </c>
      <c r="I920" s="3">
        <v>916.32799999999997</v>
      </c>
      <c r="J920" s="3">
        <v>168.27199999999999</v>
      </c>
      <c r="K920" s="3">
        <v>201.82400000000001</v>
      </c>
      <c r="L920" s="2">
        <v>0.51896813353566007</v>
      </c>
      <c r="M920" s="3">
        <v>395.96334942815207</v>
      </c>
      <c r="N920" s="3">
        <v>767.60901534119603</v>
      </c>
      <c r="P920" s="2">
        <v>0</v>
      </c>
      <c r="Q920" s="4" t="s">
        <v>101</v>
      </c>
      <c r="R920" s="2">
        <v>728.34644306424002</v>
      </c>
      <c r="S920" s="2">
        <f t="shared" si="78"/>
        <v>432.69800000000004</v>
      </c>
      <c r="T920" s="2">
        <f t="shared" si="79"/>
        <v>0.2542943854324734</v>
      </c>
    </row>
    <row r="921" spans="1:20" ht="14.25" customHeight="1">
      <c r="A921" s="2" t="s">
        <v>15</v>
      </c>
      <c r="B921" s="2">
        <v>1978</v>
      </c>
      <c r="C921" s="2" t="s">
        <v>16</v>
      </c>
      <c r="G921" s="3"/>
      <c r="H921" s="3">
        <v>956.51199999999994</v>
      </c>
      <c r="I921" s="3">
        <v>956.51199999999994</v>
      </c>
      <c r="J921" s="3">
        <v>357.60500000000002</v>
      </c>
      <c r="K921" s="3">
        <v>258.44</v>
      </c>
      <c r="L921" s="2">
        <v>0.78889576281078566</v>
      </c>
      <c r="M921" s="3">
        <v>490.51625269947306</v>
      </c>
      <c r="N921" s="3">
        <v>873.87171391470611</v>
      </c>
      <c r="P921" s="2">
        <v>0</v>
      </c>
      <c r="Q921" s="4" t="s">
        <v>101</v>
      </c>
      <c r="R921" s="2">
        <v>730.24287875994003</v>
      </c>
      <c r="S921" s="2">
        <f t="shared" si="78"/>
        <v>454.19373999999999</v>
      </c>
      <c r="T921" s="2">
        <f t="shared" si="79"/>
        <v>0.38445892377728497</v>
      </c>
    </row>
    <row r="922" spans="1:20" ht="14.25" customHeight="1">
      <c r="A922" s="2" t="s">
        <v>15</v>
      </c>
      <c r="B922" s="2">
        <v>1979</v>
      </c>
      <c r="C922" s="2" t="s">
        <v>16</v>
      </c>
      <c r="G922" s="3"/>
      <c r="H922" s="3">
        <v>836.22500000000002</v>
      </c>
      <c r="I922" s="3">
        <v>836.22500000000002</v>
      </c>
      <c r="J922" s="3">
        <v>369.49099999999999</v>
      </c>
      <c r="K922" s="3">
        <v>313.72899999999998</v>
      </c>
      <c r="L922" s="2">
        <v>2.0875497840550952</v>
      </c>
      <c r="M922" s="3">
        <v>421.15698078727002</v>
      </c>
      <c r="N922" s="3">
        <v>965.50134144810499</v>
      </c>
      <c r="P922" s="2">
        <v>0</v>
      </c>
      <c r="Q922" s="4" t="s">
        <v>101</v>
      </c>
      <c r="R922" s="2">
        <v>733.00876873770005</v>
      </c>
      <c r="S922" s="2">
        <f t="shared" si="78"/>
        <v>396.23024000000004</v>
      </c>
      <c r="T922" s="2">
        <f t="shared" si="79"/>
        <v>1.0193293941869968</v>
      </c>
    </row>
    <row r="923" spans="1:20" ht="14.25" customHeight="1">
      <c r="A923" s="2" t="s">
        <v>15</v>
      </c>
      <c r="B923" s="2">
        <v>1980</v>
      </c>
      <c r="C923" s="2" t="s">
        <v>16</v>
      </c>
      <c r="G923" s="3"/>
      <c r="H923" s="3">
        <v>759.07100000000003</v>
      </c>
      <c r="I923" s="3">
        <v>759.07100000000003</v>
      </c>
      <c r="J923" s="3">
        <v>366.81900000000002</v>
      </c>
      <c r="K923" s="3">
        <v>340.90100000000001</v>
      </c>
      <c r="L923" s="2">
        <v>2.5361281662192132</v>
      </c>
      <c r="M923" s="3">
        <v>417.39746689024003</v>
      </c>
      <c r="N923" s="3">
        <v>880.13442791039699</v>
      </c>
      <c r="P923" s="2">
        <v>0</v>
      </c>
      <c r="Q923" s="4" t="s">
        <v>101</v>
      </c>
      <c r="R923" s="2">
        <v>736.07238273114001</v>
      </c>
      <c r="S923" s="2">
        <f t="shared" si="78"/>
        <v>357.25060000000002</v>
      </c>
      <c r="T923" s="2">
        <f t="shared" si="79"/>
        <v>1.2364028014474144</v>
      </c>
    </row>
    <row r="924" spans="1:20" ht="14.25" customHeight="1">
      <c r="A924" s="2" t="s">
        <v>15</v>
      </c>
      <c r="B924" s="2">
        <v>1981</v>
      </c>
      <c r="C924" s="2" t="s">
        <v>16</v>
      </c>
      <c r="G924" s="3"/>
      <c r="H924" s="3">
        <v>745.42200000000003</v>
      </c>
      <c r="I924" s="3">
        <v>745.42200000000003</v>
      </c>
      <c r="J924" s="3">
        <v>329.59</v>
      </c>
      <c r="K924" s="3">
        <v>344.58600000000001</v>
      </c>
      <c r="L924" s="2">
        <v>3.5970485584218519</v>
      </c>
      <c r="M924" s="3">
        <v>353.03431599526402</v>
      </c>
      <c r="N924" s="3">
        <v>919.35716152015209</v>
      </c>
      <c r="P924" s="2">
        <v>0</v>
      </c>
      <c r="Q924" s="4" t="s">
        <v>101</v>
      </c>
      <c r="R924" s="2">
        <v>738.11608173030004</v>
      </c>
      <c r="S924" s="2">
        <f t="shared" si="78"/>
        <v>351.73025999999999</v>
      </c>
      <c r="T924" s="2">
        <f t="shared" si="79"/>
        <v>1.7531037936267073</v>
      </c>
    </row>
    <row r="925" spans="1:20" ht="14.25" customHeight="1">
      <c r="A925" s="2" t="s">
        <v>15</v>
      </c>
      <c r="B925" s="2">
        <v>1982</v>
      </c>
      <c r="C925" s="2" t="s">
        <v>16</v>
      </c>
      <c r="G925" s="3"/>
      <c r="H925" s="3">
        <v>774.63499999999999</v>
      </c>
      <c r="I925" s="3">
        <v>774.63499999999999</v>
      </c>
      <c r="J925" s="3">
        <v>269.45400000000001</v>
      </c>
      <c r="K925" s="3">
        <v>325.2</v>
      </c>
      <c r="L925" s="2">
        <v>10.638369674331738</v>
      </c>
      <c r="M925" s="3">
        <v>340.26753863213099</v>
      </c>
      <c r="N925" s="3">
        <v>846.28767897822604</v>
      </c>
      <c r="P925" s="2">
        <v>0</v>
      </c>
      <c r="Q925" s="4" t="s">
        <v>101</v>
      </c>
      <c r="R925" s="2">
        <v>738.93652367807999</v>
      </c>
      <c r="S925" s="2">
        <f t="shared" si="78"/>
        <v>365.93227999999999</v>
      </c>
      <c r="T925" s="2">
        <f t="shared" si="79"/>
        <v>5.2046111404225517</v>
      </c>
    </row>
    <row r="926" spans="1:20" ht="14.25" customHeight="1">
      <c r="A926" s="2" t="s">
        <v>15</v>
      </c>
      <c r="B926" s="2">
        <v>1983</v>
      </c>
      <c r="C926" s="2" t="s">
        <v>16</v>
      </c>
      <c r="G926" s="3"/>
      <c r="H926" s="3">
        <v>748.42100000000005</v>
      </c>
      <c r="I926" s="3">
        <v>748.42100000000005</v>
      </c>
      <c r="J926" s="3">
        <v>359.11700000000002</v>
      </c>
      <c r="K926" s="3">
        <v>345.26</v>
      </c>
      <c r="L926" s="2">
        <v>10.370699544764795</v>
      </c>
      <c r="M926" s="3">
        <v>407.96764067961197</v>
      </c>
      <c r="N926" s="3">
        <v>1010.0375672323039</v>
      </c>
      <c r="P926" s="2">
        <v>0</v>
      </c>
      <c r="Q926" s="4" t="s">
        <v>101</v>
      </c>
      <c r="R926" s="2">
        <v>740.77961082761999</v>
      </c>
      <c r="S926" s="2">
        <f t="shared" si="78"/>
        <v>351.56869999999998</v>
      </c>
      <c r="T926" s="2">
        <f t="shared" si="79"/>
        <v>5.0713527769347504</v>
      </c>
    </row>
    <row r="927" spans="1:20" ht="14.25" customHeight="1">
      <c r="A927" s="2" t="s">
        <v>15</v>
      </c>
      <c r="B927" s="2">
        <v>1984</v>
      </c>
      <c r="C927" s="2" t="s">
        <v>16</v>
      </c>
      <c r="G927" s="3"/>
      <c r="H927" s="3">
        <v>733.65300000000002</v>
      </c>
      <c r="I927" s="3">
        <v>733.65300000000002</v>
      </c>
      <c r="J927" s="3">
        <v>291.45600000000002</v>
      </c>
      <c r="K927" s="3">
        <v>360.351</v>
      </c>
      <c r="L927" s="2">
        <v>15.751255865530526</v>
      </c>
      <c r="M927" s="3">
        <v>428.50833662987196</v>
      </c>
      <c r="N927" s="3">
        <v>1023.6032133684961</v>
      </c>
      <c r="P927" s="2">
        <v>91.980533591300002</v>
      </c>
      <c r="Q927" s="4" t="s">
        <v>101</v>
      </c>
      <c r="R927" s="2">
        <v>743.44973914302011</v>
      </c>
      <c r="S927" s="2">
        <f t="shared" si="78"/>
        <v>344.24270999999999</v>
      </c>
      <c r="T927" s="2">
        <f t="shared" si="79"/>
        <v>7.4814453741099571</v>
      </c>
    </row>
    <row r="928" spans="1:20" ht="14.25" customHeight="1">
      <c r="A928" s="2" t="s">
        <v>15</v>
      </c>
      <c r="B928" s="2">
        <v>1985</v>
      </c>
      <c r="C928" s="2" t="s">
        <v>16</v>
      </c>
      <c r="G928" s="3"/>
      <c r="H928" s="3">
        <v>762.053</v>
      </c>
      <c r="I928" s="3">
        <v>762.053</v>
      </c>
      <c r="J928" s="3">
        <v>296.779</v>
      </c>
      <c r="K928" s="3">
        <v>383.15800000000002</v>
      </c>
      <c r="L928" s="2">
        <v>17.984546398972803</v>
      </c>
      <c r="M928" s="3">
        <v>468.63990350153995</v>
      </c>
      <c r="N928" s="3">
        <v>1076.566700347317</v>
      </c>
      <c r="P928" s="2">
        <v>114.34514590799999</v>
      </c>
      <c r="Q928" s="4" t="s">
        <v>101</v>
      </c>
      <c r="R928" s="2">
        <v>746.31751549991998</v>
      </c>
      <c r="S928" s="2">
        <f t="shared" si="78"/>
        <v>357.69166999999999</v>
      </c>
      <c r="T928" s="2">
        <f t="shared" si="79"/>
        <v>8.5337577354966747</v>
      </c>
    </row>
    <row r="929" spans="1:20" ht="14.25" customHeight="1">
      <c r="A929" s="2" t="s">
        <v>15</v>
      </c>
      <c r="B929" s="2">
        <v>1986</v>
      </c>
      <c r="C929" s="2" t="s">
        <v>16</v>
      </c>
      <c r="G929" s="3"/>
      <c r="H929" s="3">
        <v>717.70600000000002</v>
      </c>
      <c r="I929" s="3">
        <v>717.70600000000002</v>
      </c>
      <c r="J929" s="3">
        <v>339.01299999999998</v>
      </c>
      <c r="K929" s="3">
        <v>411.24799999999999</v>
      </c>
      <c r="L929" s="2">
        <v>21.506385199019498</v>
      </c>
      <c r="M929" s="3">
        <v>562.88449021802398</v>
      </c>
      <c r="N929" s="3">
        <v>1294.8592473252181</v>
      </c>
      <c r="P929" s="2">
        <v>123.98638033080002</v>
      </c>
      <c r="Q929" s="4" t="s">
        <v>101</v>
      </c>
      <c r="R929" s="2">
        <v>748.90915400028007</v>
      </c>
      <c r="S929" s="2">
        <f t="shared" si="78"/>
        <v>333.23289999999997</v>
      </c>
      <c r="T929" s="2">
        <f t="shared" si="79"/>
        <v>10.158868747519554</v>
      </c>
    </row>
    <row r="930" spans="1:20" ht="14.25" customHeight="1">
      <c r="A930" s="2" t="s">
        <v>15</v>
      </c>
      <c r="B930" s="2">
        <v>1987</v>
      </c>
      <c r="C930" s="2" t="s">
        <v>16</v>
      </c>
      <c r="D930" s="4"/>
      <c r="G930" s="3"/>
      <c r="H930" s="3">
        <v>790.36900000000003</v>
      </c>
      <c r="I930" s="3">
        <v>790.36900000000003</v>
      </c>
      <c r="J930" s="3">
        <v>344.14499999999998</v>
      </c>
      <c r="K930" s="3">
        <v>415.85500000000002</v>
      </c>
      <c r="L930" s="2">
        <v>26.410289015991594</v>
      </c>
      <c r="M930" s="3">
        <v>680.42978921475594</v>
      </c>
      <c r="N930" s="3">
        <v>1251.6068500456079</v>
      </c>
      <c r="P930" s="2">
        <v>130.7118843982</v>
      </c>
      <c r="Q930" s="4" t="s">
        <v>101</v>
      </c>
      <c r="R930" s="2">
        <v>751.06106119590004</v>
      </c>
      <c r="S930" s="2">
        <f t="shared" si="78"/>
        <v>363.95569</v>
      </c>
      <c r="T930" s="2">
        <f t="shared" si="79"/>
        <v>12.387061617835883</v>
      </c>
    </row>
    <row r="931" spans="1:20" ht="14.25" customHeight="1">
      <c r="A931" s="2" t="s">
        <v>15</v>
      </c>
      <c r="B931" s="2">
        <v>1988</v>
      </c>
      <c r="C931" s="2" t="s">
        <v>16</v>
      </c>
      <c r="D931" s="2">
        <v>101.8</v>
      </c>
      <c r="E931" s="2">
        <f t="shared" ref="E931:F931" si="80">E690+E1046</f>
        <v>90.37705147659625</v>
      </c>
      <c r="F931" s="2">
        <f t="shared" si="80"/>
        <v>44.158755223532161</v>
      </c>
      <c r="G931" s="3"/>
      <c r="H931" s="3">
        <v>742.00800000000004</v>
      </c>
      <c r="I931" s="3">
        <v>742.00800000000004</v>
      </c>
      <c r="J931" s="3">
        <v>321.32900000000001</v>
      </c>
      <c r="K931" s="3">
        <v>440.80099999999999</v>
      </c>
      <c r="L931" s="2">
        <v>32.610010738881762</v>
      </c>
      <c r="M931" s="3">
        <v>612.42288444048802</v>
      </c>
      <c r="N931" s="3">
        <v>1251.7591888444999</v>
      </c>
      <c r="O931" s="2">
        <v>74.253000000000014</v>
      </c>
      <c r="P931" s="2">
        <v>141.60051090899998</v>
      </c>
      <c r="Q931" s="4" t="s">
        <v>101</v>
      </c>
      <c r="R931" s="2">
        <v>752.64956744796007</v>
      </c>
      <c r="S931" s="2">
        <f t="shared" si="78"/>
        <v>343.32249000000002</v>
      </c>
      <c r="T931" s="2">
        <f t="shared" si="79"/>
        <v>15.372845262052062</v>
      </c>
    </row>
    <row r="932" spans="1:20" ht="14.25" customHeight="1">
      <c r="A932" s="2" t="s">
        <v>15</v>
      </c>
      <c r="B932" s="2">
        <v>1989</v>
      </c>
      <c r="C932" s="2" t="s">
        <v>16</v>
      </c>
      <c r="D932" s="2">
        <v>92.9</v>
      </c>
      <c r="E932" s="2">
        <f t="shared" ref="E932:F932" si="81">E691+E1047</f>
        <v>82.492926345278406</v>
      </c>
      <c r="F932" s="2">
        <f t="shared" si="81"/>
        <v>40.274533909186417</v>
      </c>
      <c r="G932" s="3"/>
      <c r="H932" s="3">
        <v>672.87699999999995</v>
      </c>
      <c r="I932" s="3">
        <v>672.87699999999995</v>
      </c>
      <c r="J932" s="3">
        <v>375.005</v>
      </c>
      <c r="K932" s="3">
        <v>482.74400000000003</v>
      </c>
      <c r="L932" s="2">
        <v>44.085937551068056</v>
      </c>
      <c r="M932" s="3">
        <v>665.08643442193807</v>
      </c>
      <c r="N932" s="3">
        <v>1308.128368950622</v>
      </c>
      <c r="O932" s="2">
        <v>47.656000000000006</v>
      </c>
      <c r="P932" s="2">
        <v>183.489105</v>
      </c>
      <c r="Q932" s="4" t="s">
        <v>101</v>
      </c>
      <c r="R932" s="2">
        <v>754.55328856362007</v>
      </c>
      <c r="S932" s="2">
        <f t="shared" si="78"/>
        <v>310.38321999999999</v>
      </c>
      <c r="T932" s="2">
        <f t="shared" si="79"/>
        <v>20.976099400023344</v>
      </c>
    </row>
    <row r="933" spans="1:20" ht="14.25" customHeight="1">
      <c r="A933" s="2" t="s">
        <v>15</v>
      </c>
      <c r="B933" s="2">
        <v>1990</v>
      </c>
      <c r="C933" s="2" t="s">
        <v>16</v>
      </c>
      <c r="D933" s="2">
        <v>101.1</v>
      </c>
      <c r="E933" s="2">
        <f t="shared" ref="E933:F933" si="82">E692+E1048</f>
        <v>89.83507645616902</v>
      </c>
      <c r="F933" s="2">
        <f t="shared" si="82"/>
        <v>43.746187463522816</v>
      </c>
      <c r="G933" s="3"/>
      <c r="H933" s="3">
        <v>621.51</v>
      </c>
      <c r="I933" s="3">
        <v>621.51</v>
      </c>
      <c r="J933" s="3">
        <v>351.35700000000003</v>
      </c>
      <c r="K933" s="3">
        <v>497.35300000000001</v>
      </c>
      <c r="L933" s="2">
        <v>44.715962063732931</v>
      </c>
      <c r="M933" s="3">
        <v>683.84648814453897</v>
      </c>
      <c r="N933" s="3">
        <v>943.84996758119405</v>
      </c>
      <c r="O933" s="2">
        <v>50.89500000000001</v>
      </c>
      <c r="P933" s="2">
        <v>152.012852415</v>
      </c>
      <c r="Q933" s="4" t="s">
        <v>101</v>
      </c>
      <c r="R933" s="2">
        <v>756.27328277592005</v>
      </c>
      <c r="S933" s="2">
        <f t="shared" si="78"/>
        <v>284.97986999999995</v>
      </c>
      <c r="T933" s="2">
        <f t="shared" si="79"/>
        <v>21.314211411229138</v>
      </c>
    </row>
    <row r="934" spans="1:20" ht="14.25" customHeight="1">
      <c r="A934" s="2" t="s">
        <v>15</v>
      </c>
      <c r="B934" s="2">
        <v>1991</v>
      </c>
      <c r="C934" s="2" t="s">
        <v>16</v>
      </c>
      <c r="D934" s="2">
        <v>135.69999999999999</v>
      </c>
      <c r="E934" s="2">
        <f t="shared" ref="E934:F934" si="83">E693+E1049</f>
        <v>120.49573946539044</v>
      </c>
      <c r="F934" s="2">
        <f t="shared" si="83"/>
        <v>58.832912338041318</v>
      </c>
      <c r="G934" s="2">
        <v>651.5</v>
      </c>
      <c r="H934" s="2">
        <f t="shared" ref="H934:I934" si="84">H1049+H693</f>
        <v>592.01488268938954</v>
      </c>
      <c r="I934" s="2">
        <f t="shared" si="84"/>
        <v>592.01488268938954</v>
      </c>
      <c r="J934" s="3">
        <v>408.43</v>
      </c>
      <c r="K934" s="3">
        <v>481.23</v>
      </c>
      <c r="L934" s="2">
        <v>54.65167293101436</v>
      </c>
      <c r="M934" s="3">
        <v>727.23912467734488</v>
      </c>
      <c r="N934" s="3">
        <v>1231.605697636335</v>
      </c>
      <c r="O934" s="2">
        <v>81.536000000000001</v>
      </c>
      <c r="P934" s="2">
        <v>165.40063257599999</v>
      </c>
      <c r="Q934" s="4" t="s">
        <v>101</v>
      </c>
      <c r="R934" s="2">
        <v>758.2473833844</v>
      </c>
      <c r="S934" s="2">
        <f t="shared" si="78"/>
        <v>263.94229251780087</v>
      </c>
      <c r="T934" s="2">
        <f t="shared" si="79"/>
        <v>25.593659736197036</v>
      </c>
    </row>
    <row r="935" spans="1:20" ht="14.25" customHeight="1">
      <c r="A935" s="2" t="s">
        <v>15</v>
      </c>
      <c r="B935" s="2">
        <v>1992</v>
      </c>
      <c r="C935" s="2" t="s">
        <v>16</v>
      </c>
      <c r="D935" s="2">
        <v>162.4</v>
      </c>
      <c r="E935" s="2">
        <f t="shared" ref="E935:F935" si="85">E694+E1050</f>
        <v>144.24970234621222</v>
      </c>
      <c r="F935" s="2">
        <f t="shared" si="85"/>
        <v>70.346354149643986</v>
      </c>
      <c r="G935" s="2">
        <v>649</v>
      </c>
      <c r="H935" s="2">
        <f t="shared" ref="H935:I935" si="86">H1050+H694</f>
        <v>587.93463289366173</v>
      </c>
      <c r="I935" s="2">
        <f t="shared" si="86"/>
        <v>587.93463289366173</v>
      </c>
      <c r="J935" s="3">
        <v>412.197</v>
      </c>
      <c r="K935" s="3">
        <v>485.01799999999997</v>
      </c>
      <c r="L935" s="2">
        <v>50.977414380763399</v>
      </c>
      <c r="M935" s="3">
        <v>694.23226746042008</v>
      </c>
      <c r="N935" s="3">
        <v>1209.440408667868</v>
      </c>
      <c r="O935" s="2">
        <v>98.768999999999991</v>
      </c>
      <c r="P935" s="2">
        <v>159.513674589</v>
      </c>
      <c r="Q935" s="4" t="s">
        <v>101</v>
      </c>
      <c r="R935" s="2">
        <v>759.37844118318003</v>
      </c>
      <c r="S935" s="2">
        <f t="shared" si="78"/>
        <v>265.40797011789425</v>
      </c>
      <c r="T935" s="2">
        <f t="shared" si="79"/>
        <v>23.923263046574064</v>
      </c>
    </row>
    <row r="936" spans="1:20" ht="14.25" customHeight="1">
      <c r="A936" s="2" t="s">
        <v>15</v>
      </c>
      <c r="B936" s="2">
        <v>1993</v>
      </c>
      <c r="C936" s="2" t="s">
        <v>16</v>
      </c>
      <c r="D936" s="2">
        <v>179.4</v>
      </c>
      <c r="E936" s="2">
        <f t="shared" ref="E936:F936" si="87">E695+E1051</f>
        <v>159.39855258550253</v>
      </c>
      <c r="F936" s="2">
        <f t="shared" si="87"/>
        <v>77.643290766896243</v>
      </c>
      <c r="G936" s="2">
        <v>678.2</v>
      </c>
      <c r="H936" s="2">
        <f t="shared" ref="H936:I936" si="88">H1051+H695</f>
        <v>613.21787089996508</v>
      </c>
      <c r="I936" s="2">
        <f t="shared" si="88"/>
        <v>613.21787089996508</v>
      </c>
      <c r="J936" s="3">
        <v>375.99200000000002</v>
      </c>
      <c r="K936" s="3">
        <v>442.26600000000002</v>
      </c>
      <c r="L936" s="2">
        <v>61.623821174273381</v>
      </c>
      <c r="M936" s="3">
        <v>660.27737764938888</v>
      </c>
      <c r="N936" s="3">
        <v>1171.7276372479439</v>
      </c>
      <c r="O936" s="2">
        <v>121.48400000000001</v>
      </c>
      <c r="P936" s="2">
        <v>231.29727484599999</v>
      </c>
      <c r="Q936" s="4" t="s">
        <v>101</v>
      </c>
      <c r="R936" s="2">
        <v>760.54715978513991</v>
      </c>
      <c r="S936" s="2">
        <f t="shared" si="78"/>
        <v>278.95175674098289</v>
      </c>
      <c r="T936" s="2">
        <f t="shared" si="79"/>
        <v>29.055792375393956</v>
      </c>
    </row>
    <row r="937" spans="1:20" ht="14.25" customHeight="1">
      <c r="A937" s="2" t="s">
        <v>15</v>
      </c>
      <c r="B937" s="2">
        <v>1994</v>
      </c>
      <c r="C937" s="2" t="s">
        <v>16</v>
      </c>
      <c r="D937" s="2">
        <v>187.3</v>
      </c>
      <c r="E937" s="2">
        <f t="shared" ref="E937:F937" si="89">E696+E1052</f>
        <v>166.50314695926232</v>
      </c>
      <c r="F937" s="2">
        <f t="shared" si="89"/>
        <v>80.893542010038544</v>
      </c>
      <c r="G937" s="2">
        <v>687.55200000000002</v>
      </c>
      <c r="H937" s="2">
        <f t="shared" ref="H937:I937" si="90">H1052+H696</f>
        <v>622.48273141122911</v>
      </c>
      <c r="I937" s="2">
        <f t="shared" si="90"/>
        <v>622.48273141122911</v>
      </c>
      <c r="J937" s="3">
        <v>372.16199999999998</v>
      </c>
      <c r="K937" s="3">
        <v>457.64100000000002</v>
      </c>
      <c r="L937" s="2">
        <v>76.59955130150577</v>
      </c>
      <c r="M937" s="3">
        <v>752.68897445899506</v>
      </c>
      <c r="N937" s="3">
        <v>1195.4542154543301</v>
      </c>
      <c r="O937" s="2">
        <v>126.25999999999999</v>
      </c>
      <c r="P937" s="2">
        <v>288.41018356399996</v>
      </c>
      <c r="Q937" s="4" t="s">
        <v>101</v>
      </c>
      <c r="R937" s="2">
        <v>762.35795164620004</v>
      </c>
      <c r="S937" s="2">
        <f t="shared" si="78"/>
        <v>281.68973839150226</v>
      </c>
      <c r="T937" s="2">
        <f t="shared" si="79"/>
        <v>36.469500137737832</v>
      </c>
    </row>
    <row r="938" spans="1:20" ht="14.25" customHeight="1">
      <c r="A938" s="2" t="s">
        <v>15</v>
      </c>
      <c r="B938" s="2">
        <v>1995</v>
      </c>
      <c r="C938" s="2" t="s">
        <v>16</v>
      </c>
      <c r="D938" s="2">
        <v>186.1</v>
      </c>
      <c r="E938" s="2">
        <f t="shared" ref="E938:F938" si="91">E697+E1053</f>
        <v>165.59795215127818</v>
      </c>
      <c r="F938" s="2">
        <f t="shared" si="91"/>
        <v>80.134996554126289</v>
      </c>
      <c r="G938" s="2">
        <v>725.64</v>
      </c>
      <c r="H938" s="2">
        <f t="shared" ref="H938:I938" si="92">H1053+H697</f>
        <v>657.80369814404105</v>
      </c>
      <c r="I938" s="2">
        <f t="shared" si="92"/>
        <v>657.80369814404105</v>
      </c>
      <c r="J938" s="3">
        <v>362.11900000000003</v>
      </c>
      <c r="K938" s="3">
        <v>484.69</v>
      </c>
      <c r="L938" s="2">
        <v>84.024761643515816</v>
      </c>
      <c r="M938" s="3">
        <v>789.40611682628798</v>
      </c>
      <c r="N938" s="3">
        <v>1283.7775922996159</v>
      </c>
      <c r="O938" s="2">
        <v>127.45199999999998</v>
      </c>
      <c r="P938" s="2">
        <v>191.69169437399998</v>
      </c>
      <c r="Q938" s="4" t="s">
        <v>101</v>
      </c>
      <c r="R938" s="2">
        <v>764.73883856916007</v>
      </c>
      <c r="S938" s="2">
        <f t="shared" si="78"/>
        <v>296.14815209058008</v>
      </c>
      <c r="T938" s="2">
        <f t="shared" si="79"/>
        <v>39.723343205322749</v>
      </c>
    </row>
    <row r="939" spans="1:20" ht="14.25" customHeight="1">
      <c r="A939" s="2" t="s">
        <v>15</v>
      </c>
      <c r="B939" s="2">
        <v>1996</v>
      </c>
      <c r="C939" s="2" t="s">
        <v>16</v>
      </c>
      <c r="D939" s="2">
        <v>256.39999999999998</v>
      </c>
      <c r="E939" s="2">
        <f t="shared" ref="E939:F939" si="93">E698+E1054</f>
        <v>228.41686463873003</v>
      </c>
      <c r="F939" s="2">
        <f t="shared" si="93"/>
        <v>110.03426367297772</v>
      </c>
      <c r="G939" s="2">
        <v>635.88</v>
      </c>
      <c r="H939" s="2">
        <f t="shared" ref="H939:I939" si="94">H1054+H698</f>
        <v>578.95637060814761</v>
      </c>
      <c r="I939" s="2">
        <f t="shared" si="94"/>
        <v>578.95637060814761</v>
      </c>
      <c r="J939" s="3">
        <v>310.36500000000001</v>
      </c>
      <c r="K939" s="3">
        <v>533.16899999999998</v>
      </c>
      <c r="L939" s="2">
        <v>98.59600583634878</v>
      </c>
      <c r="M939" s="3">
        <v>781.49610736405202</v>
      </c>
      <c r="N939" s="3">
        <v>1353.1405856332651</v>
      </c>
      <c r="O939" s="2">
        <v>162.84800000000001</v>
      </c>
      <c r="P939" s="2">
        <v>192.84326297600001</v>
      </c>
      <c r="Q939" s="4" t="s">
        <v>101</v>
      </c>
      <c r="R939" s="2">
        <v>766.84383583626004</v>
      </c>
      <c r="S939" s="2">
        <f t="shared" si="78"/>
        <v>256.05661159799229</v>
      </c>
      <c r="T939" s="2">
        <f t="shared" si="79"/>
        <v>46.265382859810899</v>
      </c>
    </row>
    <row r="940" spans="1:20" ht="14.25" customHeight="1">
      <c r="A940" s="2" t="s">
        <v>15</v>
      </c>
      <c r="B940" s="2">
        <v>1997</v>
      </c>
      <c r="C940" s="2" t="s">
        <v>16</v>
      </c>
      <c r="D940" s="2">
        <v>288.3</v>
      </c>
      <c r="E940" s="2">
        <f t="shared" ref="E940:F940" si="95">E699+E1055</f>
        <v>256.46466599276295</v>
      </c>
      <c r="F940" s="2">
        <f t="shared" si="95"/>
        <v>124.34468633645385</v>
      </c>
      <c r="G940" s="2">
        <v>593.26700000000005</v>
      </c>
      <c r="H940" s="2">
        <f t="shared" ref="H940:I940" si="96">H1055+H699</f>
        <v>540.53248406676789</v>
      </c>
      <c r="I940" s="2">
        <f t="shared" si="96"/>
        <v>540.53248406676789</v>
      </c>
      <c r="J940" s="3">
        <v>299.779</v>
      </c>
      <c r="K940" s="3">
        <v>503.17099999999999</v>
      </c>
      <c r="L940" s="2">
        <v>116.69238718337809</v>
      </c>
      <c r="M940" s="3">
        <v>654.38380419370492</v>
      </c>
      <c r="N940" s="3">
        <v>1140.9419556635598</v>
      </c>
      <c r="O940" s="2">
        <v>166.428</v>
      </c>
      <c r="P940" s="2">
        <v>281.58216516000005</v>
      </c>
      <c r="Q940" s="4" t="s">
        <v>101</v>
      </c>
      <c r="R940" s="2">
        <v>768.93800717370004</v>
      </c>
      <c r="S940" s="2">
        <f t="shared" si="78"/>
        <v>238.38558719271626</v>
      </c>
      <c r="T940" s="2">
        <f t="shared" si="79"/>
        <v>54.16723971985526</v>
      </c>
    </row>
    <row r="941" spans="1:20" ht="14.25" customHeight="1">
      <c r="A941" s="2" t="s">
        <v>15</v>
      </c>
      <c r="B941" s="2">
        <v>1998</v>
      </c>
      <c r="C941" s="2" t="s">
        <v>16</v>
      </c>
      <c r="D941" s="2">
        <v>371.2</v>
      </c>
      <c r="E941" s="2">
        <f t="shared" ref="E941:F941" si="97">E700+E1056</f>
        <v>330.26337329286798</v>
      </c>
      <c r="F941" s="2">
        <f t="shared" si="97"/>
        <v>160.06505291350533</v>
      </c>
      <c r="G941" s="2">
        <v>552.43200000000002</v>
      </c>
      <c r="H941" s="2">
        <f t="shared" ref="H941:I941" si="98">H1056+H700</f>
        <v>504.0975608731178</v>
      </c>
      <c r="I941" s="2">
        <f t="shared" si="98"/>
        <v>504.0975608731178</v>
      </c>
      <c r="J941" s="3">
        <v>346.108</v>
      </c>
      <c r="K941" s="3">
        <v>532.78800000000001</v>
      </c>
      <c r="L941" s="2">
        <v>123.03169686004436</v>
      </c>
      <c r="M941" s="3">
        <v>777.48879679061008</v>
      </c>
      <c r="N941" s="3">
        <v>1354.521715347506</v>
      </c>
      <c r="O941" s="2">
        <v>186.375</v>
      </c>
      <c r="P941" s="2">
        <v>271.27694937000001</v>
      </c>
      <c r="Q941" s="4" t="s">
        <v>101</v>
      </c>
      <c r="R941" s="2">
        <v>771.31081297451999</v>
      </c>
      <c r="S941" s="2">
        <f t="shared" si="78"/>
        <v>220.92328482782773</v>
      </c>
      <c r="T941" s="2">
        <f t="shared" si="79"/>
        <v>58.197921461421736</v>
      </c>
    </row>
    <row r="942" spans="1:20" ht="14.25" customHeight="1">
      <c r="A942" s="2" t="s">
        <v>15</v>
      </c>
      <c r="B942" s="2">
        <v>1999</v>
      </c>
      <c r="C942" s="2" t="s">
        <v>16</v>
      </c>
      <c r="D942" s="2">
        <v>329.7</v>
      </c>
      <c r="E942" s="2">
        <f t="shared" ref="E942:F942" si="99">E701+E1057</f>
        <v>293.31598935449989</v>
      </c>
      <c r="F942" s="2">
        <f t="shared" si="99"/>
        <v>142.23383478370494</v>
      </c>
      <c r="G942" s="2">
        <v>506.52499999999998</v>
      </c>
      <c r="H942" s="2">
        <f t="shared" ref="H942:I942" si="100">H1057+H701</f>
        <v>462.5277010622155</v>
      </c>
      <c r="I942" s="2">
        <f t="shared" si="100"/>
        <v>462.5277010622155</v>
      </c>
      <c r="J942" s="3">
        <v>354.67399999999998</v>
      </c>
      <c r="K942" s="3">
        <v>552.00800000000004</v>
      </c>
      <c r="L942" s="2">
        <v>138.55740247461191</v>
      </c>
      <c r="M942" s="3">
        <v>768.40741390060805</v>
      </c>
      <c r="N942" s="3">
        <v>1340.0531018359202</v>
      </c>
      <c r="O942" s="2">
        <v>127.72</v>
      </c>
      <c r="P942" s="2">
        <v>304.63380795799998</v>
      </c>
      <c r="Q942" s="4" t="s">
        <v>101</v>
      </c>
      <c r="R942" s="2">
        <v>774.41573048112002</v>
      </c>
      <c r="S942" s="2">
        <f t="shared" si="78"/>
        <v>202.12212352048559</v>
      </c>
      <c r="T942" s="2">
        <f t="shared" si="79"/>
        <v>65.603917212559821</v>
      </c>
    </row>
    <row r="943" spans="1:20" ht="14.25" customHeight="1">
      <c r="A943" s="2" t="s">
        <v>15</v>
      </c>
      <c r="B943" s="2">
        <v>2000</v>
      </c>
      <c r="C943" s="2" t="s">
        <v>16</v>
      </c>
      <c r="D943" s="2">
        <v>283.60000000000002</v>
      </c>
      <c r="E943" s="2">
        <f t="shared" ref="E943:F943" si="101">E702+E1058</f>
        <v>252.53897924594375</v>
      </c>
      <c r="F943" s="2">
        <f t="shared" si="101"/>
        <v>121.98009983051243</v>
      </c>
      <c r="G943" s="2">
        <v>464.637</v>
      </c>
      <c r="H943" s="2">
        <f t="shared" ref="H943:I943" si="102">H1058+H702</f>
        <v>426.52882467608265</v>
      </c>
      <c r="I943" s="2">
        <f t="shared" si="102"/>
        <v>426.52882467608265</v>
      </c>
      <c r="J943" s="3">
        <v>364.86799999999999</v>
      </c>
      <c r="K943" s="3">
        <v>549.69899999999996</v>
      </c>
      <c r="L943" s="2">
        <v>136.67223041904987</v>
      </c>
      <c r="M943" s="3">
        <v>696.02499999999998</v>
      </c>
      <c r="N943" s="3">
        <v>1324.7170000000001</v>
      </c>
      <c r="O943" s="2">
        <v>128.69999999999999</v>
      </c>
      <c r="P943" s="2">
        <v>304.77402240000004</v>
      </c>
      <c r="Q943" s="4" t="s">
        <v>101</v>
      </c>
      <c r="R943" s="2">
        <v>777.95265587130007</v>
      </c>
      <c r="S943" s="2">
        <f t="shared" si="78"/>
        <v>182.32429409128051</v>
      </c>
      <c r="T943" s="2">
        <f t="shared" si="79"/>
        <v>64.366652905334433</v>
      </c>
    </row>
    <row r="944" spans="1:20" ht="14.25" customHeight="1">
      <c r="A944" s="2" t="s">
        <v>15</v>
      </c>
      <c r="B944" s="2">
        <v>2001</v>
      </c>
      <c r="C944" s="2" t="s">
        <v>16</v>
      </c>
      <c r="D944" s="2">
        <v>279.5</v>
      </c>
      <c r="E944" s="2">
        <f t="shared" ref="E944:F944" si="103">E703+E1059</f>
        <v>248.82079719855261</v>
      </c>
      <c r="F944" s="2">
        <f t="shared" si="103"/>
        <v>120.30519062729078</v>
      </c>
      <c r="G944" s="2">
        <v>458.35</v>
      </c>
      <c r="H944" s="2">
        <f t="shared" ref="H944:I944" si="104">H1059+H703</f>
        <v>421.98314707598928</v>
      </c>
      <c r="I944" s="2">
        <f t="shared" si="104"/>
        <v>421.98314707598928</v>
      </c>
      <c r="J944" s="3">
        <v>390.96600000000001</v>
      </c>
      <c r="K944" s="3">
        <v>626.57000000000005</v>
      </c>
      <c r="L944" s="2">
        <v>153.35934084276877</v>
      </c>
      <c r="M944" s="3">
        <v>731.68521692282377</v>
      </c>
      <c r="N944" s="3">
        <v>1410.163913148358</v>
      </c>
      <c r="O944" s="2">
        <v>147.68599999999998</v>
      </c>
      <c r="P944" s="2">
        <v>349.03809516799998</v>
      </c>
      <c r="Q944" s="4" t="s">
        <v>101</v>
      </c>
      <c r="R944" s="2">
        <v>781.97369668782005</v>
      </c>
      <c r="S944" s="2">
        <f t="shared" si="78"/>
        <v>178.17751206723474</v>
      </c>
      <c r="T944" s="2">
        <f t="shared" si="79"/>
        <v>71.257087012956703</v>
      </c>
    </row>
    <row r="945" spans="1:20" ht="14.25" customHeight="1">
      <c r="A945" s="2" t="s">
        <v>15</v>
      </c>
      <c r="B945" s="2">
        <v>2002</v>
      </c>
      <c r="C945" s="2" t="s">
        <v>16</v>
      </c>
      <c r="D945" s="2">
        <v>219.8</v>
      </c>
      <c r="E945" s="2">
        <f t="shared" ref="E945:F945" si="105">E704+E1060</f>
        <v>195.82580524804484</v>
      </c>
      <c r="F945" s="2">
        <f t="shared" si="105"/>
        <v>94.505644571541978</v>
      </c>
      <c r="G945" s="2">
        <v>465.625</v>
      </c>
      <c r="H945" s="2">
        <f t="shared" ref="H945:I945" si="106">H1060+H704</f>
        <v>427.82498926111828</v>
      </c>
      <c r="I945" s="2">
        <f t="shared" si="106"/>
        <v>427.82498926111828</v>
      </c>
      <c r="J945" s="3">
        <v>388.28300000000002</v>
      </c>
      <c r="K945" s="3">
        <v>619.65200000000004</v>
      </c>
      <c r="L945" s="2">
        <v>160.93886646433992</v>
      </c>
      <c r="M945" s="3">
        <v>733.38988173088319</v>
      </c>
      <c r="N945" s="3">
        <v>1375.0917726706689</v>
      </c>
      <c r="O945" s="2">
        <v>126.973</v>
      </c>
      <c r="P945" s="2">
        <v>352.24549153999999</v>
      </c>
      <c r="Q945" s="4" t="s">
        <v>101</v>
      </c>
      <c r="R945" s="2">
        <v>786.17703360378005</v>
      </c>
      <c r="S945" s="2">
        <f t="shared" si="78"/>
        <v>182.17695473794794</v>
      </c>
      <c r="T945" s="2">
        <f t="shared" si="79"/>
        <v>74.931574567526567</v>
      </c>
    </row>
    <row r="946" spans="1:20" ht="14.25" customHeight="1">
      <c r="A946" s="2" t="s">
        <v>15</v>
      </c>
      <c r="B946" s="2">
        <v>2003</v>
      </c>
      <c r="C946" s="2" t="s">
        <v>16</v>
      </c>
      <c r="D946" s="2">
        <v>188.1</v>
      </c>
      <c r="E946" s="2">
        <f t="shared" ref="E946:F946" si="107">E705+E1061</f>
        <v>167.83656497256919</v>
      </c>
      <c r="F946" s="2">
        <f t="shared" si="107"/>
        <v>80.496916836558896</v>
      </c>
      <c r="G946" s="2">
        <v>451.55599999999998</v>
      </c>
      <c r="H946" s="2">
        <f t="shared" ref="H946:I946" si="108">H1061+H705</f>
        <v>415.90883798295789</v>
      </c>
      <c r="I946" s="2">
        <f t="shared" si="108"/>
        <v>415.90883798295789</v>
      </c>
      <c r="J946" s="2">
        <v>479.5</v>
      </c>
      <c r="K946" s="2">
        <v>631.5</v>
      </c>
      <c r="L946" s="2">
        <v>163.62607260417883</v>
      </c>
      <c r="M946" s="3">
        <v>837.30777406876007</v>
      </c>
      <c r="N946" s="3">
        <v>1351.3963367205802</v>
      </c>
      <c r="O946" s="2">
        <v>123.51600000000001</v>
      </c>
      <c r="P946" s="2">
        <v>297.85715074199999</v>
      </c>
      <c r="Q946" s="4" t="s">
        <v>101</v>
      </c>
      <c r="R946" s="2">
        <v>790.56982793880002</v>
      </c>
      <c r="S946" s="2">
        <f t="shared" si="78"/>
        <v>175.28888061164938</v>
      </c>
      <c r="T946" s="2">
        <f t="shared" si="79"/>
        <v>75.873455576047618</v>
      </c>
    </row>
    <row r="947" spans="1:20" ht="14.25" customHeight="1">
      <c r="A947" s="2" t="s">
        <v>15</v>
      </c>
      <c r="B947" s="2">
        <v>2004</v>
      </c>
      <c r="C947" s="2" t="s">
        <v>16</v>
      </c>
      <c r="D947" s="2">
        <v>192.2</v>
      </c>
      <c r="E947" s="2">
        <f t="shared" ref="E947:F947" si="109">E706+E1062</f>
        <v>171.14108376327769</v>
      </c>
      <c r="F947" s="2">
        <f t="shared" si="109"/>
        <v>82.683131044006075</v>
      </c>
      <c r="G947" s="2">
        <v>461.50299999999999</v>
      </c>
      <c r="H947" s="2">
        <f t="shared" ref="H947:I947" si="110">H1062+H706</f>
        <v>423.64493976888059</v>
      </c>
      <c r="I947" s="2">
        <f t="shared" si="110"/>
        <v>423.64493976888059</v>
      </c>
      <c r="J947" s="2">
        <v>477.8</v>
      </c>
      <c r="K947" s="2">
        <v>671.3</v>
      </c>
      <c r="L947" s="2">
        <v>187.48340142406911</v>
      </c>
      <c r="M947" s="3">
        <v>807.89308893042005</v>
      </c>
      <c r="N947" s="3">
        <v>1344.4209368573402</v>
      </c>
      <c r="O947" s="2">
        <v>97.734000000000009</v>
      </c>
      <c r="P947" s="2">
        <v>294.884119166</v>
      </c>
      <c r="Q947" s="4" t="s">
        <v>101</v>
      </c>
      <c r="R947" s="2">
        <v>795.42713714646004</v>
      </c>
      <c r="S947" s="2">
        <f t="shared" si="78"/>
        <v>181.1056504867515</v>
      </c>
      <c r="T947" s="2">
        <f t="shared" si="79"/>
        <v>85.041866697793864</v>
      </c>
    </row>
    <row r="948" spans="1:20" ht="14.25" customHeight="1">
      <c r="A948" s="2" t="s">
        <v>15</v>
      </c>
      <c r="B948" s="2">
        <v>2005</v>
      </c>
      <c r="C948" s="2" t="s">
        <v>16</v>
      </c>
      <c r="D948" s="2">
        <v>216.5</v>
      </c>
      <c r="E948" s="2">
        <f t="shared" ref="E948:F948" si="111">E707+E1063</f>
        <v>193.08167418232756</v>
      </c>
      <c r="F948" s="2">
        <f t="shared" si="111"/>
        <v>92.846020349340506</v>
      </c>
      <c r="G948" s="2">
        <v>499.17200000000003</v>
      </c>
      <c r="H948" s="2">
        <f t="shared" ref="H948:I948" si="112">H1063+H707</f>
        <v>457.66820649001988</v>
      </c>
      <c r="I948" s="2">
        <f t="shared" si="112"/>
        <v>457.66820649001988</v>
      </c>
      <c r="J948" s="2">
        <v>460.6</v>
      </c>
      <c r="K948" s="2">
        <v>719.7</v>
      </c>
      <c r="L948" s="2">
        <v>156.67052258666979</v>
      </c>
      <c r="M948" s="3">
        <v>830.94554337680006</v>
      </c>
      <c r="N948" s="3">
        <v>1503.5439323896001</v>
      </c>
      <c r="O948" s="2">
        <v>103.596</v>
      </c>
      <c r="P948" s="2">
        <v>303.16680273000003</v>
      </c>
      <c r="Q948" s="4" t="s">
        <v>101</v>
      </c>
      <c r="R948" s="2">
        <v>802.41914010258006</v>
      </c>
      <c r="S948" s="2">
        <f t="shared" si="78"/>
        <v>196.64767118010974</v>
      </c>
      <c r="T948" s="2">
        <f t="shared" si="79"/>
        <v>70.510346067468191</v>
      </c>
    </row>
    <row r="949" spans="1:20" ht="14.25" customHeight="1">
      <c r="A949" s="2" t="s">
        <v>15</v>
      </c>
      <c r="B949" s="2">
        <v>2006</v>
      </c>
      <c r="C949" s="2" t="s">
        <v>16</v>
      </c>
      <c r="D949" s="2">
        <v>202.5</v>
      </c>
      <c r="E949" s="2">
        <f t="shared" ref="E949:F949" si="113">E708+E1064</f>
        <v>180.50816956227385</v>
      </c>
      <c r="F949" s="2">
        <f t="shared" si="113"/>
        <v>86.89500308551419</v>
      </c>
      <c r="G949" s="2">
        <v>416.98099999999999</v>
      </c>
      <c r="H949" s="2">
        <f t="shared" ref="H949:I949" si="114">H1064+H708</f>
        <v>385.04471600326838</v>
      </c>
      <c r="I949" s="2">
        <f t="shared" si="114"/>
        <v>385.04471600326838</v>
      </c>
      <c r="J949" s="2">
        <v>415.6</v>
      </c>
      <c r="K949" s="2">
        <v>753.3</v>
      </c>
      <c r="L949" s="2">
        <v>155.33055188514066</v>
      </c>
      <c r="M949" s="3">
        <v>809.94236719914011</v>
      </c>
      <c r="N949" s="3">
        <v>1651.0033012552199</v>
      </c>
      <c r="O949" s="2">
        <v>105.60799999999999</v>
      </c>
      <c r="P949" s="2">
        <v>359.30334499200001</v>
      </c>
      <c r="Q949" s="4" t="s">
        <v>101</v>
      </c>
      <c r="R949" s="2">
        <v>808.7323871991</v>
      </c>
      <c r="S949" s="2">
        <f t="shared" si="78"/>
        <v>160.5222508416015</v>
      </c>
      <c r="T949" s="2">
        <f t="shared" si="79"/>
        <v>70.754030423718916</v>
      </c>
    </row>
    <row r="950" spans="1:20" ht="14.25" customHeight="1">
      <c r="A950" s="2" t="s">
        <v>15</v>
      </c>
      <c r="B950" s="2">
        <v>2007</v>
      </c>
      <c r="C950" s="2" t="s">
        <v>16</v>
      </c>
      <c r="D950" s="2">
        <v>173.8</v>
      </c>
      <c r="E950" s="2">
        <f t="shared" ref="E950:F950" si="115">E709+E1065</f>
        <v>155.01400931948174</v>
      </c>
      <c r="F950" s="2">
        <f t="shared" si="115"/>
        <v>74.423864566546044</v>
      </c>
      <c r="G950" s="2">
        <v>440.07600000000002</v>
      </c>
      <c r="H950" s="2">
        <f t="shared" ref="H950:I950" si="116">H1065+H709</f>
        <v>406.25018874751959</v>
      </c>
      <c r="I950" s="2">
        <f t="shared" si="116"/>
        <v>406.25018874751959</v>
      </c>
      <c r="J950" s="2">
        <v>466.9</v>
      </c>
      <c r="K950" s="2">
        <v>747.9</v>
      </c>
      <c r="L950" s="2">
        <v>157.56459752538811</v>
      </c>
      <c r="M950" s="3">
        <v>809.45717788700006</v>
      </c>
      <c r="N950" s="3">
        <v>1643.5607606811502</v>
      </c>
      <c r="O950" s="2">
        <v>93.561999999999983</v>
      </c>
      <c r="P950" s="2">
        <v>382.82993746799997</v>
      </c>
      <c r="Q950" s="4" t="s">
        <v>101</v>
      </c>
      <c r="R950" s="2">
        <v>815.80107686532006</v>
      </c>
      <c r="S950" s="2">
        <f t="shared" si="78"/>
        <v>169.5783824862846</v>
      </c>
      <c r="T950" s="2">
        <f t="shared" si="79"/>
        <v>71.57424278744017</v>
      </c>
    </row>
    <row r="951" spans="1:20" ht="14.25" customHeight="1">
      <c r="A951" s="2" t="s">
        <v>15</v>
      </c>
      <c r="B951" s="2">
        <v>2008</v>
      </c>
      <c r="C951" s="2" t="s">
        <v>16</v>
      </c>
      <c r="D951" s="2">
        <v>178.7</v>
      </c>
      <c r="E951" s="2">
        <f t="shared" ref="E951:F951" si="117">E710+E1066</f>
        <v>159.39837749503911</v>
      </c>
      <c r="F951" s="2">
        <f t="shared" si="117"/>
        <v>76.488204972569179</v>
      </c>
      <c r="G951" s="2">
        <v>409.30799999999999</v>
      </c>
      <c r="H951" s="2">
        <f t="shared" ref="H951:I951" si="118">H1066+H710</f>
        <v>379.19271226800515</v>
      </c>
      <c r="I951" s="2">
        <f t="shared" si="118"/>
        <v>379.19271226800515</v>
      </c>
      <c r="J951" s="2">
        <v>415.8</v>
      </c>
      <c r="K951" s="2">
        <v>781.7</v>
      </c>
      <c r="L951" s="2">
        <v>159.4125593556671</v>
      </c>
      <c r="M951" s="3">
        <v>800.13559883851997</v>
      </c>
      <c r="N951" s="3">
        <v>1751.9117168545799</v>
      </c>
      <c r="O951" s="2">
        <v>92.509</v>
      </c>
      <c r="P951" s="2">
        <v>415.59923704400001</v>
      </c>
      <c r="Q951" s="4" t="s">
        <v>101</v>
      </c>
      <c r="R951" s="2">
        <v>822.78820340807999</v>
      </c>
      <c r="S951" s="2">
        <f t="shared" si="78"/>
        <v>155.87984901132253</v>
      </c>
      <c r="T951" s="2">
        <f t="shared" si="79"/>
        <v>71.520674084276877</v>
      </c>
    </row>
    <row r="952" spans="1:20" ht="14.25" customHeight="1">
      <c r="A952" s="2" t="s">
        <v>15</v>
      </c>
      <c r="B952" s="2">
        <v>2009</v>
      </c>
      <c r="C952" s="2" t="s">
        <v>16</v>
      </c>
      <c r="D952" s="2">
        <v>189.5</v>
      </c>
      <c r="E952" s="2">
        <f t="shared" ref="E952:F952" si="119">E711+E1067</f>
        <v>168.79389420800749</v>
      </c>
      <c r="F952" s="2">
        <f t="shared" si="119"/>
        <v>81.344008161923654</v>
      </c>
      <c r="G952" s="2">
        <v>394.28199999999998</v>
      </c>
      <c r="H952" s="2">
        <f t="shared" ref="H952:I952" si="120">H1067+H711</f>
        <v>364.49564585035603</v>
      </c>
      <c r="I952" s="2">
        <f t="shared" si="120"/>
        <v>364.49564585035603</v>
      </c>
      <c r="J952" s="2">
        <v>479.2</v>
      </c>
      <c r="K952" s="2">
        <v>720.2</v>
      </c>
      <c r="L952" s="2">
        <v>178.42638086144507</v>
      </c>
      <c r="M952" s="3">
        <v>927.92873073880014</v>
      </c>
      <c r="N952" s="3">
        <v>1732.7339739311003</v>
      </c>
      <c r="O952" s="2">
        <v>127.36</v>
      </c>
      <c r="P952" s="2">
        <v>400.93315952</v>
      </c>
      <c r="Q952" s="4" t="s">
        <v>101</v>
      </c>
      <c r="R952" s="2">
        <v>828.83504357471998</v>
      </c>
      <c r="S952" s="2">
        <f t="shared" si="78"/>
        <v>151.22012646667446</v>
      </c>
      <c r="T952" s="2">
        <f t="shared" si="79"/>
        <v>79.950717422108085</v>
      </c>
    </row>
    <row r="953" spans="1:20" ht="14.25" customHeight="1">
      <c r="A953" s="2" t="s">
        <v>15</v>
      </c>
      <c r="B953" s="2">
        <v>2010</v>
      </c>
      <c r="C953" s="2" t="s">
        <v>16</v>
      </c>
      <c r="D953" s="2">
        <v>197</v>
      </c>
      <c r="E953" s="2">
        <f t="shared" ref="E953:F953" si="121">E712+E1068</f>
        <v>176.06006512431424</v>
      </c>
      <c r="F953" s="2">
        <f t="shared" si="121"/>
        <v>83.917431910913976</v>
      </c>
      <c r="G953" s="2">
        <v>408.3</v>
      </c>
      <c r="H953" s="2">
        <f t="shared" ref="H953:I953" si="122">H1068+H712</f>
        <v>377.94791642348548</v>
      </c>
      <c r="I953" s="2">
        <f t="shared" si="122"/>
        <v>377.94791642348548</v>
      </c>
      <c r="J953" s="2">
        <v>516.70000000000005</v>
      </c>
      <c r="K953" s="2">
        <v>703.8</v>
      </c>
      <c r="L953" s="2">
        <v>182.19267711567645</v>
      </c>
      <c r="M953" s="3">
        <v>1025.1063159386799</v>
      </c>
      <c r="N953" s="3">
        <v>1717.5501304502798</v>
      </c>
      <c r="O953" s="2">
        <v>131.024</v>
      </c>
      <c r="P953" s="2">
        <v>393.35353630000003</v>
      </c>
      <c r="Q953" s="4" t="s">
        <v>101</v>
      </c>
      <c r="R953" s="2">
        <v>835.60193581409999</v>
      </c>
      <c r="S953" s="2">
        <f t="shared" si="78"/>
        <v>155.92047904750788</v>
      </c>
      <c r="T953" s="2">
        <f t="shared" si="79"/>
        <v>82.655306286681451</v>
      </c>
    </row>
    <row r="954" spans="1:20" ht="14.25" customHeight="1">
      <c r="A954" s="2" t="s">
        <v>15</v>
      </c>
      <c r="B954" s="2">
        <v>2011</v>
      </c>
      <c r="C954" s="2" t="s">
        <v>16</v>
      </c>
      <c r="D954" s="2">
        <v>195.8</v>
      </c>
      <c r="E954" s="2">
        <f t="shared" ref="E954:F954" si="123">E713+E1069</f>
        <v>174.41010674448466</v>
      </c>
      <c r="F954" s="2">
        <f t="shared" si="123"/>
        <v>84.074952304797492</v>
      </c>
      <c r="G954" s="2">
        <v>400.2</v>
      </c>
      <c r="H954" s="2">
        <f t="shared" ref="H954:I954" si="124">H1069+H713</f>
        <v>371.66520368857243</v>
      </c>
      <c r="I954" s="2">
        <f t="shared" si="124"/>
        <v>371.66520368857243</v>
      </c>
      <c r="J954" s="2">
        <v>436.1</v>
      </c>
      <c r="K954" s="2">
        <v>720.2</v>
      </c>
      <c r="L954" s="2">
        <v>179.5632838333139</v>
      </c>
      <c r="M954" s="3">
        <v>1059.9784652062799</v>
      </c>
      <c r="N954" s="3">
        <v>1852.6271610607198</v>
      </c>
      <c r="O954" s="2">
        <v>152.06399999999999</v>
      </c>
      <c r="P954" s="2">
        <v>474.12823658399998</v>
      </c>
      <c r="Q954" s="4" t="s">
        <v>101</v>
      </c>
      <c r="R954" s="2">
        <v>842.8171441817401</v>
      </c>
      <c r="S954" s="2">
        <f t="shared" si="78"/>
        <v>151.1619498074005</v>
      </c>
      <c r="T954" s="2">
        <f t="shared" si="79"/>
        <v>82.303871078323823</v>
      </c>
    </row>
    <row r="955" spans="1:20" ht="14.25" customHeight="1">
      <c r="A955" s="2" t="s">
        <v>15</v>
      </c>
      <c r="B955" s="2">
        <v>2012</v>
      </c>
      <c r="C955" s="2" t="s">
        <v>16</v>
      </c>
      <c r="D955" s="2">
        <v>234</v>
      </c>
      <c r="E955" s="2">
        <f t="shared" ref="E955:F955" si="125">E714+E1070</f>
        <v>209.3440450566126</v>
      </c>
      <c r="F955" s="2">
        <f t="shared" si="125"/>
        <v>99.470582077740175</v>
      </c>
      <c r="G955" s="2">
        <v>394</v>
      </c>
      <c r="H955" s="2">
        <f t="shared" ref="H955:I955" si="126">H1070+H714</f>
        <v>366.32305357768183</v>
      </c>
      <c r="I955" s="2">
        <f t="shared" si="126"/>
        <v>366.32305357768183</v>
      </c>
      <c r="J955" s="2">
        <v>465.9</v>
      </c>
      <c r="K955" s="2">
        <v>754.5</v>
      </c>
      <c r="L955" s="2">
        <v>185.47639311310846</v>
      </c>
      <c r="M955" s="3">
        <v>942.80703843895003</v>
      </c>
      <c r="N955" s="3">
        <v>1802.9720133850001</v>
      </c>
      <c r="O955" s="2">
        <v>153.79</v>
      </c>
      <c r="P955" s="2">
        <v>418.29813760000002</v>
      </c>
      <c r="Q955" s="4" t="s">
        <v>101</v>
      </c>
      <c r="R955" s="2">
        <v>848.23560592679996</v>
      </c>
      <c r="S955" s="2">
        <f t="shared" si="78"/>
        <v>148.25029625306411</v>
      </c>
      <c r="T955" s="2">
        <f t="shared" si="79"/>
        <v>85.137958625423153</v>
      </c>
    </row>
    <row r="956" spans="1:20" ht="14.25" customHeight="1">
      <c r="A956" s="2" t="s">
        <v>15</v>
      </c>
      <c r="B956" s="2">
        <v>2013</v>
      </c>
      <c r="C956" s="2" t="s">
        <v>16</v>
      </c>
      <c r="D956" s="2">
        <v>221.3</v>
      </c>
      <c r="E956" s="2">
        <f t="shared" ref="E956:F956" si="127">E715+E1071</f>
        <v>197.19958108556088</v>
      </c>
      <c r="F956" s="2">
        <f t="shared" si="127"/>
        <v>95.094794731924821</v>
      </c>
      <c r="G956" s="2">
        <v>405.4</v>
      </c>
      <c r="H956" s="2">
        <f t="shared" ref="H956:I956" si="128">H1071+H715</f>
        <v>376.33469125714953</v>
      </c>
      <c r="I956" s="2">
        <f t="shared" si="128"/>
        <v>376.33469125714953</v>
      </c>
      <c r="J956" s="2">
        <v>452.1</v>
      </c>
      <c r="K956" s="2">
        <v>739.4</v>
      </c>
      <c r="L956" s="2">
        <v>183.29033570678186</v>
      </c>
      <c r="M956" s="3">
        <v>994.25310630295007</v>
      </c>
      <c r="N956" s="3">
        <v>1877.1182730105002</v>
      </c>
      <c r="O956" s="2">
        <v>130.56</v>
      </c>
      <c r="P956" s="2">
        <v>517.83775786000001</v>
      </c>
      <c r="Q956" s="4" t="s">
        <v>101</v>
      </c>
      <c r="R956" s="2">
        <v>853.40222428187997</v>
      </c>
      <c r="S956" s="2">
        <f t="shared" si="78"/>
        <v>153.34499871600329</v>
      </c>
      <c r="T956" s="2">
        <f t="shared" si="79"/>
        <v>84.285484496323107</v>
      </c>
    </row>
    <row r="957" spans="1:20" ht="14.25" customHeight="1">
      <c r="A957" s="2" t="s">
        <v>15</v>
      </c>
      <c r="B957" s="2">
        <v>2014</v>
      </c>
      <c r="C957" s="2" t="s">
        <v>16</v>
      </c>
      <c r="D957" s="2">
        <v>308.8</v>
      </c>
      <c r="E957" s="2">
        <f t="shared" ref="E957:F957" si="129">E716+E1072</f>
        <v>274.91853720088716</v>
      </c>
      <c r="F957" s="2">
        <f t="shared" si="129"/>
        <v>132.8620832284347</v>
      </c>
      <c r="G957" s="2">
        <v>450.8</v>
      </c>
      <c r="H957" s="2">
        <f t="shared" ref="H957:I957" si="130">H1072+H716</f>
        <v>416.00064199836584</v>
      </c>
      <c r="I957" s="2">
        <f t="shared" si="130"/>
        <v>416.00064199836584</v>
      </c>
      <c r="J957" s="2">
        <v>499.1</v>
      </c>
      <c r="K957" s="2">
        <v>720.6</v>
      </c>
      <c r="L957" s="2">
        <v>192.91247144858178</v>
      </c>
      <c r="M957" s="3">
        <v>1037.8312277984701</v>
      </c>
      <c r="N957" s="3">
        <v>1820.0458813208702</v>
      </c>
      <c r="O957" s="2">
        <v>167.03100000000001</v>
      </c>
      <c r="P957" s="2">
        <v>536.11319509300006</v>
      </c>
      <c r="Q957" s="4" t="s">
        <v>101</v>
      </c>
      <c r="R957" s="2">
        <v>859.84000971959995</v>
      </c>
      <c r="S957" s="2">
        <f t="shared" si="78"/>
        <v>173.91531457919928</v>
      </c>
      <c r="T957" s="2">
        <f t="shared" si="79"/>
        <v>89.987184009805077</v>
      </c>
    </row>
    <row r="958" spans="1:20" ht="14.25" customHeight="1">
      <c r="A958" s="2" t="s">
        <v>15</v>
      </c>
      <c r="B958" s="2">
        <v>2015</v>
      </c>
      <c r="C958" s="2" t="s">
        <v>16</v>
      </c>
      <c r="D958" s="2">
        <v>292.74694019999998</v>
      </c>
      <c r="E958" s="2">
        <f t="shared" ref="E958:F958" si="131">E717+E1073</f>
        <v>260.73221664526676</v>
      </c>
      <c r="F958" s="2">
        <f t="shared" si="131"/>
        <v>125.93178615618072</v>
      </c>
      <c r="G958" s="2">
        <v>416</v>
      </c>
      <c r="H958" s="2">
        <f t="shared" ref="H958:I958" si="132">H1073+H717</f>
        <v>384.98195400957161</v>
      </c>
      <c r="I958" s="2">
        <f t="shared" si="132"/>
        <v>384.98195400957161</v>
      </c>
      <c r="J958" s="2">
        <v>442</v>
      </c>
      <c r="K958" s="2">
        <v>680.4</v>
      </c>
      <c r="L958" s="2">
        <v>190.57493682701062</v>
      </c>
      <c r="M958" s="3">
        <v>880.38731375170005</v>
      </c>
      <c r="N958" s="3">
        <v>1759.5890980915999</v>
      </c>
      <c r="O958" s="2">
        <v>147.44400000000002</v>
      </c>
      <c r="P958" s="2">
        <v>478.29275736000005</v>
      </c>
      <c r="Q958" s="4" t="s">
        <v>101</v>
      </c>
      <c r="R958" s="2">
        <v>866.43411048558005</v>
      </c>
      <c r="S958" s="2">
        <f t="shared" si="78"/>
        <v>158.98915746469009</v>
      </c>
      <c r="T958" s="2">
        <f t="shared" si="79"/>
        <v>88.308729935235206</v>
      </c>
    </row>
    <row r="959" spans="1:20" ht="14.25" customHeight="1">
      <c r="A959" s="2" t="s">
        <v>15</v>
      </c>
      <c r="B959" s="2">
        <v>2016</v>
      </c>
      <c r="C959" s="2" t="s">
        <v>16</v>
      </c>
      <c r="D959" s="2">
        <v>256.24610159999997</v>
      </c>
      <c r="E959" s="2">
        <f t="shared" ref="E959:F959" si="133">E718+E1074</f>
        <v>228.25215361269989</v>
      </c>
      <c r="F959" s="2">
        <f t="shared" si="133"/>
        <v>110.03755527022295</v>
      </c>
      <c r="G959" s="2">
        <v>444.4</v>
      </c>
      <c r="H959" s="2">
        <f t="shared" ref="H959:I959" si="134">H1074+H718</f>
        <v>410.24402941519793</v>
      </c>
      <c r="I959" s="2">
        <f t="shared" si="134"/>
        <v>410.24402941519793</v>
      </c>
      <c r="J959" s="2">
        <v>439.9</v>
      </c>
      <c r="K959" s="2">
        <v>729.2</v>
      </c>
      <c r="L959" s="2">
        <v>174.44513318664644</v>
      </c>
      <c r="M959" s="3">
        <v>1060.68913946624</v>
      </c>
      <c r="N959" s="3">
        <v>1987.0441746604802</v>
      </c>
      <c r="O959" s="2">
        <v>164.64500000000001</v>
      </c>
      <c r="P959" s="2">
        <v>544.79551665500003</v>
      </c>
      <c r="Q959" s="4" t="s">
        <v>101</v>
      </c>
      <c r="R959" s="2">
        <v>873.22310718552001</v>
      </c>
      <c r="S959" s="2">
        <f t="shared" si="78"/>
        <v>171.24157441344698</v>
      </c>
      <c r="T959" s="2">
        <f t="shared" si="79"/>
        <v>81.931586961456759</v>
      </c>
    </row>
    <row r="960" spans="1:20" ht="14.25" customHeight="1">
      <c r="A960" s="2" t="s">
        <v>15</v>
      </c>
      <c r="B960" s="2">
        <v>2017</v>
      </c>
      <c r="C960" s="2" t="s">
        <v>16</v>
      </c>
      <c r="D960" s="2">
        <v>291.2170643</v>
      </c>
      <c r="E960" s="2">
        <f t="shared" ref="E960:F960" si="135">E719+E1075</f>
        <v>259.7627290766896</v>
      </c>
      <c r="F960" s="2">
        <f t="shared" si="135"/>
        <v>124.78473724757791</v>
      </c>
      <c r="G960" s="2">
        <v>435.5</v>
      </c>
      <c r="H960" s="2">
        <f t="shared" ref="H960:I960" si="136">H1075+H719</f>
        <v>401.79711684370261</v>
      </c>
      <c r="I960" s="2">
        <f t="shared" si="136"/>
        <v>401.79711684370261</v>
      </c>
      <c r="J960" s="2">
        <v>459.5</v>
      </c>
      <c r="K960" s="2">
        <v>704.2</v>
      </c>
      <c r="L960" s="2">
        <v>199.57343496673283</v>
      </c>
      <c r="M960" s="3">
        <v>1189.8528607098001</v>
      </c>
      <c r="N960" s="3">
        <v>1998.2128197612001</v>
      </c>
      <c r="O960" s="2">
        <v>160.70399999999998</v>
      </c>
      <c r="P960" s="2">
        <v>700.62462019999998</v>
      </c>
      <c r="Q960" s="4" t="s">
        <v>101</v>
      </c>
      <c r="R960" s="2">
        <v>877.99446595769996</v>
      </c>
      <c r="S960" s="2">
        <f t="shared" si="78"/>
        <v>167.96358725341429</v>
      </c>
      <c r="T960" s="2">
        <f t="shared" si="79"/>
        <v>93.903446333699094</v>
      </c>
    </row>
    <row r="961" spans="1:20" ht="14.25" customHeight="1">
      <c r="A961" s="2" t="s">
        <v>15</v>
      </c>
      <c r="B961" s="2">
        <v>2018</v>
      </c>
      <c r="C961" s="2" t="s">
        <v>16</v>
      </c>
      <c r="D961" s="2">
        <v>271.3725981</v>
      </c>
      <c r="E961" s="2">
        <f t="shared" ref="E961:F961" si="137">E720+E1076</f>
        <v>242.35726625423138</v>
      </c>
      <c r="F961" s="2">
        <f t="shared" si="137"/>
        <v>115.79406046457336</v>
      </c>
      <c r="G961" s="2">
        <v>428.6</v>
      </c>
      <c r="H961" s="2">
        <f t="shared" ref="H961:I961" si="138">H1076+H720</f>
        <v>394.24085444146141</v>
      </c>
      <c r="I961" s="2">
        <f t="shared" si="138"/>
        <v>394.24085444146141</v>
      </c>
      <c r="J961" s="2">
        <v>447.6</v>
      </c>
      <c r="K961" s="2">
        <v>674</v>
      </c>
      <c r="L961" s="2">
        <v>165.91919813820476</v>
      </c>
      <c r="M961" s="3">
        <v>1082.1496621984372</v>
      </c>
      <c r="N961" s="3">
        <v>1930.9714079448001</v>
      </c>
      <c r="O961" s="2">
        <v>157.43999999999997</v>
      </c>
      <c r="P961" s="3">
        <v>571.75389287999997</v>
      </c>
      <c r="Q961" s="4" t="s">
        <v>101</v>
      </c>
      <c r="R961" s="2">
        <v>883.00789339308005</v>
      </c>
      <c r="S961" s="2">
        <f t="shared" si="78"/>
        <v>167.09601867631611</v>
      </c>
      <c r="T961" s="2">
        <f t="shared" si="79"/>
        <v>77.837349587720325</v>
      </c>
    </row>
    <row r="962" spans="1:20" ht="14.25" customHeight="1">
      <c r="A962" s="2" t="s">
        <v>15</v>
      </c>
      <c r="B962" s="2">
        <v>2019</v>
      </c>
      <c r="C962" s="2" t="s">
        <v>16</v>
      </c>
      <c r="D962" s="2">
        <v>230.71457240000001</v>
      </c>
      <c r="E962" s="2">
        <f t="shared" ref="E962:F962" si="139">E721+E1077</f>
        <v>205.9239407026964</v>
      </c>
      <c r="F962" s="2">
        <f t="shared" si="139"/>
        <v>98.550730944321231</v>
      </c>
      <c r="G962" s="2">
        <v>391.2</v>
      </c>
      <c r="H962" s="2">
        <f t="shared" ref="H962:I962" si="140">H1077+H721</f>
        <v>362.34915372942692</v>
      </c>
      <c r="I962" s="2">
        <f t="shared" si="140"/>
        <v>362.34915372942692</v>
      </c>
      <c r="J962" s="2">
        <v>454.29908799999998</v>
      </c>
      <c r="K962" s="2">
        <v>726.17981199999997</v>
      </c>
      <c r="L962" s="2">
        <v>180.06419983658225</v>
      </c>
      <c r="M962" s="3">
        <v>1187.31163713861</v>
      </c>
      <c r="N962" s="3">
        <v>2048.2722323049284</v>
      </c>
      <c r="O962" s="2">
        <v>132.4842422258854</v>
      </c>
      <c r="P962" s="2">
        <v>677.01128308999989</v>
      </c>
      <c r="Q962" s="4" t="s">
        <v>101</v>
      </c>
      <c r="R962" s="2">
        <v>887.92065355265993</v>
      </c>
      <c r="S962" s="2">
        <f t="shared" si="78"/>
        <v>149.07508532741917</v>
      </c>
      <c r="T962" s="2">
        <f t="shared" si="79"/>
        <v>92.8584579199253</v>
      </c>
    </row>
    <row r="963" spans="1:20" ht="14.25" customHeight="1">
      <c r="A963" s="2" t="s">
        <v>15</v>
      </c>
      <c r="B963" s="2">
        <v>2020</v>
      </c>
      <c r="C963" s="2" t="s">
        <v>16</v>
      </c>
      <c r="D963" s="2">
        <v>244.44612140000001</v>
      </c>
      <c r="E963" s="2">
        <f t="shared" ref="E963:F963" si="141">E722+E1078</f>
        <v>217.7755278419867</v>
      </c>
      <c r="F963" s="2">
        <f t="shared" si="141"/>
        <v>104.92443389357348</v>
      </c>
      <c r="G963" s="2">
        <v>378.79939519999999</v>
      </c>
      <c r="H963" s="2">
        <f t="shared" ref="H963:I963" si="142">H1078+H722</f>
        <v>348.74941821469594</v>
      </c>
      <c r="I963" s="2">
        <f t="shared" si="142"/>
        <v>348.74941821469594</v>
      </c>
      <c r="J963" s="2">
        <v>423.48595599999999</v>
      </c>
      <c r="K963" s="2">
        <v>671.8</v>
      </c>
      <c r="L963" s="2" t="s">
        <v>17</v>
      </c>
      <c r="M963" s="3">
        <v>945.19714779236972</v>
      </c>
      <c r="N963" s="3">
        <v>1862.273935028644</v>
      </c>
      <c r="O963" s="2">
        <v>133.36874535769419</v>
      </c>
      <c r="P963" s="2" t="s">
        <v>17</v>
      </c>
      <c r="Q963" s="4" t="s">
        <v>101</v>
      </c>
      <c r="R963" s="2">
        <v>891.97200405221997</v>
      </c>
      <c r="S963" s="2">
        <f t="shared" si="78"/>
        <v>147.246283086201</v>
      </c>
      <c r="T963" s="2" t="s">
        <v>17</v>
      </c>
    </row>
    <row r="964" spans="1:20" ht="14.25" customHeight="1">
      <c r="A964" s="2" t="s">
        <v>15</v>
      </c>
      <c r="B964" s="2">
        <v>1965</v>
      </c>
      <c r="C964" s="2" t="s">
        <v>43</v>
      </c>
      <c r="G964" s="3"/>
      <c r="H964" s="3" t="e">
        <v>#N/A</v>
      </c>
      <c r="I964" s="3" t="e">
        <f t="shared" ref="I964:I1099" si="143">H964</f>
        <v>#N/A</v>
      </c>
      <c r="J964" s="3" t="e">
        <v>#N/A</v>
      </c>
      <c r="K964" s="3">
        <v>2.4385287543182277</v>
      </c>
      <c r="L964" s="3"/>
      <c r="M964" s="3"/>
      <c r="N964" s="3"/>
      <c r="Q964" s="4" t="s">
        <v>99</v>
      </c>
      <c r="R964" s="2" t="s">
        <v>17</v>
      </c>
      <c r="S964" s="2" t="s">
        <v>17</v>
      </c>
    </row>
    <row r="965" spans="1:20" ht="14.25" customHeight="1">
      <c r="A965" s="2" t="s">
        <v>15</v>
      </c>
      <c r="B965" s="2">
        <v>1966</v>
      </c>
      <c r="C965" s="2" t="s">
        <v>43</v>
      </c>
      <c r="G965" s="3"/>
      <c r="H965" s="3" t="e">
        <v>#N/A</v>
      </c>
      <c r="I965" s="3" t="e">
        <f t="shared" si="143"/>
        <v>#N/A</v>
      </c>
      <c r="J965" s="3" t="e">
        <v>#N/A</v>
      </c>
      <c r="K965" s="3">
        <v>3.1497663076610443</v>
      </c>
      <c r="L965" s="3"/>
      <c r="M965" s="3"/>
      <c r="N965" s="3"/>
      <c r="Q965" s="4" t="s">
        <v>99</v>
      </c>
      <c r="R965" s="2" t="s">
        <v>17</v>
      </c>
      <c r="S965" s="2" t="s">
        <v>17</v>
      </c>
    </row>
    <row r="966" spans="1:20" ht="14.25" customHeight="1">
      <c r="A966" s="2" t="s">
        <v>15</v>
      </c>
      <c r="B966" s="2">
        <v>1967</v>
      </c>
      <c r="C966" s="2" t="s">
        <v>43</v>
      </c>
      <c r="G966" s="3"/>
      <c r="H966" s="3" t="e">
        <v>#N/A</v>
      </c>
      <c r="I966" s="3" t="e">
        <f t="shared" si="143"/>
        <v>#N/A</v>
      </c>
      <c r="J966" s="3" t="e">
        <v>#N/A</v>
      </c>
      <c r="K966" s="3">
        <v>3.6577931314773418</v>
      </c>
      <c r="L966" s="3"/>
      <c r="M966" s="3"/>
      <c r="N966" s="3"/>
      <c r="Q966" s="4" t="s">
        <v>99</v>
      </c>
      <c r="R966" s="2" t="s">
        <v>17</v>
      </c>
      <c r="S966" s="2" t="s">
        <v>17</v>
      </c>
    </row>
    <row r="967" spans="1:20" ht="14.25" customHeight="1">
      <c r="A967" s="2" t="s">
        <v>15</v>
      </c>
      <c r="B967" s="2">
        <v>1968</v>
      </c>
      <c r="C967" s="2" t="s">
        <v>43</v>
      </c>
      <c r="G967" s="3"/>
      <c r="H967" s="3" t="e">
        <v>#N/A</v>
      </c>
      <c r="I967" s="3" t="e">
        <f t="shared" si="143"/>
        <v>#N/A</v>
      </c>
      <c r="J967" s="3" t="e">
        <v>#N/A</v>
      </c>
      <c r="K967" s="3">
        <v>4.2674253200568986</v>
      </c>
      <c r="L967" s="3"/>
      <c r="M967" s="3"/>
      <c r="N967" s="3"/>
      <c r="Q967" s="4" t="s">
        <v>99</v>
      </c>
      <c r="R967" s="2" t="s">
        <v>17</v>
      </c>
      <c r="S967" s="2" t="s">
        <v>17</v>
      </c>
    </row>
    <row r="968" spans="1:20" ht="14.25" customHeight="1">
      <c r="A968" s="2" t="s">
        <v>15</v>
      </c>
      <c r="B968" s="2">
        <v>1969</v>
      </c>
      <c r="C968" s="2" t="s">
        <v>43</v>
      </c>
      <c r="G968" s="3"/>
      <c r="H968" s="3" t="e">
        <v>#N/A</v>
      </c>
      <c r="I968" s="3" t="e">
        <f t="shared" si="143"/>
        <v>#N/A</v>
      </c>
      <c r="J968" s="3" t="e">
        <v>#N/A</v>
      </c>
      <c r="K968" s="3">
        <v>4.9278601910180857</v>
      </c>
      <c r="L968" s="3"/>
      <c r="M968" s="3"/>
      <c r="N968" s="3"/>
      <c r="Q968" s="4" t="s">
        <v>99</v>
      </c>
      <c r="R968" s="2" t="s">
        <v>17</v>
      </c>
      <c r="S968" s="2" t="s">
        <v>17</v>
      </c>
    </row>
    <row r="969" spans="1:20" ht="14.25" customHeight="1">
      <c r="A969" s="2" t="s">
        <v>15</v>
      </c>
      <c r="B969" s="2">
        <v>1970</v>
      </c>
      <c r="C969" s="2" t="s">
        <v>43</v>
      </c>
      <c r="G969" s="3"/>
      <c r="H969" s="3" t="e">
        <v>#N/A</v>
      </c>
      <c r="I969" s="3" t="e">
        <f t="shared" si="143"/>
        <v>#N/A</v>
      </c>
      <c r="J969" s="3" t="e">
        <v>#N/A</v>
      </c>
      <c r="K969" s="3">
        <v>5.1310709205446043</v>
      </c>
      <c r="L969" s="3"/>
      <c r="M969" s="3"/>
      <c r="N969" s="3"/>
      <c r="Q969" s="4" t="s">
        <v>99</v>
      </c>
      <c r="R969" s="2" t="s">
        <v>17</v>
      </c>
      <c r="S969" s="2" t="s">
        <v>17</v>
      </c>
    </row>
    <row r="970" spans="1:20" ht="14.25" customHeight="1">
      <c r="A970" s="2" t="s">
        <v>15</v>
      </c>
      <c r="B970" s="2">
        <v>1971</v>
      </c>
      <c r="C970" s="2" t="s">
        <v>43</v>
      </c>
      <c r="G970" s="3"/>
      <c r="H970" s="3" t="e">
        <v>#N/A</v>
      </c>
      <c r="I970" s="3" t="e">
        <f t="shared" si="143"/>
        <v>#N/A</v>
      </c>
      <c r="J970" s="3" t="e">
        <v>#N/A</v>
      </c>
      <c r="K970" s="3">
        <v>2.3369233895549684</v>
      </c>
      <c r="L970" s="3"/>
      <c r="M970" s="3"/>
      <c r="N970" s="3"/>
      <c r="Q970" s="4" t="s">
        <v>99</v>
      </c>
      <c r="R970" s="2" t="s">
        <v>17</v>
      </c>
      <c r="S970" s="2" t="s">
        <v>17</v>
      </c>
    </row>
    <row r="971" spans="1:20" ht="14.25" customHeight="1">
      <c r="A971" s="2" t="s">
        <v>15</v>
      </c>
      <c r="B971" s="2">
        <v>1972</v>
      </c>
      <c r="C971" s="2" t="s">
        <v>43</v>
      </c>
      <c r="G971" s="3"/>
      <c r="H971" s="3" t="e">
        <v>#N/A</v>
      </c>
      <c r="I971" s="3" t="e">
        <f t="shared" si="143"/>
        <v>#N/A</v>
      </c>
      <c r="J971" s="3" t="e">
        <v>#N/A</v>
      </c>
      <c r="K971" s="3">
        <v>3.3021743548059335</v>
      </c>
      <c r="L971" s="3"/>
      <c r="M971" s="3"/>
      <c r="N971" s="3"/>
      <c r="Q971" s="4" t="s">
        <v>99</v>
      </c>
      <c r="R971" s="2" t="s">
        <v>17</v>
      </c>
      <c r="S971" s="2" t="s">
        <v>17</v>
      </c>
    </row>
    <row r="972" spans="1:20" ht="14.25" customHeight="1">
      <c r="A972" s="2" t="s">
        <v>15</v>
      </c>
      <c r="B972" s="2">
        <v>1973</v>
      </c>
      <c r="C972" s="2" t="s">
        <v>43</v>
      </c>
      <c r="G972" s="3"/>
      <c r="H972" s="3" t="e">
        <v>#N/A</v>
      </c>
      <c r="I972" s="3" t="e">
        <f t="shared" si="143"/>
        <v>#N/A</v>
      </c>
      <c r="J972" s="3" t="e">
        <v>#N/A</v>
      </c>
      <c r="K972" s="3">
        <v>8.1284291810607598</v>
      </c>
      <c r="L972" s="3"/>
      <c r="M972" s="3"/>
      <c r="N972" s="3"/>
      <c r="Q972" s="4" t="s">
        <v>99</v>
      </c>
      <c r="R972" s="2" t="s">
        <v>17</v>
      </c>
      <c r="S972" s="2" t="s">
        <v>17</v>
      </c>
    </row>
    <row r="973" spans="1:20" ht="14.25" customHeight="1">
      <c r="A973" s="2" t="s">
        <v>15</v>
      </c>
      <c r="B973" s="2">
        <v>1974</v>
      </c>
      <c r="C973" s="2" t="s">
        <v>43</v>
      </c>
      <c r="G973" s="3"/>
      <c r="H973" s="3" t="e">
        <v>#N/A</v>
      </c>
      <c r="I973" s="3" t="e">
        <f t="shared" si="143"/>
        <v>#N/A</v>
      </c>
      <c r="J973" s="3" t="e">
        <v>#N/A</v>
      </c>
      <c r="K973" s="3">
        <v>5.4358870148343827</v>
      </c>
      <c r="L973" s="3"/>
      <c r="M973" s="3"/>
      <c r="N973" s="3"/>
      <c r="Q973" s="4" t="s">
        <v>99</v>
      </c>
      <c r="R973" s="2" t="s">
        <v>17</v>
      </c>
      <c r="S973" s="2" t="s">
        <v>17</v>
      </c>
    </row>
    <row r="974" spans="1:20" ht="14.25" customHeight="1">
      <c r="A974" s="2" t="s">
        <v>15</v>
      </c>
      <c r="B974" s="2">
        <v>1975</v>
      </c>
      <c r="C974" s="2" t="s">
        <v>43</v>
      </c>
      <c r="G974" s="3"/>
      <c r="H974" s="3" t="e">
        <v>#N/A</v>
      </c>
      <c r="I974" s="3" t="e">
        <f t="shared" si="143"/>
        <v>#N/A</v>
      </c>
      <c r="J974" s="3" t="e">
        <v>#N/A</v>
      </c>
      <c r="K974" s="3">
        <v>5.8920000000000003</v>
      </c>
      <c r="L974" s="3"/>
      <c r="M974" s="3"/>
      <c r="N974" s="3"/>
      <c r="Q974" s="4" t="s">
        <v>99</v>
      </c>
      <c r="R974" s="2" t="s">
        <v>17</v>
      </c>
      <c r="S974" s="2" t="s">
        <v>17</v>
      </c>
    </row>
    <row r="975" spans="1:20" ht="14.25" customHeight="1">
      <c r="A975" s="2" t="s">
        <v>15</v>
      </c>
      <c r="B975" s="2">
        <v>1976</v>
      </c>
      <c r="C975" s="2" t="s">
        <v>43</v>
      </c>
      <c r="G975" s="3"/>
      <c r="H975" s="3" t="e">
        <v>#N/A</v>
      </c>
      <c r="I975" s="3" t="e">
        <f t="shared" si="143"/>
        <v>#N/A</v>
      </c>
      <c r="J975" s="3" t="e">
        <v>#N/A</v>
      </c>
      <c r="K975" s="3">
        <v>8.0350000000000001</v>
      </c>
      <c r="L975" s="3"/>
      <c r="M975" s="3"/>
      <c r="N975" s="3"/>
      <c r="Q975" s="4" t="s">
        <v>101</v>
      </c>
      <c r="R975" s="2" t="s">
        <v>17</v>
      </c>
      <c r="S975" s="2" t="s">
        <v>17</v>
      </c>
    </row>
    <row r="976" spans="1:20" ht="14.25" customHeight="1">
      <c r="A976" s="2" t="s">
        <v>15</v>
      </c>
      <c r="B976" s="2">
        <v>1977</v>
      </c>
      <c r="C976" s="2" t="s">
        <v>43</v>
      </c>
      <c r="G976" s="3"/>
      <c r="H976" s="3" t="e">
        <v>#N/A</v>
      </c>
      <c r="I976" s="3" t="e">
        <f t="shared" si="143"/>
        <v>#N/A</v>
      </c>
      <c r="J976" s="3" t="e">
        <v>#N/A</v>
      </c>
      <c r="K976" s="3">
        <v>7.556</v>
      </c>
      <c r="L976" s="3"/>
      <c r="M976" s="3"/>
      <c r="N976" s="3"/>
      <c r="Q976" s="4" t="s">
        <v>101</v>
      </c>
      <c r="R976" s="2" t="s">
        <v>17</v>
      </c>
      <c r="S976" s="2" t="s">
        <v>17</v>
      </c>
    </row>
    <row r="977" spans="1:19" ht="14.25" customHeight="1">
      <c r="A977" s="2" t="s">
        <v>15</v>
      </c>
      <c r="B977" s="2">
        <v>1978</v>
      </c>
      <c r="C977" s="2" t="s">
        <v>43</v>
      </c>
      <c r="G977" s="3"/>
      <c r="H977" s="3" t="e">
        <v>#N/A</v>
      </c>
      <c r="I977" s="3" t="e">
        <f t="shared" si="143"/>
        <v>#N/A</v>
      </c>
      <c r="J977" s="3" t="e">
        <v>#N/A</v>
      </c>
      <c r="K977" s="3">
        <v>7.2519999999999998</v>
      </c>
      <c r="L977" s="3"/>
      <c r="M977" s="3"/>
      <c r="N977" s="3"/>
      <c r="Q977" s="4" t="s">
        <v>101</v>
      </c>
      <c r="R977" s="2" t="s">
        <v>17</v>
      </c>
      <c r="S977" s="2" t="s">
        <v>17</v>
      </c>
    </row>
    <row r="978" spans="1:19" ht="14.25" customHeight="1">
      <c r="A978" s="2" t="s">
        <v>15</v>
      </c>
      <c r="B978" s="2">
        <v>1979</v>
      </c>
      <c r="C978" s="2" t="s">
        <v>43</v>
      </c>
      <c r="G978" s="3"/>
      <c r="H978" s="3" t="e">
        <v>#N/A</v>
      </c>
      <c r="I978" s="3" t="e">
        <f t="shared" si="143"/>
        <v>#N/A</v>
      </c>
      <c r="J978" s="3" t="e">
        <v>#N/A</v>
      </c>
      <c r="K978" s="3">
        <v>10.487</v>
      </c>
      <c r="L978" s="3"/>
      <c r="M978" s="3"/>
      <c r="N978" s="3"/>
      <c r="Q978" s="4" t="s">
        <v>101</v>
      </c>
      <c r="R978" s="2" t="s">
        <v>17</v>
      </c>
      <c r="S978" s="2" t="s">
        <v>17</v>
      </c>
    </row>
    <row r="979" spans="1:19" ht="14.25" customHeight="1">
      <c r="A979" s="2" t="s">
        <v>15</v>
      </c>
      <c r="B979" s="2">
        <v>1980</v>
      </c>
      <c r="C979" s="2" t="s">
        <v>43</v>
      </c>
      <c r="G979" s="3"/>
      <c r="H979" s="3" t="e">
        <v>#N/A</v>
      </c>
      <c r="I979" s="3" t="e">
        <f t="shared" si="143"/>
        <v>#N/A</v>
      </c>
      <c r="J979" s="3" t="e">
        <v>#N/A</v>
      </c>
      <c r="K979" s="3">
        <v>11.015000000000001</v>
      </c>
      <c r="L979" s="3"/>
      <c r="M979" s="3"/>
      <c r="N979" s="3"/>
      <c r="Q979" s="4" t="s">
        <v>101</v>
      </c>
      <c r="R979" s="2" t="s">
        <v>17</v>
      </c>
      <c r="S979" s="2" t="s">
        <v>17</v>
      </c>
    </row>
    <row r="980" spans="1:19" ht="14.25" customHeight="1">
      <c r="A980" s="2" t="s">
        <v>15</v>
      </c>
      <c r="B980" s="2">
        <v>1981</v>
      </c>
      <c r="C980" s="2" t="s">
        <v>43</v>
      </c>
      <c r="G980" s="3"/>
      <c r="H980" s="3" t="e">
        <v>#N/A</v>
      </c>
      <c r="I980" s="3" t="e">
        <f t="shared" si="143"/>
        <v>#N/A</v>
      </c>
      <c r="J980" s="3" t="e">
        <v>#N/A</v>
      </c>
      <c r="K980" s="3">
        <v>19.201000000000001</v>
      </c>
      <c r="L980" s="3"/>
      <c r="M980" s="3"/>
      <c r="N980" s="3"/>
      <c r="Q980" s="4" t="s">
        <v>101</v>
      </c>
      <c r="R980" s="2" t="s">
        <v>17</v>
      </c>
      <c r="S980" s="2" t="s">
        <v>17</v>
      </c>
    </row>
    <row r="981" spans="1:19" ht="14.25" customHeight="1">
      <c r="A981" s="2" t="s">
        <v>15</v>
      </c>
      <c r="B981" s="2">
        <v>1982</v>
      </c>
      <c r="C981" s="2" t="s">
        <v>43</v>
      </c>
      <c r="G981" s="3"/>
      <c r="H981" s="3" t="e">
        <v>#N/A</v>
      </c>
      <c r="I981" s="3" t="e">
        <f t="shared" si="143"/>
        <v>#N/A</v>
      </c>
      <c r="J981" s="3" t="e">
        <v>#N/A</v>
      </c>
      <c r="K981" s="3">
        <v>13.308</v>
      </c>
      <c r="L981" s="3"/>
      <c r="M981" s="3"/>
      <c r="N981" s="3"/>
      <c r="Q981" s="4" t="s">
        <v>101</v>
      </c>
      <c r="R981" s="2" t="s">
        <v>17</v>
      </c>
      <c r="S981" s="2" t="s">
        <v>17</v>
      </c>
    </row>
    <row r="982" spans="1:19" ht="14.25" customHeight="1">
      <c r="A982" s="2" t="s">
        <v>15</v>
      </c>
      <c r="B982" s="2">
        <v>1983</v>
      </c>
      <c r="C982" s="2" t="s">
        <v>43</v>
      </c>
      <c r="G982" s="3"/>
      <c r="H982" s="3" t="e">
        <v>#N/A</v>
      </c>
      <c r="I982" s="3" t="e">
        <f t="shared" si="143"/>
        <v>#N/A</v>
      </c>
      <c r="J982" s="3" t="e">
        <v>#N/A</v>
      </c>
      <c r="K982" s="3">
        <v>17.584</v>
      </c>
      <c r="L982" s="3"/>
      <c r="M982" s="3"/>
      <c r="N982" s="3"/>
      <c r="Q982" s="4" t="s">
        <v>101</v>
      </c>
      <c r="R982" s="2" t="s">
        <v>17</v>
      </c>
      <c r="S982" s="2" t="s">
        <v>17</v>
      </c>
    </row>
    <row r="983" spans="1:19" ht="14.25" customHeight="1">
      <c r="A983" s="2" t="s">
        <v>15</v>
      </c>
      <c r="B983" s="2">
        <v>1984</v>
      </c>
      <c r="C983" s="2" t="s">
        <v>43</v>
      </c>
      <c r="G983" s="3"/>
      <c r="H983" s="3" t="e">
        <v>#N/A</v>
      </c>
      <c r="I983" s="3" t="e">
        <f t="shared" si="143"/>
        <v>#N/A</v>
      </c>
      <c r="J983" s="3" t="e">
        <v>#N/A</v>
      </c>
      <c r="K983" s="3">
        <v>24.045999999999999</v>
      </c>
      <c r="L983" s="3"/>
      <c r="M983" s="3"/>
      <c r="N983" s="3"/>
      <c r="Q983" s="4" t="s">
        <v>101</v>
      </c>
      <c r="R983" s="2" t="s">
        <v>17</v>
      </c>
      <c r="S983" s="2" t="s">
        <v>17</v>
      </c>
    </row>
    <row r="984" spans="1:19" ht="14.25" customHeight="1">
      <c r="A984" s="2" t="s">
        <v>15</v>
      </c>
      <c r="B984" s="2">
        <v>1985</v>
      </c>
      <c r="C984" s="2" t="s">
        <v>43</v>
      </c>
      <c r="G984" s="3"/>
      <c r="H984" s="3" t="e">
        <v>#N/A</v>
      </c>
      <c r="I984" s="3" t="e">
        <f t="shared" si="143"/>
        <v>#N/A</v>
      </c>
      <c r="J984" s="3" t="e">
        <v>#N/A</v>
      </c>
      <c r="K984" s="3">
        <v>23.981999999999999</v>
      </c>
      <c r="L984" s="3"/>
      <c r="M984" s="3"/>
      <c r="N984" s="3"/>
      <c r="Q984" s="4" t="s">
        <v>101</v>
      </c>
      <c r="R984" s="2" t="s">
        <v>17</v>
      </c>
      <c r="S984" s="2" t="s">
        <v>17</v>
      </c>
    </row>
    <row r="985" spans="1:19" ht="14.25" customHeight="1">
      <c r="A985" s="2" t="s">
        <v>15</v>
      </c>
      <c r="B985" s="2">
        <v>1986</v>
      </c>
      <c r="C985" s="2" t="s">
        <v>43</v>
      </c>
      <c r="G985" s="3"/>
      <c r="H985" s="3" t="e">
        <v>#N/A</v>
      </c>
      <c r="I985" s="3" t="e">
        <f t="shared" si="143"/>
        <v>#N/A</v>
      </c>
      <c r="J985" s="3" t="e">
        <v>#N/A</v>
      </c>
      <c r="K985" s="3">
        <v>36.517000000000003</v>
      </c>
      <c r="L985" s="3"/>
      <c r="M985" s="3"/>
      <c r="N985" s="3"/>
      <c r="Q985" s="4" t="s">
        <v>101</v>
      </c>
      <c r="R985" s="2" t="s">
        <v>17</v>
      </c>
      <c r="S985" s="2" t="s">
        <v>17</v>
      </c>
    </row>
    <row r="986" spans="1:19" ht="14.25" customHeight="1">
      <c r="A986" s="2" t="s">
        <v>15</v>
      </c>
      <c r="B986" s="2">
        <v>1987</v>
      </c>
      <c r="C986" s="2" t="s">
        <v>43</v>
      </c>
      <c r="G986" s="3"/>
      <c r="H986" s="3" t="e">
        <v>#N/A</v>
      </c>
      <c r="I986" s="3" t="e">
        <f t="shared" si="143"/>
        <v>#N/A</v>
      </c>
      <c r="J986" s="3" t="e">
        <v>#N/A</v>
      </c>
      <c r="K986" s="3">
        <v>34.697000000000003</v>
      </c>
      <c r="L986" s="3"/>
      <c r="M986" s="3"/>
      <c r="N986" s="3"/>
      <c r="Q986" s="4" t="s">
        <v>101</v>
      </c>
      <c r="R986" s="2" t="s">
        <v>17</v>
      </c>
      <c r="S986" s="2" t="s">
        <v>17</v>
      </c>
    </row>
    <row r="987" spans="1:19" ht="14.25" customHeight="1">
      <c r="A987" s="2" t="s">
        <v>15</v>
      </c>
      <c r="B987" s="2">
        <v>1988</v>
      </c>
      <c r="C987" s="2" t="s">
        <v>43</v>
      </c>
      <c r="G987" s="3"/>
      <c r="H987" s="3" t="e">
        <v>#N/A</v>
      </c>
      <c r="I987" s="3" t="e">
        <f t="shared" si="143"/>
        <v>#N/A</v>
      </c>
      <c r="J987" s="3" t="e">
        <v>#N/A</v>
      </c>
      <c r="K987" s="3">
        <v>47.619</v>
      </c>
      <c r="L987" s="3"/>
      <c r="M987" s="3"/>
      <c r="N987" s="3"/>
      <c r="Q987" s="4" t="s">
        <v>101</v>
      </c>
      <c r="R987" s="2" t="s">
        <v>17</v>
      </c>
      <c r="S987" s="2" t="s">
        <v>17</v>
      </c>
    </row>
    <row r="988" spans="1:19" ht="14.25" customHeight="1">
      <c r="A988" s="2" t="s">
        <v>15</v>
      </c>
      <c r="B988" s="2">
        <v>1989</v>
      </c>
      <c r="C988" s="2" t="s">
        <v>43</v>
      </c>
      <c r="G988" s="3"/>
      <c r="H988" s="3" t="e">
        <v>#N/A</v>
      </c>
      <c r="I988" s="3" t="e">
        <f t="shared" si="143"/>
        <v>#N/A</v>
      </c>
      <c r="J988" s="3" t="e">
        <v>#N/A</v>
      </c>
      <c r="K988" s="3">
        <v>66.063000000000002</v>
      </c>
      <c r="L988" s="3"/>
      <c r="M988" s="3"/>
      <c r="N988" s="3"/>
      <c r="Q988" s="4" t="s">
        <v>101</v>
      </c>
      <c r="R988" s="2" t="s">
        <v>17</v>
      </c>
      <c r="S988" s="2" t="s">
        <v>17</v>
      </c>
    </row>
    <row r="989" spans="1:19" ht="14.25" customHeight="1">
      <c r="A989" s="2" t="s">
        <v>15</v>
      </c>
      <c r="B989" s="2">
        <v>1990</v>
      </c>
      <c r="C989" s="2" t="s">
        <v>43</v>
      </c>
      <c r="G989" s="3"/>
      <c r="H989" s="3" t="e">
        <v>#N/A</v>
      </c>
      <c r="I989" s="3" t="e">
        <f t="shared" si="143"/>
        <v>#N/A</v>
      </c>
      <c r="J989" s="3" t="e">
        <v>#N/A</v>
      </c>
      <c r="K989" s="3">
        <v>48.948</v>
      </c>
      <c r="L989" s="3"/>
      <c r="M989" s="3"/>
      <c r="N989" s="3"/>
      <c r="Q989" s="4" t="s">
        <v>101</v>
      </c>
      <c r="R989" s="2" t="s">
        <v>17</v>
      </c>
      <c r="S989" s="2" t="s">
        <v>17</v>
      </c>
    </row>
    <row r="990" spans="1:19" ht="14.25" customHeight="1">
      <c r="A990" s="2" t="s">
        <v>15</v>
      </c>
      <c r="B990" s="2">
        <v>1991</v>
      </c>
      <c r="C990" s="2" t="s">
        <v>43</v>
      </c>
      <c r="H990" s="3" t="e">
        <v>#N/A</v>
      </c>
      <c r="I990" s="3" t="e">
        <f t="shared" si="143"/>
        <v>#N/A</v>
      </c>
      <c r="J990" s="3">
        <v>1.6339999999999999</v>
      </c>
      <c r="K990" s="3">
        <v>71.584000000000003</v>
      </c>
      <c r="L990" s="3"/>
      <c r="M990" s="3"/>
      <c r="N990" s="3"/>
      <c r="Q990" s="4" t="s">
        <v>101</v>
      </c>
      <c r="R990" s="2" t="s">
        <v>17</v>
      </c>
      <c r="S990" s="2" t="s">
        <v>17</v>
      </c>
    </row>
    <row r="991" spans="1:19" ht="14.25" customHeight="1">
      <c r="A991" s="2" t="s">
        <v>15</v>
      </c>
      <c r="B991" s="2">
        <v>1992</v>
      </c>
      <c r="C991" s="2" t="s">
        <v>43</v>
      </c>
      <c r="H991" s="3" t="e">
        <v>#N/A</v>
      </c>
      <c r="I991" s="3" t="e">
        <f t="shared" si="143"/>
        <v>#N/A</v>
      </c>
      <c r="J991" s="3">
        <v>1.363</v>
      </c>
      <c r="K991" s="3">
        <v>72.372</v>
      </c>
      <c r="L991" s="3"/>
      <c r="M991" s="3"/>
      <c r="N991" s="3"/>
      <c r="Q991" s="4" t="s">
        <v>101</v>
      </c>
      <c r="R991" s="2" t="s">
        <v>17</v>
      </c>
      <c r="S991" s="2" t="s">
        <v>17</v>
      </c>
    </row>
    <row r="992" spans="1:19" ht="14.25" customHeight="1">
      <c r="A992" s="2" t="s">
        <v>15</v>
      </c>
      <c r="B992" s="2">
        <v>1993</v>
      </c>
      <c r="C992" s="2" t="s">
        <v>43</v>
      </c>
      <c r="H992" s="3" t="e">
        <v>#N/A</v>
      </c>
      <c r="I992" s="3" t="e">
        <f t="shared" si="143"/>
        <v>#N/A</v>
      </c>
      <c r="J992" s="3">
        <v>1.802</v>
      </c>
      <c r="K992" s="3">
        <v>48.005000000000003</v>
      </c>
      <c r="L992" s="3"/>
      <c r="M992" s="3"/>
      <c r="N992" s="3"/>
      <c r="Q992" s="4" t="s">
        <v>101</v>
      </c>
      <c r="R992" s="2" t="s">
        <v>17</v>
      </c>
      <c r="S992" s="2" t="s">
        <v>17</v>
      </c>
    </row>
    <row r="993" spans="1:19" ht="14.25" customHeight="1">
      <c r="A993" s="2" t="s">
        <v>15</v>
      </c>
      <c r="B993" s="2">
        <v>1994</v>
      </c>
      <c r="C993" s="2" t="s">
        <v>43</v>
      </c>
      <c r="H993" s="3" t="e">
        <v>#N/A</v>
      </c>
      <c r="I993" s="3" t="e">
        <f t="shared" si="143"/>
        <v>#N/A</v>
      </c>
      <c r="J993" s="3">
        <v>3.15</v>
      </c>
      <c r="K993" s="3">
        <v>63.320999999999998</v>
      </c>
      <c r="L993" s="3"/>
      <c r="M993" s="3"/>
      <c r="N993" s="3"/>
      <c r="Q993" s="4" t="s">
        <v>101</v>
      </c>
      <c r="R993" s="2" t="s">
        <v>17</v>
      </c>
      <c r="S993" s="2" t="s">
        <v>17</v>
      </c>
    </row>
    <row r="994" spans="1:19" ht="14.25" customHeight="1">
      <c r="A994" s="2" t="s">
        <v>15</v>
      </c>
      <c r="B994" s="2">
        <v>1995</v>
      </c>
      <c r="C994" s="2" t="s">
        <v>43</v>
      </c>
      <c r="H994" s="3" t="e">
        <v>#N/A</v>
      </c>
      <c r="I994" s="3" t="e">
        <f t="shared" si="143"/>
        <v>#N/A</v>
      </c>
      <c r="J994" s="3">
        <v>2.7189999999999999</v>
      </c>
      <c r="K994" s="3">
        <v>87.418000000000006</v>
      </c>
      <c r="L994" s="3"/>
      <c r="M994" s="3"/>
      <c r="N994" s="3"/>
      <c r="Q994" s="4" t="s">
        <v>101</v>
      </c>
      <c r="R994" s="2" t="s">
        <v>17</v>
      </c>
      <c r="S994" s="2" t="s">
        <v>17</v>
      </c>
    </row>
    <row r="995" spans="1:19" ht="14.25" customHeight="1">
      <c r="A995" s="2" t="s">
        <v>15</v>
      </c>
      <c r="B995" s="2">
        <v>1996</v>
      </c>
      <c r="C995" s="2" t="s">
        <v>43</v>
      </c>
      <c r="H995" s="3" t="e">
        <v>#N/A</v>
      </c>
      <c r="I995" s="3" t="e">
        <f t="shared" si="143"/>
        <v>#N/A</v>
      </c>
      <c r="J995" s="3">
        <v>2.92</v>
      </c>
      <c r="K995" s="3">
        <v>91.659000000000006</v>
      </c>
      <c r="L995" s="3"/>
      <c r="M995" s="3"/>
      <c r="N995" s="3"/>
      <c r="Q995" s="4" t="s">
        <v>101</v>
      </c>
      <c r="R995" s="2" t="s">
        <v>17</v>
      </c>
      <c r="S995" s="2" t="s">
        <v>17</v>
      </c>
    </row>
    <row r="996" spans="1:19" ht="14.25" customHeight="1">
      <c r="A996" s="2" t="s">
        <v>15</v>
      </c>
      <c r="B996" s="2">
        <v>1997</v>
      </c>
      <c r="C996" s="2" t="s">
        <v>43</v>
      </c>
      <c r="H996" s="3" t="e">
        <v>#N/A</v>
      </c>
      <c r="I996" s="3" t="e">
        <f t="shared" si="143"/>
        <v>#N/A</v>
      </c>
      <c r="J996" s="3">
        <v>2.403</v>
      </c>
      <c r="K996" s="3">
        <v>74.918000000000006</v>
      </c>
      <c r="L996" s="3"/>
      <c r="M996" s="3"/>
      <c r="N996" s="3"/>
      <c r="Q996" s="4" t="s">
        <v>101</v>
      </c>
      <c r="R996" s="2" t="s">
        <v>17</v>
      </c>
      <c r="S996" s="2" t="s">
        <v>17</v>
      </c>
    </row>
    <row r="997" spans="1:19" ht="14.25" customHeight="1">
      <c r="A997" s="2" t="s">
        <v>15</v>
      </c>
      <c r="B997" s="2">
        <v>1998</v>
      </c>
      <c r="C997" s="2" t="s">
        <v>43</v>
      </c>
      <c r="H997" s="3" t="e">
        <v>#N/A</v>
      </c>
      <c r="I997" s="3" t="e">
        <f t="shared" si="143"/>
        <v>#N/A</v>
      </c>
      <c r="J997" s="3">
        <v>16.503</v>
      </c>
      <c r="K997" s="3">
        <v>85.941000000000003</v>
      </c>
      <c r="L997" s="3"/>
      <c r="M997" s="3"/>
      <c r="N997" s="3"/>
      <c r="Q997" s="4" t="s">
        <v>101</v>
      </c>
      <c r="R997" s="2" t="s">
        <v>17</v>
      </c>
      <c r="S997" s="2" t="s">
        <v>17</v>
      </c>
    </row>
    <row r="998" spans="1:19" ht="14.25" customHeight="1">
      <c r="A998" s="2" t="s">
        <v>15</v>
      </c>
      <c r="B998" s="2">
        <v>1999</v>
      </c>
      <c r="C998" s="2" t="s">
        <v>43</v>
      </c>
      <c r="H998" s="3" t="e">
        <v>#N/A</v>
      </c>
      <c r="I998" s="3" t="e">
        <f t="shared" si="143"/>
        <v>#N/A</v>
      </c>
      <c r="J998" s="3">
        <v>8.2010000000000005</v>
      </c>
      <c r="K998" s="3">
        <v>92.042000000000002</v>
      </c>
      <c r="L998" s="3"/>
      <c r="M998" s="3"/>
      <c r="N998" s="3"/>
      <c r="Q998" s="4" t="s">
        <v>101</v>
      </c>
      <c r="R998" s="2" t="s">
        <v>17</v>
      </c>
      <c r="S998" s="2" t="s">
        <v>17</v>
      </c>
    </row>
    <row r="999" spans="1:19" ht="14.25" customHeight="1">
      <c r="A999" s="2" t="s">
        <v>15</v>
      </c>
      <c r="B999" s="2">
        <v>2000</v>
      </c>
      <c r="C999" s="2" t="s">
        <v>43</v>
      </c>
      <c r="H999" s="3" t="e">
        <v>#N/A</v>
      </c>
      <c r="I999" s="3" t="e">
        <f t="shared" si="143"/>
        <v>#N/A</v>
      </c>
      <c r="J999" s="3">
        <v>2.15</v>
      </c>
      <c r="K999" s="3">
        <v>81.411000000000001</v>
      </c>
      <c r="L999" s="3"/>
      <c r="M999" s="3"/>
      <c r="N999" s="3"/>
      <c r="Q999" s="4" t="s">
        <v>101</v>
      </c>
      <c r="R999" s="2" t="s">
        <v>17</v>
      </c>
      <c r="S999" s="2" t="s">
        <v>17</v>
      </c>
    </row>
    <row r="1000" spans="1:19" ht="14.25" customHeight="1">
      <c r="A1000" s="2" t="s">
        <v>15</v>
      </c>
      <c r="B1000" s="2">
        <v>2001</v>
      </c>
      <c r="C1000" s="2" t="s">
        <v>43</v>
      </c>
      <c r="H1000" s="3" t="e">
        <v>#N/A</v>
      </c>
      <c r="I1000" s="3" t="e">
        <f t="shared" si="143"/>
        <v>#N/A</v>
      </c>
      <c r="J1000" s="3">
        <v>2.806</v>
      </c>
      <c r="K1000" s="3">
        <v>101.22499999999999</v>
      </c>
      <c r="L1000" s="3"/>
      <c r="M1000" s="3"/>
      <c r="N1000" s="3"/>
      <c r="Q1000" s="4" t="s">
        <v>101</v>
      </c>
      <c r="R1000" s="2" t="s">
        <v>17</v>
      </c>
      <c r="S1000" s="2" t="s">
        <v>17</v>
      </c>
    </row>
    <row r="1001" spans="1:19" ht="14.25" customHeight="1">
      <c r="A1001" s="2" t="s">
        <v>15</v>
      </c>
      <c r="B1001" s="2">
        <v>2002</v>
      </c>
      <c r="C1001" s="2" t="s">
        <v>43</v>
      </c>
      <c r="H1001" s="3" t="e">
        <v>#N/A</v>
      </c>
      <c r="I1001" s="3" t="e">
        <f t="shared" si="143"/>
        <v>#N/A</v>
      </c>
      <c r="J1001" s="3">
        <v>3.5059999999999998</v>
      </c>
      <c r="K1001" s="3">
        <v>112.401</v>
      </c>
      <c r="L1001" s="3"/>
      <c r="M1001" s="3"/>
      <c r="N1001" s="3"/>
      <c r="Q1001" s="4" t="s">
        <v>101</v>
      </c>
      <c r="R1001" s="2" t="s">
        <v>17</v>
      </c>
      <c r="S1001" s="2" t="s">
        <v>17</v>
      </c>
    </row>
    <row r="1002" spans="1:19" ht="14.25" customHeight="1">
      <c r="A1002" s="2" t="s">
        <v>15</v>
      </c>
      <c r="B1002" s="2">
        <v>2003</v>
      </c>
      <c r="C1002" s="2" t="s">
        <v>43</v>
      </c>
      <c r="H1002" s="2" t="s">
        <v>17</v>
      </c>
      <c r="I1002" s="3" t="str">
        <f t="shared" si="143"/>
        <v>NA</v>
      </c>
      <c r="J1002" s="2">
        <v>3.2</v>
      </c>
      <c r="K1002" s="2">
        <v>109.1</v>
      </c>
      <c r="M1002" s="3"/>
      <c r="N1002" s="3"/>
      <c r="Q1002" s="4" t="s">
        <v>101</v>
      </c>
      <c r="R1002" s="2" t="s">
        <v>17</v>
      </c>
      <c r="S1002" s="2" t="s">
        <v>17</v>
      </c>
    </row>
    <row r="1003" spans="1:19" ht="14.25" customHeight="1">
      <c r="A1003" s="2" t="s">
        <v>15</v>
      </c>
      <c r="B1003" s="2">
        <v>2004</v>
      </c>
      <c r="C1003" s="2" t="s">
        <v>43</v>
      </c>
      <c r="H1003" s="2" t="s">
        <v>17</v>
      </c>
      <c r="I1003" s="3" t="str">
        <f t="shared" si="143"/>
        <v>NA</v>
      </c>
      <c r="J1003" s="2">
        <v>3.2</v>
      </c>
      <c r="K1003" s="2">
        <v>107.5</v>
      </c>
      <c r="M1003" s="3"/>
      <c r="N1003" s="3"/>
      <c r="Q1003" s="4" t="s">
        <v>101</v>
      </c>
      <c r="R1003" s="2" t="s">
        <v>17</v>
      </c>
      <c r="S1003" s="2" t="s">
        <v>17</v>
      </c>
    </row>
    <row r="1004" spans="1:19" ht="14.25" customHeight="1">
      <c r="A1004" s="2" t="s">
        <v>15</v>
      </c>
      <c r="B1004" s="2">
        <v>2005</v>
      </c>
      <c r="C1004" s="2" t="s">
        <v>43</v>
      </c>
      <c r="H1004" s="2" t="s">
        <v>17</v>
      </c>
      <c r="I1004" s="3" t="str">
        <f t="shared" si="143"/>
        <v>NA</v>
      </c>
      <c r="J1004" s="2">
        <v>3.6</v>
      </c>
      <c r="K1004" s="2">
        <v>103.2</v>
      </c>
      <c r="M1004" s="3"/>
      <c r="N1004" s="3"/>
      <c r="Q1004" s="4" t="s">
        <v>101</v>
      </c>
      <c r="R1004" s="2" t="s">
        <v>17</v>
      </c>
      <c r="S1004" s="2" t="s">
        <v>17</v>
      </c>
    </row>
    <row r="1005" spans="1:19" ht="14.25" customHeight="1">
      <c r="A1005" s="2" t="s">
        <v>15</v>
      </c>
      <c r="B1005" s="2">
        <v>2006</v>
      </c>
      <c r="C1005" s="2" t="s">
        <v>43</v>
      </c>
      <c r="H1005" s="2" t="s">
        <v>17</v>
      </c>
      <c r="I1005" s="3" t="str">
        <f t="shared" si="143"/>
        <v>NA</v>
      </c>
      <c r="J1005" s="2">
        <v>2</v>
      </c>
      <c r="K1005" s="2">
        <v>101.4</v>
      </c>
      <c r="M1005" s="3"/>
      <c r="N1005" s="3"/>
      <c r="Q1005" s="4" t="s">
        <v>101</v>
      </c>
      <c r="R1005" s="2" t="s">
        <v>17</v>
      </c>
      <c r="S1005" s="2" t="s">
        <v>17</v>
      </c>
    </row>
    <row r="1006" spans="1:19" ht="14.25" customHeight="1">
      <c r="A1006" s="2" t="s">
        <v>15</v>
      </c>
      <c r="B1006" s="2">
        <v>2007</v>
      </c>
      <c r="C1006" s="2" t="s">
        <v>43</v>
      </c>
      <c r="H1006" s="2" t="s">
        <v>17</v>
      </c>
      <c r="I1006" s="3" t="str">
        <f t="shared" si="143"/>
        <v>NA</v>
      </c>
      <c r="J1006" s="2">
        <v>4.0999999999999996</v>
      </c>
      <c r="K1006" s="2">
        <v>101.6</v>
      </c>
      <c r="M1006" s="3"/>
      <c r="N1006" s="3"/>
      <c r="Q1006" s="4" t="s">
        <v>101</v>
      </c>
      <c r="R1006" s="2" t="s">
        <v>17</v>
      </c>
      <c r="S1006" s="2" t="s">
        <v>17</v>
      </c>
    </row>
    <row r="1007" spans="1:19" ht="14.25" customHeight="1">
      <c r="A1007" s="2" t="s">
        <v>15</v>
      </c>
      <c r="B1007" s="2">
        <v>2008</v>
      </c>
      <c r="C1007" s="2" t="s">
        <v>43</v>
      </c>
      <c r="H1007" s="2" t="s">
        <v>17</v>
      </c>
      <c r="I1007" s="3" t="str">
        <f t="shared" si="143"/>
        <v>NA</v>
      </c>
      <c r="J1007" s="2">
        <v>4.4000000000000004</v>
      </c>
      <c r="K1007" s="2">
        <v>111.2</v>
      </c>
      <c r="M1007" s="3"/>
      <c r="N1007" s="3"/>
      <c r="Q1007" s="4" t="s">
        <v>101</v>
      </c>
      <c r="R1007" s="2" t="s">
        <v>17</v>
      </c>
      <c r="S1007" s="2" t="s">
        <v>17</v>
      </c>
    </row>
    <row r="1008" spans="1:19" ht="14.25" customHeight="1">
      <c r="A1008" s="2" t="s">
        <v>15</v>
      </c>
      <c r="B1008" s="2">
        <v>2009</v>
      </c>
      <c r="C1008" s="2" t="s">
        <v>43</v>
      </c>
      <c r="H1008" s="2" t="s">
        <v>17</v>
      </c>
      <c r="I1008" s="3" t="str">
        <f t="shared" si="143"/>
        <v>NA</v>
      </c>
      <c r="J1008" s="2">
        <v>6.7</v>
      </c>
      <c r="K1008" s="2">
        <v>97.7</v>
      </c>
      <c r="M1008" s="3"/>
      <c r="N1008" s="3"/>
      <c r="Q1008" s="4" t="s">
        <v>101</v>
      </c>
      <c r="R1008" s="2" t="s">
        <v>17</v>
      </c>
      <c r="S1008" s="2" t="s">
        <v>17</v>
      </c>
    </row>
    <row r="1009" spans="1:20" ht="14.25" customHeight="1">
      <c r="A1009" s="2" t="s">
        <v>15</v>
      </c>
      <c r="B1009" s="2">
        <v>2010</v>
      </c>
      <c r="C1009" s="2" t="s">
        <v>43</v>
      </c>
      <c r="H1009" s="2" t="s">
        <v>17</v>
      </c>
      <c r="I1009" s="3" t="str">
        <f t="shared" si="143"/>
        <v>NA</v>
      </c>
      <c r="J1009" s="2">
        <v>4.5999999999999996</v>
      </c>
      <c r="K1009" s="2">
        <v>91.5</v>
      </c>
      <c r="M1009" s="3"/>
      <c r="N1009" s="3"/>
      <c r="Q1009" s="4" t="s">
        <v>101</v>
      </c>
      <c r="R1009" s="2" t="s">
        <v>17</v>
      </c>
      <c r="S1009" s="2" t="s">
        <v>17</v>
      </c>
    </row>
    <row r="1010" spans="1:20" ht="14.25" customHeight="1">
      <c r="A1010" s="2" t="s">
        <v>15</v>
      </c>
      <c r="B1010" s="2">
        <v>2011</v>
      </c>
      <c r="C1010" s="2" t="s">
        <v>43</v>
      </c>
      <c r="H1010" s="2" t="s">
        <v>17</v>
      </c>
      <c r="I1010" s="3" t="str">
        <f t="shared" si="143"/>
        <v>NA</v>
      </c>
      <c r="J1010" s="2">
        <v>3.2</v>
      </c>
      <c r="K1010" s="2">
        <v>98</v>
      </c>
      <c r="M1010" s="3"/>
      <c r="N1010" s="3"/>
      <c r="Q1010" s="4" t="s">
        <v>101</v>
      </c>
      <c r="R1010" s="2" t="s">
        <v>17</v>
      </c>
      <c r="S1010" s="2" t="s">
        <v>17</v>
      </c>
    </row>
    <row r="1011" spans="1:20" ht="14.25" customHeight="1">
      <c r="A1011" s="2" t="s">
        <v>15</v>
      </c>
      <c r="B1011" s="2">
        <v>2012</v>
      </c>
      <c r="C1011" s="2" t="s">
        <v>43</v>
      </c>
      <c r="H1011" s="2" t="s">
        <v>17</v>
      </c>
      <c r="I1011" s="3" t="str">
        <f t="shared" si="143"/>
        <v>NA</v>
      </c>
      <c r="J1011" s="2">
        <v>6.7</v>
      </c>
      <c r="K1011" s="2">
        <v>89.7</v>
      </c>
      <c r="M1011" s="3"/>
      <c r="N1011" s="3"/>
      <c r="Q1011" s="4" t="s">
        <v>101</v>
      </c>
      <c r="R1011" s="2" t="s">
        <v>17</v>
      </c>
      <c r="S1011" s="2" t="s">
        <v>17</v>
      </c>
    </row>
    <row r="1012" spans="1:20" ht="14.25" customHeight="1">
      <c r="A1012" s="2" t="s">
        <v>15</v>
      </c>
      <c r="B1012" s="2">
        <v>2013</v>
      </c>
      <c r="C1012" s="2" t="s">
        <v>43</v>
      </c>
      <c r="H1012" s="2" t="s">
        <v>17</v>
      </c>
      <c r="I1012" s="3" t="str">
        <f t="shared" si="143"/>
        <v>NA</v>
      </c>
      <c r="J1012" s="2">
        <v>5.4</v>
      </c>
      <c r="K1012" s="2">
        <v>97</v>
      </c>
      <c r="M1012" s="3"/>
      <c r="N1012" s="3"/>
      <c r="Q1012" s="4" t="s">
        <v>101</v>
      </c>
      <c r="R1012" s="2" t="s">
        <v>17</v>
      </c>
      <c r="S1012" s="2" t="s">
        <v>17</v>
      </c>
    </row>
    <row r="1013" spans="1:20" ht="14.25" customHeight="1">
      <c r="A1013" s="2" t="s">
        <v>15</v>
      </c>
      <c r="B1013" s="2">
        <v>2014</v>
      </c>
      <c r="C1013" s="2" t="s">
        <v>43</v>
      </c>
      <c r="H1013" s="2" t="s">
        <v>17</v>
      </c>
      <c r="I1013" s="3" t="str">
        <f t="shared" si="143"/>
        <v>NA</v>
      </c>
      <c r="J1013" s="2">
        <v>4.9000000000000004</v>
      </c>
      <c r="K1013" s="2">
        <v>91.8</v>
      </c>
      <c r="M1013" s="3"/>
      <c r="N1013" s="3"/>
      <c r="Q1013" s="4" t="s">
        <v>101</v>
      </c>
      <c r="R1013" s="2" t="s">
        <v>17</v>
      </c>
      <c r="S1013" s="2" t="s">
        <v>17</v>
      </c>
    </row>
    <row r="1014" spans="1:20" ht="14.25" customHeight="1">
      <c r="A1014" s="2" t="s">
        <v>15</v>
      </c>
      <c r="B1014" s="2">
        <v>2015</v>
      </c>
      <c r="C1014" s="2" t="s">
        <v>43</v>
      </c>
      <c r="H1014" s="2" t="s">
        <v>17</v>
      </c>
      <c r="I1014" s="3" t="str">
        <f t="shared" si="143"/>
        <v>NA</v>
      </c>
      <c r="J1014" s="2">
        <v>5.3</v>
      </c>
      <c r="K1014" s="2">
        <v>119</v>
      </c>
      <c r="M1014" s="3"/>
      <c r="N1014" s="3"/>
      <c r="Q1014" s="4" t="s">
        <v>101</v>
      </c>
      <c r="R1014" s="2" t="s">
        <v>17</v>
      </c>
      <c r="S1014" s="2" t="s">
        <v>17</v>
      </c>
    </row>
    <row r="1015" spans="1:20" ht="14.25" customHeight="1">
      <c r="A1015" s="2" t="s">
        <v>15</v>
      </c>
      <c r="B1015" s="2">
        <v>2016</v>
      </c>
      <c r="C1015" s="2" t="s">
        <v>43</v>
      </c>
      <c r="H1015" s="2" t="s">
        <v>17</v>
      </c>
      <c r="I1015" s="3" t="str">
        <f t="shared" si="143"/>
        <v>NA</v>
      </c>
      <c r="J1015" s="2">
        <v>5.9</v>
      </c>
      <c r="K1015" s="2">
        <v>122.7</v>
      </c>
      <c r="M1015" s="3"/>
      <c r="N1015" s="3"/>
      <c r="Q1015" s="4" t="s">
        <v>101</v>
      </c>
      <c r="R1015" s="2" t="s">
        <v>17</v>
      </c>
      <c r="S1015" s="2" t="s">
        <v>17</v>
      </c>
    </row>
    <row r="1016" spans="1:20" ht="14.25" customHeight="1">
      <c r="A1016" s="2" t="s">
        <v>15</v>
      </c>
      <c r="B1016" s="2">
        <v>2017</v>
      </c>
      <c r="C1016" s="2" t="s">
        <v>43</v>
      </c>
      <c r="H1016" s="2" t="s">
        <v>17</v>
      </c>
      <c r="I1016" s="3" t="str">
        <f t="shared" si="143"/>
        <v>NA</v>
      </c>
      <c r="J1016" s="2">
        <v>4.8</v>
      </c>
      <c r="K1016" s="2">
        <v>114.1</v>
      </c>
      <c r="M1016" s="3"/>
      <c r="N1016" s="3"/>
      <c r="Q1016" s="4" t="s">
        <v>101</v>
      </c>
      <c r="R1016" s="2" t="s">
        <v>17</v>
      </c>
      <c r="S1016" s="2" t="s">
        <v>17</v>
      </c>
    </row>
    <row r="1017" spans="1:20" ht="14.25" customHeight="1">
      <c r="A1017" s="2" t="s">
        <v>15</v>
      </c>
      <c r="B1017" s="2">
        <v>2018</v>
      </c>
      <c r="C1017" s="2" t="s">
        <v>43</v>
      </c>
      <c r="H1017" s="2" t="s">
        <v>17</v>
      </c>
      <c r="I1017" s="3" t="str">
        <f t="shared" si="143"/>
        <v>NA</v>
      </c>
      <c r="J1017" s="2">
        <v>8.1999999999999993</v>
      </c>
      <c r="K1017" s="2">
        <v>109.5</v>
      </c>
      <c r="M1017" s="3"/>
      <c r="N1017" s="3"/>
      <c r="Q1017" s="4" t="s">
        <v>101</v>
      </c>
      <c r="R1017" s="2" t="s">
        <v>17</v>
      </c>
      <c r="S1017" s="2" t="s">
        <v>17</v>
      </c>
    </row>
    <row r="1018" spans="1:20" ht="14.25" customHeight="1">
      <c r="A1018" s="2" t="s">
        <v>15</v>
      </c>
      <c r="B1018" s="2">
        <v>2019</v>
      </c>
      <c r="C1018" s="2" t="s">
        <v>43</v>
      </c>
      <c r="H1018" s="2" t="s">
        <v>17</v>
      </c>
      <c r="I1018" s="3" t="str">
        <f t="shared" si="143"/>
        <v>NA</v>
      </c>
      <c r="J1018" s="2">
        <v>4.8464200000000002</v>
      </c>
      <c r="K1018" s="2">
        <v>110.56885699999999</v>
      </c>
      <c r="M1018" s="3"/>
      <c r="N1018" s="3"/>
      <c r="Q1018" s="4" t="s">
        <v>101</v>
      </c>
      <c r="R1018" s="2" t="s">
        <v>17</v>
      </c>
      <c r="S1018" s="2" t="s">
        <v>17</v>
      </c>
    </row>
    <row r="1019" spans="1:20" ht="14.25" customHeight="1">
      <c r="A1019" s="2" t="s">
        <v>15</v>
      </c>
      <c r="B1019" s="2">
        <v>2020</v>
      </c>
      <c r="C1019" s="2" t="s">
        <v>43</v>
      </c>
      <c r="H1019" s="2" t="s">
        <v>17</v>
      </c>
      <c r="I1019" s="3" t="str">
        <f t="shared" si="143"/>
        <v>NA</v>
      </c>
      <c r="J1019" s="2">
        <v>4.9376629999999997</v>
      </c>
      <c r="K1019" s="2">
        <v>105.575129</v>
      </c>
      <c r="M1019" s="3"/>
      <c r="N1019" s="3"/>
      <c r="Q1019" s="4" t="s">
        <v>101</v>
      </c>
      <c r="R1019" s="2" t="s">
        <v>17</v>
      </c>
      <c r="S1019" s="2" t="s">
        <v>17</v>
      </c>
    </row>
    <row r="1020" spans="1:20" ht="14.25" customHeight="1">
      <c r="A1020" s="4" t="s">
        <v>15</v>
      </c>
      <c r="B1020" s="4">
        <v>1962</v>
      </c>
      <c r="C1020" s="2" t="s">
        <v>37</v>
      </c>
      <c r="H1020" s="2">
        <v>798.5165616744564</v>
      </c>
      <c r="I1020" s="3">
        <f t="shared" si="143"/>
        <v>798.5165616744564</v>
      </c>
      <c r="L1020" s="2">
        <v>3.1049375510680523E-2</v>
      </c>
      <c r="M1020" s="3"/>
      <c r="N1020" s="3"/>
      <c r="Q1020" s="4" t="s">
        <v>99</v>
      </c>
      <c r="R1020" s="2" t="s">
        <v>17</v>
      </c>
      <c r="S1020" s="2">
        <f t="shared" ref="S1020:S1139" si="144">I1020*0.49</f>
        <v>391.27311522048365</v>
      </c>
      <c r="T1020" s="2">
        <f t="shared" ref="T1020:T1077" si="145">L1020*0.49</f>
        <v>1.5214194000233456E-2</v>
      </c>
    </row>
    <row r="1021" spans="1:20" ht="14.25" customHeight="1">
      <c r="A1021" s="4" t="s">
        <v>15</v>
      </c>
      <c r="B1021" s="4">
        <v>1963</v>
      </c>
      <c r="C1021" s="2" t="s">
        <v>37</v>
      </c>
      <c r="H1021" s="2">
        <v>823.76549481812629</v>
      </c>
      <c r="I1021" s="3">
        <f t="shared" si="143"/>
        <v>823.76549481812629</v>
      </c>
      <c r="L1021" s="2">
        <v>3.1049375510680523E-2</v>
      </c>
      <c r="M1021" s="3"/>
      <c r="N1021" s="3"/>
      <c r="Q1021" s="4" t="s">
        <v>99</v>
      </c>
      <c r="R1021" s="2" t="s">
        <v>17</v>
      </c>
      <c r="S1021" s="2">
        <f t="shared" si="144"/>
        <v>403.64509246088187</v>
      </c>
      <c r="T1021" s="2">
        <f t="shared" si="145"/>
        <v>1.5214194000233456E-2</v>
      </c>
    </row>
    <row r="1022" spans="1:20" ht="14.25" customHeight="1">
      <c r="A1022" s="4" t="s">
        <v>15</v>
      </c>
      <c r="B1022" s="4">
        <v>1964</v>
      </c>
      <c r="C1022" s="2" t="s">
        <v>37</v>
      </c>
      <c r="H1022" s="2">
        <v>830.16663279821171</v>
      </c>
      <c r="I1022" s="3">
        <f t="shared" si="143"/>
        <v>830.16663279821171</v>
      </c>
      <c r="L1022" s="2">
        <v>8.8712501459087212E-2</v>
      </c>
      <c r="M1022" s="3"/>
      <c r="N1022" s="3"/>
      <c r="Q1022" s="4" t="s">
        <v>99</v>
      </c>
      <c r="R1022" s="2" t="s">
        <v>17</v>
      </c>
      <c r="S1022" s="2">
        <f t="shared" si="144"/>
        <v>406.78165007112375</v>
      </c>
      <c r="T1022" s="2">
        <f t="shared" si="145"/>
        <v>4.3469125714952733E-2</v>
      </c>
    </row>
    <row r="1023" spans="1:20" ht="14.25" customHeight="1">
      <c r="A1023" s="2" t="s">
        <v>15</v>
      </c>
      <c r="B1023" s="2">
        <v>1965</v>
      </c>
      <c r="C1023" s="2" t="s">
        <v>37</v>
      </c>
      <c r="G1023" s="3"/>
      <c r="H1023" s="3">
        <v>898.44543791912213</v>
      </c>
      <c r="I1023" s="3">
        <f t="shared" si="143"/>
        <v>898.44543791912213</v>
      </c>
      <c r="J1023" s="3">
        <v>51.920341394025598</v>
      </c>
      <c r="K1023" s="3">
        <v>203.66795366795367</v>
      </c>
      <c r="L1023" s="3">
        <v>0.1774250029181744</v>
      </c>
      <c r="M1023" s="3"/>
      <c r="N1023" s="3"/>
      <c r="Q1023" s="4" t="s">
        <v>99</v>
      </c>
      <c r="R1023" s="2" t="s">
        <v>17</v>
      </c>
      <c r="S1023" s="2">
        <f t="shared" si="144"/>
        <v>440.23826458036984</v>
      </c>
      <c r="T1023" s="2">
        <f t="shared" si="145"/>
        <v>8.6938251429905453E-2</v>
      </c>
    </row>
    <row r="1024" spans="1:20" ht="14.25" customHeight="1">
      <c r="A1024" s="2" t="s">
        <v>15</v>
      </c>
      <c r="B1024" s="2">
        <v>1966</v>
      </c>
      <c r="C1024" s="2" t="s">
        <v>37</v>
      </c>
      <c r="G1024" s="3"/>
      <c r="H1024" s="3">
        <v>915.92156065840277</v>
      </c>
      <c r="I1024" s="3">
        <f t="shared" si="143"/>
        <v>915.92156065840277</v>
      </c>
      <c r="J1024" s="3">
        <v>75.695996748628318</v>
      </c>
      <c r="K1024" s="3">
        <v>190.10363747205852</v>
      </c>
      <c r="L1024" s="3">
        <v>8.8712501459087212E-2</v>
      </c>
      <c r="M1024" s="3"/>
      <c r="N1024" s="3"/>
      <c r="Q1024" s="4" t="s">
        <v>99</v>
      </c>
      <c r="R1024" s="2" t="s">
        <v>17</v>
      </c>
      <c r="S1024" s="2">
        <f t="shared" si="144"/>
        <v>448.80156472261734</v>
      </c>
      <c r="T1024" s="2">
        <f t="shared" si="145"/>
        <v>4.3469125714952733E-2</v>
      </c>
    </row>
    <row r="1025" spans="1:20" ht="14.25" customHeight="1">
      <c r="A1025" s="2" t="s">
        <v>15</v>
      </c>
      <c r="B1025" s="2">
        <v>1967</v>
      </c>
      <c r="C1025" s="2" t="s">
        <v>37</v>
      </c>
      <c r="G1025" s="3"/>
      <c r="H1025" s="3">
        <v>862.17232269863848</v>
      </c>
      <c r="I1025" s="3">
        <f t="shared" si="143"/>
        <v>862.17232269863848</v>
      </c>
      <c r="J1025" s="3">
        <v>53.088803088803083</v>
      </c>
      <c r="K1025" s="3">
        <v>216.5718349928876</v>
      </c>
      <c r="L1025" s="3">
        <v>8.8712501459087212E-2</v>
      </c>
      <c r="M1025" s="3"/>
      <c r="N1025" s="3"/>
      <c r="Q1025" s="4" t="s">
        <v>99</v>
      </c>
      <c r="R1025" s="2" t="s">
        <v>17</v>
      </c>
      <c r="S1025" s="2">
        <f t="shared" si="144"/>
        <v>422.46443812233287</v>
      </c>
      <c r="T1025" s="2">
        <f t="shared" si="145"/>
        <v>4.3469125714952733E-2</v>
      </c>
    </row>
    <row r="1026" spans="1:20" ht="14.25" customHeight="1">
      <c r="A1026" s="2" t="s">
        <v>15</v>
      </c>
      <c r="B1026" s="2">
        <v>1968</v>
      </c>
      <c r="C1026" s="2" t="s">
        <v>37</v>
      </c>
      <c r="G1026" s="3"/>
      <c r="H1026" s="3">
        <v>870.40235724446245</v>
      </c>
      <c r="I1026" s="3">
        <f t="shared" si="143"/>
        <v>870.40235724446245</v>
      </c>
      <c r="J1026" s="3">
        <v>54.054054054054049</v>
      </c>
      <c r="K1026" s="3">
        <v>226.12273928063399</v>
      </c>
      <c r="L1026" s="3">
        <v>8.8712501459087212E-2</v>
      </c>
      <c r="M1026" s="3"/>
      <c r="N1026" s="3"/>
      <c r="Q1026" s="4" t="s">
        <v>99</v>
      </c>
      <c r="R1026" s="2" t="s">
        <v>17</v>
      </c>
      <c r="S1026" s="2">
        <f t="shared" si="144"/>
        <v>426.49715504978661</v>
      </c>
      <c r="T1026" s="2">
        <f t="shared" si="145"/>
        <v>4.3469125714952733E-2</v>
      </c>
    </row>
    <row r="1027" spans="1:20" ht="14.25" customHeight="1">
      <c r="A1027" s="2" t="s">
        <v>15</v>
      </c>
      <c r="B1027" s="2">
        <v>1969</v>
      </c>
      <c r="C1027" s="2" t="s">
        <v>37</v>
      </c>
      <c r="G1027" s="3"/>
      <c r="H1027" s="3">
        <v>903.42410079252181</v>
      </c>
      <c r="I1027" s="3">
        <f t="shared" si="143"/>
        <v>903.42410079252181</v>
      </c>
      <c r="J1027" s="3">
        <v>74.222718959561064</v>
      </c>
      <c r="K1027" s="3">
        <v>184.4645397276976</v>
      </c>
      <c r="L1027" s="3">
        <v>8.8712501459087212E-2</v>
      </c>
      <c r="M1027" s="3"/>
      <c r="N1027" s="3"/>
      <c r="Q1027" s="4" t="s">
        <v>99</v>
      </c>
      <c r="R1027" s="2" t="s">
        <v>17</v>
      </c>
      <c r="S1027" s="2">
        <f t="shared" si="144"/>
        <v>442.67780938833567</v>
      </c>
      <c r="T1027" s="2">
        <f t="shared" si="145"/>
        <v>4.3469125714952733E-2</v>
      </c>
    </row>
    <row r="1028" spans="1:20" ht="14.25" customHeight="1">
      <c r="A1028" s="2" t="s">
        <v>15</v>
      </c>
      <c r="B1028" s="2">
        <v>1970</v>
      </c>
      <c r="C1028" s="2" t="s">
        <v>37</v>
      </c>
      <c r="G1028" s="3"/>
      <c r="H1028" s="3">
        <v>918.66490550701076</v>
      </c>
      <c r="I1028" s="3">
        <f t="shared" si="143"/>
        <v>918.66490550701076</v>
      </c>
      <c r="J1028" s="3">
        <v>106.17760617760617</v>
      </c>
      <c r="K1028" s="3">
        <v>170.03657793131475</v>
      </c>
      <c r="L1028" s="3">
        <v>0.30517100501925992</v>
      </c>
      <c r="M1028" s="3"/>
      <c r="N1028" s="3"/>
      <c r="Q1028" s="4" t="s">
        <v>99</v>
      </c>
      <c r="R1028" s="2" t="s">
        <v>17</v>
      </c>
      <c r="S1028" s="2">
        <f t="shared" si="144"/>
        <v>450.14580369843526</v>
      </c>
      <c r="T1028" s="2">
        <f t="shared" si="145"/>
        <v>0.14953379245943735</v>
      </c>
    </row>
    <row r="1029" spans="1:20" ht="14.25" customHeight="1">
      <c r="A1029" s="2" t="s">
        <v>15</v>
      </c>
      <c r="B1029" s="2">
        <v>1971</v>
      </c>
      <c r="C1029" s="2" t="s">
        <v>37</v>
      </c>
      <c r="G1029" s="3"/>
      <c r="H1029" s="3">
        <v>921.15423694371054</v>
      </c>
      <c r="I1029" s="3">
        <f t="shared" si="143"/>
        <v>921.15423694371054</v>
      </c>
      <c r="J1029" s="3">
        <v>112.52794147530989</v>
      </c>
      <c r="K1029" s="3">
        <v>159.46961999593577</v>
      </c>
      <c r="L1029" s="3">
        <v>0.36904400606980281</v>
      </c>
      <c r="M1029" s="3"/>
      <c r="N1029" s="3"/>
      <c r="Q1029" s="4" t="s">
        <v>99</v>
      </c>
      <c r="R1029" s="2" t="s">
        <v>17</v>
      </c>
      <c r="S1029" s="2">
        <f t="shared" si="144"/>
        <v>451.36557610241817</v>
      </c>
      <c r="T1029" s="2">
        <f t="shared" si="145"/>
        <v>0.18083156297420339</v>
      </c>
    </row>
    <row r="1030" spans="1:20" ht="14.25" customHeight="1">
      <c r="A1030" s="2" t="s">
        <v>15</v>
      </c>
      <c r="B1030" s="2">
        <v>1972</v>
      </c>
      <c r="C1030" s="2" t="s">
        <v>37</v>
      </c>
      <c r="G1030" s="3"/>
      <c r="H1030" s="3">
        <v>895.54968502336919</v>
      </c>
      <c r="I1030" s="3">
        <f t="shared" si="143"/>
        <v>895.54968502336919</v>
      </c>
      <c r="J1030" s="3">
        <v>111.5118878276773</v>
      </c>
      <c r="K1030" s="3">
        <v>178.57142857142856</v>
      </c>
      <c r="L1030" s="3">
        <v>0.18895762810785574</v>
      </c>
      <c r="M1030" s="3"/>
      <c r="N1030" s="3"/>
      <c r="Q1030" s="4" t="s">
        <v>99</v>
      </c>
      <c r="R1030" s="2" t="s">
        <v>17</v>
      </c>
      <c r="S1030" s="2">
        <f t="shared" si="144"/>
        <v>438.81934566145088</v>
      </c>
      <c r="T1030" s="2">
        <f t="shared" si="145"/>
        <v>9.2589237772849317E-2</v>
      </c>
    </row>
    <row r="1031" spans="1:20" ht="14.25" customHeight="1">
      <c r="A1031" s="2" t="s">
        <v>15</v>
      </c>
      <c r="B1031" s="2">
        <v>1973</v>
      </c>
      <c r="C1031" s="2" t="s">
        <v>37</v>
      </c>
      <c r="G1031" s="3"/>
      <c r="H1031" s="3">
        <v>942.49136354399502</v>
      </c>
      <c r="I1031" s="3">
        <f t="shared" si="143"/>
        <v>942.49136354399502</v>
      </c>
      <c r="J1031" s="3">
        <v>156.77707782970941</v>
      </c>
      <c r="K1031" s="3">
        <v>188.47795163584635</v>
      </c>
      <c r="L1031" s="3">
        <v>0.35573713085093972</v>
      </c>
      <c r="M1031" s="3"/>
      <c r="N1031" s="3"/>
      <c r="Q1031" s="4" t="s">
        <v>99</v>
      </c>
      <c r="R1031" s="2" t="s">
        <v>17</v>
      </c>
      <c r="S1031" s="2">
        <f t="shared" si="144"/>
        <v>461.82076813655755</v>
      </c>
      <c r="T1031" s="2">
        <f t="shared" si="145"/>
        <v>0.17431119411696047</v>
      </c>
    </row>
    <row r="1032" spans="1:20" ht="14.25" customHeight="1">
      <c r="A1032" s="2" t="s">
        <v>15</v>
      </c>
      <c r="B1032" s="2">
        <v>1974</v>
      </c>
      <c r="C1032" s="2" t="s">
        <v>37</v>
      </c>
      <c r="G1032" s="3"/>
      <c r="H1032" s="3">
        <v>906.26905100589306</v>
      </c>
      <c r="I1032" s="3">
        <f t="shared" si="143"/>
        <v>906.26905100589306</v>
      </c>
      <c r="J1032" s="3">
        <v>147.37858158910791</v>
      </c>
      <c r="K1032" s="3">
        <v>172.32269863848811</v>
      </c>
      <c r="L1032" s="3">
        <v>0.492354383097934</v>
      </c>
      <c r="M1032" s="3"/>
      <c r="N1032" s="3"/>
      <c r="Q1032" s="4" t="s">
        <v>99</v>
      </c>
      <c r="R1032" s="2" t="s">
        <v>17</v>
      </c>
      <c r="S1032" s="2">
        <f t="shared" si="144"/>
        <v>444.0718349928876</v>
      </c>
      <c r="T1032" s="2">
        <f t="shared" si="145"/>
        <v>0.24125364771798766</v>
      </c>
    </row>
    <row r="1033" spans="1:20" ht="14.25" customHeight="1">
      <c r="A1033" s="2" t="s">
        <v>15</v>
      </c>
      <c r="B1033" s="2">
        <v>1975</v>
      </c>
      <c r="C1033" s="2" t="s">
        <v>37</v>
      </c>
      <c r="G1033" s="3"/>
      <c r="H1033" s="3">
        <v>801.72400000000005</v>
      </c>
      <c r="I1033" s="3">
        <f t="shared" si="143"/>
        <v>801.72400000000005</v>
      </c>
      <c r="J1033" s="3">
        <v>129.053</v>
      </c>
      <c r="K1033" s="3">
        <v>176.239</v>
      </c>
      <c r="L1033" s="3">
        <v>0.77446013773783129</v>
      </c>
      <c r="M1033" s="3"/>
      <c r="N1033" s="3"/>
      <c r="Q1033" s="4" t="s">
        <v>99</v>
      </c>
      <c r="R1033" s="2" t="s">
        <v>17</v>
      </c>
      <c r="S1033" s="2">
        <f t="shared" si="144"/>
        <v>392.84476000000001</v>
      </c>
      <c r="T1033" s="2">
        <f t="shared" si="145"/>
        <v>0.37948546749153733</v>
      </c>
    </row>
    <row r="1034" spans="1:20" ht="14.25" customHeight="1">
      <c r="A1034" s="2" t="s">
        <v>15</v>
      </c>
      <c r="B1034" s="2">
        <v>1976</v>
      </c>
      <c r="C1034" s="2" t="s">
        <v>37</v>
      </c>
      <c r="G1034" s="3"/>
      <c r="H1034" s="3">
        <v>850.74800000000005</v>
      </c>
      <c r="I1034" s="3">
        <f t="shared" si="143"/>
        <v>850.74800000000005</v>
      </c>
      <c r="J1034" s="3">
        <v>130.72999999999999</v>
      </c>
      <c r="K1034" s="3">
        <v>179.07499999999999</v>
      </c>
      <c r="L1034" s="3">
        <v>0.60679350998015635</v>
      </c>
      <c r="M1034" s="3"/>
      <c r="N1034" s="3"/>
      <c r="Q1034" s="4" t="s">
        <v>101</v>
      </c>
      <c r="R1034" s="2" t="s">
        <v>17</v>
      </c>
      <c r="S1034" s="2">
        <f t="shared" si="144"/>
        <v>416.86652000000004</v>
      </c>
      <c r="T1034" s="2">
        <f t="shared" si="145"/>
        <v>0.2973288198902766</v>
      </c>
    </row>
    <row r="1035" spans="1:20" ht="14.25" customHeight="1">
      <c r="A1035" s="2" t="s">
        <v>15</v>
      </c>
      <c r="B1035" s="2">
        <v>1977</v>
      </c>
      <c r="C1035" s="2" t="s">
        <v>37</v>
      </c>
      <c r="G1035" s="3"/>
      <c r="H1035" s="3">
        <v>838.69600000000003</v>
      </c>
      <c r="I1035" s="3">
        <f t="shared" si="143"/>
        <v>838.69600000000003</v>
      </c>
      <c r="J1035" s="3">
        <v>142.80199999999999</v>
      </c>
      <c r="K1035" s="3">
        <v>181.96</v>
      </c>
      <c r="L1035" s="3">
        <v>0.51896813353566007</v>
      </c>
      <c r="M1035" s="3"/>
      <c r="N1035" s="3"/>
      <c r="Q1035" s="4" t="s">
        <v>101</v>
      </c>
      <c r="R1035" s="2" t="s">
        <v>17</v>
      </c>
      <c r="S1035" s="2">
        <f t="shared" si="144"/>
        <v>410.96104000000003</v>
      </c>
      <c r="T1035" s="2">
        <f t="shared" si="145"/>
        <v>0.2542943854324734</v>
      </c>
    </row>
    <row r="1036" spans="1:20" ht="14.25" customHeight="1">
      <c r="A1036" s="2" t="s">
        <v>15</v>
      </c>
      <c r="B1036" s="2">
        <v>1978</v>
      </c>
      <c r="C1036" s="2" t="s">
        <v>37</v>
      </c>
      <c r="G1036" s="3"/>
      <c r="H1036" s="3">
        <v>887.47799999999995</v>
      </c>
      <c r="I1036" s="3">
        <f t="shared" si="143"/>
        <v>887.47799999999995</v>
      </c>
      <c r="J1036" s="3">
        <v>332.29399999999998</v>
      </c>
      <c r="K1036" s="3">
        <v>230.40700000000001</v>
      </c>
      <c r="L1036" s="3">
        <v>0.77889576281078565</v>
      </c>
      <c r="M1036" s="3"/>
      <c r="N1036" s="3"/>
      <c r="Q1036" s="4" t="s">
        <v>101</v>
      </c>
      <c r="R1036" s="2" t="s">
        <v>17</v>
      </c>
      <c r="S1036" s="2">
        <f t="shared" si="144"/>
        <v>434.86421999999999</v>
      </c>
      <c r="T1036" s="2">
        <f t="shared" si="145"/>
        <v>0.38165892377728494</v>
      </c>
    </row>
    <row r="1037" spans="1:20" ht="14.25" customHeight="1">
      <c r="A1037" s="2" t="s">
        <v>15</v>
      </c>
      <c r="B1037" s="2">
        <v>1979</v>
      </c>
      <c r="C1037" s="2" t="s">
        <v>37</v>
      </c>
      <c r="G1037" s="3"/>
      <c r="H1037" s="3">
        <v>771.84400000000005</v>
      </c>
      <c r="I1037" s="3">
        <f t="shared" si="143"/>
        <v>771.84400000000005</v>
      </c>
      <c r="J1037" s="3">
        <v>345.892</v>
      </c>
      <c r="K1037" s="3">
        <v>284.42899999999997</v>
      </c>
      <c r="L1037" s="3">
        <v>2.0705497840550953</v>
      </c>
      <c r="M1037" s="3"/>
      <c r="N1037" s="3"/>
      <c r="Q1037" s="4" t="s">
        <v>101</v>
      </c>
      <c r="R1037" s="2" t="s">
        <v>17</v>
      </c>
      <c r="S1037" s="2">
        <f t="shared" si="144"/>
        <v>378.20356000000004</v>
      </c>
      <c r="T1037" s="2">
        <f t="shared" si="145"/>
        <v>1.0145693941869967</v>
      </c>
    </row>
    <row r="1038" spans="1:20" ht="14.25" customHeight="1">
      <c r="A1038" s="2" t="s">
        <v>15</v>
      </c>
      <c r="B1038" s="2">
        <v>1980</v>
      </c>
      <c r="C1038" s="2" t="s">
        <v>37</v>
      </c>
      <c r="G1038" s="3"/>
      <c r="H1038" s="3">
        <v>689.096</v>
      </c>
      <c r="I1038" s="3">
        <f t="shared" si="143"/>
        <v>689.096</v>
      </c>
      <c r="J1038" s="3">
        <v>337.01</v>
      </c>
      <c r="K1038" s="3">
        <v>307.37400000000002</v>
      </c>
      <c r="L1038" s="3">
        <v>2.5061281662192134</v>
      </c>
      <c r="M1038" s="3"/>
      <c r="N1038" s="3"/>
      <c r="Q1038" s="4" t="s">
        <v>101</v>
      </c>
      <c r="R1038" s="2" t="s">
        <v>17</v>
      </c>
      <c r="S1038" s="2">
        <f t="shared" si="144"/>
        <v>337.65703999999999</v>
      </c>
      <c r="T1038" s="2">
        <f t="shared" si="145"/>
        <v>1.2280028014474145</v>
      </c>
    </row>
    <row r="1039" spans="1:20" ht="14.25" customHeight="1">
      <c r="A1039" s="2" t="s">
        <v>15</v>
      </c>
      <c r="B1039" s="2">
        <v>1981</v>
      </c>
      <c r="C1039" s="2" t="s">
        <v>37</v>
      </c>
      <c r="G1039" s="3"/>
      <c r="H1039" s="3">
        <v>681.01</v>
      </c>
      <c r="I1039" s="3">
        <f t="shared" si="143"/>
        <v>681.01</v>
      </c>
      <c r="J1039" s="3">
        <v>301.54399999999998</v>
      </c>
      <c r="K1039" s="3">
        <v>315.67700000000002</v>
      </c>
      <c r="L1039" s="3">
        <v>3.552048558421852</v>
      </c>
      <c r="M1039" s="3"/>
      <c r="N1039" s="3"/>
      <c r="Q1039" s="4" t="s">
        <v>101</v>
      </c>
      <c r="R1039" s="2" t="s">
        <v>17</v>
      </c>
      <c r="S1039" s="2">
        <f t="shared" si="144"/>
        <v>333.69489999999996</v>
      </c>
      <c r="T1039" s="2">
        <f t="shared" si="145"/>
        <v>1.7405037936267074</v>
      </c>
    </row>
    <row r="1040" spans="1:20" ht="14.25" customHeight="1">
      <c r="A1040" s="2" t="s">
        <v>15</v>
      </c>
      <c r="B1040" s="2">
        <v>1982</v>
      </c>
      <c r="C1040" s="2" t="s">
        <v>37</v>
      </c>
      <c r="G1040" s="3"/>
      <c r="H1040" s="3">
        <v>709.68799999999999</v>
      </c>
      <c r="I1040" s="3">
        <f t="shared" si="143"/>
        <v>709.68799999999999</v>
      </c>
      <c r="J1040" s="3">
        <v>239.57400000000001</v>
      </c>
      <c r="K1040" s="3">
        <v>290.00599999999997</v>
      </c>
      <c r="L1040" s="3">
        <v>10.599369674331738</v>
      </c>
      <c r="M1040" s="3"/>
      <c r="N1040" s="3"/>
      <c r="Q1040" s="4" t="s">
        <v>101</v>
      </c>
      <c r="R1040" s="2" t="s">
        <v>17</v>
      </c>
      <c r="S1040" s="2">
        <f t="shared" si="144"/>
        <v>347.74712</v>
      </c>
      <c r="T1040" s="2">
        <f t="shared" si="145"/>
        <v>5.1936911404225521</v>
      </c>
    </row>
    <row r="1041" spans="1:20" ht="14.25" customHeight="1">
      <c r="A1041" s="2" t="s">
        <v>15</v>
      </c>
      <c r="B1041" s="2">
        <v>1983</v>
      </c>
      <c r="C1041" s="2" t="s">
        <v>37</v>
      </c>
      <c r="G1041" s="3"/>
      <c r="H1041" s="3">
        <v>676.24199999999996</v>
      </c>
      <c r="I1041" s="3">
        <f t="shared" si="143"/>
        <v>676.24199999999996</v>
      </c>
      <c r="J1041" s="3">
        <v>324.86</v>
      </c>
      <c r="K1041" s="3">
        <v>306.07499999999999</v>
      </c>
      <c r="L1041" s="3">
        <v>10.321699544764796</v>
      </c>
      <c r="M1041" s="3"/>
      <c r="N1041" s="3"/>
      <c r="Q1041" s="4" t="s">
        <v>101</v>
      </c>
      <c r="R1041" s="2" t="s">
        <v>17</v>
      </c>
      <c r="S1041" s="2">
        <f t="shared" si="144"/>
        <v>331.35857999999996</v>
      </c>
      <c r="T1041" s="2">
        <f t="shared" si="145"/>
        <v>5.0576327769347502</v>
      </c>
    </row>
    <row r="1042" spans="1:20" ht="14.25" customHeight="1">
      <c r="A1042" s="2" t="s">
        <v>15</v>
      </c>
      <c r="B1042" s="2">
        <v>1984</v>
      </c>
      <c r="C1042" s="2" t="s">
        <v>37</v>
      </c>
      <c r="G1042" s="3"/>
      <c r="H1042" s="3">
        <v>661.04700000000003</v>
      </c>
      <c r="I1042" s="3">
        <f t="shared" si="143"/>
        <v>661.04700000000003</v>
      </c>
      <c r="J1042" s="3">
        <v>254.79900000000001</v>
      </c>
      <c r="K1042" s="3">
        <v>317.37700000000001</v>
      </c>
      <c r="L1042" s="3">
        <v>14.624255865530525</v>
      </c>
      <c r="M1042" s="3"/>
      <c r="N1042" s="3"/>
      <c r="Q1042" s="4" t="s">
        <v>101</v>
      </c>
      <c r="R1042" s="2" t="s">
        <v>17</v>
      </c>
      <c r="S1042" s="2">
        <f t="shared" si="144"/>
        <v>323.91302999999999</v>
      </c>
      <c r="T1042" s="2">
        <f t="shared" si="145"/>
        <v>7.1658853741099575</v>
      </c>
    </row>
    <row r="1043" spans="1:20" ht="14.25" customHeight="1">
      <c r="A1043" s="2" t="s">
        <v>15</v>
      </c>
      <c r="B1043" s="2">
        <v>1985</v>
      </c>
      <c r="C1043" s="2" t="s">
        <v>37</v>
      </c>
      <c r="G1043" s="3"/>
      <c r="H1043" s="3">
        <v>687.22299999999996</v>
      </c>
      <c r="I1043" s="3">
        <f t="shared" si="143"/>
        <v>687.22299999999996</v>
      </c>
      <c r="J1043" s="3">
        <v>258.49</v>
      </c>
      <c r="K1043" s="3">
        <v>337.53</v>
      </c>
      <c r="L1043" s="3">
        <v>16.657546398972805</v>
      </c>
      <c r="M1043" s="3"/>
      <c r="N1043" s="3"/>
      <c r="Q1043" s="4" t="s">
        <v>101</v>
      </c>
      <c r="R1043" s="2" t="s">
        <v>17</v>
      </c>
      <c r="S1043" s="2">
        <f t="shared" si="144"/>
        <v>336.73926999999998</v>
      </c>
      <c r="T1043" s="2">
        <f t="shared" si="145"/>
        <v>8.1621977354966742</v>
      </c>
    </row>
    <row r="1044" spans="1:20" ht="14.25" customHeight="1">
      <c r="A1044" s="2" t="s">
        <v>15</v>
      </c>
      <c r="B1044" s="2">
        <v>1986</v>
      </c>
      <c r="C1044" s="2" t="s">
        <v>37</v>
      </c>
      <c r="G1044" s="3"/>
      <c r="H1044" s="3">
        <v>629.88199999999995</v>
      </c>
      <c r="I1044" s="3">
        <f t="shared" si="143"/>
        <v>629.88199999999995</v>
      </c>
      <c r="J1044" s="3">
        <v>294.70999999999998</v>
      </c>
      <c r="K1044" s="3">
        <v>360.86599999999999</v>
      </c>
      <c r="L1044" s="3">
        <v>19.700385199019497</v>
      </c>
      <c r="M1044" s="3"/>
      <c r="N1044" s="3"/>
      <c r="Q1044" s="4" t="s">
        <v>101</v>
      </c>
      <c r="R1044" s="2" t="s">
        <v>17</v>
      </c>
      <c r="S1044" s="2">
        <f t="shared" si="144"/>
        <v>308.64218</v>
      </c>
      <c r="T1044" s="2">
        <f t="shared" si="145"/>
        <v>9.6531887475195539</v>
      </c>
    </row>
    <row r="1045" spans="1:20" ht="14.25" customHeight="1">
      <c r="A1045" s="2" t="s">
        <v>15</v>
      </c>
      <c r="B1045" s="2">
        <v>1987</v>
      </c>
      <c r="C1045" s="2" t="s">
        <v>37</v>
      </c>
      <c r="G1045" s="3"/>
      <c r="H1045" s="3">
        <v>679.29700000000003</v>
      </c>
      <c r="I1045" s="3">
        <f t="shared" si="143"/>
        <v>679.29700000000003</v>
      </c>
      <c r="J1045" s="3">
        <v>291.87</v>
      </c>
      <c r="K1045" s="3">
        <v>364.714</v>
      </c>
      <c r="L1045" s="3">
        <v>23.772289015991596</v>
      </c>
      <c r="M1045" s="3"/>
      <c r="N1045" s="3"/>
      <c r="Q1045" s="4" t="s">
        <v>101</v>
      </c>
      <c r="R1045" s="2" t="s">
        <v>17</v>
      </c>
      <c r="S1045" s="2">
        <f t="shared" si="144"/>
        <v>332.85552999999999</v>
      </c>
      <c r="T1045" s="2">
        <f t="shared" si="145"/>
        <v>11.648421617835883</v>
      </c>
    </row>
    <row r="1046" spans="1:20" ht="14.25" customHeight="1">
      <c r="A1046" s="2" t="s">
        <v>15</v>
      </c>
      <c r="B1046" s="2">
        <v>1988</v>
      </c>
      <c r="C1046" s="2" t="s">
        <v>37</v>
      </c>
      <c r="D1046" s="2">
        <f t="shared" ref="D1046:D1051" si="146">D931-E690</f>
        <v>101.2</v>
      </c>
      <c r="E1046" s="2">
        <f t="shared" ref="E1046:E1078" si="147">D1046*0.887125014590872</f>
        <v>89.777051476596256</v>
      </c>
      <c r="F1046" s="2">
        <f t="shared" ref="F1046:F1078" si="148">E1046*0.49</f>
        <v>43.990755223532162</v>
      </c>
      <c r="G1046" s="3"/>
      <c r="H1046" s="3">
        <v>645.52499999999998</v>
      </c>
      <c r="I1046" s="3">
        <f t="shared" si="143"/>
        <v>645.52499999999998</v>
      </c>
      <c r="J1046" s="3">
        <v>273.74400000000003</v>
      </c>
      <c r="K1046" s="3">
        <v>379.779</v>
      </c>
      <c r="L1046" s="3">
        <v>29.724010738881759</v>
      </c>
      <c r="M1046" s="3"/>
      <c r="N1046" s="3"/>
      <c r="Q1046" s="4" t="s">
        <v>101</v>
      </c>
      <c r="R1046" s="2" t="s">
        <v>17</v>
      </c>
      <c r="S1046" s="2">
        <f t="shared" si="144"/>
        <v>316.30725000000001</v>
      </c>
      <c r="T1046" s="2">
        <f t="shared" si="145"/>
        <v>14.564765262052061</v>
      </c>
    </row>
    <row r="1047" spans="1:20" ht="14.25" customHeight="1">
      <c r="A1047" s="2" t="s">
        <v>15</v>
      </c>
      <c r="B1047" s="2">
        <v>1989</v>
      </c>
      <c r="C1047" s="2" t="s">
        <v>37</v>
      </c>
      <c r="D1047" s="2">
        <f t="shared" si="146"/>
        <v>92.2</v>
      </c>
      <c r="E1047" s="2">
        <f t="shared" si="147"/>
        <v>81.792926345278403</v>
      </c>
      <c r="F1047" s="2">
        <f t="shared" si="148"/>
        <v>40.078533909186419</v>
      </c>
      <c r="G1047" s="3"/>
      <c r="H1047" s="3">
        <v>580.846</v>
      </c>
      <c r="I1047" s="3">
        <f t="shared" si="143"/>
        <v>580.846</v>
      </c>
      <c r="J1047" s="3">
        <v>317.58</v>
      </c>
      <c r="K1047" s="3">
        <v>418.27100000000002</v>
      </c>
      <c r="L1047" s="3">
        <v>41.104937551068055</v>
      </c>
      <c r="M1047" s="3"/>
      <c r="N1047" s="3"/>
      <c r="Q1047" s="4" t="s">
        <v>101</v>
      </c>
      <c r="R1047" s="2" t="s">
        <v>17</v>
      </c>
      <c r="S1047" s="2">
        <f t="shared" si="144"/>
        <v>284.61453999999998</v>
      </c>
      <c r="T1047" s="2">
        <f t="shared" si="145"/>
        <v>20.141419400023345</v>
      </c>
    </row>
    <row r="1048" spans="1:20" ht="14.25" customHeight="1">
      <c r="A1048" s="2" t="s">
        <v>15</v>
      </c>
      <c r="B1048" s="2">
        <v>1990</v>
      </c>
      <c r="C1048" s="2" t="s">
        <v>37</v>
      </c>
      <c r="D1048" s="2">
        <f t="shared" si="146"/>
        <v>99.8</v>
      </c>
      <c r="E1048" s="2">
        <f t="shared" si="147"/>
        <v>88.535076456169023</v>
      </c>
      <c r="F1048" s="2">
        <f t="shared" si="148"/>
        <v>43.382187463522818</v>
      </c>
      <c r="G1048" s="3"/>
      <c r="H1048" s="3">
        <v>528.36699999999996</v>
      </c>
      <c r="I1048" s="3">
        <f t="shared" si="143"/>
        <v>528.36699999999996</v>
      </c>
      <c r="J1048" s="3">
        <v>287.59500000000003</v>
      </c>
      <c r="K1048" s="3">
        <v>432.89400000000001</v>
      </c>
      <c r="L1048" s="3">
        <v>41.87496206373293</v>
      </c>
      <c r="M1048" s="3"/>
      <c r="N1048" s="3"/>
      <c r="Q1048" s="4" t="s">
        <v>101</v>
      </c>
      <c r="R1048" s="2" t="s">
        <v>17</v>
      </c>
      <c r="S1048" s="2">
        <f t="shared" si="144"/>
        <v>258.89982999999995</v>
      </c>
      <c r="T1048" s="2">
        <f t="shared" si="145"/>
        <v>20.518731411229137</v>
      </c>
    </row>
    <row r="1049" spans="1:20" ht="14.25" customHeight="1">
      <c r="A1049" s="2" t="s">
        <v>15</v>
      </c>
      <c r="B1049" s="2">
        <v>1991</v>
      </c>
      <c r="C1049" s="2" t="s">
        <v>37</v>
      </c>
      <c r="D1049" s="2">
        <f t="shared" si="146"/>
        <v>134.69999999999999</v>
      </c>
      <c r="E1049" s="2">
        <f t="shared" si="147"/>
        <v>119.49573946539044</v>
      </c>
      <c r="F1049" s="2">
        <f t="shared" si="148"/>
        <v>58.552912338041317</v>
      </c>
      <c r="G1049" s="2">
        <v>527</v>
      </c>
      <c r="H1049" s="2">
        <f t="shared" ref="H1049:H1078" si="149">G1049*0.887125014590872</f>
        <v>467.51488268938954</v>
      </c>
      <c r="I1049" s="3">
        <f t="shared" si="143"/>
        <v>467.51488268938954</v>
      </c>
      <c r="J1049" s="3">
        <v>332.327</v>
      </c>
      <c r="K1049" s="3">
        <v>415.38499999999999</v>
      </c>
      <c r="L1049" s="3">
        <v>49.00567293101436</v>
      </c>
      <c r="M1049" s="3"/>
      <c r="N1049" s="3"/>
      <c r="Q1049" s="4" t="s">
        <v>101</v>
      </c>
      <c r="R1049" s="2" t="s">
        <v>17</v>
      </c>
      <c r="S1049" s="2">
        <f t="shared" si="144"/>
        <v>229.08229251780088</v>
      </c>
      <c r="T1049" s="2">
        <f t="shared" si="145"/>
        <v>24.012779736197036</v>
      </c>
    </row>
    <row r="1050" spans="1:20" ht="14.25" customHeight="1">
      <c r="A1050" s="2" t="s">
        <v>15</v>
      </c>
      <c r="B1050" s="2">
        <v>1992</v>
      </c>
      <c r="C1050" s="2" t="s">
        <v>37</v>
      </c>
      <c r="D1050" s="2">
        <f t="shared" si="146"/>
        <v>160.80000000000001</v>
      </c>
      <c r="E1050" s="2">
        <f t="shared" si="147"/>
        <v>142.64970234621222</v>
      </c>
      <c r="F1050" s="2">
        <f t="shared" si="148"/>
        <v>69.898354149643993</v>
      </c>
      <c r="G1050" s="2">
        <v>541</v>
      </c>
      <c r="H1050" s="2">
        <f t="shared" si="149"/>
        <v>479.93463289366173</v>
      </c>
      <c r="I1050" s="3">
        <f t="shared" si="143"/>
        <v>479.93463289366173</v>
      </c>
      <c r="J1050" s="3">
        <v>342.99799999999999</v>
      </c>
      <c r="K1050" s="3">
        <v>418.58</v>
      </c>
      <c r="L1050" s="3">
        <v>45.950414380763398</v>
      </c>
      <c r="M1050" s="3"/>
      <c r="N1050" s="3"/>
      <c r="Q1050" s="4" t="s">
        <v>101</v>
      </c>
      <c r="R1050" s="2" t="s">
        <v>17</v>
      </c>
      <c r="S1050" s="2">
        <f t="shared" si="144"/>
        <v>235.16797011789424</v>
      </c>
      <c r="T1050" s="2">
        <f t="shared" si="145"/>
        <v>22.515703046574064</v>
      </c>
    </row>
    <row r="1051" spans="1:20" ht="14.25" customHeight="1">
      <c r="A1051" s="2" t="s">
        <v>15</v>
      </c>
      <c r="B1051" s="2">
        <v>1993</v>
      </c>
      <c r="C1051" s="2" t="s">
        <v>37</v>
      </c>
      <c r="D1051" s="2">
        <f t="shared" si="146"/>
        <v>177.20000000000002</v>
      </c>
      <c r="E1051" s="2">
        <f t="shared" si="147"/>
        <v>157.19855258550254</v>
      </c>
      <c r="F1051" s="2">
        <f t="shared" si="148"/>
        <v>77.027290766896243</v>
      </c>
      <c r="G1051" s="2">
        <v>575.70000000000005</v>
      </c>
      <c r="H1051" s="2">
        <f t="shared" si="149"/>
        <v>510.71787089996508</v>
      </c>
      <c r="I1051" s="3">
        <f t="shared" si="143"/>
        <v>510.71787089996508</v>
      </c>
      <c r="J1051" s="3">
        <v>314.67099999999999</v>
      </c>
      <c r="K1051" s="3">
        <v>379.72500000000002</v>
      </c>
      <c r="L1051" s="3">
        <v>56.195821174273384</v>
      </c>
      <c r="M1051" s="3"/>
      <c r="N1051" s="3"/>
      <c r="Q1051" s="4" t="s">
        <v>101</v>
      </c>
      <c r="R1051" s="2" t="s">
        <v>17</v>
      </c>
      <c r="S1051" s="2">
        <f t="shared" si="144"/>
        <v>250.25175674098287</v>
      </c>
      <c r="T1051" s="2">
        <f t="shared" si="145"/>
        <v>27.535952375393958</v>
      </c>
    </row>
    <row r="1052" spans="1:20" ht="14.25" customHeight="1">
      <c r="A1052" s="2" t="s">
        <v>15</v>
      </c>
      <c r="B1052" s="2">
        <v>1994</v>
      </c>
      <c r="C1052" s="2" t="s">
        <v>37</v>
      </c>
      <c r="D1052" s="2">
        <v>183.96860000000001</v>
      </c>
      <c r="E1052" s="2">
        <f t="shared" si="147"/>
        <v>163.20314695926231</v>
      </c>
      <c r="F1052" s="2">
        <f t="shared" si="148"/>
        <v>79.969542010038538</v>
      </c>
      <c r="G1052" s="2">
        <v>576.47199999999998</v>
      </c>
      <c r="H1052" s="2">
        <f t="shared" si="149"/>
        <v>511.40273141122913</v>
      </c>
      <c r="I1052" s="3">
        <f t="shared" si="143"/>
        <v>511.40273141122913</v>
      </c>
      <c r="J1052" s="3">
        <v>306.35700000000003</v>
      </c>
      <c r="K1052" s="3">
        <v>388.14299999999997</v>
      </c>
      <c r="L1052" s="3">
        <v>71.531551301505772</v>
      </c>
      <c r="M1052" s="3"/>
      <c r="N1052" s="3"/>
      <c r="Q1052" s="4" t="s">
        <v>101</v>
      </c>
      <c r="R1052" s="2" t="s">
        <v>17</v>
      </c>
      <c r="S1052" s="2">
        <f t="shared" si="144"/>
        <v>250.58733839150227</v>
      </c>
      <c r="T1052" s="2">
        <f t="shared" si="145"/>
        <v>35.050460137737829</v>
      </c>
    </row>
    <row r="1053" spans="1:20" ht="14.25" customHeight="1">
      <c r="A1053" s="2" t="s">
        <v>15</v>
      </c>
      <c r="B1053" s="2">
        <v>1995</v>
      </c>
      <c r="C1053" s="2" t="s">
        <v>37</v>
      </c>
      <c r="D1053" s="2">
        <v>181.25737580000001</v>
      </c>
      <c r="E1053" s="2">
        <f t="shared" si="147"/>
        <v>160.79795215127817</v>
      </c>
      <c r="F1053" s="2">
        <f t="shared" si="148"/>
        <v>78.790996554126295</v>
      </c>
      <c r="G1053" s="2">
        <v>600.995</v>
      </c>
      <c r="H1053" s="2">
        <f t="shared" si="149"/>
        <v>533.15769814404109</v>
      </c>
      <c r="I1053" s="3">
        <f t="shared" si="143"/>
        <v>533.15769814404109</v>
      </c>
      <c r="J1053" s="3">
        <v>290.82499999999999</v>
      </c>
      <c r="K1053" s="3">
        <v>414.24700000000001</v>
      </c>
      <c r="L1053" s="3">
        <v>77.125761643515816</v>
      </c>
      <c r="M1053" s="3"/>
      <c r="N1053" s="3"/>
      <c r="Q1053" s="4" t="s">
        <v>101</v>
      </c>
      <c r="R1053" s="2" t="s">
        <v>17</v>
      </c>
      <c r="S1053" s="2">
        <f t="shared" si="144"/>
        <v>261.24727209058011</v>
      </c>
      <c r="T1053" s="2">
        <f t="shared" si="145"/>
        <v>37.79162320532275</v>
      </c>
    </row>
    <row r="1054" spans="1:20" ht="14.25" customHeight="1">
      <c r="A1054" s="2" t="s">
        <v>15</v>
      </c>
      <c r="B1054" s="2">
        <v>1996</v>
      </c>
      <c r="C1054" s="2" t="s">
        <v>37</v>
      </c>
      <c r="D1054" s="2">
        <v>247.33477360000001</v>
      </c>
      <c r="E1054" s="2">
        <f t="shared" si="147"/>
        <v>219.41686463873003</v>
      </c>
      <c r="F1054" s="2">
        <f t="shared" si="148"/>
        <v>107.51426367297772</v>
      </c>
      <c r="G1054" s="2">
        <v>504.298</v>
      </c>
      <c r="H1054" s="2">
        <f t="shared" si="149"/>
        <v>447.37537060814759</v>
      </c>
      <c r="I1054" s="3">
        <f t="shared" si="143"/>
        <v>447.37537060814759</v>
      </c>
      <c r="J1054" s="3">
        <v>235.03200000000001</v>
      </c>
      <c r="K1054" s="3">
        <v>458.26900000000001</v>
      </c>
      <c r="L1054" s="3">
        <v>88.850005836348785</v>
      </c>
      <c r="M1054" s="3"/>
      <c r="N1054" s="3"/>
      <c r="Q1054" s="4" t="s">
        <v>101</v>
      </c>
      <c r="R1054" s="2" t="s">
        <v>17</v>
      </c>
      <c r="S1054" s="2">
        <f t="shared" si="144"/>
        <v>219.21393159799231</v>
      </c>
      <c r="T1054" s="2">
        <f t="shared" si="145"/>
        <v>43.536502859810902</v>
      </c>
    </row>
    <row r="1055" spans="1:20" ht="14.25" customHeight="1">
      <c r="A1055" s="2" t="s">
        <v>15</v>
      </c>
      <c r="B1055" s="2">
        <v>1997</v>
      </c>
      <c r="C1055" s="2" t="s">
        <v>37</v>
      </c>
      <c r="D1055" s="2">
        <v>281.99482810000001</v>
      </c>
      <c r="E1055" s="2">
        <f t="shared" si="147"/>
        <v>250.16466599276296</v>
      </c>
      <c r="F1055" s="2">
        <f t="shared" si="148"/>
        <v>122.58068633645385</v>
      </c>
      <c r="G1055" s="2">
        <v>467.19400000000002</v>
      </c>
      <c r="H1055" s="2">
        <f t="shared" si="149"/>
        <v>414.45948406676786</v>
      </c>
      <c r="I1055" s="3">
        <f t="shared" si="143"/>
        <v>414.45948406676786</v>
      </c>
      <c r="J1055" s="3">
        <v>234.21799999999999</v>
      </c>
      <c r="K1055" s="3">
        <v>448.83</v>
      </c>
      <c r="L1055" s="3">
        <v>102.34938718337808</v>
      </c>
      <c r="M1055" s="3"/>
      <c r="N1055" s="3"/>
      <c r="Q1055" s="4" t="s">
        <v>101</v>
      </c>
      <c r="R1055" s="2" t="s">
        <v>17</v>
      </c>
      <c r="S1055" s="2">
        <f t="shared" si="144"/>
        <v>203.08514719271625</v>
      </c>
      <c r="T1055" s="2">
        <f t="shared" si="145"/>
        <v>50.151199719855263</v>
      </c>
    </row>
    <row r="1056" spans="1:20" ht="14.25" customHeight="1">
      <c r="A1056" s="2" t="s">
        <v>15</v>
      </c>
      <c r="B1056" s="2">
        <v>1998</v>
      </c>
      <c r="C1056" s="2" t="s">
        <v>37</v>
      </c>
      <c r="D1056" s="2">
        <v>362.81625250000002</v>
      </c>
      <c r="E1056" s="2">
        <f t="shared" si="147"/>
        <v>321.863373292868</v>
      </c>
      <c r="F1056" s="2">
        <f t="shared" si="148"/>
        <v>157.71305291350532</v>
      </c>
      <c r="G1056" s="2">
        <v>428.221</v>
      </c>
      <c r="H1056" s="2">
        <f t="shared" si="149"/>
        <v>379.88556087311781</v>
      </c>
      <c r="I1056" s="3">
        <f t="shared" si="143"/>
        <v>379.88556087311781</v>
      </c>
      <c r="J1056" s="3">
        <v>266.65300000000002</v>
      </c>
      <c r="K1056" s="3">
        <v>443.59300000000002</v>
      </c>
      <c r="L1056" s="3">
        <v>113.09069686004436</v>
      </c>
      <c r="M1056" s="3"/>
      <c r="N1056" s="3"/>
      <c r="Q1056" s="4" t="s">
        <v>101</v>
      </c>
      <c r="R1056" s="2" t="s">
        <v>17</v>
      </c>
      <c r="S1056" s="2">
        <f t="shared" si="144"/>
        <v>186.14392482782773</v>
      </c>
      <c r="T1056" s="2">
        <f t="shared" si="145"/>
        <v>55.414441461421738</v>
      </c>
    </row>
    <row r="1057" spans="1:20" ht="14.25" customHeight="1">
      <c r="A1057" s="2" t="s">
        <v>15</v>
      </c>
      <c r="B1057" s="2">
        <v>1999</v>
      </c>
      <c r="C1057" s="2" t="s">
        <v>37</v>
      </c>
      <c r="D1057" s="2">
        <v>322.63320800000002</v>
      </c>
      <c r="E1057" s="2">
        <f t="shared" si="147"/>
        <v>286.21598935449987</v>
      </c>
      <c r="F1057" s="2">
        <f t="shared" si="148"/>
        <v>140.24583478370494</v>
      </c>
      <c r="G1057" s="2">
        <v>389.779</v>
      </c>
      <c r="H1057" s="2">
        <f t="shared" si="149"/>
        <v>345.78270106221549</v>
      </c>
      <c r="I1057" s="3">
        <f t="shared" si="143"/>
        <v>345.78270106221549</v>
      </c>
      <c r="J1057" s="3">
        <v>271.24</v>
      </c>
      <c r="K1057" s="3">
        <v>464.27800000000002</v>
      </c>
      <c r="L1057" s="3">
        <v>127.65640247461189</v>
      </c>
      <c r="M1057" s="3"/>
      <c r="N1057" s="3"/>
      <c r="Q1057" s="4" t="s">
        <v>101</v>
      </c>
      <c r="R1057" s="2" t="s">
        <v>17</v>
      </c>
      <c r="S1057" s="2">
        <f t="shared" si="144"/>
        <v>169.43352352048558</v>
      </c>
      <c r="T1057" s="2">
        <f t="shared" si="145"/>
        <v>62.551637212559825</v>
      </c>
    </row>
    <row r="1058" spans="1:20" ht="14.25" customHeight="1">
      <c r="A1058" s="2" t="s">
        <v>15</v>
      </c>
      <c r="B1058" s="2">
        <v>2000</v>
      </c>
      <c r="C1058" s="2" t="s">
        <v>37</v>
      </c>
      <c r="D1058" s="2">
        <v>275.20245199999999</v>
      </c>
      <c r="E1058" s="2">
        <f t="shared" si="147"/>
        <v>244.13897924594374</v>
      </c>
      <c r="F1058" s="2">
        <f t="shared" si="148"/>
        <v>119.62809983051243</v>
      </c>
      <c r="G1058" s="2">
        <v>337.61400000000003</v>
      </c>
      <c r="H1058" s="2">
        <f t="shared" si="149"/>
        <v>299.50582467608268</v>
      </c>
      <c r="I1058" s="3">
        <f t="shared" si="143"/>
        <v>299.50582467608268</v>
      </c>
      <c r="J1058" s="3">
        <v>278.06900000000002</v>
      </c>
      <c r="K1058" s="3">
        <v>456.28100000000001</v>
      </c>
      <c r="L1058" s="3">
        <v>124.27823041904986</v>
      </c>
      <c r="M1058" s="3"/>
      <c r="N1058" s="3"/>
      <c r="Q1058" s="4" t="s">
        <v>101</v>
      </c>
      <c r="R1058" s="2" t="s">
        <v>17</v>
      </c>
      <c r="S1058" s="2">
        <f t="shared" si="144"/>
        <v>146.75785409128051</v>
      </c>
      <c r="T1058" s="2">
        <f t="shared" si="145"/>
        <v>60.896332905334432</v>
      </c>
    </row>
    <row r="1059" spans="1:20" ht="14.25" customHeight="1">
      <c r="A1059" s="2" t="s">
        <v>15</v>
      </c>
      <c r="B1059" s="2">
        <v>2001</v>
      </c>
      <c r="C1059" s="2" t="s">
        <v>37</v>
      </c>
      <c r="D1059" s="2">
        <v>271.80024600000002</v>
      </c>
      <c r="E1059" s="2">
        <f t="shared" si="147"/>
        <v>241.12079719855262</v>
      </c>
      <c r="F1059" s="2">
        <f t="shared" si="148"/>
        <v>118.14919062729078</v>
      </c>
      <c r="G1059" s="2">
        <v>322.18700000000001</v>
      </c>
      <c r="H1059" s="2">
        <f t="shared" si="149"/>
        <v>285.82014707598927</v>
      </c>
      <c r="I1059" s="3">
        <f t="shared" si="143"/>
        <v>285.82014707598927</v>
      </c>
      <c r="J1059" s="3">
        <v>293.71699999999998</v>
      </c>
      <c r="K1059" s="3">
        <v>524.35299999999995</v>
      </c>
      <c r="L1059" s="3">
        <v>134.84034084276877</v>
      </c>
      <c r="M1059" s="3"/>
      <c r="N1059" s="3"/>
      <c r="Q1059" s="4" t="s">
        <v>101</v>
      </c>
      <c r="R1059" s="2" t="s">
        <v>17</v>
      </c>
      <c r="S1059" s="2">
        <f t="shared" si="144"/>
        <v>140.05187206723474</v>
      </c>
      <c r="T1059" s="2">
        <f t="shared" si="145"/>
        <v>66.071767012956698</v>
      </c>
    </row>
    <row r="1060" spans="1:20" ht="14.25" customHeight="1">
      <c r="A1060" s="2" t="s">
        <v>15</v>
      </c>
      <c r="B1060" s="2">
        <v>2002</v>
      </c>
      <c r="C1060" s="2" t="s">
        <v>37</v>
      </c>
      <c r="D1060" s="2">
        <v>212.96412810000001</v>
      </c>
      <c r="E1060" s="2">
        <f t="shared" si="147"/>
        <v>188.92580524804484</v>
      </c>
      <c r="F1060" s="2">
        <f t="shared" si="148"/>
        <v>92.573644571541976</v>
      </c>
      <c r="G1060" s="2">
        <v>334.875</v>
      </c>
      <c r="H1060" s="2">
        <f t="shared" si="149"/>
        <v>297.07598926111825</v>
      </c>
      <c r="I1060" s="3">
        <f t="shared" si="143"/>
        <v>297.07598926111825</v>
      </c>
      <c r="J1060" s="3">
        <v>294.66000000000003</v>
      </c>
      <c r="K1060" s="3">
        <v>514.57299999999998</v>
      </c>
      <c r="L1060" s="3">
        <v>142.23186646433993</v>
      </c>
      <c r="M1060" s="3"/>
      <c r="N1060" s="3"/>
      <c r="Q1060" s="4" t="s">
        <v>101</v>
      </c>
      <c r="R1060" s="2" t="s">
        <v>17</v>
      </c>
      <c r="S1060" s="2">
        <f t="shared" si="144"/>
        <v>145.56723473794793</v>
      </c>
      <c r="T1060" s="2">
        <f t="shared" si="145"/>
        <v>69.693614567526566</v>
      </c>
    </row>
    <row r="1061" spans="1:20" ht="14.25" customHeight="1">
      <c r="A1061" s="2" t="s">
        <v>15</v>
      </c>
      <c r="B1061" s="2">
        <v>2003</v>
      </c>
      <c r="C1061" s="2" t="s">
        <v>37</v>
      </c>
      <c r="D1061" s="2">
        <v>179.8354937</v>
      </c>
      <c r="E1061" s="2">
        <f t="shared" si="147"/>
        <v>159.53656497256918</v>
      </c>
      <c r="F1061" s="2">
        <f t="shared" si="148"/>
        <v>78.172916836558898</v>
      </c>
      <c r="G1061" s="2">
        <v>315.81100000000004</v>
      </c>
      <c r="H1061" s="2">
        <f t="shared" si="149"/>
        <v>280.16383798295789</v>
      </c>
      <c r="I1061" s="3">
        <f t="shared" si="143"/>
        <v>280.16383798295789</v>
      </c>
      <c r="J1061" s="3">
        <v>371</v>
      </c>
      <c r="K1061" s="3">
        <v>521</v>
      </c>
      <c r="L1061" s="3">
        <v>143.13407260417884</v>
      </c>
      <c r="M1061" s="3"/>
      <c r="N1061" s="3"/>
      <c r="Q1061" s="4" t="s">
        <v>101</v>
      </c>
      <c r="R1061" s="2" t="s">
        <v>17</v>
      </c>
      <c r="S1061" s="2">
        <f t="shared" si="144"/>
        <v>137.28028061164937</v>
      </c>
      <c r="T1061" s="2">
        <f t="shared" si="145"/>
        <v>70.135695576047624</v>
      </c>
    </row>
    <row r="1062" spans="1:20" ht="14.25" customHeight="1">
      <c r="A1062" s="2" t="s">
        <v>15</v>
      </c>
      <c r="B1062" s="2">
        <v>2004</v>
      </c>
      <c r="C1062" s="2" t="s">
        <v>37</v>
      </c>
      <c r="D1062" s="2">
        <v>186.60400849999999</v>
      </c>
      <c r="E1062" s="2">
        <f t="shared" si="147"/>
        <v>165.5410837632777</v>
      </c>
      <c r="F1062" s="2">
        <f t="shared" si="148"/>
        <v>81.115131044006077</v>
      </c>
      <c r="G1062" s="2">
        <v>335.40699999999998</v>
      </c>
      <c r="H1062" s="2">
        <f t="shared" si="149"/>
        <v>297.54793976888061</v>
      </c>
      <c r="I1062" s="3">
        <f t="shared" si="143"/>
        <v>297.54793976888061</v>
      </c>
      <c r="J1062" s="3">
        <v>366.2</v>
      </c>
      <c r="K1062" s="3">
        <v>557.6</v>
      </c>
      <c r="L1062" s="3">
        <v>154.98340142406911</v>
      </c>
      <c r="M1062" s="3"/>
      <c r="N1062" s="3"/>
      <c r="Q1062" s="4" t="s">
        <v>101</v>
      </c>
      <c r="R1062" s="2" t="s">
        <v>17</v>
      </c>
      <c r="S1062" s="2">
        <f t="shared" si="144"/>
        <v>145.79849048675149</v>
      </c>
      <c r="T1062" s="2">
        <f t="shared" si="145"/>
        <v>75.94186669779387</v>
      </c>
    </row>
    <row r="1063" spans="1:20" ht="14.25" customHeight="1">
      <c r="A1063" s="2" t="s">
        <v>15</v>
      </c>
      <c r="B1063" s="2">
        <v>2005</v>
      </c>
      <c r="C1063" s="2" t="s">
        <v>37</v>
      </c>
      <c r="D1063" s="2">
        <v>208.1799872</v>
      </c>
      <c r="E1063" s="2">
        <f t="shared" si="147"/>
        <v>184.68167418232755</v>
      </c>
      <c r="F1063" s="2">
        <f t="shared" si="148"/>
        <v>90.494020349340502</v>
      </c>
      <c r="G1063" s="2">
        <v>367.697</v>
      </c>
      <c r="H1063" s="2">
        <f t="shared" si="149"/>
        <v>326.19320649001986</v>
      </c>
      <c r="I1063" s="3">
        <f t="shared" si="143"/>
        <v>326.19320649001986</v>
      </c>
      <c r="J1063" s="3">
        <v>357.5</v>
      </c>
      <c r="K1063" s="3">
        <v>604.29999999999995</v>
      </c>
      <c r="L1063" s="3">
        <v>126.86952258666979</v>
      </c>
      <c r="M1063" s="3"/>
      <c r="N1063" s="3"/>
      <c r="Q1063" s="4" t="s">
        <v>101</v>
      </c>
      <c r="R1063" s="2" t="s">
        <v>17</v>
      </c>
      <c r="S1063" s="2">
        <f t="shared" si="144"/>
        <v>159.83467118010972</v>
      </c>
      <c r="T1063" s="2">
        <f t="shared" si="145"/>
        <v>62.166066067468194</v>
      </c>
    </row>
    <row r="1064" spans="1:20" ht="14.25" customHeight="1">
      <c r="A1064" s="2" t="s">
        <v>15</v>
      </c>
      <c r="B1064" s="2">
        <v>2006</v>
      </c>
      <c r="C1064" s="2" t="s">
        <v>37</v>
      </c>
      <c r="D1064" s="2">
        <v>195.1339064</v>
      </c>
      <c r="E1064" s="2">
        <f t="shared" si="147"/>
        <v>173.10816956227384</v>
      </c>
      <c r="F1064" s="2">
        <f t="shared" si="148"/>
        <v>84.823003085514188</v>
      </c>
      <c r="G1064" s="2">
        <v>282.935</v>
      </c>
      <c r="H1064" s="2">
        <f t="shared" si="149"/>
        <v>250.99871600326838</v>
      </c>
      <c r="I1064" s="3">
        <f t="shared" si="143"/>
        <v>250.99871600326838</v>
      </c>
      <c r="J1064" s="3">
        <v>311.7</v>
      </c>
      <c r="K1064" s="3">
        <v>637</v>
      </c>
      <c r="L1064" s="3">
        <v>129.81655188514065</v>
      </c>
      <c r="M1064" s="3"/>
      <c r="N1064" s="3"/>
      <c r="Q1064" s="4" t="s">
        <v>101</v>
      </c>
      <c r="R1064" s="2" t="s">
        <v>17</v>
      </c>
      <c r="S1064" s="2">
        <f t="shared" si="144"/>
        <v>122.98937084160151</v>
      </c>
      <c r="T1064" s="2">
        <f t="shared" si="145"/>
        <v>63.610110423718922</v>
      </c>
    </row>
    <row r="1065" spans="1:20" ht="14.25" customHeight="1">
      <c r="A1065" s="2" t="s">
        <v>15</v>
      </c>
      <c r="B1065" s="2">
        <v>2007</v>
      </c>
      <c r="C1065" s="2" t="s">
        <v>37</v>
      </c>
      <c r="D1065" s="2">
        <v>166.50867339999999</v>
      </c>
      <c r="E1065" s="2">
        <f t="shared" si="147"/>
        <v>147.71400931948173</v>
      </c>
      <c r="F1065" s="2">
        <f t="shared" si="148"/>
        <v>72.379864566546047</v>
      </c>
      <c r="G1065" s="2">
        <v>299.67500000000001</v>
      </c>
      <c r="H1065" s="2">
        <f t="shared" si="149"/>
        <v>265.84918874751958</v>
      </c>
      <c r="I1065" s="3">
        <f t="shared" si="143"/>
        <v>265.84918874751958</v>
      </c>
      <c r="J1065" s="3">
        <v>360.1</v>
      </c>
      <c r="K1065" s="3">
        <v>628.70000000000005</v>
      </c>
      <c r="L1065" s="3">
        <v>130.74359752538811</v>
      </c>
      <c r="M1065" s="3"/>
      <c r="N1065" s="3"/>
      <c r="Q1065" s="4" t="s">
        <v>101</v>
      </c>
      <c r="R1065" s="2" t="s">
        <v>17</v>
      </c>
      <c r="S1065" s="2">
        <f t="shared" si="144"/>
        <v>130.26610248628458</v>
      </c>
      <c r="T1065" s="2">
        <f t="shared" si="145"/>
        <v>64.064362787440174</v>
      </c>
    </row>
    <row r="1066" spans="1:20" ht="14.25" customHeight="1">
      <c r="A1066" s="2" t="s">
        <v>15</v>
      </c>
      <c r="B1066" s="2">
        <v>2008</v>
      </c>
      <c r="C1066" s="2" t="s">
        <v>37</v>
      </c>
      <c r="D1066" s="2">
        <v>171</v>
      </c>
      <c r="E1066" s="2">
        <f t="shared" si="147"/>
        <v>151.69837749503913</v>
      </c>
      <c r="F1066" s="2">
        <f t="shared" si="148"/>
        <v>74.332204972569173</v>
      </c>
      <c r="G1066" s="2">
        <v>266.81100000000004</v>
      </c>
      <c r="H1066" s="2">
        <f t="shared" si="149"/>
        <v>236.69471226800519</v>
      </c>
      <c r="I1066" s="3">
        <f t="shared" si="143"/>
        <v>236.69471226800519</v>
      </c>
      <c r="J1066" s="3">
        <v>323.60000000000002</v>
      </c>
      <c r="K1066" s="3">
        <v>671.3</v>
      </c>
      <c r="L1066" s="3">
        <v>128.02455935566709</v>
      </c>
      <c r="M1066" s="3"/>
      <c r="N1066" s="3"/>
      <c r="Q1066" s="4" t="s">
        <v>101</v>
      </c>
      <c r="R1066" s="2" t="s">
        <v>17</v>
      </c>
      <c r="S1066" s="2">
        <f t="shared" si="144"/>
        <v>115.98040901132254</v>
      </c>
      <c r="T1066" s="2">
        <f t="shared" si="145"/>
        <v>62.732034084276876</v>
      </c>
    </row>
    <row r="1067" spans="1:20" ht="14.25" customHeight="1">
      <c r="A1067" s="2" t="s">
        <v>15</v>
      </c>
      <c r="B1067" s="2">
        <v>2009</v>
      </c>
      <c r="C1067" s="2" t="s">
        <v>37</v>
      </c>
      <c r="D1067" s="2">
        <v>182.94365680000001</v>
      </c>
      <c r="E1067" s="2">
        <f t="shared" si="147"/>
        <v>162.29389420800749</v>
      </c>
      <c r="F1067" s="2">
        <f t="shared" si="148"/>
        <v>79.524008161923661</v>
      </c>
      <c r="G1067" s="2">
        <v>263.88800000000003</v>
      </c>
      <c r="H1067" s="2">
        <f t="shared" si="149"/>
        <v>234.10164585035605</v>
      </c>
      <c r="I1067" s="3">
        <f t="shared" si="143"/>
        <v>234.10164585035605</v>
      </c>
      <c r="J1067" s="3">
        <v>383.4</v>
      </c>
      <c r="K1067" s="3">
        <v>605.29999999999995</v>
      </c>
      <c r="L1067" s="3">
        <v>142.81586086144509</v>
      </c>
      <c r="M1067" s="3"/>
      <c r="N1067" s="3"/>
      <c r="Q1067" s="4" t="s">
        <v>101</v>
      </c>
      <c r="R1067" s="2" t="s">
        <v>17</v>
      </c>
      <c r="S1067" s="2">
        <f t="shared" si="144"/>
        <v>114.70980646667446</v>
      </c>
      <c r="T1067" s="2">
        <f t="shared" si="145"/>
        <v>69.979771822108091</v>
      </c>
    </row>
    <row r="1068" spans="1:20" ht="14.25" customHeight="1">
      <c r="A1068" s="2" t="s">
        <v>15</v>
      </c>
      <c r="B1068" s="2">
        <v>2010</v>
      </c>
      <c r="C1068" s="2" t="s">
        <v>37</v>
      </c>
      <c r="D1068" s="2">
        <v>185.8363392</v>
      </c>
      <c r="E1068" s="2">
        <f t="shared" si="147"/>
        <v>164.86006512431425</v>
      </c>
      <c r="F1068" s="2">
        <f t="shared" si="148"/>
        <v>80.78143191091398</v>
      </c>
      <c r="G1068" s="3">
        <v>268.89999999999998</v>
      </c>
      <c r="H1068" s="2">
        <f t="shared" si="149"/>
        <v>238.54791642348547</v>
      </c>
      <c r="I1068" s="3">
        <f t="shared" si="143"/>
        <v>238.54791642348547</v>
      </c>
      <c r="J1068" s="2">
        <v>418.3</v>
      </c>
      <c r="K1068" s="2">
        <v>588.29999999999995</v>
      </c>
      <c r="L1068" s="2">
        <v>150.67312711567644</v>
      </c>
      <c r="M1068" s="3"/>
      <c r="N1068" s="3"/>
      <c r="Q1068" s="4" t="s">
        <v>101</v>
      </c>
      <c r="R1068" s="2" t="s">
        <v>17</v>
      </c>
      <c r="S1068" s="2">
        <f t="shared" si="144"/>
        <v>116.88847904750789</v>
      </c>
      <c r="T1068" s="2">
        <f t="shared" si="145"/>
        <v>73.829832286681452</v>
      </c>
    </row>
    <row r="1069" spans="1:20" ht="14.25" customHeight="1">
      <c r="A1069" s="2" t="s">
        <v>15</v>
      </c>
      <c r="B1069" s="2">
        <v>2011</v>
      </c>
      <c r="C1069" s="2" t="s">
        <v>37</v>
      </c>
      <c r="D1069" s="2">
        <v>189.1617348</v>
      </c>
      <c r="E1069" s="2">
        <f t="shared" si="147"/>
        <v>167.81010674448467</v>
      </c>
      <c r="F1069" s="2">
        <f t="shared" si="148"/>
        <v>82.226952304797493</v>
      </c>
      <c r="G1069" s="3">
        <v>252.8</v>
      </c>
      <c r="H1069" s="2">
        <f t="shared" si="149"/>
        <v>224.26520368857246</v>
      </c>
      <c r="I1069" s="3">
        <f t="shared" si="143"/>
        <v>224.26520368857246</v>
      </c>
      <c r="J1069" s="2">
        <v>340</v>
      </c>
      <c r="K1069" s="2">
        <v>596.9</v>
      </c>
      <c r="L1069" s="2">
        <v>152.50548383331392</v>
      </c>
      <c r="M1069" s="3"/>
      <c r="N1069" s="3"/>
      <c r="Q1069" s="4" t="s">
        <v>101</v>
      </c>
      <c r="R1069" s="2" t="s">
        <v>17</v>
      </c>
      <c r="S1069" s="2">
        <f t="shared" si="144"/>
        <v>109.8899498074005</v>
      </c>
      <c r="T1069" s="2">
        <f t="shared" si="145"/>
        <v>74.727687078323825</v>
      </c>
    </row>
    <row r="1070" spans="1:20" ht="14.25" customHeight="1">
      <c r="A1070" s="2" t="s">
        <v>15</v>
      </c>
      <c r="B1070" s="2">
        <v>2012</v>
      </c>
      <c r="C1070" s="2" t="s">
        <v>37</v>
      </c>
      <c r="D1070" s="2">
        <v>219.29721499999999</v>
      </c>
      <c r="E1070" s="2">
        <f t="shared" si="147"/>
        <v>194.54404505661259</v>
      </c>
      <c r="F1070" s="2">
        <f t="shared" si="148"/>
        <v>95.32658207774017</v>
      </c>
      <c r="G1070" s="3">
        <v>245.20000000000002</v>
      </c>
      <c r="H1070" s="2">
        <f t="shared" si="149"/>
        <v>217.52305357768182</v>
      </c>
      <c r="I1070" s="3">
        <f t="shared" si="143"/>
        <v>217.52305357768182</v>
      </c>
      <c r="J1070" s="2">
        <v>371.4</v>
      </c>
      <c r="K1070" s="2">
        <v>638.4</v>
      </c>
      <c r="L1070" s="2">
        <v>158.11699311310846</v>
      </c>
      <c r="M1070" s="3"/>
      <c r="N1070" s="3"/>
      <c r="Q1070" s="4" t="s">
        <v>101</v>
      </c>
      <c r="R1070" s="2" t="s">
        <v>17</v>
      </c>
      <c r="S1070" s="2">
        <f t="shared" si="144"/>
        <v>106.58629625306409</v>
      </c>
      <c r="T1070" s="2">
        <f t="shared" si="145"/>
        <v>77.477326625423146</v>
      </c>
    </row>
    <row r="1071" spans="1:20" ht="14.25" customHeight="1">
      <c r="A1071" s="2" t="s">
        <v>15</v>
      </c>
      <c r="B1071" s="2">
        <v>2013</v>
      </c>
      <c r="C1071" s="2" t="s">
        <v>37</v>
      </c>
      <c r="D1071" s="2">
        <v>214.06180409999999</v>
      </c>
      <c r="E1071" s="2">
        <f t="shared" si="147"/>
        <v>189.89958108556087</v>
      </c>
      <c r="F1071" s="2">
        <f t="shared" si="148"/>
        <v>93.050794731924825</v>
      </c>
      <c r="G1071" s="3">
        <v>257.5</v>
      </c>
      <c r="H1071" s="2">
        <f t="shared" si="149"/>
        <v>228.43469125714955</v>
      </c>
      <c r="I1071" s="3">
        <f t="shared" si="143"/>
        <v>228.43469125714955</v>
      </c>
      <c r="J1071" s="2">
        <v>363.8</v>
      </c>
      <c r="K1071" s="2">
        <v>621.9</v>
      </c>
      <c r="L1071" s="2">
        <v>156.97233570678185</v>
      </c>
      <c r="M1071" s="3"/>
      <c r="N1071" s="3"/>
      <c r="Q1071" s="4" t="s">
        <v>101</v>
      </c>
      <c r="R1071" s="2" t="s">
        <v>17</v>
      </c>
      <c r="S1071" s="2">
        <f t="shared" si="144"/>
        <v>111.93299871600328</v>
      </c>
      <c r="T1071" s="2">
        <f t="shared" si="145"/>
        <v>76.916444496323109</v>
      </c>
    </row>
    <row r="1072" spans="1:20" ht="14.25" customHeight="1">
      <c r="A1072" s="2" t="s">
        <v>15</v>
      </c>
      <c r="B1072" s="2">
        <v>2014</v>
      </c>
      <c r="C1072" s="2" t="s">
        <v>37</v>
      </c>
      <c r="D1072" s="2">
        <v>299.97861949999998</v>
      </c>
      <c r="E1072" s="2">
        <f t="shared" si="147"/>
        <v>266.11853720088715</v>
      </c>
      <c r="F1072" s="2">
        <f t="shared" si="148"/>
        <v>130.3980832284347</v>
      </c>
      <c r="G1072" s="3">
        <v>308.3</v>
      </c>
      <c r="H1072" s="2">
        <f t="shared" si="149"/>
        <v>273.50064199836584</v>
      </c>
      <c r="I1072" s="3">
        <f t="shared" si="143"/>
        <v>273.50064199836584</v>
      </c>
      <c r="J1072" s="2">
        <v>417.4</v>
      </c>
      <c r="K1072" s="2">
        <v>601.9</v>
      </c>
      <c r="L1072" s="2">
        <v>171.29377144858179</v>
      </c>
      <c r="M1072" s="3"/>
      <c r="N1072" s="3"/>
      <c r="Q1072" s="4" t="s">
        <v>101</v>
      </c>
      <c r="R1072" s="2" t="s">
        <v>17</v>
      </c>
      <c r="S1072" s="2">
        <f t="shared" si="144"/>
        <v>134.01531457919927</v>
      </c>
      <c r="T1072" s="2">
        <f t="shared" si="145"/>
        <v>83.933948009805079</v>
      </c>
    </row>
    <row r="1073" spans="1:20" ht="14.25" customHeight="1">
      <c r="A1073" s="2" t="s">
        <v>15</v>
      </c>
      <c r="B1073" s="2">
        <v>2015</v>
      </c>
      <c r="C1073" s="2" t="s">
        <v>37</v>
      </c>
      <c r="D1073" s="2">
        <v>284.10000000000002</v>
      </c>
      <c r="E1073" s="2">
        <f t="shared" si="147"/>
        <v>252.03221664526677</v>
      </c>
      <c r="F1073" s="2">
        <f t="shared" si="148"/>
        <v>123.49578615618071</v>
      </c>
      <c r="G1073" s="3">
        <v>274.8</v>
      </c>
      <c r="H1073" s="2">
        <f t="shared" si="149"/>
        <v>243.78195400957165</v>
      </c>
      <c r="I1073" s="3">
        <f t="shared" si="143"/>
        <v>243.78195400957165</v>
      </c>
      <c r="J1073" s="2">
        <v>361.2</v>
      </c>
      <c r="K1073" s="2">
        <v>570.20000000000005</v>
      </c>
      <c r="L1073" s="2">
        <v>166.41784582701061</v>
      </c>
      <c r="M1073" s="3"/>
      <c r="N1073" s="3"/>
      <c r="Q1073" s="4" t="s">
        <v>101</v>
      </c>
      <c r="R1073" s="2" t="s">
        <v>17</v>
      </c>
      <c r="S1073" s="2">
        <f t="shared" si="144"/>
        <v>119.45315746469011</v>
      </c>
      <c r="T1073" s="2">
        <f t="shared" si="145"/>
        <v>81.544744455235204</v>
      </c>
    </row>
    <row r="1074" spans="1:20" ht="14.25" customHeight="1">
      <c r="A1074" s="2" t="s">
        <v>15</v>
      </c>
      <c r="B1074" s="2">
        <v>2016</v>
      </c>
      <c r="C1074" s="2" t="s">
        <v>37</v>
      </c>
      <c r="D1074" s="2">
        <v>247.6</v>
      </c>
      <c r="E1074" s="2">
        <f t="shared" si="147"/>
        <v>219.65215361269989</v>
      </c>
      <c r="F1074" s="2">
        <f t="shared" si="148"/>
        <v>107.62955527022295</v>
      </c>
      <c r="G1074" s="3">
        <v>302.60000000000002</v>
      </c>
      <c r="H1074" s="2">
        <f t="shared" si="149"/>
        <v>268.44402941519792</v>
      </c>
      <c r="I1074" s="3">
        <f t="shared" si="143"/>
        <v>268.44402941519792</v>
      </c>
      <c r="J1074" s="2">
        <v>350.5</v>
      </c>
      <c r="K1074" s="2">
        <v>610.9</v>
      </c>
      <c r="L1074" s="2">
        <v>157.55690318664645</v>
      </c>
      <c r="M1074" s="3"/>
      <c r="N1074" s="3"/>
      <c r="Q1074" s="4" t="s">
        <v>101</v>
      </c>
      <c r="R1074" s="2" t="s">
        <v>17</v>
      </c>
      <c r="S1074" s="2">
        <f t="shared" si="144"/>
        <v>131.53757441344698</v>
      </c>
      <c r="T1074" s="2">
        <f t="shared" si="145"/>
        <v>77.202882561456761</v>
      </c>
    </row>
    <row r="1075" spans="1:20" ht="14.25" customHeight="1">
      <c r="A1075" s="2" t="s">
        <v>15</v>
      </c>
      <c r="B1075" s="2">
        <v>2017</v>
      </c>
      <c r="C1075" s="2" t="s">
        <v>37</v>
      </c>
      <c r="D1075" s="2">
        <v>279.39999999999998</v>
      </c>
      <c r="E1075" s="2">
        <f t="shared" si="147"/>
        <v>247.86272907668962</v>
      </c>
      <c r="F1075" s="2">
        <f t="shared" si="148"/>
        <v>121.45273724757791</v>
      </c>
      <c r="G1075" s="3">
        <v>297.70000000000005</v>
      </c>
      <c r="H1075" s="2">
        <f t="shared" si="149"/>
        <v>264.09711684370262</v>
      </c>
      <c r="I1075" s="3">
        <f t="shared" si="143"/>
        <v>264.09711684370262</v>
      </c>
      <c r="J1075" s="2">
        <v>373.7</v>
      </c>
      <c r="K1075" s="2">
        <v>590.5</v>
      </c>
      <c r="L1075" s="2">
        <v>181.06135496673284</v>
      </c>
      <c r="M1075" s="3"/>
      <c r="N1075" s="3"/>
      <c r="Q1075" s="4" t="s">
        <v>101</v>
      </c>
      <c r="R1075" s="2" t="s">
        <v>17</v>
      </c>
      <c r="S1075" s="2">
        <f t="shared" si="144"/>
        <v>129.40758725341428</v>
      </c>
      <c r="T1075" s="2">
        <f t="shared" si="145"/>
        <v>88.720063933699095</v>
      </c>
    </row>
    <row r="1076" spans="1:20" ht="14.25" customHeight="1">
      <c r="A1076" s="2" t="s">
        <v>15</v>
      </c>
      <c r="B1076" s="2">
        <v>2018</v>
      </c>
      <c r="C1076" s="2" t="s">
        <v>37</v>
      </c>
      <c r="D1076" s="2">
        <v>257.3</v>
      </c>
      <c r="E1076" s="2">
        <f t="shared" si="147"/>
        <v>228.25726625423138</v>
      </c>
      <c r="F1076" s="2">
        <f t="shared" si="148"/>
        <v>111.84606046457337</v>
      </c>
      <c r="G1076" s="3">
        <v>304.39999999999998</v>
      </c>
      <c r="H1076" s="2">
        <f t="shared" si="149"/>
        <v>270.04085444146142</v>
      </c>
      <c r="I1076" s="3">
        <f t="shared" si="143"/>
        <v>270.04085444146142</v>
      </c>
      <c r="J1076" s="2">
        <v>368.1</v>
      </c>
      <c r="K1076" s="2">
        <v>559.5</v>
      </c>
      <c r="L1076" s="2">
        <v>149.42844813820477</v>
      </c>
      <c r="M1076" s="3"/>
      <c r="N1076" s="3"/>
      <c r="Q1076" s="4" t="s">
        <v>101</v>
      </c>
      <c r="R1076" s="2" t="s">
        <v>17</v>
      </c>
      <c r="S1076" s="2">
        <f t="shared" si="144"/>
        <v>132.3200186763161</v>
      </c>
      <c r="T1076" s="2">
        <f t="shared" si="145"/>
        <v>73.219939587720333</v>
      </c>
    </row>
    <row r="1077" spans="1:20" ht="14.25" customHeight="1">
      <c r="A1077" s="2" t="s">
        <v>15</v>
      </c>
      <c r="B1077" s="2">
        <v>2019</v>
      </c>
      <c r="C1077" s="2" t="s">
        <v>37</v>
      </c>
      <c r="D1077" s="2">
        <v>219.5</v>
      </c>
      <c r="E1077" s="2">
        <f t="shared" si="147"/>
        <v>194.72394070269641</v>
      </c>
      <c r="F1077" s="2">
        <f t="shared" si="148"/>
        <v>95.414730944321235</v>
      </c>
      <c r="G1077" s="3">
        <v>255.6</v>
      </c>
      <c r="H1077" s="2">
        <f t="shared" si="149"/>
        <v>226.74915372942689</v>
      </c>
      <c r="I1077" s="3">
        <f t="shared" si="143"/>
        <v>226.74915372942689</v>
      </c>
      <c r="J1077" s="2">
        <v>372.06101200000001</v>
      </c>
      <c r="K1077" s="2">
        <v>595.35435700000005</v>
      </c>
      <c r="L1077" s="2">
        <v>180.06419983658225</v>
      </c>
      <c r="M1077" s="3"/>
      <c r="N1077" s="3"/>
      <c r="Q1077" s="4" t="s">
        <v>101</v>
      </c>
      <c r="R1077" s="2" t="s">
        <v>17</v>
      </c>
      <c r="S1077" s="2">
        <f t="shared" si="144"/>
        <v>111.10708532741917</v>
      </c>
      <c r="T1077" s="2">
        <f t="shared" si="145"/>
        <v>88.231457919925305</v>
      </c>
    </row>
    <row r="1078" spans="1:20" ht="14.25" customHeight="1">
      <c r="A1078" s="2" t="s">
        <v>15</v>
      </c>
      <c r="B1078" s="2">
        <v>2020</v>
      </c>
      <c r="C1078" s="2" t="s">
        <v>37</v>
      </c>
      <c r="D1078" s="2">
        <v>235.9</v>
      </c>
      <c r="E1078" s="2">
        <f t="shared" si="147"/>
        <v>209.2727909419867</v>
      </c>
      <c r="F1078" s="2">
        <f t="shared" si="148"/>
        <v>102.54366756157349</v>
      </c>
      <c r="G1078" s="3">
        <v>266.2235293</v>
      </c>
      <c r="H1078" s="2">
        <f t="shared" si="149"/>
        <v>236.17355231469594</v>
      </c>
      <c r="I1078" s="3">
        <f t="shared" si="143"/>
        <v>236.17355231469594</v>
      </c>
      <c r="J1078" s="2">
        <v>353.080398</v>
      </c>
      <c r="K1078" s="2">
        <v>568.62173099999995</v>
      </c>
      <c r="L1078" s="2" t="s">
        <v>17</v>
      </c>
      <c r="M1078" s="3"/>
      <c r="N1078" s="3"/>
      <c r="Q1078" s="4" t="s">
        <v>101</v>
      </c>
      <c r="R1078" s="2" t="s">
        <v>17</v>
      </c>
      <c r="S1078" s="2">
        <f t="shared" si="144"/>
        <v>115.72504063420101</v>
      </c>
      <c r="T1078" s="2" t="s">
        <v>17</v>
      </c>
    </row>
    <row r="1079" spans="1:20" ht="14.25" customHeight="1">
      <c r="A1079" s="2" t="s">
        <v>15</v>
      </c>
      <c r="B1079" s="2">
        <v>1900</v>
      </c>
      <c r="C1079" s="2" t="s">
        <v>37</v>
      </c>
      <c r="H1079" s="3">
        <v>745.32970940865664</v>
      </c>
      <c r="I1079" s="3">
        <f t="shared" si="143"/>
        <v>745.32970940865664</v>
      </c>
      <c r="Q1079" s="4"/>
      <c r="S1079" s="2">
        <f t="shared" si="144"/>
        <v>365.21155761024175</v>
      </c>
    </row>
    <row r="1080" spans="1:20" ht="14.25" customHeight="1">
      <c r="A1080" s="2" t="s">
        <v>15</v>
      </c>
      <c r="B1080" s="2">
        <v>1901</v>
      </c>
      <c r="C1080" s="2" t="s">
        <v>37</v>
      </c>
      <c r="G1080" s="3"/>
      <c r="H1080" s="3">
        <v>805.2727087990246</v>
      </c>
      <c r="I1080" s="3">
        <f t="shared" si="143"/>
        <v>805.2727087990246</v>
      </c>
      <c r="Q1080" s="4"/>
      <c r="S1080" s="2">
        <f t="shared" si="144"/>
        <v>394.58362731152204</v>
      </c>
    </row>
    <row r="1081" spans="1:20" ht="14.25" customHeight="1">
      <c r="A1081" s="2" t="s">
        <v>15</v>
      </c>
      <c r="B1081" s="2">
        <v>1902</v>
      </c>
      <c r="C1081" s="2" t="s">
        <v>37</v>
      </c>
      <c r="G1081" s="3"/>
      <c r="H1081" s="3">
        <v>913.40444015444007</v>
      </c>
      <c r="I1081" s="3">
        <f t="shared" si="143"/>
        <v>913.40444015444007</v>
      </c>
      <c r="Q1081" s="4"/>
      <c r="S1081" s="2">
        <f t="shared" si="144"/>
        <v>447.5681756756756</v>
      </c>
    </row>
    <row r="1082" spans="1:20" ht="14.25" customHeight="1">
      <c r="A1082" s="2" t="s">
        <v>15</v>
      </c>
      <c r="B1082" s="2">
        <v>1903</v>
      </c>
      <c r="C1082" s="2" t="s">
        <v>37</v>
      </c>
      <c r="G1082" s="3"/>
      <c r="H1082" s="3">
        <v>942.66714082503552</v>
      </c>
      <c r="I1082" s="3">
        <f t="shared" si="143"/>
        <v>942.66714082503552</v>
      </c>
      <c r="Q1082" s="4"/>
      <c r="S1082" s="2">
        <f t="shared" si="144"/>
        <v>461.90689900426742</v>
      </c>
    </row>
    <row r="1083" spans="1:20" ht="14.25" customHeight="1">
      <c r="A1083" s="2" t="s">
        <v>15</v>
      </c>
      <c r="B1083" s="2">
        <v>1904</v>
      </c>
      <c r="C1083" s="2" t="s">
        <v>37</v>
      </c>
      <c r="G1083" s="3"/>
      <c r="H1083" s="3">
        <v>1029.503606990449</v>
      </c>
      <c r="I1083" s="3">
        <f t="shared" si="143"/>
        <v>1029.503606990449</v>
      </c>
      <c r="Q1083" s="4"/>
      <c r="S1083" s="2">
        <f t="shared" si="144"/>
        <v>504.45676742532004</v>
      </c>
    </row>
    <row r="1084" spans="1:20" ht="14.25" customHeight="1">
      <c r="A1084" s="2" t="s">
        <v>15</v>
      </c>
      <c r="B1084" s="2">
        <v>1905</v>
      </c>
      <c r="C1084" s="2" t="s">
        <v>37</v>
      </c>
      <c r="G1084" s="3"/>
      <c r="H1084" s="3">
        <v>1024.3993090835195</v>
      </c>
      <c r="I1084" s="3">
        <f t="shared" si="143"/>
        <v>1024.3993090835195</v>
      </c>
      <c r="Q1084" s="4"/>
      <c r="S1084" s="2">
        <f t="shared" si="144"/>
        <v>501.95566145092454</v>
      </c>
    </row>
    <row r="1085" spans="1:20" ht="14.25" customHeight="1">
      <c r="A1085" s="2" t="s">
        <v>15</v>
      </c>
      <c r="B1085" s="2">
        <v>1906</v>
      </c>
      <c r="C1085" s="2" t="s">
        <v>37</v>
      </c>
      <c r="G1085" s="3"/>
      <c r="H1085" s="3">
        <v>1043.5561877667139</v>
      </c>
      <c r="I1085" s="3">
        <f t="shared" si="143"/>
        <v>1043.5561877667139</v>
      </c>
      <c r="Q1085" s="4"/>
      <c r="S1085" s="2">
        <f t="shared" si="144"/>
        <v>511.3425320056898</v>
      </c>
    </row>
    <row r="1086" spans="1:20" ht="14.25" customHeight="1">
      <c r="A1086" s="2" t="s">
        <v>15</v>
      </c>
      <c r="B1086" s="2">
        <v>1907</v>
      </c>
      <c r="C1086" s="2" t="s">
        <v>37</v>
      </c>
      <c r="G1086" s="3"/>
      <c r="H1086" s="3">
        <v>1204.5501422475106</v>
      </c>
      <c r="I1086" s="3">
        <f t="shared" si="143"/>
        <v>1204.5501422475106</v>
      </c>
      <c r="Q1086" s="4"/>
      <c r="S1086" s="2">
        <f t="shared" si="144"/>
        <v>590.22956970128018</v>
      </c>
    </row>
    <row r="1087" spans="1:20" ht="14.25" customHeight="1">
      <c r="A1087" s="2" t="s">
        <v>15</v>
      </c>
      <c r="B1087" s="2">
        <v>1908</v>
      </c>
      <c r="C1087" s="2" t="s">
        <v>37</v>
      </c>
      <c r="G1087" s="3"/>
      <c r="H1087" s="3">
        <v>1151.9125685836211</v>
      </c>
      <c r="I1087" s="3">
        <f t="shared" si="143"/>
        <v>1151.9125685836211</v>
      </c>
      <c r="Q1087" s="4"/>
      <c r="S1087" s="2">
        <f t="shared" si="144"/>
        <v>564.43715860597433</v>
      </c>
    </row>
    <row r="1088" spans="1:20" ht="14.25" customHeight="1">
      <c r="A1088" s="2" t="s">
        <v>15</v>
      </c>
      <c r="B1088" s="2">
        <v>1910</v>
      </c>
      <c r="C1088" s="2" t="s">
        <v>37</v>
      </c>
      <c r="G1088" s="3"/>
      <c r="H1088" s="3">
        <v>1161.7906421459052</v>
      </c>
      <c r="I1088" s="3">
        <f t="shared" si="143"/>
        <v>1161.7906421459052</v>
      </c>
      <c r="Q1088" s="4"/>
      <c r="S1088" s="2">
        <f t="shared" si="144"/>
        <v>569.27741465149347</v>
      </c>
    </row>
    <row r="1089" spans="1:19" ht="14.25" customHeight="1">
      <c r="A1089" s="2" t="s">
        <v>15</v>
      </c>
      <c r="B1089" s="2">
        <v>1911</v>
      </c>
      <c r="C1089" s="2" t="s">
        <v>37</v>
      </c>
      <c r="G1089" s="3"/>
      <c r="H1089" s="3">
        <v>1198.1365068075595</v>
      </c>
      <c r="I1089" s="3">
        <f t="shared" si="143"/>
        <v>1198.1365068075595</v>
      </c>
      <c r="Q1089" s="4"/>
      <c r="S1089" s="2">
        <f t="shared" si="144"/>
        <v>587.08688833570409</v>
      </c>
    </row>
    <row r="1090" spans="1:19" ht="14.25" customHeight="1">
      <c r="A1090" s="2" t="s">
        <v>15</v>
      </c>
      <c r="B1090" s="2">
        <v>1912</v>
      </c>
      <c r="C1090" s="2" t="s">
        <v>37</v>
      </c>
      <c r="G1090" s="3"/>
      <c r="H1090" s="3">
        <v>1200.1413330623857</v>
      </c>
      <c r="I1090" s="3">
        <f t="shared" si="143"/>
        <v>1200.1413330623857</v>
      </c>
      <c r="Q1090" s="4"/>
      <c r="S1090" s="2">
        <f t="shared" si="144"/>
        <v>588.06925320056894</v>
      </c>
    </row>
    <row r="1091" spans="1:19" ht="14.25" customHeight="1">
      <c r="A1091" s="2" t="s">
        <v>15</v>
      </c>
      <c r="B1091" s="2">
        <v>1913</v>
      </c>
      <c r="C1091" s="2" t="s">
        <v>37</v>
      </c>
      <c r="G1091" s="3"/>
      <c r="H1091" s="3">
        <v>1224.1462101198942</v>
      </c>
      <c r="I1091" s="3">
        <f t="shared" si="143"/>
        <v>1224.1462101198942</v>
      </c>
      <c r="Q1091" s="4"/>
      <c r="S1091" s="2">
        <f t="shared" si="144"/>
        <v>599.83164295874815</v>
      </c>
    </row>
    <row r="1092" spans="1:19" ht="14.25" customHeight="1">
      <c r="A1092" s="2" t="s">
        <v>15</v>
      </c>
      <c r="B1092" s="2">
        <v>1914</v>
      </c>
      <c r="C1092" s="2" t="s">
        <v>37</v>
      </c>
      <c r="G1092" s="3"/>
      <c r="H1092" s="3">
        <v>896.21245681771995</v>
      </c>
      <c r="I1092" s="3">
        <f t="shared" si="143"/>
        <v>896.21245681771995</v>
      </c>
      <c r="Q1092" s="4"/>
      <c r="S1092" s="2">
        <f t="shared" si="144"/>
        <v>439.14410384068276</v>
      </c>
    </row>
    <row r="1093" spans="1:19" ht="14.25" customHeight="1">
      <c r="A1093" s="2" t="s">
        <v>15</v>
      </c>
      <c r="B1093" s="2">
        <v>1915</v>
      </c>
      <c r="C1093" s="2" t="s">
        <v>37</v>
      </c>
      <c r="G1093" s="3"/>
      <c r="H1093" s="3">
        <v>439.66856330014224</v>
      </c>
      <c r="I1093" s="3">
        <f t="shared" si="143"/>
        <v>439.66856330014224</v>
      </c>
      <c r="Q1093" s="4"/>
      <c r="S1093" s="2">
        <f t="shared" si="144"/>
        <v>215.43759601706969</v>
      </c>
    </row>
    <row r="1094" spans="1:19" ht="14.25" customHeight="1">
      <c r="A1094" s="2" t="s">
        <v>15</v>
      </c>
      <c r="B1094" s="2">
        <v>1916</v>
      </c>
      <c r="C1094" s="2" t="s">
        <v>37</v>
      </c>
      <c r="G1094" s="3"/>
      <c r="H1094" s="3">
        <v>417.71733387522858</v>
      </c>
      <c r="I1094" s="3">
        <f t="shared" si="143"/>
        <v>417.71733387522858</v>
      </c>
      <c r="Q1094" s="4"/>
      <c r="S1094" s="2">
        <f t="shared" si="144"/>
        <v>204.68149359886201</v>
      </c>
    </row>
    <row r="1095" spans="1:19" ht="14.25" customHeight="1">
      <c r="A1095" s="2" t="s">
        <v>15</v>
      </c>
      <c r="B1095" s="2">
        <v>1917</v>
      </c>
      <c r="C1095" s="2" t="s">
        <v>37</v>
      </c>
      <c r="G1095" s="3"/>
      <c r="H1095" s="3">
        <v>395.96301564722614</v>
      </c>
      <c r="I1095" s="3">
        <f t="shared" si="143"/>
        <v>395.96301564722614</v>
      </c>
      <c r="Q1095" s="4"/>
      <c r="S1095" s="2">
        <f t="shared" si="144"/>
        <v>194.02187766714081</v>
      </c>
    </row>
    <row r="1096" spans="1:19" ht="14.25" customHeight="1">
      <c r="A1096" s="2" t="s">
        <v>15</v>
      </c>
      <c r="B1096" s="2">
        <v>1918</v>
      </c>
      <c r="C1096" s="2" t="s">
        <v>37</v>
      </c>
      <c r="G1096" s="3"/>
      <c r="H1096" s="3">
        <v>444.78835602519814</v>
      </c>
      <c r="I1096" s="3">
        <f t="shared" si="143"/>
        <v>444.78835602519814</v>
      </c>
      <c r="Q1096" s="4"/>
      <c r="S1096" s="2">
        <f t="shared" si="144"/>
        <v>217.94629445234708</v>
      </c>
    </row>
    <row r="1097" spans="1:19" ht="14.25" customHeight="1">
      <c r="A1097" s="2" t="s">
        <v>15</v>
      </c>
      <c r="B1097" s="2">
        <v>1919</v>
      </c>
      <c r="C1097" s="2" t="s">
        <v>37</v>
      </c>
      <c r="G1097" s="3"/>
      <c r="H1097" s="3">
        <v>867.91566754724647</v>
      </c>
      <c r="I1097" s="3">
        <f t="shared" si="143"/>
        <v>867.91566754724647</v>
      </c>
      <c r="Q1097" s="4"/>
      <c r="S1097" s="2">
        <f t="shared" si="144"/>
        <v>425.27867709815075</v>
      </c>
    </row>
    <row r="1098" spans="1:19" ht="14.25" customHeight="1">
      <c r="A1098" s="2" t="s">
        <v>15</v>
      </c>
      <c r="B1098" s="2">
        <v>1920</v>
      </c>
      <c r="C1098" s="2" t="s">
        <v>37</v>
      </c>
      <c r="G1098" s="3"/>
      <c r="H1098" s="3">
        <v>1096.4360902255639</v>
      </c>
      <c r="I1098" s="3">
        <f t="shared" si="143"/>
        <v>1096.4360902255639</v>
      </c>
      <c r="Q1098" s="4"/>
      <c r="S1098" s="2">
        <f t="shared" si="144"/>
        <v>537.25368421052633</v>
      </c>
    </row>
    <row r="1099" spans="1:19" ht="14.25" customHeight="1">
      <c r="A1099" s="2" t="s">
        <v>15</v>
      </c>
      <c r="B1099" s="2">
        <v>1921</v>
      </c>
      <c r="C1099" s="2" t="s">
        <v>37</v>
      </c>
      <c r="G1099" s="3"/>
      <c r="H1099" s="3">
        <v>856.091597236334</v>
      </c>
      <c r="I1099" s="3">
        <f t="shared" si="143"/>
        <v>856.091597236334</v>
      </c>
      <c r="Q1099" s="4"/>
      <c r="S1099" s="2">
        <f t="shared" si="144"/>
        <v>419.48488264580362</v>
      </c>
    </row>
    <row r="1100" spans="1:19" ht="14.25" customHeight="1">
      <c r="A1100" s="2" t="s">
        <v>15</v>
      </c>
      <c r="B1100" s="2">
        <v>1922</v>
      </c>
      <c r="C1100" s="2" t="s">
        <v>37</v>
      </c>
      <c r="G1100" s="3"/>
      <c r="H1100" s="3">
        <v>901.73674049989836</v>
      </c>
      <c r="I1100" s="3">
        <f t="shared" ref="I1100:I1133" si="150">H1100*1.0078</f>
        <v>908.77028707579757</v>
      </c>
      <c r="Q1100" s="4"/>
      <c r="S1100" s="2">
        <f t="shared" si="144"/>
        <v>445.29744066714079</v>
      </c>
    </row>
    <row r="1101" spans="1:19" ht="14.25" customHeight="1">
      <c r="A1101" s="2" t="s">
        <v>15</v>
      </c>
      <c r="B1101" s="2">
        <v>1923</v>
      </c>
      <c r="C1101" s="2" t="s">
        <v>37</v>
      </c>
      <c r="G1101" s="3"/>
      <c r="H1101" s="3">
        <v>860.179993903678</v>
      </c>
      <c r="I1101" s="3">
        <f t="shared" si="150"/>
        <v>866.88939785612672</v>
      </c>
      <c r="Q1101" s="4"/>
      <c r="S1101" s="2">
        <f t="shared" si="144"/>
        <v>424.77580494950206</v>
      </c>
    </row>
    <row r="1102" spans="1:19" ht="14.25" customHeight="1">
      <c r="A1102" s="2" t="s">
        <v>15</v>
      </c>
      <c r="B1102" s="2">
        <v>1924</v>
      </c>
      <c r="C1102" s="2" t="s">
        <v>37</v>
      </c>
      <c r="G1102" s="3"/>
      <c r="H1102" s="3">
        <v>1050.8223938223939</v>
      </c>
      <c r="I1102" s="3">
        <f t="shared" si="150"/>
        <v>1059.0188084942085</v>
      </c>
      <c r="Q1102" s="4"/>
      <c r="S1102" s="2">
        <f t="shared" si="144"/>
        <v>518.91921616216223</v>
      </c>
    </row>
    <row r="1103" spans="1:19" ht="14.25" customHeight="1">
      <c r="A1103" s="2" t="s">
        <v>15</v>
      </c>
      <c r="B1103" s="2">
        <v>1925</v>
      </c>
      <c r="C1103" s="2" t="s">
        <v>37</v>
      </c>
      <c r="G1103" s="3"/>
      <c r="H1103" s="3">
        <v>978.01056695793534</v>
      </c>
      <c r="I1103" s="3">
        <f t="shared" si="150"/>
        <v>985.63904938020721</v>
      </c>
      <c r="Q1103" s="4"/>
      <c r="S1103" s="2">
        <f t="shared" si="144"/>
        <v>482.96313419630155</v>
      </c>
    </row>
    <row r="1104" spans="1:19" ht="14.25" customHeight="1">
      <c r="A1104" s="2" t="s">
        <v>15</v>
      </c>
      <c r="B1104" s="2">
        <v>1926</v>
      </c>
      <c r="C1104" s="2" t="s">
        <v>37</v>
      </c>
      <c r="G1104" s="3"/>
      <c r="H1104" s="3">
        <v>963.4700772200772</v>
      </c>
      <c r="I1104" s="3">
        <f t="shared" si="150"/>
        <v>970.98514382239387</v>
      </c>
      <c r="Q1104" s="4"/>
      <c r="S1104" s="2">
        <f t="shared" si="144"/>
        <v>475.78272047297298</v>
      </c>
    </row>
    <row r="1105" spans="1:19" ht="14.25" customHeight="1">
      <c r="A1105" s="2" t="s">
        <v>15</v>
      </c>
      <c r="B1105" s="2">
        <v>1927</v>
      </c>
      <c r="C1105" s="2" t="s">
        <v>37</v>
      </c>
      <c r="G1105" s="3"/>
      <c r="H1105" s="3">
        <v>1016.0319548872179</v>
      </c>
      <c r="I1105" s="3">
        <f t="shared" si="150"/>
        <v>1023.9570041353383</v>
      </c>
      <c r="Q1105" s="4"/>
      <c r="S1105" s="2">
        <f t="shared" si="144"/>
        <v>501.73893202631575</v>
      </c>
    </row>
    <row r="1106" spans="1:19" ht="14.25" customHeight="1">
      <c r="A1106" s="2" t="s">
        <v>15</v>
      </c>
      <c r="B1106" s="2">
        <v>1928</v>
      </c>
      <c r="C1106" s="2" t="s">
        <v>37</v>
      </c>
      <c r="G1106" s="3"/>
      <c r="H1106" s="3">
        <v>1018.4614915667546</v>
      </c>
      <c r="I1106" s="3">
        <f t="shared" si="150"/>
        <v>1026.4054912009753</v>
      </c>
      <c r="Q1106" s="4"/>
      <c r="S1106" s="2">
        <f t="shared" si="144"/>
        <v>502.93869068847789</v>
      </c>
    </row>
    <row r="1107" spans="1:19" ht="14.25" customHeight="1">
      <c r="A1107" s="2" t="s">
        <v>15</v>
      </c>
      <c r="B1107" s="2">
        <v>1929</v>
      </c>
      <c r="C1107" s="2" t="s">
        <v>37</v>
      </c>
      <c r="G1107" s="3"/>
      <c r="H1107" s="3">
        <v>1069.9721601300548</v>
      </c>
      <c r="I1107" s="3">
        <f t="shared" si="150"/>
        <v>1078.3179429790694</v>
      </c>
      <c r="Q1107" s="4"/>
      <c r="S1107" s="2">
        <f t="shared" si="144"/>
        <v>528.37579205974396</v>
      </c>
    </row>
    <row r="1108" spans="1:19" ht="14.25" customHeight="1">
      <c r="A1108" s="2" t="s">
        <v>15</v>
      </c>
      <c r="B1108" s="2">
        <v>1930</v>
      </c>
      <c r="C1108" s="2" t="s">
        <v>37</v>
      </c>
      <c r="G1108" s="3"/>
      <c r="H1108" s="3">
        <v>1111.4286222312537</v>
      </c>
      <c r="I1108" s="3">
        <f t="shared" si="150"/>
        <v>1120.0977654846574</v>
      </c>
      <c r="Q1108" s="4"/>
      <c r="S1108" s="2">
        <f t="shared" si="144"/>
        <v>548.8479050874821</v>
      </c>
    </row>
    <row r="1109" spans="1:19" ht="14.25" customHeight="1">
      <c r="A1109" s="2" t="s">
        <v>15</v>
      </c>
      <c r="B1109" s="2">
        <v>1931</v>
      </c>
      <c r="C1109" s="2" t="s">
        <v>37</v>
      </c>
      <c r="G1109" s="3"/>
      <c r="H1109" s="3">
        <v>1005.3586669376142</v>
      </c>
      <c r="I1109" s="3">
        <f t="shared" si="150"/>
        <v>1013.2004645397276</v>
      </c>
      <c r="Q1109" s="4"/>
      <c r="S1109" s="2">
        <f t="shared" si="144"/>
        <v>496.46822762446652</v>
      </c>
    </row>
    <row r="1110" spans="1:19" ht="14.25" customHeight="1">
      <c r="A1110" s="2" t="s">
        <v>15</v>
      </c>
      <c r="B1110" s="2">
        <v>1932</v>
      </c>
      <c r="C1110" s="2" t="s">
        <v>37</v>
      </c>
      <c r="G1110" s="3"/>
      <c r="H1110" s="3">
        <v>991.00990652306439</v>
      </c>
      <c r="I1110" s="3">
        <f t="shared" si="150"/>
        <v>998.7397837939443</v>
      </c>
      <c r="Q1110" s="4"/>
      <c r="S1110" s="2">
        <f t="shared" si="144"/>
        <v>489.38249405903269</v>
      </c>
    </row>
    <row r="1111" spans="1:19" ht="14.25" customHeight="1">
      <c r="A1111" s="2" t="s">
        <v>15</v>
      </c>
      <c r="B1111" s="2">
        <v>1933</v>
      </c>
      <c r="C1111" s="2" t="s">
        <v>37</v>
      </c>
      <c r="G1111" s="3"/>
      <c r="H1111" s="3">
        <v>949.58875228612067</v>
      </c>
      <c r="I1111" s="3">
        <f t="shared" si="150"/>
        <v>956.99554455395241</v>
      </c>
      <c r="Q1111" s="4"/>
      <c r="S1111" s="2">
        <f t="shared" si="144"/>
        <v>468.9278168314367</v>
      </c>
    </row>
    <row r="1112" spans="1:19" ht="14.25" customHeight="1">
      <c r="A1112" s="2" t="s">
        <v>15</v>
      </c>
      <c r="B1112" s="2">
        <v>1934</v>
      </c>
      <c r="C1112" s="2" t="s">
        <v>37</v>
      </c>
      <c r="G1112" s="3"/>
      <c r="H1112" s="3">
        <v>946.37370453159917</v>
      </c>
      <c r="I1112" s="3">
        <f t="shared" si="150"/>
        <v>953.75541942694565</v>
      </c>
      <c r="Q1112" s="4"/>
      <c r="S1112" s="2">
        <f t="shared" si="144"/>
        <v>467.34015551920334</v>
      </c>
    </row>
    <row r="1113" spans="1:19" ht="14.25" customHeight="1">
      <c r="A1113" s="2" t="s">
        <v>15</v>
      </c>
      <c r="B1113" s="2">
        <v>1935</v>
      </c>
      <c r="C1113" s="2" t="s">
        <v>37</v>
      </c>
      <c r="G1113" s="3"/>
      <c r="H1113" s="3">
        <v>1008.6288864052021</v>
      </c>
      <c r="I1113" s="3">
        <f t="shared" si="150"/>
        <v>1016.4961917191628</v>
      </c>
      <c r="Q1113" s="4"/>
      <c r="S1113" s="2">
        <f t="shared" si="144"/>
        <v>498.08313394238974</v>
      </c>
    </row>
    <row r="1114" spans="1:19" ht="14.25" customHeight="1">
      <c r="A1114" s="2" t="s">
        <v>15</v>
      </c>
      <c r="B1114" s="2">
        <v>1936</v>
      </c>
      <c r="C1114" s="2" t="s">
        <v>37</v>
      </c>
      <c r="G1114" s="3"/>
      <c r="H1114" s="3">
        <v>1060.631934566145</v>
      </c>
      <c r="I1114" s="3">
        <f t="shared" si="150"/>
        <v>1068.9048636557609</v>
      </c>
      <c r="Q1114" s="4"/>
      <c r="S1114" s="2">
        <f t="shared" si="144"/>
        <v>523.76338319132287</v>
      </c>
    </row>
    <row r="1115" spans="1:19" ht="14.25" customHeight="1">
      <c r="A1115" s="2" t="s">
        <v>15</v>
      </c>
      <c r="B1115" s="2">
        <v>1937</v>
      </c>
      <c r="C1115" s="2" t="s">
        <v>37</v>
      </c>
      <c r="G1115" s="3"/>
      <c r="H1115" s="3">
        <v>1104.2663584637269</v>
      </c>
      <c r="I1115" s="3">
        <f t="shared" si="150"/>
        <v>1112.8796360597439</v>
      </c>
      <c r="Q1115" s="4"/>
      <c r="S1115" s="2">
        <f t="shared" si="144"/>
        <v>545.31102166927451</v>
      </c>
    </row>
    <row r="1116" spans="1:19" ht="14.25" customHeight="1">
      <c r="A1116" s="2" t="s">
        <v>15</v>
      </c>
      <c r="B1116" s="2">
        <v>1938</v>
      </c>
      <c r="C1116" s="2" t="s">
        <v>37</v>
      </c>
      <c r="G1116" s="3"/>
      <c r="H1116" s="3">
        <v>1062.4494005283477</v>
      </c>
      <c r="I1116" s="3">
        <f t="shared" si="150"/>
        <v>1070.7365058524688</v>
      </c>
      <c r="Q1116" s="4"/>
      <c r="S1116" s="2">
        <f t="shared" si="144"/>
        <v>524.66088786770968</v>
      </c>
    </row>
    <row r="1117" spans="1:19" ht="14.25" customHeight="1">
      <c r="A1117" s="2" t="s">
        <v>15</v>
      </c>
      <c r="B1117" s="2">
        <v>1939</v>
      </c>
      <c r="C1117" s="2" t="s">
        <v>37</v>
      </c>
      <c r="G1117" s="3"/>
      <c r="H1117" s="3">
        <v>797.22332859174969</v>
      </c>
      <c r="I1117" s="3">
        <f t="shared" si="150"/>
        <v>803.44167055476532</v>
      </c>
      <c r="Q1117" s="4"/>
      <c r="S1117" s="2">
        <f t="shared" si="144"/>
        <v>393.68641857183502</v>
      </c>
    </row>
    <row r="1118" spans="1:19" ht="14.25" customHeight="1">
      <c r="A1118" s="2" t="s">
        <v>15</v>
      </c>
      <c r="B1118" s="2">
        <v>1940</v>
      </c>
      <c r="C1118" s="2" t="s">
        <v>37</v>
      </c>
      <c r="G1118" s="3"/>
      <c r="H1118" s="3">
        <v>318.56340174761226</v>
      </c>
      <c r="I1118" s="3">
        <f t="shared" si="150"/>
        <v>321.04819628124363</v>
      </c>
      <c r="Q1118" s="4"/>
      <c r="S1118" s="2">
        <f t="shared" si="144"/>
        <v>157.31361617780937</v>
      </c>
    </row>
    <row r="1119" spans="1:19" ht="14.25" customHeight="1">
      <c r="A1119" s="2" t="s">
        <v>15</v>
      </c>
      <c r="B1119" s="2">
        <v>1941</v>
      </c>
      <c r="C1119" s="2" t="s">
        <v>37</v>
      </c>
      <c r="G1119" s="3"/>
      <c r="H1119" s="3">
        <v>249.32869335500914</v>
      </c>
      <c r="I1119" s="3">
        <f t="shared" si="150"/>
        <v>251.27345716317822</v>
      </c>
      <c r="Q1119" s="4"/>
      <c r="S1119" s="2">
        <f t="shared" si="144"/>
        <v>123.12399400995733</v>
      </c>
    </row>
    <row r="1120" spans="1:19" ht="14.25" customHeight="1">
      <c r="A1120" s="2" t="s">
        <v>15</v>
      </c>
      <c r="B1120" s="2">
        <v>1942</v>
      </c>
      <c r="C1120" s="2" t="s">
        <v>37</v>
      </c>
      <c r="G1120" s="3"/>
      <c r="H1120" s="3">
        <v>309.58407843934157</v>
      </c>
      <c r="I1120" s="3">
        <f t="shared" si="150"/>
        <v>311.99883425116843</v>
      </c>
      <c r="Q1120" s="4"/>
      <c r="S1120" s="2">
        <f t="shared" si="144"/>
        <v>152.87942878307254</v>
      </c>
    </row>
    <row r="1121" spans="1:20" ht="14.25" customHeight="1">
      <c r="A1121" s="2" t="s">
        <v>15</v>
      </c>
      <c r="B1121" s="2">
        <v>1943</v>
      </c>
      <c r="C1121" s="2" t="s">
        <v>37</v>
      </c>
      <c r="G1121" s="3"/>
      <c r="H1121" s="3">
        <v>313.98597845966265</v>
      </c>
      <c r="I1121" s="3">
        <f t="shared" si="150"/>
        <v>316.43506909164802</v>
      </c>
      <c r="Q1121" s="4"/>
      <c r="S1121" s="2">
        <f t="shared" si="144"/>
        <v>155.05318385490753</v>
      </c>
    </row>
    <row r="1122" spans="1:20" ht="14.25" customHeight="1">
      <c r="A1122" s="2" t="s">
        <v>15</v>
      </c>
      <c r="B1122" s="2">
        <v>1944</v>
      </c>
      <c r="C1122" s="2" t="s">
        <v>37</v>
      </c>
      <c r="G1122" s="3"/>
      <c r="H1122" s="3">
        <v>329.12421255842304</v>
      </c>
      <c r="I1122" s="3">
        <f t="shared" si="150"/>
        <v>331.69138141637876</v>
      </c>
      <c r="Q1122" s="4"/>
      <c r="S1122" s="2">
        <f t="shared" si="144"/>
        <v>162.52877689402558</v>
      </c>
    </row>
    <row r="1123" spans="1:20" ht="14.25" customHeight="1">
      <c r="A1123" s="2" t="s">
        <v>15</v>
      </c>
      <c r="B1123" s="2">
        <v>1945</v>
      </c>
      <c r="C1123" s="2" t="s">
        <v>37</v>
      </c>
      <c r="G1123" s="3"/>
      <c r="H1123" s="3">
        <v>499.343324527535</v>
      </c>
      <c r="I1123" s="3">
        <f t="shared" si="150"/>
        <v>503.2382024588498</v>
      </c>
      <c r="Q1123" s="4"/>
      <c r="S1123" s="2">
        <f t="shared" si="144"/>
        <v>246.58671920483638</v>
      </c>
    </row>
    <row r="1124" spans="1:20" ht="14.25" customHeight="1">
      <c r="A1124" s="2" t="s">
        <v>15</v>
      </c>
      <c r="B1124" s="2">
        <v>1946</v>
      </c>
      <c r="C1124" s="2" t="s">
        <v>37</v>
      </c>
      <c r="G1124" s="3"/>
      <c r="H1124" s="3">
        <v>914.804460475513</v>
      </c>
      <c r="I1124" s="3">
        <f t="shared" si="150"/>
        <v>921.93993526722204</v>
      </c>
      <c r="Q1124" s="4"/>
      <c r="S1124" s="2">
        <f t="shared" si="144"/>
        <v>451.75056828093881</v>
      </c>
    </row>
    <row r="1125" spans="1:20" ht="14.25" customHeight="1">
      <c r="A1125" s="2" t="s">
        <v>15</v>
      </c>
      <c r="B1125" s="2">
        <v>1947</v>
      </c>
      <c r="C1125" s="2" t="s">
        <v>37</v>
      </c>
      <c r="G1125" s="3"/>
      <c r="H1125" s="3">
        <v>1009.7180959154643</v>
      </c>
      <c r="I1125" s="3">
        <f t="shared" si="150"/>
        <v>1017.593897063605</v>
      </c>
      <c r="Q1125" s="4"/>
      <c r="S1125" s="2">
        <f t="shared" si="144"/>
        <v>498.62100956116643</v>
      </c>
    </row>
    <row r="1126" spans="1:20" ht="14.25" customHeight="1">
      <c r="A1126" s="2" t="s">
        <v>15</v>
      </c>
      <c r="B1126" s="2">
        <v>1948</v>
      </c>
      <c r="C1126" s="2" t="s">
        <v>37</v>
      </c>
      <c r="G1126" s="3"/>
      <c r="H1126" s="3">
        <v>1059.0644686039423</v>
      </c>
      <c r="I1126" s="3">
        <f t="shared" si="150"/>
        <v>1067.3251714590531</v>
      </c>
      <c r="Q1126" s="4"/>
      <c r="S1126" s="2">
        <f t="shared" si="144"/>
        <v>522.98933401493605</v>
      </c>
    </row>
    <row r="1127" spans="1:20" ht="14.25" customHeight="1">
      <c r="A1127" s="2" t="s">
        <v>15</v>
      </c>
      <c r="B1127" s="2">
        <v>1949</v>
      </c>
      <c r="C1127" s="2" t="s">
        <v>37</v>
      </c>
      <c r="G1127" s="3"/>
      <c r="H1127" s="3">
        <v>1017.7701178622231</v>
      </c>
      <c r="I1127" s="3">
        <f t="shared" si="150"/>
        <v>1025.7087247815484</v>
      </c>
      <c r="Q1127" s="4"/>
      <c r="S1127" s="2">
        <f t="shared" si="144"/>
        <v>502.59727514295872</v>
      </c>
    </row>
    <row r="1128" spans="1:20" ht="14.25" customHeight="1">
      <c r="A1128" s="2" t="s">
        <v>15</v>
      </c>
      <c r="B1128" s="2">
        <v>1950</v>
      </c>
      <c r="C1128" s="2" t="s">
        <v>37</v>
      </c>
      <c r="G1128" s="3"/>
      <c r="H1128" s="3">
        <v>896.88010566957939</v>
      </c>
      <c r="I1128" s="3">
        <f t="shared" si="150"/>
        <v>903.87577049380218</v>
      </c>
      <c r="L1128" s="2">
        <v>2.6613750437726159E-2</v>
      </c>
      <c r="Q1128" s="4"/>
      <c r="S1128" s="2">
        <f t="shared" si="144"/>
        <v>442.89912754196308</v>
      </c>
      <c r="T1128" s="2">
        <f t="shared" ref="T1128:T1139" si="151">L1128*0.49</f>
        <v>1.3040737714485818E-2</v>
      </c>
    </row>
    <row r="1129" spans="1:20" ht="14.25" customHeight="1">
      <c r="A1129" s="2" t="s">
        <v>15</v>
      </c>
      <c r="B1129" s="2">
        <v>1951</v>
      </c>
      <c r="C1129" s="2" t="s">
        <v>37</v>
      </c>
      <c r="G1129" s="3"/>
      <c r="H1129" s="3">
        <v>959.39397480186949</v>
      </c>
      <c r="I1129" s="3">
        <f t="shared" si="150"/>
        <v>966.87724780532415</v>
      </c>
      <c r="L1129" s="2">
        <v>2.6613750437726159E-2</v>
      </c>
      <c r="Q1129" s="4"/>
      <c r="S1129" s="2">
        <f t="shared" si="144"/>
        <v>473.76985142460882</v>
      </c>
      <c r="T1129" s="2">
        <f t="shared" si="151"/>
        <v>1.3040737714485818E-2</v>
      </c>
    </row>
    <row r="1130" spans="1:20" ht="14.25" customHeight="1">
      <c r="A1130" s="2" t="s">
        <v>15</v>
      </c>
      <c r="B1130" s="2">
        <v>1952</v>
      </c>
      <c r="C1130" s="2" t="s">
        <v>37</v>
      </c>
      <c r="G1130" s="3"/>
      <c r="H1130" s="3">
        <v>1005.79394432026</v>
      </c>
      <c r="I1130" s="3">
        <f t="shared" si="150"/>
        <v>1013.6391370859581</v>
      </c>
      <c r="L1130" s="2">
        <v>2.6613750437726159E-2</v>
      </c>
      <c r="Q1130" s="4"/>
      <c r="S1130" s="2">
        <f t="shared" si="144"/>
        <v>496.68317717211943</v>
      </c>
      <c r="T1130" s="2">
        <f t="shared" si="151"/>
        <v>1.3040737714485818E-2</v>
      </c>
    </row>
    <row r="1131" spans="1:20" ht="14.25" customHeight="1">
      <c r="A1131" s="2" t="s">
        <v>15</v>
      </c>
      <c r="B1131" s="2">
        <v>1953</v>
      </c>
      <c r="C1131" s="2" t="s">
        <v>37</v>
      </c>
      <c r="G1131" s="3"/>
      <c r="H1131" s="3">
        <v>996.07605161552522</v>
      </c>
      <c r="I1131" s="3">
        <f t="shared" si="150"/>
        <v>1003.8454448181263</v>
      </c>
      <c r="L1131" s="2">
        <v>2.6613750437726159E-2</v>
      </c>
      <c r="Q1131" s="4"/>
      <c r="S1131" s="2">
        <f t="shared" si="144"/>
        <v>491.88426796088191</v>
      </c>
      <c r="T1131" s="2">
        <f t="shared" si="151"/>
        <v>1.3040737714485818E-2</v>
      </c>
    </row>
    <row r="1132" spans="1:20" ht="14.25" customHeight="1">
      <c r="A1132" s="2" t="s">
        <v>15</v>
      </c>
      <c r="B1132" s="2">
        <v>1954</v>
      </c>
      <c r="C1132" s="2" t="s">
        <v>37</v>
      </c>
      <c r="G1132" s="3"/>
      <c r="H1132" s="3">
        <v>946.87934362934357</v>
      </c>
      <c r="I1132" s="3">
        <f t="shared" si="150"/>
        <v>954.2650025096525</v>
      </c>
      <c r="L1132" s="2">
        <v>2.6613750437726159E-2</v>
      </c>
      <c r="Q1132" s="4"/>
      <c r="S1132" s="2">
        <f t="shared" si="144"/>
        <v>467.58985122972973</v>
      </c>
      <c r="T1132" s="2">
        <f t="shared" si="151"/>
        <v>1.3040737714485818E-2</v>
      </c>
    </row>
    <row r="1133" spans="1:20" ht="14.25" customHeight="1">
      <c r="A1133" s="2" t="s">
        <v>15</v>
      </c>
      <c r="B1133" s="2">
        <v>1955</v>
      </c>
      <c r="C1133" s="2" t="s">
        <v>37</v>
      </c>
      <c r="G1133" s="3"/>
      <c r="H1133" s="3">
        <v>968.02357244462507</v>
      </c>
      <c r="I1133" s="3">
        <f t="shared" si="150"/>
        <v>975.57415630969319</v>
      </c>
      <c r="L1133" s="2">
        <v>3.1049375510680523E-2</v>
      </c>
      <c r="Q1133" s="4"/>
      <c r="S1133" s="2">
        <f t="shared" si="144"/>
        <v>478.03133659174966</v>
      </c>
      <c r="T1133" s="2">
        <f t="shared" si="151"/>
        <v>1.5214194000233456E-2</v>
      </c>
    </row>
    <row r="1134" spans="1:20" ht="14.25" customHeight="1">
      <c r="A1134" s="2" t="s">
        <v>15</v>
      </c>
      <c r="B1134" s="2">
        <v>1956</v>
      </c>
      <c r="C1134" s="2" t="s">
        <v>37</v>
      </c>
      <c r="G1134" s="3"/>
      <c r="H1134" s="3">
        <v>947.77484251168448</v>
      </c>
      <c r="I1134" s="3">
        <f t="shared" ref="I1134:I1139" si="152">H1134</f>
        <v>947.77484251168448</v>
      </c>
      <c r="L1134" s="2">
        <v>3.1049375510680523E-2</v>
      </c>
      <c r="Q1134" s="4"/>
      <c r="S1134" s="2">
        <f t="shared" si="144"/>
        <v>464.40967283072541</v>
      </c>
      <c r="T1134" s="2">
        <f t="shared" si="151"/>
        <v>1.5214194000233456E-2</v>
      </c>
    </row>
    <row r="1135" spans="1:20" ht="14.25" customHeight="1">
      <c r="A1135" s="2" t="s">
        <v>15</v>
      </c>
      <c r="B1135" s="2">
        <v>1957</v>
      </c>
      <c r="C1135" s="2" t="s">
        <v>37</v>
      </c>
      <c r="G1135" s="3"/>
      <c r="H1135" s="3">
        <v>886.55761024182073</v>
      </c>
      <c r="I1135" s="3">
        <f t="shared" si="152"/>
        <v>886.55761024182073</v>
      </c>
      <c r="L1135" s="2">
        <v>3.1049375510680523E-2</v>
      </c>
      <c r="Q1135" s="4"/>
      <c r="S1135" s="2">
        <f t="shared" si="144"/>
        <v>434.41322901849213</v>
      </c>
      <c r="T1135" s="2">
        <f t="shared" si="151"/>
        <v>1.5214194000233456E-2</v>
      </c>
    </row>
    <row r="1136" spans="1:20" ht="14.25" customHeight="1">
      <c r="A1136" s="2" t="s">
        <v>15</v>
      </c>
      <c r="B1136" s="2">
        <v>1958</v>
      </c>
      <c r="C1136" s="2" t="s">
        <v>37</v>
      </c>
      <c r="G1136" s="3"/>
      <c r="H1136" s="3">
        <v>879.90245884982721</v>
      </c>
      <c r="I1136" s="3">
        <f t="shared" si="152"/>
        <v>879.90245884982721</v>
      </c>
      <c r="L1136" s="2">
        <v>3.1049375510680523E-2</v>
      </c>
      <c r="Q1136" s="4"/>
      <c r="S1136" s="2">
        <f t="shared" si="144"/>
        <v>431.15220483641531</v>
      </c>
      <c r="T1136" s="2">
        <f t="shared" si="151"/>
        <v>1.5214194000233456E-2</v>
      </c>
    </row>
    <row r="1137" spans="1:20" ht="14.25" customHeight="1">
      <c r="A1137" s="2" t="s">
        <v>15</v>
      </c>
      <c r="B1137" s="2">
        <v>1959</v>
      </c>
      <c r="C1137" s="2" t="s">
        <v>37</v>
      </c>
      <c r="G1137" s="3"/>
      <c r="H1137" s="3">
        <v>873.39971550497864</v>
      </c>
      <c r="I1137" s="3">
        <f t="shared" si="152"/>
        <v>873.39971550497864</v>
      </c>
      <c r="L1137" s="2">
        <v>3.1049375510680523E-2</v>
      </c>
      <c r="Q1137" s="4"/>
      <c r="S1137" s="2">
        <f t="shared" si="144"/>
        <v>427.96586059743953</v>
      </c>
      <c r="T1137" s="2">
        <f t="shared" si="151"/>
        <v>1.5214194000233456E-2</v>
      </c>
    </row>
    <row r="1138" spans="1:20" ht="14.25" customHeight="1">
      <c r="A1138" s="2" t="s">
        <v>15</v>
      </c>
      <c r="B1138" s="2">
        <v>1960</v>
      </c>
      <c r="C1138" s="2" t="s">
        <v>37</v>
      </c>
      <c r="G1138" s="3"/>
      <c r="H1138" s="3">
        <v>815.38305222515748</v>
      </c>
      <c r="I1138" s="3">
        <f t="shared" si="152"/>
        <v>815.38305222515748</v>
      </c>
      <c r="L1138" s="2">
        <v>3.1049375510680523E-2</v>
      </c>
      <c r="Q1138" s="4"/>
      <c r="S1138" s="2">
        <f t="shared" si="144"/>
        <v>399.53769559032713</v>
      </c>
      <c r="T1138" s="2">
        <f t="shared" si="151"/>
        <v>1.5214194000233456E-2</v>
      </c>
    </row>
    <row r="1139" spans="1:20" ht="14.25" customHeight="1">
      <c r="A1139" s="2" t="s">
        <v>15</v>
      </c>
      <c r="B1139" s="2">
        <v>1961</v>
      </c>
      <c r="C1139" s="2" t="s">
        <v>37</v>
      </c>
      <c r="G1139" s="3"/>
      <c r="H1139" s="3">
        <v>757.6712050396261</v>
      </c>
      <c r="I1139" s="3">
        <f t="shared" si="152"/>
        <v>757.6712050396261</v>
      </c>
      <c r="L1139" s="2">
        <v>3.1049375510680523E-2</v>
      </c>
      <c r="Q1139" s="4"/>
      <c r="S1139" s="2">
        <f t="shared" si="144"/>
        <v>371.25889046941677</v>
      </c>
      <c r="T1139" s="2">
        <f t="shared" si="151"/>
        <v>1.5214194000233456E-2</v>
      </c>
    </row>
  </sheetData>
  <autoFilter ref="A1:AK1139" xr:uid="{00000000-0001-0000-06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Read_me</vt:lpstr>
      <vt:lpstr>Clean_data_1900-2020</vt:lpstr>
      <vt:lpstr>ICES_data_1903-2018</vt:lpstr>
      <vt:lpstr>Aquaculture_data_1950-2018</vt:lpstr>
      <vt:lpstr>Raw_data_1900-1964</vt:lpstr>
      <vt:lpstr>Raw_data_1965-1974_cwt</vt:lpstr>
      <vt:lpstr>Raw_data_1900-2020</vt:lpstr>
      <vt:lpstr>Recommended_fish_intake</vt:lpstr>
      <vt:lpstr>Price_data</vt:lpstr>
      <vt:lpstr>Conversion_factors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Rachel Keeler</cp:lastModifiedBy>
  <dcterms:created xsi:type="dcterms:W3CDTF">2023-04-01T12:05:02Z</dcterms:created>
  <dcterms:modified xsi:type="dcterms:W3CDTF">2023-04-03T21:43:56Z</dcterms:modified>
</cp:coreProperties>
</file>